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os adjuntos\"/>
    </mc:Choice>
  </mc:AlternateContent>
  <xr:revisionPtr revIDLastSave="0" documentId="13_ncr:1_{B9D19D58-44C2-4B6C-84A1-40B0DC5A45F0}" xr6:coauthVersionLast="36" xr6:coauthVersionMax="36" xr10:uidLastSave="{00000000-0000-0000-0000-000000000000}"/>
  <bookViews>
    <workbookView xWindow="0" yWindow="0" windowWidth="20490" windowHeight="7425" firstSheet="2" activeTab="2" xr2:uid="{78CA9D2F-E6C1-45DE-A394-DD04F6795362}"/>
  </bookViews>
  <sheets>
    <sheet name="Hoja2" sheetId="13" state="hidden" r:id="rId1"/>
    <sheet name="RESUMEN" sheetId="33" r:id="rId2"/>
    <sheet name="BASE 2026" sheetId="1" r:id="rId3"/>
    <sheet name="COSECHAS" sheetId="3" r:id="rId4"/>
    <sheet name="SIEMBRAS" sheetId="2" r:id="rId5"/>
    <sheet name="TENTATIVOS" sheetId="10" r:id="rId6"/>
    <sheet name="DATOS" sheetId="5" r:id="rId7"/>
    <sheet name="Hoja9" sheetId="28" r:id="rId8"/>
    <sheet name="Hoja6" sheetId="35" r:id="rId9"/>
    <sheet name="Hoja7" sheetId="36" r:id="rId10"/>
    <sheet name="Hoja1" sheetId="30" r:id="rId11"/>
    <sheet name="Hoja4" sheetId="32" r:id="rId12"/>
    <sheet name="seafarm 001 para ajuste" sheetId="29" r:id="rId13"/>
  </sheets>
  <definedNames>
    <definedName name="_xlnm._FilterDatabase" localSheetId="6" hidden="1">DATOS!$E$116:$F$168</definedName>
    <definedName name="_xlnm._FilterDatabase" localSheetId="8" hidden="1">Hoja6!$A$1:$U$1</definedName>
    <definedName name="_xlnm._FilterDatabase" localSheetId="12" hidden="1">'seafarm 001 para ajuste'!$A$1:$T$1</definedName>
    <definedName name="_xlnm._FilterDatabase" localSheetId="4" hidden="1">SIEMBRAS!#REF!</definedName>
    <definedName name="_xlnm._FilterDatabase" localSheetId="5" hidden="1">TENTATIVOS!$A$2:$N$335</definedName>
    <definedName name="_xlchart.v1.0" hidden="1">Hoja9!$D$173:$D$210</definedName>
    <definedName name="_xlchart.v1.1" hidden="1">Hoja9!$B$173:$B$432</definedName>
    <definedName name="_xlnm.Print_Area" localSheetId="2">'BASE 2026'!$A$2:$AO$427</definedName>
    <definedName name="COSECHAS">TablaCosechas[]</definedName>
    <definedName name="SegmentaciónDeDatos_AÑO">#N/A</definedName>
    <definedName name="SegmentaciónDeDatos_MES">#N/A</definedName>
    <definedName name="SegmentaciónDeDatos_MES1">#N/A</definedName>
    <definedName name="SIEMBRAS">Tabla4[]</definedName>
  </definedNames>
  <calcPr calcId="191028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40" i="1" l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I1906" i="3"/>
  <c r="I1907" i="3"/>
  <c r="I1908" i="3"/>
  <c r="I1909" i="3"/>
  <c r="I1910" i="3"/>
  <c r="I1911" i="3"/>
  <c r="I1912" i="3"/>
  <c r="I1913" i="3"/>
  <c r="I1914" i="3"/>
  <c r="I1915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16" i="3"/>
  <c r="U2" i="28" l="1" a="1"/>
  <c r="U41" i="28" s="1"/>
  <c r="L2" i="28" a="1"/>
  <c r="L5" i="28" s="1"/>
  <c r="W2" i="28" a="1"/>
  <c r="X61" i="28" s="1"/>
  <c r="S2" i="28" a="1"/>
  <c r="S11" i="28" s="1"/>
  <c r="C421" i="1"/>
  <c r="C422" i="1"/>
  <c r="C423" i="1"/>
  <c r="C424" i="1"/>
  <c r="C425" i="1"/>
  <c r="C426" i="1"/>
  <c r="C427" i="1"/>
  <c r="E421" i="1"/>
  <c r="E422" i="1"/>
  <c r="E423" i="1"/>
  <c r="E424" i="1"/>
  <c r="E425" i="1"/>
  <c r="E426" i="1"/>
  <c r="E427" i="1"/>
  <c r="H421" i="1"/>
  <c r="H422" i="1"/>
  <c r="H423" i="1"/>
  <c r="H424" i="1"/>
  <c r="H425" i="1"/>
  <c r="H426" i="1"/>
  <c r="H427" i="1"/>
  <c r="I421" i="1"/>
  <c r="I422" i="1"/>
  <c r="I423" i="1"/>
  <c r="I424" i="1"/>
  <c r="I425" i="1"/>
  <c r="I426" i="1"/>
  <c r="I427" i="1"/>
  <c r="AC421" i="1"/>
  <c r="AC422" i="1"/>
  <c r="AC423" i="1"/>
  <c r="AC424" i="1"/>
  <c r="AC425" i="1"/>
  <c r="AC426" i="1"/>
  <c r="AC427" i="1"/>
  <c r="AD421" i="1"/>
  <c r="AD422" i="1"/>
  <c r="AD423" i="1"/>
  <c r="AD424" i="1"/>
  <c r="AD425" i="1"/>
  <c r="AD426" i="1"/>
  <c r="AD427" i="1"/>
  <c r="AU427" i="1" s="1"/>
  <c r="B1916" i="3"/>
  <c r="C1916" i="3"/>
  <c r="H1916" i="3" s="1"/>
  <c r="K1916" i="3"/>
  <c r="N1916" i="3"/>
  <c r="O1916" i="3"/>
  <c r="P1916" i="3"/>
  <c r="Q1916" i="3"/>
  <c r="AU422" i="1" l="1"/>
  <c r="AU421" i="1"/>
  <c r="J1916" i="3"/>
  <c r="AU424" i="1"/>
  <c r="L686" i="28"/>
  <c r="L678" i="28"/>
  <c r="M657" i="28"/>
  <c r="L646" i="28"/>
  <c r="M634" i="28"/>
  <c r="M625" i="28"/>
  <c r="L612" i="28"/>
  <c r="M593" i="28"/>
  <c r="M579" i="28"/>
  <c r="L561" i="28"/>
  <c r="L520" i="28"/>
  <c r="M482" i="28"/>
  <c r="M91" i="28"/>
  <c r="M693" i="28"/>
  <c r="M685" i="28"/>
  <c r="M677" i="28"/>
  <c r="L666" i="28"/>
  <c r="M654" i="28"/>
  <c r="M645" i="28"/>
  <c r="L634" i="28"/>
  <c r="M622" i="28"/>
  <c r="M611" i="28"/>
  <c r="L593" i="28"/>
  <c r="L574" i="28"/>
  <c r="L560" i="28"/>
  <c r="M518" i="28"/>
  <c r="M470" i="28"/>
  <c r="L432" i="28"/>
  <c r="M380" i="28"/>
  <c r="M316" i="28"/>
  <c r="M215" i="28"/>
  <c r="M87" i="28"/>
  <c r="M658" i="28"/>
  <c r="M261" i="28"/>
  <c r="M669" i="28"/>
  <c r="L613" i="28"/>
  <c r="M534" i="28"/>
  <c r="M434" i="28"/>
  <c r="M124" i="28"/>
  <c r="M666" i="28"/>
  <c r="M219" i="28"/>
  <c r="L692" i="28"/>
  <c r="L684" i="28"/>
  <c r="M674" i="28"/>
  <c r="M665" i="28"/>
  <c r="L654" i="28"/>
  <c r="M642" i="28"/>
  <c r="M633" i="28"/>
  <c r="L622" i="28"/>
  <c r="L606" i="28"/>
  <c r="L592" i="28"/>
  <c r="M573" i="28"/>
  <c r="M555" i="28"/>
  <c r="M516" i="28"/>
  <c r="M466" i="28"/>
  <c r="M418" i="28"/>
  <c r="L380" i="28"/>
  <c r="M315" i="28"/>
  <c r="M183" i="28"/>
  <c r="M76" i="28"/>
  <c r="L680" i="28"/>
  <c r="M649" i="28"/>
  <c r="M617" i="28"/>
  <c r="L581" i="28"/>
  <c r="M348" i="28"/>
  <c r="M678" i="28"/>
  <c r="M646" i="28"/>
  <c r="L598" i="28"/>
  <c r="M484" i="28"/>
  <c r="L348" i="28"/>
  <c r="M432" i="28"/>
  <c r="M690" i="28"/>
  <c r="M682" i="28"/>
  <c r="L674" i="28"/>
  <c r="M662" i="28"/>
  <c r="M653" i="28"/>
  <c r="L642" i="28"/>
  <c r="M630" i="28"/>
  <c r="M621" i="28"/>
  <c r="M605" i="28"/>
  <c r="M587" i="28"/>
  <c r="L573" i="28"/>
  <c r="L552" i="28"/>
  <c r="L504" i="28"/>
  <c r="M464" i="28"/>
  <c r="M416" i="28"/>
  <c r="L368" i="28"/>
  <c r="M304" i="28"/>
  <c r="M176" i="28"/>
  <c r="M44" i="28"/>
  <c r="L688" i="28"/>
  <c r="L670" i="28"/>
  <c r="L638" i="28"/>
  <c r="M626" i="28"/>
  <c r="M599" i="28"/>
  <c r="L566" i="28"/>
  <c r="L536" i="28"/>
  <c r="M486" i="28"/>
  <c r="M448" i="28"/>
  <c r="L400" i="28"/>
  <c r="M129" i="28"/>
  <c r="M686" i="28"/>
  <c r="M637" i="28"/>
  <c r="L580" i="28"/>
  <c r="M229" i="28"/>
  <c r="M384" i="28"/>
  <c r="L690" i="28"/>
  <c r="L682" i="28"/>
  <c r="M673" i="28"/>
  <c r="L662" i="28"/>
  <c r="M650" i="28"/>
  <c r="M641" i="28"/>
  <c r="L630" i="28"/>
  <c r="M618" i="28"/>
  <c r="L605" i="28"/>
  <c r="L586" i="28"/>
  <c r="L568" i="28"/>
  <c r="M550" i="28"/>
  <c r="M502" i="28"/>
  <c r="M452" i="28"/>
  <c r="M412" i="28"/>
  <c r="M364" i="28"/>
  <c r="M272" i="28"/>
  <c r="M172" i="28"/>
  <c r="M39" i="28"/>
  <c r="L658" i="28"/>
  <c r="L626" i="28"/>
  <c r="M561" i="28"/>
  <c r="M396" i="28"/>
  <c r="M346" i="28"/>
  <c r="M689" i="28"/>
  <c r="M681" i="28"/>
  <c r="M670" i="28"/>
  <c r="M661" i="28"/>
  <c r="L650" i="28"/>
  <c r="M638" i="28"/>
  <c r="M629" i="28"/>
  <c r="L618" i="28"/>
  <c r="L600" i="28"/>
  <c r="M585" i="28"/>
  <c r="M567" i="28"/>
  <c r="M538" i="28"/>
  <c r="M498" i="28"/>
  <c r="M450" i="28"/>
  <c r="M400" i="28"/>
  <c r="L364" i="28"/>
  <c r="M268" i="28"/>
  <c r="M133" i="28"/>
  <c r="M33" i="28"/>
  <c r="W691" i="28"/>
  <c r="W680" i="28"/>
  <c r="X655" i="28"/>
  <c r="W606" i="28"/>
  <c r="X543" i="28"/>
  <c r="X473" i="28"/>
  <c r="X401" i="28"/>
  <c r="X335" i="28"/>
  <c r="X269" i="28"/>
  <c r="X201" i="28"/>
  <c r="X133" i="28"/>
  <c r="W2" i="28"/>
  <c r="X9" i="28"/>
  <c r="X39" i="28"/>
  <c r="X77" i="28"/>
  <c r="X111" i="28"/>
  <c r="X143" i="28"/>
  <c r="X181" i="28"/>
  <c r="X209" i="28"/>
  <c r="X247" i="28"/>
  <c r="X281" i="28"/>
  <c r="X313" i="28"/>
  <c r="X351" i="28"/>
  <c r="X381" i="28"/>
  <c r="X417" i="28"/>
  <c r="X453" i="28"/>
  <c r="X485" i="28"/>
  <c r="X521" i="28"/>
  <c r="X551" i="28"/>
  <c r="X589" i="28"/>
  <c r="W617" i="28"/>
  <c r="X641" i="28"/>
  <c r="X661" i="28"/>
  <c r="W674" i="28"/>
  <c r="X682" i="28"/>
  <c r="X687" i="28"/>
  <c r="W693" i="28"/>
  <c r="X13" i="28"/>
  <c r="X47" i="28"/>
  <c r="X79" i="28"/>
  <c r="X117" i="28"/>
  <c r="X145" i="28"/>
  <c r="X183" i="28"/>
  <c r="X217" i="28"/>
  <c r="X249" i="28"/>
  <c r="X287" i="28"/>
  <c r="X317" i="28"/>
  <c r="X353" i="28"/>
  <c r="X389" i="28"/>
  <c r="X421" i="28"/>
  <c r="X457" i="28"/>
  <c r="X487" i="28"/>
  <c r="X525" i="28"/>
  <c r="X559" i="28"/>
  <c r="X591" i="28"/>
  <c r="W622" i="28"/>
  <c r="W642" i="28"/>
  <c r="X667" i="28"/>
  <c r="W676" i="28"/>
  <c r="W683" i="28"/>
  <c r="X688" i="28"/>
  <c r="X17" i="28"/>
  <c r="X55" i="28"/>
  <c r="X89" i="28"/>
  <c r="X121" i="28"/>
  <c r="X159" i="28"/>
  <c r="X189" i="28"/>
  <c r="X225" i="28"/>
  <c r="X261" i="28"/>
  <c r="X293" i="28"/>
  <c r="X329" i="28"/>
  <c r="X359" i="28"/>
  <c r="X397" i="28"/>
  <c r="X431" i="28"/>
  <c r="X463" i="28"/>
  <c r="X501" i="28"/>
  <c r="X529" i="28"/>
  <c r="X567" i="28"/>
  <c r="W600" i="28"/>
  <c r="X625" i="28"/>
  <c r="W649" i="28"/>
  <c r="X669" i="28"/>
  <c r="X677" i="28"/>
  <c r="X684" i="28"/>
  <c r="W690" i="28"/>
  <c r="X25" i="28"/>
  <c r="X57" i="28"/>
  <c r="X95" i="28"/>
  <c r="X125" i="28"/>
  <c r="X161" i="28"/>
  <c r="X197" i="28"/>
  <c r="X229" i="28"/>
  <c r="X265" i="28"/>
  <c r="X295" i="28"/>
  <c r="X333" i="28"/>
  <c r="X367" i="28"/>
  <c r="X399" i="28"/>
  <c r="X437" i="28"/>
  <c r="X465" i="28"/>
  <c r="X503" i="28"/>
  <c r="X537" i="28"/>
  <c r="X569" i="28"/>
  <c r="W604" i="28"/>
  <c r="W629" i="28"/>
  <c r="X651" i="28"/>
  <c r="W670" i="28"/>
  <c r="W678" i="28"/>
  <c r="W685" i="28"/>
  <c r="X690" i="28"/>
  <c r="W689" i="28"/>
  <c r="W677" i="28"/>
  <c r="W645" i="28"/>
  <c r="X593" i="28"/>
  <c r="X527" i="28"/>
  <c r="X461" i="28"/>
  <c r="X393" i="28"/>
  <c r="X325" i="28"/>
  <c r="X253" i="28"/>
  <c r="X185" i="28"/>
  <c r="X119" i="28"/>
  <c r="X53" i="28"/>
  <c r="W687" i="28"/>
  <c r="X673" i="28"/>
  <c r="W638" i="28"/>
  <c r="X585" i="28"/>
  <c r="X517" i="28"/>
  <c r="X445" i="28"/>
  <c r="X377" i="28"/>
  <c r="X311" i="28"/>
  <c r="X245" i="28"/>
  <c r="X175" i="28"/>
  <c r="X103" i="28"/>
  <c r="X37" i="28"/>
  <c r="X686" i="28"/>
  <c r="W672" i="28"/>
  <c r="X635" i="28"/>
  <c r="X581" i="28"/>
  <c r="X509" i="28"/>
  <c r="X441" i="28"/>
  <c r="X375" i="28"/>
  <c r="X309" i="28"/>
  <c r="X239" i="28"/>
  <c r="X167" i="28"/>
  <c r="X101" i="28"/>
  <c r="X33" i="28"/>
  <c r="W686" i="28"/>
  <c r="X671" i="28"/>
  <c r="W632" i="28"/>
  <c r="X573" i="28"/>
  <c r="X505" i="28"/>
  <c r="X439" i="28"/>
  <c r="X373" i="28"/>
  <c r="X303" i="28"/>
  <c r="X231" i="28"/>
  <c r="X165" i="28"/>
  <c r="X97" i="28"/>
  <c r="X31" i="28"/>
  <c r="X692" i="28"/>
  <c r="W682" i="28"/>
  <c r="W661" i="28"/>
  <c r="W610" i="28"/>
  <c r="X549" i="28"/>
  <c r="X481" i="28"/>
  <c r="X415" i="28"/>
  <c r="X345" i="28"/>
  <c r="X273" i="28"/>
  <c r="X207" i="28"/>
  <c r="X141" i="28"/>
  <c r="X73" i="28"/>
  <c r="X5" i="28"/>
  <c r="X691" i="28"/>
  <c r="W681" i="28"/>
  <c r="X657" i="28"/>
  <c r="X609" i="28"/>
  <c r="X545" i="28"/>
  <c r="X479" i="28"/>
  <c r="X409" i="28"/>
  <c r="X337" i="28"/>
  <c r="X271" i="28"/>
  <c r="X205" i="28"/>
  <c r="X137" i="28"/>
  <c r="X69" i="28"/>
  <c r="X683" i="28"/>
  <c r="W668" i="28"/>
  <c r="X623" i="28"/>
  <c r="X565" i="28"/>
  <c r="X495" i="28"/>
  <c r="X423" i="28"/>
  <c r="X357" i="28"/>
  <c r="X289" i="28"/>
  <c r="X223" i="28"/>
  <c r="X153" i="28"/>
  <c r="X81" i="28"/>
  <c r="X15" i="28"/>
  <c r="L693" i="28"/>
  <c r="L689" i="28"/>
  <c r="L685" i="28"/>
  <c r="L681" i="28"/>
  <c r="L677" i="28"/>
  <c r="L673" i="28"/>
  <c r="L669" i="28"/>
  <c r="L665" i="28"/>
  <c r="L661" i="28"/>
  <c r="L657" i="28"/>
  <c r="L653" i="28"/>
  <c r="L649" i="28"/>
  <c r="L645" i="28"/>
  <c r="L641" i="28"/>
  <c r="L637" i="28"/>
  <c r="L633" i="28"/>
  <c r="L629" i="28"/>
  <c r="L625" i="28"/>
  <c r="L621" i="28"/>
  <c r="L617" i="28"/>
  <c r="L610" i="28"/>
  <c r="L604" i="28"/>
  <c r="M597" i="28"/>
  <c r="M591" i="28"/>
  <c r="L585" i="28"/>
  <c r="L578" i="28"/>
  <c r="L572" i="28"/>
  <c r="M565" i="28"/>
  <c r="M559" i="28"/>
  <c r="M548" i="28"/>
  <c r="M530" i="28"/>
  <c r="M514" i="28"/>
  <c r="M496" i="28"/>
  <c r="M480" i="28"/>
  <c r="L464" i="28"/>
  <c r="M444" i="28"/>
  <c r="M428" i="28"/>
  <c r="L412" i="28"/>
  <c r="L396" i="28"/>
  <c r="M378" i="28"/>
  <c r="L360" i="28"/>
  <c r="L344" i="28"/>
  <c r="M300" i="28"/>
  <c r="M257" i="28"/>
  <c r="M209" i="28"/>
  <c r="M161" i="28"/>
  <c r="M119" i="28"/>
  <c r="M71" i="28"/>
  <c r="M28" i="28"/>
  <c r="M692" i="28"/>
  <c r="M688" i="28"/>
  <c r="M684" i="28"/>
  <c r="M680" i="28"/>
  <c r="M676" i="28"/>
  <c r="M672" i="28"/>
  <c r="M668" i="28"/>
  <c r="M664" i="28"/>
  <c r="M660" i="28"/>
  <c r="M656" i="28"/>
  <c r="M652" i="28"/>
  <c r="M648" i="28"/>
  <c r="M644" i="28"/>
  <c r="M640" i="28"/>
  <c r="M636" i="28"/>
  <c r="M632" i="28"/>
  <c r="M628" i="28"/>
  <c r="M624" i="28"/>
  <c r="M620" i="28"/>
  <c r="L616" i="28"/>
  <c r="M609" i="28"/>
  <c r="M603" i="28"/>
  <c r="L597" i="28"/>
  <c r="L590" i="28"/>
  <c r="L584" i="28"/>
  <c r="M577" i="28"/>
  <c r="M571" i="28"/>
  <c r="L565" i="28"/>
  <c r="L558" i="28"/>
  <c r="M546" i="28"/>
  <c r="M528" i="28"/>
  <c r="M512" i="28"/>
  <c r="L496" i="28"/>
  <c r="M476" i="28"/>
  <c r="M460" i="28"/>
  <c r="L444" i="28"/>
  <c r="L428" i="28"/>
  <c r="M410" i="28"/>
  <c r="L392" i="28"/>
  <c r="L376" i="28"/>
  <c r="M358" i="28"/>
  <c r="M341" i="28"/>
  <c r="M295" i="28"/>
  <c r="M247" i="28"/>
  <c r="M204" i="28"/>
  <c r="M156" i="28"/>
  <c r="M113" i="28"/>
  <c r="M69" i="28"/>
  <c r="M17" i="28"/>
  <c r="L664" i="28"/>
  <c r="L652" i="28"/>
  <c r="L644" i="28"/>
  <c r="L640" i="28"/>
  <c r="L632" i="28"/>
  <c r="L628" i="28"/>
  <c r="L624" i="28"/>
  <c r="L620" i="28"/>
  <c r="M615" i="28"/>
  <c r="L602" i="28"/>
  <c r="L596" i="28"/>
  <c r="M589" i="28"/>
  <c r="M583" i="28"/>
  <c r="L577" i="28"/>
  <c r="L570" i="28"/>
  <c r="L564" i="28"/>
  <c r="M557" i="28"/>
  <c r="M544" i="28"/>
  <c r="L528" i="28"/>
  <c r="M508" i="28"/>
  <c r="M492" i="28"/>
  <c r="L476" i="28"/>
  <c r="L460" i="28"/>
  <c r="M442" i="28"/>
  <c r="L424" i="28"/>
  <c r="L408" i="28"/>
  <c r="M390" i="28"/>
  <c r="M374" i="28"/>
  <c r="M356" i="28"/>
  <c r="M332" i="28"/>
  <c r="M289" i="28"/>
  <c r="M241" i="28"/>
  <c r="M199" i="28"/>
  <c r="M155" i="28"/>
  <c r="M103" i="28"/>
  <c r="M60" i="28"/>
  <c r="M691" i="28"/>
  <c r="M687" i="28"/>
  <c r="M683" i="28"/>
  <c r="M679" i="28"/>
  <c r="M675" i="28"/>
  <c r="M671" i="28"/>
  <c r="M667" i="28"/>
  <c r="M663" i="28"/>
  <c r="M659" i="28"/>
  <c r="M655" i="28"/>
  <c r="M651" i="28"/>
  <c r="M647" i="28"/>
  <c r="M643" i="28"/>
  <c r="M639" i="28"/>
  <c r="M635" i="28"/>
  <c r="M631" i="28"/>
  <c r="M627" i="28"/>
  <c r="M623" i="28"/>
  <c r="M619" i="28"/>
  <c r="L614" i="28"/>
  <c r="L608" i="28"/>
  <c r="M601" i="28"/>
  <c r="M595" i="28"/>
  <c r="L589" i="28"/>
  <c r="L582" i="28"/>
  <c r="L576" i="28"/>
  <c r="M569" i="28"/>
  <c r="M563" i="28"/>
  <c r="L557" i="28"/>
  <c r="M540" i="28"/>
  <c r="M524" i="28"/>
  <c r="L508" i="28"/>
  <c r="L492" i="28"/>
  <c r="M474" i="28"/>
  <c r="L456" i="28"/>
  <c r="L440" i="28"/>
  <c r="M422" i="28"/>
  <c r="M406" i="28"/>
  <c r="M388" i="28"/>
  <c r="M370" i="28"/>
  <c r="M354" i="28"/>
  <c r="M327" i="28"/>
  <c r="M284" i="28"/>
  <c r="M240" i="28"/>
  <c r="M188" i="28"/>
  <c r="M145" i="28"/>
  <c r="M101" i="28"/>
  <c r="M59" i="28"/>
  <c r="M12" i="28"/>
  <c r="L676" i="28"/>
  <c r="L672" i="28"/>
  <c r="L668" i="28"/>
  <c r="L660" i="28"/>
  <c r="L656" i="28"/>
  <c r="L648" i="28"/>
  <c r="L636" i="28"/>
  <c r="L609" i="28"/>
  <c r="M16" i="28"/>
  <c r="L691" i="28"/>
  <c r="L687" i="28"/>
  <c r="L683" i="28"/>
  <c r="L679" i="28"/>
  <c r="L675" i="28"/>
  <c r="L671" i="28"/>
  <c r="L667" i="28"/>
  <c r="L663" i="28"/>
  <c r="L659" i="28"/>
  <c r="L655" i="28"/>
  <c r="L651" i="28"/>
  <c r="L647" i="28"/>
  <c r="L643" i="28"/>
  <c r="L639" i="28"/>
  <c r="L635" i="28"/>
  <c r="L631" i="28"/>
  <c r="L627" i="28"/>
  <c r="L623" i="28"/>
  <c r="L619" i="28"/>
  <c r="M613" i="28"/>
  <c r="M607" i="28"/>
  <c r="L601" i="28"/>
  <c r="L594" i="28"/>
  <c r="L588" i="28"/>
  <c r="M581" i="28"/>
  <c r="M575" i="28"/>
  <c r="L569" i="28"/>
  <c r="L562" i="28"/>
  <c r="L556" i="28"/>
  <c r="L540" i="28"/>
  <c r="L524" i="28"/>
  <c r="M506" i="28"/>
  <c r="L488" i="28"/>
  <c r="L472" i="28"/>
  <c r="M454" i="28"/>
  <c r="M438" i="28"/>
  <c r="M420" i="28"/>
  <c r="M402" i="28"/>
  <c r="M386" i="28"/>
  <c r="M368" i="28"/>
  <c r="M352" i="28"/>
  <c r="M325" i="28"/>
  <c r="M273" i="28"/>
  <c r="M231" i="28"/>
  <c r="M187" i="28"/>
  <c r="M144" i="28"/>
  <c r="M97" i="28"/>
  <c r="M48" i="28"/>
  <c r="M5" i="28"/>
  <c r="V686" i="28"/>
  <c r="V672" i="28"/>
  <c r="U641" i="28"/>
  <c r="V609" i="28"/>
  <c r="V573" i="28"/>
  <c r="V541" i="28"/>
  <c r="U504" i="28"/>
  <c r="U433" i="28"/>
  <c r="U169" i="28"/>
  <c r="V670" i="28"/>
  <c r="V605" i="28"/>
  <c r="V533" i="28"/>
  <c r="V431" i="28"/>
  <c r="U137" i="28"/>
  <c r="V682" i="28"/>
  <c r="V668" i="28"/>
  <c r="U633" i="28"/>
  <c r="V597" i="28"/>
  <c r="V568" i="28"/>
  <c r="V532" i="28"/>
  <c r="V495" i="28"/>
  <c r="U417" i="28"/>
  <c r="V351" i="28"/>
  <c r="U257" i="28"/>
  <c r="U124" i="28"/>
  <c r="V683" i="28"/>
  <c r="V637" i="28"/>
  <c r="U569" i="28"/>
  <c r="V503" i="28"/>
  <c r="V367" i="28"/>
  <c r="V257" i="28"/>
  <c r="V680" i="28"/>
  <c r="V661" i="28"/>
  <c r="V632" i="28"/>
  <c r="V596" i="28"/>
  <c r="V564" i="28"/>
  <c r="V525" i="28"/>
  <c r="V479" i="28"/>
  <c r="V416" i="28"/>
  <c r="V344" i="28"/>
  <c r="V244" i="28"/>
  <c r="U105" i="28"/>
  <c r="U281" i="28"/>
  <c r="V691" i="28"/>
  <c r="U680" i="28"/>
  <c r="V660" i="28"/>
  <c r="V628" i="28"/>
  <c r="V589" i="28"/>
  <c r="V556" i="28"/>
  <c r="U525" i="28"/>
  <c r="V472" i="28"/>
  <c r="V408" i="28"/>
  <c r="V332" i="28"/>
  <c r="V219" i="28"/>
  <c r="V375" i="28"/>
  <c r="V92" i="28"/>
  <c r="V690" i="28"/>
  <c r="V678" i="28"/>
  <c r="V653" i="28"/>
  <c r="V620" i="28"/>
  <c r="U589" i="28"/>
  <c r="U553" i="28"/>
  <c r="U521" i="28"/>
  <c r="V463" i="28"/>
  <c r="V392" i="28"/>
  <c r="V321" i="28"/>
  <c r="V204" i="28"/>
  <c r="V76" i="28"/>
  <c r="V688" i="28"/>
  <c r="V675" i="28"/>
  <c r="U653" i="28"/>
  <c r="U617" i="28"/>
  <c r="U585" i="28"/>
  <c r="V548" i="28"/>
  <c r="U513" i="28"/>
  <c r="U457" i="28"/>
  <c r="U385" i="28"/>
  <c r="U309" i="28"/>
  <c r="U188" i="28"/>
  <c r="V44" i="28"/>
  <c r="U688" i="28"/>
  <c r="V674" i="28"/>
  <c r="U649" i="28"/>
  <c r="V612" i="28"/>
  <c r="U577" i="28"/>
  <c r="V545" i="28"/>
  <c r="V509" i="28"/>
  <c r="U449" i="28"/>
  <c r="V376" i="28"/>
  <c r="U284" i="28"/>
  <c r="U185" i="28"/>
  <c r="U4" i="28"/>
  <c r="U20" i="28"/>
  <c r="V60" i="28"/>
  <c r="U108" i="28"/>
  <c r="U153" i="28"/>
  <c r="V188" i="28"/>
  <c r="U232" i="28"/>
  <c r="V268" i="28"/>
  <c r="V296" i="28"/>
  <c r="V333" i="28"/>
  <c r="V359" i="28"/>
  <c r="U377" i="28"/>
  <c r="V400" i="28"/>
  <c r="V423" i="28"/>
  <c r="U441" i="28"/>
  <c r="V464" i="28"/>
  <c r="V487" i="28"/>
  <c r="V504" i="28"/>
  <c r="U517" i="28"/>
  <c r="V528" i="28"/>
  <c r="V537" i="28"/>
  <c r="U549" i="28"/>
  <c r="V560" i="28"/>
  <c r="V569" i="28"/>
  <c r="U581" i="28"/>
  <c r="V592" i="28"/>
  <c r="V601" i="28"/>
  <c r="U613" i="28"/>
  <c r="V624" i="28"/>
  <c r="V633" i="28"/>
  <c r="U645" i="28"/>
  <c r="V656" i="28"/>
  <c r="U665" i="28"/>
  <c r="U673" i="28"/>
  <c r="U677" i="28"/>
  <c r="U681" i="28"/>
  <c r="U685" i="28"/>
  <c r="U689" i="28"/>
  <c r="U693" i="28"/>
  <c r="V21" i="28"/>
  <c r="U73" i="28"/>
  <c r="V108" i="28"/>
  <c r="U156" i="28"/>
  <c r="U201" i="28"/>
  <c r="V232" i="28"/>
  <c r="V269" i="28"/>
  <c r="V307" i="28"/>
  <c r="V335" i="28"/>
  <c r="V360" i="28"/>
  <c r="V383" i="28"/>
  <c r="U401" i="28"/>
  <c r="V424" i="28"/>
  <c r="V447" i="28"/>
  <c r="U465" i="28"/>
  <c r="V488" i="28"/>
  <c r="V508" i="28"/>
  <c r="V517" i="28"/>
  <c r="U529" i="28"/>
  <c r="V540" i="28"/>
  <c r="V549" i="28"/>
  <c r="U561" i="28"/>
  <c r="V572" i="28"/>
  <c r="V581" i="28"/>
  <c r="U593" i="28"/>
  <c r="V604" i="28"/>
  <c r="V613" i="28"/>
  <c r="U625" i="28"/>
  <c r="V636" i="28"/>
  <c r="V645" i="28"/>
  <c r="U657" i="28"/>
  <c r="V665" i="28"/>
  <c r="V673" i="28"/>
  <c r="V677" i="28"/>
  <c r="V681" i="28"/>
  <c r="V685" i="28"/>
  <c r="V689" i="28"/>
  <c r="V693" i="28"/>
  <c r="U24" i="28"/>
  <c r="U76" i="28"/>
  <c r="U121" i="28"/>
  <c r="V156" i="28"/>
  <c r="U204" i="28"/>
  <c r="V243" i="28"/>
  <c r="V271" i="28"/>
  <c r="V308" i="28"/>
  <c r="V343" i="28"/>
  <c r="U361" i="28"/>
  <c r="V384" i="28"/>
  <c r="V407" i="28"/>
  <c r="U425" i="28"/>
  <c r="V448" i="28"/>
  <c r="V471" i="28"/>
  <c r="U489" i="28"/>
  <c r="U509" i="28"/>
  <c r="V520" i="28"/>
  <c r="V529" i="28"/>
  <c r="U541" i="28"/>
  <c r="V552" i="28"/>
  <c r="V561" i="28"/>
  <c r="U573" i="28"/>
  <c r="V584" i="28"/>
  <c r="V593" i="28"/>
  <c r="U605" i="28"/>
  <c r="V616" i="28"/>
  <c r="V625" i="28"/>
  <c r="U637" i="28"/>
  <c r="V648" i="28"/>
  <c r="V657" i="28"/>
  <c r="V666" i="28"/>
  <c r="U674" i="28"/>
  <c r="U678" i="28"/>
  <c r="U682" i="28"/>
  <c r="U686" i="28"/>
  <c r="U690" i="28"/>
  <c r="U44" i="28"/>
  <c r="U89" i="28"/>
  <c r="V124" i="28"/>
  <c r="U172" i="28"/>
  <c r="U217" i="28"/>
  <c r="U245" i="28"/>
  <c r="V283" i="28"/>
  <c r="U320" i="28"/>
  <c r="U345" i="28"/>
  <c r="V368" i="28"/>
  <c r="V391" i="28"/>
  <c r="U409" i="28"/>
  <c r="V432" i="28"/>
  <c r="V455" i="28"/>
  <c r="U473" i="28"/>
  <c r="V496" i="28"/>
  <c r="V512" i="28"/>
  <c r="V521" i="28"/>
  <c r="U533" i="28"/>
  <c r="V544" i="28"/>
  <c r="V553" i="28"/>
  <c r="U565" i="28"/>
  <c r="V576" i="28"/>
  <c r="V585" i="28"/>
  <c r="U597" i="28"/>
  <c r="V608" i="28"/>
  <c r="V617" i="28"/>
  <c r="U629" i="28"/>
  <c r="V640" i="28"/>
  <c r="V649" i="28"/>
  <c r="U661" i="28"/>
  <c r="U669" i="28"/>
  <c r="U675" i="28"/>
  <c r="U679" i="28"/>
  <c r="U683" i="28"/>
  <c r="U687" i="28"/>
  <c r="U691" i="28"/>
  <c r="U57" i="28"/>
  <c r="U140" i="28"/>
  <c r="U220" i="28"/>
  <c r="V293" i="28"/>
  <c r="V352" i="28"/>
  <c r="U393" i="28"/>
  <c r="V439" i="28"/>
  <c r="V480" i="28"/>
  <c r="V513" i="28"/>
  <c r="V536" i="28"/>
  <c r="U557" i="28"/>
  <c r="V577" i="28"/>
  <c r="V600" i="28"/>
  <c r="U621" i="28"/>
  <c r="V641" i="28"/>
  <c r="V662" i="28"/>
  <c r="U676" i="28"/>
  <c r="U684" i="28"/>
  <c r="U692" i="28"/>
  <c r="U60" i="28"/>
  <c r="V140" i="28"/>
  <c r="V229" i="28"/>
  <c r="U296" i="28"/>
  <c r="U353" i="28"/>
  <c r="V399" i="28"/>
  <c r="V440" i="28"/>
  <c r="U481" i="28"/>
  <c r="V516" i="28"/>
  <c r="U537" i="28"/>
  <c r="V557" i="28"/>
  <c r="V580" i="28"/>
  <c r="U601" i="28"/>
  <c r="V621" i="28"/>
  <c r="V644" i="28"/>
  <c r="V664" i="28"/>
  <c r="V676" i="28"/>
  <c r="V684" i="28"/>
  <c r="V692" i="28"/>
  <c r="U92" i="28"/>
  <c r="V172" i="28"/>
  <c r="U256" i="28"/>
  <c r="U321" i="28"/>
  <c r="U369" i="28"/>
  <c r="V415" i="28"/>
  <c r="V456" i="28"/>
  <c r="U497" i="28"/>
  <c r="V524" i="28"/>
  <c r="U545" i="28"/>
  <c r="V565" i="28"/>
  <c r="V588" i="28"/>
  <c r="U609" i="28"/>
  <c r="V629" i="28"/>
  <c r="V652" i="28"/>
  <c r="V669" i="28"/>
  <c r="V679" i="28"/>
  <c r="V687" i="28"/>
  <c r="X693" i="28"/>
  <c r="X689" i="28"/>
  <c r="X685" i="28"/>
  <c r="X681" i="28"/>
  <c r="X675" i="28"/>
  <c r="W669" i="28"/>
  <c r="W654" i="28"/>
  <c r="W636" i="28"/>
  <c r="X619" i="28"/>
  <c r="X603" i="28"/>
  <c r="X583" i="28"/>
  <c r="X561" i="28"/>
  <c r="X541" i="28"/>
  <c r="X519" i="28"/>
  <c r="X497" i="28"/>
  <c r="X477" i="28"/>
  <c r="X455" i="28"/>
  <c r="X433" i="28"/>
  <c r="X413" i="28"/>
  <c r="X391" i="28"/>
  <c r="X369" i="28"/>
  <c r="X349" i="28"/>
  <c r="X327" i="28"/>
  <c r="X305" i="28"/>
  <c r="X285" i="28"/>
  <c r="X263" i="28"/>
  <c r="X241" i="28"/>
  <c r="X221" i="28"/>
  <c r="X199" i="28"/>
  <c r="X177" i="28"/>
  <c r="X157" i="28"/>
  <c r="X135" i="28"/>
  <c r="X113" i="28"/>
  <c r="X93" i="28"/>
  <c r="X71" i="28"/>
  <c r="X49" i="28"/>
  <c r="X29" i="28"/>
  <c r="X7" i="28"/>
  <c r="W616" i="28"/>
  <c r="X597" i="28"/>
  <c r="X577" i="28"/>
  <c r="X557" i="28"/>
  <c r="X535" i="28"/>
  <c r="X513" i="28"/>
  <c r="X493" i="28"/>
  <c r="X471" i="28"/>
  <c r="X449" i="28"/>
  <c r="X429" i="28"/>
  <c r="X407" i="28"/>
  <c r="X385" i="28"/>
  <c r="X365" i="28"/>
  <c r="X343" i="28"/>
  <c r="X321" i="28"/>
  <c r="X301" i="28"/>
  <c r="X279" i="28"/>
  <c r="X257" i="28"/>
  <c r="X237" i="28"/>
  <c r="X215" i="28"/>
  <c r="X193" i="28"/>
  <c r="X173" i="28"/>
  <c r="X151" i="28"/>
  <c r="X129" i="28"/>
  <c r="X109" i="28"/>
  <c r="X87" i="28"/>
  <c r="X65" i="28"/>
  <c r="X45" i="28"/>
  <c r="X23" i="28"/>
  <c r="W692" i="28"/>
  <c r="W688" i="28"/>
  <c r="W684" i="28"/>
  <c r="X679" i="28"/>
  <c r="W673" i="28"/>
  <c r="W664" i="28"/>
  <c r="W648" i="28"/>
  <c r="X629" i="28"/>
  <c r="W613" i="28"/>
  <c r="W597" i="28"/>
  <c r="X575" i="28"/>
  <c r="X553" i="28"/>
  <c r="X533" i="28"/>
  <c r="X511" i="28"/>
  <c r="X489" i="28"/>
  <c r="X469" i="28"/>
  <c r="X447" i="28"/>
  <c r="X425" i="28"/>
  <c r="X405" i="28"/>
  <c r="X383" i="28"/>
  <c r="X361" i="28"/>
  <c r="X341" i="28"/>
  <c r="X319" i="28"/>
  <c r="X297" i="28"/>
  <c r="X277" i="28"/>
  <c r="X255" i="28"/>
  <c r="X233" i="28"/>
  <c r="X213" i="28"/>
  <c r="X191" i="28"/>
  <c r="X169" i="28"/>
  <c r="X149" i="28"/>
  <c r="X127" i="28"/>
  <c r="X105" i="28"/>
  <c r="X85" i="28"/>
  <c r="X63" i="28"/>
  <c r="X41" i="28"/>
  <c r="X21" i="28"/>
  <c r="M616" i="28"/>
  <c r="M612" i="28"/>
  <c r="M608" i="28"/>
  <c r="M604" i="28"/>
  <c r="M600" i="28"/>
  <c r="M596" i="28"/>
  <c r="M592" i="28"/>
  <c r="M588" i="28"/>
  <c r="M584" i="28"/>
  <c r="M580" i="28"/>
  <c r="M576" i="28"/>
  <c r="M572" i="28"/>
  <c r="M568" i="28"/>
  <c r="M564" i="28"/>
  <c r="M560" i="28"/>
  <c r="M556" i="28"/>
  <c r="L548" i="28"/>
  <c r="M536" i="28"/>
  <c r="M526" i="28"/>
  <c r="L516" i="28"/>
  <c r="M504" i="28"/>
  <c r="M494" i="28"/>
  <c r="L484" i="28"/>
  <c r="M472" i="28"/>
  <c r="M462" i="28"/>
  <c r="L452" i="28"/>
  <c r="M440" i="28"/>
  <c r="M430" i="28"/>
  <c r="L420" i="28"/>
  <c r="M408" i="28"/>
  <c r="M398" i="28"/>
  <c r="L388" i="28"/>
  <c r="M376" i="28"/>
  <c r="M366" i="28"/>
  <c r="L356" i="28"/>
  <c r="M344" i="28"/>
  <c r="M321" i="28"/>
  <c r="M293" i="28"/>
  <c r="M263" i="28"/>
  <c r="M236" i="28"/>
  <c r="M208" i="28"/>
  <c r="M177" i="28"/>
  <c r="M151" i="28"/>
  <c r="M123" i="28"/>
  <c r="M92" i="28"/>
  <c r="M65" i="28"/>
  <c r="M37" i="28"/>
  <c r="M7" i="28"/>
  <c r="L615" i="28"/>
  <c r="L611" i="28"/>
  <c r="L607" i="28"/>
  <c r="L603" i="28"/>
  <c r="L599" i="28"/>
  <c r="L595" i="28"/>
  <c r="L591" i="28"/>
  <c r="L587" i="28"/>
  <c r="L583" i="28"/>
  <c r="L579" i="28"/>
  <c r="L575" i="28"/>
  <c r="L571" i="28"/>
  <c r="L567" i="28"/>
  <c r="L563" i="28"/>
  <c r="L559" i="28"/>
  <c r="M554" i="28"/>
  <c r="L544" i="28"/>
  <c r="M532" i="28"/>
  <c r="M522" i="28"/>
  <c r="L512" i="28"/>
  <c r="M500" i="28"/>
  <c r="M490" i="28"/>
  <c r="L480" i="28"/>
  <c r="M468" i="28"/>
  <c r="M458" i="28"/>
  <c r="L448" i="28"/>
  <c r="M436" i="28"/>
  <c r="M426" i="28"/>
  <c r="L416" i="28"/>
  <c r="M404" i="28"/>
  <c r="M394" i="28"/>
  <c r="L384" i="28"/>
  <c r="M372" i="28"/>
  <c r="M362" i="28"/>
  <c r="L352" i="28"/>
  <c r="M337" i="28"/>
  <c r="M311" i="28"/>
  <c r="M283" i="28"/>
  <c r="M252" i="28"/>
  <c r="M225" i="28"/>
  <c r="M197" i="28"/>
  <c r="M167" i="28"/>
  <c r="M140" i="28"/>
  <c r="M112" i="28"/>
  <c r="M81" i="28"/>
  <c r="M55" i="28"/>
  <c r="M27" i="28"/>
  <c r="M614" i="28"/>
  <c r="M610" i="28"/>
  <c r="M606" i="28"/>
  <c r="M602" i="28"/>
  <c r="M598" i="28"/>
  <c r="M594" i="28"/>
  <c r="M590" i="28"/>
  <c r="M586" i="28"/>
  <c r="M582" i="28"/>
  <c r="M578" i="28"/>
  <c r="M574" i="28"/>
  <c r="M570" i="28"/>
  <c r="M566" i="28"/>
  <c r="M562" i="28"/>
  <c r="M558" i="28"/>
  <c r="M552" i="28"/>
  <c r="M542" i="28"/>
  <c r="L532" i="28"/>
  <c r="M520" i="28"/>
  <c r="M510" i="28"/>
  <c r="L500" i="28"/>
  <c r="M488" i="28"/>
  <c r="M478" i="28"/>
  <c r="L468" i="28"/>
  <c r="M456" i="28"/>
  <c r="M446" i="28"/>
  <c r="L436" i="28"/>
  <c r="M424" i="28"/>
  <c r="M414" i="28"/>
  <c r="L404" i="28"/>
  <c r="M392" i="28"/>
  <c r="M382" i="28"/>
  <c r="L372" i="28"/>
  <c r="M360" i="28"/>
  <c r="M350" i="28"/>
  <c r="M336" i="28"/>
  <c r="M305" i="28"/>
  <c r="M279" i="28"/>
  <c r="M251" i="28"/>
  <c r="M220" i="28"/>
  <c r="M193" i="28"/>
  <c r="M165" i="28"/>
  <c r="M135" i="28"/>
  <c r="M108" i="28"/>
  <c r="M80" i="28"/>
  <c r="M49" i="28"/>
  <c r="M23" i="28"/>
  <c r="S693" i="28"/>
  <c r="S507" i="28"/>
  <c r="S379" i="28"/>
  <c r="S187" i="28"/>
  <c r="S687" i="28"/>
  <c r="S625" i="28"/>
  <c r="S561" i="28"/>
  <c r="S497" i="28"/>
  <c r="S433" i="28"/>
  <c r="S369" i="28"/>
  <c r="S305" i="28"/>
  <c r="S241" i="28"/>
  <c r="S177" i="28"/>
  <c r="S113" i="28"/>
  <c r="S49" i="28"/>
  <c r="S641" i="28"/>
  <c r="S577" i="28"/>
  <c r="S513" i="28"/>
  <c r="S449" i="28"/>
  <c r="S385" i="28"/>
  <c r="S257" i="28"/>
  <c r="S193" i="28"/>
  <c r="S129" i="28"/>
  <c r="S65" i="28"/>
  <c r="S635" i="28"/>
  <c r="S443" i="28"/>
  <c r="S315" i="28"/>
  <c r="S123" i="28"/>
  <c r="S683" i="28"/>
  <c r="S619" i="28"/>
  <c r="S555" i="28"/>
  <c r="S491" i="28"/>
  <c r="S427" i="28"/>
  <c r="S363" i="28"/>
  <c r="S299" i="28"/>
  <c r="S235" i="28"/>
  <c r="S171" i="28"/>
  <c r="S107" i="28"/>
  <c r="S43" i="28"/>
  <c r="S571" i="28"/>
  <c r="S59" i="28"/>
  <c r="S673" i="28"/>
  <c r="S609" i="28"/>
  <c r="S545" i="28"/>
  <c r="S481" i="28"/>
  <c r="S417" i="28"/>
  <c r="S353" i="28"/>
  <c r="S289" i="28"/>
  <c r="S225" i="28"/>
  <c r="S161" i="28"/>
  <c r="S97" i="28"/>
  <c r="S33" i="28"/>
  <c r="S667" i="28"/>
  <c r="S603" i="28"/>
  <c r="S539" i="28"/>
  <c r="S475" i="28"/>
  <c r="S411" i="28"/>
  <c r="S347" i="28"/>
  <c r="S283" i="28"/>
  <c r="S219" i="28"/>
  <c r="S155" i="28"/>
  <c r="S91" i="28"/>
  <c r="S27" i="28"/>
  <c r="S321" i="28"/>
  <c r="S251" i="28"/>
  <c r="S657" i="28"/>
  <c r="S593" i="28"/>
  <c r="S529" i="28"/>
  <c r="S465" i="28"/>
  <c r="S401" i="28"/>
  <c r="S337" i="28"/>
  <c r="S273" i="28"/>
  <c r="S209" i="28"/>
  <c r="S145" i="28"/>
  <c r="S81" i="28"/>
  <c r="S17" i="28"/>
  <c r="S651" i="28"/>
  <c r="S587" i="28"/>
  <c r="S523" i="28"/>
  <c r="S459" i="28"/>
  <c r="S395" i="28"/>
  <c r="S331" i="28"/>
  <c r="S267" i="28"/>
  <c r="S203" i="28"/>
  <c r="S139" i="28"/>
  <c r="S75" i="28"/>
  <c r="W666" i="28"/>
  <c r="W660" i="28"/>
  <c r="X653" i="28"/>
  <c r="X647" i="28"/>
  <c r="W641" i="28"/>
  <c r="W634" i="28"/>
  <c r="W628" i="28"/>
  <c r="X621" i="28"/>
  <c r="X615" i="28"/>
  <c r="W609" i="28"/>
  <c r="W602" i="28"/>
  <c r="W596" i="28"/>
  <c r="W589" i="28"/>
  <c r="W581" i="28"/>
  <c r="W573" i="28"/>
  <c r="W565" i="28"/>
  <c r="W557" i="28"/>
  <c r="W549" i="28"/>
  <c r="W541" i="28"/>
  <c r="W533" i="28"/>
  <c r="W525" i="28"/>
  <c r="W517" i="28"/>
  <c r="W509" i="28"/>
  <c r="W501" i="28"/>
  <c r="W493" i="28"/>
  <c r="W485" i="28"/>
  <c r="W477" i="28"/>
  <c r="W469" i="28"/>
  <c r="W461" i="28"/>
  <c r="W453" i="28"/>
  <c r="W445" i="28"/>
  <c r="W437" i="28"/>
  <c r="W429" i="28"/>
  <c r="W421" i="28"/>
  <c r="W413" i="28"/>
  <c r="W405" i="28"/>
  <c r="W397" i="28"/>
  <c r="W389" i="28"/>
  <c r="W381" i="28"/>
  <c r="W373" i="28"/>
  <c r="W365" i="28"/>
  <c r="W357" i="28"/>
  <c r="W349" i="28"/>
  <c r="W341" i="28"/>
  <c r="W333" i="28"/>
  <c r="W325" i="28"/>
  <c r="W317" i="28"/>
  <c r="W309" i="28"/>
  <c r="W301" i="28"/>
  <c r="W293" i="28"/>
  <c r="W285" i="28"/>
  <c r="W277" i="28"/>
  <c r="W269" i="28"/>
  <c r="W261" i="28"/>
  <c r="W253" i="28"/>
  <c r="W245" i="28"/>
  <c r="W237" i="28"/>
  <c r="W229" i="28"/>
  <c r="W221" i="28"/>
  <c r="W213" i="28"/>
  <c r="W205" i="28"/>
  <c r="W197" i="28"/>
  <c r="W189" i="28"/>
  <c r="W181" i="28"/>
  <c r="W173" i="28"/>
  <c r="W165" i="28"/>
  <c r="W157" i="28"/>
  <c r="W149" i="28"/>
  <c r="W141" i="28"/>
  <c r="W133" i="28"/>
  <c r="W125" i="28"/>
  <c r="W117" i="28"/>
  <c r="W109" i="28"/>
  <c r="W101" i="28"/>
  <c r="W93" i="28"/>
  <c r="W85" i="28"/>
  <c r="W77" i="28"/>
  <c r="W69" i="28"/>
  <c r="W61" i="28"/>
  <c r="W53" i="28"/>
  <c r="W45" i="28"/>
  <c r="W37" i="28"/>
  <c r="W29" i="28"/>
  <c r="W21" i="28"/>
  <c r="W13" i="28"/>
  <c r="W5" i="28"/>
  <c r="X665" i="28"/>
  <c r="X659" i="28"/>
  <c r="W653" i="28"/>
  <c r="W646" i="28"/>
  <c r="W640" i="28"/>
  <c r="X633" i="28"/>
  <c r="X627" i="28"/>
  <c r="W621" i="28"/>
  <c r="W614" i="28"/>
  <c r="W608" i="28"/>
  <c r="X601" i="28"/>
  <c r="X595" i="28"/>
  <c r="W588" i="28"/>
  <c r="W580" i="28"/>
  <c r="W572" i="28"/>
  <c r="W564" i="28"/>
  <c r="W556" i="28"/>
  <c r="W548" i="28"/>
  <c r="W540" i="28"/>
  <c r="W532" i="28"/>
  <c r="W524" i="28"/>
  <c r="W516" i="28"/>
  <c r="W508" i="28"/>
  <c r="W500" i="28"/>
  <c r="W492" i="28"/>
  <c r="W484" i="28"/>
  <c r="W476" i="28"/>
  <c r="W468" i="28"/>
  <c r="W460" i="28"/>
  <c r="W452" i="28"/>
  <c r="W444" i="28"/>
  <c r="W436" i="28"/>
  <c r="W428" i="28"/>
  <c r="W420" i="28"/>
  <c r="W412" i="28"/>
  <c r="W404" i="28"/>
  <c r="W396" i="28"/>
  <c r="W388" i="28"/>
  <c r="W380" i="28"/>
  <c r="W372" i="28"/>
  <c r="W364" i="28"/>
  <c r="W356" i="28"/>
  <c r="W348" i="28"/>
  <c r="W340" i="28"/>
  <c r="W332" i="28"/>
  <c r="W324" i="28"/>
  <c r="W316" i="28"/>
  <c r="W308" i="28"/>
  <c r="W300" i="28"/>
  <c r="W292" i="28"/>
  <c r="W284" i="28"/>
  <c r="W276" i="28"/>
  <c r="W268" i="28"/>
  <c r="W260" i="28"/>
  <c r="W252" i="28"/>
  <c r="W244" i="28"/>
  <c r="W236" i="28"/>
  <c r="W228" i="28"/>
  <c r="W220" i="28"/>
  <c r="W212" i="28"/>
  <c r="W204" i="28"/>
  <c r="W196" i="28"/>
  <c r="W188" i="28"/>
  <c r="W180" i="28"/>
  <c r="W172" i="28"/>
  <c r="W164" i="28"/>
  <c r="W156" i="28"/>
  <c r="W148" i="28"/>
  <c r="W140" i="28"/>
  <c r="W132" i="28"/>
  <c r="W124" i="28"/>
  <c r="W116" i="28"/>
  <c r="W108" i="28"/>
  <c r="W100" i="28"/>
  <c r="W92" i="28"/>
  <c r="W84" i="28"/>
  <c r="W76" i="28"/>
  <c r="W68" i="28"/>
  <c r="W60" i="28"/>
  <c r="W52" i="28"/>
  <c r="W44" i="28"/>
  <c r="W36" i="28"/>
  <c r="W28" i="28"/>
  <c r="W20" i="28"/>
  <c r="W12" i="28"/>
  <c r="W4" i="28"/>
  <c r="W665" i="28"/>
  <c r="W658" i="28"/>
  <c r="W652" i="28"/>
  <c r="X645" i="28"/>
  <c r="X639" i="28"/>
  <c r="W633" i="28"/>
  <c r="W626" i="28"/>
  <c r="W620" i="28"/>
  <c r="X613" i="28"/>
  <c r="X607" i="28"/>
  <c r="W601" i="28"/>
  <c r="W594" i="28"/>
  <c r="X587" i="28"/>
  <c r="X579" i="28"/>
  <c r="X571" i="28"/>
  <c r="X563" i="28"/>
  <c r="X555" i="28"/>
  <c r="X547" i="28"/>
  <c r="X539" i="28"/>
  <c r="X531" i="28"/>
  <c r="X523" i="28"/>
  <c r="X515" i="28"/>
  <c r="X507" i="28"/>
  <c r="X499" i="28"/>
  <c r="X491" i="28"/>
  <c r="X483" i="28"/>
  <c r="X475" i="28"/>
  <c r="X467" i="28"/>
  <c r="X459" i="28"/>
  <c r="X451" i="28"/>
  <c r="X443" i="28"/>
  <c r="X435" i="28"/>
  <c r="X427" i="28"/>
  <c r="X419" i="28"/>
  <c r="X411" i="28"/>
  <c r="X403" i="28"/>
  <c r="X395" i="28"/>
  <c r="X387" i="28"/>
  <c r="X379" i="28"/>
  <c r="X371" i="28"/>
  <c r="X363" i="28"/>
  <c r="X355" i="28"/>
  <c r="X347" i="28"/>
  <c r="X339" i="28"/>
  <c r="X331" i="28"/>
  <c r="X323" i="28"/>
  <c r="X315" i="28"/>
  <c r="X307" i="28"/>
  <c r="X299" i="28"/>
  <c r="X291" i="28"/>
  <c r="X283" i="28"/>
  <c r="X275" i="28"/>
  <c r="X267" i="28"/>
  <c r="X259" i="28"/>
  <c r="X251" i="28"/>
  <c r="X243" i="28"/>
  <c r="X235" i="28"/>
  <c r="X227" i="28"/>
  <c r="X219" i="28"/>
  <c r="X211" i="28"/>
  <c r="X203" i="28"/>
  <c r="X195" i="28"/>
  <c r="X187" i="28"/>
  <c r="X179" i="28"/>
  <c r="X171" i="28"/>
  <c r="X163" i="28"/>
  <c r="X155" i="28"/>
  <c r="X147" i="28"/>
  <c r="X139" i="28"/>
  <c r="X131" i="28"/>
  <c r="X123" i="28"/>
  <c r="X115" i="28"/>
  <c r="X107" i="28"/>
  <c r="X99" i="28"/>
  <c r="X91" i="28"/>
  <c r="X83" i="28"/>
  <c r="X75" i="28"/>
  <c r="X67" i="28"/>
  <c r="X59" i="28"/>
  <c r="X51" i="28"/>
  <c r="X43" i="28"/>
  <c r="X35" i="28"/>
  <c r="X27" i="28"/>
  <c r="X19" i="28"/>
  <c r="X11" i="28"/>
  <c r="X3" i="28"/>
  <c r="X663" i="28"/>
  <c r="W657" i="28"/>
  <c r="W650" i="28"/>
  <c r="W644" i="28"/>
  <c r="X637" i="28"/>
  <c r="X631" i="28"/>
  <c r="W625" i="28"/>
  <c r="W618" i="28"/>
  <c r="W612" i="28"/>
  <c r="X605" i="28"/>
  <c r="X599" i="28"/>
  <c r="W593" i="28"/>
  <c r="W585" i="28"/>
  <c r="W577" i="28"/>
  <c r="W569" i="28"/>
  <c r="W561" i="28"/>
  <c r="W553" i="28"/>
  <c r="W545" i="28"/>
  <c r="W537" i="28"/>
  <c r="W529" i="28"/>
  <c r="W521" i="28"/>
  <c r="W513" i="28"/>
  <c r="W505" i="28"/>
  <c r="W497" i="28"/>
  <c r="W489" i="28"/>
  <c r="W481" i="28"/>
  <c r="W473" i="28"/>
  <c r="W465" i="28"/>
  <c r="W457" i="28"/>
  <c r="W449" i="28"/>
  <c r="W441" i="28"/>
  <c r="W433" i="28"/>
  <c r="W425" i="28"/>
  <c r="W417" i="28"/>
  <c r="W409" i="28"/>
  <c r="W401" i="28"/>
  <c r="W393" i="28"/>
  <c r="W385" i="28"/>
  <c r="W377" i="28"/>
  <c r="W369" i="28"/>
  <c r="W361" i="28"/>
  <c r="W353" i="28"/>
  <c r="W345" i="28"/>
  <c r="W337" i="28"/>
  <c r="W329" i="28"/>
  <c r="W321" i="28"/>
  <c r="W313" i="28"/>
  <c r="W305" i="28"/>
  <c r="W297" i="28"/>
  <c r="W289" i="28"/>
  <c r="W281" i="28"/>
  <c r="W273" i="28"/>
  <c r="W265" i="28"/>
  <c r="W257" i="28"/>
  <c r="W249" i="28"/>
  <c r="W241" i="28"/>
  <c r="W233" i="28"/>
  <c r="W225" i="28"/>
  <c r="W217" i="28"/>
  <c r="W209" i="28"/>
  <c r="W201" i="28"/>
  <c r="W193" i="28"/>
  <c r="W185" i="28"/>
  <c r="W177" i="28"/>
  <c r="W169" i="28"/>
  <c r="W161" i="28"/>
  <c r="W153" i="28"/>
  <c r="W145" i="28"/>
  <c r="W137" i="28"/>
  <c r="W129" i="28"/>
  <c r="W121" i="28"/>
  <c r="W113" i="28"/>
  <c r="W105" i="28"/>
  <c r="W97" i="28"/>
  <c r="W89" i="28"/>
  <c r="W81" i="28"/>
  <c r="W73" i="28"/>
  <c r="W65" i="28"/>
  <c r="W57" i="28"/>
  <c r="W49" i="28"/>
  <c r="W41" i="28"/>
  <c r="W33" i="28"/>
  <c r="W25" i="28"/>
  <c r="W17" i="28"/>
  <c r="W9" i="28"/>
  <c r="W662" i="28"/>
  <c r="W656" i="28"/>
  <c r="X649" i="28"/>
  <c r="X643" i="28"/>
  <c r="W637" i="28"/>
  <c r="W630" i="28"/>
  <c r="W624" i="28"/>
  <c r="X617" i="28"/>
  <c r="X611" i="28"/>
  <c r="W605" i="28"/>
  <c r="W598" i="28"/>
  <c r="W592" i="28"/>
  <c r="W584" i="28"/>
  <c r="W576" i="28"/>
  <c r="W568" i="28"/>
  <c r="W560" i="28"/>
  <c r="W552" i="28"/>
  <c r="W544" i="28"/>
  <c r="W536" i="28"/>
  <c r="W528" i="28"/>
  <c r="W520" i="28"/>
  <c r="W512" i="28"/>
  <c r="W504" i="28"/>
  <c r="W496" i="28"/>
  <c r="W488" i="28"/>
  <c r="W480" i="28"/>
  <c r="W472" i="28"/>
  <c r="W464" i="28"/>
  <c r="W456" i="28"/>
  <c r="W448" i="28"/>
  <c r="W440" i="28"/>
  <c r="W432" i="28"/>
  <c r="W424" i="28"/>
  <c r="W416" i="28"/>
  <c r="W408" i="28"/>
  <c r="W400" i="28"/>
  <c r="W392" i="28"/>
  <c r="W384" i="28"/>
  <c r="W376" i="28"/>
  <c r="W368" i="28"/>
  <c r="W360" i="28"/>
  <c r="W352" i="28"/>
  <c r="W344" i="28"/>
  <c r="W336" i="28"/>
  <c r="W328" i="28"/>
  <c r="W320" i="28"/>
  <c r="W312" i="28"/>
  <c r="W304" i="28"/>
  <c r="W296" i="28"/>
  <c r="W288" i="28"/>
  <c r="W280" i="28"/>
  <c r="W272" i="28"/>
  <c r="W264" i="28"/>
  <c r="W256" i="28"/>
  <c r="W248" i="28"/>
  <c r="W240" i="28"/>
  <c r="W232" i="28"/>
  <c r="W224" i="28"/>
  <c r="W216" i="28"/>
  <c r="W208" i="28"/>
  <c r="W200" i="28"/>
  <c r="W192" i="28"/>
  <c r="W184" i="28"/>
  <c r="W176" i="28"/>
  <c r="W168" i="28"/>
  <c r="W160" i="28"/>
  <c r="W152" i="28"/>
  <c r="W144" i="28"/>
  <c r="W136" i="28"/>
  <c r="W128" i="28"/>
  <c r="W120" i="28"/>
  <c r="W112" i="28"/>
  <c r="W104" i="28"/>
  <c r="W96" i="28"/>
  <c r="W88" i="28"/>
  <c r="W80" i="28"/>
  <c r="W72" i="28"/>
  <c r="W64" i="28"/>
  <c r="W56" i="28"/>
  <c r="W48" i="28"/>
  <c r="W40" i="28"/>
  <c r="W32" i="28"/>
  <c r="W24" i="28"/>
  <c r="W16" i="28"/>
  <c r="W8" i="28"/>
  <c r="M551" i="28"/>
  <c r="M547" i="28"/>
  <c r="M543" i="28"/>
  <c r="M539" i="28"/>
  <c r="M535" i="28"/>
  <c r="M531" i="28"/>
  <c r="M527" i="28"/>
  <c r="M523" i="28"/>
  <c r="M519" i="28"/>
  <c r="M515" i="28"/>
  <c r="M511" i="28"/>
  <c r="M507" i="28"/>
  <c r="M503" i="28"/>
  <c r="M499" i="28"/>
  <c r="M495" i="28"/>
  <c r="M491" i="28"/>
  <c r="M487" i="28"/>
  <c r="M483" i="28"/>
  <c r="M479" i="28"/>
  <c r="M475" i="28"/>
  <c r="M471" i="28"/>
  <c r="M467" i="28"/>
  <c r="M463" i="28"/>
  <c r="M459" i="28"/>
  <c r="M455" i="28"/>
  <c r="M451" i="28"/>
  <c r="M447" i="28"/>
  <c r="M443" i="28"/>
  <c r="M439" i="28"/>
  <c r="M435" i="28"/>
  <c r="M431" i="28"/>
  <c r="M427" i="28"/>
  <c r="M423" i="28"/>
  <c r="M419" i="28"/>
  <c r="M415" i="28"/>
  <c r="M411" i="28"/>
  <c r="M407" i="28"/>
  <c r="M403" i="28"/>
  <c r="M399" i="28"/>
  <c r="M395" i="28"/>
  <c r="M391" i="28"/>
  <c r="M387" i="28"/>
  <c r="M383" i="28"/>
  <c r="M379" i="28"/>
  <c r="M375" i="28"/>
  <c r="M371" i="28"/>
  <c r="M367" i="28"/>
  <c r="M363" i="28"/>
  <c r="M359" i="28"/>
  <c r="M355" i="28"/>
  <c r="M351" i="28"/>
  <c r="M347" i="28"/>
  <c r="M343" i="28"/>
  <c r="M335" i="28"/>
  <c r="M324" i="28"/>
  <c r="M313" i="28"/>
  <c r="M303" i="28"/>
  <c r="M292" i="28"/>
  <c r="M281" i="28"/>
  <c r="M271" i="28"/>
  <c r="M260" i="28"/>
  <c r="M249" i="28"/>
  <c r="M239" i="28"/>
  <c r="M228" i="28"/>
  <c r="M217" i="28"/>
  <c r="M207" i="28"/>
  <c r="M196" i="28"/>
  <c r="M185" i="28"/>
  <c r="M175" i="28"/>
  <c r="M164" i="28"/>
  <c r="M153" i="28"/>
  <c r="M143" i="28"/>
  <c r="M132" i="28"/>
  <c r="M121" i="28"/>
  <c r="M111" i="28"/>
  <c r="M100" i="28"/>
  <c r="M89" i="28"/>
  <c r="M79" i="28"/>
  <c r="M68" i="28"/>
  <c r="M57" i="28"/>
  <c r="M47" i="28"/>
  <c r="M36" i="28"/>
  <c r="M25" i="28"/>
  <c r="M15" i="28"/>
  <c r="M4" i="28"/>
  <c r="L555" i="28"/>
  <c r="L551" i="28"/>
  <c r="L547" i="28"/>
  <c r="L543" i="28"/>
  <c r="L539" i="28"/>
  <c r="L535" i="28"/>
  <c r="L531" i="28"/>
  <c r="L527" i="28"/>
  <c r="L523" i="28"/>
  <c r="L519" i="28"/>
  <c r="L515" i="28"/>
  <c r="L511" i="28"/>
  <c r="L507" i="28"/>
  <c r="L503" i="28"/>
  <c r="L499" i="28"/>
  <c r="L495" i="28"/>
  <c r="L491" i="28"/>
  <c r="L487" i="28"/>
  <c r="L483" i="28"/>
  <c r="L479" i="28"/>
  <c r="L475" i="28"/>
  <c r="L471" i="28"/>
  <c r="L467" i="28"/>
  <c r="L463" i="28"/>
  <c r="L459" i="28"/>
  <c r="L455" i="28"/>
  <c r="L451" i="28"/>
  <c r="L447" i="28"/>
  <c r="L443" i="28"/>
  <c r="L439" i="28"/>
  <c r="L435" i="28"/>
  <c r="L431" i="28"/>
  <c r="L427" i="28"/>
  <c r="L423" i="28"/>
  <c r="L419" i="28"/>
  <c r="L415" i="28"/>
  <c r="L411" i="28"/>
  <c r="L407" i="28"/>
  <c r="L403" i="28"/>
  <c r="L399" i="28"/>
  <c r="L395" i="28"/>
  <c r="L391" i="28"/>
  <c r="L387" i="28"/>
  <c r="L383" i="28"/>
  <c r="L379" i="28"/>
  <c r="L375" i="28"/>
  <c r="L371" i="28"/>
  <c r="L367" i="28"/>
  <c r="L363" i="28"/>
  <c r="L359" i="28"/>
  <c r="L355" i="28"/>
  <c r="L351" i="28"/>
  <c r="L347" i="28"/>
  <c r="L343" i="28"/>
  <c r="M333" i="28"/>
  <c r="M323" i="28"/>
  <c r="M312" i="28"/>
  <c r="M301" i="28"/>
  <c r="M291" i="28"/>
  <c r="M280" i="28"/>
  <c r="M269" i="28"/>
  <c r="M259" i="28"/>
  <c r="M248" i="28"/>
  <c r="M237" i="28"/>
  <c r="M227" i="28"/>
  <c r="M216" i="28"/>
  <c r="M205" i="28"/>
  <c r="M195" i="28"/>
  <c r="M184" i="28"/>
  <c r="M173" i="28"/>
  <c r="M163" i="28"/>
  <c r="M152" i="28"/>
  <c r="M141" i="28"/>
  <c r="M131" i="28"/>
  <c r="M120" i="28"/>
  <c r="M109" i="28"/>
  <c r="M99" i="28"/>
  <c r="M88" i="28"/>
  <c r="M77" i="28"/>
  <c r="M67" i="28"/>
  <c r="M56" i="28"/>
  <c r="M45" i="28"/>
  <c r="M35" i="28"/>
  <c r="M24" i="28"/>
  <c r="M13" i="28"/>
  <c r="M3" i="28"/>
  <c r="L554" i="28"/>
  <c r="L550" i="28"/>
  <c r="L546" i="28"/>
  <c r="L542" i="28"/>
  <c r="L538" i="28"/>
  <c r="L534" i="28"/>
  <c r="L530" i="28"/>
  <c r="L526" i="28"/>
  <c r="L522" i="28"/>
  <c r="L518" i="28"/>
  <c r="L514" i="28"/>
  <c r="L510" i="28"/>
  <c r="L506" i="28"/>
  <c r="L502" i="28"/>
  <c r="L498" i="28"/>
  <c r="L494" i="28"/>
  <c r="L490" i="28"/>
  <c r="L486" i="28"/>
  <c r="L482" i="28"/>
  <c r="L478" i="28"/>
  <c r="L474" i="28"/>
  <c r="L470" i="28"/>
  <c r="L466" i="28"/>
  <c r="L462" i="28"/>
  <c r="L458" i="28"/>
  <c r="L454" i="28"/>
  <c r="L450" i="28"/>
  <c r="L446" i="28"/>
  <c r="L442" i="28"/>
  <c r="L438" i="28"/>
  <c r="L434" i="28"/>
  <c r="L430" i="28"/>
  <c r="L426" i="28"/>
  <c r="L422" i="28"/>
  <c r="L418" i="28"/>
  <c r="L414" i="28"/>
  <c r="L410" i="28"/>
  <c r="L406" i="28"/>
  <c r="L402" i="28"/>
  <c r="L398" i="28"/>
  <c r="L394" i="28"/>
  <c r="L390" i="28"/>
  <c r="L386" i="28"/>
  <c r="L382" i="28"/>
  <c r="L378" i="28"/>
  <c r="L374" i="28"/>
  <c r="L370" i="28"/>
  <c r="L366" i="28"/>
  <c r="L362" i="28"/>
  <c r="L358" i="28"/>
  <c r="L354" i="28"/>
  <c r="L350" i="28"/>
  <c r="L346" i="28"/>
  <c r="M340" i="28"/>
  <c r="M331" i="28"/>
  <c r="M320" i="28"/>
  <c r="M309" i="28"/>
  <c r="M299" i="28"/>
  <c r="M288" i="28"/>
  <c r="M277" i="28"/>
  <c r="M267" i="28"/>
  <c r="M256" i="28"/>
  <c r="M245" i="28"/>
  <c r="M235" i="28"/>
  <c r="M224" i="28"/>
  <c r="M213" i="28"/>
  <c r="M203" i="28"/>
  <c r="M192" i="28"/>
  <c r="M181" i="28"/>
  <c r="M171" i="28"/>
  <c r="M160" i="28"/>
  <c r="M149" i="28"/>
  <c r="M139" i="28"/>
  <c r="M128" i="28"/>
  <c r="M117" i="28"/>
  <c r="M107" i="28"/>
  <c r="M96" i="28"/>
  <c r="M85" i="28"/>
  <c r="M75" i="28"/>
  <c r="M64" i="28"/>
  <c r="M53" i="28"/>
  <c r="M43" i="28"/>
  <c r="M32" i="28"/>
  <c r="M21" i="28"/>
  <c r="M11" i="28"/>
  <c r="M553" i="28"/>
  <c r="M549" i="28"/>
  <c r="M545" i="28"/>
  <c r="M541" i="28"/>
  <c r="M537" i="28"/>
  <c r="M533" i="28"/>
  <c r="M529" i="28"/>
  <c r="M525" i="28"/>
  <c r="M521" i="28"/>
  <c r="M517" i="28"/>
  <c r="M513" i="28"/>
  <c r="M509" i="28"/>
  <c r="M505" i="28"/>
  <c r="M501" i="28"/>
  <c r="M497" i="28"/>
  <c r="M493" i="28"/>
  <c r="M489" i="28"/>
  <c r="M485" i="28"/>
  <c r="M481" i="28"/>
  <c r="M477" i="28"/>
  <c r="M473" i="28"/>
  <c r="M469" i="28"/>
  <c r="M465" i="28"/>
  <c r="M461" i="28"/>
  <c r="M457" i="28"/>
  <c r="M453" i="28"/>
  <c r="M449" i="28"/>
  <c r="M445" i="28"/>
  <c r="M441" i="28"/>
  <c r="M437" i="28"/>
  <c r="M433" i="28"/>
  <c r="M429" i="28"/>
  <c r="M425" i="28"/>
  <c r="M421" i="28"/>
  <c r="M417" i="28"/>
  <c r="M413" i="28"/>
  <c r="M409" i="28"/>
  <c r="M405" i="28"/>
  <c r="M401" i="28"/>
  <c r="M397" i="28"/>
  <c r="M393" i="28"/>
  <c r="M389" i="28"/>
  <c r="M385" i="28"/>
  <c r="M381" i="28"/>
  <c r="M377" i="28"/>
  <c r="M373" i="28"/>
  <c r="M369" i="28"/>
  <c r="M365" i="28"/>
  <c r="M361" i="28"/>
  <c r="M357" i="28"/>
  <c r="M353" i="28"/>
  <c r="M349" i="28"/>
  <c r="M345" i="28"/>
  <c r="M339" i="28"/>
  <c r="M329" i="28"/>
  <c r="M319" i="28"/>
  <c r="M308" i="28"/>
  <c r="M297" i="28"/>
  <c r="M287" i="28"/>
  <c r="M276" i="28"/>
  <c r="M265" i="28"/>
  <c r="M255" i="28"/>
  <c r="M244" i="28"/>
  <c r="M233" i="28"/>
  <c r="M223" i="28"/>
  <c r="M212" i="28"/>
  <c r="M201" i="28"/>
  <c r="M191" i="28"/>
  <c r="M180" i="28"/>
  <c r="M169" i="28"/>
  <c r="M159" i="28"/>
  <c r="M148" i="28"/>
  <c r="M137" i="28"/>
  <c r="M127" i="28"/>
  <c r="M116" i="28"/>
  <c r="M105" i="28"/>
  <c r="M95" i="28"/>
  <c r="M84" i="28"/>
  <c r="M73" i="28"/>
  <c r="M63" i="28"/>
  <c r="M52" i="28"/>
  <c r="M41" i="28"/>
  <c r="M31" i="28"/>
  <c r="M20" i="28"/>
  <c r="M9" i="28"/>
  <c r="L553" i="28"/>
  <c r="L549" i="28"/>
  <c r="L545" i="28"/>
  <c r="L541" i="28"/>
  <c r="L537" i="28"/>
  <c r="L533" i="28"/>
  <c r="L529" i="28"/>
  <c r="L525" i="28"/>
  <c r="L521" i="28"/>
  <c r="L517" i="28"/>
  <c r="L513" i="28"/>
  <c r="L509" i="28"/>
  <c r="L505" i="28"/>
  <c r="L501" i="28"/>
  <c r="L497" i="28"/>
  <c r="L493" i="28"/>
  <c r="L489" i="28"/>
  <c r="L485" i="28"/>
  <c r="L481" i="28"/>
  <c r="L477" i="28"/>
  <c r="L473" i="28"/>
  <c r="L469" i="28"/>
  <c r="L465" i="28"/>
  <c r="L461" i="28"/>
  <c r="L457" i="28"/>
  <c r="L453" i="28"/>
  <c r="L449" i="28"/>
  <c r="L445" i="28"/>
  <c r="L441" i="28"/>
  <c r="L437" i="28"/>
  <c r="L433" i="28"/>
  <c r="L429" i="28"/>
  <c r="L425" i="28"/>
  <c r="L421" i="28"/>
  <c r="L417" i="28"/>
  <c r="L413" i="28"/>
  <c r="L409" i="28"/>
  <c r="L405" i="28"/>
  <c r="L401" i="28"/>
  <c r="L397" i="28"/>
  <c r="L393" i="28"/>
  <c r="L389" i="28"/>
  <c r="L385" i="28"/>
  <c r="L381" i="28"/>
  <c r="L377" i="28"/>
  <c r="L373" i="28"/>
  <c r="L369" i="28"/>
  <c r="L365" i="28"/>
  <c r="L361" i="28"/>
  <c r="L357" i="28"/>
  <c r="L353" i="28"/>
  <c r="L349" i="28"/>
  <c r="L345" i="28"/>
  <c r="L339" i="28"/>
  <c r="M328" i="28"/>
  <c r="M317" i="28"/>
  <c r="M307" i="28"/>
  <c r="M296" i="28"/>
  <c r="M285" i="28"/>
  <c r="M275" i="28"/>
  <c r="M264" i="28"/>
  <c r="M253" i="28"/>
  <c r="M243" i="28"/>
  <c r="M232" i="28"/>
  <c r="M221" i="28"/>
  <c r="M211" i="28"/>
  <c r="M200" i="28"/>
  <c r="M189" i="28"/>
  <c r="M179" i="28"/>
  <c r="M168" i="28"/>
  <c r="M157" i="28"/>
  <c r="M147" i="28"/>
  <c r="M136" i="28"/>
  <c r="M125" i="28"/>
  <c r="M115" i="28"/>
  <c r="M104" i="28"/>
  <c r="M93" i="28"/>
  <c r="M83" i="28"/>
  <c r="M72" i="28"/>
  <c r="M61" i="28"/>
  <c r="M51" i="28"/>
  <c r="M40" i="28"/>
  <c r="M29" i="28"/>
  <c r="M19" i="28"/>
  <c r="M8" i="28"/>
  <c r="U672" i="28"/>
  <c r="U668" i="28"/>
  <c r="U664" i="28"/>
  <c r="U660" i="28"/>
  <c r="U656" i="28"/>
  <c r="U652" i="28"/>
  <c r="U648" i="28"/>
  <c r="U644" i="28"/>
  <c r="U640" i="28"/>
  <c r="U636" i="28"/>
  <c r="U632" i="28"/>
  <c r="U628" i="28"/>
  <c r="U624" i="28"/>
  <c r="U620" i="28"/>
  <c r="U616" i="28"/>
  <c r="U612" i="28"/>
  <c r="U608" i="28"/>
  <c r="U604" i="28"/>
  <c r="U600" i="28"/>
  <c r="U596" i="28"/>
  <c r="U592" i="28"/>
  <c r="U588" i="28"/>
  <c r="U584" i="28"/>
  <c r="U580" i="28"/>
  <c r="U576" i="28"/>
  <c r="U572" i="28"/>
  <c r="U568" i="28"/>
  <c r="U564" i="28"/>
  <c r="U560" i="28"/>
  <c r="U556" i="28"/>
  <c r="U552" i="28"/>
  <c r="U548" i="28"/>
  <c r="U544" i="28"/>
  <c r="U540" i="28"/>
  <c r="U536" i="28"/>
  <c r="U532" i="28"/>
  <c r="U528" i="28"/>
  <c r="U524" i="28"/>
  <c r="U520" i="28"/>
  <c r="U516" i="28"/>
  <c r="U512" i="28"/>
  <c r="U508" i="28"/>
  <c r="U503" i="28"/>
  <c r="U495" i="28"/>
  <c r="U487" i="28"/>
  <c r="U479" i="28"/>
  <c r="U471" i="28"/>
  <c r="U463" i="28"/>
  <c r="U455" i="28"/>
  <c r="U447" i="28"/>
  <c r="U439" i="28"/>
  <c r="U431" i="28"/>
  <c r="U423" i="28"/>
  <c r="U415" i="28"/>
  <c r="U407" i="28"/>
  <c r="U399" i="28"/>
  <c r="U391" i="28"/>
  <c r="U383" i="28"/>
  <c r="U375" i="28"/>
  <c r="U367" i="28"/>
  <c r="U359" i="28"/>
  <c r="U351" i="28"/>
  <c r="U343" i="28"/>
  <c r="U332" i="28"/>
  <c r="V319" i="28"/>
  <c r="V305" i="28"/>
  <c r="U293" i="28"/>
  <c r="V280" i="28"/>
  <c r="U268" i="28"/>
  <c r="V255" i="28"/>
  <c r="V241" i="28"/>
  <c r="U229" i="28"/>
  <c r="V216" i="28"/>
  <c r="V200" i="28"/>
  <c r="V184" i="28"/>
  <c r="V168" i="28"/>
  <c r="V152" i="28"/>
  <c r="V136" i="28"/>
  <c r="V120" i="28"/>
  <c r="V104" i="28"/>
  <c r="V88" i="28"/>
  <c r="V72" i="28"/>
  <c r="V56" i="28"/>
  <c r="U40" i="28"/>
  <c r="V17" i="28"/>
  <c r="V671" i="28"/>
  <c r="V667" i="28"/>
  <c r="V663" i="28"/>
  <c r="V659" i="28"/>
  <c r="V655" i="28"/>
  <c r="V651" i="28"/>
  <c r="V647" i="28"/>
  <c r="V643" i="28"/>
  <c r="V639" i="28"/>
  <c r="V635" i="28"/>
  <c r="V631" i="28"/>
  <c r="V627" i="28"/>
  <c r="V623" i="28"/>
  <c r="V619" i="28"/>
  <c r="V615" i="28"/>
  <c r="V611" i="28"/>
  <c r="V607" i="28"/>
  <c r="V603" i="28"/>
  <c r="V599" i="28"/>
  <c r="V595" i="28"/>
  <c r="V591" i="28"/>
  <c r="V587" i="28"/>
  <c r="V583" i="28"/>
  <c r="V579" i="28"/>
  <c r="V575" i="28"/>
  <c r="V571" i="28"/>
  <c r="V567" i="28"/>
  <c r="V563" i="28"/>
  <c r="V559" i="28"/>
  <c r="V555" i="28"/>
  <c r="V551" i="28"/>
  <c r="V547" i="28"/>
  <c r="V543" i="28"/>
  <c r="V539" i="28"/>
  <c r="V535" i="28"/>
  <c r="V531" i="28"/>
  <c r="V527" i="28"/>
  <c r="V523" i="28"/>
  <c r="V519" i="28"/>
  <c r="V515" i="28"/>
  <c r="V511" i="28"/>
  <c r="V507" i="28"/>
  <c r="U501" i="28"/>
  <c r="U493" i="28"/>
  <c r="U485" i="28"/>
  <c r="U477" i="28"/>
  <c r="U469" i="28"/>
  <c r="U461" i="28"/>
  <c r="U453" i="28"/>
  <c r="U445" i="28"/>
  <c r="U437" i="28"/>
  <c r="U429" i="28"/>
  <c r="U421" i="28"/>
  <c r="U413" i="28"/>
  <c r="U405" i="28"/>
  <c r="U397" i="28"/>
  <c r="U389" i="28"/>
  <c r="U381" i="28"/>
  <c r="U373" i="28"/>
  <c r="U365" i="28"/>
  <c r="U357" i="28"/>
  <c r="U349" i="28"/>
  <c r="U341" i="28"/>
  <c r="V328" i="28"/>
  <c r="U316" i="28"/>
  <c r="V303" i="28"/>
  <c r="V289" i="28"/>
  <c r="U277" i="28"/>
  <c r="V264" i="28"/>
  <c r="U252" i="28"/>
  <c r="V239" i="28"/>
  <c r="V225" i="28"/>
  <c r="V212" i="28"/>
  <c r="V196" i="28"/>
  <c r="V180" i="28"/>
  <c r="V164" i="28"/>
  <c r="V148" i="28"/>
  <c r="V132" i="28"/>
  <c r="V116" i="28"/>
  <c r="V100" i="28"/>
  <c r="V84" i="28"/>
  <c r="V68" i="28"/>
  <c r="V52" i="28"/>
  <c r="V33" i="28"/>
  <c r="U13" i="28"/>
  <c r="U671" i="28"/>
  <c r="U667" i="28"/>
  <c r="U663" i="28"/>
  <c r="U659" i="28"/>
  <c r="U655" i="28"/>
  <c r="U651" i="28"/>
  <c r="U647" i="28"/>
  <c r="U643" i="28"/>
  <c r="U639" i="28"/>
  <c r="U635" i="28"/>
  <c r="U631" i="28"/>
  <c r="U627" i="28"/>
  <c r="U623" i="28"/>
  <c r="U619" i="28"/>
  <c r="U615" i="28"/>
  <c r="U611" i="28"/>
  <c r="U607" i="28"/>
  <c r="U603" i="28"/>
  <c r="U599" i="28"/>
  <c r="U595" i="28"/>
  <c r="U591" i="28"/>
  <c r="U587" i="28"/>
  <c r="U583" i="28"/>
  <c r="U579" i="28"/>
  <c r="U575" i="28"/>
  <c r="U571" i="28"/>
  <c r="U567" i="28"/>
  <c r="U563" i="28"/>
  <c r="U559" i="28"/>
  <c r="U555" i="28"/>
  <c r="U551" i="28"/>
  <c r="U547" i="28"/>
  <c r="U543" i="28"/>
  <c r="U539" i="28"/>
  <c r="U535" i="28"/>
  <c r="U531" i="28"/>
  <c r="U527" i="28"/>
  <c r="U523" i="28"/>
  <c r="U519" i="28"/>
  <c r="U515" i="28"/>
  <c r="U511" i="28"/>
  <c r="U507" i="28"/>
  <c r="V500" i="28"/>
  <c r="V492" i="28"/>
  <c r="V484" i="28"/>
  <c r="V476" i="28"/>
  <c r="V468" i="28"/>
  <c r="V460" i="28"/>
  <c r="V452" i="28"/>
  <c r="V444" i="28"/>
  <c r="V436" i="28"/>
  <c r="V428" i="28"/>
  <c r="V420" i="28"/>
  <c r="V412" i="28"/>
  <c r="V404" i="28"/>
  <c r="V396" i="28"/>
  <c r="V388" i="28"/>
  <c r="V380" i="28"/>
  <c r="V372" i="28"/>
  <c r="V364" i="28"/>
  <c r="V356" i="28"/>
  <c r="V348" i="28"/>
  <c r="V340" i="28"/>
  <c r="U328" i="28"/>
  <c r="V315" i="28"/>
  <c r="V301" i="28"/>
  <c r="U289" i="28"/>
  <c r="V276" i="28"/>
  <c r="U264" i="28"/>
  <c r="V251" i="28"/>
  <c r="V237" i="28"/>
  <c r="U225" i="28"/>
  <c r="U212" i="28"/>
  <c r="U196" i="28"/>
  <c r="U180" i="28"/>
  <c r="U164" i="28"/>
  <c r="U148" i="28"/>
  <c r="U132" i="28"/>
  <c r="U116" i="28"/>
  <c r="U100" i="28"/>
  <c r="U84" i="28"/>
  <c r="U68" i="28"/>
  <c r="U52" i="28"/>
  <c r="U33" i="28"/>
  <c r="U12" i="28"/>
  <c r="V658" i="28"/>
  <c r="V654" i="28"/>
  <c r="V650" i="28"/>
  <c r="V646" i="28"/>
  <c r="V642" i="28"/>
  <c r="V638" i="28"/>
  <c r="V634" i="28"/>
  <c r="V630" i="28"/>
  <c r="V626" i="28"/>
  <c r="V622" i="28"/>
  <c r="V618" i="28"/>
  <c r="V614" i="28"/>
  <c r="V610" i="28"/>
  <c r="V606" i="28"/>
  <c r="V602" i="28"/>
  <c r="V598" i="28"/>
  <c r="V594" i="28"/>
  <c r="V590" i="28"/>
  <c r="V586" i="28"/>
  <c r="V582" i="28"/>
  <c r="V578" i="28"/>
  <c r="V574" i="28"/>
  <c r="V570" i="28"/>
  <c r="V566" i="28"/>
  <c r="V562" i="28"/>
  <c r="V558" i="28"/>
  <c r="V554" i="28"/>
  <c r="V550" i="28"/>
  <c r="V546" i="28"/>
  <c r="V542" i="28"/>
  <c r="V538" i="28"/>
  <c r="V534" i="28"/>
  <c r="V530" i="28"/>
  <c r="V526" i="28"/>
  <c r="V522" i="28"/>
  <c r="V518" i="28"/>
  <c r="V514" i="28"/>
  <c r="V510" i="28"/>
  <c r="V506" i="28"/>
  <c r="V499" i="28"/>
  <c r="V491" i="28"/>
  <c r="V483" i="28"/>
  <c r="V475" i="28"/>
  <c r="V467" i="28"/>
  <c r="V459" i="28"/>
  <c r="V451" i="28"/>
  <c r="V443" i="28"/>
  <c r="V435" i="28"/>
  <c r="V427" i="28"/>
  <c r="V419" i="28"/>
  <c r="V411" i="28"/>
  <c r="V403" i="28"/>
  <c r="V395" i="28"/>
  <c r="V387" i="28"/>
  <c r="V379" i="28"/>
  <c r="V371" i="28"/>
  <c r="V363" i="28"/>
  <c r="V355" i="28"/>
  <c r="V347" i="28"/>
  <c r="V339" i="28"/>
  <c r="V325" i="28"/>
  <c r="U313" i="28"/>
  <c r="V300" i="28"/>
  <c r="U288" i="28"/>
  <c r="V275" i="28"/>
  <c r="V261" i="28"/>
  <c r="U249" i="28"/>
  <c r="V236" i="28"/>
  <c r="U224" i="28"/>
  <c r="U209" i="28"/>
  <c r="U193" i="28"/>
  <c r="U177" i="28"/>
  <c r="U161" i="28"/>
  <c r="U145" i="28"/>
  <c r="U129" i="28"/>
  <c r="U113" i="28"/>
  <c r="U97" i="28"/>
  <c r="U81" i="28"/>
  <c r="U65" i="28"/>
  <c r="U49" i="28"/>
  <c r="V29" i="28"/>
  <c r="U9" i="28"/>
  <c r="U670" i="28"/>
  <c r="U666" i="28"/>
  <c r="U662" i="28"/>
  <c r="U658" i="28"/>
  <c r="U654" i="28"/>
  <c r="U650" i="28"/>
  <c r="U646" i="28"/>
  <c r="U642" i="28"/>
  <c r="U638" i="28"/>
  <c r="U634" i="28"/>
  <c r="U630" i="28"/>
  <c r="U626" i="28"/>
  <c r="U622" i="28"/>
  <c r="U618" i="28"/>
  <c r="U614" i="28"/>
  <c r="U610" i="28"/>
  <c r="U606" i="28"/>
  <c r="U602" i="28"/>
  <c r="U598" i="28"/>
  <c r="U594" i="28"/>
  <c r="U590" i="28"/>
  <c r="U586" i="28"/>
  <c r="U582" i="28"/>
  <c r="U578" i="28"/>
  <c r="U574" i="28"/>
  <c r="U570" i="28"/>
  <c r="U566" i="28"/>
  <c r="U562" i="28"/>
  <c r="U558" i="28"/>
  <c r="U554" i="28"/>
  <c r="U550" i="28"/>
  <c r="U546" i="28"/>
  <c r="U542" i="28"/>
  <c r="U538" i="28"/>
  <c r="U534" i="28"/>
  <c r="U530" i="28"/>
  <c r="U526" i="28"/>
  <c r="U522" i="28"/>
  <c r="U518" i="28"/>
  <c r="U514" i="28"/>
  <c r="U510" i="28"/>
  <c r="U505" i="28"/>
  <c r="U499" i="28"/>
  <c r="U491" i="28"/>
  <c r="U483" i="28"/>
  <c r="U475" i="28"/>
  <c r="U467" i="28"/>
  <c r="U459" i="28"/>
  <c r="U451" i="28"/>
  <c r="U443" i="28"/>
  <c r="U435" i="28"/>
  <c r="U427" i="28"/>
  <c r="U419" i="28"/>
  <c r="U411" i="28"/>
  <c r="U403" i="28"/>
  <c r="U395" i="28"/>
  <c r="U387" i="28"/>
  <c r="U379" i="28"/>
  <c r="U371" i="28"/>
  <c r="U363" i="28"/>
  <c r="U355" i="28"/>
  <c r="U347" i="28"/>
  <c r="V337" i="28"/>
  <c r="U325" i="28"/>
  <c r="V312" i="28"/>
  <c r="U300" i="28"/>
  <c r="V287" i="28"/>
  <c r="V273" i="28"/>
  <c r="U261" i="28"/>
  <c r="V248" i="28"/>
  <c r="U236" i="28"/>
  <c r="V223" i="28"/>
  <c r="V208" i="28"/>
  <c r="V192" i="28"/>
  <c r="V176" i="28"/>
  <c r="V160" i="28"/>
  <c r="V144" i="28"/>
  <c r="V128" i="28"/>
  <c r="V112" i="28"/>
  <c r="V96" i="28"/>
  <c r="V80" i="28"/>
  <c r="V64" i="28"/>
  <c r="V48" i="28"/>
  <c r="U29" i="28"/>
  <c r="U8" i="28"/>
  <c r="S4" i="28"/>
  <c r="S12" i="28"/>
  <c r="S20" i="28"/>
  <c r="S28" i="28"/>
  <c r="S36" i="28"/>
  <c r="S44" i="28"/>
  <c r="S52" i="28"/>
  <c r="S60" i="28"/>
  <c r="S68" i="28"/>
  <c r="S76" i="28"/>
  <c r="S84" i="28"/>
  <c r="S92" i="28"/>
  <c r="S100" i="28"/>
  <c r="S108" i="28"/>
  <c r="S116" i="28"/>
  <c r="S124" i="28"/>
  <c r="S132" i="28"/>
  <c r="S140" i="28"/>
  <c r="S148" i="28"/>
  <c r="S156" i="28"/>
  <c r="S164" i="28"/>
  <c r="S172" i="28"/>
  <c r="S180" i="28"/>
  <c r="S188" i="28"/>
  <c r="S196" i="28"/>
  <c r="S204" i="28"/>
  <c r="S212" i="28"/>
  <c r="S220" i="28"/>
  <c r="S228" i="28"/>
  <c r="S236" i="28"/>
  <c r="S244" i="28"/>
  <c r="S252" i="28"/>
  <c r="S260" i="28"/>
  <c r="S268" i="28"/>
  <c r="S276" i="28"/>
  <c r="S284" i="28"/>
  <c r="S292" i="28"/>
  <c r="S300" i="28"/>
  <c r="S308" i="28"/>
  <c r="S316" i="28"/>
  <c r="S324" i="28"/>
  <c r="S332" i="28"/>
  <c r="S340" i="28"/>
  <c r="S348" i="28"/>
  <c r="S356" i="28"/>
  <c r="S364" i="28"/>
  <c r="S372" i="28"/>
  <c r="S380" i="28"/>
  <c r="S388" i="28"/>
  <c r="S396" i="28"/>
  <c r="S404" i="28"/>
  <c r="S412" i="28"/>
  <c r="S420" i="28"/>
  <c r="S428" i="28"/>
  <c r="S436" i="28"/>
  <c r="S444" i="28"/>
  <c r="S452" i="28"/>
  <c r="S460" i="28"/>
  <c r="S468" i="28"/>
  <c r="S476" i="28"/>
  <c r="S484" i="28"/>
  <c r="S492" i="28"/>
  <c r="S500" i="28"/>
  <c r="S508" i="28"/>
  <c r="S516" i="28"/>
  <c r="S524" i="28"/>
  <c r="S532" i="28"/>
  <c r="S540" i="28"/>
  <c r="S548" i="28"/>
  <c r="S556" i="28"/>
  <c r="S564" i="28"/>
  <c r="S572" i="28"/>
  <c r="S580" i="28"/>
  <c r="S588" i="28"/>
  <c r="S596" i="28"/>
  <c r="S604" i="28"/>
  <c r="S612" i="28"/>
  <c r="S620" i="28"/>
  <c r="S628" i="28"/>
  <c r="S636" i="28"/>
  <c r="S644" i="28"/>
  <c r="S652" i="28"/>
  <c r="S660" i="28"/>
  <c r="S668" i="28"/>
  <c r="S676" i="28"/>
  <c r="S684" i="28"/>
  <c r="S5" i="28"/>
  <c r="S13" i="28"/>
  <c r="S21" i="28"/>
  <c r="S29" i="28"/>
  <c r="S37" i="28"/>
  <c r="S45" i="28"/>
  <c r="S53" i="28"/>
  <c r="S61" i="28"/>
  <c r="S69" i="28"/>
  <c r="S77" i="28"/>
  <c r="S85" i="28"/>
  <c r="S93" i="28"/>
  <c r="S101" i="28"/>
  <c r="S109" i="28"/>
  <c r="S117" i="28"/>
  <c r="S125" i="28"/>
  <c r="S133" i="28"/>
  <c r="S141" i="28"/>
  <c r="S149" i="28"/>
  <c r="S157" i="28"/>
  <c r="S165" i="28"/>
  <c r="S173" i="28"/>
  <c r="S181" i="28"/>
  <c r="S189" i="28"/>
  <c r="S197" i="28"/>
  <c r="S205" i="28"/>
  <c r="S213" i="28"/>
  <c r="S221" i="28"/>
  <c r="S229" i="28"/>
  <c r="S237" i="28"/>
  <c r="S245" i="28"/>
  <c r="S253" i="28"/>
  <c r="S261" i="28"/>
  <c r="S269" i="28"/>
  <c r="S277" i="28"/>
  <c r="S285" i="28"/>
  <c r="S293" i="28"/>
  <c r="S301" i="28"/>
  <c r="S309" i="28"/>
  <c r="S317" i="28"/>
  <c r="S325" i="28"/>
  <c r="S333" i="28"/>
  <c r="S341" i="28"/>
  <c r="S349" i="28"/>
  <c r="S357" i="28"/>
  <c r="S365" i="28"/>
  <c r="S373" i="28"/>
  <c r="S381" i="28"/>
  <c r="S389" i="28"/>
  <c r="S397" i="28"/>
  <c r="S405" i="28"/>
  <c r="S413" i="28"/>
  <c r="S421" i="28"/>
  <c r="S429" i="28"/>
  <c r="S437" i="28"/>
  <c r="S445" i="28"/>
  <c r="S453" i="28"/>
  <c r="S461" i="28"/>
  <c r="S469" i="28"/>
  <c r="S477" i="28"/>
  <c r="S485" i="28"/>
  <c r="S493" i="28"/>
  <c r="S501" i="28"/>
  <c r="S509" i="28"/>
  <c r="S517" i="28"/>
  <c r="S525" i="28"/>
  <c r="S533" i="28"/>
  <c r="S541" i="28"/>
  <c r="S549" i="28"/>
  <c r="S557" i="28"/>
  <c r="S565" i="28"/>
  <c r="S573" i="28"/>
  <c r="S581" i="28"/>
  <c r="S589" i="28"/>
  <c r="S597" i="28"/>
  <c r="S605" i="28"/>
  <c r="S613" i="28"/>
  <c r="S621" i="28"/>
  <c r="S629" i="28"/>
  <c r="S637" i="28"/>
  <c r="S645" i="28"/>
  <c r="S653" i="28"/>
  <c r="S661" i="28"/>
  <c r="S669" i="28"/>
  <c r="S677" i="28"/>
  <c r="S685" i="28"/>
  <c r="S6" i="28"/>
  <c r="S14" i="28"/>
  <c r="S22" i="28"/>
  <c r="S30" i="28"/>
  <c r="S38" i="28"/>
  <c r="S46" i="28"/>
  <c r="S54" i="28"/>
  <c r="S62" i="28"/>
  <c r="S70" i="28"/>
  <c r="S78" i="28"/>
  <c r="S86" i="28"/>
  <c r="S94" i="28"/>
  <c r="S102" i="28"/>
  <c r="S110" i="28"/>
  <c r="S118" i="28"/>
  <c r="S126" i="28"/>
  <c r="S134" i="28"/>
  <c r="S142" i="28"/>
  <c r="S150" i="28"/>
  <c r="S158" i="28"/>
  <c r="S166" i="28"/>
  <c r="S174" i="28"/>
  <c r="S182" i="28"/>
  <c r="S190" i="28"/>
  <c r="S198" i="28"/>
  <c r="S206" i="28"/>
  <c r="S214" i="28"/>
  <c r="S222" i="28"/>
  <c r="S230" i="28"/>
  <c r="S238" i="28"/>
  <c r="S246" i="28"/>
  <c r="S254" i="28"/>
  <c r="S262" i="28"/>
  <c r="S270" i="28"/>
  <c r="S278" i="28"/>
  <c r="S286" i="28"/>
  <c r="S294" i="28"/>
  <c r="S302" i="28"/>
  <c r="S310" i="28"/>
  <c r="S318" i="28"/>
  <c r="S326" i="28"/>
  <c r="S334" i="28"/>
  <c r="S342" i="28"/>
  <c r="S350" i="28"/>
  <c r="S358" i="28"/>
  <c r="S366" i="28"/>
  <c r="S374" i="28"/>
  <c r="S382" i="28"/>
  <c r="S390" i="28"/>
  <c r="S398" i="28"/>
  <c r="S406" i="28"/>
  <c r="S414" i="28"/>
  <c r="S422" i="28"/>
  <c r="S430" i="28"/>
  <c r="S438" i="28"/>
  <c r="S446" i="28"/>
  <c r="S454" i="28"/>
  <c r="S462" i="28"/>
  <c r="S470" i="28"/>
  <c r="S478" i="28"/>
  <c r="S486" i="28"/>
  <c r="S494" i="28"/>
  <c r="S502" i="28"/>
  <c r="S510" i="28"/>
  <c r="S518" i="28"/>
  <c r="S526" i="28"/>
  <c r="S534" i="28"/>
  <c r="S542" i="28"/>
  <c r="S550" i="28"/>
  <c r="S558" i="28"/>
  <c r="S566" i="28"/>
  <c r="S574" i="28"/>
  <c r="S582" i="28"/>
  <c r="S590" i="28"/>
  <c r="S598" i="28"/>
  <c r="S606" i="28"/>
  <c r="S614" i="28"/>
  <c r="S622" i="28"/>
  <c r="S630" i="28"/>
  <c r="S638" i="28"/>
  <c r="S646" i="28"/>
  <c r="S654" i="28"/>
  <c r="S662" i="28"/>
  <c r="S670" i="28"/>
  <c r="S678" i="28"/>
  <c r="S7" i="28"/>
  <c r="S15" i="28"/>
  <c r="S23" i="28"/>
  <c r="S31" i="28"/>
  <c r="S39" i="28"/>
  <c r="S47" i="28"/>
  <c r="S55" i="28"/>
  <c r="S63" i="28"/>
  <c r="S71" i="28"/>
  <c r="S79" i="28"/>
  <c r="S87" i="28"/>
  <c r="S95" i="28"/>
  <c r="S103" i="28"/>
  <c r="S111" i="28"/>
  <c r="S119" i="28"/>
  <c r="S127" i="28"/>
  <c r="S135" i="28"/>
  <c r="S143" i="28"/>
  <c r="S151" i="28"/>
  <c r="S159" i="28"/>
  <c r="S167" i="28"/>
  <c r="S175" i="28"/>
  <c r="S183" i="28"/>
  <c r="S191" i="28"/>
  <c r="S199" i="28"/>
  <c r="S207" i="28"/>
  <c r="S215" i="28"/>
  <c r="S223" i="28"/>
  <c r="S231" i="28"/>
  <c r="S239" i="28"/>
  <c r="S247" i="28"/>
  <c r="S255" i="28"/>
  <c r="S263" i="28"/>
  <c r="S271" i="28"/>
  <c r="S279" i="28"/>
  <c r="S287" i="28"/>
  <c r="S295" i="28"/>
  <c r="S303" i="28"/>
  <c r="S311" i="28"/>
  <c r="S319" i="28"/>
  <c r="S327" i="28"/>
  <c r="S335" i="28"/>
  <c r="S343" i="28"/>
  <c r="S351" i="28"/>
  <c r="S359" i="28"/>
  <c r="S367" i="28"/>
  <c r="S375" i="28"/>
  <c r="S383" i="28"/>
  <c r="S391" i="28"/>
  <c r="S399" i="28"/>
  <c r="S407" i="28"/>
  <c r="S415" i="28"/>
  <c r="S423" i="28"/>
  <c r="S431" i="28"/>
  <c r="S439" i="28"/>
  <c r="S447" i="28"/>
  <c r="S455" i="28"/>
  <c r="S463" i="28"/>
  <c r="S471" i="28"/>
  <c r="S479" i="28"/>
  <c r="S487" i="28"/>
  <c r="S495" i="28"/>
  <c r="S503" i="28"/>
  <c r="S511" i="28"/>
  <c r="S519" i="28"/>
  <c r="S527" i="28"/>
  <c r="S535" i="28"/>
  <c r="S543" i="28"/>
  <c r="S551" i="28"/>
  <c r="S559" i="28"/>
  <c r="S567" i="28"/>
  <c r="S575" i="28"/>
  <c r="S583" i="28"/>
  <c r="S591" i="28"/>
  <c r="S599" i="28"/>
  <c r="S607" i="28"/>
  <c r="S615" i="28"/>
  <c r="S623" i="28"/>
  <c r="S631" i="28"/>
  <c r="S639" i="28"/>
  <c r="S647" i="28"/>
  <c r="S655" i="28"/>
  <c r="S663" i="28"/>
  <c r="S671" i="28"/>
  <c r="S679" i="28"/>
  <c r="S686" i="28"/>
  <c r="S672" i="28"/>
  <c r="S656" i="28"/>
  <c r="S640" i="28"/>
  <c r="S624" i="28"/>
  <c r="S608" i="28"/>
  <c r="S592" i="28"/>
  <c r="S576" i="28"/>
  <c r="S560" i="28"/>
  <c r="S544" i="28"/>
  <c r="S528" i="28"/>
  <c r="S512" i="28"/>
  <c r="S496" i="28"/>
  <c r="S480" i="28"/>
  <c r="S464" i="28"/>
  <c r="S448" i="28"/>
  <c r="S432" i="28"/>
  <c r="S416" i="28"/>
  <c r="S400" i="28"/>
  <c r="S384" i="28"/>
  <c r="S368" i="28"/>
  <c r="S352" i="28"/>
  <c r="S336" i="28"/>
  <c r="S320" i="28"/>
  <c r="S304" i="28"/>
  <c r="S288" i="28"/>
  <c r="S272" i="28"/>
  <c r="S256" i="28"/>
  <c r="S240" i="28"/>
  <c r="S224" i="28"/>
  <c r="S208" i="28"/>
  <c r="S192" i="28"/>
  <c r="S176" i="28"/>
  <c r="S160" i="28"/>
  <c r="S144" i="28"/>
  <c r="S128" i="28"/>
  <c r="S112" i="28"/>
  <c r="S96" i="28"/>
  <c r="S80" i="28"/>
  <c r="S64" i="28"/>
  <c r="S48" i="28"/>
  <c r="S32" i="28"/>
  <c r="S16" i="28"/>
  <c r="AU426" i="1"/>
  <c r="S692" i="28"/>
  <c r="S682" i="28"/>
  <c r="S666" i="28"/>
  <c r="S650" i="28"/>
  <c r="S634" i="28"/>
  <c r="S618" i="28"/>
  <c r="S602" i="28"/>
  <c r="S586" i="28"/>
  <c r="S570" i="28"/>
  <c r="S554" i="28"/>
  <c r="S538" i="28"/>
  <c r="S522" i="28"/>
  <c r="S506" i="28"/>
  <c r="S490" i="28"/>
  <c r="S474" i="28"/>
  <c r="S458" i="28"/>
  <c r="S442" i="28"/>
  <c r="S426" i="28"/>
  <c r="S410" i="28"/>
  <c r="S394" i="28"/>
  <c r="S378" i="28"/>
  <c r="S362" i="28"/>
  <c r="S346" i="28"/>
  <c r="S330" i="28"/>
  <c r="S314" i="28"/>
  <c r="S298" i="28"/>
  <c r="S282" i="28"/>
  <c r="S266" i="28"/>
  <c r="S250" i="28"/>
  <c r="S234" i="28"/>
  <c r="S218" i="28"/>
  <c r="S202" i="28"/>
  <c r="S186" i="28"/>
  <c r="S170" i="28"/>
  <c r="S154" i="28"/>
  <c r="S138" i="28"/>
  <c r="S122" i="28"/>
  <c r="S106" i="28"/>
  <c r="S90" i="28"/>
  <c r="S74" i="28"/>
  <c r="S58" i="28"/>
  <c r="S42" i="28"/>
  <c r="S26" i="28"/>
  <c r="S10" i="28"/>
  <c r="AU425" i="1"/>
  <c r="S691" i="28"/>
  <c r="S681" i="28"/>
  <c r="S665" i="28"/>
  <c r="S649" i="28"/>
  <c r="S633" i="28"/>
  <c r="S617" i="28"/>
  <c r="S601" i="28"/>
  <c r="S585" i="28"/>
  <c r="S569" i="28"/>
  <c r="S553" i="28"/>
  <c r="S537" i="28"/>
  <c r="S521" i="28"/>
  <c r="S505" i="28"/>
  <c r="S489" i="28"/>
  <c r="S473" i="28"/>
  <c r="S457" i="28"/>
  <c r="S441" i="28"/>
  <c r="S425" i="28"/>
  <c r="S409" i="28"/>
  <c r="S393" i="28"/>
  <c r="S377" i="28"/>
  <c r="S361" i="28"/>
  <c r="S345" i="28"/>
  <c r="S329" i="28"/>
  <c r="S313" i="28"/>
  <c r="S297" i="28"/>
  <c r="S281" i="28"/>
  <c r="S265" i="28"/>
  <c r="S249" i="28"/>
  <c r="S233" i="28"/>
  <c r="S217" i="28"/>
  <c r="S201" i="28"/>
  <c r="S185" i="28"/>
  <c r="S169" i="28"/>
  <c r="S153" i="28"/>
  <c r="S137" i="28"/>
  <c r="S121" i="28"/>
  <c r="S105" i="28"/>
  <c r="S89" i="28"/>
  <c r="S73" i="28"/>
  <c r="S57" i="28"/>
  <c r="S41" i="28"/>
  <c r="S25" i="28"/>
  <c r="S9" i="28"/>
  <c r="S690" i="28"/>
  <c r="S680" i="28"/>
  <c r="S664" i="28"/>
  <c r="S648" i="28"/>
  <c r="S632" i="28"/>
  <c r="S616" i="28"/>
  <c r="S600" i="28"/>
  <c r="S584" i="28"/>
  <c r="S568" i="28"/>
  <c r="S552" i="28"/>
  <c r="S536" i="28"/>
  <c r="S520" i="28"/>
  <c r="S504" i="28"/>
  <c r="S488" i="28"/>
  <c r="S472" i="28"/>
  <c r="S456" i="28"/>
  <c r="S440" i="28"/>
  <c r="S424" i="28"/>
  <c r="S408" i="28"/>
  <c r="S392" i="28"/>
  <c r="S376" i="28"/>
  <c r="S360" i="28"/>
  <c r="S344" i="28"/>
  <c r="S328" i="28"/>
  <c r="S312" i="28"/>
  <c r="S296" i="28"/>
  <c r="S280" i="28"/>
  <c r="S264" i="28"/>
  <c r="S248" i="28"/>
  <c r="S232" i="28"/>
  <c r="S216" i="28"/>
  <c r="S200" i="28"/>
  <c r="S184" i="28"/>
  <c r="S168" i="28"/>
  <c r="S152" i="28"/>
  <c r="S136" i="28"/>
  <c r="S120" i="28"/>
  <c r="S104" i="28"/>
  <c r="S88" i="28"/>
  <c r="S72" i="28"/>
  <c r="S56" i="28"/>
  <c r="S40" i="28"/>
  <c r="S24" i="28"/>
  <c r="S8" i="28"/>
  <c r="AU423" i="1"/>
  <c r="S689" i="28"/>
  <c r="S675" i="28"/>
  <c r="S659" i="28"/>
  <c r="S643" i="28"/>
  <c r="S627" i="28"/>
  <c r="S611" i="28"/>
  <c r="S595" i="28"/>
  <c r="S579" i="28"/>
  <c r="S563" i="28"/>
  <c r="S547" i="28"/>
  <c r="S531" i="28"/>
  <c r="S515" i="28"/>
  <c r="S499" i="28"/>
  <c r="S483" i="28"/>
  <c r="S467" i="28"/>
  <c r="S451" i="28"/>
  <c r="S435" i="28"/>
  <c r="S419" i="28"/>
  <c r="S403" i="28"/>
  <c r="S387" i="28"/>
  <c r="S371" i="28"/>
  <c r="S355" i="28"/>
  <c r="S339" i="28"/>
  <c r="S323" i="28"/>
  <c r="S307" i="28"/>
  <c r="S291" i="28"/>
  <c r="S275" i="28"/>
  <c r="S259" i="28"/>
  <c r="S243" i="28"/>
  <c r="S227" i="28"/>
  <c r="S211" i="28"/>
  <c r="S195" i="28"/>
  <c r="S179" i="28"/>
  <c r="S163" i="28"/>
  <c r="S147" i="28"/>
  <c r="S131" i="28"/>
  <c r="S115" i="28"/>
  <c r="S99" i="28"/>
  <c r="S83" i="28"/>
  <c r="S67" i="28"/>
  <c r="S51" i="28"/>
  <c r="S35" i="28"/>
  <c r="S19" i="28"/>
  <c r="S3" i="28"/>
  <c r="S688" i="28"/>
  <c r="S674" i="28"/>
  <c r="S658" i="28"/>
  <c r="S642" i="28"/>
  <c r="S626" i="28"/>
  <c r="S610" i="28"/>
  <c r="S594" i="28"/>
  <c r="S578" i="28"/>
  <c r="S562" i="28"/>
  <c r="S546" i="28"/>
  <c r="S530" i="28"/>
  <c r="S514" i="28"/>
  <c r="S498" i="28"/>
  <c r="S482" i="28"/>
  <c r="S466" i="28"/>
  <c r="S450" i="28"/>
  <c r="S434" i="28"/>
  <c r="S418" i="28"/>
  <c r="S402" i="28"/>
  <c r="S386" i="28"/>
  <c r="S370" i="28"/>
  <c r="S354" i="28"/>
  <c r="S338" i="28"/>
  <c r="S322" i="28"/>
  <c r="S306" i="28"/>
  <c r="S290" i="28"/>
  <c r="S274" i="28"/>
  <c r="S258" i="28"/>
  <c r="S242" i="28"/>
  <c r="S226" i="28"/>
  <c r="S210" i="28"/>
  <c r="S194" i="28"/>
  <c r="S178" i="28"/>
  <c r="S162" i="28"/>
  <c r="S146" i="28"/>
  <c r="S130" i="28"/>
  <c r="S114" i="28"/>
  <c r="S98" i="28"/>
  <c r="S82" i="28"/>
  <c r="S66" i="28"/>
  <c r="S50" i="28"/>
  <c r="S34" i="28"/>
  <c r="S18" i="28"/>
  <c r="S2" i="28"/>
  <c r="X680" i="28"/>
  <c r="X676" i="28"/>
  <c r="X672" i="28"/>
  <c r="X668" i="28"/>
  <c r="X664" i="28"/>
  <c r="X660" i="28"/>
  <c r="X656" i="28"/>
  <c r="X652" i="28"/>
  <c r="X648" i="28"/>
  <c r="X644" i="28"/>
  <c r="X640" i="28"/>
  <c r="X636" i="28"/>
  <c r="X632" i="28"/>
  <c r="X628" i="28"/>
  <c r="X624" i="28"/>
  <c r="X620" i="28"/>
  <c r="X616" i="28"/>
  <c r="X612" i="28"/>
  <c r="X608" i="28"/>
  <c r="X604" i="28"/>
  <c r="X600" i="28"/>
  <c r="X596" i="28"/>
  <c r="X592" i="28"/>
  <c r="X588" i="28"/>
  <c r="X584" i="28"/>
  <c r="X580" i="28"/>
  <c r="X576" i="28"/>
  <c r="X572" i="28"/>
  <c r="X568" i="28"/>
  <c r="X564" i="28"/>
  <c r="X560" i="28"/>
  <c r="X556" i="28"/>
  <c r="X552" i="28"/>
  <c r="X548" i="28"/>
  <c r="X544" i="28"/>
  <c r="X540" i="28"/>
  <c r="X536" i="28"/>
  <c r="X532" i="28"/>
  <c r="X528" i="28"/>
  <c r="X524" i="28"/>
  <c r="X520" i="28"/>
  <c r="X516" i="28"/>
  <c r="X512" i="28"/>
  <c r="X508" i="28"/>
  <c r="X504" i="28"/>
  <c r="X500" i="28"/>
  <c r="X496" i="28"/>
  <c r="X492" i="28"/>
  <c r="X488" i="28"/>
  <c r="X484" i="28"/>
  <c r="X480" i="28"/>
  <c r="X476" i="28"/>
  <c r="X472" i="28"/>
  <c r="X468" i="28"/>
  <c r="X464" i="28"/>
  <c r="X460" i="28"/>
  <c r="X456" i="28"/>
  <c r="X452" i="28"/>
  <c r="X448" i="28"/>
  <c r="X444" i="28"/>
  <c r="X440" i="28"/>
  <c r="X436" i="28"/>
  <c r="X432" i="28"/>
  <c r="X428" i="28"/>
  <c r="X424" i="28"/>
  <c r="X420" i="28"/>
  <c r="X416" i="28"/>
  <c r="X412" i="28"/>
  <c r="X408" i="28"/>
  <c r="X404" i="28"/>
  <c r="X400" i="28"/>
  <c r="X396" i="28"/>
  <c r="X392" i="28"/>
  <c r="X388" i="28"/>
  <c r="X384" i="28"/>
  <c r="X380" i="28"/>
  <c r="X376" i="28"/>
  <c r="X372" i="28"/>
  <c r="X368" i="28"/>
  <c r="X364" i="28"/>
  <c r="X360" i="28"/>
  <c r="X356" i="28"/>
  <c r="X352" i="28"/>
  <c r="X348" i="28"/>
  <c r="X344" i="28"/>
  <c r="X340" i="28"/>
  <c r="X336" i="28"/>
  <c r="X332" i="28"/>
  <c r="X328" i="28"/>
  <c r="X324" i="28"/>
  <c r="X320" i="28"/>
  <c r="X316" i="28"/>
  <c r="X312" i="28"/>
  <c r="X308" i="28"/>
  <c r="X304" i="28"/>
  <c r="X300" i="28"/>
  <c r="X296" i="28"/>
  <c r="X292" i="28"/>
  <c r="X288" i="28"/>
  <c r="X284" i="28"/>
  <c r="X280" i="28"/>
  <c r="X276" i="28"/>
  <c r="X272" i="28"/>
  <c r="X268" i="28"/>
  <c r="X264" i="28"/>
  <c r="X260" i="28"/>
  <c r="X256" i="28"/>
  <c r="X252" i="28"/>
  <c r="X248" i="28"/>
  <c r="X244" i="28"/>
  <c r="X240" i="28"/>
  <c r="X236" i="28"/>
  <c r="X232" i="28"/>
  <c r="X228" i="28"/>
  <c r="X224" i="28"/>
  <c r="X220" i="28"/>
  <c r="X216" i="28"/>
  <c r="X212" i="28"/>
  <c r="X208" i="28"/>
  <c r="X204" i="28"/>
  <c r="X200" i="28"/>
  <c r="X196" i="28"/>
  <c r="X192" i="28"/>
  <c r="X188" i="28"/>
  <c r="X184" i="28"/>
  <c r="X180" i="28"/>
  <c r="X176" i="28"/>
  <c r="X172" i="28"/>
  <c r="X168" i="28"/>
  <c r="X164" i="28"/>
  <c r="X160" i="28"/>
  <c r="X156" i="28"/>
  <c r="X152" i="28"/>
  <c r="X148" i="28"/>
  <c r="X144" i="28"/>
  <c r="X140" i="28"/>
  <c r="X136" i="28"/>
  <c r="X132" i="28"/>
  <c r="X128" i="28"/>
  <c r="X124" i="28"/>
  <c r="X120" i="28"/>
  <c r="X116" i="28"/>
  <c r="X112" i="28"/>
  <c r="X108" i="28"/>
  <c r="X104" i="28"/>
  <c r="X100" i="28"/>
  <c r="X96" i="28"/>
  <c r="X92" i="28"/>
  <c r="X88" i="28"/>
  <c r="X84" i="28"/>
  <c r="X80" i="28"/>
  <c r="X76" i="28"/>
  <c r="X72" i="28"/>
  <c r="X68" i="28"/>
  <c r="X64" i="28"/>
  <c r="X60" i="28"/>
  <c r="X56" i="28"/>
  <c r="X52" i="28"/>
  <c r="X48" i="28"/>
  <c r="X44" i="28"/>
  <c r="X40" i="28"/>
  <c r="X36" i="28"/>
  <c r="X32" i="28"/>
  <c r="X28" i="28"/>
  <c r="X24" i="28"/>
  <c r="X20" i="28"/>
  <c r="X16" i="28"/>
  <c r="X12" i="28"/>
  <c r="X8" i="28"/>
  <c r="X4" i="28"/>
  <c r="W679" i="28"/>
  <c r="W675" i="28"/>
  <c r="W671" i="28"/>
  <c r="W667" i="28"/>
  <c r="W663" i="28"/>
  <c r="W659" i="28"/>
  <c r="W655" i="28"/>
  <c r="W651" i="28"/>
  <c r="W647" i="28"/>
  <c r="W643" i="28"/>
  <c r="W639" i="28"/>
  <c r="W635" i="28"/>
  <c r="W631" i="28"/>
  <c r="W627" i="28"/>
  <c r="W623" i="28"/>
  <c r="W619" i="28"/>
  <c r="W615" i="28"/>
  <c r="W611" i="28"/>
  <c r="W607" i="28"/>
  <c r="W603" i="28"/>
  <c r="W599" i="28"/>
  <c r="W595" i="28"/>
  <c r="W591" i="28"/>
  <c r="W587" i="28"/>
  <c r="W583" i="28"/>
  <c r="W579" i="28"/>
  <c r="W575" i="28"/>
  <c r="W571" i="28"/>
  <c r="W567" i="28"/>
  <c r="W563" i="28"/>
  <c r="W559" i="28"/>
  <c r="W555" i="28"/>
  <c r="W551" i="28"/>
  <c r="W547" i="28"/>
  <c r="W543" i="28"/>
  <c r="W539" i="28"/>
  <c r="W535" i="28"/>
  <c r="W531" i="28"/>
  <c r="W527" i="28"/>
  <c r="W523" i="28"/>
  <c r="W519" i="28"/>
  <c r="W515" i="28"/>
  <c r="W511" i="28"/>
  <c r="W507" i="28"/>
  <c r="W503" i="28"/>
  <c r="W499" i="28"/>
  <c r="W495" i="28"/>
  <c r="W491" i="28"/>
  <c r="W487" i="28"/>
  <c r="W483" i="28"/>
  <c r="W479" i="28"/>
  <c r="W475" i="28"/>
  <c r="W471" i="28"/>
  <c r="W467" i="28"/>
  <c r="W463" i="28"/>
  <c r="W459" i="28"/>
  <c r="W455" i="28"/>
  <c r="W451" i="28"/>
  <c r="W447" i="28"/>
  <c r="W443" i="28"/>
  <c r="W439" i="28"/>
  <c r="W435" i="28"/>
  <c r="W431" i="28"/>
  <c r="W427" i="28"/>
  <c r="W423" i="28"/>
  <c r="W419" i="28"/>
  <c r="W415" i="28"/>
  <c r="W411" i="28"/>
  <c r="W407" i="28"/>
  <c r="W403" i="28"/>
  <c r="W399" i="28"/>
  <c r="W395" i="28"/>
  <c r="W391" i="28"/>
  <c r="W387" i="28"/>
  <c r="W383" i="28"/>
  <c r="W379" i="28"/>
  <c r="W375" i="28"/>
  <c r="W371" i="28"/>
  <c r="W367" i="28"/>
  <c r="W363" i="28"/>
  <c r="W359" i="28"/>
  <c r="W355" i="28"/>
  <c r="W351" i="28"/>
  <c r="W347" i="28"/>
  <c r="W343" i="28"/>
  <c r="W339" i="28"/>
  <c r="W335" i="28"/>
  <c r="W331" i="28"/>
  <c r="W327" i="28"/>
  <c r="W323" i="28"/>
  <c r="W319" i="28"/>
  <c r="W315" i="28"/>
  <c r="W311" i="28"/>
  <c r="W307" i="28"/>
  <c r="W303" i="28"/>
  <c r="W299" i="28"/>
  <c r="W295" i="28"/>
  <c r="W291" i="28"/>
  <c r="W287" i="28"/>
  <c r="W283" i="28"/>
  <c r="W279" i="28"/>
  <c r="W275" i="28"/>
  <c r="W271" i="28"/>
  <c r="W267" i="28"/>
  <c r="W263" i="28"/>
  <c r="W259" i="28"/>
  <c r="W255" i="28"/>
  <c r="W251" i="28"/>
  <c r="W247" i="28"/>
  <c r="W243" i="28"/>
  <c r="W239" i="28"/>
  <c r="W235" i="28"/>
  <c r="W231" i="28"/>
  <c r="W227" i="28"/>
  <c r="W223" i="28"/>
  <c r="W219" i="28"/>
  <c r="W215" i="28"/>
  <c r="W211" i="28"/>
  <c r="W207" i="28"/>
  <c r="W203" i="28"/>
  <c r="W199" i="28"/>
  <c r="W195" i="28"/>
  <c r="W191" i="28"/>
  <c r="W187" i="28"/>
  <c r="W183" i="28"/>
  <c r="W179" i="28"/>
  <c r="W175" i="28"/>
  <c r="W171" i="28"/>
  <c r="W167" i="28"/>
  <c r="W163" i="28"/>
  <c r="W159" i="28"/>
  <c r="W155" i="28"/>
  <c r="W151" i="28"/>
  <c r="W147" i="28"/>
  <c r="W143" i="28"/>
  <c r="W139" i="28"/>
  <c r="W135" i="28"/>
  <c r="W131" i="28"/>
  <c r="W127" i="28"/>
  <c r="W123" i="28"/>
  <c r="W119" i="28"/>
  <c r="W115" i="28"/>
  <c r="W111" i="28"/>
  <c r="W107" i="28"/>
  <c r="W103" i="28"/>
  <c r="W99" i="28"/>
  <c r="W95" i="28"/>
  <c r="W91" i="28"/>
  <c r="W87" i="28"/>
  <c r="W83" i="28"/>
  <c r="W79" i="28"/>
  <c r="W75" i="28"/>
  <c r="W71" i="28"/>
  <c r="W67" i="28"/>
  <c r="W63" i="28"/>
  <c r="W59" i="28"/>
  <c r="W55" i="28"/>
  <c r="W51" i="28"/>
  <c r="W47" i="28"/>
  <c r="W43" i="28"/>
  <c r="W39" i="28"/>
  <c r="W35" i="28"/>
  <c r="W31" i="28"/>
  <c r="W27" i="28"/>
  <c r="W23" i="28"/>
  <c r="W19" i="28"/>
  <c r="W15" i="28"/>
  <c r="W11" i="28"/>
  <c r="W7" i="28"/>
  <c r="W3" i="28"/>
  <c r="X678" i="28"/>
  <c r="X674" i="28"/>
  <c r="X670" i="28"/>
  <c r="X666" i="28"/>
  <c r="X662" i="28"/>
  <c r="X658" i="28"/>
  <c r="X654" i="28"/>
  <c r="X650" i="28"/>
  <c r="X646" i="28"/>
  <c r="X642" i="28"/>
  <c r="X638" i="28"/>
  <c r="X634" i="28"/>
  <c r="X630" i="28"/>
  <c r="X626" i="28"/>
  <c r="X622" i="28"/>
  <c r="X618" i="28"/>
  <c r="X614" i="28"/>
  <c r="X610" i="28"/>
  <c r="X606" i="28"/>
  <c r="X602" i="28"/>
  <c r="X598" i="28"/>
  <c r="X594" i="28"/>
  <c r="X590" i="28"/>
  <c r="X586" i="28"/>
  <c r="X582" i="28"/>
  <c r="X578" i="28"/>
  <c r="X574" i="28"/>
  <c r="X570" i="28"/>
  <c r="X566" i="28"/>
  <c r="X562" i="28"/>
  <c r="X558" i="28"/>
  <c r="X554" i="28"/>
  <c r="X550" i="28"/>
  <c r="X546" i="28"/>
  <c r="X542" i="28"/>
  <c r="X538" i="28"/>
  <c r="X534" i="28"/>
  <c r="X530" i="28"/>
  <c r="X526" i="28"/>
  <c r="X522" i="28"/>
  <c r="X518" i="28"/>
  <c r="X514" i="28"/>
  <c r="X510" i="28"/>
  <c r="X506" i="28"/>
  <c r="X502" i="28"/>
  <c r="X498" i="28"/>
  <c r="X494" i="28"/>
  <c r="X490" i="28"/>
  <c r="X486" i="28"/>
  <c r="X482" i="28"/>
  <c r="X478" i="28"/>
  <c r="X474" i="28"/>
  <c r="X470" i="28"/>
  <c r="X466" i="28"/>
  <c r="X462" i="28"/>
  <c r="X458" i="28"/>
  <c r="X454" i="28"/>
  <c r="X450" i="28"/>
  <c r="X446" i="28"/>
  <c r="X442" i="28"/>
  <c r="X438" i="28"/>
  <c r="X434" i="28"/>
  <c r="X430" i="28"/>
  <c r="X426" i="28"/>
  <c r="X422" i="28"/>
  <c r="X418" i="28"/>
  <c r="X414" i="28"/>
  <c r="X410" i="28"/>
  <c r="X406" i="28"/>
  <c r="X402" i="28"/>
  <c r="X398" i="28"/>
  <c r="X394" i="28"/>
  <c r="X390" i="28"/>
  <c r="X386" i="28"/>
  <c r="X382" i="28"/>
  <c r="X378" i="28"/>
  <c r="X374" i="28"/>
  <c r="X370" i="28"/>
  <c r="X366" i="28"/>
  <c r="X362" i="28"/>
  <c r="X358" i="28"/>
  <c r="X354" i="28"/>
  <c r="X350" i="28"/>
  <c r="X346" i="28"/>
  <c r="X342" i="28"/>
  <c r="X338" i="28"/>
  <c r="X334" i="28"/>
  <c r="X330" i="28"/>
  <c r="X326" i="28"/>
  <c r="X322" i="28"/>
  <c r="X318" i="28"/>
  <c r="X314" i="28"/>
  <c r="X310" i="28"/>
  <c r="X306" i="28"/>
  <c r="X302" i="28"/>
  <c r="X298" i="28"/>
  <c r="X294" i="28"/>
  <c r="X290" i="28"/>
  <c r="X286" i="28"/>
  <c r="X282" i="28"/>
  <c r="X278" i="28"/>
  <c r="X274" i="28"/>
  <c r="X270" i="28"/>
  <c r="X266" i="28"/>
  <c r="X262" i="28"/>
  <c r="X258" i="28"/>
  <c r="X254" i="28"/>
  <c r="X250" i="28"/>
  <c r="X246" i="28"/>
  <c r="X242" i="28"/>
  <c r="X238" i="28"/>
  <c r="X234" i="28"/>
  <c r="X230" i="28"/>
  <c r="X226" i="28"/>
  <c r="X222" i="28"/>
  <c r="X218" i="28"/>
  <c r="X214" i="28"/>
  <c r="X210" i="28"/>
  <c r="X206" i="28"/>
  <c r="X202" i="28"/>
  <c r="X198" i="28"/>
  <c r="X194" i="28"/>
  <c r="X190" i="28"/>
  <c r="X186" i="28"/>
  <c r="X182" i="28"/>
  <c r="X178" i="28"/>
  <c r="X174" i="28"/>
  <c r="X170" i="28"/>
  <c r="X166" i="28"/>
  <c r="X162" i="28"/>
  <c r="X158" i="28"/>
  <c r="X154" i="28"/>
  <c r="X150" i="28"/>
  <c r="X146" i="28"/>
  <c r="X142" i="28"/>
  <c r="X138" i="28"/>
  <c r="X134" i="28"/>
  <c r="X130" i="28"/>
  <c r="X126" i="28"/>
  <c r="X122" i="28"/>
  <c r="X118" i="28"/>
  <c r="X114" i="28"/>
  <c r="X110" i="28"/>
  <c r="X106" i="28"/>
  <c r="X102" i="28"/>
  <c r="X98" i="28"/>
  <c r="X94" i="28"/>
  <c r="X90" i="28"/>
  <c r="X86" i="28"/>
  <c r="X82" i="28"/>
  <c r="X78" i="28"/>
  <c r="X74" i="28"/>
  <c r="X70" i="28"/>
  <c r="X66" i="28"/>
  <c r="X62" i="28"/>
  <c r="X58" i="28"/>
  <c r="X54" i="28"/>
  <c r="X50" i="28"/>
  <c r="X46" i="28"/>
  <c r="X42" i="28"/>
  <c r="X38" i="28"/>
  <c r="X34" i="28"/>
  <c r="X30" i="28"/>
  <c r="X26" i="28"/>
  <c r="X22" i="28"/>
  <c r="X18" i="28"/>
  <c r="X14" i="28"/>
  <c r="X10" i="28"/>
  <c r="X6" i="28"/>
  <c r="X2" i="28"/>
  <c r="W590" i="28"/>
  <c r="W586" i="28"/>
  <c r="W582" i="28"/>
  <c r="W578" i="28"/>
  <c r="W574" i="28"/>
  <c r="W570" i="28"/>
  <c r="W566" i="28"/>
  <c r="W562" i="28"/>
  <c r="W558" i="28"/>
  <c r="W554" i="28"/>
  <c r="W550" i="28"/>
  <c r="W546" i="28"/>
  <c r="W542" i="28"/>
  <c r="W538" i="28"/>
  <c r="W534" i="28"/>
  <c r="W530" i="28"/>
  <c r="W526" i="28"/>
  <c r="W522" i="28"/>
  <c r="W518" i="28"/>
  <c r="W514" i="28"/>
  <c r="W510" i="28"/>
  <c r="W506" i="28"/>
  <c r="W502" i="28"/>
  <c r="W498" i="28"/>
  <c r="W494" i="28"/>
  <c r="W490" i="28"/>
  <c r="W486" i="28"/>
  <c r="W482" i="28"/>
  <c r="W478" i="28"/>
  <c r="W474" i="28"/>
  <c r="W470" i="28"/>
  <c r="W466" i="28"/>
  <c r="W462" i="28"/>
  <c r="W458" i="28"/>
  <c r="W454" i="28"/>
  <c r="W450" i="28"/>
  <c r="W446" i="28"/>
  <c r="W442" i="28"/>
  <c r="W438" i="28"/>
  <c r="W434" i="28"/>
  <c r="W430" i="28"/>
  <c r="W426" i="28"/>
  <c r="W422" i="28"/>
  <c r="W418" i="28"/>
  <c r="W414" i="28"/>
  <c r="W410" i="28"/>
  <c r="W406" i="28"/>
  <c r="W402" i="28"/>
  <c r="W398" i="28"/>
  <c r="W394" i="28"/>
  <c r="W390" i="28"/>
  <c r="W386" i="28"/>
  <c r="W382" i="28"/>
  <c r="W378" i="28"/>
  <c r="W374" i="28"/>
  <c r="W370" i="28"/>
  <c r="W366" i="28"/>
  <c r="W362" i="28"/>
  <c r="W358" i="28"/>
  <c r="W354" i="28"/>
  <c r="W350" i="28"/>
  <c r="W346" i="28"/>
  <c r="W342" i="28"/>
  <c r="W338" i="28"/>
  <c r="W334" i="28"/>
  <c r="W330" i="28"/>
  <c r="W326" i="28"/>
  <c r="W322" i="28"/>
  <c r="W318" i="28"/>
  <c r="W314" i="28"/>
  <c r="W310" i="28"/>
  <c r="W306" i="28"/>
  <c r="W302" i="28"/>
  <c r="W298" i="28"/>
  <c r="W294" i="28"/>
  <c r="W290" i="28"/>
  <c r="W286" i="28"/>
  <c r="W282" i="28"/>
  <c r="W278" i="28"/>
  <c r="W274" i="28"/>
  <c r="W270" i="28"/>
  <c r="W266" i="28"/>
  <c r="W262" i="28"/>
  <c r="W258" i="28"/>
  <c r="W254" i="28"/>
  <c r="W250" i="28"/>
  <c r="W246" i="28"/>
  <c r="W242" i="28"/>
  <c r="W238" i="28"/>
  <c r="W234" i="28"/>
  <c r="W230" i="28"/>
  <c r="W226" i="28"/>
  <c r="W222" i="28"/>
  <c r="W218" i="28"/>
  <c r="W214" i="28"/>
  <c r="W210" i="28"/>
  <c r="W206" i="28"/>
  <c r="W202" i="28"/>
  <c r="W198" i="28"/>
  <c r="W194" i="28"/>
  <c r="W190" i="28"/>
  <c r="W186" i="28"/>
  <c r="W182" i="28"/>
  <c r="W178" i="28"/>
  <c r="W174" i="28"/>
  <c r="W170" i="28"/>
  <c r="W166" i="28"/>
  <c r="W162" i="28"/>
  <c r="W158" i="28"/>
  <c r="W154" i="28"/>
  <c r="W150" i="28"/>
  <c r="W146" i="28"/>
  <c r="W142" i="28"/>
  <c r="W138" i="28"/>
  <c r="W134" i="28"/>
  <c r="W130" i="28"/>
  <c r="W126" i="28"/>
  <c r="W122" i="28"/>
  <c r="W118" i="28"/>
  <c r="W114" i="28"/>
  <c r="W110" i="28"/>
  <c r="W106" i="28"/>
  <c r="W102" i="28"/>
  <c r="W98" i="28"/>
  <c r="W94" i="28"/>
  <c r="W90" i="28"/>
  <c r="W86" i="28"/>
  <c r="W82" i="28"/>
  <c r="W78" i="28"/>
  <c r="W74" i="28"/>
  <c r="W70" i="28"/>
  <c r="W66" i="28"/>
  <c r="W62" i="28"/>
  <c r="W58" i="28"/>
  <c r="W54" i="28"/>
  <c r="W50" i="28"/>
  <c r="W46" i="28"/>
  <c r="W42" i="28"/>
  <c r="W38" i="28"/>
  <c r="W34" i="28"/>
  <c r="W30" i="28"/>
  <c r="W26" i="28"/>
  <c r="W22" i="28"/>
  <c r="W18" i="28"/>
  <c r="W14" i="28"/>
  <c r="W10" i="28"/>
  <c r="W6" i="28"/>
  <c r="L340" i="28"/>
  <c r="L336" i="28"/>
  <c r="L332" i="28"/>
  <c r="L328" i="28"/>
  <c r="L324" i="28"/>
  <c r="L320" i="28"/>
  <c r="L316" i="28"/>
  <c r="L312" i="28"/>
  <c r="L308" i="28"/>
  <c r="L304" i="28"/>
  <c r="L300" i="28"/>
  <c r="L296" i="28"/>
  <c r="L292" i="28"/>
  <c r="L288" i="28"/>
  <c r="L284" i="28"/>
  <c r="L280" i="28"/>
  <c r="L276" i="28"/>
  <c r="L272" i="28"/>
  <c r="L268" i="28"/>
  <c r="L264" i="28"/>
  <c r="L260" i="28"/>
  <c r="L256" i="28"/>
  <c r="L252" i="28"/>
  <c r="L248" i="28"/>
  <c r="L244" i="28"/>
  <c r="L240" i="28"/>
  <c r="L236" i="28"/>
  <c r="L232" i="28"/>
  <c r="L228" i="28"/>
  <c r="L224" i="28"/>
  <c r="L220" i="28"/>
  <c r="L216" i="28"/>
  <c r="L212" i="28"/>
  <c r="L208" i="28"/>
  <c r="L204" i="28"/>
  <c r="L200" i="28"/>
  <c r="L196" i="28"/>
  <c r="L192" i="28"/>
  <c r="L188" i="28"/>
  <c r="L184" i="28"/>
  <c r="L180" i="28"/>
  <c r="L176" i="28"/>
  <c r="L172" i="28"/>
  <c r="L168" i="28"/>
  <c r="L164" i="28"/>
  <c r="L160" i="28"/>
  <c r="L156" i="28"/>
  <c r="L152" i="28"/>
  <c r="L148" i="28"/>
  <c r="L144" i="28"/>
  <c r="L140" i="28"/>
  <c r="L136" i="28"/>
  <c r="L132" i="28"/>
  <c r="L128" i="28"/>
  <c r="L124" i="28"/>
  <c r="L120" i="28"/>
  <c r="L116" i="28"/>
  <c r="L112" i="28"/>
  <c r="L108" i="28"/>
  <c r="L104" i="28"/>
  <c r="L100" i="28"/>
  <c r="L96" i="28"/>
  <c r="L92" i="28"/>
  <c r="L88" i="28"/>
  <c r="L84" i="28"/>
  <c r="L80" i="28"/>
  <c r="L76" i="28"/>
  <c r="L72" i="28"/>
  <c r="L68" i="28"/>
  <c r="L64" i="28"/>
  <c r="L60" i="28"/>
  <c r="L56" i="28"/>
  <c r="L52" i="28"/>
  <c r="L48" i="28"/>
  <c r="L44" i="28"/>
  <c r="L40" i="28"/>
  <c r="L36" i="28"/>
  <c r="L32" i="28"/>
  <c r="L28" i="28"/>
  <c r="L24" i="28"/>
  <c r="L20" i="28"/>
  <c r="L16" i="28"/>
  <c r="L12" i="28"/>
  <c r="L8" i="28"/>
  <c r="L4" i="28"/>
  <c r="L335" i="28"/>
  <c r="L331" i="28"/>
  <c r="L327" i="28"/>
  <c r="L323" i="28"/>
  <c r="L319" i="28"/>
  <c r="L315" i="28"/>
  <c r="L311" i="28"/>
  <c r="L307" i="28"/>
  <c r="L303" i="28"/>
  <c r="L299" i="28"/>
  <c r="L295" i="28"/>
  <c r="L291" i="28"/>
  <c r="L287" i="28"/>
  <c r="L283" i="28"/>
  <c r="L279" i="28"/>
  <c r="L275" i="28"/>
  <c r="L271" i="28"/>
  <c r="L267" i="28"/>
  <c r="L263" i="28"/>
  <c r="L259" i="28"/>
  <c r="L255" i="28"/>
  <c r="L251" i="28"/>
  <c r="L247" i="28"/>
  <c r="L243" i="28"/>
  <c r="L239" i="28"/>
  <c r="L235" i="28"/>
  <c r="L231" i="28"/>
  <c r="L227" i="28"/>
  <c r="L223" i="28"/>
  <c r="L219" i="28"/>
  <c r="L215" i="28"/>
  <c r="L211" i="28"/>
  <c r="L207" i="28"/>
  <c r="L203" i="28"/>
  <c r="L199" i="28"/>
  <c r="L195" i="28"/>
  <c r="L191" i="28"/>
  <c r="L187" i="28"/>
  <c r="L183" i="28"/>
  <c r="L179" i="28"/>
  <c r="L175" i="28"/>
  <c r="L171" i="28"/>
  <c r="L167" i="28"/>
  <c r="L163" i="28"/>
  <c r="L159" i="28"/>
  <c r="L155" i="28"/>
  <c r="L151" i="28"/>
  <c r="L147" i="28"/>
  <c r="L143" i="28"/>
  <c r="L139" i="28"/>
  <c r="L135" i="28"/>
  <c r="L131" i="28"/>
  <c r="L127" i="28"/>
  <c r="L123" i="28"/>
  <c r="L119" i="28"/>
  <c r="L115" i="28"/>
  <c r="L111" i="28"/>
  <c r="L107" i="28"/>
  <c r="L103" i="28"/>
  <c r="L99" i="28"/>
  <c r="L95" i="28"/>
  <c r="L91" i="28"/>
  <c r="L87" i="28"/>
  <c r="L83" i="28"/>
  <c r="L79" i="28"/>
  <c r="L75" i="28"/>
  <c r="L71" i="28"/>
  <c r="L67" i="28"/>
  <c r="L63" i="28"/>
  <c r="L59" i="28"/>
  <c r="L55" i="28"/>
  <c r="L51" i="28"/>
  <c r="L47" i="28"/>
  <c r="L43" i="28"/>
  <c r="L39" i="28"/>
  <c r="L35" i="28"/>
  <c r="L31" i="28"/>
  <c r="L27" i="28"/>
  <c r="L23" i="28"/>
  <c r="L19" i="28"/>
  <c r="L15" i="28"/>
  <c r="L11" i="28"/>
  <c r="L7" i="28"/>
  <c r="L3" i="28"/>
  <c r="M342" i="28"/>
  <c r="M338" i="28"/>
  <c r="M334" i="28"/>
  <c r="M330" i="28"/>
  <c r="M326" i="28"/>
  <c r="M322" i="28"/>
  <c r="M318" i="28"/>
  <c r="M314" i="28"/>
  <c r="M310" i="28"/>
  <c r="M306" i="28"/>
  <c r="M302" i="28"/>
  <c r="M298" i="28"/>
  <c r="M294" i="28"/>
  <c r="M290" i="28"/>
  <c r="M286" i="28"/>
  <c r="M282" i="28"/>
  <c r="M278" i="28"/>
  <c r="M274" i="28"/>
  <c r="M270" i="28"/>
  <c r="M266" i="28"/>
  <c r="M262" i="28"/>
  <c r="M258" i="28"/>
  <c r="M254" i="28"/>
  <c r="M250" i="28"/>
  <c r="M246" i="28"/>
  <c r="M242" i="28"/>
  <c r="M238" i="28"/>
  <c r="M234" i="28"/>
  <c r="M230" i="28"/>
  <c r="M226" i="28"/>
  <c r="M222" i="28"/>
  <c r="M218" i="28"/>
  <c r="M214" i="28"/>
  <c r="M210" i="28"/>
  <c r="M206" i="28"/>
  <c r="M202" i="28"/>
  <c r="M198" i="28"/>
  <c r="M194" i="28"/>
  <c r="M190" i="28"/>
  <c r="M186" i="28"/>
  <c r="M182" i="28"/>
  <c r="M178" i="28"/>
  <c r="M174" i="28"/>
  <c r="M170" i="28"/>
  <c r="M166" i="28"/>
  <c r="M162" i="28"/>
  <c r="M158" i="28"/>
  <c r="M154" i="28"/>
  <c r="M150" i="28"/>
  <c r="M146" i="28"/>
  <c r="M142" i="28"/>
  <c r="M138" i="28"/>
  <c r="M134" i="28"/>
  <c r="M130" i="28"/>
  <c r="M126" i="28"/>
  <c r="M122" i="28"/>
  <c r="M118" i="28"/>
  <c r="M114" i="28"/>
  <c r="M110" i="28"/>
  <c r="M106" i="28"/>
  <c r="M102" i="28"/>
  <c r="M98" i="28"/>
  <c r="M94" i="28"/>
  <c r="M90" i="28"/>
  <c r="M86" i="28"/>
  <c r="M82" i="28"/>
  <c r="M78" i="28"/>
  <c r="M74" i="28"/>
  <c r="M70" i="28"/>
  <c r="M66" i="28"/>
  <c r="M62" i="28"/>
  <c r="M58" i="28"/>
  <c r="M54" i="28"/>
  <c r="M50" i="28"/>
  <c r="M46" i="28"/>
  <c r="M42" i="28"/>
  <c r="M38" i="28"/>
  <c r="M34" i="28"/>
  <c r="M30" i="28"/>
  <c r="M26" i="28"/>
  <c r="M22" i="28"/>
  <c r="M18" i="28"/>
  <c r="M14" i="28"/>
  <c r="M10" i="28"/>
  <c r="M6" i="28"/>
  <c r="M2" i="28"/>
  <c r="L342" i="28"/>
  <c r="L338" i="28"/>
  <c r="L334" i="28"/>
  <c r="L330" i="28"/>
  <c r="L326" i="28"/>
  <c r="L322" i="28"/>
  <c r="L318" i="28"/>
  <c r="L314" i="28"/>
  <c r="L310" i="28"/>
  <c r="L306" i="28"/>
  <c r="L302" i="28"/>
  <c r="L298" i="28"/>
  <c r="L294" i="28"/>
  <c r="L290" i="28"/>
  <c r="L286" i="28"/>
  <c r="L282" i="28"/>
  <c r="L278" i="28"/>
  <c r="L274" i="28"/>
  <c r="L270" i="28"/>
  <c r="L266" i="28"/>
  <c r="L262" i="28"/>
  <c r="L258" i="28"/>
  <c r="L254" i="28"/>
  <c r="L250" i="28"/>
  <c r="L246" i="28"/>
  <c r="L242" i="28"/>
  <c r="L238" i="28"/>
  <c r="L234" i="28"/>
  <c r="L230" i="28"/>
  <c r="L226" i="28"/>
  <c r="L222" i="28"/>
  <c r="L218" i="28"/>
  <c r="L214" i="28"/>
  <c r="L210" i="28"/>
  <c r="L206" i="28"/>
  <c r="L202" i="28"/>
  <c r="L198" i="28"/>
  <c r="L194" i="28"/>
  <c r="L190" i="28"/>
  <c r="L186" i="28"/>
  <c r="L182" i="28"/>
  <c r="L178" i="28"/>
  <c r="L174" i="28"/>
  <c r="L170" i="28"/>
  <c r="L166" i="28"/>
  <c r="L162" i="28"/>
  <c r="L158" i="28"/>
  <c r="L154" i="28"/>
  <c r="L150" i="28"/>
  <c r="L146" i="28"/>
  <c r="L142" i="28"/>
  <c r="L138" i="28"/>
  <c r="L134" i="28"/>
  <c r="L130" i="28"/>
  <c r="L126" i="28"/>
  <c r="L122" i="28"/>
  <c r="L118" i="28"/>
  <c r="L114" i="28"/>
  <c r="L110" i="28"/>
  <c r="L106" i="28"/>
  <c r="L102" i="28"/>
  <c r="L98" i="28"/>
  <c r="L94" i="28"/>
  <c r="L90" i="28"/>
  <c r="L86" i="28"/>
  <c r="L82" i="28"/>
  <c r="L78" i="28"/>
  <c r="L74" i="28"/>
  <c r="L70" i="28"/>
  <c r="L66" i="28"/>
  <c r="L62" i="28"/>
  <c r="L58" i="28"/>
  <c r="L54" i="28"/>
  <c r="L50" i="28"/>
  <c r="L46" i="28"/>
  <c r="L42" i="28"/>
  <c r="L38" i="28"/>
  <c r="L34" i="28"/>
  <c r="L30" i="28"/>
  <c r="L26" i="28"/>
  <c r="L22" i="28"/>
  <c r="L18" i="28"/>
  <c r="L14" i="28"/>
  <c r="L10" i="28"/>
  <c r="L6" i="28"/>
  <c r="L2" i="28"/>
  <c r="L341" i="28"/>
  <c r="L337" i="28"/>
  <c r="L333" i="28"/>
  <c r="L329" i="28"/>
  <c r="L325" i="28"/>
  <c r="L321" i="28"/>
  <c r="L317" i="28"/>
  <c r="L313" i="28"/>
  <c r="L309" i="28"/>
  <c r="L305" i="28"/>
  <c r="L301" i="28"/>
  <c r="L297" i="28"/>
  <c r="L293" i="28"/>
  <c r="L289" i="28"/>
  <c r="L285" i="28"/>
  <c r="L281" i="28"/>
  <c r="L277" i="28"/>
  <c r="L273" i="28"/>
  <c r="L269" i="28"/>
  <c r="L265" i="28"/>
  <c r="L261" i="28"/>
  <c r="L257" i="28"/>
  <c r="L253" i="28"/>
  <c r="L249" i="28"/>
  <c r="L245" i="28"/>
  <c r="L241" i="28"/>
  <c r="L237" i="28"/>
  <c r="L233" i="28"/>
  <c r="L229" i="28"/>
  <c r="L225" i="28"/>
  <c r="L221" i="28"/>
  <c r="L217" i="28"/>
  <c r="L213" i="28"/>
  <c r="L209" i="28"/>
  <c r="L205" i="28"/>
  <c r="L201" i="28"/>
  <c r="L197" i="28"/>
  <c r="L193" i="28"/>
  <c r="L189" i="28"/>
  <c r="L185" i="28"/>
  <c r="L181" i="28"/>
  <c r="L177" i="28"/>
  <c r="L173" i="28"/>
  <c r="L169" i="28"/>
  <c r="L165" i="28"/>
  <c r="L161" i="28"/>
  <c r="L157" i="28"/>
  <c r="L153" i="28"/>
  <c r="L149" i="28"/>
  <c r="L145" i="28"/>
  <c r="L141" i="28"/>
  <c r="L137" i="28"/>
  <c r="L133" i="28"/>
  <c r="L129" i="28"/>
  <c r="L125" i="28"/>
  <c r="L121" i="28"/>
  <c r="L117" i="28"/>
  <c r="L113" i="28"/>
  <c r="L109" i="28"/>
  <c r="L105" i="28"/>
  <c r="L101" i="28"/>
  <c r="L97" i="28"/>
  <c r="L93" i="28"/>
  <c r="L89" i="28"/>
  <c r="L85" i="28"/>
  <c r="L81" i="28"/>
  <c r="L77" i="28"/>
  <c r="L73" i="28"/>
  <c r="L69" i="28"/>
  <c r="L65" i="28"/>
  <c r="L61" i="28"/>
  <c r="L57" i="28"/>
  <c r="L53" i="28"/>
  <c r="L49" i="28"/>
  <c r="L45" i="28"/>
  <c r="L41" i="28"/>
  <c r="L37" i="28"/>
  <c r="L33" i="28"/>
  <c r="L29" i="28"/>
  <c r="L25" i="28"/>
  <c r="L21" i="28"/>
  <c r="L17" i="28"/>
  <c r="L13" i="28"/>
  <c r="L9" i="28"/>
  <c r="U500" i="28"/>
  <c r="U496" i="28"/>
  <c r="U492" i="28"/>
  <c r="U488" i="28"/>
  <c r="U484" i="28"/>
  <c r="U480" i="28"/>
  <c r="U476" i="28"/>
  <c r="U472" i="28"/>
  <c r="U468" i="28"/>
  <c r="U464" i="28"/>
  <c r="U460" i="28"/>
  <c r="U456" i="28"/>
  <c r="U452" i="28"/>
  <c r="U448" i="28"/>
  <c r="U444" i="28"/>
  <c r="U440" i="28"/>
  <c r="U436" i="28"/>
  <c r="U432" i="28"/>
  <c r="U428" i="28"/>
  <c r="U424" i="28"/>
  <c r="U420" i="28"/>
  <c r="U416" i="28"/>
  <c r="U412" i="28"/>
  <c r="U408" i="28"/>
  <c r="U404" i="28"/>
  <c r="U400" i="28"/>
  <c r="U396" i="28"/>
  <c r="U392" i="28"/>
  <c r="U388" i="28"/>
  <c r="U384" i="28"/>
  <c r="U380" i="28"/>
  <c r="U376" i="28"/>
  <c r="U372" i="28"/>
  <c r="U368" i="28"/>
  <c r="U364" i="28"/>
  <c r="U360" i="28"/>
  <c r="U356" i="28"/>
  <c r="U352" i="28"/>
  <c r="U348" i="28"/>
  <c r="U344" i="28"/>
  <c r="U340" i="28"/>
  <c r="U333" i="28"/>
  <c r="V327" i="28"/>
  <c r="V320" i="28"/>
  <c r="V313" i="28"/>
  <c r="U308" i="28"/>
  <c r="U301" i="28"/>
  <c r="V295" i="28"/>
  <c r="V288" i="28"/>
  <c r="V281" i="28"/>
  <c r="U276" i="28"/>
  <c r="U269" i="28"/>
  <c r="V263" i="28"/>
  <c r="V256" i="28"/>
  <c r="V249" i="28"/>
  <c r="U244" i="28"/>
  <c r="U237" i="28"/>
  <c r="V231" i="28"/>
  <c r="V224" i="28"/>
  <c r="V217" i="28"/>
  <c r="V209" i="28"/>
  <c r="V201" i="28"/>
  <c r="V193" i="28"/>
  <c r="V185" i="28"/>
  <c r="V177" i="28"/>
  <c r="V169" i="28"/>
  <c r="V161" i="28"/>
  <c r="V153" i="28"/>
  <c r="V145" i="28"/>
  <c r="V137" i="28"/>
  <c r="V129" i="28"/>
  <c r="V121" i="28"/>
  <c r="V113" i="28"/>
  <c r="V105" i="28"/>
  <c r="V97" i="28"/>
  <c r="V89" i="28"/>
  <c r="V81" i="28"/>
  <c r="V73" i="28"/>
  <c r="V65" i="28"/>
  <c r="V57" i="28"/>
  <c r="V49" i="28"/>
  <c r="V41" i="28"/>
  <c r="U32" i="28"/>
  <c r="U21" i="28"/>
  <c r="V9" i="28"/>
  <c r="V502" i="28"/>
  <c r="V498" i="28"/>
  <c r="V494" i="28"/>
  <c r="V490" i="28"/>
  <c r="V486" i="28"/>
  <c r="V482" i="28"/>
  <c r="V478" i="28"/>
  <c r="V474" i="28"/>
  <c r="V470" i="28"/>
  <c r="V466" i="28"/>
  <c r="V462" i="28"/>
  <c r="V458" i="28"/>
  <c r="V454" i="28"/>
  <c r="V450" i="28"/>
  <c r="V446" i="28"/>
  <c r="V442" i="28"/>
  <c r="V438" i="28"/>
  <c r="V434" i="28"/>
  <c r="V430" i="28"/>
  <c r="V426" i="28"/>
  <c r="V422" i="28"/>
  <c r="V418" i="28"/>
  <c r="V414" i="28"/>
  <c r="V410" i="28"/>
  <c r="V406" i="28"/>
  <c r="V402" i="28"/>
  <c r="V398" i="28"/>
  <c r="V394" i="28"/>
  <c r="V390" i="28"/>
  <c r="V386" i="28"/>
  <c r="V382" i="28"/>
  <c r="V378" i="28"/>
  <c r="V374" i="28"/>
  <c r="V370" i="28"/>
  <c r="V366" i="28"/>
  <c r="V362" i="28"/>
  <c r="V358" i="28"/>
  <c r="V354" i="28"/>
  <c r="V350" i="28"/>
  <c r="V346" i="28"/>
  <c r="V342" i="28"/>
  <c r="U337" i="28"/>
  <c r="V331" i="28"/>
  <c r="V324" i="28"/>
  <c r="V317" i="28"/>
  <c r="U312" i="28"/>
  <c r="U305" i="28"/>
  <c r="V299" i="28"/>
  <c r="V292" i="28"/>
  <c r="V285" i="28"/>
  <c r="U280" i="28"/>
  <c r="U273" i="28"/>
  <c r="V267" i="28"/>
  <c r="V260" i="28"/>
  <c r="V253" i="28"/>
  <c r="U248" i="28"/>
  <c r="U241" i="28"/>
  <c r="V235" i="28"/>
  <c r="V228" i="28"/>
  <c r="V221" i="28"/>
  <c r="U216" i="28"/>
  <c r="U208" i="28"/>
  <c r="U200" i="28"/>
  <c r="U192" i="28"/>
  <c r="U184" i="28"/>
  <c r="U176" i="28"/>
  <c r="U168" i="28"/>
  <c r="U160" i="28"/>
  <c r="U152" i="28"/>
  <c r="U144" i="28"/>
  <c r="U136" i="28"/>
  <c r="U128" i="28"/>
  <c r="U120" i="28"/>
  <c r="U112" i="28"/>
  <c r="U104" i="28"/>
  <c r="U96" i="28"/>
  <c r="U88" i="28"/>
  <c r="U80" i="28"/>
  <c r="U72" i="28"/>
  <c r="U64" i="28"/>
  <c r="U56" i="28"/>
  <c r="U48" i="28"/>
  <c r="V37" i="28"/>
  <c r="U28" i="28"/>
  <c r="U17" i="28"/>
  <c r="V5" i="28"/>
  <c r="U506" i="28"/>
  <c r="U502" i="28"/>
  <c r="U498" i="28"/>
  <c r="U494" i="28"/>
  <c r="U490" i="28"/>
  <c r="U486" i="28"/>
  <c r="U482" i="28"/>
  <c r="U478" i="28"/>
  <c r="U474" i="28"/>
  <c r="U470" i="28"/>
  <c r="U466" i="28"/>
  <c r="U462" i="28"/>
  <c r="U458" i="28"/>
  <c r="U454" i="28"/>
  <c r="U450" i="28"/>
  <c r="U446" i="28"/>
  <c r="U442" i="28"/>
  <c r="U438" i="28"/>
  <c r="U434" i="28"/>
  <c r="U430" i="28"/>
  <c r="U426" i="28"/>
  <c r="U422" i="28"/>
  <c r="U418" i="28"/>
  <c r="U414" i="28"/>
  <c r="U410" i="28"/>
  <c r="U406" i="28"/>
  <c r="U402" i="28"/>
  <c r="U398" i="28"/>
  <c r="U394" i="28"/>
  <c r="U390" i="28"/>
  <c r="U386" i="28"/>
  <c r="U382" i="28"/>
  <c r="U378" i="28"/>
  <c r="U374" i="28"/>
  <c r="U370" i="28"/>
  <c r="U366" i="28"/>
  <c r="U362" i="28"/>
  <c r="U358" i="28"/>
  <c r="U354" i="28"/>
  <c r="U350" i="28"/>
  <c r="U346" i="28"/>
  <c r="U342" i="28"/>
  <c r="V336" i="28"/>
  <c r="V329" i="28"/>
  <c r="U324" i="28"/>
  <c r="U317" i="28"/>
  <c r="V311" i="28"/>
  <c r="V304" i="28"/>
  <c r="V297" i="28"/>
  <c r="U292" i="28"/>
  <c r="U285" i="28"/>
  <c r="V279" i="28"/>
  <c r="V272" i="28"/>
  <c r="V265" i="28"/>
  <c r="U260" i="28"/>
  <c r="U253" i="28"/>
  <c r="V247" i="28"/>
  <c r="V240" i="28"/>
  <c r="V233" i="28"/>
  <c r="U228" i="28"/>
  <c r="U221" i="28"/>
  <c r="V213" i="28"/>
  <c r="V205" i="28"/>
  <c r="V197" i="28"/>
  <c r="V189" i="28"/>
  <c r="V181" i="28"/>
  <c r="V173" i="28"/>
  <c r="V165" i="28"/>
  <c r="V157" i="28"/>
  <c r="V149" i="28"/>
  <c r="V141" i="28"/>
  <c r="V133" i="28"/>
  <c r="V125" i="28"/>
  <c r="V117" i="28"/>
  <c r="V109" i="28"/>
  <c r="V101" i="28"/>
  <c r="V93" i="28"/>
  <c r="V85" i="28"/>
  <c r="V77" i="28"/>
  <c r="V69" i="28"/>
  <c r="V61" i="28"/>
  <c r="V53" i="28"/>
  <c r="V45" i="28"/>
  <c r="U37" i="28"/>
  <c r="V25" i="28"/>
  <c r="U16" i="28"/>
  <c r="U5" i="28"/>
  <c r="V505" i="28"/>
  <c r="V501" i="28"/>
  <c r="V497" i="28"/>
  <c r="V493" i="28"/>
  <c r="V489" i="28"/>
  <c r="V485" i="28"/>
  <c r="V481" i="28"/>
  <c r="V477" i="28"/>
  <c r="V473" i="28"/>
  <c r="V469" i="28"/>
  <c r="V465" i="28"/>
  <c r="V461" i="28"/>
  <c r="V457" i="28"/>
  <c r="V453" i="28"/>
  <c r="V449" i="28"/>
  <c r="V445" i="28"/>
  <c r="V441" i="28"/>
  <c r="V437" i="28"/>
  <c r="V433" i="28"/>
  <c r="V429" i="28"/>
  <c r="V425" i="28"/>
  <c r="V421" i="28"/>
  <c r="V417" i="28"/>
  <c r="V413" i="28"/>
  <c r="V409" i="28"/>
  <c r="V405" i="28"/>
  <c r="V401" i="28"/>
  <c r="V397" i="28"/>
  <c r="V393" i="28"/>
  <c r="V389" i="28"/>
  <c r="V385" i="28"/>
  <c r="V381" i="28"/>
  <c r="V377" i="28"/>
  <c r="V373" i="28"/>
  <c r="V369" i="28"/>
  <c r="V365" i="28"/>
  <c r="V361" i="28"/>
  <c r="V357" i="28"/>
  <c r="V353" i="28"/>
  <c r="V349" i="28"/>
  <c r="V345" i="28"/>
  <c r="V341" i="28"/>
  <c r="U336" i="28"/>
  <c r="U329" i="28"/>
  <c r="V323" i="28"/>
  <c r="V316" i="28"/>
  <c r="V309" i="28"/>
  <c r="U304" i="28"/>
  <c r="U297" i="28"/>
  <c r="V291" i="28"/>
  <c r="V284" i="28"/>
  <c r="V277" i="28"/>
  <c r="U272" i="28"/>
  <c r="U265" i="28"/>
  <c r="V259" i="28"/>
  <c r="V252" i="28"/>
  <c r="V245" i="28"/>
  <c r="U240" i="28"/>
  <c r="U233" i="28"/>
  <c r="V227" i="28"/>
  <c r="V220" i="28"/>
  <c r="U213" i="28"/>
  <c r="U205" i="28"/>
  <c r="U197" i="28"/>
  <c r="U189" i="28"/>
  <c r="U181" i="28"/>
  <c r="U173" i="28"/>
  <c r="U165" i="28"/>
  <c r="U157" i="28"/>
  <c r="U149" i="28"/>
  <c r="U141" i="28"/>
  <c r="U133" i="28"/>
  <c r="U125" i="28"/>
  <c r="U117" i="28"/>
  <c r="U109" i="28"/>
  <c r="U101" i="28"/>
  <c r="U93" i="28"/>
  <c r="U85" i="28"/>
  <c r="U77" i="28"/>
  <c r="U69" i="28"/>
  <c r="U61" i="28"/>
  <c r="U53" i="28"/>
  <c r="U45" i="28"/>
  <c r="U36" i="28"/>
  <c r="U25" i="28"/>
  <c r="V13" i="28"/>
  <c r="U2" i="28"/>
  <c r="U6" i="28"/>
  <c r="U10" i="28"/>
  <c r="U14" i="28"/>
  <c r="U18" i="28"/>
  <c r="U22" i="28"/>
  <c r="U26" i="28"/>
  <c r="U30" i="28"/>
  <c r="U34" i="28"/>
  <c r="U38" i="28"/>
  <c r="U42" i="28"/>
  <c r="U46" i="28"/>
  <c r="U50" i="28"/>
  <c r="U54" i="28"/>
  <c r="U58" i="28"/>
  <c r="U62" i="28"/>
  <c r="U66" i="28"/>
  <c r="U70" i="28"/>
  <c r="U74" i="28"/>
  <c r="U78" i="28"/>
  <c r="U82" i="28"/>
  <c r="U86" i="28"/>
  <c r="U90" i="28"/>
  <c r="U94" i="28"/>
  <c r="U98" i="28"/>
  <c r="U102" i="28"/>
  <c r="U106" i="28"/>
  <c r="U110" i="28"/>
  <c r="U114" i="28"/>
  <c r="U118" i="28"/>
  <c r="U122" i="28"/>
  <c r="U126" i="28"/>
  <c r="U130" i="28"/>
  <c r="U134" i="28"/>
  <c r="U138" i="28"/>
  <c r="U142" i="28"/>
  <c r="U146" i="28"/>
  <c r="U150" i="28"/>
  <c r="U154" i="28"/>
  <c r="U158" i="28"/>
  <c r="U162" i="28"/>
  <c r="U166" i="28"/>
  <c r="U170" i="28"/>
  <c r="U174" i="28"/>
  <c r="U178" i="28"/>
  <c r="U182" i="28"/>
  <c r="U186" i="28"/>
  <c r="U190" i="28"/>
  <c r="U194" i="28"/>
  <c r="U198" i="28"/>
  <c r="U202" i="28"/>
  <c r="U206" i="28"/>
  <c r="U210" i="28"/>
  <c r="U214" i="28"/>
  <c r="U218" i="28"/>
  <c r="U222" i="28"/>
  <c r="U226" i="28"/>
  <c r="U230" i="28"/>
  <c r="U234" i="28"/>
  <c r="U238" i="28"/>
  <c r="U242" i="28"/>
  <c r="U246" i="28"/>
  <c r="U250" i="28"/>
  <c r="U254" i="28"/>
  <c r="U258" i="28"/>
  <c r="U262" i="28"/>
  <c r="U266" i="28"/>
  <c r="U270" i="28"/>
  <c r="U274" i="28"/>
  <c r="U278" i="28"/>
  <c r="U282" i="28"/>
  <c r="U286" i="28"/>
  <c r="U290" i="28"/>
  <c r="U294" i="28"/>
  <c r="U298" i="28"/>
  <c r="U302" i="28"/>
  <c r="U306" i="28"/>
  <c r="U310" i="28"/>
  <c r="U314" i="28"/>
  <c r="U318" i="28"/>
  <c r="U322" i="28"/>
  <c r="U326" i="28"/>
  <c r="U330" i="28"/>
  <c r="U334" i="28"/>
  <c r="U338" i="28"/>
  <c r="V2" i="28"/>
  <c r="V6" i="28"/>
  <c r="V10" i="28"/>
  <c r="V14" i="28"/>
  <c r="V18" i="28"/>
  <c r="V22" i="28"/>
  <c r="V26" i="28"/>
  <c r="V30" i="28"/>
  <c r="V34" i="28"/>
  <c r="V38" i="28"/>
  <c r="V42" i="28"/>
  <c r="V46" i="28"/>
  <c r="V50" i="28"/>
  <c r="V54" i="28"/>
  <c r="V58" i="28"/>
  <c r="V62" i="28"/>
  <c r="V66" i="28"/>
  <c r="V70" i="28"/>
  <c r="V74" i="28"/>
  <c r="V78" i="28"/>
  <c r="V82" i="28"/>
  <c r="V86" i="28"/>
  <c r="V90" i="28"/>
  <c r="V94" i="28"/>
  <c r="V98" i="28"/>
  <c r="V102" i="28"/>
  <c r="V106" i="28"/>
  <c r="V110" i="28"/>
  <c r="V114" i="28"/>
  <c r="V118" i="28"/>
  <c r="V122" i="28"/>
  <c r="V126" i="28"/>
  <c r="V130" i="28"/>
  <c r="V134" i="28"/>
  <c r="V138" i="28"/>
  <c r="V142" i="28"/>
  <c r="V146" i="28"/>
  <c r="V150" i="28"/>
  <c r="V154" i="28"/>
  <c r="V158" i="28"/>
  <c r="V162" i="28"/>
  <c r="V166" i="28"/>
  <c r="V170" i="28"/>
  <c r="V174" i="28"/>
  <c r="V178" i="28"/>
  <c r="V182" i="28"/>
  <c r="V186" i="28"/>
  <c r="V190" i="28"/>
  <c r="V194" i="28"/>
  <c r="V198" i="28"/>
  <c r="V202" i="28"/>
  <c r="V206" i="28"/>
  <c r="V210" i="28"/>
  <c r="V214" i="28"/>
  <c r="V218" i="28"/>
  <c r="V222" i="28"/>
  <c r="V226" i="28"/>
  <c r="V230" i="28"/>
  <c r="V234" i="28"/>
  <c r="V238" i="28"/>
  <c r="V242" i="28"/>
  <c r="V246" i="28"/>
  <c r="V250" i="28"/>
  <c r="V254" i="28"/>
  <c r="V258" i="28"/>
  <c r="V262" i="28"/>
  <c r="V266" i="28"/>
  <c r="V270" i="28"/>
  <c r="V274" i="28"/>
  <c r="V278" i="28"/>
  <c r="V282" i="28"/>
  <c r="V286" i="28"/>
  <c r="V290" i="28"/>
  <c r="V294" i="28"/>
  <c r="V298" i="28"/>
  <c r="V302" i="28"/>
  <c r="V306" i="28"/>
  <c r="V310" i="28"/>
  <c r="V314" i="28"/>
  <c r="V318" i="28"/>
  <c r="V322" i="28"/>
  <c r="V326" i="28"/>
  <c r="V330" i="28"/>
  <c r="V334" i="28"/>
  <c r="V338" i="28"/>
  <c r="U3" i="28"/>
  <c r="U7" i="28"/>
  <c r="U11" i="28"/>
  <c r="U15" i="28"/>
  <c r="U19" i="28"/>
  <c r="U23" i="28"/>
  <c r="U27" i="28"/>
  <c r="U31" i="28"/>
  <c r="U35" i="28"/>
  <c r="U39" i="28"/>
  <c r="U43" i="28"/>
  <c r="U47" i="28"/>
  <c r="U51" i="28"/>
  <c r="U55" i="28"/>
  <c r="U59" i="28"/>
  <c r="U63" i="28"/>
  <c r="U67" i="28"/>
  <c r="U71" i="28"/>
  <c r="U75" i="28"/>
  <c r="U79" i="28"/>
  <c r="U83" i="28"/>
  <c r="U87" i="28"/>
  <c r="U91" i="28"/>
  <c r="U95" i="28"/>
  <c r="U99" i="28"/>
  <c r="U103" i="28"/>
  <c r="U107" i="28"/>
  <c r="U111" i="28"/>
  <c r="U115" i="28"/>
  <c r="U119" i="28"/>
  <c r="U123" i="28"/>
  <c r="U127" i="28"/>
  <c r="U131" i="28"/>
  <c r="U135" i="28"/>
  <c r="U139" i="28"/>
  <c r="U143" i="28"/>
  <c r="U147" i="28"/>
  <c r="U151" i="28"/>
  <c r="U155" i="28"/>
  <c r="U159" i="28"/>
  <c r="U163" i="28"/>
  <c r="U167" i="28"/>
  <c r="U171" i="28"/>
  <c r="U175" i="28"/>
  <c r="U179" i="28"/>
  <c r="U183" i="28"/>
  <c r="U187" i="28"/>
  <c r="U191" i="28"/>
  <c r="U195" i="28"/>
  <c r="U199" i="28"/>
  <c r="U203" i="28"/>
  <c r="U207" i="28"/>
  <c r="U211" i="28"/>
  <c r="U215" i="28"/>
  <c r="U219" i="28"/>
  <c r="U223" i="28"/>
  <c r="U227" i="28"/>
  <c r="U231" i="28"/>
  <c r="U235" i="28"/>
  <c r="U239" i="28"/>
  <c r="U243" i="28"/>
  <c r="U247" i="28"/>
  <c r="U251" i="28"/>
  <c r="U255" i="28"/>
  <c r="U259" i="28"/>
  <c r="U263" i="28"/>
  <c r="U267" i="28"/>
  <c r="U271" i="28"/>
  <c r="U275" i="28"/>
  <c r="U279" i="28"/>
  <c r="U283" i="28"/>
  <c r="U287" i="28"/>
  <c r="U291" i="28"/>
  <c r="U295" i="28"/>
  <c r="U299" i="28"/>
  <c r="U303" i="28"/>
  <c r="U307" i="28"/>
  <c r="U311" i="28"/>
  <c r="U315" i="28"/>
  <c r="U319" i="28"/>
  <c r="U323" i="28"/>
  <c r="U327" i="28"/>
  <c r="U331" i="28"/>
  <c r="U335" i="28"/>
  <c r="U339" i="28"/>
  <c r="V3" i="28"/>
  <c r="V7" i="28"/>
  <c r="V11" i="28"/>
  <c r="V15" i="28"/>
  <c r="V19" i="28"/>
  <c r="V23" i="28"/>
  <c r="V27" i="28"/>
  <c r="V31" i="28"/>
  <c r="V35" i="28"/>
  <c r="V39" i="28"/>
  <c r="V43" i="28"/>
  <c r="V47" i="28"/>
  <c r="V51" i="28"/>
  <c r="V55" i="28"/>
  <c r="V59" i="28"/>
  <c r="V63" i="28"/>
  <c r="V67" i="28"/>
  <c r="V71" i="28"/>
  <c r="V75" i="28"/>
  <c r="V79" i="28"/>
  <c r="V83" i="28"/>
  <c r="V87" i="28"/>
  <c r="V91" i="28"/>
  <c r="V95" i="28"/>
  <c r="V99" i="28"/>
  <c r="V103" i="28"/>
  <c r="V107" i="28"/>
  <c r="V111" i="28"/>
  <c r="V115" i="28"/>
  <c r="V119" i="28"/>
  <c r="V123" i="28"/>
  <c r="V127" i="28"/>
  <c r="V131" i="28"/>
  <c r="V135" i="28"/>
  <c r="V139" i="28"/>
  <c r="V143" i="28"/>
  <c r="V147" i="28"/>
  <c r="V151" i="28"/>
  <c r="V155" i="28"/>
  <c r="V159" i="28"/>
  <c r="V163" i="28"/>
  <c r="V167" i="28"/>
  <c r="V171" i="28"/>
  <c r="V175" i="28"/>
  <c r="V179" i="28"/>
  <c r="V183" i="28"/>
  <c r="V187" i="28"/>
  <c r="V191" i="28"/>
  <c r="V195" i="28"/>
  <c r="V199" i="28"/>
  <c r="V203" i="28"/>
  <c r="V207" i="28"/>
  <c r="V211" i="28"/>
  <c r="V215" i="28"/>
  <c r="V4" i="28"/>
  <c r="V8" i="28"/>
  <c r="V12" i="28"/>
  <c r="V16" i="28"/>
  <c r="V20" i="28"/>
  <c r="V24" i="28"/>
  <c r="V28" i="28"/>
  <c r="V32" i="28"/>
  <c r="V36" i="28"/>
  <c r="V40" i="28"/>
  <c r="A497" i="2" l="1"/>
  <c r="C497" i="2" s="1"/>
  <c r="I497" i="2"/>
  <c r="K497" i="2"/>
  <c r="M497" i="2"/>
  <c r="P497" i="2"/>
  <c r="A496" i="2"/>
  <c r="C496" i="2" s="1"/>
  <c r="I496" i="2"/>
  <c r="K496" i="2"/>
  <c r="M496" i="2"/>
  <c r="P496" i="2"/>
  <c r="A495" i="2"/>
  <c r="C495" i="2" s="1"/>
  <c r="I495" i="2"/>
  <c r="K495" i="2"/>
  <c r="M495" i="2"/>
  <c r="P495" i="2"/>
  <c r="A494" i="2"/>
  <c r="C494" i="2" s="1"/>
  <c r="I494" i="2"/>
  <c r="K494" i="2"/>
  <c r="M494" i="2"/>
  <c r="P494" i="2"/>
  <c r="A493" i="2"/>
  <c r="C493" i="2" s="1"/>
  <c r="I493" i="2"/>
  <c r="K493" i="2"/>
  <c r="M493" i="2"/>
  <c r="P493" i="2"/>
  <c r="B1952" i="3" l="1"/>
  <c r="C1952" i="3"/>
  <c r="H1952" i="3" s="1"/>
  <c r="K1952" i="3"/>
  <c r="N1952" i="3"/>
  <c r="P1952" i="3"/>
  <c r="Q1952" i="3"/>
  <c r="B1951" i="3"/>
  <c r="C1951" i="3"/>
  <c r="H1951" i="3" s="1"/>
  <c r="K1951" i="3"/>
  <c r="N1951" i="3"/>
  <c r="P1951" i="3"/>
  <c r="Q1951" i="3"/>
  <c r="B1950" i="3"/>
  <c r="C1950" i="3"/>
  <c r="H1950" i="3" s="1"/>
  <c r="K1950" i="3"/>
  <c r="N1950" i="3"/>
  <c r="P1950" i="3"/>
  <c r="Q1950" i="3"/>
  <c r="B1943" i="3"/>
  <c r="B1944" i="3"/>
  <c r="B1945" i="3"/>
  <c r="B1946" i="3"/>
  <c r="B1947" i="3"/>
  <c r="B1948" i="3"/>
  <c r="B1949" i="3"/>
  <c r="C1943" i="3"/>
  <c r="H1943" i="3" s="1"/>
  <c r="C1944" i="3"/>
  <c r="H1944" i="3" s="1"/>
  <c r="C1945" i="3"/>
  <c r="H1945" i="3" s="1"/>
  <c r="C1946" i="3"/>
  <c r="H1946" i="3" s="1"/>
  <c r="C1947" i="3"/>
  <c r="H1947" i="3" s="1"/>
  <c r="C1948" i="3"/>
  <c r="H1948" i="3" s="1"/>
  <c r="C1949" i="3"/>
  <c r="H1949" i="3" s="1"/>
  <c r="K1943" i="3"/>
  <c r="K1944" i="3"/>
  <c r="K1945" i="3"/>
  <c r="K1946" i="3"/>
  <c r="K1947" i="3"/>
  <c r="K1948" i="3"/>
  <c r="K1949" i="3"/>
  <c r="N1943" i="3"/>
  <c r="N1944" i="3"/>
  <c r="N1945" i="3"/>
  <c r="N1946" i="3"/>
  <c r="N1947" i="3"/>
  <c r="N1948" i="3"/>
  <c r="N1949" i="3"/>
  <c r="P1943" i="3"/>
  <c r="P1944" i="3"/>
  <c r="P1945" i="3"/>
  <c r="P1946" i="3"/>
  <c r="P1947" i="3"/>
  <c r="P1948" i="3"/>
  <c r="P1949" i="3"/>
  <c r="Q1943" i="3"/>
  <c r="Q1944" i="3"/>
  <c r="Q1945" i="3"/>
  <c r="Q1946" i="3"/>
  <c r="Q1947" i="3"/>
  <c r="Q1948" i="3"/>
  <c r="Q1949" i="3"/>
  <c r="C419" i="1"/>
  <c r="C420" i="1"/>
  <c r="E419" i="1"/>
  <c r="E420" i="1"/>
  <c r="H419" i="1"/>
  <c r="H420" i="1"/>
  <c r="I419" i="1"/>
  <c r="I420" i="1"/>
  <c r="AC419" i="1"/>
  <c r="AC420" i="1"/>
  <c r="AD419" i="1"/>
  <c r="AD420" i="1"/>
  <c r="E1932" i="3"/>
  <c r="J1944" i="3" l="1"/>
  <c r="O1943" i="3"/>
  <c r="O1946" i="3"/>
  <c r="J1948" i="3"/>
  <c r="O1945" i="3"/>
  <c r="O1944" i="3"/>
  <c r="J1951" i="3"/>
  <c r="O1949" i="3"/>
  <c r="O1948" i="3"/>
  <c r="J1949" i="3"/>
  <c r="J1945" i="3"/>
  <c r="J1946" i="3"/>
  <c r="J1947" i="3"/>
  <c r="O1951" i="3"/>
  <c r="O1947" i="3"/>
  <c r="O1952" i="3"/>
  <c r="J1952" i="3"/>
  <c r="O1950" i="3"/>
  <c r="J1950" i="3"/>
  <c r="J1943" i="3"/>
  <c r="AU420" i="1"/>
  <c r="AU419" i="1"/>
  <c r="K1935" i="3" l="1"/>
  <c r="K1936" i="3"/>
  <c r="K1937" i="3"/>
  <c r="K1938" i="3"/>
  <c r="K1939" i="3"/>
  <c r="K1940" i="3"/>
  <c r="K1941" i="3"/>
  <c r="K1942" i="3"/>
  <c r="B1935" i="3"/>
  <c r="B1936" i="3"/>
  <c r="B1937" i="3"/>
  <c r="B1938" i="3"/>
  <c r="B1939" i="3"/>
  <c r="B1940" i="3"/>
  <c r="B1941" i="3"/>
  <c r="B1942" i="3"/>
  <c r="C1935" i="3"/>
  <c r="H1935" i="3" s="1"/>
  <c r="C1936" i="3"/>
  <c r="H1936" i="3" s="1"/>
  <c r="C1937" i="3"/>
  <c r="H1937" i="3" s="1"/>
  <c r="C1938" i="3"/>
  <c r="H1938" i="3" s="1"/>
  <c r="C1939" i="3"/>
  <c r="H1939" i="3" s="1"/>
  <c r="C1940" i="3"/>
  <c r="H1940" i="3" s="1"/>
  <c r="C1941" i="3"/>
  <c r="H1941" i="3" s="1"/>
  <c r="C1942" i="3"/>
  <c r="H1942" i="3" s="1"/>
  <c r="N1935" i="3"/>
  <c r="N1936" i="3"/>
  <c r="N1937" i="3"/>
  <c r="N1938" i="3"/>
  <c r="N1939" i="3"/>
  <c r="N1940" i="3"/>
  <c r="N1941" i="3"/>
  <c r="N1942" i="3"/>
  <c r="O1935" i="3"/>
  <c r="O1936" i="3"/>
  <c r="O1937" i="3"/>
  <c r="P1935" i="3"/>
  <c r="P1936" i="3"/>
  <c r="P1937" i="3"/>
  <c r="P1938" i="3"/>
  <c r="P1939" i="3"/>
  <c r="P1940" i="3"/>
  <c r="P1941" i="3"/>
  <c r="P1942" i="3"/>
  <c r="Q1935" i="3"/>
  <c r="Q1936" i="3"/>
  <c r="Q1937" i="3"/>
  <c r="Q1938" i="3"/>
  <c r="Q1939" i="3"/>
  <c r="Q1940" i="3"/>
  <c r="Q1941" i="3"/>
  <c r="Q1942" i="3"/>
  <c r="E1918" i="3"/>
  <c r="O1939" i="3" l="1"/>
  <c r="O1938" i="3"/>
  <c r="O1941" i="3"/>
  <c r="J1939" i="3"/>
  <c r="O1942" i="3"/>
  <c r="O1940" i="3"/>
  <c r="J1941" i="3"/>
  <c r="J1942" i="3"/>
  <c r="J1940" i="3"/>
  <c r="J1938" i="3"/>
  <c r="J1936" i="3"/>
  <c r="J1935" i="3"/>
  <c r="J1937" i="3"/>
  <c r="C416" i="1"/>
  <c r="C417" i="1"/>
  <c r="C418" i="1"/>
  <c r="E416" i="1"/>
  <c r="E417" i="1"/>
  <c r="E418" i="1"/>
  <c r="H416" i="1"/>
  <c r="H417" i="1"/>
  <c r="H418" i="1"/>
  <c r="I416" i="1"/>
  <c r="I417" i="1"/>
  <c r="I418" i="1"/>
  <c r="AC416" i="1"/>
  <c r="AC417" i="1"/>
  <c r="AC418" i="1"/>
  <c r="AD416" i="1"/>
  <c r="AD417" i="1"/>
  <c r="AD418" i="1"/>
  <c r="AU418" i="1" l="1"/>
  <c r="AU417" i="1"/>
  <c r="AU416" i="1"/>
  <c r="A492" i="2"/>
  <c r="C492" i="2" s="1"/>
  <c r="I492" i="2"/>
  <c r="K492" i="2"/>
  <c r="M492" i="2"/>
  <c r="P492" i="2"/>
  <c r="B1931" i="3" l="1"/>
  <c r="B1932" i="3"/>
  <c r="B1933" i="3"/>
  <c r="B1934" i="3"/>
  <c r="C1931" i="3"/>
  <c r="H1931" i="3" s="1"/>
  <c r="C1932" i="3"/>
  <c r="H1932" i="3" s="1"/>
  <c r="C1933" i="3"/>
  <c r="C1934" i="3"/>
  <c r="H1934" i="3" s="1"/>
  <c r="K1931" i="3"/>
  <c r="K1932" i="3"/>
  <c r="K1933" i="3"/>
  <c r="K1934" i="3"/>
  <c r="N1931" i="3"/>
  <c r="N1932" i="3"/>
  <c r="N1933" i="3"/>
  <c r="N1934" i="3"/>
  <c r="P1931" i="3"/>
  <c r="P1932" i="3"/>
  <c r="P1933" i="3"/>
  <c r="P1934" i="3"/>
  <c r="Q1931" i="3"/>
  <c r="Q1932" i="3"/>
  <c r="Q1933" i="3"/>
  <c r="Q1934" i="3"/>
  <c r="B1930" i="3"/>
  <c r="C1930" i="3"/>
  <c r="H1930" i="3" s="1"/>
  <c r="K1930" i="3"/>
  <c r="N1930" i="3"/>
  <c r="P1930" i="3"/>
  <c r="Q1930" i="3"/>
  <c r="A491" i="2"/>
  <c r="C491" i="2" s="1"/>
  <c r="I491" i="2"/>
  <c r="K491" i="2"/>
  <c r="M491" i="2"/>
  <c r="P491" i="2"/>
  <c r="J1933" i="3" l="1"/>
  <c r="H1933" i="3"/>
  <c r="J1932" i="3"/>
  <c r="J1931" i="3"/>
  <c r="O1931" i="3"/>
  <c r="O1932" i="3"/>
  <c r="O1933" i="3"/>
  <c r="O1934" i="3"/>
  <c r="J1934" i="3"/>
  <c r="O1930" i="3"/>
  <c r="J1930" i="3"/>
  <c r="A490" i="2" l="1"/>
  <c r="C490" i="2" s="1"/>
  <c r="I490" i="2"/>
  <c r="K490" i="2"/>
  <c r="M490" i="2"/>
  <c r="P490" i="2"/>
  <c r="A489" i="2"/>
  <c r="C489" i="2" s="1"/>
  <c r="I489" i="2"/>
  <c r="K489" i="2"/>
  <c r="M489" i="2"/>
  <c r="P489" i="2"/>
  <c r="A488" i="2"/>
  <c r="C488" i="2" s="1"/>
  <c r="I488" i="2"/>
  <c r="K488" i="2"/>
  <c r="M488" i="2"/>
  <c r="P488" i="2"/>
  <c r="A487" i="2"/>
  <c r="C487" i="2" s="1"/>
  <c r="I487" i="2"/>
  <c r="K487" i="2"/>
  <c r="M487" i="2"/>
  <c r="P487" i="2"/>
  <c r="AC410" i="1" l="1"/>
  <c r="AD410" i="1"/>
  <c r="C415" i="1"/>
  <c r="E415" i="1"/>
  <c r="H415" i="1"/>
  <c r="I415" i="1"/>
  <c r="AC415" i="1"/>
  <c r="AD415" i="1"/>
  <c r="AU415" i="1" l="1"/>
  <c r="B1926" i="3"/>
  <c r="B1927" i="3"/>
  <c r="B1928" i="3"/>
  <c r="B1929" i="3"/>
  <c r="C1926" i="3"/>
  <c r="H1926" i="3" s="1"/>
  <c r="C1927" i="3"/>
  <c r="H1927" i="3" s="1"/>
  <c r="C1928" i="3"/>
  <c r="H1928" i="3" s="1"/>
  <c r="C1929" i="3"/>
  <c r="H1929" i="3" s="1"/>
  <c r="K1926" i="3"/>
  <c r="K1927" i="3"/>
  <c r="K1928" i="3"/>
  <c r="K1929" i="3"/>
  <c r="N1926" i="3"/>
  <c r="N1927" i="3"/>
  <c r="N1928" i="3"/>
  <c r="N1929" i="3"/>
  <c r="O1929" i="3"/>
  <c r="P1926" i="3"/>
  <c r="P1927" i="3"/>
  <c r="P1928" i="3"/>
  <c r="P1929" i="3"/>
  <c r="Q1926" i="3"/>
  <c r="Q1927" i="3"/>
  <c r="Q1928" i="3"/>
  <c r="Q1929" i="3"/>
  <c r="O1927" i="3" l="1"/>
  <c r="O1926" i="3"/>
  <c r="J1927" i="3"/>
  <c r="J1929" i="3"/>
  <c r="J1926" i="3"/>
  <c r="J1928" i="3"/>
  <c r="O1928" i="3"/>
  <c r="C414" i="1" l="1"/>
  <c r="C413" i="1"/>
  <c r="C412" i="1"/>
  <c r="E412" i="1"/>
  <c r="E413" i="1"/>
  <c r="E414" i="1"/>
  <c r="H412" i="1"/>
  <c r="H413" i="1"/>
  <c r="H414" i="1"/>
  <c r="I412" i="1"/>
  <c r="I413" i="1"/>
  <c r="I414" i="1"/>
  <c r="AC412" i="1"/>
  <c r="AC413" i="1"/>
  <c r="AC414" i="1"/>
  <c r="AD412" i="1"/>
  <c r="AD413" i="1"/>
  <c r="AD414" i="1"/>
  <c r="B1917" i="3"/>
  <c r="B1918" i="3"/>
  <c r="B1919" i="3"/>
  <c r="B1920" i="3"/>
  <c r="B1921" i="3"/>
  <c r="B1922" i="3"/>
  <c r="B1923" i="3"/>
  <c r="B1924" i="3"/>
  <c r="B1925" i="3"/>
  <c r="C1917" i="3"/>
  <c r="H1917" i="3" s="1"/>
  <c r="C1918" i="3"/>
  <c r="H1918" i="3" s="1"/>
  <c r="C1919" i="3"/>
  <c r="H1919" i="3" s="1"/>
  <c r="C1920" i="3"/>
  <c r="C1921" i="3"/>
  <c r="H1921" i="3" s="1"/>
  <c r="C1922" i="3"/>
  <c r="H1922" i="3" s="1"/>
  <c r="C1923" i="3"/>
  <c r="C1924" i="3"/>
  <c r="H1924" i="3" s="1"/>
  <c r="C1925" i="3"/>
  <c r="H1925" i="3" s="1"/>
  <c r="K1917" i="3"/>
  <c r="K1918" i="3"/>
  <c r="K1919" i="3"/>
  <c r="K1920" i="3"/>
  <c r="K1921" i="3"/>
  <c r="K1922" i="3"/>
  <c r="K1923" i="3"/>
  <c r="K1924" i="3"/>
  <c r="K1925" i="3"/>
  <c r="N1917" i="3"/>
  <c r="N1918" i="3"/>
  <c r="N1919" i="3"/>
  <c r="N1920" i="3"/>
  <c r="N1921" i="3"/>
  <c r="N1922" i="3"/>
  <c r="N1923" i="3"/>
  <c r="N1924" i="3"/>
  <c r="N1925" i="3"/>
  <c r="O1918" i="3"/>
  <c r="P1917" i="3"/>
  <c r="P1918" i="3"/>
  <c r="P1919" i="3"/>
  <c r="P1920" i="3"/>
  <c r="P1921" i="3"/>
  <c r="P1922" i="3"/>
  <c r="P1923" i="3"/>
  <c r="P1924" i="3"/>
  <c r="P1925" i="3"/>
  <c r="Q1917" i="3"/>
  <c r="Q1918" i="3"/>
  <c r="Q1919" i="3"/>
  <c r="Q1920" i="3"/>
  <c r="Q1921" i="3"/>
  <c r="Q1922" i="3"/>
  <c r="Q1923" i="3"/>
  <c r="Q1924" i="3"/>
  <c r="Q1925" i="3"/>
  <c r="J1920" i="3" l="1"/>
  <c r="H1920" i="3"/>
  <c r="J1923" i="3"/>
  <c r="H1923" i="3"/>
  <c r="O1919" i="3"/>
  <c r="O1920" i="3"/>
  <c r="J1919" i="3"/>
  <c r="O1925" i="3"/>
  <c r="J1925" i="3"/>
  <c r="J1918" i="3"/>
  <c r="O1923" i="3"/>
  <c r="J1924" i="3"/>
  <c r="O1924" i="3"/>
  <c r="O1917" i="3"/>
  <c r="AU414" i="1"/>
  <c r="AU413" i="1"/>
  <c r="AU412" i="1"/>
  <c r="J1917" i="3"/>
  <c r="J1922" i="3"/>
  <c r="J1921" i="3"/>
  <c r="O1922" i="3"/>
  <c r="O1921" i="3"/>
  <c r="C411" i="1"/>
  <c r="E411" i="1"/>
  <c r="H411" i="1"/>
  <c r="I411" i="1"/>
  <c r="AC411" i="1"/>
  <c r="AD411" i="1"/>
  <c r="C410" i="1"/>
  <c r="E410" i="1"/>
  <c r="H410" i="1"/>
  <c r="I410" i="1"/>
  <c r="C409" i="1"/>
  <c r="E409" i="1"/>
  <c r="H409" i="1"/>
  <c r="I409" i="1"/>
  <c r="AC409" i="1"/>
  <c r="AD409" i="1"/>
  <c r="B1911" i="3"/>
  <c r="B1912" i="3"/>
  <c r="B1906" i="3"/>
  <c r="B1915" i="3"/>
  <c r="B1914" i="3"/>
  <c r="B1908" i="3"/>
  <c r="B1913" i="3"/>
  <c r="B1910" i="3"/>
  <c r="B1909" i="3"/>
  <c r="B1907" i="3"/>
  <c r="C1911" i="3"/>
  <c r="H1911" i="3" s="1"/>
  <c r="C1912" i="3"/>
  <c r="H1912" i="3" s="1"/>
  <c r="C1906" i="3"/>
  <c r="C1915" i="3"/>
  <c r="C1914" i="3"/>
  <c r="C1908" i="3"/>
  <c r="C1913" i="3"/>
  <c r="C1910" i="3"/>
  <c r="C1909" i="3"/>
  <c r="C1907" i="3"/>
  <c r="K1911" i="3"/>
  <c r="K1912" i="3"/>
  <c r="K1906" i="3"/>
  <c r="K1915" i="3"/>
  <c r="K1914" i="3"/>
  <c r="K1908" i="3"/>
  <c r="K1913" i="3"/>
  <c r="K1910" i="3"/>
  <c r="K1909" i="3"/>
  <c r="K1907" i="3"/>
  <c r="N1911" i="3"/>
  <c r="N1912" i="3"/>
  <c r="N1906" i="3"/>
  <c r="N1915" i="3"/>
  <c r="N1914" i="3"/>
  <c r="N1908" i="3"/>
  <c r="N1913" i="3"/>
  <c r="N1910" i="3"/>
  <c r="N1909" i="3"/>
  <c r="N1907" i="3"/>
  <c r="P1911" i="3"/>
  <c r="P1912" i="3"/>
  <c r="P1906" i="3"/>
  <c r="P1915" i="3"/>
  <c r="P1914" i="3"/>
  <c r="P1908" i="3"/>
  <c r="P1913" i="3"/>
  <c r="P1910" i="3"/>
  <c r="P1909" i="3"/>
  <c r="P1907" i="3"/>
  <c r="Q1911" i="3"/>
  <c r="Q1912" i="3"/>
  <c r="Q1906" i="3"/>
  <c r="Q1915" i="3"/>
  <c r="Q1914" i="3"/>
  <c r="Q1908" i="3"/>
  <c r="Q1913" i="3"/>
  <c r="Q1910" i="3"/>
  <c r="Q1909" i="3"/>
  <c r="Q1907" i="3"/>
  <c r="O1910" i="3" l="1"/>
  <c r="H1910" i="3"/>
  <c r="J1914" i="3"/>
  <c r="H1914" i="3"/>
  <c r="J1915" i="3"/>
  <c r="H1915" i="3"/>
  <c r="O1913" i="3"/>
  <c r="H1913" i="3"/>
  <c r="O1908" i="3"/>
  <c r="H1908" i="3"/>
  <c r="J1907" i="3"/>
  <c r="H1907" i="3"/>
  <c r="J1909" i="3"/>
  <c r="H1909" i="3"/>
  <c r="J1906" i="3"/>
  <c r="H1906" i="3"/>
  <c r="J1911" i="3"/>
  <c r="O1912" i="3"/>
  <c r="J1910" i="3"/>
  <c r="O1911" i="3"/>
  <c r="J1913" i="3"/>
  <c r="O1914" i="3"/>
  <c r="J1908" i="3"/>
  <c r="J1912" i="3"/>
  <c r="AU411" i="1"/>
  <c r="AU410" i="1"/>
  <c r="AU409" i="1"/>
  <c r="O1906" i="3"/>
  <c r="O1909" i="3"/>
  <c r="O1915" i="3"/>
  <c r="O1907" i="3"/>
  <c r="A486" i="2"/>
  <c r="C486" i="2" s="1"/>
  <c r="I486" i="2"/>
  <c r="K486" i="2"/>
  <c r="M486" i="2"/>
  <c r="P486" i="2"/>
  <c r="A485" i="2" l="1"/>
  <c r="C485" i="2" s="1"/>
  <c r="I485" i="2"/>
  <c r="K485" i="2"/>
  <c r="M485" i="2"/>
  <c r="P485" i="2"/>
  <c r="C404" i="1"/>
  <c r="C405" i="1"/>
  <c r="C406" i="1"/>
  <c r="C407" i="1"/>
  <c r="C408" i="1"/>
  <c r="E404" i="1"/>
  <c r="E405" i="1"/>
  <c r="E406" i="1"/>
  <c r="E407" i="1"/>
  <c r="E408" i="1"/>
  <c r="H404" i="1"/>
  <c r="H405" i="1"/>
  <c r="H406" i="1"/>
  <c r="H407" i="1"/>
  <c r="H408" i="1"/>
  <c r="I404" i="1"/>
  <c r="I405" i="1"/>
  <c r="I406" i="1"/>
  <c r="I407" i="1"/>
  <c r="I408" i="1"/>
  <c r="AC404" i="1"/>
  <c r="AC405" i="1"/>
  <c r="AC406" i="1"/>
  <c r="AC407" i="1"/>
  <c r="AC408" i="1"/>
  <c r="AD404" i="1"/>
  <c r="AD405" i="1"/>
  <c r="AD406" i="1"/>
  <c r="AD407" i="1"/>
  <c r="AD408" i="1"/>
  <c r="C403" i="1"/>
  <c r="E403" i="1"/>
  <c r="H403" i="1"/>
  <c r="I403" i="1"/>
  <c r="AC403" i="1"/>
  <c r="AD403" i="1"/>
  <c r="B1895" i="3"/>
  <c r="C1895" i="3"/>
  <c r="J1895" i="3" s="1"/>
  <c r="I1895" i="3"/>
  <c r="K1895" i="3"/>
  <c r="N1895" i="3"/>
  <c r="P1895" i="3"/>
  <c r="Q1895" i="3"/>
  <c r="B1896" i="3"/>
  <c r="C1896" i="3"/>
  <c r="O1896" i="3" s="1"/>
  <c r="I1896" i="3"/>
  <c r="K1896" i="3"/>
  <c r="N1896" i="3"/>
  <c r="P1896" i="3"/>
  <c r="Q1896" i="3"/>
  <c r="B1900" i="3"/>
  <c r="C1900" i="3"/>
  <c r="J1900" i="3" s="1"/>
  <c r="I1900" i="3"/>
  <c r="K1900" i="3"/>
  <c r="N1900" i="3"/>
  <c r="P1900" i="3"/>
  <c r="Q1900" i="3"/>
  <c r="B1904" i="3"/>
  <c r="C1904" i="3"/>
  <c r="H1904" i="3" s="1"/>
  <c r="I1904" i="3"/>
  <c r="K1904" i="3"/>
  <c r="N1904" i="3"/>
  <c r="P1904" i="3"/>
  <c r="Q1904" i="3"/>
  <c r="B1905" i="3"/>
  <c r="C1905" i="3"/>
  <c r="O1905" i="3" s="1"/>
  <c r="I1905" i="3"/>
  <c r="K1905" i="3"/>
  <c r="N1905" i="3"/>
  <c r="P1905" i="3"/>
  <c r="Q1905" i="3"/>
  <c r="B1902" i="3"/>
  <c r="C1902" i="3"/>
  <c r="O1902" i="3" s="1"/>
  <c r="I1902" i="3"/>
  <c r="K1902" i="3"/>
  <c r="N1902" i="3"/>
  <c r="P1902" i="3"/>
  <c r="Q1902" i="3"/>
  <c r="B1894" i="3"/>
  <c r="C1894" i="3"/>
  <c r="I1894" i="3"/>
  <c r="K1894" i="3"/>
  <c r="N1894" i="3"/>
  <c r="P1894" i="3"/>
  <c r="Q1894" i="3"/>
  <c r="B1897" i="3"/>
  <c r="C1897" i="3"/>
  <c r="H1897" i="3" s="1"/>
  <c r="I1897" i="3"/>
  <c r="K1897" i="3"/>
  <c r="N1897" i="3"/>
  <c r="P1897" i="3"/>
  <c r="Q1897" i="3"/>
  <c r="B1898" i="3"/>
  <c r="C1898" i="3"/>
  <c r="I1898" i="3"/>
  <c r="K1898" i="3"/>
  <c r="N1898" i="3"/>
  <c r="P1898" i="3"/>
  <c r="Q1898" i="3"/>
  <c r="B1899" i="3"/>
  <c r="C1899" i="3"/>
  <c r="I1899" i="3"/>
  <c r="K1899" i="3"/>
  <c r="N1899" i="3"/>
  <c r="P1899" i="3"/>
  <c r="Q1899" i="3"/>
  <c r="B1901" i="3"/>
  <c r="C1901" i="3"/>
  <c r="I1901" i="3"/>
  <c r="K1901" i="3"/>
  <c r="N1901" i="3"/>
  <c r="P1901" i="3"/>
  <c r="Q1901" i="3"/>
  <c r="B1903" i="3"/>
  <c r="C1903" i="3"/>
  <c r="I1903" i="3"/>
  <c r="K1903" i="3"/>
  <c r="N1903" i="3"/>
  <c r="P1903" i="3"/>
  <c r="Q1903" i="3"/>
  <c r="A484" i="2"/>
  <c r="C484" i="2" s="1"/>
  <c r="I484" i="2"/>
  <c r="K484" i="2"/>
  <c r="M484" i="2"/>
  <c r="P484" i="2"/>
  <c r="A483" i="2"/>
  <c r="C483" i="2" s="1"/>
  <c r="I483" i="2"/>
  <c r="K483" i="2"/>
  <c r="M483" i="2"/>
  <c r="P483" i="2"/>
  <c r="A482" i="2"/>
  <c r="C482" i="2" s="1"/>
  <c r="I482" i="2"/>
  <c r="K482" i="2"/>
  <c r="M482" i="2"/>
  <c r="P482" i="2"/>
  <c r="A481" i="2"/>
  <c r="C481" i="2" s="1"/>
  <c r="I481" i="2"/>
  <c r="K481" i="2"/>
  <c r="M481" i="2"/>
  <c r="P481" i="2"/>
  <c r="A480" i="2"/>
  <c r="C480" i="2" s="1"/>
  <c r="I480" i="2"/>
  <c r="K480" i="2"/>
  <c r="M480" i="2"/>
  <c r="P480" i="2"/>
  <c r="A479" i="2"/>
  <c r="C479" i="2" s="1"/>
  <c r="I479" i="2"/>
  <c r="K479" i="2"/>
  <c r="M479" i="2"/>
  <c r="P479" i="2"/>
  <c r="A478" i="2"/>
  <c r="C478" i="2" s="1"/>
  <c r="I478" i="2"/>
  <c r="K478" i="2"/>
  <c r="M478" i="2"/>
  <c r="P478" i="2"/>
  <c r="A477" i="2"/>
  <c r="C477" i="2" s="1"/>
  <c r="I477" i="2"/>
  <c r="K477" i="2"/>
  <c r="M477" i="2"/>
  <c r="P477" i="2"/>
  <c r="C397" i="1"/>
  <c r="C398" i="1"/>
  <c r="C399" i="1"/>
  <c r="C400" i="1"/>
  <c r="C401" i="1"/>
  <c r="C402" i="1"/>
  <c r="E397" i="1"/>
  <c r="E398" i="1"/>
  <c r="E399" i="1"/>
  <c r="E400" i="1"/>
  <c r="E401" i="1"/>
  <c r="E402" i="1"/>
  <c r="H397" i="1"/>
  <c r="H398" i="1"/>
  <c r="H399" i="1"/>
  <c r="H400" i="1"/>
  <c r="H401" i="1"/>
  <c r="H402" i="1"/>
  <c r="I397" i="1"/>
  <c r="I398" i="1"/>
  <c r="I399" i="1"/>
  <c r="I400" i="1"/>
  <c r="I401" i="1"/>
  <c r="I402" i="1"/>
  <c r="AC397" i="1"/>
  <c r="AC398" i="1"/>
  <c r="AC399" i="1"/>
  <c r="AC400" i="1"/>
  <c r="AC401" i="1"/>
  <c r="AC402" i="1"/>
  <c r="AD397" i="1"/>
  <c r="AD398" i="1"/>
  <c r="AD399" i="1"/>
  <c r="AD400" i="1"/>
  <c r="AD401" i="1"/>
  <c r="AD402" i="1"/>
  <c r="C396" i="1"/>
  <c r="E396" i="1"/>
  <c r="H396" i="1"/>
  <c r="I396" i="1"/>
  <c r="AC396" i="1"/>
  <c r="AD396" i="1"/>
  <c r="B1884" i="3"/>
  <c r="C1884" i="3"/>
  <c r="I1884" i="3"/>
  <c r="K1884" i="3"/>
  <c r="N1884" i="3"/>
  <c r="P1884" i="3"/>
  <c r="Q1884" i="3"/>
  <c r="B1887" i="3"/>
  <c r="C1887" i="3"/>
  <c r="H1887" i="3" s="1"/>
  <c r="I1887" i="3"/>
  <c r="K1887" i="3"/>
  <c r="N1887" i="3"/>
  <c r="P1887" i="3"/>
  <c r="Q1887" i="3"/>
  <c r="B1888" i="3"/>
  <c r="C1888" i="3"/>
  <c r="J1888" i="3" s="1"/>
  <c r="I1888" i="3"/>
  <c r="K1888" i="3"/>
  <c r="N1888" i="3"/>
  <c r="P1888" i="3"/>
  <c r="Q1888" i="3"/>
  <c r="B1886" i="3"/>
  <c r="C1886" i="3"/>
  <c r="J1886" i="3" s="1"/>
  <c r="I1886" i="3"/>
  <c r="K1886" i="3"/>
  <c r="N1886" i="3"/>
  <c r="P1886" i="3"/>
  <c r="Q1886" i="3"/>
  <c r="B1890" i="3"/>
  <c r="C1890" i="3"/>
  <c r="O1890" i="3" s="1"/>
  <c r="I1890" i="3"/>
  <c r="K1890" i="3"/>
  <c r="N1890" i="3"/>
  <c r="P1890" i="3"/>
  <c r="Q1890" i="3"/>
  <c r="B1883" i="3"/>
  <c r="C1883" i="3"/>
  <c r="I1883" i="3"/>
  <c r="K1883" i="3"/>
  <c r="N1883" i="3"/>
  <c r="P1883" i="3"/>
  <c r="Q1883" i="3"/>
  <c r="B1885" i="3"/>
  <c r="C1885" i="3"/>
  <c r="I1885" i="3"/>
  <c r="K1885" i="3"/>
  <c r="N1885" i="3"/>
  <c r="P1885" i="3"/>
  <c r="Q1885" i="3"/>
  <c r="B1889" i="3"/>
  <c r="C1889" i="3"/>
  <c r="I1889" i="3"/>
  <c r="K1889" i="3"/>
  <c r="N1889" i="3"/>
  <c r="P1889" i="3"/>
  <c r="Q1889" i="3"/>
  <c r="B1891" i="3"/>
  <c r="C1891" i="3"/>
  <c r="I1891" i="3"/>
  <c r="K1891" i="3"/>
  <c r="N1891" i="3"/>
  <c r="P1891" i="3"/>
  <c r="Q1891" i="3"/>
  <c r="B1892" i="3"/>
  <c r="C1892" i="3"/>
  <c r="I1892" i="3"/>
  <c r="K1892" i="3"/>
  <c r="N1892" i="3"/>
  <c r="P1892" i="3"/>
  <c r="Q1892" i="3"/>
  <c r="B1893" i="3"/>
  <c r="C1893" i="3"/>
  <c r="I1893" i="3"/>
  <c r="K1893" i="3"/>
  <c r="N1893" i="3"/>
  <c r="P1893" i="3"/>
  <c r="Q1893" i="3"/>
  <c r="A476" i="2"/>
  <c r="C476" i="2" s="1"/>
  <c r="I476" i="2"/>
  <c r="K476" i="2"/>
  <c r="M476" i="2"/>
  <c r="P476" i="2"/>
  <c r="A475" i="2"/>
  <c r="C475" i="2" s="1"/>
  <c r="I475" i="2"/>
  <c r="K475" i="2"/>
  <c r="M475" i="2"/>
  <c r="P475" i="2"/>
  <c r="A474" i="2"/>
  <c r="C474" i="2" s="1"/>
  <c r="I474" i="2"/>
  <c r="K474" i="2"/>
  <c r="M474" i="2"/>
  <c r="P474" i="2"/>
  <c r="B1877" i="3"/>
  <c r="C1877" i="3"/>
  <c r="O1877" i="3" s="1"/>
  <c r="I1877" i="3"/>
  <c r="K1877" i="3"/>
  <c r="N1877" i="3"/>
  <c r="P1877" i="3"/>
  <c r="Q1877" i="3"/>
  <c r="B1878" i="3"/>
  <c r="C1878" i="3"/>
  <c r="O1878" i="3" s="1"/>
  <c r="I1878" i="3"/>
  <c r="K1878" i="3"/>
  <c r="N1878" i="3"/>
  <c r="P1878" i="3"/>
  <c r="Q1878" i="3"/>
  <c r="B1876" i="3"/>
  <c r="C1876" i="3"/>
  <c r="J1876" i="3" s="1"/>
  <c r="I1876" i="3"/>
  <c r="K1876" i="3"/>
  <c r="N1876" i="3"/>
  <c r="P1876" i="3"/>
  <c r="Q1876" i="3"/>
  <c r="B1879" i="3"/>
  <c r="C1879" i="3"/>
  <c r="J1879" i="3" s="1"/>
  <c r="I1879" i="3"/>
  <c r="K1879" i="3"/>
  <c r="N1879" i="3"/>
  <c r="P1879" i="3"/>
  <c r="Q1879" i="3"/>
  <c r="B1880" i="3"/>
  <c r="C1880" i="3"/>
  <c r="O1880" i="3" s="1"/>
  <c r="I1880" i="3"/>
  <c r="K1880" i="3"/>
  <c r="N1880" i="3"/>
  <c r="P1880" i="3"/>
  <c r="Q1880" i="3"/>
  <c r="B1882" i="3"/>
  <c r="C1882" i="3"/>
  <c r="J1882" i="3" s="1"/>
  <c r="I1882" i="3"/>
  <c r="K1882" i="3"/>
  <c r="N1882" i="3"/>
  <c r="P1882" i="3"/>
  <c r="Q1882" i="3"/>
  <c r="B1881" i="3"/>
  <c r="C1881" i="3"/>
  <c r="J1881" i="3" s="1"/>
  <c r="I1881" i="3"/>
  <c r="K1881" i="3"/>
  <c r="N1881" i="3"/>
  <c r="P1881" i="3"/>
  <c r="Q1881" i="3"/>
  <c r="C395" i="1"/>
  <c r="E395" i="1"/>
  <c r="H395" i="1"/>
  <c r="I395" i="1"/>
  <c r="AC395" i="1"/>
  <c r="AD395" i="1"/>
  <c r="C394" i="1"/>
  <c r="E394" i="1"/>
  <c r="H394" i="1"/>
  <c r="I394" i="1"/>
  <c r="AC394" i="1"/>
  <c r="AD394" i="1"/>
  <c r="A473" i="2"/>
  <c r="C473" i="2" s="1"/>
  <c r="I473" i="2"/>
  <c r="K473" i="2"/>
  <c r="M473" i="2"/>
  <c r="P473" i="2"/>
  <c r="A472" i="2"/>
  <c r="C472" i="2" s="1"/>
  <c r="I472" i="2"/>
  <c r="K472" i="2"/>
  <c r="M472" i="2"/>
  <c r="P472" i="2"/>
  <c r="A471" i="2"/>
  <c r="C471" i="2" s="1"/>
  <c r="I471" i="2"/>
  <c r="K471" i="2"/>
  <c r="M471" i="2"/>
  <c r="P471" i="2"/>
  <c r="A470" i="2"/>
  <c r="C470" i="2" s="1"/>
  <c r="I470" i="2"/>
  <c r="K470" i="2"/>
  <c r="M470" i="2"/>
  <c r="P470" i="2"/>
  <c r="B1873" i="3"/>
  <c r="C1873" i="3"/>
  <c r="H1873" i="3" s="1"/>
  <c r="I1873" i="3"/>
  <c r="K1873" i="3"/>
  <c r="N1873" i="3"/>
  <c r="P1873" i="3"/>
  <c r="Q1873" i="3"/>
  <c r="B1872" i="3"/>
  <c r="C1872" i="3"/>
  <c r="H1872" i="3" s="1"/>
  <c r="I1872" i="3"/>
  <c r="K1872" i="3"/>
  <c r="N1872" i="3"/>
  <c r="P1872" i="3"/>
  <c r="Q1872" i="3"/>
  <c r="B1868" i="3"/>
  <c r="C1868" i="3"/>
  <c r="O1868" i="3" s="1"/>
  <c r="I1868" i="3"/>
  <c r="K1868" i="3"/>
  <c r="N1868" i="3"/>
  <c r="P1868" i="3"/>
  <c r="Q1868" i="3"/>
  <c r="B1869" i="3"/>
  <c r="C1869" i="3"/>
  <c r="J1869" i="3" s="1"/>
  <c r="I1869" i="3"/>
  <c r="K1869" i="3"/>
  <c r="N1869" i="3"/>
  <c r="P1869" i="3"/>
  <c r="Q1869" i="3"/>
  <c r="B1870" i="3"/>
  <c r="C1870" i="3"/>
  <c r="H1870" i="3" s="1"/>
  <c r="I1870" i="3"/>
  <c r="K1870" i="3"/>
  <c r="N1870" i="3"/>
  <c r="P1870" i="3"/>
  <c r="Q1870" i="3"/>
  <c r="B1867" i="3"/>
  <c r="C1867" i="3"/>
  <c r="H1867" i="3" s="1"/>
  <c r="I1867" i="3"/>
  <c r="K1867" i="3"/>
  <c r="N1867" i="3"/>
  <c r="P1867" i="3"/>
  <c r="Q1867" i="3"/>
  <c r="B1874" i="3"/>
  <c r="C1874" i="3"/>
  <c r="I1874" i="3"/>
  <c r="K1874" i="3"/>
  <c r="N1874" i="3"/>
  <c r="P1874" i="3"/>
  <c r="Q1874" i="3"/>
  <c r="B1871" i="3"/>
  <c r="C1871" i="3"/>
  <c r="I1871" i="3"/>
  <c r="K1871" i="3"/>
  <c r="N1871" i="3"/>
  <c r="P1871" i="3"/>
  <c r="Q1871" i="3"/>
  <c r="B1875" i="3"/>
  <c r="C1875" i="3"/>
  <c r="H1875" i="3" s="1"/>
  <c r="I1875" i="3"/>
  <c r="K1875" i="3"/>
  <c r="N1875" i="3"/>
  <c r="P1875" i="3"/>
  <c r="Q1875" i="3"/>
  <c r="A469" i="2"/>
  <c r="C469" i="2" s="1"/>
  <c r="I469" i="2"/>
  <c r="K469" i="2"/>
  <c r="M469" i="2"/>
  <c r="P469" i="2"/>
  <c r="K1578" i="3"/>
  <c r="C393" i="1"/>
  <c r="E393" i="1"/>
  <c r="H393" i="1"/>
  <c r="I393" i="1"/>
  <c r="AC393" i="1"/>
  <c r="AD393" i="1"/>
  <c r="C392" i="1"/>
  <c r="E392" i="1"/>
  <c r="H392" i="1"/>
  <c r="I392" i="1"/>
  <c r="AC392" i="1"/>
  <c r="AD392" i="1"/>
  <c r="C391" i="1"/>
  <c r="E391" i="1"/>
  <c r="H391" i="1"/>
  <c r="I391" i="1"/>
  <c r="AC391" i="1"/>
  <c r="AD391" i="1"/>
  <c r="C390" i="1"/>
  <c r="E390" i="1"/>
  <c r="H390" i="1"/>
  <c r="I390" i="1"/>
  <c r="AC390" i="1"/>
  <c r="AD390" i="1"/>
  <c r="B1865" i="3"/>
  <c r="C1865" i="3"/>
  <c r="J1865" i="3" s="1"/>
  <c r="I1865" i="3"/>
  <c r="K1865" i="3"/>
  <c r="N1865" i="3"/>
  <c r="P1865" i="3"/>
  <c r="Q1865" i="3"/>
  <c r="B1862" i="3"/>
  <c r="C1862" i="3"/>
  <c r="H1862" i="3" s="1"/>
  <c r="I1862" i="3"/>
  <c r="K1862" i="3"/>
  <c r="N1862" i="3"/>
  <c r="P1862" i="3"/>
  <c r="Q1862" i="3"/>
  <c r="B1859" i="3"/>
  <c r="C1859" i="3"/>
  <c r="O1859" i="3" s="1"/>
  <c r="I1859" i="3"/>
  <c r="K1859" i="3"/>
  <c r="N1859" i="3"/>
  <c r="P1859" i="3"/>
  <c r="Q1859" i="3"/>
  <c r="B1861" i="3"/>
  <c r="C1861" i="3"/>
  <c r="O1861" i="3" s="1"/>
  <c r="I1861" i="3"/>
  <c r="K1861" i="3"/>
  <c r="N1861" i="3"/>
  <c r="P1861" i="3"/>
  <c r="Q1861" i="3"/>
  <c r="B1863" i="3"/>
  <c r="C1863" i="3"/>
  <c r="I1863" i="3"/>
  <c r="K1863" i="3"/>
  <c r="N1863" i="3"/>
  <c r="P1863" i="3"/>
  <c r="Q1863" i="3"/>
  <c r="B1858" i="3"/>
  <c r="C1858" i="3"/>
  <c r="H1858" i="3" s="1"/>
  <c r="I1858" i="3"/>
  <c r="K1858" i="3"/>
  <c r="N1858" i="3"/>
  <c r="P1858" i="3"/>
  <c r="Q1858" i="3"/>
  <c r="B1860" i="3"/>
  <c r="C1860" i="3"/>
  <c r="I1860" i="3"/>
  <c r="K1860" i="3"/>
  <c r="N1860" i="3"/>
  <c r="P1860" i="3"/>
  <c r="Q1860" i="3"/>
  <c r="B1864" i="3"/>
  <c r="C1864" i="3"/>
  <c r="I1864" i="3"/>
  <c r="K1864" i="3"/>
  <c r="N1864" i="3"/>
  <c r="P1864" i="3"/>
  <c r="Q1864" i="3"/>
  <c r="B1866" i="3"/>
  <c r="C1866" i="3"/>
  <c r="I1866" i="3"/>
  <c r="K1866" i="3"/>
  <c r="N1866" i="3"/>
  <c r="P1866" i="3"/>
  <c r="Q1866" i="3"/>
  <c r="A468" i="2"/>
  <c r="C468" i="2" s="1"/>
  <c r="I468" i="2"/>
  <c r="K468" i="2"/>
  <c r="M468" i="2"/>
  <c r="P468" i="2"/>
  <c r="A467" i="2"/>
  <c r="C467" i="2" s="1"/>
  <c r="I467" i="2"/>
  <c r="K467" i="2"/>
  <c r="M467" i="2"/>
  <c r="P467" i="2"/>
  <c r="A466" i="2"/>
  <c r="C466" i="2" s="1"/>
  <c r="I466" i="2"/>
  <c r="K466" i="2"/>
  <c r="M466" i="2"/>
  <c r="P466" i="2"/>
  <c r="A465" i="2"/>
  <c r="C465" i="2" s="1"/>
  <c r="I465" i="2"/>
  <c r="K465" i="2"/>
  <c r="M465" i="2"/>
  <c r="P465" i="2"/>
  <c r="A464" i="2"/>
  <c r="C464" i="2" s="1"/>
  <c r="I464" i="2"/>
  <c r="K464" i="2"/>
  <c r="M464" i="2"/>
  <c r="P464" i="2"/>
  <c r="N1798" i="3"/>
  <c r="C389" i="1"/>
  <c r="E389" i="1"/>
  <c r="H389" i="1"/>
  <c r="I389" i="1"/>
  <c r="AC389" i="1"/>
  <c r="AD389" i="1"/>
  <c r="C388" i="1"/>
  <c r="E388" i="1"/>
  <c r="H388" i="1"/>
  <c r="I388" i="1"/>
  <c r="AC388" i="1"/>
  <c r="AD388" i="1"/>
  <c r="B1853" i="3"/>
  <c r="C1853" i="3"/>
  <c r="H1853" i="3" s="1"/>
  <c r="I1853" i="3"/>
  <c r="K1853" i="3"/>
  <c r="N1853" i="3"/>
  <c r="P1853" i="3"/>
  <c r="Q1853" i="3"/>
  <c r="B1854" i="3"/>
  <c r="C1854" i="3"/>
  <c r="H1854" i="3" s="1"/>
  <c r="I1854" i="3"/>
  <c r="K1854" i="3"/>
  <c r="N1854" i="3"/>
  <c r="P1854" i="3"/>
  <c r="Q1854" i="3"/>
  <c r="B1857" i="3"/>
  <c r="C1857" i="3"/>
  <c r="O1857" i="3" s="1"/>
  <c r="I1857" i="3"/>
  <c r="K1857" i="3"/>
  <c r="N1857" i="3"/>
  <c r="P1857" i="3"/>
  <c r="Q1857" i="3"/>
  <c r="B1856" i="3"/>
  <c r="C1856" i="3"/>
  <c r="J1856" i="3" s="1"/>
  <c r="I1856" i="3"/>
  <c r="K1856" i="3"/>
  <c r="N1856" i="3"/>
  <c r="P1856" i="3"/>
  <c r="Q1856" i="3"/>
  <c r="B1852" i="3"/>
  <c r="C1852" i="3"/>
  <c r="H1852" i="3" s="1"/>
  <c r="I1852" i="3"/>
  <c r="K1852" i="3"/>
  <c r="N1852" i="3"/>
  <c r="P1852" i="3"/>
  <c r="Q1852" i="3"/>
  <c r="B1855" i="3"/>
  <c r="C1855" i="3"/>
  <c r="I1855" i="3"/>
  <c r="K1855" i="3"/>
  <c r="N1855" i="3"/>
  <c r="P1855" i="3"/>
  <c r="Q1855" i="3"/>
  <c r="A463" i="2"/>
  <c r="C463" i="2" s="1"/>
  <c r="I463" i="2"/>
  <c r="K463" i="2"/>
  <c r="M463" i="2"/>
  <c r="P463" i="2"/>
  <c r="A462" i="2"/>
  <c r="C462" i="2" s="1"/>
  <c r="I462" i="2"/>
  <c r="K462" i="2"/>
  <c r="M462" i="2"/>
  <c r="P462" i="2"/>
  <c r="C383" i="1"/>
  <c r="C384" i="1"/>
  <c r="C385" i="1"/>
  <c r="C386" i="1"/>
  <c r="C387" i="1"/>
  <c r="E383" i="1"/>
  <c r="E384" i="1"/>
  <c r="E385" i="1"/>
  <c r="E386" i="1"/>
  <c r="E387" i="1"/>
  <c r="H383" i="1"/>
  <c r="H384" i="1"/>
  <c r="H385" i="1"/>
  <c r="H386" i="1"/>
  <c r="H387" i="1"/>
  <c r="I383" i="1"/>
  <c r="I384" i="1"/>
  <c r="I385" i="1"/>
  <c r="I386" i="1"/>
  <c r="I387" i="1"/>
  <c r="AC383" i="1"/>
  <c r="AC384" i="1"/>
  <c r="AC385" i="1"/>
  <c r="AC386" i="1"/>
  <c r="AC387" i="1"/>
  <c r="AD383" i="1"/>
  <c r="AD384" i="1"/>
  <c r="AD385" i="1"/>
  <c r="AD386" i="1"/>
  <c r="AD387" i="1"/>
  <c r="C382" i="1"/>
  <c r="E382" i="1"/>
  <c r="H382" i="1"/>
  <c r="I382" i="1"/>
  <c r="AC382" i="1"/>
  <c r="AD382" i="1"/>
  <c r="B1847" i="3"/>
  <c r="C1847" i="3"/>
  <c r="O1847" i="3" s="1"/>
  <c r="I1847" i="3"/>
  <c r="K1847" i="3"/>
  <c r="N1847" i="3"/>
  <c r="P1847" i="3"/>
  <c r="Q1847" i="3"/>
  <c r="B1848" i="3"/>
  <c r="C1848" i="3"/>
  <c r="J1848" i="3" s="1"/>
  <c r="I1848" i="3"/>
  <c r="K1848" i="3"/>
  <c r="N1848" i="3"/>
  <c r="P1848" i="3"/>
  <c r="Q1848" i="3"/>
  <c r="B1850" i="3"/>
  <c r="C1850" i="3"/>
  <c r="H1850" i="3" s="1"/>
  <c r="I1850" i="3"/>
  <c r="K1850" i="3"/>
  <c r="N1850" i="3"/>
  <c r="P1850" i="3"/>
  <c r="Q1850" i="3"/>
  <c r="B1843" i="3"/>
  <c r="C1843" i="3"/>
  <c r="I1843" i="3"/>
  <c r="K1843" i="3"/>
  <c r="N1843" i="3"/>
  <c r="P1843" i="3"/>
  <c r="Q1843" i="3"/>
  <c r="B1844" i="3"/>
  <c r="C1844" i="3"/>
  <c r="I1844" i="3"/>
  <c r="K1844" i="3"/>
  <c r="N1844" i="3"/>
  <c r="P1844" i="3"/>
  <c r="Q1844" i="3"/>
  <c r="B1845" i="3"/>
  <c r="C1845" i="3"/>
  <c r="I1845" i="3"/>
  <c r="K1845" i="3"/>
  <c r="N1845" i="3"/>
  <c r="P1845" i="3"/>
  <c r="Q1845" i="3"/>
  <c r="B1846" i="3"/>
  <c r="C1846" i="3"/>
  <c r="H1846" i="3" s="1"/>
  <c r="I1846" i="3"/>
  <c r="K1846" i="3"/>
  <c r="N1846" i="3"/>
  <c r="P1846" i="3"/>
  <c r="Q1846" i="3"/>
  <c r="B1849" i="3"/>
  <c r="C1849" i="3"/>
  <c r="I1849" i="3"/>
  <c r="K1849" i="3"/>
  <c r="N1849" i="3"/>
  <c r="P1849" i="3"/>
  <c r="Q1849" i="3"/>
  <c r="B1851" i="3"/>
  <c r="C1851" i="3"/>
  <c r="I1851" i="3"/>
  <c r="K1851" i="3"/>
  <c r="N1851" i="3"/>
  <c r="P1851" i="3"/>
  <c r="Q1851" i="3"/>
  <c r="A461" i="2"/>
  <c r="C461" i="2" s="1"/>
  <c r="I461" i="2"/>
  <c r="K461" i="2"/>
  <c r="M461" i="2"/>
  <c r="P461" i="2"/>
  <c r="O1874" i="3" l="1"/>
  <c r="H1874" i="3"/>
  <c r="O1892" i="3"/>
  <c r="H1892" i="3"/>
  <c r="O1903" i="3"/>
  <c r="H1903" i="3"/>
  <c r="J1871" i="3"/>
  <c r="H1871" i="3"/>
  <c r="J1893" i="3"/>
  <c r="H1893" i="3"/>
  <c r="O1860" i="3"/>
  <c r="H1860" i="3"/>
  <c r="J1894" i="3"/>
  <c r="H1894" i="3"/>
  <c r="J1843" i="3"/>
  <c r="H1843" i="3"/>
  <c r="O1844" i="3"/>
  <c r="H1844" i="3"/>
  <c r="O1864" i="3"/>
  <c r="H1864" i="3"/>
  <c r="O1883" i="3"/>
  <c r="H1883" i="3"/>
  <c r="O1849" i="3"/>
  <c r="H1849" i="3"/>
  <c r="O1851" i="3"/>
  <c r="H1851" i="3"/>
  <c r="J1863" i="3"/>
  <c r="H1863" i="3"/>
  <c r="J1845" i="3"/>
  <c r="H1845" i="3"/>
  <c r="J1855" i="3"/>
  <c r="H1855" i="3"/>
  <c r="J1866" i="3"/>
  <c r="H1866" i="3"/>
  <c r="J1885" i="3"/>
  <c r="H1885" i="3"/>
  <c r="O1898" i="3"/>
  <c r="H1898" i="3"/>
  <c r="O1889" i="3"/>
  <c r="H1889" i="3"/>
  <c r="O1899" i="3"/>
  <c r="H1899" i="3"/>
  <c r="O1891" i="3"/>
  <c r="H1891" i="3"/>
  <c r="O1884" i="3"/>
  <c r="H1884" i="3"/>
  <c r="J1901" i="3"/>
  <c r="H1901" i="3"/>
  <c r="AU405" i="1"/>
  <c r="J1883" i="3"/>
  <c r="AU407" i="1"/>
  <c r="O1904" i="3"/>
  <c r="H1868" i="3"/>
  <c r="J1905" i="3"/>
  <c r="AU397" i="1"/>
  <c r="J1889" i="3"/>
  <c r="O1879" i="3"/>
  <c r="H1905" i="3"/>
  <c r="J1904" i="3"/>
  <c r="H1895" i="3"/>
  <c r="J1878" i="3"/>
  <c r="H1900" i="3"/>
  <c r="J1872" i="3"/>
  <c r="H1881" i="3"/>
  <c r="H1882" i="3"/>
  <c r="H1879" i="3"/>
  <c r="H1876" i="3"/>
  <c r="AU406" i="1"/>
  <c r="AU400" i="1"/>
  <c r="AU399" i="1"/>
  <c r="AU394" i="1"/>
  <c r="AU408" i="1"/>
  <c r="O1872" i="3"/>
  <c r="J1892" i="3"/>
  <c r="J1896" i="3"/>
  <c r="AU404" i="1"/>
  <c r="J1903" i="3"/>
  <c r="O1897" i="3"/>
  <c r="J1899" i="3"/>
  <c r="J1898" i="3"/>
  <c r="J1897" i="3"/>
  <c r="AU403" i="1"/>
  <c r="J1902" i="3"/>
  <c r="AU402" i="1"/>
  <c r="O1865" i="3"/>
  <c r="H1886" i="3"/>
  <c r="H1888" i="3"/>
  <c r="J1887" i="3"/>
  <c r="O1895" i="3"/>
  <c r="O1886" i="3"/>
  <c r="AU396" i="1"/>
  <c r="H1902" i="3"/>
  <c r="H1896" i="3"/>
  <c r="O1867" i="3"/>
  <c r="O1882" i="3"/>
  <c r="H1878" i="3"/>
  <c r="AU401" i="1"/>
  <c r="O1901" i="3"/>
  <c r="O1894" i="3"/>
  <c r="O1900" i="3"/>
  <c r="O1887" i="3"/>
  <c r="J1867" i="3"/>
  <c r="AU398" i="1"/>
  <c r="AU388" i="1"/>
  <c r="AU392" i="1"/>
  <c r="J1880" i="3"/>
  <c r="J1877" i="3"/>
  <c r="J1891" i="3"/>
  <c r="J1890" i="3"/>
  <c r="J1884" i="3"/>
  <c r="AU395" i="1"/>
  <c r="O1881" i="3"/>
  <c r="O1876" i="3"/>
  <c r="O1893" i="3"/>
  <c r="O1885" i="3"/>
  <c r="O1888" i="3"/>
  <c r="H1880" i="3"/>
  <c r="H1877" i="3"/>
  <c r="H1890" i="3"/>
  <c r="O1875" i="3"/>
  <c r="O1870" i="3"/>
  <c r="O1873" i="3"/>
  <c r="AU393" i="1"/>
  <c r="J1860" i="3"/>
  <c r="J1861" i="3"/>
  <c r="J1859" i="3"/>
  <c r="AU391" i="1"/>
  <c r="O1863" i="3"/>
  <c r="J1864" i="3"/>
  <c r="J1874" i="3"/>
  <c r="H1869" i="3"/>
  <c r="J1868" i="3"/>
  <c r="O1871" i="3"/>
  <c r="O1869" i="3"/>
  <c r="H1859" i="3"/>
  <c r="H1865" i="3"/>
  <c r="J1875" i="3"/>
  <c r="J1870" i="3"/>
  <c r="J1873" i="3"/>
  <c r="O1858" i="3"/>
  <c r="J1862" i="3"/>
  <c r="J1849" i="3"/>
  <c r="J1844" i="3"/>
  <c r="H1847" i="3"/>
  <c r="J1858" i="3"/>
  <c r="O1866" i="3"/>
  <c r="O1862" i="3"/>
  <c r="AU390" i="1"/>
  <c r="H1861" i="3"/>
  <c r="O1843" i="3"/>
  <c r="J1847" i="3"/>
  <c r="H1848" i="3"/>
  <c r="AU389" i="1"/>
  <c r="O1855" i="3"/>
  <c r="O1854" i="3"/>
  <c r="AU387" i="1"/>
  <c r="AU384" i="1"/>
  <c r="O1852" i="3"/>
  <c r="O1853" i="3"/>
  <c r="J1851" i="3"/>
  <c r="AU386" i="1"/>
  <c r="AU383" i="1"/>
  <c r="AU382" i="1"/>
  <c r="AU385" i="1"/>
  <c r="H1857" i="3"/>
  <c r="J1854" i="3"/>
  <c r="H1856" i="3"/>
  <c r="J1857" i="3"/>
  <c r="O1846" i="3"/>
  <c r="O1850" i="3"/>
  <c r="O1856" i="3"/>
  <c r="O1845" i="3"/>
  <c r="J1846" i="3"/>
  <c r="J1852" i="3"/>
  <c r="J1853" i="3"/>
  <c r="O1848" i="3"/>
  <c r="J1850" i="3"/>
  <c r="C376" i="1"/>
  <c r="C377" i="1"/>
  <c r="C378" i="1"/>
  <c r="C379" i="1"/>
  <c r="C380" i="1"/>
  <c r="C381" i="1"/>
  <c r="E376" i="1"/>
  <c r="E377" i="1"/>
  <c r="E378" i="1"/>
  <c r="E379" i="1"/>
  <c r="E380" i="1"/>
  <c r="E381" i="1"/>
  <c r="H376" i="1"/>
  <c r="H377" i="1"/>
  <c r="H378" i="1"/>
  <c r="H379" i="1"/>
  <c r="H380" i="1"/>
  <c r="H381" i="1"/>
  <c r="I376" i="1"/>
  <c r="I377" i="1"/>
  <c r="I378" i="1"/>
  <c r="I379" i="1"/>
  <c r="I380" i="1"/>
  <c r="I381" i="1"/>
  <c r="AC376" i="1"/>
  <c r="AC377" i="1"/>
  <c r="AC378" i="1"/>
  <c r="AC379" i="1"/>
  <c r="AC380" i="1"/>
  <c r="AC381" i="1"/>
  <c r="AD376" i="1"/>
  <c r="AD377" i="1"/>
  <c r="AD378" i="1"/>
  <c r="AD379" i="1"/>
  <c r="AD380" i="1"/>
  <c r="AD381" i="1"/>
  <c r="AU378" i="1" l="1"/>
  <c r="AU381" i="1"/>
  <c r="AU380" i="1"/>
  <c r="AU379" i="1"/>
  <c r="AU377" i="1"/>
  <c r="AU376" i="1"/>
  <c r="B1842" i="3"/>
  <c r="B1841" i="3"/>
  <c r="B1840" i="3"/>
  <c r="B1839" i="3"/>
  <c r="B1837" i="3"/>
  <c r="B1835" i="3"/>
  <c r="B1834" i="3"/>
  <c r="B1833" i="3"/>
  <c r="B1838" i="3"/>
  <c r="B1836" i="3"/>
  <c r="C1842" i="3"/>
  <c r="H1842" i="3" s="1"/>
  <c r="C1841" i="3"/>
  <c r="H1841" i="3" s="1"/>
  <c r="C1840" i="3"/>
  <c r="C1839" i="3"/>
  <c r="C1837" i="3"/>
  <c r="H1837" i="3" s="1"/>
  <c r="C1835" i="3"/>
  <c r="H1835" i="3" s="1"/>
  <c r="C1834" i="3"/>
  <c r="H1834" i="3" s="1"/>
  <c r="C1833" i="3"/>
  <c r="H1833" i="3" s="1"/>
  <c r="C1838" i="3"/>
  <c r="C1836" i="3"/>
  <c r="H1836" i="3" s="1"/>
  <c r="I1842" i="3"/>
  <c r="I1841" i="3"/>
  <c r="I1840" i="3"/>
  <c r="I1839" i="3"/>
  <c r="I1837" i="3"/>
  <c r="I1835" i="3"/>
  <c r="I1834" i="3"/>
  <c r="I1833" i="3"/>
  <c r="I1838" i="3"/>
  <c r="I1836" i="3"/>
  <c r="K1842" i="3"/>
  <c r="K1841" i="3"/>
  <c r="K1840" i="3"/>
  <c r="K1839" i="3"/>
  <c r="K1837" i="3"/>
  <c r="K1835" i="3"/>
  <c r="K1834" i="3"/>
  <c r="K1833" i="3"/>
  <c r="K1838" i="3"/>
  <c r="K1836" i="3"/>
  <c r="N1842" i="3"/>
  <c r="N1841" i="3"/>
  <c r="N1840" i="3"/>
  <c r="N1839" i="3"/>
  <c r="N1837" i="3"/>
  <c r="N1835" i="3"/>
  <c r="N1834" i="3"/>
  <c r="N1833" i="3"/>
  <c r="N1838" i="3"/>
  <c r="N1836" i="3"/>
  <c r="P1842" i="3"/>
  <c r="P1841" i="3"/>
  <c r="P1840" i="3"/>
  <c r="P1839" i="3"/>
  <c r="P1837" i="3"/>
  <c r="P1835" i="3"/>
  <c r="P1834" i="3"/>
  <c r="P1833" i="3"/>
  <c r="P1838" i="3"/>
  <c r="P1836" i="3"/>
  <c r="Q1842" i="3"/>
  <c r="Q1841" i="3"/>
  <c r="Q1840" i="3"/>
  <c r="Q1839" i="3"/>
  <c r="Q1837" i="3"/>
  <c r="Q1835" i="3"/>
  <c r="Q1834" i="3"/>
  <c r="Q1833" i="3"/>
  <c r="Q1838" i="3"/>
  <c r="Q1836" i="3"/>
  <c r="O1839" i="3" l="1"/>
  <c r="H1839" i="3"/>
  <c r="O1840" i="3"/>
  <c r="H1840" i="3"/>
  <c r="O1838" i="3"/>
  <c r="H1838" i="3"/>
  <c r="J1839" i="3"/>
  <c r="J1840" i="3"/>
  <c r="O1835" i="3"/>
  <c r="J1835" i="3"/>
  <c r="O1841" i="3"/>
  <c r="J1841" i="3"/>
  <c r="O1836" i="3"/>
  <c r="J1836" i="3"/>
  <c r="J1834" i="3"/>
  <c r="O1842" i="3"/>
  <c r="J1838" i="3"/>
  <c r="J1842" i="3"/>
  <c r="O1834" i="3"/>
  <c r="J1833" i="3"/>
  <c r="O1833" i="3"/>
  <c r="J1837" i="3"/>
  <c r="O1837" i="3"/>
  <c r="J27" i="5"/>
  <c r="J3" i="5"/>
  <c r="J4" i="5"/>
  <c r="J5" i="5"/>
  <c r="J6" i="5"/>
  <c r="J7" i="5"/>
  <c r="J8" i="5"/>
  <c r="J9" i="5"/>
  <c r="J10" i="5"/>
  <c r="J11" i="5"/>
  <c r="J12" i="5"/>
  <c r="J14" i="5"/>
  <c r="J15" i="5"/>
  <c r="J16" i="5"/>
  <c r="J17" i="5"/>
  <c r="J18" i="5"/>
  <c r="J19" i="5"/>
  <c r="J20" i="5"/>
  <c r="J22" i="5"/>
  <c r="J24" i="5"/>
  <c r="J25" i="5"/>
  <c r="A460" i="2" l="1"/>
  <c r="C460" i="2" s="1"/>
  <c r="I460" i="2"/>
  <c r="K460" i="2"/>
  <c r="M460" i="2"/>
  <c r="P460" i="2"/>
  <c r="A459" i="2"/>
  <c r="C459" i="2" s="1"/>
  <c r="I459" i="2"/>
  <c r="K459" i="2"/>
  <c r="M459" i="2"/>
  <c r="P459" i="2"/>
  <c r="C371" i="1" l="1"/>
  <c r="C372" i="1"/>
  <c r="C373" i="1"/>
  <c r="C374" i="1"/>
  <c r="C375" i="1"/>
  <c r="E371" i="1"/>
  <c r="E372" i="1"/>
  <c r="E373" i="1"/>
  <c r="E374" i="1"/>
  <c r="E375" i="1"/>
  <c r="H371" i="1"/>
  <c r="H372" i="1"/>
  <c r="H373" i="1"/>
  <c r="H374" i="1"/>
  <c r="H375" i="1"/>
  <c r="I371" i="1"/>
  <c r="I372" i="1"/>
  <c r="I373" i="1"/>
  <c r="I374" i="1"/>
  <c r="I375" i="1"/>
  <c r="AC371" i="1"/>
  <c r="AC372" i="1"/>
  <c r="AC373" i="1"/>
  <c r="AC374" i="1"/>
  <c r="AC375" i="1"/>
  <c r="AD371" i="1"/>
  <c r="AD372" i="1"/>
  <c r="AD373" i="1"/>
  <c r="AD374" i="1"/>
  <c r="AD375" i="1"/>
  <c r="B1825" i="3"/>
  <c r="B1824" i="3"/>
  <c r="B1823" i="3"/>
  <c r="B1826" i="3"/>
  <c r="C1825" i="3"/>
  <c r="H1825" i="3" s="1"/>
  <c r="C1824" i="3"/>
  <c r="H1824" i="3" s="1"/>
  <c r="C1823" i="3"/>
  <c r="H1823" i="3" s="1"/>
  <c r="C1826" i="3"/>
  <c r="H1826" i="3" s="1"/>
  <c r="I1825" i="3"/>
  <c r="I1824" i="3"/>
  <c r="I1823" i="3"/>
  <c r="I1826" i="3"/>
  <c r="K1825" i="3"/>
  <c r="K1824" i="3"/>
  <c r="K1823" i="3"/>
  <c r="K1826" i="3"/>
  <c r="N1825" i="3"/>
  <c r="N1824" i="3"/>
  <c r="N1823" i="3"/>
  <c r="N1826" i="3"/>
  <c r="O1825" i="3"/>
  <c r="P1825" i="3"/>
  <c r="P1824" i="3"/>
  <c r="P1823" i="3"/>
  <c r="P1826" i="3"/>
  <c r="Q1825" i="3"/>
  <c r="Q1824" i="3"/>
  <c r="Q1823" i="3"/>
  <c r="Q1826" i="3"/>
  <c r="J1825" i="3" l="1"/>
  <c r="J1824" i="3"/>
  <c r="J1823" i="3"/>
  <c r="AU374" i="1"/>
  <c r="AU371" i="1"/>
  <c r="AU375" i="1"/>
  <c r="AU373" i="1"/>
  <c r="AU372" i="1"/>
  <c r="J1826" i="3"/>
  <c r="O1823" i="3"/>
  <c r="O1824" i="3"/>
  <c r="O1826" i="3"/>
  <c r="B1832" i="3"/>
  <c r="B1830" i="3"/>
  <c r="B1829" i="3"/>
  <c r="B1822" i="3"/>
  <c r="B1821" i="3"/>
  <c r="B1828" i="3"/>
  <c r="B1831" i="3"/>
  <c r="B1827" i="3"/>
  <c r="C1832" i="3"/>
  <c r="H1832" i="3" s="1"/>
  <c r="C1830" i="3"/>
  <c r="H1830" i="3" s="1"/>
  <c r="C1829" i="3"/>
  <c r="H1829" i="3" s="1"/>
  <c r="C1822" i="3"/>
  <c r="H1822" i="3" s="1"/>
  <c r="C1821" i="3"/>
  <c r="H1821" i="3" s="1"/>
  <c r="C1828" i="3"/>
  <c r="H1828" i="3" s="1"/>
  <c r="C1831" i="3"/>
  <c r="H1831" i="3" s="1"/>
  <c r="C1827" i="3"/>
  <c r="H1827" i="3" s="1"/>
  <c r="I1832" i="3"/>
  <c r="I1830" i="3"/>
  <c r="I1829" i="3"/>
  <c r="I1822" i="3"/>
  <c r="I1821" i="3"/>
  <c r="I1828" i="3"/>
  <c r="I1831" i="3"/>
  <c r="I1827" i="3"/>
  <c r="K1832" i="3"/>
  <c r="K1830" i="3"/>
  <c r="K1829" i="3"/>
  <c r="K1822" i="3"/>
  <c r="K1821" i="3"/>
  <c r="K1828" i="3"/>
  <c r="K1831" i="3"/>
  <c r="K1827" i="3"/>
  <c r="N1832" i="3"/>
  <c r="N1830" i="3"/>
  <c r="N1829" i="3"/>
  <c r="N1822" i="3"/>
  <c r="N1821" i="3"/>
  <c r="N1828" i="3"/>
  <c r="N1831" i="3"/>
  <c r="N1827" i="3"/>
  <c r="P1832" i="3"/>
  <c r="P1830" i="3"/>
  <c r="P1829" i="3"/>
  <c r="P1822" i="3"/>
  <c r="P1821" i="3"/>
  <c r="P1828" i="3"/>
  <c r="P1831" i="3"/>
  <c r="P1827" i="3"/>
  <c r="Q1832" i="3"/>
  <c r="Q1830" i="3"/>
  <c r="Q1829" i="3"/>
  <c r="Q1822" i="3"/>
  <c r="Q1821" i="3"/>
  <c r="Q1828" i="3"/>
  <c r="Q1831" i="3"/>
  <c r="Q1827" i="3"/>
  <c r="O1829" i="3" l="1"/>
  <c r="J1828" i="3"/>
  <c r="O1822" i="3"/>
  <c r="J1830" i="3"/>
  <c r="J1829" i="3"/>
  <c r="O1830" i="3"/>
  <c r="J1822" i="3"/>
  <c r="O1832" i="3"/>
  <c r="J1827" i="3"/>
  <c r="O1827" i="3"/>
  <c r="J1832" i="3"/>
  <c r="O1821" i="3"/>
  <c r="J1821" i="3"/>
  <c r="O1831" i="3"/>
  <c r="O1828" i="3"/>
  <c r="J1831" i="3"/>
  <c r="C369" i="1"/>
  <c r="C370" i="1"/>
  <c r="E369" i="1"/>
  <c r="E370" i="1"/>
  <c r="H369" i="1"/>
  <c r="H370" i="1"/>
  <c r="I369" i="1"/>
  <c r="I370" i="1"/>
  <c r="AC369" i="1"/>
  <c r="AC370" i="1"/>
  <c r="AD369" i="1"/>
  <c r="AD370" i="1"/>
  <c r="C368" i="1"/>
  <c r="E368" i="1"/>
  <c r="H368" i="1"/>
  <c r="I368" i="1"/>
  <c r="AC368" i="1"/>
  <c r="AD368" i="1"/>
  <c r="C357" i="1"/>
  <c r="E357" i="1"/>
  <c r="H357" i="1"/>
  <c r="I357" i="1"/>
  <c r="AC357" i="1"/>
  <c r="AD357" i="1"/>
  <c r="AU369" i="1" l="1"/>
  <c r="AU368" i="1"/>
  <c r="AU370" i="1"/>
  <c r="AU357" i="1"/>
  <c r="B1818" i="3" l="1"/>
  <c r="B1815" i="3"/>
  <c r="B1819" i="3"/>
  <c r="B1817" i="3"/>
  <c r="B1814" i="3"/>
  <c r="B1816" i="3"/>
  <c r="B1813" i="3"/>
  <c r="B1820" i="3"/>
  <c r="C1818" i="3"/>
  <c r="H1818" i="3" s="1"/>
  <c r="C1815" i="3"/>
  <c r="H1815" i="3" s="1"/>
  <c r="C1819" i="3"/>
  <c r="H1819" i="3" s="1"/>
  <c r="C1817" i="3"/>
  <c r="H1817" i="3" s="1"/>
  <c r="C1814" i="3"/>
  <c r="H1814" i="3" s="1"/>
  <c r="C1816" i="3"/>
  <c r="H1816" i="3" s="1"/>
  <c r="C1813" i="3"/>
  <c r="H1813" i="3" s="1"/>
  <c r="C1820" i="3"/>
  <c r="H1820" i="3" s="1"/>
  <c r="I1818" i="3"/>
  <c r="I1815" i="3"/>
  <c r="I1819" i="3"/>
  <c r="I1817" i="3"/>
  <c r="I1814" i="3"/>
  <c r="I1816" i="3"/>
  <c r="I1813" i="3"/>
  <c r="I1820" i="3"/>
  <c r="K1818" i="3"/>
  <c r="K1815" i="3"/>
  <c r="K1819" i="3"/>
  <c r="K1817" i="3"/>
  <c r="K1814" i="3"/>
  <c r="K1816" i="3"/>
  <c r="K1813" i="3"/>
  <c r="K1820" i="3"/>
  <c r="N1818" i="3"/>
  <c r="N1815" i="3"/>
  <c r="N1819" i="3"/>
  <c r="N1817" i="3"/>
  <c r="N1814" i="3"/>
  <c r="N1816" i="3"/>
  <c r="N1813" i="3"/>
  <c r="N1820" i="3"/>
  <c r="P1818" i="3"/>
  <c r="P1815" i="3"/>
  <c r="P1819" i="3"/>
  <c r="P1817" i="3"/>
  <c r="P1814" i="3"/>
  <c r="P1816" i="3"/>
  <c r="P1813" i="3"/>
  <c r="P1820" i="3"/>
  <c r="Q1818" i="3"/>
  <c r="Q1815" i="3"/>
  <c r="Q1819" i="3"/>
  <c r="Q1817" i="3"/>
  <c r="Q1814" i="3"/>
  <c r="Q1816" i="3"/>
  <c r="Q1813" i="3"/>
  <c r="Q1820" i="3"/>
  <c r="O1813" i="3" l="1"/>
  <c r="J1814" i="3"/>
  <c r="J1815" i="3"/>
  <c r="J1818" i="3"/>
  <c r="O1815" i="3"/>
  <c r="O1814" i="3"/>
  <c r="O1819" i="3"/>
  <c r="O1817" i="3"/>
  <c r="J1819" i="3"/>
  <c r="J1817" i="3"/>
  <c r="O1816" i="3"/>
  <c r="O1818" i="3"/>
  <c r="J1813" i="3"/>
  <c r="J1816" i="3"/>
  <c r="O1820" i="3"/>
  <c r="J1820" i="3"/>
  <c r="A458" i="2"/>
  <c r="C458" i="2" s="1"/>
  <c r="I458" i="2"/>
  <c r="K458" i="2"/>
  <c r="M458" i="2"/>
  <c r="P458" i="2"/>
  <c r="A457" i="2" l="1"/>
  <c r="C457" i="2" s="1"/>
  <c r="I457" i="2"/>
  <c r="K457" i="2"/>
  <c r="M457" i="2"/>
  <c r="P457" i="2"/>
  <c r="E1812" i="3" l="1"/>
  <c r="A456" i="2" l="1"/>
  <c r="C456" i="2" s="1"/>
  <c r="I456" i="2"/>
  <c r="K456" i="2"/>
  <c r="M456" i="2"/>
  <c r="P456" i="2"/>
  <c r="A455" i="2"/>
  <c r="C455" i="2" s="1"/>
  <c r="I455" i="2"/>
  <c r="K455" i="2"/>
  <c r="M455" i="2"/>
  <c r="P455" i="2"/>
  <c r="A454" i="2" l="1"/>
  <c r="C454" i="2" s="1"/>
  <c r="I454" i="2"/>
  <c r="K454" i="2"/>
  <c r="M454" i="2"/>
  <c r="P454" i="2"/>
  <c r="A453" i="2"/>
  <c r="C453" i="2" s="1"/>
  <c r="I453" i="2"/>
  <c r="K453" i="2"/>
  <c r="M453" i="2"/>
  <c r="P453" i="2"/>
  <c r="A452" i="2"/>
  <c r="C452" i="2" s="1"/>
  <c r="I452" i="2"/>
  <c r="K452" i="2"/>
  <c r="M452" i="2"/>
  <c r="P452" i="2"/>
  <c r="A451" i="2"/>
  <c r="C451" i="2" s="1"/>
  <c r="I451" i="2"/>
  <c r="K451" i="2"/>
  <c r="M451" i="2"/>
  <c r="P451" i="2"/>
  <c r="A450" i="2"/>
  <c r="C450" i="2" s="1"/>
  <c r="I450" i="2"/>
  <c r="K450" i="2"/>
  <c r="M450" i="2"/>
  <c r="P450" i="2"/>
  <c r="A449" i="2"/>
  <c r="C449" i="2" s="1"/>
  <c r="I449" i="2"/>
  <c r="K449" i="2"/>
  <c r="M449" i="2"/>
  <c r="P449" i="2"/>
  <c r="I147" i="2"/>
  <c r="K147" i="2"/>
  <c r="M147" i="2"/>
  <c r="P147" i="2"/>
  <c r="I448" i="2"/>
  <c r="K448" i="2"/>
  <c r="M448" i="2"/>
  <c r="P448" i="2"/>
  <c r="A448" i="2"/>
  <c r="C448" i="2" s="1"/>
  <c r="C367" i="1" l="1"/>
  <c r="E367" i="1"/>
  <c r="H367" i="1"/>
  <c r="I367" i="1"/>
  <c r="AC367" i="1"/>
  <c r="AD367" i="1"/>
  <c r="AU367" i="1" l="1"/>
  <c r="B1812" i="3"/>
  <c r="B1807" i="3"/>
  <c r="B1810" i="3"/>
  <c r="B1809" i="3"/>
  <c r="B1808" i="3"/>
  <c r="C1812" i="3"/>
  <c r="H1812" i="3" s="1"/>
  <c r="C1807" i="3"/>
  <c r="H1807" i="3" s="1"/>
  <c r="C1810" i="3"/>
  <c r="H1810" i="3" s="1"/>
  <c r="C1809" i="3"/>
  <c r="H1809" i="3" s="1"/>
  <c r="C1808" i="3"/>
  <c r="H1808" i="3" s="1"/>
  <c r="I1812" i="3"/>
  <c r="I1807" i="3"/>
  <c r="I1810" i="3"/>
  <c r="I1809" i="3"/>
  <c r="I1808" i="3"/>
  <c r="K1812" i="3"/>
  <c r="K1807" i="3"/>
  <c r="K1810" i="3"/>
  <c r="K1809" i="3"/>
  <c r="K1808" i="3"/>
  <c r="N1812" i="3"/>
  <c r="N1807" i="3"/>
  <c r="N1810" i="3"/>
  <c r="N1809" i="3"/>
  <c r="N1808" i="3"/>
  <c r="P1812" i="3"/>
  <c r="P1807" i="3"/>
  <c r="P1810" i="3"/>
  <c r="P1809" i="3"/>
  <c r="P1808" i="3"/>
  <c r="Q1812" i="3"/>
  <c r="Q1807" i="3"/>
  <c r="Q1810" i="3"/>
  <c r="Q1809" i="3"/>
  <c r="Q1808" i="3"/>
  <c r="B1811" i="3"/>
  <c r="C1811" i="3"/>
  <c r="H1811" i="3" s="1"/>
  <c r="I1811" i="3"/>
  <c r="K1811" i="3"/>
  <c r="N1811" i="3"/>
  <c r="P1811" i="3"/>
  <c r="Q1811" i="3"/>
  <c r="J1811" i="3" l="1"/>
  <c r="O1810" i="3"/>
  <c r="O1808" i="3"/>
  <c r="O1809" i="3"/>
  <c r="O1812" i="3"/>
  <c r="J1808" i="3"/>
  <c r="O1807" i="3"/>
  <c r="J1812" i="3"/>
  <c r="J1809" i="3"/>
  <c r="J1807" i="3"/>
  <c r="J1810" i="3"/>
  <c r="O1811" i="3"/>
  <c r="A447" i="2"/>
  <c r="C447" i="2" s="1"/>
  <c r="I447" i="2"/>
  <c r="K447" i="2"/>
  <c r="M447" i="2"/>
  <c r="P447" i="2"/>
  <c r="A445" i="2"/>
  <c r="C445" i="2" s="1"/>
  <c r="A446" i="2"/>
  <c r="C446" i="2" s="1"/>
  <c r="I445" i="2"/>
  <c r="I446" i="2"/>
  <c r="K445" i="2"/>
  <c r="K446" i="2"/>
  <c r="M445" i="2"/>
  <c r="M446" i="2"/>
  <c r="P445" i="2"/>
  <c r="P446" i="2"/>
  <c r="C366" i="1" l="1"/>
  <c r="E366" i="1"/>
  <c r="H366" i="1"/>
  <c r="I366" i="1"/>
  <c r="AC366" i="1"/>
  <c r="AD366" i="1"/>
  <c r="C365" i="1"/>
  <c r="E365" i="1"/>
  <c r="H365" i="1"/>
  <c r="I365" i="1"/>
  <c r="AC365" i="1"/>
  <c r="AD365" i="1"/>
  <c r="C364" i="1"/>
  <c r="E364" i="1"/>
  <c r="H364" i="1"/>
  <c r="I364" i="1"/>
  <c r="AC364" i="1"/>
  <c r="AD364" i="1"/>
  <c r="C363" i="1"/>
  <c r="E363" i="1"/>
  <c r="H363" i="1"/>
  <c r="I363" i="1"/>
  <c r="AC363" i="1"/>
  <c r="AD363" i="1"/>
  <c r="C362" i="1"/>
  <c r="E362" i="1"/>
  <c r="H362" i="1"/>
  <c r="I362" i="1"/>
  <c r="AC362" i="1"/>
  <c r="AD362" i="1"/>
  <c r="B1788" i="3"/>
  <c r="C1788" i="3"/>
  <c r="H1788" i="3" s="1"/>
  <c r="I1788" i="3"/>
  <c r="K1788" i="3"/>
  <c r="N1788" i="3"/>
  <c r="P1788" i="3"/>
  <c r="Q1788" i="3"/>
  <c r="B1804" i="3"/>
  <c r="B1802" i="3"/>
  <c r="B1806" i="3"/>
  <c r="B1805" i="3"/>
  <c r="B1799" i="3"/>
  <c r="B1803" i="3"/>
  <c r="B1801" i="3"/>
  <c r="B1797" i="3"/>
  <c r="B1798" i="3"/>
  <c r="B1800" i="3"/>
  <c r="C1804" i="3"/>
  <c r="H1804" i="3" s="1"/>
  <c r="C1802" i="3"/>
  <c r="H1802" i="3" s="1"/>
  <c r="C1806" i="3"/>
  <c r="H1806" i="3" s="1"/>
  <c r="C1805" i="3"/>
  <c r="H1805" i="3" s="1"/>
  <c r="C1799" i="3"/>
  <c r="H1799" i="3" s="1"/>
  <c r="C1803" i="3"/>
  <c r="H1803" i="3" s="1"/>
  <c r="C1801" i="3"/>
  <c r="H1801" i="3" s="1"/>
  <c r="C1797" i="3"/>
  <c r="H1797" i="3" s="1"/>
  <c r="C1798" i="3"/>
  <c r="H1798" i="3" s="1"/>
  <c r="C1800" i="3"/>
  <c r="H1800" i="3" s="1"/>
  <c r="I1804" i="3"/>
  <c r="I1802" i="3"/>
  <c r="I1806" i="3"/>
  <c r="I1805" i="3"/>
  <c r="I1799" i="3"/>
  <c r="I1803" i="3"/>
  <c r="I1801" i="3"/>
  <c r="I1797" i="3"/>
  <c r="I1798" i="3"/>
  <c r="I1800" i="3"/>
  <c r="K1804" i="3"/>
  <c r="K1802" i="3"/>
  <c r="K1806" i="3"/>
  <c r="K1805" i="3"/>
  <c r="K1799" i="3"/>
  <c r="K1803" i="3"/>
  <c r="K1801" i="3"/>
  <c r="K1797" i="3"/>
  <c r="K1798" i="3"/>
  <c r="K1800" i="3"/>
  <c r="N1804" i="3"/>
  <c r="N1802" i="3"/>
  <c r="N1806" i="3"/>
  <c r="N1805" i="3"/>
  <c r="N1799" i="3"/>
  <c r="N1803" i="3"/>
  <c r="N1801" i="3"/>
  <c r="N1797" i="3"/>
  <c r="N1800" i="3"/>
  <c r="P1804" i="3"/>
  <c r="P1802" i="3"/>
  <c r="P1806" i="3"/>
  <c r="P1805" i="3"/>
  <c r="P1799" i="3"/>
  <c r="P1803" i="3"/>
  <c r="P1801" i="3"/>
  <c r="P1797" i="3"/>
  <c r="P1798" i="3"/>
  <c r="P1800" i="3"/>
  <c r="Q1804" i="3"/>
  <c r="Q1802" i="3"/>
  <c r="Q1806" i="3"/>
  <c r="Q1805" i="3"/>
  <c r="Q1799" i="3"/>
  <c r="Q1803" i="3"/>
  <c r="Q1801" i="3"/>
  <c r="Q1797" i="3"/>
  <c r="Q1798" i="3"/>
  <c r="Q1800" i="3"/>
  <c r="J1800" i="3" l="1"/>
  <c r="O1797" i="3"/>
  <c r="O1801" i="3"/>
  <c r="O1799" i="3"/>
  <c r="O1805" i="3"/>
  <c r="J1806" i="3"/>
  <c r="J1802" i="3"/>
  <c r="O1802" i="3"/>
  <c r="O1806" i="3"/>
  <c r="J1797" i="3"/>
  <c r="O1804" i="3"/>
  <c r="J1804" i="3"/>
  <c r="O1798" i="3"/>
  <c r="J1798" i="3"/>
  <c r="J1788" i="3"/>
  <c r="O1788" i="3"/>
  <c r="AU362" i="1"/>
  <c r="AU363" i="1"/>
  <c r="AU366" i="1"/>
  <c r="AU365" i="1"/>
  <c r="AU364" i="1"/>
  <c r="O1800" i="3"/>
  <c r="J1801" i="3"/>
  <c r="J1803" i="3"/>
  <c r="J1799" i="3"/>
  <c r="O1803" i="3"/>
  <c r="J1805" i="3"/>
  <c r="C361" i="1"/>
  <c r="E361" i="1"/>
  <c r="H361" i="1"/>
  <c r="I361" i="1"/>
  <c r="AC361" i="1"/>
  <c r="AD361" i="1"/>
  <c r="C360" i="1"/>
  <c r="E360" i="1"/>
  <c r="H360" i="1"/>
  <c r="I360" i="1"/>
  <c r="AC360" i="1"/>
  <c r="AD360" i="1"/>
  <c r="C359" i="1"/>
  <c r="E359" i="1"/>
  <c r="H359" i="1"/>
  <c r="I359" i="1"/>
  <c r="AC359" i="1"/>
  <c r="AD359" i="1"/>
  <c r="C358" i="1"/>
  <c r="E358" i="1"/>
  <c r="H358" i="1"/>
  <c r="I358" i="1"/>
  <c r="AC358" i="1"/>
  <c r="AD358" i="1"/>
  <c r="B1787" i="3"/>
  <c r="C1787" i="3"/>
  <c r="H1787" i="3" s="1"/>
  <c r="I1787" i="3"/>
  <c r="K1787" i="3"/>
  <c r="N1787" i="3"/>
  <c r="P1787" i="3"/>
  <c r="Q1787" i="3"/>
  <c r="B1792" i="3"/>
  <c r="C1792" i="3"/>
  <c r="H1792" i="3" s="1"/>
  <c r="I1792" i="3"/>
  <c r="K1792" i="3"/>
  <c r="N1792" i="3"/>
  <c r="P1792" i="3"/>
  <c r="Q1792" i="3"/>
  <c r="B1789" i="3"/>
  <c r="C1789" i="3"/>
  <c r="H1789" i="3" s="1"/>
  <c r="I1789" i="3"/>
  <c r="K1789" i="3"/>
  <c r="N1789" i="3"/>
  <c r="P1789" i="3"/>
  <c r="Q1789" i="3"/>
  <c r="B1790" i="3"/>
  <c r="C1790" i="3"/>
  <c r="H1790" i="3" s="1"/>
  <c r="I1790" i="3"/>
  <c r="K1790" i="3"/>
  <c r="N1790" i="3"/>
  <c r="P1790" i="3"/>
  <c r="Q1790" i="3"/>
  <c r="B1785" i="3"/>
  <c r="C1785" i="3"/>
  <c r="H1785" i="3" s="1"/>
  <c r="I1785" i="3"/>
  <c r="K1785" i="3"/>
  <c r="N1785" i="3"/>
  <c r="P1785" i="3"/>
  <c r="Q1785" i="3"/>
  <c r="B1791" i="3"/>
  <c r="C1791" i="3"/>
  <c r="H1791" i="3" s="1"/>
  <c r="I1791" i="3"/>
  <c r="K1791" i="3"/>
  <c r="N1791" i="3"/>
  <c r="P1791" i="3"/>
  <c r="Q1791" i="3"/>
  <c r="B1786" i="3"/>
  <c r="C1786" i="3"/>
  <c r="H1786" i="3" s="1"/>
  <c r="I1786" i="3"/>
  <c r="K1786" i="3"/>
  <c r="N1786" i="3"/>
  <c r="P1786" i="3"/>
  <c r="Q1786" i="3"/>
  <c r="B1795" i="3"/>
  <c r="C1795" i="3"/>
  <c r="H1795" i="3" s="1"/>
  <c r="I1795" i="3"/>
  <c r="K1795" i="3"/>
  <c r="N1795" i="3"/>
  <c r="P1795" i="3"/>
  <c r="Q1795" i="3"/>
  <c r="B1796" i="3"/>
  <c r="C1796" i="3"/>
  <c r="H1796" i="3" s="1"/>
  <c r="I1796" i="3"/>
  <c r="K1796" i="3"/>
  <c r="N1796" i="3"/>
  <c r="P1796" i="3"/>
  <c r="Q1796" i="3"/>
  <c r="B1793" i="3"/>
  <c r="C1793" i="3"/>
  <c r="H1793" i="3" s="1"/>
  <c r="I1793" i="3"/>
  <c r="K1793" i="3"/>
  <c r="N1793" i="3"/>
  <c r="P1793" i="3"/>
  <c r="Q1793" i="3"/>
  <c r="B1794" i="3"/>
  <c r="C1794" i="3"/>
  <c r="H1794" i="3" s="1"/>
  <c r="I1794" i="3"/>
  <c r="K1794" i="3"/>
  <c r="N1794" i="3"/>
  <c r="P1794" i="3"/>
  <c r="Q1794" i="3"/>
  <c r="A444" i="2"/>
  <c r="C444" i="2" s="1"/>
  <c r="I444" i="2"/>
  <c r="K444" i="2"/>
  <c r="M444" i="2"/>
  <c r="P444" i="2"/>
  <c r="A443" i="2"/>
  <c r="C443" i="2" s="1"/>
  <c r="I443" i="2"/>
  <c r="K443" i="2"/>
  <c r="M443" i="2"/>
  <c r="P443" i="2"/>
  <c r="A442" i="2"/>
  <c r="C442" i="2" s="1"/>
  <c r="I442" i="2"/>
  <c r="K442" i="2"/>
  <c r="M442" i="2"/>
  <c r="P442" i="2"/>
  <c r="O1794" i="3" l="1"/>
  <c r="O1793" i="3"/>
  <c r="J1796" i="3"/>
  <c r="J1795" i="3"/>
  <c r="O1786" i="3"/>
  <c r="J1790" i="3"/>
  <c r="O1789" i="3"/>
  <c r="J1787" i="3"/>
  <c r="J1786" i="3"/>
  <c r="AU358" i="1"/>
  <c r="J1793" i="3"/>
  <c r="AU359" i="1"/>
  <c r="J1791" i="3"/>
  <c r="O1791" i="3"/>
  <c r="O1785" i="3"/>
  <c r="J1789" i="3"/>
  <c r="O1787" i="3"/>
  <c r="AU361" i="1"/>
  <c r="O1792" i="3"/>
  <c r="J1792" i="3"/>
  <c r="J1794" i="3"/>
  <c r="AU360" i="1"/>
  <c r="J1785" i="3"/>
  <c r="O1795" i="3"/>
  <c r="O1790" i="3"/>
  <c r="O1796" i="3"/>
  <c r="C353" i="1"/>
  <c r="E353" i="1"/>
  <c r="H353" i="1"/>
  <c r="I353" i="1"/>
  <c r="AC353" i="1"/>
  <c r="AD353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4" i="1"/>
  <c r="C355" i="1"/>
  <c r="C35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4" i="1"/>
  <c r="E355" i="1"/>
  <c r="E356" i="1"/>
  <c r="B1783" i="3"/>
  <c r="C1783" i="3"/>
  <c r="H1783" i="3" s="1"/>
  <c r="I1783" i="3"/>
  <c r="K1783" i="3"/>
  <c r="N1783" i="3"/>
  <c r="P1783" i="3"/>
  <c r="Q1783" i="3"/>
  <c r="K1782" i="3"/>
  <c r="K1780" i="3"/>
  <c r="K1779" i="3"/>
  <c r="K1778" i="3"/>
  <c r="K1776" i="3"/>
  <c r="K1784" i="3"/>
  <c r="K1781" i="3"/>
  <c r="K1774" i="3"/>
  <c r="AU353" i="1" l="1"/>
  <c r="O1783" i="3"/>
  <c r="J1783" i="3"/>
  <c r="B1781" i="3"/>
  <c r="C1781" i="3"/>
  <c r="H1781" i="3" s="1"/>
  <c r="I1781" i="3"/>
  <c r="N1781" i="3"/>
  <c r="P1781" i="3"/>
  <c r="Q1781" i="3"/>
  <c r="B1784" i="3"/>
  <c r="C1784" i="3"/>
  <c r="H1784" i="3" s="1"/>
  <c r="I1784" i="3"/>
  <c r="N1784" i="3"/>
  <c r="P1784" i="3"/>
  <c r="Q1784" i="3"/>
  <c r="B1619" i="3"/>
  <c r="C1619" i="3"/>
  <c r="H1619" i="3" s="1"/>
  <c r="I1619" i="3"/>
  <c r="K1619" i="3"/>
  <c r="N1619" i="3"/>
  <c r="P1619" i="3"/>
  <c r="Q1619" i="3"/>
  <c r="H356" i="1"/>
  <c r="I356" i="1"/>
  <c r="AC356" i="1"/>
  <c r="AD356" i="1"/>
  <c r="H355" i="1"/>
  <c r="I355" i="1"/>
  <c r="AC355" i="1"/>
  <c r="AD355" i="1"/>
  <c r="H354" i="1"/>
  <c r="I354" i="1"/>
  <c r="AC354" i="1"/>
  <c r="AD354" i="1"/>
  <c r="B1776" i="3"/>
  <c r="C1776" i="3"/>
  <c r="H1776" i="3" s="1"/>
  <c r="I1776" i="3"/>
  <c r="N1776" i="3"/>
  <c r="P1776" i="3"/>
  <c r="Q1776" i="3"/>
  <c r="B1778" i="3"/>
  <c r="C1778" i="3"/>
  <c r="H1778" i="3" s="1"/>
  <c r="I1778" i="3"/>
  <c r="N1778" i="3"/>
  <c r="P1778" i="3"/>
  <c r="Q1778" i="3"/>
  <c r="B1779" i="3"/>
  <c r="C1779" i="3"/>
  <c r="H1779" i="3" s="1"/>
  <c r="I1779" i="3"/>
  <c r="N1779" i="3"/>
  <c r="P1779" i="3"/>
  <c r="Q1779" i="3"/>
  <c r="B1780" i="3"/>
  <c r="C1780" i="3"/>
  <c r="H1780" i="3" s="1"/>
  <c r="I1780" i="3"/>
  <c r="N1780" i="3"/>
  <c r="P1780" i="3"/>
  <c r="Q1780" i="3"/>
  <c r="B1782" i="3"/>
  <c r="C1782" i="3"/>
  <c r="H1782" i="3" s="1"/>
  <c r="I1782" i="3"/>
  <c r="N1782" i="3"/>
  <c r="P1782" i="3"/>
  <c r="Q1782" i="3"/>
  <c r="B1774" i="3"/>
  <c r="C1774" i="3"/>
  <c r="H1774" i="3" s="1"/>
  <c r="I1774" i="3"/>
  <c r="N1774" i="3"/>
  <c r="P1774" i="3"/>
  <c r="Q1774" i="3"/>
  <c r="B1775" i="3"/>
  <c r="C1775" i="3"/>
  <c r="H1775" i="3" s="1"/>
  <c r="I1775" i="3"/>
  <c r="K1775" i="3"/>
  <c r="N1775" i="3"/>
  <c r="P1775" i="3"/>
  <c r="Q1775" i="3"/>
  <c r="B1777" i="3"/>
  <c r="C1777" i="3"/>
  <c r="H1777" i="3" s="1"/>
  <c r="I1777" i="3"/>
  <c r="K1777" i="3"/>
  <c r="N1777" i="3"/>
  <c r="P1777" i="3"/>
  <c r="Q1777" i="3"/>
  <c r="B336" i="1"/>
  <c r="B335" i="1"/>
  <c r="B334" i="1"/>
  <c r="B333" i="1"/>
  <c r="B332" i="1"/>
  <c r="B331" i="1"/>
  <c r="B330" i="1"/>
  <c r="B329" i="1"/>
  <c r="Q1712" i="3"/>
  <c r="A441" i="2"/>
  <c r="C441" i="2" s="1"/>
  <c r="I441" i="2"/>
  <c r="K441" i="2"/>
  <c r="M441" i="2"/>
  <c r="P441" i="2"/>
  <c r="A440" i="2"/>
  <c r="C440" i="2" s="1"/>
  <c r="I440" i="2"/>
  <c r="K440" i="2"/>
  <c r="M440" i="2"/>
  <c r="P440" i="2"/>
  <c r="A439" i="2"/>
  <c r="C439" i="2" s="1"/>
  <c r="I439" i="2"/>
  <c r="K439" i="2"/>
  <c r="M439" i="2"/>
  <c r="P439" i="2"/>
  <c r="H338" i="1"/>
  <c r="I338" i="1"/>
  <c r="AC338" i="1"/>
  <c r="AD338" i="1"/>
  <c r="H325" i="1"/>
  <c r="I325" i="1"/>
  <c r="AC325" i="1"/>
  <c r="AD325" i="1"/>
  <c r="H352" i="1"/>
  <c r="I352" i="1"/>
  <c r="AC352" i="1"/>
  <c r="AD352" i="1"/>
  <c r="H351" i="1"/>
  <c r="I351" i="1"/>
  <c r="AC351" i="1"/>
  <c r="AD351" i="1"/>
  <c r="B1771" i="3"/>
  <c r="C1771" i="3"/>
  <c r="H1771" i="3" s="1"/>
  <c r="I1771" i="3"/>
  <c r="K1771" i="3"/>
  <c r="N1771" i="3"/>
  <c r="P1771" i="3"/>
  <c r="Q1771" i="3"/>
  <c r="B1768" i="3"/>
  <c r="C1768" i="3"/>
  <c r="H1768" i="3" s="1"/>
  <c r="I1768" i="3"/>
  <c r="K1768" i="3"/>
  <c r="N1768" i="3"/>
  <c r="P1768" i="3"/>
  <c r="Q1768" i="3"/>
  <c r="B1769" i="3"/>
  <c r="C1769" i="3"/>
  <c r="H1769" i="3" s="1"/>
  <c r="I1769" i="3"/>
  <c r="K1769" i="3"/>
  <c r="N1769" i="3"/>
  <c r="P1769" i="3"/>
  <c r="Q1769" i="3"/>
  <c r="B1770" i="3"/>
  <c r="C1770" i="3"/>
  <c r="H1770" i="3" s="1"/>
  <c r="I1770" i="3"/>
  <c r="K1770" i="3"/>
  <c r="N1770" i="3"/>
  <c r="P1770" i="3"/>
  <c r="Q1770" i="3"/>
  <c r="B1772" i="3"/>
  <c r="C1772" i="3"/>
  <c r="H1772" i="3" s="1"/>
  <c r="I1772" i="3"/>
  <c r="K1772" i="3"/>
  <c r="N1772" i="3"/>
  <c r="P1772" i="3"/>
  <c r="Q1772" i="3"/>
  <c r="B1773" i="3"/>
  <c r="C1773" i="3"/>
  <c r="H1773" i="3" s="1"/>
  <c r="I1773" i="3"/>
  <c r="K1773" i="3"/>
  <c r="N1773" i="3"/>
  <c r="P1773" i="3"/>
  <c r="Q1773" i="3"/>
  <c r="B1767" i="3"/>
  <c r="C1767" i="3"/>
  <c r="H1767" i="3" s="1"/>
  <c r="I1767" i="3"/>
  <c r="K1767" i="3"/>
  <c r="N1767" i="3"/>
  <c r="P1767" i="3"/>
  <c r="Q1767" i="3"/>
  <c r="A438" i="2"/>
  <c r="C438" i="2" s="1"/>
  <c r="I438" i="2"/>
  <c r="K438" i="2"/>
  <c r="M438" i="2"/>
  <c r="P438" i="2"/>
  <c r="A437" i="2"/>
  <c r="C437" i="2" s="1"/>
  <c r="I437" i="2"/>
  <c r="K437" i="2"/>
  <c r="M437" i="2"/>
  <c r="P437" i="2"/>
  <c r="A436" i="2"/>
  <c r="C436" i="2" s="1"/>
  <c r="I436" i="2"/>
  <c r="K436" i="2"/>
  <c r="M436" i="2"/>
  <c r="P436" i="2"/>
  <c r="A435" i="2"/>
  <c r="C435" i="2" s="1"/>
  <c r="I435" i="2"/>
  <c r="K435" i="2"/>
  <c r="M435" i="2"/>
  <c r="P435" i="2"/>
  <c r="A434" i="2"/>
  <c r="C434" i="2" s="1"/>
  <c r="I434" i="2"/>
  <c r="K434" i="2"/>
  <c r="M434" i="2"/>
  <c r="P434" i="2"/>
  <c r="A433" i="2"/>
  <c r="C433" i="2" s="1"/>
  <c r="I433" i="2"/>
  <c r="K433" i="2"/>
  <c r="M433" i="2"/>
  <c r="P433" i="2"/>
  <c r="A432" i="2"/>
  <c r="C432" i="2" s="1"/>
  <c r="I432" i="2"/>
  <c r="K432" i="2"/>
  <c r="M432" i="2"/>
  <c r="P432" i="2"/>
  <c r="O1767" i="3" l="1"/>
  <c r="O1773" i="3"/>
  <c r="O1770" i="3"/>
  <c r="O1769" i="3"/>
  <c r="O1768" i="3"/>
  <c r="J1771" i="3"/>
  <c r="O1774" i="3"/>
  <c r="O1779" i="3"/>
  <c r="J1778" i="3"/>
  <c r="J1776" i="3"/>
  <c r="O1619" i="3"/>
  <c r="O1784" i="3"/>
  <c r="J1781" i="3"/>
  <c r="O1781" i="3"/>
  <c r="J1774" i="3"/>
  <c r="O1782" i="3"/>
  <c r="J1619" i="3"/>
  <c r="AU355" i="1"/>
  <c r="AU356" i="1"/>
  <c r="O1778" i="3"/>
  <c r="O1780" i="3"/>
  <c r="O1777" i="3"/>
  <c r="J1782" i="3"/>
  <c r="J1780" i="3"/>
  <c r="J1784" i="3"/>
  <c r="J1779" i="3"/>
  <c r="O1776" i="3"/>
  <c r="O1775" i="3"/>
  <c r="J1772" i="3"/>
  <c r="J1777" i="3"/>
  <c r="J1775" i="3"/>
  <c r="AU354" i="1"/>
  <c r="AU325" i="1"/>
  <c r="AU351" i="1"/>
  <c r="AU338" i="1"/>
  <c r="O1772" i="3"/>
  <c r="J1773" i="3"/>
  <c r="J1768" i="3"/>
  <c r="AU352" i="1"/>
  <c r="O1771" i="3"/>
  <c r="J1770" i="3"/>
  <c r="J1767" i="3"/>
  <c r="J1769" i="3"/>
  <c r="H350" i="1"/>
  <c r="I350" i="1"/>
  <c r="AC350" i="1"/>
  <c r="AD350" i="1"/>
  <c r="H349" i="1"/>
  <c r="I349" i="1"/>
  <c r="AC349" i="1"/>
  <c r="AD349" i="1"/>
  <c r="H348" i="1"/>
  <c r="I348" i="1"/>
  <c r="AC348" i="1"/>
  <c r="AD348" i="1"/>
  <c r="B1765" i="3"/>
  <c r="C1765" i="3"/>
  <c r="H1765" i="3" s="1"/>
  <c r="I1765" i="3"/>
  <c r="K1765" i="3"/>
  <c r="N1765" i="3"/>
  <c r="P1765" i="3"/>
  <c r="Q1765" i="3"/>
  <c r="B1762" i="3"/>
  <c r="C1762" i="3"/>
  <c r="H1762" i="3" s="1"/>
  <c r="I1762" i="3"/>
  <c r="K1762" i="3"/>
  <c r="N1762" i="3"/>
  <c r="P1762" i="3"/>
  <c r="Q1762" i="3"/>
  <c r="B1766" i="3"/>
  <c r="C1766" i="3"/>
  <c r="H1766" i="3" s="1"/>
  <c r="I1766" i="3"/>
  <c r="K1766" i="3"/>
  <c r="N1766" i="3"/>
  <c r="P1766" i="3"/>
  <c r="Q1766" i="3"/>
  <c r="B1763" i="3"/>
  <c r="C1763" i="3"/>
  <c r="H1763" i="3" s="1"/>
  <c r="I1763" i="3"/>
  <c r="K1763" i="3"/>
  <c r="N1763" i="3"/>
  <c r="P1763" i="3"/>
  <c r="Q1763" i="3"/>
  <c r="B1764" i="3"/>
  <c r="C1764" i="3"/>
  <c r="H1764" i="3" s="1"/>
  <c r="I1764" i="3"/>
  <c r="K1764" i="3"/>
  <c r="N1764" i="3"/>
  <c r="P1764" i="3"/>
  <c r="Q1764" i="3"/>
  <c r="C7" i="10"/>
  <c r="A431" i="2"/>
  <c r="C431" i="2" s="1"/>
  <c r="I431" i="2"/>
  <c r="K431" i="2"/>
  <c r="M431" i="2"/>
  <c r="P431" i="2"/>
  <c r="A430" i="2"/>
  <c r="C430" i="2" s="1"/>
  <c r="I430" i="2"/>
  <c r="K430" i="2"/>
  <c r="M430" i="2"/>
  <c r="P430" i="2"/>
  <c r="A429" i="2"/>
  <c r="C429" i="2" s="1"/>
  <c r="I429" i="2"/>
  <c r="K429" i="2"/>
  <c r="M429" i="2"/>
  <c r="P429" i="2"/>
  <c r="H347" i="1"/>
  <c r="I347" i="1"/>
  <c r="AC347" i="1"/>
  <c r="AD347" i="1"/>
  <c r="H346" i="1"/>
  <c r="I346" i="1"/>
  <c r="AC346" i="1"/>
  <c r="AD346" i="1"/>
  <c r="B1760" i="3"/>
  <c r="C1760" i="3"/>
  <c r="H1760" i="3" s="1"/>
  <c r="I1760" i="3"/>
  <c r="K1760" i="3"/>
  <c r="N1760" i="3"/>
  <c r="P1760" i="3"/>
  <c r="Q1760" i="3"/>
  <c r="B1761" i="3"/>
  <c r="C1761" i="3"/>
  <c r="H1761" i="3" s="1"/>
  <c r="I1761" i="3"/>
  <c r="K1761" i="3"/>
  <c r="N1761" i="3"/>
  <c r="P1761" i="3"/>
  <c r="Q1761" i="3"/>
  <c r="B1757" i="3"/>
  <c r="C1757" i="3"/>
  <c r="H1757" i="3" s="1"/>
  <c r="I1757" i="3"/>
  <c r="K1757" i="3"/>
  <c r="N1757" i="3"/>
  <c r="P1757" i="3"/>
  <c r="Q1757" i="3"/>
  <c r="B1759" i="3"/>
  <c r="C1759" i="3"/>
  <c r="H1759" i="3" s="1"/>
  <c r="I1759" i="3"/>
  <c r="K1759" i="3"/>
  <c r="N1759" i="3"/>
  <c r="P1759" i="3"/>
  <c r="Q1759" i="3"/>
  <c r="B1758" i="3"/>
  <c r="C1758" i="3"/>
  <c r="H1758" i="3" s="1"/>
  <c r="I1758" i="3"/>
  <c r="K1758" i="3"/>
  <c r="N1758" i="3"/>
  <c r="P1758" i="3"/>
  <c r="Q1758" i="3"/>
  <c r="E1751" i="3"/>
  <c r="P1751" i="3" s="1"/>
  <c r="H345" i="1"/>
  <c r="I345" i="1"/>
  <c r="AC345" i="1"/>
  <c r="AD345" i="1"/>
  <c r="H344" i="1"/>
  <c r="I344" i="1"/>
  <c r="AC344" i="1"/>
  <c r="AD344" i="1"/>
  <c r="K1746" i="3"/>
  <c r="B1754" i="3"/>
  <c r="C1754" i="3"/>
  <c r="H1754" i="3" s="1"/>
  <c r="I1754" i="3"/>
  <c r="K1754" i="3"/>
  <c r="N1754" i="3"/>
  <c r="P1754" i="3"/>
  <c r="Q1754" i="3"/>
  <c r="B1752" i="3"/>
  <c r="C1752" i="3"/>
  <c r="H1752" i="3" s="1"/>
  <c r="I1752" i="3"/>
  <c r="K1752" i="3"/>
  <c r="N1752" i="3"/>
  <c r="P1752" i="3"/>
  <c r="Q1752" i="3"/>
  <c r="B1753" i="3"/>
  <c r="C1753" i="3"/>
  <c r="H1753" i="3" s="1"/>
  <c r="I1753" i="3"/>
  <c r="K1753" i="3"/>
  <c r="N1753" i="3"/>
  <c r="P1753" i="3"/>
  <c r="Q1753" i="3"/>
  <c r="B1756" i="3"/>
  <c r="C1756" i="3"/>
  <c r="H1756" i="3" s="1"/>
  <c r="I1756" i="3"/>
  <c r="K1756" i="3"/>
  <c r="N1756" i="3"/>
  <c r="P1756" i="3"/>
  <c r="Q1756" i="3"/>
  <c r="B1755" i="3"/>
  <c r="C1755" i="3"/>
  <c r="H1755" i="3" s="1"/>
  <c r="I1755" i="3"/>
  <c r="K1755" i="3"/>
  <c r="N1755" i="3"/>
  <c r="P1755" i="3"/>
  <c r="Q1755" i="3"/>
  <c r="A428" i="2"/>
  <c r="C428" i="2" s="1"/>
  <c r="I428" i="2"/>
  <c r="K428" i="2"/>
  <c r="M428" i="2"/>
  <c r="P428" i="2"/>
  <c r="H343" i="1"/>
  <c r="I343" i="1"/>
  <c r="AC343" i="1"/>
  <c r="AD343" i="1"/>
  <c r="E1684" i="3"/>
  <c r="B1751" i="3"/>
  <c r="C1751" i="3"/>
  <c r="H1751" i="3" s="1"/>
  <c r="I1751" i="3"/>
  <c r="K1751" i="3"/>
  <c r="N1751" i="3"/>
  <c r="Q1751" i="3"/>
  <c r="B1750" i="3"/>
  <c r="B1747" i="3"/>
  <c r="B1749" i="3"/>
  <c r="B1748" i="3"/>
  <c r="B1746" i="3"/>
  <c r="C1750" i="3"/>
  <c r="H1750" i="3" s="1"/>
  <c r="C1747" i="3"/>
  <c r="H1747" i="3" s="1"/>
  <c r="C1749" i="3"/>
  <c r="H1749" i="3" s="1"/>
  <c r="C1748" i="3"/>
  <c r="H1748" i="3" s="1"/>
  <c r="C1746" i="3"/>
  <c r="H1746" i="3" s="1"/>
  <c r="I1750" i="3"/>
  <c r="I1747" i="3"/>
  <c r="I1749" i="3"/>
  <c r="I1748" i="3"/>
  <c r="I1746" i="3"/>
  <c r="K1750" i="3"/>
  <c r="K1747" i="3"/>
  <c r="K1749" i="3"/>
  <c r="K1748" i="3"/>
  <c r="N1750" i="3"/>
  <c r="N1747" i="3"/>
  <c r="N1749" i="3"/>
  <c r="N1748" i="3"/>
  <c r="N1746" i="3"/>
  <c r="P1750" i="3"/>
  <c r="P1747" i="3"/>
  <c r="P1749" i="3"/>
  <c r="P1748" i="3"/>
  <c r="P1746" i="3"/>
  <c r="Q1750" i="3"/>
  <c r="Q1747" i="3"/>
  <c r="Q1749" i="3"/>
  <c r="Q1748" i="3"/>
  <c r="Q1746" i="3"/>
  <c r="J1746" i="3" l="1"/>
  <c r="J1749" i="3"/>
  <c r="J1747" i="3"/>
  <c r="J1750" i="3"/>
  <c r="O1755" i="3"/>
  <c r="O1756" i="3"/>
  <c r="J1752" i="3"/>
  <c r="O1754" i="3"/>
  <c r="J1757" i="3"/>
  <c r="O1761" i="3"/>
  <c r="J1764" i="3"/>
  <c r="O1763" i="3"/>
  <c r="O1766" i="3"/>
  <c r="J1765" i="3"/>
  <c r="J1754" i="3"/>
  <c r="J1755" i="3"/>
  <c r="J1756" i="3"/>
  <c r="AU346" i="1"/>
  <c r="O1758" i="3"/>
  <c r="AU347" i="1"/>
  <c r="O1765" i="3"/>
  <c r="J1763" i="3"/>
  <c r="J1766" i="3"/>
  <c r="AU350" i="1"/>
  <c r="AU349" i="1"/>
  <c r="J1762" i="3"/>
  <c r="O1764" i="3"/>
  <c r="O1760" i="3"/>
  <c r="J1758" i="3"/>
  <c r="J1761" i="3"/>
  <c r="J1760" i="3"/>
  <c r="O1762" i="3"/>
  <c r="AU348" i="1"/>
  <c r="J1759" i="3"/>
  <c r="O1759" i="3"/>
  <c r="O1757" i="3"/>
  <c r="AU344" i="1"/>
  <c r="AU345" i="1"/>
  <c r="O1753" i="3"/>
  <c r="O1752" i="3"/>
  <c r="J1753" i="3"/>
  <c r="AU343" i="1"/>
  <c r="O1749" i="3"/>
  <c r="O1746" i="3"/>
  <c r="J1748" i="3"/>
  <c r="O1748" i="3"/>
  <c r="O1750" i="3"/>
  <c r="O1751" i="3"/>
  <c r="J1751" i="3"/>
  <c r="O1747" i="3"/>
  <c r="B1672" i="3"/>
  <c r="C1672" i="3"/>
  <c r="H1672" i="3" s="1"/>
  <c r="I1672" i="3"/>
  <c r="K1672" i="3"/>
  <c r="N1672" i="3"/>
  <c r="P1672" i="3"/>
  <c r="Q1672" i="3"/>
  <c r="B2" i="3"/>
  <c r="B3" i="3"/>
  <c r="B7" i="3"/>
  <c r="B6" i="3"/>
  <c r="B5" i="3"/>
  <c r="B4" i="3"/>
  <c r="B13" i="3"/>
  <c r="B12" i="3"/>
  <c r="B11" i="3"/>
  <c r="B10" i="3"/>
  <c r="B9" i="3"/>
  <c r="B8" i="3"/>
  <c r="B21" i="3"/>
  <c r="B19" i="3"/>
  <c r="B20" i="3"/>
  <c r="B18" i="3"/>
  <c r="B17" i="3"/>
  <c r="B16" i="3"/>
  <c r="B15" i="3"/>
  <c r="B14" i="3"/>
  <c r="B27" i="3"/>
  <c r="B26" i="3"/>
  <c r="B25" i="3"/>
  <c r="B24" i="3"/>
  <c r="B23" i="3"/>
  <c r="B22" i="3"/>
  <c r="B35" i="3"/>
  <c r="B34" i="3"/>
  <c r="B33" i="3"/>
  <c r="B32" i="3"/>
  <c r="B31" i="3"/>
  <c r="B30" i="3"/>
  <c r="B29" i="3"/>
  <c r="B28" i="3"/>
  <c r="B44" i="3"/>
  <c r="B43" i="3"/>
  <c r="B42" i="3"/>
  <c r="B41" i="3"/>
  <c r="B40" i="3"/>
  <c r="B39" i="3"/>
  <c r="B38" i="3"/>
  <c r="B37" i="3"/>
  <c r="B36" i="3"/>
  <c r="B51" i="3"/>
  <c r="B50" i="3"/>
  <c r="B49" i="3"/>
  <c r="B48" i="3"/>
  <c r="B47" i="3"/>
  <c r="B46" i="3"/>
  <c r="B45" i="3"/>
  <c r="B57" i="3"/>
  <c r="B56" i="3"/>
  <c r="B55" i="3"/>
  <c r="B54" i="3"/>
  <c r="B53" i="3"/>
  <c r="B52" i="3"/>
  <c r="B63" i="3"/>
  <c r="B62" i="3"/>
  <c r="B61" i="3"/>
  <c r="B60" i="3"/>
  <c r="B59" i="3"/>
  <c r="B58" i="3"/>
  <c r="B69" i="3"/>
  <c r="B68" i="3"/>
  <c r="B67" i="3"/>
  <c r="B66" i="3"/>
  <c r="B65" i="3"/>
  <c r="B64" i="3"/>
  <c r="B73" i="3"/>
  <c r="B74" i="3"/>
  <c r="B72" i="3"/>
  <c r="B71" i="3"/>
  <c r="B70" i="3"/>
  <c r="B79" i="3"/>
  <c r="B78" i="3"/>
  <c r="B77" i="3"/>
  <c r="B76" i="3"/>
  <c r="B75" i="3"/>
  <c r="B83" i="3"/>
  <c r="B82" i="3"/>
  <c r="B81" i="3"/>
  <c r="B80" i="3"/>
  <c r="B89" i="3"/>
  <c r="B88" i="3"/>
  <c r="B87" i="3"/>
  <c r="B86" i="3"/>
  <c r="B85" i="3"/>
  <c r="B84" i="3"/>
  <c r="B94" i="3"/>
  <c r="B93" i="3"/>
  <c r="B92" i="3"/>
  <c r="B91" i="3"/>
  <c r="B90" i="3"/>
  <c r="B101" i="3"/>
  <c r="B102" i="3"/>
  <c r="B99" i="3"/>
  <c r="B100" i="3"/>
  <c r="B98" i="3"/>
  <c r="B97" i="3"/>
  <c r="B96" i="3"/>
  <c r="B95" i="3"/>
  <c r="B110" i="3"/>
  <c r="B109" i="3"/>
  <c r="B107" i="3"/>
  <c r="B108" i="3"/>
  <c r="B106" i="3"/>
  <c r="B105" i="3"/>
  <c r="B104" i="3"/>
  <c r="B103" i="3"/>
  <c r="B119" i="3"/>
  <c r="B118" i="3"/>
  <c r="B117" i="3"/>
  <c r="B116" i="3"/>
  <c r="B115" i="3"/>
  <c r="B114" i="3"/>
  <c r="B113" i="3"/>
  <c r="B112" i="3"/>
  <c r="B111" i="3"/>
  <c r="B127" i="3"/>
  <c r="B126" i="3"/>
  <c r="B125" i="3"/>
  <c r="B124" i="3"/>
  <c r="B123" i="3"/>
  <c r="B122" i="3"/>
  <c r="B121" i="3"/>
  <c r="B120" i="3"/>
  <c r="B135" i="3"/>
  <c r="B134" i="3"/>
  <c r="B133" i="3"/>
  <c r="B132" i="3"/>
  <c r="B131" i="3"/>
  <c r="B130" i="3"/>
  <c r="B129" i="3"/>
  <c r="B128" i="3"/>
  <c r="B142" i="3"/>
  <c r="B141" i="3"/>
  <c r="B140" i="3"/>
  <c r="B139" i="3"/>
  <c r="B138" i="3"/>
  <c r="B137" i="3"/>
  <c r="B136" i="3"/>
  <c r="B148" i="3"/>
  <c r="B147" i="3"/>
  <c r="B146" i="3"/>
  <c r="B145" i="3"/>
  <c r="B144" i="3"/>
  <c r="B143" i="3"/>
  <c r="B153" i="3"/>
  <c r="B152" i="3"/>
  <c r="B151" i="3"/>
  <c r="B150" i="3"/>
  <c r="B149" i="3"/>
  <c r="B162" i="3"/>
  <c r="B161" i="3"/>
  <c r="B160" i="3"/>
  <c r="B159" i="3"/>
  <c r="B158" i="3"/>
  <c r="B157" i="3"/>
  <c r="B156" i="3"/>
  <c r="B155" i="3"/>
  <c r="B154" i="3"/>
  <c r="B172" i="3"/>
  <c r="B171" i="3"/>
  <c r="B170" i="3"/>
  <c r="B169" i="3"/>
  <c r="B168" i="3"/>
  <c r="B167" i="3"/>
  <c r="B166" i="3"/>
  <c r="B165" i="3"/>
  <c r="B164" i="3"/>
  <c r="B163" i="3"/>
  <c r="B179" i="3"/>
  <c r="B178" i="3"/>
  <c r="B176" i="3"/>
  <c r="B177" i="3"/>
  <c r="B175" i="3"/>
  <c r="B174" i="3"/>
  <c r="B173" i="3"/>
  <c r="B183" i="3"/>
  <c r="B182" i="3"/>
  <c r="B181" i="3"/>
  <c r="B180" i="3"/>
  <c r="B191" i="3"/>
  <c r="B190" i="3"/>
  <c r="B189" i="3"/>
  <c r="B188" i="3"/>
  <c r="B187" i="3"/>
  <c r="B186" i="3"/>
  <c r="B185" i="3"/>
  <c r="B184" i="3"/>
  <c r="B198" i="3"/>
  <c r="B197" i="3"/>
  <c r="B196" i="3"/>
  <c r="B195" i="3"/>
  <c r="B194" i="3"/>
  <c r="B193" i="3"/>
  <c r="B192" i="3"/>
  <c r="B208" i="3"/>
  <c r="B207" i="3"/>
  <c r="B206" i="3"/>
  <c r="B205" i="3"/>
  <c r="B204" i="3"/>
  <c r="B203" i="3"/>
  <c r="B202" i="3"/>
  <c r="B201" i="3"/>
  <c r="B200" i="3"/>
  <c r="B199" i="3"/>
  <c r="B215" i="3"/>
  <c r="B214" i="3"/>
  <c r="B213" i="3"/>
  <c r="B212" i="3"/>
  <c r="B211" i="3"/>
  <c r="B210" i="3"/>
  <c r="B209" i="3"/>
  <c r="B223" i="3"/>
  <c r="B224" i="3"/>
  <c r="B221" i="3"/>
  <c r="B222" i="3"/>
  <c r="B220" i="3"/>
  <c r="B219" i="3"/>
  <c r="B218" i="3"/>
  <c r="B217" i="3"/>
  <c r="B216" i="3"/>
  <c r="B237" i="3"/>
  <c r="B236" i="3"/>
  <c r="B235" i="3"/>
  <c r="B234" i="3"/>
  <c r="B233" i="3"/>
  <c r="B232" i="3"/>
  <c r="B230" i="3"/>
  <c r="B231" i="3"/>
  <c r="B229" i="3"/>
  <c r="B228" i="3"/>
  <c r="B227" i="3"/>
  <c r="B226" i="3"/>
  <c r="B225" i="3"/>
  <c r="B246" i="3"/>
  <c r="B245" i="3"/>
  <c r="B244" i="3"/>
  <c r="B243" i="3"/>
  <c r="B242" i="3"/>
  <c r="B241" i="3"/>
  <c r="B240" i="3"/>
  <c r="B239" i="3"/>
  <c r="B238" i="3"/>
  <c r="B250" i="3"/>
  <c r="B249" i="3"/>
  <c r="B248" i="3"/>
  <c r="B247" i="3"/>
  <c r="B257" i="3"/>
  <c r="B256" i="3"/>
  <c r="B255" i="3"/>
  <c r="B254" i="3"/>
  <c r="B253" i="3"/>
  <c r="B252" i="3"/>
  <c r="B251" i="3"/>
  <c r="B264" i="3"/>
  <c r="B263" i="3"/>
  <c r="B262" i="3"/>
  <c r="B261" i="3"/>
  <c r="B260" i="3"/>
  <c r="B259" i="3"/>
  <c r="B258" i="3"/>
  <c r="B269" i="3"/>
  <c r="B268" i="3"/>
  <c r="B267" i="3"/>
  <c r="B266" i="3"/>
  <c r="B265" i="3"/>
  <c r="B274" i="3"/>
  <c r="B273" i="3"/>
  <c r="B272" i="3"/>
  <c r="B271" i="3"/>
  <c r="B270" i="3"/>
  <c r="B281" i="3"/>
  <c r="B279" i="3"/>
  <c r="B280" i="3"/>
  <c r="B278" i="3"/>
  <c r="B277" i="3"/>
  <c r="B276" i="3"/>
  <c r="B275" i="3"/>
  <c r="B289" i="3"/>
  <c r="B288" i="3"/>
  <c r="B287" i="3"/>
  <c r="B286" i="3"/>
  <c r="B285" i="3"/>
  <c r="B284" i="3"/>
  <c r="B282" i="3"/>
  <c r="B283" i="3"/>
  <c r="B294" i="3"/>
  <c r="B293" i="3"/>
  <c r="B292" i="3"/>
  <c r="B291" i="3"/>
  <c r="B290" i="3"/>
  <c r="B300" i="3"/>
  <c r="B299" i="3"/>
  <c r="B298" i="3"/>
  <c r="B297" i="3"/>
  <c r="B296" i="3"/>
  <c r="B295" i="3"/>
  <c r="B308" i="3"/>
  <c r="B307" i="3"/>
  <c r="B306" i="3"/>
  <c r="B305" i="3"/>
  <c r="B304" i="3"/>
  <c r="B303" i="3"/>
  <c r="B302" i="3"/>
  <c r="B301" i="3"/>
  <c r="B312" i="3"/>
  <c r="B311" i="3"/>
  <c r="B313" i="3"/>
  <c r="B310" i="3"/>
  <c r="B309" i="3"/>
  <c r="B321" i="3"/>
  <c r="B320" i="3"/>
  <c r="B319" i="3"/>
  <c r="B318" i="3"/>
  <c r="B317" i="3"/>
  <c r="B316" i="3"/>
  <c r="B315" i="3"/>
  <c r="B314" i="3"/>
  <c r="B326" i="3"/>
  <c r="B325" i="3"/>
  <c r="B324" i="3"/>
  <c r="B323" i="3"/>
  <c r="B322" i="3"/>
  <c r="B329" i="3"/>
  <c r="B328" i="3"/>
  <c r="B327" i="3"/>
  <c r="B330" i="3"/>
  <c r="B338" i="3"/>
  <c r="B337" i="3"/>
  <c r="B336" i="3"/>
  <c r="B335" i="3"/>
  <c r="B334" i="3"/>
  <c r="B333" i="3"/>
  <c r="B332" i="3"/>
  <c r="B331" i="3"/>
  <c r="B346" i="3"/>
  <c r="B345" i="3"/>
  <c r="B344" i="3"/>
  <c r="B343" i="3"/>
  <c r="B342" i="3"/>
  <c r="B341" i="3"/>
  <c r="B340" i="3"/>
  <c r="B339" i="3"/>
  <c r="B357" i="3"/>
  <c r="B356" i="3"/>
  <c r="B355" i="3"/>
  <c r="B354" i="3"/>
  <c r="B353" i="3"/>
  <c r="B352" i="3"/>
  <c r="B351" i="3"/>
  <c r="B350" i="3"/>
  <c r="B349" i="3"/>
  <c r="B348" i="3"/>
  <c r="B347" i="3"/>
  <c r="B362" i="3"/>
  <c r="B361" i="3"/>
  <c r="B360" i="3"/>
  <c r="B359" i="3"/>
  <c r="B358" i="3"/>
  <c r="B370" i="3"/>
  <c r="B369" i="3"/>
  <c r="B368" i="3"/>
  <c r="B367" i="3"/>
  <c r="B366" i="3"/>
  <c r="B365" i="3"/>
  <c r="B363" i="3"/>
  <c r="B364" i="3"/>
  <c r="B376" i="3"/>
  <c r="B375" i="3"/>
  <c r="B374" i="3"/>
  <c r="B373" i="3"/>
  <c r="B372" i="3"/>
  <c r="B371" i="3"/>
  <c r="B385" i="3"/>
  <c r="B384" i="3"/>
  <c r="B383" i="3"/>
  <c r="B382" i="3"/>
  <c r="B381" i="3"/>
  <c r="B380" i="3"/>
  <c r="B379" i="3"/>
  <c r="B378" i="3"/>
  <c r="B377" i="3"/>
  <c r="B389" i="3"/>
  <c r="B388" i="3"/>
  <c r="B387" i="3"/>
  <c r="B386" i="3"/>
  <c r="B394" i="3"/>
  <c r="B393" i="3"/>
  <c r="B392" i="3"/>
  <c r="B391" i="3"/>
  <c r="B390" i="3"/>
  <c r="B401" i="3"/>
  <c r="B400" i="3"/>
  <c r="B399" i="3"/>
  <c r="B398" i="3"/>
  <c r="B397" i="3"/>
  <c r="B396" i="3"/>
  <c r="B395" i="3"/>
  <c r="B407" i="3"/>
  <c r="B406" i="3"/>
  <c r="B405" i="3"/>
  <c r="B404" i="3"/>
  <c r="B403" i="3"/>
  <c r="B402" i="3"/>
  <c r="B413" i="3"/>
  <c r="B412" i="3"/>
  <c r="B411" i="3"/>
  <c r="B410" i="3"/>
  <c r="B409" i="3"/>
  <c r="B408" i="3"/>
  <c r="B418" i="3"/>
  <c r="B417" i="3"/>
  <c r="B416" i="3"/>
  <c r="B415" i="3"/>
  <c r="B414" i="3"/>
  <c r="B424" i="3"/>
  <c r="B423" i="3"/>
  <c r="B422" i="3"/>
  <c r="B421" i="3"/>
  <c r="B420" i="3"/>
  <c r="B419" i="3"/>
  <c r="B432" i="3"/>
  <c r="B431" i="3"/>
  <c r="B430" i="3"/>
  <c r="B429" i="3"/>
  <c r="B428" i="3"/>
  <c r="B427" i="3"/>
  <c r="B426" i="3"/>
  <c r="B425" i="3"/>
  <c r="B437" i="3"/>
  <c r="B436" i="3"/>
  <c r="B435" i="3"/>
  <c r="B434" i="3"/>
  <c r="B433" i="3"/>
  <c r="B442" i="3"/>
  <c r="B441" i="3"/>
  <c r="B440" i="3"/>
  <c r="B439" i="3"/>
  <c r="B438" i="3"/>
  <c r="B449" i="3"/>
  <c r="B448" i="3"/>
  <c r="B447" i="3"/>
  <c r="B446" i="3"/>
  <c r="B445" i="3"/>
  <c r="B444" i="3"/>
  <c r="B443" i="3"/>
  <c r="B455" i="3"/>
  <c r="B454" i="3"/>
  <c r="B453" i="3"/>
  <c r="B452" i="3"/>
  <c r="B451" i="3"/>
  <c r="B450" i="3"/>
  <c r="B460" i="3"/>
  <c r="B459" i="3"/>
  <c r="B458" i="3"/>
  <c r="B457" i="3"/>
  <c r="B456" i="3"/>
  <c r="B467" i="3"/>
  <c r="B466" i="3"/>
  <c r="B465" i="3"/>
  <c r="B464" i="3"/>
  <c r="B463" i="3"/>
  <c r="B462" i="3"/>
  <c r="B461" i="3"/>
  <c r="B474" i="3"/>
  <c r="B473" i="3"/>
  <c r="B472" i="3"/>
  <c r="B471" i="3"/>
  <c r="B470" i="3"/>
  <c r="B469" i="3"/>
  <c r="B468" i="3"/>
  <c r="B482" i="3"/>
  <c r="B481" i="3"/>
  <c r="B480" i="3"/>
  <c r="B479" i="3"/>
  <c r="B478" i="3"/>
  <c r="B477" i="3"/>
  <c r="B476" i="3"/>
  <c r="B475" i="3"/>
  <c r="B488" i="3"/>
  <c r="B487" i="3"/>
  <c r="B486" i="3"/>
  <c r="B485" i="3"/>
  <c r="B484" i="3"/>
  <c r="B483" i="3"/>
  <c r="B496" i="3"/>
  <c r="B495" i="3"/>
  <c r="B494" i="3"/>
  <c r="B493" i="3"/>
  <c r="B492" i="3"/>
  <c r="B491" i="3"/>
  <c r="B490" i="3"/>
  <c r="B489" i="3"/>
  <c r="B501" i="3"/>
  <c r="B500" i="3"/>
  <c r="B499" i="3"/>
  <c r="B498" i="3"/>
  <c r="B497" i="3"/>
  <c r="B506" i="3"/>
  <c r="B505" i="3"/>
  <c r="B504" i="3"/>
  <c r="B503" i="3"/>
  <c r="B502" i="3"/>
  <c r="B515" i="3"/>
  <c r="B514" i="3"/>
  <c r="B513" i="3"/>
  <c r="B512" i="3"/>
  <c r="B511" i="3"/>
  <c r="B510" i="3"/>
  <c r="B509" i="3"/>
  <c r="B508" i="3"/>
  <c r="B507" i="3"/>
  <c r="B525" i="3"/>
  <c r="B524" i="3"/>
  <c r="B523" i="3"/>
  <c r="B522" i="3"/>
  <c r="B521" i="3"/>
  <c r="B520" i="3"/>
  <c r="B519" i="3"/>
  <c r="B518" i="3"/>
  <c r="B517" i="3"/>
  <c r="B516" i="3"/>
  <c r="B535" i="3"/>
  <c r="B534" i="3"/>
  <c r="B533" i="3"/>
  <c r="B532" i="3"/>
  <c r="B531" i="3"/>
  <c r="B530" i="3"/>
  <c r="B529" i="3"/>
  <c r="B528" i="3"/>
  <c r="B527" i="3"/>
  <c r="B526" i="3"/>
  <c r="B543" i="3"/>
  <c r="B542" i="3"/>
  <c r="B541" i="3"/>
  <c r="B540" i="3"/>
  <c r="B539" i="3"/>
  <c r="B538" i="3"/>
  <c r="B537" i="3"/>
  <c r="B536" i="3"/>
  <c r="B551" i="3"/>
  <c r="B550" i="3"/>
  <c r="B549" i="3"/>
  <c r="B548" i="3"/>
  <c r="B547" i="3"/>
  <c r="B546" i="3"/>
  <c r="B545" i="3"/>
  <c r="B544" i="3"/>
  <c r="B557" i="3"/>
  <c r="B556" i="3"/>
  <c r="B555" i="3"/>
  <c r="B554" i="3"/>
  <c r="B553" i="3"/>
  <c r="B552" i="3"/>
  <c r="B565" i="3"/>
  <c r="B564" i="3"/>
  <c r="B563" i="3"/>
  <c r="B562" i="3"/>
  <c r="B561" i="3"/>
  <c r="B560" i="3"/>
  <c r="B559" i="3"/>
  <c r="B558" i="3"/>
  <c r="B572" i="3"/>
  <c r="B571" i="3"/>
  <c r="B570" i="3"/>
  <c r="B569" i="3"/>
  <c r="B568" i="3"/>
  <c r="B567" i="3"/>
  <c r="B566" i="3"/>
  <c r="B578" i="3"/>
  <c r="B577" i="3"/>
  <c r="B576" i="3"/>
  <c r="B575" i="3"/>
  <c r="B574" i="3"/>
  <c r="B573" i="3"/>
  <c r="B586" i="3"/>
  <c r="B585" i="3"/>
  <c r="B584" i="3"/>
  <c r="B583" i="3"/>
  <c r="B582" i="3"/>
  <c r="B581" i="3"/>
  <c r="B580" i="3"/>
  <c r="B579" i="3"/>
  <c r="B589" i="3"/>
  <c r="B588" i="3"/>
  <c r="B587" i="3"/>
  <c r="B595" i="3"/>
  <c r="B594" i="3"/>
  <c r="B593" i="3"/>
  <c r="B592" i="3"/>
  <c r="B591" i="3"/>
  <c r="B590" i="3"/>
  <c r="B601" i="3"/>
  <c r="B600" i="3"/>
  <c r="B599" i="3"/>
  <c r="B598" i="3"/>
  <c r="B597" i="3"/>
  <c r="B596" i="3"/>
  <c r="B609" i="3"/>
  <c r="B608" i="3"/>
  <c r="B607" i="3"/>
  <c r="B606" i="3"/>
  <c r="B605" i="3"/>
  <c r="B604" i="3"/>
  <c r="B603" i="3"/>
  <c r="B602" i="3"/>
  <c r="B615" i="3"/>
  <c r="B614" i="3"/>
  <c r="B613" i="3"/>
  <c r="B612" i="3"/>
  <c r="B611" i="3"/>
  <c r="B610" i="3"/>
  <c r="B620" i="3"/>
  <c r="B619" i="3"/>
  <c r="B618" i="3"/>
  <c r="B617" i="3"/>
  <c r="B616" i="3"/>
  <c r="B626" i="3"/>
  <c r="B625" i="3"/>
  <c r="B624" i="3"/>
  <c r="B623" i="3"/>
  <c r="B622" i="3"/>
  <c r="B621" i="3"/>
  <c r="B632" i="3"/>
  <c r="B631" i="3"/>
  <c r="B630" i="3"/>
  <c r="B629" i="3"/>
  <c r="B627" i="3"/>
  <c r="B628" i="3"/>
  <c r="B640" i="3"/>
  <c r="B639" i="3"/>
  <c r="B638" i="3"/>
  <c r="B637" i="3"/>
  <c r="B636" i="3"/>
  <c r="B635" i="3"/>
  <c r="B634" i="3"/>
  <c r="B633" i="3"/>
  <c r="B649" i="3"/>
  <c r="B648" i="3"/>
  <c r="B647" i="3"/>
  <c r="B646" i="3"/>
  <c r="B645" i="3"/>
  <c r="B644" i="3"/>
  <c r="B643" i="3"/>
  <c r="B642" i="3"/>
  <c r="B641" i="3"/>
  <c r="B656" i="3"/>
  <c r="B655" i="3"/>
  <c r="B654" i="3"/>
  <c r="B653" i="3"/>
  <c r="B652" i="3"/>
  <c r="B651" i="3"/>
  <c r="B650" i="3"/>
  <c r="B664" i="3"/>
  <c r="B663" i="3"/>
  <c r="B662" i="3"/>
  <c r="B661" i="3"/>
  <c r="B660" i="3"/>
  <c r="B659" i="3"/>
  <c r="B658" i="3"/>
  <c r="B657" i="3"/>
  <c r="B669" i="3"/>
  <c r="B668" i="3"/>
  <c r="B667" i="3"/>
  <c r="B666" i="3"/>
  <c r="B665" i="3"/>
  <c r="B676" i="3"/>
  <c r="B675" i="3"/>
  <c r="B674" i="3"/>
  <c r="B673" i="3"/>
  <c r="B672" i="3"/>
  <c r="B671" i="3"/>
  <c r="B670" i="3"/>
  <c r="B683" i="3"/>
  <c r="B682" i="3"/>
  <c r="B681" i="3"/>
  <c r="B680" i="3"/>
  <c r="B679" i="3"/>
  <c r="B678" i="3"/>
  <c r="B677" i="3"/>
  <c r="B691" i="3"/>
  <c r="B690" i="3"/>
  <c r="B689" i="3"/>
  <c r="B688" i="3"/>
  <c r="B687" i="3"/>
  <c r="B686" i="3"/>
  <c r="B685" i="3"/>
  <c r="B684" i="3"/>
  <c r="B697" i="3"/>
  <c r="B696" i="3"/>
  <c r="B695" i="3"/>
  <c r="B694" i="3"/>
  <c r="B693" i="3"/>
  <c r="B692" i="3"/>
  <c r="B705" i="3"/>
  <c r="B704" i="3"/>
  <c r="B703" i="3"/>
  <c r="B702" i="3"/>
  <c r="B701" i="3"/>
  <c r="B700" i="3"/>
  <c r="B699" i="3"/>
  <c r="B698" i="3"/>
  <c r="B714" i="3"/>
  <c r="B713" i="3"/>
  <c r="B712" i="3"/>
  <c r="B711" i="3"/>
  <c r="B710" i="3"/>
  <c r="B709" i="3"/>
  <c r="B708" i="3"/>
  <c r="B707" i="3"/>
  <c r="B706" i="3"/>
  <c r="B725" i="3"/>
  <c r="B724" i="3"/>
  <c r="B723" i="3"/>
  <c r="B722" i="3"/>
  <c r="B721" i="3"/>
  <c r="B720" i="3"/>
  <c r="B719" i="3"/>
  <c r="B718" i="3"/>
  <c r="B717" i="3"/>
  <c r="B716" i="3"/>
  <c r="B715" i="3"/>
  <c r="B735" i="3"/>
  <c r="B734" i="3"/>
  <c r="B733" i="3"/>
  <c r="B732" i="3"/>
  <c r="B731" i="3"/>
  <c r="B730" i="3"/>
  <c r="B729" i="3"/>
  <c r="B728" i="3"/>
  <c r="B727" i="3"/>
  <c r="B726" i="3"/>
  <c r="B743" i="3"/>
  <c r="B742" i="3"/>
  <c r="B741" i="3"/>
  <c r="B740" i="3"/>
  <c r="B739" i="3"/>
  <c r="B738" i="3"/>
  <c r="B737" i="3"/>
  <c r="B736" i="3"/>
  <c r="B751" i="3"/>
  <c r="B750" i="3"/>
  <c r="B749" i="3"/>
  <c r="B748" i="3"/>
  <c r="B745" i="3"/>
  <c r="B747" i="3"/>
  <c r="B746" i="3"/>
  <c r="B744" i="3"/>
  <c r="B758" i="3"/>
  <c r="B763" i="3"/>
  <c r="B762" i="3"/>
  <c r="B761" i="3"/>
  <c r="B760" i="3"/>
  <c r="B759" i="3"/>
  <c r="B757" i="3"/>
  <c r="B756" i="3"/>
  <c r="B755" i="3"/>
  <c r="B754" i="3"/>
  <c r="B753" i="3"/>
  <c r="B752" i="3"/>
  <c r="B775" i="3"/>
  <c r="B774" i="3"/>
  <c r="B771" i="3"/>
  <c r="B773" i="3"/>
  <c r="B772" i="3"/>
  <c r="B770" i="3"/>
  <c r="B769" i="3"/>
  <c r="B768" i="3"/>
  <c r="B767" i="3"/>
  <c r="B766" i="3"/>
  <c r="B765" i="3"/>
  <c r="B764" i="3"/>
  <c r="B785" i="3"/>
  <c r="B783" i="3"/>
  <c r="B784" i="3"/>
  <c r="B782" i="3"/>
  <c r="B781" i="3"/>
  <c r="B780" i="3"/>
  <c r="B779" i="3"/>
  <c r="B778" i="3"/>
  <c r="B777" i="3"/>
  <c r="B776" i="3"/>
  <c r="B788" i="3"/>
  <c r="B787" i="3"/>
  <c r="B786" i="3"/>
  <c r="B795" i="3"/>
  <c r="B794" i="3"/>
  <c r="B792" i="3"/>
  <c r="B793" i="3"/>
  <c r="B791" i="3"/>
  <c r="B790" i="3"/>
  <c r="B789" i="3"/>
  <c r="B801" i="3"/>
  <c r="B800" i="3"/>
  <c r="B799" i="3"/>
  <c r="B798" i="3"/>
  <c r="B797" i="3"/>
  <c r="B796" i="3"/>
  <c r="B811" i="3"/>
  <c r="B810" i="3"/>
  <c r="B809" i="3"/>
  <c r="B807" i="3"/>
  <c r="B808" i="3"/>
  <c r="B806" i="3"/>
  <c r="B805" i="3"/>
  <c r="B804" i="3"/>
  <c r="B803" i="3"/>
  <c r="B802" i="3"/>
  <c r="B820" i="3"/>
  <c r="B819" i="3"/>
  <c r="B818" i="3"/>
  <c r="B817" i="3"/>
  <c r="B816" i="3"/>
  <c r="B815" i="3"/>
  <c r="B814" i="3"/>
  <c r="B813" i="3"/>
  <c r="B812" i="3"/>
  <c r="B828" i="3"/>
  <c r="B827" i="3"/>
  <c r="B826" i="3"/>
  <c r="B825" i="3"/>
  <c r="B824" i="3"/>
  <c r="B823" i="3"/>
  <c r="B822" i="3"/>
  <c r="B821" i="3"/>
  <c r="B831" i="3"/>
  <c r="B830" i="3"/>
  <c r="B829" i="3"/>
  <c r="B839" i="3"/>
  <c r="B838" i="3"/>
  <c r="B837" i="3"/>
  <c r="B836" i="3"/>
  <c r="B835" i="3"/>
  <c r="B834" i="3"/>
  <c r="B833" i="3"/>
  <c r="B832" i="3"/>
  <c r="B846" i="3"/>
  <c r="B845" i="3"/>
  <c r="B844" i="3"/>
  <c r="B843" i="3"/>
  <c r="B842" i="3"/>
  <c r="B841" i="3"/>
  <c r="B840" i="3"/>
  <c r="B853" i="3"/>
  <c r="B852" i="3"/>
  <c r="B851" i="3"/>
  <c r="B850" i="3"/>
  <c r="B849" i="3"/>
  <c r="B848" i="3"/>
  <c r="B847" i="3"/>
  <c r="B863" i="3"/>
  <c r="B860" i="3"/>
  <c r="B862" i="3"/>
  <c r="B861" i="3"/>
  <c r="B859" i="3"/>
  <c r="B858" i="3"/>
  <c r="B857" i="3"/>
  <c r="B856" i="3"/>
  <c r="B855" i="3"/>
  <c r="B854" i="3"/>
  <c r="B872" i="3"/>
  <c r="B871" i="3"/>
  <c r="B870" i="3"/>
  <c r="B869" i="3"/>
  <c r="B868" i="3"/>
  <c r="B867" i="3"/>
  <c r="B866" i="3"/>
  <c r="B865" i="3"/>
  <c r="B864" i="3"/>
  <c r="B880" i="3"/>
  <c r="B879" i="3"/>
  <c r="B878" i="3"/>
  <c r="B877" i="3"/>
  <c r="B876" i="3"/>
  <c r="B875" i="3"/>
  <c r="B874" i="3"/>
  <c r="B873" i="3"/>
  <c r="B890" i="3"/>
  <c r="B888" i="3"/>
  <c r="B889" i="3"/>
  <c r="B887" i="3"/>
  <c r="B886" i="3"/>
  <c r="B885" i="3"/>
  <c r="B884" i="3"/>
  <c r="B883" i="3"/>
  <c r="B882" i="3"/>
  <c r="B881" i="3"/>
  <c r="B898" i="3"/>
  <c r="B896" i="3"/>
  <c r="B897" i="3"/>
  <c r="B895" i="3"/>
  <c r="B894" i="3"/>
  <c r="B893" i="3"/>
  <c r="B892" i="3"/>
  <c r="B891" i="3"/>
  <c r="B911" i="3"/>
  <c r="B910" i="3"/>
  <c r="B909" i="3"/>
  <c r="B908" i="3"/>
  <c r="B907" i="3"/>
  <c r="B905" i="3"/>
  <c r="B904" i="3"/>
  <c r="B906" i="3"/>
  <c r="B903" i="3"/>
  <c r="B902" i="3"/>
  <c r="B901" i="3"/>
  <c r="B900" i="3"/>
  <c r="B899" i="3"/>
  <c r="B919" i="3"/>
  <c r="B920" i="3"/>
  <c r="B918" i="3"/>
  <c r="B917" i="3"/>
  <c r="B916" i="3"/>
  <c r="B915" i="3"/>
  <c r="B914" i="3"/>
  <c r="B913" i="3"/>
  <c r="B912" i="3"/>
  <c r="B930" i="3"/>
  <c r="B929" i="3"/>
  <c r="B928" i="3"/>
  <c r="B927" i="3"/>
  <c r="B926" i="3"/>
  <c r="B925" i="3"/>
  <c r="B924" i="3"/>
  <c r="B923" i="3"/>
  <c r="B922" i="3"/>
  <c r="B921" i="3"/>
  <c r="B938" i="3"/>
  <c r="B937" i="3"/>
  <c r="B936" i="3"/>
  <c r="B935" i="3"/>
  <c r="B934" i="3"/>
  <c r="B933" i="3"/>
  <c r="B932" i="3"/>
  <c r="B931" i="3"/>
  <c r="B948" i="3"/>
  <c r="B947" i="3"/>
  <c r="B946" i="3"/>
  <c r="B945" i="3"/>
  <c r="B944" i="3"/>
  <c r="B943" i="3"/>
  <c r="B942" i="3"/>
  <c r="B941" i="3"/>
  <c r="B940" i="3"/>
  <c r="B939" i="3"/>
  <c r="B958" i="3"/>
  <c r="B957" i="3"/>
  <c r="B956" i="3"/>
  <c r="B955" i="3"/>
  <c r="B954" i="3"/>
  <c r="B953" i="3"/>
  <c r="B952" i="3"/>
  <c r="B951" i="3"/>
  <c r="B950" i="3"/>
  <c r="B949" i="3"/>
  <c r="B968" i="3"/>
  <c r="B967" i="3"/>
  <c r="B966" i="3"/>
  <c r="B965" i="3"/>
  <c r="B964" i="3"/>
  <c r="B963" i="3"/>
  <c r="B962" i="3"/>
  <c r="B961" i="3"/>
  <c r="B960" i="3"/>
  <c r="B959" i="3"/>
  <c r="B975" i="3"/>
  <c r="B974" i="3"/>
  <c r="B973" i="3"/>
  <c r="B972" i="3"/>
  <c r="B971" i="3"/>
  <c r="B970" i="3"/>
  <c r="B969" i="3"/>
  <c r="B982" i="3"/>
  <c r="B981" i="3"/>
  <c r="B980" i="3"/>
  <c r="B979" i="3"/>
  <c r="B978" i="3"/>
  <c r="B977" i="3"/>
  <c r="B976" i="3"/>
  <c r="B991" i="3"/>
  <c r="B990" i="3"/>
  <c r="B989" i="3"/>
  <c r="B988" i="3"/>
  <c r="B987" i="3"/>
  <c r="B986" i="3"/>
  <c r="B985" i="3"/>
  <c r="B984" i="3"/>
  <c r="B983" i="3"/>
  <c r="B998" i="3"/>
  <c r="B997" i="3"/>
  <c r="B996" i="3"/>
  <c r="B995" i="3"/>
  <c r="B994" i="3"/>
  <c r="B993" i="3"/>
  <c r="B992" i="3"/>
  <c r="B1003" i="3"/>
  <c r="B1002" i="3"/>
  <c r="B1001" i="3"/>
  <c r="B1000" i="3"/>
  <c r="B999" i="3"/>
  <c r="B1011" i="3"/>
  <c r="B1010" i="3"/>
  <c r="B1009" i="3"/>
  <c r="B1008" i="3"/>
  <c r="B1007" i="3"/>
  <c r="B1006" i="3"/>
  <c r="B1005" i="3"/>
  <c r="B1004" i="3"/>
  <c r="B1016" i="3"/>
  <c r="B1015" i="3"/>
  <c r="B1014" i="3"/>
  <c r="B1013" i="3"/>
  <c r="B1012" i="3"/>
  <c r="B1025" i="3"/>
  <c r="B1024" i="3"/>
  <c r="B1023" i="3"/>
  <c r="B1022" i="3"/>
  <c r="B1021" i="3"/>
  <c r="B1020" i="3"/>
  <c r="B1019" i="3"/>
  <c r="B1018" i="3"/>
  <c r="B1017" i="3"/>
  <c r="B1027" i="3"/>
  <c r="B1026" i="3"/>
  <c r="B1034" i="3"/>
  <c r="B1033" i="3"/>
  <c r="B1032" i="3"/>
  <c r="B1031" i="3"/>
  <c r="B1030" i="3"/>
  <c r="B1029" i="3"/>
  <c r="B1028" i="3"/>
  <c r="B1042" i="3"/>
  <c r="B1041" i="3"/>
  <c r="B1040" i="3"/>
  <c r="B1039" i="3"/>
  <c r="B1038" i="3"/>
  <c r="B1037" i="3"/>
  <c r="B1036" i="3"/>
  <c r="B1035" i="3"/>
  <c r="B1051" i="3"/>
  <c r="B1050" i="3"/>
  <c r="B1049" i="3"/>
  <c r="B1048" i="3"/>
  <c r="B1047" i="3"/>
  <c r="B1046" i="3"/>
  <c r="B1045" i="3"/>
  <c r="B1044" i="3"/>
  <c r="B1043" i="3"/>
  <c r="B1055" i="3"/>
  <c r="B1054" i="3"/>
  <c r="B1053" i="3"/>
  <c r="B1052" i="3"/>
  <c r="B1058" i="3"/>
  <c r="B1057" i="3"/>
  <c r="B1056" i="3"/>
  <c r="B1063" i="3"/>
  <c r="B1062" i="3"/>
  <c r="B1061" i="3"/>
  <c r="B1060" i="3"/>
  <c r="B1059" i="3"/>
  <c r="B1069" i="3"/>
  <c r="B1068" i="3"/>
  <c r="B1067" i="3"/>
  <c r="B1066" i="3"/>
  <c r="B1065" i="3"/>
  <c r="B1064" i="3"/>
  <c r="B1071" i="3"/>
  <c r="B1077" i="3"/>
  <c r="B1075" i="3"/>
  <c r="B1076" i="3"/>
  <c r="B1074" i="3"/>
  <c r="B1073" i="3"/>
  <c r="B1072" i="3"/>
  <c r="B1070" i="3"/>
  <c r="B1084" i="3"/>
  <c r="B1083" i="3"/>
  <c r="B1082" i="3"/>
  <c r="B1081" i="3"/>
  <c r="B1080" i="3"/>
  <c r="B1079" i="3"/>
  <c r="B1078" i="3"/>
  <c r="B1091" i="3"/>
  <c r="B1090" i="3"/>
  <c r="B1089" i="3"/>
  <c r="B1087" i="3"/>
  <c r="B1088" i="3"/>
  <c r="B1085" i="3"/>
  <c r="B1086" i="3"/>
  <c r="B1099" i="3"/>
  <c r="B1095" i="3"/>
  <c r="B1098" i="3"/>
  <c r="B1096" i="3"/>
  <c r="B1097" i="3"/>
  <c r="B1094" i="3"/>
  <c r="B1093" i="3"/>
  <c r="B1092" i="3"/>
  <c r="B1104" i="3"/>
  <c r="B1103" i="3"/>
  <c r="B1102" i="3"/>
  <c r="B1101" i="3"/>
  <c r="B1100" i="3"/>
  <c r="B1110" i="3"/>
  <c r="B1109" i="3"/>
  <c r="B1108" i="3"/>
  <c r="B1107" i="3"/>
  <c r="B1106" i="3"/>
  <c r="B1105" i="3"/>
  <c r="B1117" i="3"/>
  <c r="B1116" i="3"/>
  <c r="B1115" i="3"/>
  <c r="B1114" i="3"/>
  <c r="B1113" i="3"/>
  <c r="B1112" i="3"/>
  <c r="B1111" i="3"/>
  <c r="B1122" i="3"/>
  <c r="B1121" i="3"/>
  <c r="B1120" i="3"/>
  <c r="B1119" i="3"/>
  <c r="B1118" i="3"/>
  <c r="B1130" i="3"/>
  <c r="B1129" i="3"/>
  <c r="B1127" i="3"/>
  <c r="B1128" i="3"/>
  <c r="B1126" i="3"/>
  <c r="B1125" i="3"/>
  <c r="B1124" i="3"/>
  <c r="B1123" i="3"/>
  <c r="B1140" i="3"/>
  <c r="B1141" i="3"/>
  <c r="B1139" i="3"/>
  <c r="B1138" i="3"/>
  <c r="B1137" i="3"/>
  <c r="B1136" i="3"/>
  <c r="B1135" i="3"/>
  <c r="B1134" i="3"/>
  <c r="B1133" i="3"/>
  <c r="B1132" i="3"/>
  <c r="B1131" i="3"/>
  <c r="B1151" i="3"/>
  <c r="B1150" i="3"/>
  <c r="B1149" i="3"/>
  <c r="B1148" i="3"/>
  <c r="B1147" i="3"/>
  <c r="B1146" i="3"/>
  <c r="B1145" i="3"/>
  <c r="B1144" i="3"/>
  <c r="B1143" i="3"/>
  <c r="B1142" i="3"/>
  <c r="B1161" i="3"/>
  <c r="B1160" i="3"/>
  <c r="B1159" i="3"/>
  <c r="B1158" i="3"/>
  <c r="B1157" i="3"/>
  <c r="B1156" i="3"/>
  <c r="B1155" i="3"/>
  <c r="B1154" i="3"/>
  <c r="B1153" i="3"/>
  <c r="B1152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81" i="3"/>
  <c r="B1180" i="3"/>
  <c r="B1179" i="3"/>
  <c r="B1178" i="3"/>
  <c r="B1177" i="3"/>
  <c r="B1176" i="3"/>
  <c r="B1175" i="3"/>
  <c r="B1174" i="3"/>
  <c r="B1185" i="3"/>
  <c r="B1184" i="3"/>
  <c r="B1183" i="3"/>
  <c r="B1182" i="3"/>
  <c r="B1190" i="3"/>
  <c r="B1189" i="3"/>
  <c r="B1188" i="3"/>
  <c r="B1187" i="3"/>
  <c r="B1186" i="3"/>
  <c r="B1193" i="3"/>
  <c r="B1192" i="3"/>
  <c r="B1191" i="3"/>
  <c r="B1198" i="3"/>
  <c r="B1197" i="3"/>
  <c r="B1196" i="3"/>
  <c r="B1195" i="3"/>
  <c r="B1194" i="3"/>
  <c r="B1202" i="3"/>
  <c r="B1201" i="3"/>
  <c r="B1200" i="3"/>
  <c r="B1199" i="3"/>
  <c r="B1208" i="3"/>
  <c r="B1209" i="3"/>
  <c r="B1207" i="3"/>
  <c r="B1206" i="3"/>
  <c r="B1205" i="3"/>
  <c r="B1204" i="3"/>
  <c r="B1203" i="3"/>
  <c r="B1216" i="3"/>
  <c r="B1214" i="3"/>
  <c r="B1215" i="3"/>
  <c r="B1213" i="3"/>
  <c r="B1212" i="3"/>
  <c r="B1211" i="3"/>
  <c r="B1210" i="3"/>
  <c r="B1222" i="3"/>
  <c r="B1223" i="3"/>
  <c r="B1220" i="3"/>
  <c r="B1221" i="3"/>
  <c r="B1219" i="3"/>
  <c r="B1217" i="3"/>
  <c r="B1218" i="3"/>
  <c r="B1228" i="3"/>
  <c r="B1227" i="3"/>
  <c r="B1226" i="3"/>
  <c r="B1225" i="3"/>
  <c r="B1224" i="3"/>
  <c r="B1235" i="3"/>
  <c r="B1233" i="3"/>
  <c r="B1234" i="3"/>
  <c r="B1232" i="3"/>
  <c r="B1231" i="3"/>
  <c r="B1230" i="3"/>
  <c r="B1229" i="3"/>
  <c r="B1239" i="3"/>
  <c r="B1238" i="3"/>
  <c r="B1237" i="3"/>
  <c r="B1236" i="3"/>
  <c r="B1244" i="3"/>
  <c r="B1243" i="3"/>
  <c r="B1242" i="3"/>
  <c r="B1241" i="3"/>
  <c r="B1240" i="3"/>
  <c r="B1251" i="3"/>
  <c r="B1250" i="3"/>
  <c r="B1249" i="3"/>
  <c r="B1248" i="3"/>
  <c r="B1247" i="3"/>
  <c r="B1246" i="3"/>
  <c r="B1245" i="3"/>
  <c r="B1258" i="3"/>
  <c r="B1257" i="3"/>
  <c r="B1256" i="3"/>
  <c r="B1255" i="3"/>
  <c r="B1254" i="3"/>
  <c r="B1253" i="3"/>
  <c r="B1252" i="3"/>
  <c r="B1267" i="3"/>
  <c r="B1266" i="3"/>
  <c r="B1265" i="3"/>
  <c r="B1264" i="3"/>
  <c r="B1263" i="3"/>
  <c r="B1262" i="3"/>
  <c r="B1261" i="3"/>
  <c r="B1260" i="3"/>
  <c r="B1259" i="3"/>
  <c r="B1272" i="3"/>
  <c r="B1271" i="3"/>
  <c r="B1275" i="3"/>
  <c r="B1270" i="3"/>
  <c r="B1269" i="3"/>
  <c r="B1268" i="3"/>
  <c r="B1274" i="3"/>
  <c r="B1273" i="3"/>
  <c r="B1281" i="3"/>
  <c r="B1276" i="3"/>
  <c r="B1277" i="3"/>
  <c r="B1278" i="3"/>
  <c r="B1279" i="3"/>
  <c r="B1280" i="3"/>
  <c r="B1283" i="3"/>
  <c r="B1287" i="3"/>
  <c r="B1286" i="3"/>
  <c r="B1282" i="3"/>
  <c r="B1285" i="3"/>
  <c r="B1284" i="3"/>
  <c r="B1292" i="3"/>
  <c r="B1290" i="3"/>
  <c r="B1293" i="3"/>
  <c r="B1291" i="3"/>
  <c r="B1289" i="3"/>
  <c r="B1288" i="3"/>
  <c r="B1299" i="3"/>
  <c r="B1298" i="3"/>
  <c r="B1297" i="3"/>
  <c r="B1296" i="3"/>
  <c r="B1295" i="3"/>
  <c r="B1294" i="3"/>
  <c r="B1305" i="3"/>
  <c r="B1304" i="3"/>
  <c r="B1302" i="3"/>
  <c r="B1301" i="3"/>
  <c r="B1300" i="3"/>
  <c r="B1303" i="3"/>
  <c r="B1312" i="3"/>
  <c r="B1311" i="3"/>
  <c r="B1308" i="3"/>
  <c r="B1307" i="3"/>
  <c r="B1309" i="3"/>
  <c r="B1306" i="3"/>
  <c r="B1310" i="3"/>
  <c r="B1317" i="3"/>
  <c r="B1320" i="3"/>
  <c r="B1319" i="3"/>
  <c r="B1318" i="3"/>
  <c r="B1322" i="3"/>
  <c r="B1316" i="3"/>
  <c r="B1315" i="3"/>
  <c r="B1314" i="3"/>
  <c r="B1321" i="3"/>
  <c r="B1313" i="3"/>
  <c r="B1323" i="3"/>
  <c r="B1327" i="3"/>
  <c r="B1328" i="3"/>
  <c r="B1332" i="3"/>
  <c r="B1325" i="3"/>
  <c r="B1326" i="3"/>
  <c r="B1329" i="3"/>
  <c r="B1330" i="3"/>
  <c r="B1324" i="3"/>
  <c r="B1331" i="3"/>
  <c r="B1340" i="3"/>
  <c r="B1338" i="3"/>
  <c r="B1336" i="3"/>
  <c r="B1335" i="3"/>
  <c r="B1334" i="3"/>
  <c r="B1337" i="3"/>
  <c r="B1339" i="3"/>
  <c r="B1333" i="3"/>
  <c r="B1346" i="3"/>
  <c r="B1345" i="3"/>
  <c r="B1344" i="3"/>
  <c r="B1343" i="3"/>
  <c r="B1342" i="3"/>
  <c r="B1341" i="3"/>
  <c r="B1353" i="3"/>
  <c r="B1351" i="3"/>
  <c r="B1350" i="3"/>
  <c r="B1349" i="3"/>
  <c r="B1357" i="3"/>
  <c r="B1348" i="3"/>
  <c r="B1356" i="3"/>
  <c r="B1355" i="3"/>
  <c r="B1354" i="3"/>
  <c r="B1352" i="3"/>
  <c r="B1347" i="3"/>
  <c r="B1369" i="3"/>
  <c r="B1367" i="3"/>
  <c r="B1365" i="3"/>
  <c r="B1360" i="3"/>
  <c r="B1368" i="3"/>
  <c r="B1366" i="3"/>
  <c r="B1364" i="3"/>
  <c r="B1362" i="3"/>
  <c r="B1361" i="3"/>
  <c r="B1359" i="3"/>
  <c r="B1358" i="3"/>
  <c r="B1363" i="3"/>
  <c r="B1378" i="3"/>
  <c r="B1373" i="3"/>
  <c r="B1372" i="3"/>
  <c r="B1371" i="3"/>
  <c r="B1377" i="3"/>
  <c r="B1376" i="3"/>
  <c r="B1374" i="3"/>
  <c r="B1375" i="3"/>
  <c r="B1370" i="3"/>
  <c r="B1384" i="3"/>
  <c r="B1383" i="3"/>
  <c r="B1381" i="3"/>
  <c r="B1379" i="3"/>
  <c r="B1380" i="3"/>
  <c r="B1382" i="3"/>
  <c r="B1395" i="3"/>
  <c r="B1386" i="3"/>
  <c r="B1393" i="3"/>
  <c r="B1392" i="3"/>
  <c r="B1391" i="3"/>
  <c r="B1390" i="3"/>
  <c r="B1389" i="3"/>
  <c r="B1388" i="3"/>
  <c r="B1387" i="3"/>
  <c r="B1385" i="3"/>
  <c r="B1394" i="3"/>
  <c r="B1397" i="3"/>
  <c r="B1402" i="3"/>
  <c r="B1400" i="3"/>
  <c r="B1399" i="3"/>
  <c r="B1398" i="3"/>
  <c r="B1396" i="3"/>
  <c r="B1401" i="3"/>
  <c r="B1403" i="3"/>
  <c r="B1409" i="3"/>
  <c r="B1406" i="3"/>
  <c r="B1408" i="3"/>
  <c r="B1412" i="3"/>
  <c r="B1411" i="3"/>
  <c r="B1407" i="3"/>
  <c r="B1405" i="3"/>
  <c r="B1404" i="3"/>
  <c r="B1410" i="3"/>
  <c r="B1417" i="3"/>
  <c r="B1420" i="3"/>
  <c r="B1418" i="3"/>
  <c r="B1416" i="3"/>
  <c r="B1415" i="3"/>
  <c r="B1414" i="3"/>
  <c r="B1413" i="3"/>
  <c r="B1419" i="3"/>
  <c r="B1427" i="3"/>
  <c r="B1426" i="3"/>
  <c r="B1421" i="3"/>
  <c r="B1430" i="3"/>
  <c r="B1429" i="3"/>
  <c r="B1428" i="3"/>
  <c r="B1425" i="3"/>
  <c r="B1424" i="3"/>
  <c r="B1423" i="3"/>
  <c r="B1422" i="3"/>
  <c r="B1438" i="3"/>
  <c r="B1435" i="3"/>
  <c r="B1431" i="3"/>
  <c r="B1437" i="3"/>
  <c r="B1436" i="3"/>
  <c r="B1434" i="3"/>
  <c r="B1433" i="3"/>
  <c r="B1432" i="3"/>
  <c r="B1444" i="3"/>
  <c r="B1440" i="3"/>
  <c r="B1439" i="3"/>
  <c r="B1449" i="3"/>
  <c r="B1448" i="3"/>
  <c r="B1447" i="3"/>
  <c r="B1446" i="3"/>
  <c r="B1445" i="3"/>
  <c r="B1443" i="3"/>
  <c r="B1442" i="3"/>
  <c r="B1441" i="3"/>
  <c r="B1455" i="3"/>
  <c r="B1454" i="3"/>
  <c r="B1452" i="3"/>
  <c r="B1456" i="3"/>
  <c r="B1453" i="3"/>
  <c r="B1451" i="3"/>
  <c r="B1450" i="3"/>
  <c r="B1457" i="3"/>
  <c r="B1464" i="3"/>
  <c r="B1463" i="3"/>
  <c r="B1461" i="3"/>
  <c r="B1462" i="3"/>
  <c r="B1460" i="3"/>
  <c r="B1459" i="3"/>
  <c r="B1458" i="3"/>
  <c r="B1467" i="3"/>
  <c r="B1465" i="3"/>
  <c r="B1466" i="3"/>
  <c r="B1472" i="3"/>
  <c r="B1469" i="3"/>
  <c r="B1468" i="3"/>
  <c r="B1470" i="3"/>
  <c r="B1471" i="3"/>
  <c r="B1476" i="3"/>
  <c r="B1474" i="3"/>
  <c r="B1475" i="3"/>
  <c r="B1473" i="3"/>
  <c r="B1481" i="3"/>
  <c r="B1480" i="3"/>
  <c r="B1483" i="3"/>
  <c r="B1482" i="3"/>
  <c r="B1479" i="3"/>
  <c r="B1478" i="3"/>
  <c r="B1477" i="3"/>
  <c r="B1484" i="3"/>
  <c r="B1491" i="3"/>
  <c r="B1485" i="3"/>
  <c r="B1490" i="3"/>
  <c r="B1489" i="3"/>
  <c r="B1488" i="3"/>
  <c r="B1487" i="3"/>
  <c r="B1486" i="3"/>
  <c r="B1497" i="3"/>
  <c r="B1496" i="3"/>
  <c r="B1493" i="3"/>
  <c r="B1494" i="3"/>
  <c r="B1495" i="3"/>
  <c r="B1492" i="3"/>
  <c r="B1502" i="3"/>
  <c r="B1500" i="3"/>
  <c r="B1499" i="3"/>
  <c r="B1503" i="3"/>
  <c r="B1498" i="3"/>
  <c r="B1504" i="3"/>
  <c r="B1501" i="3"/>
  <c r="B1512" i="3"/>
  <c r="B1516" i="3"/>
  <c r="B1507" i="3"/>
  <c r="B1506" i="3"/>
  <c r="B1505" i="3"/>
  <c r="B1511" i="3"/>
  <c r="B1515" i="3"/>
  <c r="B1514" i="3"/>
  <c r="B1513" i="3"/>
  <c r="B1510" i="3"/>
  <c r="B1509" i="3"/>
  <c r="B1508" i="3"/>
  <c r="B1527" i="3"/>
  <c r="B1520" i="3"/>
  <c r="B1522" i="3"/>
  <c r="B1526" i="3"/>
  <c r="B1517" i="3"/>
  <c r="B1523" i="3"/>
  <c r="B1525" i="3"/>
  <c r="B1524" i="3"/>
  <c r="B1521" i="3"/>
  <c r="B1518" i="3"/>
  <c r="B1519" i="3"/>
  <c r="B1531" i="3"/>
  <c r="B1528" i="3"/>
  <c r="B1532" i="3"/>
  <c r="B1534" i="3"/>
  <c r="B1533" i="3"/>
  <c r="B1529" i="3"/>
  <c r="B1530" i="3"/>
  <c r="B1540" i="3"/>
  <c r="B1539" i="3"/>
  <c r="B1538" i="3"/>
  <c r="B1541" i="3"/>
  <c r="B1537" i="3"/>
  <c r="B1536" i="3"/>
  <c r="B1535" i="3"/>
  <c r="B1544" i="3"/>
  <c r="B1548" i="3"/>
  <c r="B1547" i="3"/>
  <c r="B1546" i="3"/>
  <c r="B1545" i="3"/>
  <c r="B1542" i="3"/>
  <c r="B1549" i="3"/>
  <c r="B1543" i="3"/>
  <c r="B1554" i="3"/>
  <c r="B1553" i="3"/>
  <c r="B1561" i="3"/>
  <c r="B1560" i="3"/>
  <c r="B1559" i="3"/>
  <c r="B1558" i="3"/>
  <c r="B1557" i="3"/>
  <c r="B1556" i="3"/>
  <c r="B1555" i="3"/>
  <c r="B1552" i="3"/>
  <c r="B1551" i="3"/>
  <c r="B1550" i="3"/>
  <c r="B1568" i="3"/>
  <c r="B1566" i="3"/>
  <c r="B1562" i="3"/>
  <c r="B1569" i="3"/>
  <c r="B1567" i="3"/>
  <c r="B1565" i="3"/>
  <c r="B1564" i="3"/>
  <c r="B1563" i="3"/>
  <c r="B1575" i="3"/>
  <c r="B1572" i="3"/>
  <c r="B1574" i="3"/>
  <c r="B1573" i="3"/>
  <c r="B1571" i="3"/>
  <c r="B1570" i="3"/>
  <c r="B1577" i="3"/>
  <c r="B1576" i="3"/>
  <c r="B1581" i="3"/>
  <c r="B1578" i="3"/>
  <c r="B1583" i="3"/>
  <c r="B1582" i="3"/>
  <c r="B1580" i="3"/>
  <c r="B1579" i="3"/>
  <c r="B1591" i="3"/>
  <c r="B1593" i="3"/>
  <c r="B1594" i="3"/>
  <c r="B1588" i="3"/>
  <c r="B1586" i="3"/>
  <c r="B1585" i="3"/>
  <c r="B1592" i="3"/>
  <c r="B1590" i="3"/>
  <c r="B1589" i="3"/>
  <c r="B1587" i="3"/>
  <c r="B1584" i="3"/>
  <c r="B1601" i="3"/>
  <c r="B1605" i="3"/>
  <c r="B1603" i="3"/>
  <c r="B1595" i="3"/>
  <c r="B1602" i="3"/>
  <c r="B1604" i="3"/>
  <c r="B1600" i="3"/>
  <c r="B1599" i="3"/>
  <c r="B1598" i="3"/>
  <c r="B1597" i="3"/>
  <c r="B1596" i="3"/>
  <c r="B1612" i="3"/>
  <c r="B1610" i="3"/>
  <c r="B1609" i="3"/>
  <c r="B1606" i="3"/>
  <c r="B1613" i="3"/>
  <c r="B1617" i="3"/>
  <c r="B1615" i="3"/>
  <c r="B1614" i="3"/>
  <c r="B1611" i="3"/>
  <c r="B1608" i="3"/>
  <c r="B1616" i="3"/>
  <c r="B1607" i="3"/>
  <c r="B1629" i="3"/>
  <c r="B1626" i="3"/>
  <c r="B1623" i="3"/>
  <c r="B1622" i="3"/>
  <c r="B1618" i="3"/>
  <c r="B1627" i="3"/>
  <c r="B1630" i="3"/>
  <c r="B1631" i="3"/>
  <c r="B1628" i="3"/>
  <c r="B1624" i="3"/>
  <c r="B1621" i="3"/>
  <c r="B1620" i="3"/>
  <c r="B1625" i="3"/>
  <c r="B1638" i="3"/>
  <c r="B1636" i="3"/>
  <c r="B1635" i="3"/>
  <c r="B1633" i="3"/>
  <c r="B1632" i="3"/>
  <c r="B1634" i="3"/>
  <c r="B1641" i="3"/>
  <c r="B1639" i="3"/>
  <c r="B1637" i="3"/>
  <c r="B1640" i="3"/>
  <c r="B1647" i="3"/>
  <c r="B1643" i="3"/>
  <c r="B1649" i="3"/>
  <c r="B1642" i="3"/>
  <c r="B1648" i="3"/>
  <c r="B1651" i="3"/>
  <c r="B1650" i="3"/>
  <c r="B1644" i="3"/>
  <c r="B1646" i="3"/>
  <c r="B1652" i="3"/>
  <c r="B1645" i="3"/>
  <c r="B1656" i="3"/>
  <c r="B1658" i="3"/>
  <c r="B1653" i="3"/>
  <c r="B1659" i="3"/>
  <c r="B1655" i="3"/>
  <c r="B1654" i="3"/>
  <c r="B1657" i="3"/>
  <c r="B1666" i="3"/>
  <c r="B1660" i="3"/>
  <c r="B1665" i="3"/>
  <c r="B1664" i="3"/>
  <c r="B1663" i="3"/>
  <c r="B1662" i="3"/>
  <c r="B1661" i="3"/>
  <c r="B1673" i="3"/>
  <c r="B1675" i="3"/>
  <c r="B1667" i="3"/>
  <c r="B1668" i="3"/>
  <c r="B1671" i="3"/>
  <c r="B1676" i="3"/>
  <c r="B1674" i="3"/>
  <c r="B1670" i="3"/>
  <c r="B1669" i="3"/>
  <c r="B1679" i="3"/>
  <c r="B1678" i="3"/>
  <c r="B1680" i="3"/>
  <c r="B1683" i="3"/>
  <c r="B1686" i="3"/>
  <c r="B1682" i="3"/>
  <c r="B1685" i="3"/>
  <c r="B1677" i="3"/>
  <c r="B1681" i="3"/>
  <c r="B1684" i="3"/>
  <c r="B1688" i="3"/>
  <c r="B1687" i="3"/>
  <c r="B1699" i="3"/>
  <c r="B1689" i="3"/>
  <c r="B1691" i="3"/>
  <c r="B1690" i="3"/>
  <c r="B1698" i="3"/>
  <c r="B1694" i="3"/>
  <c r="B1693" i="3"/>
  <c r="B1692" i="3"/>
  <c r="B1696" i="3"/>
  <c r="B1695" i="3"/>
  <c r="B1697" i="3"/>
  <c r="B1702" i="3"/>
  <c r="B1705" i="3"/>
  <c r="B1706" i="3"/>
  <c r="B1704" i="3"/>
  <c r="B1709" i="3"/>
  <c r="B1708" i="3"/>
  <c r="B1707" i="3"/>
  <c r="B1703" i="3"/>
  <c r="B1701" i="3"/>
  <c r="B1700" i="3"/>
  <c r="B1718" i="3"/>
  <c r="B1714" i="3"/>
  <c r="B1712" i="3"/>
  <c r="B1711" i="3"/>
  <c r="B1710" i="3"/>
  <c r="B1720" i="3"/>
  <c r="B1719" i="3"/>
  <c r="B1717" i="3"/>
  <c r="B1716" i="3"/>
  <c r="B1715" i="3"/>
  <c r="B1713" i="3"/>
  <c r="B1726" i="3"/>
  <c r="B1723" i="3"/>
  <c r="B1727" i="3"/>
  <c r="B1725" i="3"/>
  <c r="B1724" i="3"/>
  <c r="B1722" i="3"/>
  <c r="B1721" i="3"/>
  <c r="B1733" i="3"/>
  <c r="B1735" i="3"/>
  <c r="B1730" i="3"/>
  <c r="B1734" i="3"/>
  <c r="B1731" i="3"/>
  <c r="B1729" i="3"/>
  <c r="B1728" i="3"/>
  <c r="B1732" i="3"/>
  <c r="B1744" i="3"/>
  <c r="B1738" i="3"/>
  <c r="B1745" i="3"/>
  <c r="B1743" i="3"/>
  <c r="B1741" i="3"/>
  <c r="B1739" i="3"/>
  <c r="B1737" i="3"/>
  <c r="B1736" i="3"/>
  <c r="B1742" i="3"/>
  <c r="B1740" i="3"/>
  <c r="C2" i="3"/>
  <c r="C3" i="3"/>
  <c r="C7" i="3"/>
  <c r="O7" i="3" s="1"/>
  <c r="C6" i="3"/>
  <c r="C5" i="3"/>
  <c r="O5" i="3" s="1"/>
  <c r="C4" i="3"/>
  <c r="H4" i="3" s="1"/>
  <c r="C13" i="3"/>
  <c r="H13" i="3" s="1"/>
  <c r="C12" i="3"/>
  <c r="C11" i="3"/>
  <c r="H11" i="3" s="1"/>
  <c r="C10" i="3"/>
  <c r="C9" i="3"/>
  <c r="C8" i="3"/>
  <c r="H8" i="3" s="1"/>
  <c r="C21" i="3"/>
  <c r="C19" i="3"/>
  <c r="C20" i="3"/>
  <c r="O20" i="3" s="1"/>
  <c r="C18" i="3"/>
  <c r="H18" i="3" s="1"/>
  <c r="C17" i="3"/>
  <c r="H17" i="3" s="1"/>
  <c r="C16" i="3"/>
  <c r="C15" i="3"/>
  <c r="H15" i="3" s="1"/>
  <c r="C14" i="3"/>
  <c r="H14" i="3" s="1"/>
  <c r="C27" i="3"/>
  <c r="O27" i="3" s="1"/>
  <c r="C26" i="3"/>
  <c r="H26" i="3" s="1"/>
  <c r="C25" i="3"/>
  <c r="H25" i="3" s="1"/>
  <c r="G404" i="1" s="1"/>
  <c r="C24" i="3"/>
  <c r="H24" i="3" s="1"/>
  <c r="G423" i="1" s="1"/>
  <c r="C23" i="3"/>
  <c r="H23" i="3" s="1"/>
  <c r="C22" i="3"/>
  <c r="C35" i="3"/>
  <c r="C34" i="3"/>
  <c r="H34" i="3" s="1"/>
  <c r="C33" i="3"/>
  <c r="O33" i="3" s="1"/>
  <c r="C32" i="3"/>
  <c r="H32" i="3" s="1"/>
  <c r="C31" i="3"/>
  <c r="H31" i="3" s="1"/>
  <c r="C30" i="3"/>
  <c r="H30" i="3" s="1"/>
  <c r="C29" i="3"/>
  <c r="H29" i="3" s="1"/>
  <c r="C28" i="3"/>
  <c r="J28" i="3" s="1"/>
  <c r="C44" i="3"/>
  <c r="O44" i="3" s="1"/>
  <c r="C43" i="3"/>
  <c r="H43" i="3" s="1"/>
  <c r="C42" i="3"/>
  <c r="O42" i="3" s="1"/>
  <c r="C41" i="3"/>
  <c r="J41" i="3" s="1"/>
  <c r="C40" i="3"/>
  <c r="H40" i="3" s="1"/>
  <c r="C39" i="3"/>
  <c r="C38" i="3"/>
  <c r="C37" i="3"/>
  <c r="C36" i="3"/>
  <c r="H36" i="3" s="1"/>
  <c r="C51" i="3"/>
  <c r="H51" i="3" s="1"/>
  <c r="C50" i="3"/>
  <c r="O50" i="3" s="1"/>
  <c r="C49" i="3"/>
  <c r="H49" i="3" s="1"/>
  <c r="C48" i="3"/>
  <c r="O48" i="3" s="1"/>
  <c r="C47" i="3"/>
  <c r="H47" i="3" s="1"/>
  <c r="C46" i="3"/>
  <c r="H46" i="3" s="1"/>
  <c r="C45" i="3"/>
  <c r="O45" i="3" s="1"/>
  <c r="C57" i="3"/>
  <c r="O57" i="3" s="1"/>
  <c r="C56" i="3"/>
  <c r="H56" i="3" s="1"/>
  <c r="C55" i="3"/>
  <c r="C54" i="3"/>
  <c r="O54" i="3" s="1"/>
  <c r="C53" i="3"/>
  <c r="O53" i="3" s="1"/>
  <c r="C52" i="3"/>
  <c r="H52" i="3" s="1"/>
  <c r="C63" i="3"/>
  <c r="H63" i="3" s="1"/>
  <c r="C62" i="3"/>
  <c r="H62" i="3" s="1"/>
  <c r="C61" i="3"/>
  <c r="C60" i="3"/>
  <c r="H60" i="3" s="1"/>
  <c r="C59" i="3"/>
  <c r="C58" i="3"/>
  <c r="H58" i="3" s="1"/>
  <c r="C69" i="3"/>
  <c r="O69" i="3" s="1"/>
  <c r="C68" i="3"/>
  <c r="H68" i="3" s="1"/>
  <c r="C67" i="3"/>
  <c r="H67" i="3" s="1"/>
  <c r="C66" i="3"/>
  <c r="H66" i="3" s="1"/>
  <c r="G427" i="1" s="1"/>
  <c r="C65" i="3"/>
  <c r="H65" i="3" s="1"/>
  <c r="C64" i="3"/>
  <c r="H64" i="3" s="1"/>
  <c r="C73" i="3"/>
  <c r="C74" i="3"/>
  <c r="J74" i="3" s="1"/>
  <c r="C72" i="3"/>
  <c r="C71" i="3"/>
  <c r="H71" i="3" s="1"/>
  <c r="C70" i="3"/>
  <c r="H70" i="3" s="1"/>
  <c r="C79" i="3"/>
  <c r="O79" i="3" s="1"/>
  <c r="C78" i="3"/>
  <c r="O78" i="3" s="1"/>
  <c r="C77" i="3"/>
  <c r="H77" i="3" s="1"/>
  <c r="G421" i="1" s="1"/>
  <c r="C76" i="3"/>
  <c r="O76" i="3" s="1"/>
  <c r="C75" i="3"/>
  <c r="C83" i="3"/>
  <c r="O83" i="3" s="1"/>
  <c r="C82" i="3"/>
  <c r="H82" i="3" s="1"/>
  <c r="C81" i="3"/>
  <c r="H81" i="3" s="1"/>
  <c r="C80" i="3"/>
  <c r="O80" i="3" s="1"/>
  <c r="C89" i="3"/>
  <c r="H89" i="3" s="1"/>
  <c r="C88" i="3"/>
  <c r="H88" i="3" s="1"/>
  <c r="C87" i="3"/>
  <c r="H87" i="3" s="1"/>
  <c r="C86" i="3"/>
  <c r="H86" i="3" s="1"/>
  <c r="C85" i="3"/>
  <c r="O85" i="3" s="1"/>
  <c r="C84" i="3"/>
  <c r="H84" i="3" s="1"/>
  <c r="C94" i="3"/>
  <c r="H94" i="3" s="1"/>
  <c r="C93" i="3"/>
  <c r="H93" i="3" s="1"/>
  <c r="C92" i="3"/>
  <c r="O92" i="3" s="1"/>
  <c r="C91" i="3"/>
  <c r="H91" i="3" s="1"/>
  <c r="C90" i="3"/>
  <c r="C101" i="3"/>
  <c r="C102" i="3"/>
  <c r="O102" i="3" s="1"/>
  <c r="C99" i="3"/>
  <c r="H99" i="3" s="1"/>
  <c r="C100" i="3"/>
  <c r="H100" i="3" s="1"/>
  <c r="C98" i="3"/>
  <c r="C97" i="3"/>
  <c r="C96" i="3"/>
  <c r="H96" i="3" s="1"/>
  <c r="C95" i="3"/>
  <c r="O95" i="3" s="1"/>
  <c r="C110" i="3"/>
  <c r="H110" i="3" s="1"/>
  <c r="C109" i="3"/>
  <c r="O109" i="3" s="1"/>
  <c r="C107" i="3"/>
  <c r="H107" i="3" s="1"/>
  <c r="C108" i="3"/>
  <c r="H108" i="3" s="1"/>
  <c r="C106" i="3"/>
  <c r="C105" i="3"/>
  <c r="H105" i="3" s="1"/>
  <c r="C104" i="3"/>
  <c r="C103" i="3"/>
  <c r="C119" i="3"/>
  <c r="H119" i="3" s="1"/>
  <c r="C118" i="3"/>
  <c r="O118" i="3" s="1"/>
  <c r="C117" i="3"/>
  <c r="H117" i="3" s="1"/>
  <c r="C116" i="3"/>
  <c r="H116" i="3" s="1"/>
  <c r="C115" i="3"/>
  <c r="C114" i="3"/>
  <c r="C113" i="3"/>
  <c r="H113" i="3" s="1"/>
  <c r="C112" i="3"/>
  <c r="H112" i="3" s="1"/>
  <c r="C111" i="3"/>
  <c r="O111" i="3" s="1"/>
  <c r="C127" i="3"/>
  <c r="H127" i="3" s="1"/>
  <c r="C126" i="3"/>
  <c r="H126" i="3" s="1"/>
  <c r="C125" i="3"/>
  <c r="H125" i="3" s="1"/>
  <c r="C124" i="3"/>
  <c r="H124" i="3" s="1"/>
  <c r="C123" i="3"/>
  <c r="C122" i="3"/>
  <c r="H122" i="3" s="1"/>
  <c r="C121" i="3"/>
  <c r="O121" i="3" s="1"/>
  <c r="C120" i="3"/>
  <c r="H120" i="3" s="1"/>
  <c r="C135" i="3"/>
  <c r="H135" i="3" s="1"/>
  <c r="C134" i="3"/>
  <c r="H134" i="3" s="1"/>
  <c r="C133" i="3"/>
  <c r="H133" i="3" s="1"/>
  <c r="C132" i="3"/>
  <c r="C131" i="3"/>
  <c r="O131" i="3" s="1"/>
  <c r="C130" i="3"/>
  <c r="C129" i="3"/>
  <c r="C128" i="3"/>
  <c r="O128" i="3" s="1"/>
  <c r="C142" i="3"/>
  <c r="H142" i="3" s="1"/>
  <c r="C141" i="3"/>
  <c r="H141" i="3" s="1"/>
  <c r="C140" i="3"/>
  <c r="C139" i="3"/>
  <c r="C138" i="3"/>
  <c r="O138" i="3" s="1"/>
  <c r="C137" i="3"/>
  <c r="C136" i="3"/>
  <c r="O136" i="3" s="1"/>
  <c r="C148" i="3"/>
  <c r="H148" i="3" s="1"/>
  <c r="C147" i="3"/>
  <c r="O147" i="3" s="1"/>
  <c r="C146" i="3"/>
  <c r="H146" i="3" s="1"/>
  <c r="C145" i="3"/>
  <c r="H145" i="3" s="1"/>
  <c r="C144" i="3"/>
  <c r="H144" i="3" s="1"/>
  <c r="C143" i="3"/>
  <c r="H143" i="3" s="1"/>
  <c r="C153" i="3"/>
  <c r="H153" i="3" s="1"/>
  <c r="C152" i="3"/>
  <c r="H152" i="3" s="1"/>
  <c r="C151" i="3"/>
  <c r="H151" i="3" s="1"/>
  <c r="C150" i="3"/>
  <c r="O150" i="3" s="1"/>
  <c r="C149" i="3"/>
  <c r="H149" i="3" s="1"/>
  <c r="C162" i="3"/>
  <c r="H162" i="3" s="1"/>
  <c r="C161" i="3"/>
  <c r="C160" i="3"/>
  <c r="C159" i="3"/>
  <c r="H159" i="3" s="1"/>
  <c r="C158" i="3"/>
  <c r="H158" i="3" s="1"/>
  <c r="C157" i="3"/>
  <c r="H157" i="3" s="1"/>
  <c r="C156" i="3"/>
  <c r="O156" i="3" s="1"/>
  <c r="C155" i="3"/>
  <c r="J155" i="3" s="1"/>
  <c r="C154" i="3"/>
  <c r="H154" i="3" s="1"/>
  <c r="C172" i="3"/>
  <c r="C171" i="3"/>
  <c r="O171" i="3" s="1"/>
  <c r="C170" i="3"/>
  <c r="H170" i="3" s="1"/>
  <c r="C169" i="3"/>
  <c r="C168" i="3"/>
  <c r="H168" i="3" s="1"/>
  <c r="C167" i="3"/>
  <c r="O167" i="3" s="1"/>
  <c r="C166" i="3"/>
  <c r="H166" i="3" s="1"/>
  <c r="C165" i="3"/>
  <c r="C164" i="3"/>
  <c r="C163" i="3"/>
  <c r="C179" i="3"/>
  <c r="C178" i="3"/>
  <c r="O178" i="3" s="1"/>
  <c r="C176" i="3"/>
  <c r="H176" i="3" s="1"/>
  <c r="C177" i="3"/>
  <c r="C175" i="3"/>
  <c r="H175" i="3" s="1"/>
  <c r="C174" i="3"/>
  <c r="H174" i="3" s="1"/>
  <c r="C173" i="3"/>
  <c r="J173" i="3" s="1"/>
  <c r="C183" i="3"/>
  <c r="C182" i="3"/>
  <c r="H182" i="3" s="1"/>
  <c r="C181" i="3"/>
  <c r="C180" i="3"/>
  <c r="H180" i="3" s="1"/>
  <c r="C191" i="3"/>
  <c r="O191" i="3" s="1"/>
  <c r="C190" i="3"/>
  <c r="H190" i="3" s="1"/>
  <c r="C189" i="3"/>
  <c r="H189" i="3" s="1"/>
  <c r="C188" i="3"/>
  <c r="H188" i="3" s="1"/>
  <c r="C187" i="3"/>
  <c r="H187" i="3" s="1"/>
  <c r="G379" i="1" s="1"/>
  <c r="C186" i="3"/>
  <c r="C185" i="3"/>
  <c r="H185" i="3" s="1"/>
  <c r="C184" i="3"/>
  <c r="O184" i="3" s="1"/>
  <c r="C198" i="3"/>
  <c r="O198" i="3" s="1"/>
  <c r="C197" i="3"/>
  <c r="H197" i="3" s="1"/>
  <c r="C196" i="3"/>
  <c r="H196" i="3" s="1"/>
  <c r="C195" i="3"/>
  <c r="H195" i="3" s="1"/>
  <c r="C194" i="3"/>
  <c r="C193" i="3"/>
  <c r="C192" i="3"/>
  <c r="O192" i="3" s="1"/>
  <c r="C208" i="3"/>
  <c r="H208" i="3" s="1"/>
  <c r="C207" i="3"/>
  <c r="C206" i="3"/>
  <c r="H206" i="3" s="1"/>
  <c r="C205" i="3"/>
  <c r="H205" i="3" s="1"/>
  <c r="C204" i="3"/>
  <c r="J204" i="3" s="1"/>
  <c r="C203" i="3"/>
  <c r="O203" i="3" s="1"/>
  <c r="C202" i="3"/>
  <c r="H202" i="3" s="1"/>
  <c r="C201" i="3"/>
  <c r="O201" i="3" s="1"/>
  <c r="C200" i="3"/>
  <c r="H200" i="3" s="1"/>
  <c r="C199" i="3"/>
  <c r="H199" i="3" s="1"/>
  <c r="C215" i="3"/>
  <c r="H215" i="3" s="1"/>
  <c r="C214" i="3"/>
  <c r="H214" i="3" s="1"/>
  <c r="G422" i="1" s="1"/>
  <c r="C213" i="3"/>
  <c r="H213" i="3" s="1"/>
  <c r="C212" i="3"/>
  <c r="H212" i="3" s="1"/>
  <c r="C211" i="3"/>
  <c r="C210" i="3"/>
  <c r="C209" i="3"/>
  <c r="O209" i="3" s="1"/>
  <c r="C223" i="3"/>
  <c r="C224" i="3"/>
  <c r="H224" i="3" s="1"/>
  <c r="C221" i="3"/>
  <c r="H221" i="3" s="1"/>
  <c r="C222" i="3"/>
  <c r="O222" i="3" s="1"/>
  <c r="C220" i="3"/>
  <c r="C219" i="3"/>
  <c r="H219" i="3" s="1"/>
  <c r="C218" i="3"/>
  <c r="O218" i="3" s="1"/>
  <c r="C217" i="3"/>
  <c r="H217" i="3" s="1"/>
  <c r="C216" i="3"/>
  <c r="H216" i="3" s="1"/>
  <c r="C237" i="3"/>
  <c r="C236" i="3"/>
  <c r="H236" i="3" s="1"/>
  <c r="C235" i="3"/>
  <c r="H235" i="3" s="1"/>
  <c r="C234" i="3"/>
  <c r="H234" i="3" s="1"/>
  <c r="C233" i="3"/>
  <c r="H233" i="3" s="1"/>
  <c r="C232" i="3"/>
  <c r="C230" i="3"/>
  <c r="H230" i="3" s="1"/>
  <c r="C231" i="3"/>
  <c r="O231" i="3" s="1"/>
  <c r="C229" i="3"/>
  <c r="H229" i="3" s="1"/>
  <c r="C228" i="3"/>
  <c r="H228" i="3" s="1"/>
  <c r="C227" i="3"/>
  <c r="H227" i="3" s="1"/>
  <c r="C226" i="3"/>
  <c r="O226" i="3" s="1"/>
  <c r="C225" i="3"/>
  <c r="H225" i="3" s="1"/>
  <c r="C246" i="3"/>
  <c r="H246" i="3" s="1"/>
  <c r="C245" i="3"/>
  <c r="H245" i="3" s="1"/>
  <c r="C244" i="3"/>
  <c r="H244" i="3" s="1"/>
  <c r="C243" i="3"/>
  <c r="C242" i="3"/>
  <c r="H242" i="3" s="1"/>
  <c r="C241" i="3"/>
  <c r="O241" i="3" s="1"/>
  <c r="C240" i="3"/>
  <c r="O240" i="3" s="1"/>
  <c r="C239" i="3"/>
  <c r="H239" i="3" s="1"/>
  <c r="C238" i="3"/>
  <c r="H238" i="3" s="1"/>
  <c r="C250" i="3"/>
  <c r="C249" i="3"/>
  <c r="H249" i="3" s="1"/>
  <c r="C248" i="3"/>
  <c r="H248" i="3" s="1"/>
  <c r="C247" i="3"/>
  <c r="H247" i="3" s="1"/>
  <c r="C257" i="3"/>
  <c r="O257" i="3" s="1"/>
  <c r="C256" i="3"/>
  <c r="H256" i="3" s="1"/>
  <c r="C255" i="3"/>
  <c r="C254" i="3"/>
  <c r="O254" i="3" s="1"/>
  <c r="C253" i="3"/>
  <c r="O253" i="3" s="1"/>
  <c r="C252" i="3"/>
  <c r="O252" i="3" s="1"/>
  <c r="C251" i="3"/>
  <c r="O251" i="3" s="1"/>
  <c r="C264" i="3"/>
  <c r="H264" i="3" s="1"/>
  <c r="G390" i="1" s="1"/>
  <c r="C263" i="3"/>
  <c r="O263" i="3" s="1"/>
  <c r="C262" i="3"/>
  <c r="H262" i="3" s="1"/>
  <c r="C261" i="3"/>
  <c r="C260" i="3"/>
  <c r="O260" i="3" s="1"/>
  <c r="C259" i="3"/>
  <c r="C258" i="3"/>
  <c r="O258" i="3" s="1"/>
  <c r="C269" i="3"/>
  <c r="H269" i="3" s="1"/>
  <c r="C268" i="3"/>
  <c r="H268" i="3" s="1"/>
  <c r="C267" i="3"/>
  <c r="C266" i="3"/>
  <c r="C265" i="3"/>
  <c r="H265" i="3" s="1"/>
  <c r="C274" i="3"/>
  <c r="O274" i="3" s="1"/>
  <c r="C273" i="3"/>
  <c r="C272" i="3"/>
  <c r="H272" i="3" s="1"/>
  <c r="C271" i="3"/>
  <c r="J271" i="3" s="1"/>
  <c r="C270" i="3"/>
  <c r="H270" i="3" s="1"/>
  <c r="G418" i="1" s="1"/>
  <c r="C281" i="3"/>
  <c r="C279" i="3"/>
  <c r="H279" i="3" s="1"/>
  <c r="C280" i="3"/>
  <c r="H280" i="3" s="1"/>
  <c r="C278" i="3"/>
  <c r="C277" i="3"/>
  <c r="H277" i="3" s="1"/>
  <c r="C276" i="3"/>
  <c r="C275" i="3"/>
  <c r="H275" i="3" s="1"/>
  <c r="G402" i="1" s="1"/>
  <c r="C289" i="3"/>
  <c r="H289" i="3" s="1"/>
  <c r="C288" i="3"/>
  <c r="O288" i="3" s="1"/>
  <c r="C287" i="3"/>
  <c r="C286" i="3"/>
  <c r="H286" i="3" s="1"/>
  <c r="C285" i="3"/>
  <c r="H285" i="3" s="1"/>
  <c r="C284" i="3"/>
  <c r="C282" i="3"/>
  <c r="H282" i="3" s="1"/>
  <c r="C283" i="3"/>
  <c r="C294" i="3"/>
  <c r="H294" i="3" s="1"/>
  <c r="C293" i="3"/>
  <c r="H293" i="3" s="1"/>
  <c r="C292" i="3"/>
  <c r="H292" i="3" s="1"/>
  <c r="C291" i="3"/>
  <c r="H291" i="3" s="1"/>
  <c r="C290" i="3"/>
  <c r="C300" i="3"/>
  <c r="C299" i="3"/>
  <c r="H299" i="3" s="1"/>
  <c r="C298" i="3"/>
  <c r="H298" i="3" s="1"/>
  <c r="C297" i="3"/>
  <c r="H297" i="3" s="1"/>
  <c r="C296" i="3"/>
  <c r="H296" i="3" s="1"/>
  <c r="C295" i="3"/>
  <c r="H295" i="3" s="1"/>
  <c r="C308" i="3"/>
  <c r="C307" i="3"/>
  <c r="H307" i="3" s="1"/>
  <c r="C306" i="3"/>
  <c r="H306" i="3" s="1"/>
  <c r="C305" i="3"/>
  <c r="O305" i="3" s="1"/>
  <c r="C304" i="3"/>
  <c r="H304" i="3" s="1"/>
  <c r="C303" i="3"/>
  <c r="H303" i="3" s="1"/>
  <c r="C302" i="3"/>
  <c r="C301" i="3"/>
  <c r="H301" i="3" s="1"/>
  <c r="C312" i="3"/>
  <c r="H312" i="3" s="1"/>
  <c r="C311" i="3"/>
  <c r="H311" i="3" s="1"/>
  <c r="C313" i="3"/>
  <c r="H313" i="3" s="1"/>
  <c r="C310" i="3"/>
  <c r="O310" i="3" s="1"/>
  <c r="C309" i="3"/>
  <c r="J309" i="3" s="1"/>
  <c r="C321" i="3"/>
  <c r="H321" i="3" s="1"/>
  <c r="C320" i="3"/>
  <c r="H320" i="3" s="1"/>
  <c r="C319" i="3"/>
  <c r="H319" i="3" s="1"/>
  <c r="C318" i="3"/>
  <c r="H318" i="3" s="1"/>
  <c r="C317" i="3"/>
  <c r="C316" i="3"/>
  <c r="C315" i="3"/>
  <c r="H315" i="3" s="1"/>
  <c r="C314" i="3"/>
  <c r="C326" i="3"/>
  <c r="H326" i="3" s="1"/>
  <c r="C325" i="3"/>
  <c r="C324" i="3"/>
  <c r="O324" i="3" s="1"/>
  <c r="C323" i="3"/>
  <c r="C322" i="3"/>
  <c r="C329" i="3"/>
  <c r="C328" i="3"/>
  <c r="H328" i="3" s="1"/>
  <c r="C327" i="3"/>
  <c r="H327" i="3" s="1"/>
  <c r="C330" i="3"/>
  <c r="C338" i="3"/>
  <c r="H338" i="3" s="1"/>
  <c r="C337" i="3"/>
  <c r="O337" i="3" s="1"/>
  <c r="C336" i="3"/>
  <c r="H336" i="3" s="1"/>
  <c r="C335" i="3"/>
  <c r="C334" i="3"/>
  <c r="H334" i="3" s="1"/>
  <c r="C333" i="3"/>
  <c r="O333" i="3" s="1"/>
  <c r="C332" i="3"/>
  <c r="H332" i="3" s="1"/>
  <c r="C331" i="3"/>
  <c r="H331" i="3" s="1"/>
  <c r="C346" i="3"/>
  <c r="C345" i="3"/>
  <c r="C344" i="3"/>
  <c r="H344" i="3" s="1"/>
  <c r="C343" i="3"/>
  <c r="O343" i="3" s="1"/>
  <c r="C342" i="3"/>
  <c r="J342" i="3" s="1"/>
  <c r="C341" i="3"/>
  <c r="O341" i="3" s="1"/>
  <c r="C340" i="3"/>
  <c r="C339" i="3"/>
  <c r="H339" i="3" s="1"/>
  <c r="C357" i="3"/>
  <c r="C356" i="3"/>
  <c r="H356" i="3" s="1"/>
  <c r="C355" i="3"/>
  <c r="H355" i="3" s="1"/>
  <c r="C354" i="3"/>
  <c r="H354" i="3" s="1"/>
  <c r="C353" i="3"/>
  <c r="C352" i="3"/>
  <c r="O352" i="3" s="1"/>
  <c r="C351" i="3"/>
  <c r="H351" i="3" s="1"/>
  <c r="G415" i="1" s="1"/>
  <c r="C350" i="3"/>
  <c r="H350" i="3" s="1"/>
  <c r="C349" i="3"/>
  <c r="C348" i="3"/>
  <c r="C347" i="3"/>
  <c r="H347" i="3" s="1"/>
  <c r="C362" i="3"/>
  <c r="H362" i="3" s="1"/>
  <c r="C361" i="3"/>
  <c r="H361" i="3" s="1"/>
  <c r="C360" i="3"/>
  <c r="H360" i="3" s="1"/>
  <c r="C359" i="3"/>
  <c r="H359" i="3" s="1"/>
  <c r="C358" i="3"/>
  <c r="H358" i="3" s="1"/>
  <c r="C370" i="3"/>
  <c r="C369" i="3"/>
  <c r="C368" i="3"/>
  <c r="C367" i="3"/>
  <c r="H367" i="3" s="1"/>
  <c r="G419" i="1" s="1"/>
  <c r="C366" i="3"/>
  <c r="C365" i="3"/>
  <c r="H365" i="3" s="1"/>
  <c r="C363" i="3"/>
  <c r="H363" i="3" s="1"/>
  <c r="C364" i="3"/>
  <c r="H364" i="3" s="1"/>
  <c r="C376" i="3"/>
  <c r="C375" i="3"/>
  <c r="H375" i="3" s="1"/>
  <c r="C374" i="3"/>
  <c r="C373" i="3"/>
  <c r="H373" i="3" s="1"/>
  <c r="C372" i="3"/>
  <c r="H372" i="3" s="1"/>
  <c r="C371" i="3"/>
  <c r="H371" i="3" s="1"/>
  <c r="C385" i="3"/>
  <c r="H385" i="3" s="1"/>
  <c r="C384" i="3"/>
  <c r="H384" i="3" s="1"/>
  <c r="C383" i="3"/>
  <c r="O383" i="3" s="1"/>
  <c r="C382" i="3"/>
  <c r="H382" i="3" s="1"/>
  <c r="C381" i="3"/>
  <c r="C380" i="3"/>
  <c r="O380" i="3" s="1"/>
  <c r="C379" i="3"/>
  <c r="H379" i="3" s="1"/>
  <c r="C378" i="3"/>
  <c r="H378" i="3" s="1"/>
  <c r="C377" i="3"/>
  <c r="H377" i="3" s="1"/>
  <c r="C389" i="3"/>
  <c r="C388" i="3"/>
  <c r="H388" i="3" s="1"/>
  <c r="G392" i="1" s="1"/>
  <c r="C387" i="3"/>
  <c r="O387" i="3" s="1"/>
  <c r="C386" i="3"/>
  <c r="H386" i="3" s="1"/>
  <c r="C394" i="3"/>
  <c r="C393" i="3"/>
  <c r="H393" i="3" s="1"/>
  <c r="G391" i="1" s="1"/>
  <c r="C392" i="3"/>
  <c r="H392" i="3" s="1"/>
  <c r="C391" i="3"/>
  <c r="H391" i="3" s="1"/>
  <c r="C390" i="3"/>
  <c r="H390" i="3" s="1"/>
  <c r="C401" i="3"/>
  <c r="O401" i="3" s="1"/>
  <c r="C400" i="3"/>
  <c r="O400" i="3" s="1"/>
  <c r="C399" i="3"/>
  <c r="H399" i="3" s="1"/>
  <c r="C398" i="3"/>
  <c r="J398" i="3" s="1"/>
  <c r="C397" i="3"/>
  <c r="C396" i="3"/>
  <c r="H396" i="3" s="1"/>
  <c r="C395" i="3"/>
  <c r="C407" i="3"/>
  <c r="H407" i="3" s="1"/>
  <c r="C406" i="3"/>
  <c r="H406" i="3" s="1"/>
  <c r="C405" i="3"/>
  <c r="C404" i="3"/>
  <c r="H404" i="3" s="1"/>
  <c r="G389" i="1" s="1"/>
  <c r="C403" i="3"/>
  <c r="H403" i="3" s="1"/>
  <c r="C402" i="3"/>
  <c r="H402" i="3" s="1"/>
  <c r="G386" i="1" s="1"/>
  <c r="C413" i="3"/>
  <c r="H413" i="3" s="1"/>
  <c r="C412" i="3"/>
  <c r="H412" i="3" s="1"/>
  <c r="C411" i="3"/>
  <c r="H411" i="3" s="1"/>
  <c r="C410" i="3"/>
  <c r="H410" i="3" s="1"/>
  <c r="C409" i="3"/>
  <c r="H409" i="3" s="1"/>
  <c r="C408" i="3"/>
  <c r="C418" i="3"/>
  <c r="C417" i="3"/>
  <c r="H417" i="3" s="1"/>
  <c r="C416" i="3"/>
  <c r="H416" i="3" s="1"/>
  <c r="C415" i="3"/>
  <c r="J415" i="3" s="1"/>
  <c r="C414" i="3"/>
  <c r="H414" i="3" s="1"/>
  <c r="C424" i="3"/>
  <c r="C423" i="3"/>
  <c r="H423" i="3" s="1"/>
  <c r="C422" i="3"/>
  <c r="H422" i="3" s="1"/>
  <c r="C421" i="3"/>
  <c r="C420" i="3"/>
  <c r="H420" i="3" s="1"/>
  <c r="G384" i="1" s="1"/>
  <c r="C419" i="3"/>
  <c r="H419" i="3" s="1"/>
  <c r="C432" i="3"/>
  <c r="J432" i="3" s="1"/>
  <c r="C431" i="3"/>
  <c r="H431" i="3" s="1"/>
  <c r="G410" i="1" s="1"/>
  <c r="C430" i="3"/>
  <c r="H430" i="3" s="1"/>
  <c r="C429" i="3"/>
  <c r="O429" i="3" s="1"/>
  <c r="C428" i="3"/>
  <c r="H428" i="3" s="1"/>
  <c r="C427" i="3"/>
  <c r="O427" i="3" s="1"/>
  <c r="C426" i="3"/>
  <c r="C425" i="3"/>
  <c r="H425" i="3" s="1"/>
  <c r="C437" i="3"/>
  <c r="H437" i="3" s="1"/>
  <c r="C436" i="3"/>
  <c r="H436" i="3" s="1"/>
  <c r="C435" i="3"/>
  <c r="H435" i="3" s="1"/>
  <c r="C434" i="3"/>
  <c r="H434" i="3" s="1"/>
  <c r="C433" i="3"/>
  <c r="H433" i="3" s="1"/>
  <c r="C442" i="3"/>
  <c r="H442" i="3" s="1"/>
  <c r="C441" i="3"/>
  <c r="C440" i="3"/>
  <c r="O440" i="3" s="1"/>
  <c r="C439" i="3"/>
  <c r="C438" i="3"/>
  <c r="H438" i="3" s="1"/>
  <c r="C449" i="3"/>
  <c r="C448" i="3"/>
  <c r="C447" i="3"/>
  <c r="H447" i="3" s="1"/>
  <c r="C446" i="3"/>
  <c r="H446" i="3" s="1"/>
  <c r="C445" i="3"/>
  <c r="H445" i="3" s="1"/>
  <c r="C444" i="3"/>
  <c r="O444" i="3" s="1"/>
  <c r="C443" i="3"/>
  <c r="H443" i="3" s="1"/>
  <c r="C455" i="3"/>
  <c r="H455" i="3" s="1"/>
  <c r="C454" i="3"/>
  <c r="H454" i="3" s="1"/>
  <c r="C453" i="3"/>
  <c r="H453" i="3" s="1"/>
  <c r="C452" i="3"/>
  <c r="H452" i="3" s="1"/>
  <c r="C451" i="3"/>
  <c r="C450" i="3"/>
  <c r="H450" i="3" s="1"/>
  <c r="C460" i="3"/>
  <c r="O460" i="3" s="1"/>
  <c r="C459" i="3"/>
  <c r="H459" i="3" s="1"/>
  <c r="C458" i="3"/>
  <c r="H458" i="3" s="1"/>
  <c r="C457" i="3"/>
  <c r="C456" i="3"/>
  <c r="C467" i="3"/>
  <c r="H467" i="3" s="1"/>
  <c r="C466" i="3"/>
  <c r="O466" i="3" s="1"/>
  <c r="C465" i="3"/>
  <c r="J465" i="3" s="1"/>
  <c r="C464" i="3"/>
  <c r="O464" i="3" s="1"/>
  <c r="C463" i="3"/>
  <c r="H463" i="3" s="1"/>
  <c r="C462" i="3"/>
  <c r="C461" i="3"/>
  <c r="C474" i="3"/>
  <c r="C473" i="3"/>
  <c r="H473" i="3" s="1"/>
  <c r="C472" i="3"/>
  <c r="O472" i="3" s="1"/>
  <c r="C471" i="3"/>
  <c r="H471" i="3" s="1"/>
  <c r="C470" i="3"/>
  <c r="H470" i="3" s="1"/>
  <c r="C469" i="3"/>
  <c r="H469" i="3" s="1"/>
  <c r="C468" i="3"/>
  <c r="H468" i="3" s="1"/>
  <c r="C482" i="3"/>
  <c r="H482" i="3" s="1"/>
  <c r="C481" i="3"/>
  <c r="H481" i="3" s="1"/>
  <c r="C480" i="3"/>
  <c r="H480" i="3" s="1"/>
  <c r="C479" i="3"/>
  <c r="H479" i="3" s="1"/>
  <c r="C478" i="3"/>
  <c r="H478" i="3" s="1"/>
  <c r="C477" i="3"/>
  <c r="H477" i="3" s="1"/>
  <c r="C476" i="3"/>
  <c r="H476" i="3" s="1"/>
  <c r="C475" i="3"/>
  <c r="H475" i="3" s="1"/>
  <c r="C488" i="3"/>
  <c r="C487" i="3"/>
  <c r="C486" i="3"/>
  <c r="H486" i="3" s="1"/>
  <c r="C485" i="3"/>
  <c r="C484" i="3"/>
  <c r="H484" i="3" s="1"/>
  <c r="C483" i="3"/>
  <c r="H483" i="3" s="1"/>
  <c r="C496" i="3"/>
  <c r="C495" i="3"/>
  <c r="H495" i="3" s="1"/>
  <c r="C494" i="3"/>
  <c r="H494" i="3" s="1"/>
  <c r="C493" i="3"/>
  <c r="H493" i="3" s="1"/>
  <c r="C492" i="3"/>
  <c r="H492" i="3" s="1"/>
  <c r="C491" i="3"/>
  <c r="H491" i="3" s="1"/>
  <c r="C490" i="3"/>
  <c r="H490" i="3" s="1"/>
  <c r="C489" i="3"/>
  <c r="H489" i="3" s="1"/>
  <c r="C501" i="3"/>
  <c r="H501" i="3" s="1"/>
  <c r="C500" i="3"/>
  <c r="H500" i="3" s="1"/>
  <c r="G424" i="1" s="1"/>
  <c r="C499" i="3"/>
  <c r="H499" i="3" s="1"/>
  <c r="C498" i="3"/>
  <c r="C497" i="3"/>
  <c r="H497" i="3" s="1"/>
  <c r="C506" i="3"/>
  <c r="C505" i="3"/>
  <c r="H505" i="3" s="1"/>
  <c r="C504" i="3"/>
  <c r="H504" i="3" s="1"/>
  <c r="C503" i="3"/>
  <c r="H503" i="3" s="1"/>
  <c r="C502" i="3"/>
  <c r="H502" i="3" s="1"/>
  <c r="C515" i="3"/>
  <c r="C514" i="3"/>
  <c r="C513" i="3"/>
  <c r="H513" i="3" s="1"/>
  <c r="C512" i="3"/>
  <c r="C511" i="3"/>
  <c r="C510" i="3"/>
  <c r="H510" i="3" s="1"/>
  <c r="C509" i="3"/>
  <c r="H509" i="3" s="1"/>
  <c r="C508" i="3"/>
  <c r="H508" i="3" s="1"/>
  <c r="C507" i="3"/>
  <c r="H507" i="3" s="1"/>
  <c r="C525" i="3"/>
  <c r="H525" i="3" s="1"/>
  <c r="C524" i="3"/>
  <c r="C523" i="3"/>
  <c r="H523" i="3" s="1"/>
  <c r="C522" i="3"/>
  <c r="C521" i="3"/>
  <c r="H521" i="3" s="1"/>
  <c r="C520" i="3"/>
  <c r="C519" i="3"/>
  <c r="H519" i="3" s="1"/>
  <c r="C518" i="3"/>
  <c r="H518" i="3" s="1"/>
  <c r="C517" i="3"/>
  <c r="C516" i="3"/>
  <c r="H516" i="3" s="1"/>
  <c r="C535" i="3"/>
  <c r="C534" i="3"/>
  <c r="H534" i="3" s="1"/>
  <c r="C533" i="3"/>
  <c r="H533" i="3" s="1"/>
  <c r="C532" i="3"/>
  <c r="H532" i="3" s="1"/>
  <c r="C531" i="3"/>
  <c r="H531" i="3" s="1"/>
  <c r="C530" i="3"/>
  <c r="H530" i="3" s="1"/>
  <c r="C529" i="3"/>
  <c r="H529" i="3" s="1"/>
  <c r="C528" i="3"/>
  <c r="H528" i="3" s="1"/>
  <c r="C527" i="3"/>
  <c r="H527" i="3" s="1"/>
  <c r="C526" i="3"/>
  <c r="H526" i="3" s="1"/>
  <c r="C543" i="3"/>
  <c r="H543" i="3" s="1"/>
  <c r="C542" i="3"/>
  <c r="H542" i="3" s="1"/>
  <c r="C541" i="3"/>
  <c r="H541" i="3" s="1"/>
  <c r="C540" i="3"/>
  <c r="C539" i="3"/>
  <c r="H539" i="3" s="1"/>
  <c r="C538" i="3"/>
  <c r="H538" i="3" s="1"/>
  <c r="C537" i="3"/>
  <c r="C536" i="3"/>
  <c r="H536" i="3" s="1"/>
  <c r="C551" i="3"/>
  <c r="H551" i="3" s="1"/>
  <c r="C550" i="3"/>
  <c r="C549" i="3"/>
  <c r="H549" i="3" s="1"/>
  <c r="C548" i="3"/>
  <c r="H548" i="3" s="1"/>
  <c r="C547" i="3"/>
  <c r="C546" i="3"/>
  <c r="H546" i="3" s="1"/>
  <c r="C545" i="3"/>
  <c r="H545" i="3" s="1"/>
  <c r="C544" i="3"/>
  <c r="H544" i="3" s="1"/>
  <c r="C557" i="3"/>
  <c r="H557" i="3" s="1"/>
  <c r="C556" i="3"/>
  <c r="H556" i="3" s="1"/>
  <c r="C555" i="3"/>
  <c r="C554" i="3"/>
  <c r="C553" i="3"/>
  <c r="H553" i="3" s="1"/>
  <c r="C552" i="3"/>
  <c r="H552" i="3" s="1"/>
  <c r="G411" i="1" s="1"/>
  <c r="C565" i="3"/>
  <c r="O565" i="3" s="1"/>
  <c r="C564" i="3"/>
  <c r="H564" i="3" s="1"/>
  <c r="C563" i="3"/>
  <c r="H563" i="3" s="1"/>
  <c r="C562" i="3"/>
  <c r="H562" i="3" s="1"/>
  <c r="C561" i="3"/>
  <c r="H561" i="3" s="1"/>
  <c r="C560" i="3"/>
  <c r="C559" i="3"/>
  <c r="C558" i="3"/>
  <c r="H558" i="3" s="1"/>
  <c r="C572" i="3"/>
  <c r="H572" i="3" s="1"/>
  <c r="C571" i="3"/>
  <c r="H571" i="3" s="1"/>
  <c r="C570" i="3"/>
  <c r="O570" i="3" s="1"/>
  <c r="C569" i="3"/>
  <c r="H569" i="3" s="1"/>
  <c r="C568" i="3"/>
  <c r="H568" i="3" s="1"/>
  <c r="C567" i="3"/>
  <c r="H567" i="3" s="1"/>
  <c r="C566" i="3"/>
  <c r="H566" i="3" s="1"/>
  <c r="C578" i="3"/>
  <c r="H578" i="3" s="1"/>
  <c r="C577" i="3"/>
  <c r="H577" i="3" s="1"/>
  <c r="C576" i="3"/>
  <c r="C575" i="3"/>
  <c r="O575" i="3" s="1"/>
  <c r="C574" i="3"/>
  <c r="H574" i="3" s="1"/>
  <c r="C573" i="3"/>
  <c r="H573" i="3" s="1"/>
  <c r="C586" i="3"/>
  <c r="C585" i="3"/>
  <c r="H585" i="3" s="1"/>
  <c r="C584" i="3"/>
  <c r="O584" i="3" s="1"/>
  <c r="C583" i="3"/>
  <c r="C582" i="3"/>
  <c r="H582" i="3" s="1"/>
  <c r="C581" i="3"/>
  <c r="H581" i="3" s="1"/>
  <c r="C580" i="3"/>
  <c r="H580" i="3" s="1"/>
  <c r="C579" i="3"/>
  <c r="H579" i="3" s="1"/>
  <c r="C589" i="3"/>
  <c r="O589" i="3" s="1"/>
  <c r="C588" i="3"/>
  <c r="H588" i="3" s="1"/>
  <c r="C587" i="3"/>
  <c r="C595" i="3"/>
  <c r="H595" i="3" s="1"/>
  <c r="C594" i="3"/>
  <c r="C593" i="3"/>
  <c r="H593" i="3" s="1"/>
  <c r="C592" i="3"/>
  <c r="C591" i="3"/>
  <c r="H591" i="3" s="1"/>
  <c r="C590" i="3"/>
  <c r="H590" i="3" s="1"/>
  <c r="C601" i="3"/>
  <c r="O601" i="3" s="1"/>
  <c r="C600" i="3"/>
  <c r="C599" i="3"/>
  <c r="H599" i="3" s="1"/>
  <c r="C598" i="3"/>
  <c r="O598" i="3" s="1"/>
  <c r="C597" i="3"/>
  <c r="H597" i="3" s="1"/>
  <c r="C596" i="3"/>
  <c r="C609" i="3"/>
  <c r="J609" i="3" s="1"/>
  <c r="C608" i="3"/>
  <c r="O608" i="3" s="1"/>
  <c r="C607" i="3"/>
  <c r="H607" i="3" s="1"/>
  <c r="C606" i="3"/>
  <c r="O606" i="3" s="1"/>
  <c r="C605" i="3"/>
  <c r="O605" i="3" s="1"/>
  <c r="C604" i="3"/>
  <c r="J604" i="3" s="1"/>
  <c r="C603" i="3"/>
  <c r="H603" i="3" s="1"/>
  <c r="C602" i="3"/>
  <c r="H602" i="3" s="1"/>
  <c r="G393" i="1" s="1"/>
  <c r="C615" i="3"/>
  <c r="H615" i="3" s="1"/>
  <c r="C614" i="3"/>
  <c r="H614" i="3" s="1"/>
  <c r="C613" i="3"/>
  <c r="O613" i="3" s="1"/>
  <c r="C612" i="3"/>
  <c r="H612" i="3" s="1"/>
  <c r="C611" i="3"/>
  <c r="O611" i="3" s="1"/>
  <c r="C610" i="3"/>
  <c r="H610" i="3" s="1"/>
  <c r="G401" i="1" s="1"/>
  <c r="C620" i="3"/>
  <c r="H620" i="3" s="1"/>
  <c r="C619" i="3"/>
  <c r="H619" i="3" s="1"/>
  <c r="C618" i="3"/>
  <c r="H618" i="3" s="1"/>
  <c r="C617" i="3"/>
  <c r="C616" i="3"/>
  <c r="O616" i="3" s="1"/>
  <c r="C626" i="3"/>
  <c r="H626" i="3" s="1"/>
  <c r="C625" i="3"/>
  <c r="C624" i="3"/>
  <c r="C623" i="3"/>
  <c r="H623" i="3" s="1"/>
  <c r="C622" i="3"/>
  <c r="J622" i="3" s="1"/>
  <c r="C621" i="3"/>
  <c r="H621" i="3" s="1"/>
  <c r="C632" i="3"/>
  <c r="H632" i="3" s="1"/>
  <c r="C631" i="3"/>
  <c r="C630" i="3"/>
  <c r="H630" i="3" s="1"/>
  <c r="C629" i="3"/>
  <c r="C627" i="3"/>
  <c r="H627" i="3" s="1"/>
  <c r="C628" i="3"/>
  <c r="H628" i="3" s="1"/>
  <c r="C640" i="3"/>
  <c r="H640" i="3" s="1"/>
  <c r="C639" i="3"/>
  <c r="H639" i="3" s="1"/>
  <c r="C638" i="3"/>
  <c r="C637" i="3"/>
  <c r="H637" i="3" s="1"/>
  <c r="C636" i="3"/>
  <c r="C635" i="3"/>
  <c r="O635" i="3" s="1"/>
  <c r="C634" i="3"/>
  <c r="O634" i="3" s="1"/>
  <c r="C633" i="3"/>
  <c r="H633" i="3" s="1"/>
  <c r="C649" i="3"/>
  <c r="H649" i="3" s="1"/>
  <c r="C648" i="3"/>
  <c r="H648" i="3" s="1"/>
  <c r="C647" i="3"/>
  <c r="H647" i="3" s="1"/>
  <c r="C646" i="3"/>
  <c r="H646" i="3" s="1"/>
  <c r="C645" i="3"/>
  <c r="H645" i="3" s="1"/>
  <c r="C644" i="3"/>
  <c r="C643" i="3"/>
  <c r="H643" i="3" s="1"/>
  <c r="C642" i="3"/>
  <c r="H642" i="3" s="1"/>
  <c r="C641" i="3"/>
  <c r="H641" i="3" s="1"/>
  <c r="G413" i="1" s="1"/>
  <c r="C656" i="3"/>
  <c r="H656" i="3" s="1"/>
  <c r="C655" i="3"/>
  <c r="C654" i="3"/>
  <c r="C653" i="3"/>
  <c r="H653" i="3" s="1"/>
  <c r="C652" i="3"/>
  <c r="C651" i="3"/>
  <c r="H651" i="3" s="1"/>
  <c r="C650" i="3"/>
  <c r="H650" i="3" s="1"/>
  <c r="C664" i="3"/>
  <c r="H664" i="3" s="1"/>
  <c r="C663" i="3"/>
  <c r="H663" i="3" s="1"/>
  <c r="C662" i="3"/>
  <c r="H662" i="3" s="1"/>
  <c r="C661" i="3"/>
  <c r="H661" i="3" s="1"/>
  <c r="C660" i="3"/>
  <c r="H660" i="3" s="1"/>
  <c r="C659" i="3"/>
  <c r="H659" i="3" s="1"/>
  <c r="C658" i="3"/>
  <c r="H658" i="3" s="1"/>
  <c r="C657" i="3"/>
  <c r="H657" i="3" s="1"/>
  <c r="C669" i="3"/>
  <c r="C668" i="3"/>
  <c r="C667" i="3"/>
  <c r="H667" i="3" s="1"/>
  <c r="C666" i="3"/>
  <c r="C665" i="3"/>
  <c r="H665" i="3" s="1"/>
  <c r="C676" i="3"/>
  <c r="C675" i="3"/>
  <c r="H675" i="3" s="1"/>
  <c r="C674" i="3"/>
  <c r="H674" i="3" s="1"/>
  <c r="C673" i="3"/>
  <c r="H673" i="3" s="1"/>
  <c r="C672" i="3"/>
  <c r="H672" i="3" s="1"/>
  <c r="C671" i="3"/>
  <c r="C670" i="3"/>
  <c r="C683" i="3"/>
  <c r="H683" i="3" s="1"/>
  <c r="C682" i="3"/>
  <c r="H682" i="3" s="1"/>
  <c r="C681" i="3"/>
  <c r="H681" i="3" s="1"/>
  <c r="C680" i="3"/>
  <c r="H680" i="3" s="1"/>
  <c r="C679" i="3"/>
  <c r="H679" i="3" s="1"/>
  <c r="C678" i="3"/>
  <c r="H678" i="3" s="1"/>
  <c r="C677" i="3"/>
  <c r="H677" i="3" s="1"/>
  <c r="C691" i="3"/>
  <c r="C690" i="3"/>
  <c r="H690" i="3" s="1"/>
  <c r="C689" i="3"/>
  <c r="H689" i="3" s="1"/>
  <c r="C688" i="3"/>
  <c r="H688" i="3" s="1"/>
  <c r="C687" i="3"/>
  <c r="H687" i="3" s="1"/>
  <c r="C686" i="3"/>
  <c r="C685" i="3"/>
  <c r="H685" i="3" s="1"/>
  <c r="C684" i="3"/>
  <c r="H684" i="3" s="1"/>
  <c r="C697" i="3"/>
  <c r="H697" i="3" s="1"/>
  <c r="C696" i="3"/>
  <c r="H696" i="3" s="1"/>
  <c r="C695" i="3"/>
  <c r="H695" i="3" s="1"/>
  <c r="C694" i="3"/>
  <c r="H694" i="3" s="1"/>
  <c r="C693" i="3"/>
  <c r="H693" i="3" s="1"/>
  <c r="C692" i="3"/>
  <c r="H692" i="3" s="1"/>
  <c r="C705" i="3"/>
  <c r="H705" i="3" s="1"/>
  <c r="C704" i="3"/>
  <c r="C703" i="3"/>
  <c r="H703" i="3" s="1"/>
  <c r="C702" i="3"/>
  <c r="H702" i="3" s="1"/>
  <c r="C701" i="3"/>
  <c r="H701" i="3" s="1"/>
  <c r="C700" i="3"/>
  <c r="H700" i="3" s="1"/>
  <c r="C699" i="3"/>
  <c r="H699" i="3" s="1"/>
  <c r="C698" i="3"/>
  <c r="H698" i="3" s="1"/>
  <c r="C714" i="3"/>
  <c r="H714" i="3" s="1"/>
  <c r="C713" i="3"/>
  <c r="H713" i="3" s="1"/>
  <c r="C712" i="3"/>
  <c r="H712" i="3" s="1"/>
  <c r="C711" i="3"/>
  <c r="H711" i="3" s="1"/>
  <c r="C710" i="3"/>
  <c r="H710" i="3" s="1"/>
  <c r="C709" i="3"/>
  <c r="H709" i="3" s="1"/>
  <c r="C708" i="3"/>
  <c r="H708" i="3" s="1"/>
  <c r="C707" i="3"/>
  <c r="H707" i="3" s="1"/>
  <c r="C706" i="3"/>
  <c r="H706" i="3" s="1"/>
  <c r="C725" i="3"/>
  <c r="H725" i="3" s="1"/>
  <c r="C724" i="3"/>
  <c r="H724" i="3" s="1"/>
  <c r="C723" i="3"/>
  <c r="C722" i="3"/>
  <c r="C721" i="3"/>
  <c r="H721" i="3" s="1"/>
  <c r="C720" i="3"/>
  <c r="H720" i="3" s="1"/>
  <c r="C719" i="3"/>
  <c r="H719" i="3" s="1"/>
  <c r="C718" i="3"/>
  <c r="H718" i="3" s="1"/>
  <c r="C717" i="3"/>
  <c r="H717" i="3" s="1"/>
  <c r="C716" i="3"/>
  <c r="H716" i="3" s="1"/>
  <c r="C715" i="3"/>
  <c r="H715" i="3" s="1"/>
  <c r="C735" i="3"/>
  <c r="H735" i="3" s="1"/>
  <c r="C734" i="3"/>
  <c r="H734" i="3" s="1"/>
  <c r="C733" i="3"/>
  <c r="H733" i="3" s="1"/>
  <c r="C732" i="3"/>
  <c r="H732" i="3" s="1"/>
  <c r="C731" i="3"/>
  <c r="H731" i="3" s="1"/>
  <c r="C730" i="3"/>
  <c r="H730" i="3" s="1"/>
  <c r="G407" i="1" s="1"/>
  <c r="C729" i="3"/>
  <c r="H729" i="3" s="1"/>
  <c r="C728" i="3"/>
  <c r="H728" i="3" s="1"/>
  <c r="C727" i="3"/>
  <c r="H727" i="3" s="1"/>
  <c r="C726" i="3"/>
  <c r="H726" i="3" s="1"/>
  <c r="C743" i="3"/>
  <c r="H743" i="3" s="1"/>
  <c r="C742" i="3"/>
  <c r="H742" i="3" s="1"/>
  <c r="C741" i="3"/>
  <c r="H741" i="3" s="1"/>
  <c r="C740" i="3"/>
  <c r="H740" i="3" s="1"/>
  <c r="C739" i="3"/>
  <c r="H739" i="3" s="1"/>
  <c r="C738" i="3"/>
  <c r="H738" i="3" s="1"/>
  <c r="C737" i="3"/>
  <c r="H737" i="3" s="1"/>
  <c r="C736" i="3"/>
  <c r="H736" i="3" s="1"/>
  <c r="C751" i="3"/>
  <c r="H751" i="3" s="1"/>
  <c r="C750" i="3"/>
  <c r="H750" i="3" s="1"/>
  <c r="C749" i="3"/>
  <c r="H749" i="3" s="1"/>
  <c r="C748" i="3"/>
  <c r="H748" i="3" s="1"/>
  <c r="C745" i="3"/>
  <c r="H745" i="3" s="1"/>
  <c r="C747" i="3"/>
  <c r="H747" i="3" s="1"/>
  <c r="C746" i="3"/>
  <c r="C744" i="3"/>
  <c r="H744" i="3" s="1"/>
  <c r="C758" i="3"/>
  <c r="H758" i="3" s="1"/>
  <c r="C763" i="3"/>
  <c r="C762" i="3"/>
  <c r="H762" i="3" s="1"/>
  <c r="C761" i="3"/>
  <c r="H761" i="3" s="1"/>
  <c r="C760" i="3"/>
  <c r="H760" i="3" s="1"/>
  <c r="C759" i="3"/>
  <c r="H759" i="3" s="1"/>
  <c r="C757" i="3"/>
  <c r="H757" i="3" s="1"/>
  <c r="C756" i="3"/>
  <c r="C755" i="3"/>
  <c r="H755" i="3" s="1"/>
  <c r="C754" i="3"/>
  <c r="C753" i="3"/>
  <c r="H753" i="3" s="1"/>
  <c r="C752" i="3"/>
  <c r="H752" i="3" s="1"/>
  <c r="C775" i="3"/>
  <c r="H775" i="3" s="1"/>
  <c r="C774" i="3"/>
  <c r="H774" i="3" s="1"/>
  <c r="C771" i="3"/>
  <c r="H771" i="3" s="1"/>
  <c r="C773" i="3"/>
  <c r="H773" i="3" s="1"/>
  <c r="C772" i="3"/>
  <c r="H772" i="3" s="1"/>
  <c r="C770" i="3"/>
  <c r="H770" i="3" s="1"/>
  <c r="C769" i="3"/>
  <c r="H769" i="3" s="1"/>
  <c r="C768" i="3"/>
  <c r="H768" i="3" s="1"/>
  <c r="C767" i="3"/>
  <c r="H767" i="3" s="1"/>
  <c r="C766" i="3"/>
  <c r="H766" i="3" s="1"/>
  <c r="C765" i="3"/>
  <c r="C764" i="3"/>
  <c r="H764" i="3" s="1"/>
  <c r="C785" i="3"/>
  <c r="H785" i="3" s="1"/>
  <c r="C783" i="3"/>
  <c r="H783" i="3" s="1"/>
  <c r="C784" i="3"/>
  <c r="H784" i="3" s="1"/>
  <c r="C782" i="3"/>
  <c r="H782" i="3" s="1"/>
  <c r="C781" i="3"/>
  <c r="H781" i="3" s="1"/>
  <c r="C780" i="3"/>
  <c r="H780" i="3" s="1"/>
  <c r="C779" i="3"/>
  <c r="C778" i="3"/>
  <c r="C777" i="3"/>
  <c r="H777" i="3" s="1"/>
  <c r="C776" i="3"/>
  <c r="H776" i="3" s="1"/>
  <c r="C788" i="3"/>
  <c r="H788" i="3" s="1"/>
  <c r="C787" i="3"/>
  <c r="H787" i="3" s="1"/>
  <c r="C786" i="3"/>
  <c r="H786" i="3" s="1"/>
  <c r="C795" i="3"/>
  <c r="H795" i="3" s="1"/>
  <c r="C794" i="3"/>
  <c r="H794" i="3" s="1"/>
  <c r="C792" i="3"/>
  <c r="H792" i="3" s="1"/>
  <c r="C793" i="3"/>
  <c r="H793" i="3" s="1"/>
  <c r="C791" i="3"/>
  <c r="C790" i="3"/>
  <c r="H790" i="3" s="1"/>
  <c r="C789" i="3"/>
  <c r="H789" i="3" s="1"/>
  <c r="C801" i="3"/>
  <c r="H801" i="3" s="1"/>
  <c r="C800" i="3"/>
  <c r="H800" i="3" s="1"/>
  <c r="C799" i="3"/>
  <c r="C798" i="3"/>
  <c r="H798" i="3" s="1"/>
  <c r="C797" i="3"/>
  <c r="H797" i="3" s="1"/>
  <c r="C796" i="3"/>
  <c r="H796" i="3" s="1"/>
  <c r="C811" i="3"/>
  <c r="H811" i="3" s="1"/>
  <c r="C810" i="3"/>
  <c r="H810" i="3" s="1"/>
  <c r="C809" i="3"/>
  <c r="C807" i="3"/>
  <c r="H807" i="3" s="1"/>
  <c r="C808" i="3"/>
  <c r="H808" i="3" s="1"/>
  <c r="C806" i="3"/>
  <c r="H806" i="3" s="1"/>
  <c r="C805" i="3"/>
  <c r="H805" i="3" s="1"/>
  <c r="C804" i="3"/>
  <c r="C803" i="3"/>
  <c r="H803" i="3" s="1"/>
  <c r="C802" i="3"/>
  <c r="H802" i="3" s="1"/>
  <c r="C820" i="3"/>
  <c r="H820" i="3" s="1"/>
  <c r="C819" i="3"/>
  <c r="H819" i="3" s="1"/>
  <c r="C818" i="3"/>
  <c r="C817" i="3"/>
  <c r="H817" i="3" s="1"/>
  <c r="C816" i="3"/>
  <c r="H816" i="3" s="1"/>
  <c r="C815" i="3"/>
  <c r="H815" i="3" s="1"/>
  <c r="C814" i="3"/>
  <c r="C813" i="3"/>
  <c r="H813" i="3" s="1"/>
  <c r="C812" i="3"/>
  <c r="C828" i="3"/>
  <c r="H828" i="3" s="1"/>
  <c r="C827" i="3"/>
  <c r="C826" i="3"/>
  <c r="H826" i="3" s="1"/>
  <c r="C825" i="3"/>
  <c r="H825" i="3" s="1"/>
  <c r="C824" i="3"/>
  <c r="H824" i="3" s="1"/>
  <c r="C823" i="3"/>
  <c r="H823" i="3" s="1"/>
  <c r="C822" i="3"/>
  <c r="H822" i="3" s="1"/>
  <c r="C821" i="3"/>
  <c r="C831" i="3"/>
  <c r="H831" i="3" s="1"/>
  <c r="C830" i="3"/>
  <c r="H830" i="3" s="1"/>
  <c r="C829" i="3"/>
  <c r="H829" i="3" s="1"/>
  <c r="C839" i="3"/>
  <c r="H839" i="3" s="1"/>
  <c r="C838" i="3"/>
  <c r="H838" i="3" s="1"/>
  <c r="C837" i="3"/>
  <c r="H837" i="3" s="1"/>
  <c r="C836" i="3"/>
  <c r="C835" i="3"/>
  <c r="H835" i="3" s="1"/>
  <c r="C834" i="3"/>
  <c r="H834" i="3" s="1"/>
  <c r="C833" i="3"/>
  <c r="C832" i="3"/>
  <c r="H832" i="3" s="1"/>
  <c r="C846" i="3"/>
  <c r="H846" i="3" s="1"/>
  <c r="C845" i="3"/>
  <c r="C844" i="3"/>
  <c r="H844" i="3" s="1"/>
  <c r="C843" i="3"/>
  <c r="C842" i="3"/>
  <c r="H842" i="3" s="1"/>
  <c r="C841" i="3"/>
  <c r="C840" i="3"/>
  <c r="H840" i="3" s="1"/>
  <c r="C853" i="3"/>
  <c r="H853" i="3" s="1"/>
  <c r="C852" i="3"/>
  <c r="H852" i="3" s="1"/>
  <c r="C851" i="3"/>
  <c r="H851" i="3" s="1"/>
  <c r="C850" i="3"/>
  <c r="H850" i="3" s="1"/>
  <c r="C849" i="3"/>
  <c r="H849" i="3" s="1"/>
  <c r="C848" i="3"/>
  <c r="H848" i="3" s="1"/>
  <c r="C847" i="3"/>
  <c r="H847" i="3" s="1"/>
  <c r="C863" i="3"/>
  <c r="H863" i="3" s="1"/>
  <c r="C860" i="3"/>
  <c r="H860" i="3" s="1"/>
  <c r="C862" i="3"/>
  <c r="H862" i="3" s="1"/>
  <c r="C861" i="3"/>
  <c r="C859" i="3"/>
  <c r="H859" i="3" s="1"/>
  <c r="C858" i="3"/>
  <c r="H858" i="3" s="1"/>
  <c r="C857" i="3"/>
  <c r="H857" i="3" s="1"/>
  <c r="C856" i="3"/>
  <c r="H856" i="3" s="1"/>
  <c r="C855" i="3"/>
  <c r="C854" i="3"/>
  <c r="C872" i="3"/>
  <c r="H872" i="3" s="1"/>
  <c r="C871" i="3"/>
  <c r="H871" i="3" s="1"/>
  <c r="C870" i="3"/>
  <c r="H870" i="3" s="1"/>
  <c r="C869" i="3"/>
  <c r="H869" i="3" s="1"/>
  <c r="C868" i="3"/>
  <c r="H868" i="3" s="1"/>
  <c r="C867" i="3"/>
  <c r="H867" i="3" s="1"/>
  <c r="C866" i="3"/>
  <c r="H866" i="3" s="1"/>
  <c r="C865" i="3"/>
  <c r="C864" i="3"/>
  <c r="H864" i="3" s="1"/>
  <c r="C880" i="3"/>
  <c r="H880" i="3" s="1"/>
  <c r="C879" i="3"/>
  <c r="H879" i="3" s="1"/>
  <c r="C878" i="3"/>
  <c r="H878" i="3" s="1"/>
  <c r="C877" i="3"/>
  <c r="H877" i="3" s="1"/>
  <c r="C876" i="3"/>
  <c r="H876" i="3" s="1"/>
  <c r="C875" i="3"/>
  <c r="H875" i="3" s="1"/>
  <c r="C874" i="3"/>
  <c r="H874" i="3" s="1"/>
  <c r="C873" i="3"/>
  <c r="H873" i="3" s="1"/>
  <c r="C890" i="3"/>
  <c r="H890" i="3" s="1"/>
  <c r="C888" i="3"/>
  <c r="H888" i="3" s="1"/>
  <c r="C889" i="3"/>
  <c r="H889" i="3" s="1"/>
  <c r="C887" i="3"/>
  <c r="H887" i="3" s="1"/>
  <c r="C886" i="3"/>
  <c r="H886" i="3" s="1"/>
  <c r="C885" i="3"/>
  <c r="H885" i="3" s="1"/>
  <c r="C884" i="3"/>
  <c r="C883" i="3"/>
  <c r="H883" i="3" s="1"/>
  <c r="C882" i="3"/>
  <c r="H882" i="3" s="1"/>
  <c r="C881" i="3"/>
  <c r="H881" i="3" s="1"/>
  <c r="C898" i="3"/>
  <c r="H898" i="3" s="1"/>
  <c r="C896" i="3"/>
  <c r="H896" i="3" s="1"/>
  <c r="C897" i="3"/>
  <c r="H897" i="3" s="1"/>
  <c r="C895" i="3"/>
  <c r="H895" i="3" s="1"/>
  <c r="C894" i="3"/>
  <c r="H894" i="3" s="1"/>
  <c r="C893" i="3"/>
  <c r="H893" i="3" s="1"/>
  <c r="C892" i="3"/>
  <c r="H892" i="3" s="1"/>
  <c r="C891" i="3"/>
  <c r="C911" i="3"/>
  <c r="C910" i="3"/>
  <c r="H910" i="3" s="1"/>
  <c r="C909" i="3"/>
  <c r="H909" i="3" s="1"/>
  <c r="C908" i="3"/>
  <c r="C907" i="3"/>
  <c r="H907" i="3" s="1"/>
  <c r="C905" i="3"/>
  <c r="H905" i="3" s="1"/>
  <c r="C904" i="3"/>
  <c r="H904" i="3" s="1"/>
  <c r="C906" i="3"/>
  <c r="H906" i="3" s="1"/>
  <c r="C903" i="3"/>
  <c r="H903" i="3" s="1"/>
  <c r="C902" i="3"/>
  <c r="H902" i="3" s="1"/>
  <c r="C901" i="3"/>
  <c r="H901" i="3" s="1"/>
  <c r="C900" i="3"/>
  <c r="C899" i="3"/>
  <c r="O899" i="3" s="1"/>
  <c r="C919" i="3"/>
  <c r="H919" i="3" s="1"/>
  <c r="C920" i="3"/>
  <c r="C918" i="3"/>
  <c r="H918" i="3" s="1"/>
  <c r="C917" i="3"/>
  <c r="H917" i="3" s="1"/>
  <c r="C916" i="3"/>
  <c r="H916" i="3" s="1"/>
  <c r="C915" i="3"/>
  <c r="H915" i="3" s="1"/>
  <c r="C914" i="3"/>
  <c r="H914" i="3" s="1"/>
  <c r="C913" i="3"/>
  <c r="H913" i="3" s="1"/>
  <c r="C912" i="3"/>
  <c r="H912" i="3" s="1"/>
  <c r="C930" i="3"/>
  <c r="H930" i="3" s="1"/>
  <c r="C929" i="3"/>
  <c r="H929" i="3" s="1"/>
  <c r="C928" i="3"/>
  <c r="H928" i="3" s="1"/>
  <c r="C927" i="3"/>
  <c r="H927" i="3" s="1"/>
  <c r="C926" i="3"/>
  <c r="H926" i="3" s="1"/>
  <c r="C925" i="3"/>
  <c r="H925" i="3" s="1"/>
  <c r="C924" i="3"/>
  <c r="H924" i="3" s="1"/>
  <c r="C923" i="3"/>
  <c r="H923" i="3" s="1"/>
  <c r="C922" i="3"/>
  <c r="C921" i="3"/>
  <c r="H921" i="3" s="1"/>
  <c r="C938" i="3"/>
  <c r="C937" i="3"/>
  <c r="H937" i="3" s="1"/>
  <c r="C936" i="3"/>
  <c r="H936" i="3" s="1"/>
  <c r="C935" i="3"/>
  <c r="H935" i="3" s="1"/>
  <c r="C934" i="3"/>
  <c r="H934" i="3" s="1"/>
  <c r="C933" i="3"/>
  <c r="H933" i="3" s="1"/>
  <c r="C932" i="3"/>
  <c r="H932" i="3" s="1"/>
  <c r="C931" i="3"/>
  <c r="H931" i="3" s="1"/>
  <c r="C948" i="3"/>
  <c r="H948" i="3" s="1"/>
  <c r="C947" i="3"/>
  <c r="H947" i="3" s="1"/>
  <c r="C946" i="3"/>
  <c r="H946" i="3" s="1"/>
  <c r="C945" i="3"/>
  <c r="H945" i="3" s="1"/>
  <c r="C944" i="3"/>
  <c r="H944" i="3" s="1"/>
  <c r="C943" i="3"/>
  <c r="H943" i="3" s="1"/>
  <c r="C942" i="3"/>
  <c r="C941" i="3"/>
  <c r="H941" i="3" s="1"/>
  <c r="C940" i="3"/>
  <c r="H940" i="3" s="1"/>
  <c r="C939" i="3"/>
  <c r="H939" i="3" s="1"/>
  <c r="C958" i="3"/>
  <c r="H958" i="3" s="1"/>
  <c r="C957" i="3"/>
  <c r="C956" i="3"/>
  <c r="C955" i="3"/>
  <c r="H955" i="3" s="1"/>
  <c r="C954" i="3"/>
  <c r="H954" i="3" s="1"/>
  <c r="C953" i="3"/>
  <c r="C952" i="3"/>
  <c r="H952" i="3" s="1"/>
  <c r="C951" i="3"/>
  <c r="H951" i="3" s="1"/>
  <c r="C950" i="3"/>
  <c r="C949" i="3"/>
  <c r="C968" i="3"/>
  <c r="H968" i="3" s="1"/>
  <c r="C967" i="3"/>
  <c r="H967" i="3" s="1"/>
  <c r="C966" i="3"/>
  <c r="H966" i="3" s="1"/>
  <c r="C965" i="3"/>
  <c r="H965" i="3" s="1"/>
  <c r="C964" i="3"/>
  <c r="H964" i="3" s="1"/>
  <c r="C963" i="3"/>
  <c r="H963" i="3" s="1"/>
  <c r="C962" i="3"/>
  <c r="H962" i="3" s="1"/>
  <c r="C961" i="3"/>
  <c r="H961" i="3" s="1"/>
  <c r="C960" i="3"/>
  <c r="H960" i="3" s="1"/>
  <c r="C959" i="3"/>
  <c r="H959" i="3" s="1"/>
  <c r="C975" i="3"/>
  <c r="H975" i="3" s="1"/>
  <c r="C974" i="3"/>
  <c r="H974" i="3" s="1"/>
  <c r="C973" i="3"/>
  <c r="H973" i="3" s="1"/>
  <c r="C972" i="3"/>
  <c r="H972" i="3" s="1"/>
  <c r="C971" i="3"/>
  <c r="H971" i="3" s="1"/>
  <c r="C970" i="3"/>
  <c r="C969" i="3"/>
  <c r="H969" i="3" s="1"/>
  <c r="C982" i="3"/>
  <c r="H982" i="3" s="1"/>
  <c r="C981" i="3"/>
  <c r="H981" i="3" s="1"/>
  <c r="C980" i="3"/>
  <c r="H980" i="3" s="1"/>
  <c r="C979" i="3"/>
  <c r="H979" i="3" s="1"/>
  <c r="C978" i="3"/>
  <c r="H978" i="3" s="1"/>
  <c r="C977" i="3"/>
  <c r="H977" i="3" s="1"/>
  <c r="C976" i="3"/>
  <c r="H976" i="3" s="1"/>
  <c r="C991" i="3"/>
  <c r="H991" i="3" s="1"/>
  <c r="C990" i="3"/>
  <c r="H990" i="3" s="1"/>
  <c r="C989" i="3"/>
  <c r="H989" i="3" s="1"/>
  <c r="C988" i="3"/>
  <c r="C987" i="3"/>
  <c r="H987" i="3" s="1"/>
  <c r="C986" i="3"/>
  <c r="H986" i="3" s="1"/>
  <c r="C985" i="3"/>
  <c r="H985" i="3" s="1"/>
  <c r="C984" i="3"/>
  <c r="H984" i="3" s="1"/>
  <c r="C983" i="3"/>
  <c r="H983" i="3" s="1"/>
  <c r="C998" i="3"/>
  <c r="H998" i="3" s="1"/>
  <c r="C997" i="3"/>
  <c r="H997" i="3" s="1"/>
  <c r="C996" i="3"/>
  <c r="H996" i="3" s="1"/>
  <c r="C995" i="3"/>
  <c r="H995" i="3" s="1"/>
  <c r="C994" i="3"/>
  <c r="H994" i="3" s="1"/>
  <c r="C993" i="3"/>
  <c r="H993" i="3" s="1"/>
  <c r="C992" i="3"/>
  <c r="C1003" i="3"/>
  <c r="H1003" i="3" s="1"/>
  <c r="C1002" i="3"/>
  <c r="H1002" i="3" s="1"/>
  <c r="C1001" i="3"/>
  <c r="H1001" i="3" s="1"/>
  <c r="C1000" i="3"/>
  <c r="H1000" i="3" s="1"/>
  <c r="C999" i="3"/>
  <c r="C1011" i="3"/>
  <c r="H1011" i="3" s="1"/>
  <c r="C1010" i="3"/>
  <c r="H1010" i="3" s="1"/>
  <c r="C1009" i="3"/>
  <c r="H1009" i="3" s="1"/>
  <c r="C1008" i="3"/>
  <c r="H1008" i="3" s="1"/>
  <c r="C1007" i="3"/>
  <c r="H1007" i="3" s="1"/>
  <c r="C1006" i="3"/>
  <c r="C1005" i="3"/>
  <c r="H1005" i="3" s="1"/>
  <c r="C1004" i="3"/>
  <c r="H1004" i="3" s="1"/>
  <c r="C1016" i="3"/>
  <c r="H1016" i="3" s="1"/>
  <c r="C1015" i="3"/>
  <c r="H1015" i="3" s="1"/>
  <c r="C1014" i="3"/>
  <c r="H1014" i="3" s="1"/>
  <c r="C1013" i="3"/>
  <c r="C1012" i="3"/>
  <c r="H1012" i="3" s="1"/>
  <c r="C1025" i="3"/>
  <c r="C1024" i="3"/>
  <c r="H1024" i="3" s="1"/>
  <c r="C1023" i="3"/>
  <c r="H1023" i="3" s="1"/>
  <c r="C1022" i="3"/>
  <c r="H1022" i="3" s="1"/>
  <c r="C1021" i="3"/>
  <c r="H1021" i="3" s="1"/>
  <c r="C1020" i="3"/>
  <c r="H1020" i="3" s="1"/>
  <c r="C1019" i="3"/>
  <c r="H1019" i="3" s="1"/>
  <c r="C1018" i="3"/>
  <c r="H1018" i="3" s="1"/>
  <c r="C1017" i="3"/>
  <c r="H1017" i="3" s="1"/>
  <c r="C1027" i="3"/>
  <c r="H1027" i="3" s="1"/>
  <c r="C1026" i="3"/>
  <c r="H1026" i="3" s="1"/>
  <c r="C1034" i="3"/>
  <c r="H1034" i="3" s="1"/>
  <c r="C1033" i="3"/>
  <c r="C1032" i="3"/>
  <c r="C1031" i="3"/>
  <c r="H1031" i="3" s="1"/>
  <c r="C1030" i="3"/>
  <c r="H1030" i="3" s="1"/>
  <c r="C1029" i="3"/>
  <c r="H1029" i="3" s="1"/>
  <c r="C1028" i="3"/>
  <c r="H1028" i="3" s="1"/>
  <c r="C1042" i="3"/>
  <c r="H1042" i="3" s="1"/>
  <c r="C1041" i="3"/>
  <c r="H1041" i="3" s="1"/>
  <c r="C1040" i="3"/>
  <c r="H1040" i="3" s="1"/>
  <c r="C1039" i="3"/>
  <c r="H1039" i="3" s="1"/>
  <c r="C1038" i="3"/>
  <c r="H1038" i="3" s="1"/>
  <c r="C1037" i="3"/>
  <c r="H1037" i="3" s="1"/>
  <c r="C1036" i="3"/>
  <c r="H1036" i="3" s="1"/>
  <c r="C1035" i="3"/>
  <c r="H1035" i="3" s="1"/>
  <c r="C1051" i="3"/>
  <c r="H1051" i="3" s="1"/>
  <c r="C1050" i="3"/>
  <c r="H1050" i="3" s="1"/>
  <c r="C1049" i="3"/>
  <c r="H1049" i="3" s="1"/>
  <c r="C1048" i="3"/>
  <c r="C1047" i="3"/>
  <c r="H1047" i="3" s="1"/>
  <c r="C1046" i="3"/>
  <c r="H1046" i="3" s="1"/>
  <c r="C1045" i="3"/>
  <c r="H1045" i="3" s="1"/>
  <c r="C1044" i="3"/>
  <c r="H1044" i="3" s="1"/>
  <c r="C1043" i="3"/>
  <c r="H1043" i="3" s="1"/>
  <c r="C1055" i="3"/>
  <c r="H1055" i="3" s="1"/>
  <c r="C1054" i="3"/>
  <c r="H1054" i="3" s="1"/>
  <c r="C1053" i="3"/>
  <c r="H1053" i="3" s="1"/>
  <c r="C1052" i="3"/>
  <c r="C1058" i="3"/>
  <c r="H1058" i="3" s="1"/>
  <c r="C1057" i="3"/>
  <c r="H1057" i="3" s="1"/>
  <c r="C1056" i="3"/>
  <c r="H1056" i="3" s="1"/>
  <c r="C1063" i="3"/>
  <c r="H1063" i="3" s="1"/>
  <c r="C1062" i="3"/>
  <c r="H1062" i="3" s="1"/>
  <c r="C1061" i="3"/>
  <c r="H1061" i="3" s="1"/>
  <c r="C1060" i="3"/>
  <c r="C1059" i="3"/>
  <c r="H1059" i="3" s="1"/>
  <c r="C1069" i="3"/>
  <c r="H1069" i="3" s="1"/>
  <c r="C1068" i="3"/>
  <c r="H1068" i="3" s="1"/>
  <c r="C1067" i="3"/>
  <c r="H1067" i="3" s="1"/>
  <c r="C1066" i="3"/>
  <c r="H1066" i="3" s="1"/>
  <c r="C1065" i="3"/>
  <c r="H1065" i="3" s="1"/>
  <c r="C1064" i="3"/>
  <c r="H1064" i="3" s="1"/>
  <c r="C1071" i="3"/>
  <c r="H1071" i="3" s="1"/>
  <c r="C1077" i="3"/>
  <c r="H1077" i="3" s="1"/>
  <c r="C1075" i="3"/>
  <c r="H1075" i="3" s="1"/>
  <c r="C1076" i="3"/>
  <c r="H1076" i="3" s="1"/>
  <c r="C1074" i="3"/>
  <c r="H1074" i="3" s="1"/>
  <c r="C1073" i="3"/>
  <c r="H1073" i="3" s="1"/>
  <c r="C1072" i="3"/>
  <c r="H1072" i="3" s="1"/>
  <c r="C1070" i="3"/>
  <c r="H1070" i="3" s="1"/>
  <c r="C1084" i="3"/>
  <c r="H1084" i="3" s="1"/>
  <c r="C1083" i="3"/>
  <c r="C1082" i="3"/>
  <c r="H1082" i="3" s="1"/>
  <c r="C1081" i="3"/>
  <c r="H1081" i="3" s="1"/>
  <c r="C1080" i="3"/>
  <c r="H1080" i="3" s="1"/>
  <c r="C1079" i="3"/>
  <c r="H1079" i="3" s="1"/>
  <c r="C1078" i="3"/>
  <c r="H1078" i="3" s="1"/>
  <c r="C1091" i="3"/>
  <c r="H1091" i="3" s="1"/>
  <c r="C1090" i="3"/>
  <c r="H1090" i="3" s="1"/>
  <c r="C1089" i="3"/>
  <c r="H1089" i="3" s="1"/>
  <c r="C1087" i="3"/>
  <c r="H1087" i="3" s="1"/>
  <c r="C1088" i="3"/>
  <c r="C1085" i="3"/>
  <c r="H1085" i="3" s="1"/>
  <c r="C1086" i="3"/>
  <c r="H1086" i="3" s="1"/>
  <c r="C1099" i="3"/>
  <c r="H1099" i="3" s="1"/>
  <c r="C1095" i="3"/>
  <c r="H1095" i="3" s="1"/>
  <c r="C1098" i="3"/>
  <c r="H1098" i="3" s="1"/>
  <c r="C1096" i="3"/>
  <c r="H1096" i="3" s="1"/>
  <c r="C1097" i="3"/>
  <c r="H1097" i="3" s="1"/>
  <c r="C1094" i="3"/>
  <c r="H1094" i="3" s="1"/>
  <c r="C1093" i="3"/>
  <c r="H1093" i="3" s="1"/>
  <c r="C1092" i="3"/>
  <c r="H1092" i="3" s="1"/>
  <c r="C1104" i="3"/>
  <c r="H1104" i="3" s="1"/>
  <c r="C1103" i="3"/>
  <c r="H1103" i="3" s="1"/>
  <c r="C1102" i="3"/>
  <c r="H1102" i="3" s="1"/>
  <c r="C1101" i="3"/>
  <c r="C1100" i="3"/>
  <c r="H1100" i="3" s="1"/>
  <c r="C1110" i="3"/>
  <c r="H1110" i="3" s="1"/>
  <c r="C1109" i="3"/>
  <c r="H1109" i="3" s="1"/>
  <c r="C1108" i="3"/>
  <c r="H1108" i="3" s="1"/>
  <c r="C1107" i="3"/>
  <c r="H1107" i="3" s="1"/>
  <c r="C1106" i="3"/>
  <c r="H1106" i="3" s="1"/>
  <c r="C1105" i="3"/>
  <c r="H1105" i="3" s="1"/>
  <c r="C1117" i="3"/>
  <c r="H1117" i="3" s="1"/>
  <c r="C1116" i="3"/>
  <c r="H1116" i="3" s="1"/>
  <c r="C1115" i="3"/>
  <c r="H1115" i="3" s="1"/>
  <c r="C1114" i="3"/>
  <c r="C1113" i="3"/>
  <c r="H1113" i="3" s="1"/>
  <c r="C1112" i="3"/>
  <c r="H1112" i="3" s="1"/>
  <c r="C1111" i="3"/>
  <c r="H1111" i="3" s="1"/>
  <c r="C1122" i="3"/>
  <c r="H1122" i="3" s="1"/>
  <c r="C1121" i="3"/>
  <c r="H1121" i="3" s="1"/>
  <c r="C1120" i="3"/>
  <c r="H1120" i="3" s="1"/>
  <c r="C1119" i="3"/>
  <c r="C1118" i="3"/>
  <c r="H1118" i="3" s="1"/>
  <c r="C1130" i="3"/>
  <c r="H1130" i="3" s="1"/>
  <c r="C1129" i="3"/>
  <c r="H1129" i="3" s="1"/>
  <c r="C1127" i="3"/>
  <c r="H1127" i="3" s="1"/>
  <c r="C1128" i="3"/>
  <c r="H1128" i="3" s="1"/>
  <c r="C1126" i="3"/>
  <c r="H1126" i="3" s="1"/>
  <c r="C1125" i="3"/>
  <c r="H1125" i="3" s="1"/>
  <c r="C1124" i="3"/>
  <c r="H1124" i="3" s="1"/>
  <c r="C1123" i="3"/>
  <c r="H1123" i="3" s="1"/>
  <c r="C1140" i="3"/>
  <c r="H1140" i="3" s="1"/>
  <c r="C1141" i="3"/>
  <c r="C1139" i="3"/>
  <c r="H1139" i="3" s="1"/>
  <c r="C1138" i="3"/>
  <c r="H1138" i="3" s="1"/>
  <c r="C1137" i="3"/>
  <c r="H1137" i="3" s="1"/>
  <c r="C1136" i="3"/>
  <c r="H1136" i="3" s="1"/>
  <c r="C1135" i="3"/>
  <c r="C1134" i="3"/>
  <c r="H1134" i="3" s="1"/>
  <c r="C1133" i="3"/>
  <c r="C1132" i="3"/>
  <c r="H1132" i="3" s="1"/>
  <c r="C1131" i="3"/>
  <c r="H1131" i="3" s="1"/>
  <c r="C1151" i="3"/>
  <c r="C1150" i="3"/>
  <c r="H1150" i="3" s="1"/>
  <c r="C1149" i="3"/>
  <c r="H1149" i="3" s="1"/>
  <c r="C1148" i="3"/>
  <c r="H1148" i="3" s="1"/>
  <c r="C1147" i="3"/>
  <c r="H1147" i="3" s="1"/>
  <c r="C1146" i="3"/>
  <c r="H1146" i="3" s="1"/>
  <c r="C1145" i="3"/>
  <c r="H1145" i="3" s="1"/>
  <c r="C1144" i="3"/>
  <c r="H1144" i="3" s="1"/>
  <c r="C1143" i="3"/>
  <c r="C1142" i="3"/>
  <c r="H1142" i="3" s="1"/>
  <c r="C1161" i="3"/>
  <c r="H1161" i="3" s="1"/>
  <c r="C1160" i="3"/>
  <c r="H1160" i="3" s="1"/>
  <c r="C1159" i="3"/>
  <c r="H1159" i="3" s="1"/>
  <c r="C1158" i="3"/>
  <c r="H1158" i="3" s="1"/>
  <c r="C1157" i="3"/>
  <c r="H1157" i="3" s="1"/>
  <c r="C1156" i="3"/>
  <c r="H1156" i="3" s="1"/>
  <c r="C1155" i="3"/>
  <c r="H1155" i="3" s="1"/>
  <c r="C1154" i="3"/>
  <c r="H1154" i="3" s="1"/>
  <c r="C1153" i="3"/>
  <c r="H1153" i="3" s="1"/>
  <c r="C1152" i="3"/>
  <c r="H1152" i="3" s="1"/>
  <c r="C1173" i="3"/>
  <c r="H1173" i="3" s="1"/>
  <c r="C1172" i="3"/>
  <c r="H1172" i="3" s="1"/>
  <c r="C1171" i="3"/>
  <c r="H1171" i="3" s="1"/>
  <c r="C1170" i="3"/>
  <c r="H1170" i="3" s="1"/>
  <c r="C1169" i="3"/>
  <c r="H1169" i="3" s="1"/>
  <c r="C1168" i="3"/>
  <c r="H1168" i="3" s="1"/>
  <c r="C1167" i="3"/>
  <c r="H1167" i="3" s="1"/>
  <c r="C1166" i="3"/>
  <c r="H1166" i="3" s="1"/>
  <c r="C1165" i="3"/>
  <c r="H1165" i="3" s="1"/>
  <c r="C1164" i="3"/>
  <c r="H1164" i="3" s="1"/>
  <c r="C1163" i="3"/>
  <c r="H1163" i="3" s="1"/>
  <c r="C1162" i="3"/>
  <c r="H1162" i="3" s="1"/>
  <c r="C1181" i="3"/>
  <c r="C1180" i="3"/>
  <c r="H1180" i="3" s="1"/>
  <c r="C1179" i="3"/>
  <c r="H1179" i="3" s="1"/>
  <c r="C1178" i="3"/>
  <c r="H1178" i="3" s="1"/>
  <c r="C1177" i="3"/>
  <c r="H1177" i="3" s="1"/>
  <c r="C1176" i="3"/>
  <c r="C1175" i="3"/>
  <c r="H1175" i="3" s="1"/>
  <c r="C1174" i="3"/>
  <c r="H1174" i="3" s="1"/>
  <c r="C1185" i="3"/>
  <c r="H1185" i="3" s="1"/>
  <c r="C1184" i="3"/>
  <c r="H1184" i="3" s="1"/>
  <c r="C1183" i="3"/>
  <c r="H1183" i="3" s="1"/>
  <c r="C1182" i="3"/>
  <c r="C1190" i="3"/>
  <c r="H1190" i="3" s="1"/>
  <c r="C1189" i="3"/>
  <c r="H1189" i="3" s="1"/>
  <c r="C1188" i="3"/>
  <c r="H1188" i="3" s="1"/>
  <c r="C1187" i="3"/>
  <c r="H1187" i="3" s="1"/>
  <c r="C1186" i="3"/>
  <c r="C1193" i="3"/>
  <c r="H1193" i="3" s="1"/>
  <c r="C1192" i="3"/>
  <c r="H1192" i="3" s="1"/>
  <c r="C1191" i="3"/>
  <c r="H1191" i="3" s="1"/>
  <c r="C1198" i="3"/>
  <c r="H1198" i="3" s="1"/>
  <c r="C1197" i="3"/>
  <c r="H1197" i="3" s="1"/>
  <c r="C1196" i="3"/>
  <c r="H1196" i="3" s="1"/>
  <c r="C1195" i="3"/>
  <c r="H1195" i="3" s="1"/>
  <c r="C1194" i="3"/>
  <c r="H1194" i="3" s="1"/>
  <c r="C1202" i="3"/>
  <c r="H1202" i="3" s="1"/>
  <c r="C1201" i="3"/>
  <c r="H1201" i="3" s="1"/>
  <c r="C1200" i="3"/>
  <c r="H1200" i="3" s="1"/>
  <c r="C1199" i="3"/>
  <c r="H1199" i="3" s="1"/>
  <c r="C1208" i="3"/>
  <c r="H1208" i="3" s="1"/>
  <c r="C1209" i="3"/>
  <c r="H1209" i="3" s="1"/>
  <c r="C1207" i="3"/>
  <c r="H1207" i="3" s="1"/>
  <c r="C1206" i="3"/>
  <c r="H1206" i="3" s="1"/>
  <c r="C1205" i="3"/>
  <c r="C1204" i="3"/>
  <c r="H1204" i="3" s="1"/>
  <c r="C1203" i="3"/>
  <c r="H1203" i="3" s="1"/>
  <c r="C1216" i="3"/>
  <c r="H1216" i="3" s="1"/>
  <c r="C1214" i="3"/>
  <c r="H1214" i="3" s="1"/>
  <c r="C1215" i="3"/>
  <c r="H1215" i="3" s="1"/>
  <c r="C1213" i="3"/>
  <c r="H1213" i="3" s="1"/>
  <c r="C1212" i="3"/>
  <c r="C1211" i="3"/>
  <c r="H1211" i="3" s="1"/>
  <c r="C1210" i="3"/>
  <c r="H1210" i="3" s="1"/>
  <c r="C1222" i="3"/>
  <c r="H1222" i="3" s="1"/>
  <c r="C1223" i="3"/>
  <c r="H1223" i="3" s="1"/>
  <c r="C1220" i="3"/>
  <c r="H1220" i="3" s="1"/>
  <c r="C1221" i="3"/>
  <c r="H1221" i="3" s="1"/>
  <c r="C1219" i="3"/>
  <c r="H1219" i="3" s="1"/>
  <c r="C1217" i="3"/>
  <c r="C1218" i="3"/>
  <c r="H1218" i="3" s="1"/>
  <c r="C1228" i="3"/>
  <c r="H1228" i="3" s="1"/>
  <c r="C1227" i="3"/>
  <c r="H1227" i="3" s="1"/>
  <c r="C1226" i="3"/>
  <c r="H1226" i="3" s="1"/>
  <c r="C1225" i="3"/>
  <c r="C1224" i="3"/>
  <c r="H1224" i="3" s="1"/>
  <c r="C1235" i="3"/>
  <c r="H1235" i="3" s="1"/>
  <c r="C1233" i="3"/>
  <c r="C1234" i="3"/>
  <c r="H1234" i="3" s="1"/>
  <c r="C1232" i="3"/>
  <c r="H1232" i="3" s="1"/>
  <c r="C1231" i="3"/>
  <c r="C1230" i="3"/>
  <c r="H1230" i="3" s="1"/>
  <c r="C1229" i="3"/>
  <c r="H1229" i="3" s="1"/>
  <c r="C1239" i="3"/>
  <c r="C1238" i="3"/>
  <c r="H1238" i="3" s="1"/>
  <c r="C1237" i="3"/>
  <c r="H1237" i="3" s="1"/>
  <c r="C1236" i="3"/>
  <c r="H1236" i="3" s="1"/>
  <c r="C1244" i="3"/>
  <c r="H1244" i="3" s="1"/>
  <c r="C1243" i="3"/>
  <c r="H1243" i="3" s="1"/>
  <c r="C1242" i="3"/>
  <c r="H1242" i="3" s="1"/>
  <c r="C1241" i="3"/>
  <c r="H1241" i="3" s="1"/>
  <c r="C1240" i="3"/>
  <c r="H1240" i="3" s="1"/>
  <c r="C1251" i="3"/>
  <c r="H1251" i="3" s="1"/>
  <c r="C1250" i="3"/>
  <c r="C1249" i="3"/>
  <c r="H1249" i="3" s="1"/>
  <c r="C1248" i="3"/>
  <c r="H1248" i="3" s="1"/>
  <c r="C1247" i="3"/>
  <c r="C1246" i="3"/>
  <c r="H1246" i="3" s="1"/>
  <c r="C1245" i="3"/>
  <c r="H1245" i="3" s="1"/>
  <c r="C1258" i="3"/>
  <c r="H1258" i="3" s="1"/>
  <c r="C1257" i="3"/>
  <c r="H1257" i="3" s="1"/>
  <c r="C1256" i="3"/>
  <c r="H1256" i="3" s="1"/>
  <c r="C1255" i="3"/>
  <c r="H1255" i="3" s="1"/>
  <c r="C1254" i="3"/>
  <c r="H1254" i="3" s="1"/>
  <c r="C1253" i="3"/>
  <c r="H1253" i="3" s="1"/>
  <c r="C1252" i="3"/>
  <c r="H1252" i="3" s="1"/>
  <c r="C1267" i="3"/>
  <c r="H1267" i="3" s="1"/>
  <c r="C1266" i="3"/>
  <c r="H1266" i="3" s="1"/>
  <c r="C1265" i="3"/>
  <c r="H1265" i="3" s="1"/>
  <c r="C1264" i="3"/>
  <c r="H1264" i="3" s="1"/>
  <c r="C1263" i="3"/>
  <c r="H1263" i="3" s="1"/>
  <c r="C1262" i="3"/>
  <c r="H1262" i="3" s="1"/>
  <c r="C1261" i="3"/>
  <c r="C1260" i="3"/>
  <c r="H1260" i="3" s="1"/>
  <c r="C1259" i="3"/>
  <c r="H1259" i="3" s="1"/>
  <c r="C1272" i="3"/>
  <c r="H1272" i="3" s="1"/>
  <c r="C1271" i="3"/>
  <c r="H1271" i="3" s="1"/>
  <c r="C1275" i="3"/>
  <c r="C1270" i="3"/>
  <c r="H1270" i="3" s="1"/>
  <c r="C1269" i="3"/>
  <c r="H1269" i="3" s="1"/>
  <c r="C1268" i="3"/>
  <c r="H1268" i="3" s="1"/>
  <c r="C1274" i="3"/>
  <c r="H1274" i="3" s="1"/>
  <c r="C1273" i="3"/>
  <c r="H1273" i="3" s="1"/>
  <c r="C1281" i="3"/>
  <c r="H1281" i="3" s="1"/>
  <c r="C1276" i="3"/>
  <c r="H1276" i="3" s="1"/>
  <c r="C1277" i="3"/>
  <c r="C1278" i="3"/>
  <c r="H1278" i="3" s="1"/>
  <c r="C1279" i="3"/>
  <c r="H1279" i="3" s="1"/>
  <c r="C1280" i="3"/>
  <c r="H1280" i="3" s="1"/>
  <c r="C1283" i="3"/>
  <c r="H1283" i="3" s="1"/>
  <c r="C1287" i="3"/>
  <c r="H1287" i="3" s="1"/>
  <c r="C1286" i="3"/>
  <c r="H1286" i="3" s="1"/>
  <c r="C1282" i="3"/>
  <c r="H1282" i="3" s="1"/>
  <c r="C1285" i="3"/>
  <c r="H1285" i="3" s="1"/>
  <c r="C1284" i="3"/>
  <c r="H1284" i="3" s="1"/>
  <c r="C1292" i="3"/>
  <c r="H1292" i="3" s="1"/>
  <c r="C1290" i="3"/>
  <c r="H1290" i="3" s="1"/>
  <c r="C1293" i="3"/>
  <c r="H1293" i="3" s="1"/>
  <c r="C1291" i="3"/>
  <c r="H1291" i="3" s="1"/>
  <c r="C1289" i="3"/>
  <c r="H1289" i="3" s="1"/>
  <c r="C1288" i="3"/>
  <c r="H1288" i="3" s="1"/>
  <c r="C1299" i="3"/>
  <c r="H1299" i="3" s="1"/>
  <c r="C1298" i="3"/>
  <c r="H1298" i="3" s="1"/>
  <c r="C1297" i="3"/>
  <c r="H1297" i="3" s="1"/>
  <c r="C1296" i="3"/>
  <c r="H1296" i="3" s="1"/>
  <c r="C1295" i="3"/>
  <c r="H1295" i="3" s="1"/>
  <c r="C1294" i="3"/>
  <c r="H1294" i="3" s="1"/>
  <c r="C1305" i="3"/>
  <c r="H1305" i="3" s="1"/>
  <c r="C1304" i="3"/>
  <c r="H1304" i="3" s="1"/>
  <c r="C1302" i="3"/>
  <c r="H1302" i="3" s="1"/>
  <c r="C1301" i="3"/>
  <c r="H1301" i="3" s="1"/>
  <c r="C1300" i="3"/>
  <c r="H1300" i="3" s="1"/>
  <c r="C1303" i="3"/>
  <c r="H1303" i="3" s="1"/>
  <c r="C1312" i="3"/>
  <c r="H1312" i="3" s="1"/>
  <c r="C1311" i="3"/>
  <c r="H1311" i="3" s="1"/>
  <c r="C1308" i="3"/>
  <c r="H1308" i="3" s="1"/>
  <c r="C1307" i="3"/>
  <c r="H1307" i="3" s="1"/>
  <c r="C1309" i="3"/>
  <c r="C1306" i="3"/>
  <c r="H1306" i="3" s="1"/>
  <c r="C1310" i="3"/>
  <c r="H1310" i="3" s="1"/>
  <c r="C1317" i="3"/>
  <c r="H1317" i="3" s="1"/>
  <c r="C1320" i="3"/>
  <c r="H1320" i="3" s="1"/>
  <c r="C1319" i="3"/>
  <c r="H1319" i="3" s="1"/>
  <c r="C1318" i="3"/>
  <c r="H1318" i="3" s="1"/>
  <c r="C1322" i="3"/>
  <c r="H1322" i="3" s="1"/>
  <c r="C1316" i="3"/>
  <c r="C1315" i="3"/>
  <c r="H1315" i="3" s="1"/>
  <c r="C1314" i="3"/>
  <c r="H1314" i="3" s="1"/>
  <c r="C1321" i="3"/>
  <c r="H1321" i="3" s="1"/>
  <c r="C1313" i="3"/>
  <c r="H1313" i="3" s="1"/>
  <c r="C1323" i="3"/>
  <c r="H1323" i="3" s="1"/>
  <c r="C1327" i="3"/>
  <c r="H1327" i="3" s="1"/>
  <c r="C1328" i="3"/>
  <c r="H1328" i="3" s="1"/>
  <c r="C1332" i="3"/>
  <c r="H1332" i="3" s="1"/>
  <c r="C1325" i="3"/>
  <c r="H1325" i="3" s="1"/>
  <c r="C1326" i="3"/>
  <c r="H1326" i="3" s="1"/>
  <c r="C1329" i="3"/>
  <c r="H1329" i="3" s="1"/>
  <c r="C1330" i="3"/>
  <c r="H1330" i="3" s="1"/>
  <c r="C1324" i="3"/>
  <c r="H1324" i="3" s="1"/>
  <c r="C1331" i="3"/>
  <c r="H1331" i="3" s="1"/>
  <c r="C1340" i="3"/>
  <c r="H1340" i="3" s="1"/>
  <c r="C1338" i="3"/>
  <c r="H1338" i="3" s="1"/>
  <c r="C1336" i="3"/>
  <c r="H1336" i="3" s="1"/>
  <c r="C1335" i="3"/>
  <c r="H1335" i="3" s="1"/>
  <c r="C1334" i="3"/>
  <c r="H1334" i="3" s="1"/>
  <c r="C1337" i="3"/>
  <c r="H1337" i="3" s="1"/>
  <c r="C1339" i="3"/>
  <c r="H1339" i="3" s="1"/>
  <c r="C1333" i="3"/>
  <c r="H1333" i="3" s="1"/>
  <c r="C1346" i="3"/>
  <c r="H1346" i="3" s="1"/>
  <c r="C1345" i="3"/>
  <c r="H1345" i="3" s="1"/>
  <c r="C1344" i="3"/>
  <c r="H1344" i="3" s="1"/>
  <c r="C1343" i="3"/>
  <c r="H1343" i="3" s="1"/>
  <c r="C1342" i="3"/>
  <c r="H1342" i="3" s="1"/>
  <c r="C1341" i="3"/>
  <c r="H1341" i="3" s="1"/>
  <c r="C1353" i="3"/>
  <c r="H1353" i="3" s="1"/>
  <c r="C1351" i="3"/>
  <c r="H1351" i="3" s="1"/>
  <c r="C1350" i="3"/>
  <c r="H1350" i="3" s="1"/>
  <c r="C1349" i="3"/>
  <c r="H1349" i="3" s="1"/>
  <c r="C1357" i="3"/>
  <c r="H1357" i="3" s="1"/>
  <c r="C1348" i="3"/>
  <c r="H1348" i="3" s="1"/>
  <c r="C1356" i="3"/>
  <c r="H1356" i="3" s="1"/>
  <c r="C1355" i="3"/>
  <c r="H1355" i="3" s="1"/>
  <c r="C1354" i="3"/>
  <c r="H1354" i="3" s="1"/>
  <c r="C1352" i="3"/>
  <c r="H1352" i="3" s="1"/>
  <c r="C1347" i="3"/>
  <c r="H1347" i="3" s="1"/>
  <c r="C1369" i="3"/>
  <c r="H1369" i="3" s="1"/>
  <c r="C1367" i="3"/>
  <c r="H1367" i="3" s="1"/>
  <c r="C1365" i="3"/>
  <c r="H1365" i="3" s="1"/>
  <c r="C1360" i="3"/>
  <c r="H1360" i="3" s="1"/>
  <c r="C1368" i="3"/>
  <c r="H1368" i="3" s="1"/>
  <c r="C1366" i="3"/>
  <c r="H1366" i="3" s="1"/>
  <c r="C1364" i="3"/>
  <c r="H1364" i="3" s="1"/>
  <c r="C1362" i="3"/>
  <c r="H1362" i="3" s="1"/>
  <c r="C1361" i="3"/>
  <c r="C1359" i="3"/>
  <c r="H1359" i="3" s="1"/>
  <c r="C1358" i="3"/>
  <c r="H1358" i="3" s="1"/>
  <c r="C1363" i="3"/>
  <c r="H1363" i="3" s="1"/>
  <c r="C1378" i="3"/>
  <c r="H1378" i="3" s="1"/>
  <c r="C1373" i="3"/>
  <c r="H1373" i="3" s="1"/>
  <c r="C1372" i="3"/>
  <c r="H1372" i="3" s="1"/>
  <c r="C1371" i="3"/>
  <c r="H1371" i="3" s="1"/>
  <c r="C1377" i="3"/>
  <c r="H1377" i="3" s="1"/>
  <c r="C1376" i="3"/>
  <c r="H1376" i="3" s="1"/>
  <c r="C1374" i="3"/>
  <c r="H1374" i="3" s="1"/>
  <c r="C1375" i="3"/>
  <c r="H1375" i="3" s="1"/>
  <c r="C1370" i="3"/>
  <c r="H1370" i="3" s="1"/>
  <c r="C1384" i="3"/>
  <c r="H1384" i="3" s="1"/>
  <c r="C1383" i="3"/>
  <c r="H1383" i="3" s="1"/>
  <c r="C1381" i="3"/>
  <c r="H1381" i="3" s="1"/>
  <c r="C1379" i="3"/>
  <c r="H1379" i="3" s="1"/>
  <c r="C1380" i="3"/>
  <c r="H1380" i="3" s="1"/>
  <c r="C1382" i="3"/>
  <c r="H1382" i="3" s="1"/>
  <c r="C1395" i="3"/>
  <c r="H1395" i="3" s="1"/>
  <c r="C1386" i="3"/>
  <c r="H1386" i="3" s="1"/>
  <c r="C1393" i="3"/>
  <c r="H1393" i="3" s="1"/>
  <c r="C1392" i="3"/>
  <c r="C1391" i="3"/>
  <c r="H1391" i="3" s="1"/>
  <c r="C1390" i="3"/>
  <c r="C1389" i="3"/>
  <c r="C1388" i="3"/>
  <c r="H1388" i="3" s="1"/>
  <c r="C1387" i="3"/>
  <c r="C1385" i="3"/>
  <c r="H1385" i="3" s="1"/>
  <c r="C1394" i="3"/>
  <c r="H1394" i="3" s="1"/>
  <c r="C1397" i="3"/>
  <c r="H1397" i="3" s="1"/>
  <c r="C1402" i="3"/>
  <c r="H1402" i="3" s="1"/>
  <c r="C1400" i="3"/>
  <c r="C1399" i="3"/>
  <c r="H1399" i="3" s="1"/>
  <c r="C1398" i="3"/>
  <c r="H1398" i="3" s="1"/>
  <c r="C1396" i="3"/>
  <c r="H1396" i="3" s="1"/>
  <c r="C1401" i="3"/>
  <c r="H1401" i="3" s="1"/>
  <c r="C1403" i="3"/>
  <c r="C1409" i="3"/>
  <c r="H1409" i="3" s="1"/>
  <c r="C1406" i="3"/>
  <c r="H1406" i="3" s="1"/>
  <c r="C1408" i="3"/>
  <c r="H1408" i="3" s="1"/>
  <c r="C1412" i="3"/>
  <c r="H1412" i="3" s="1"/>
  <c r="C1411" i="3"/>
  <c r="H1411" i="3" s="1"/>
  <c r="C1407" i="3"/>
  <c r="H1407" i="3" s="1"/>
  <c r="C1405" i="3"/>
  <c r="H1405" i="3" s="1"/>
  <c r="C1404" i="3"/>
  <c r="H1404" i="3" s="1"/>
  <c r="C1410" i="3"/>
  <c r="H1410" i="3" s="1"/>
  <c r="C1417" i="3"/>
  <c r="H1417" i="3" s="1"/>
  <c r="C1420" i="3"/>
  <c r="C1418" i="3"/>
  <c r="H1418" i="3" s="1"/>
  <c r="C1416" i="3"/>
  <c r="H1416" i="3" s="1"/>
  <c r="C1415" i="3"/>
  <c r="H1415" i="3" s="1"/>
  <c r="C1414" i="3"/>
  <c r="C1413" i="3"/>
  <c r="H1413" i="3" s="1"/>
  <c r="C1419" i="3"/>
  <c r="H1419" i="3" s="1"/>
  <c r="C1427" i="3"/>
  <c r="H1427" i="3" s="1"/>
  <c r="C1426" i="3"/>
  <c r="H1426" i="3" s="1"/>
  <c r="C1421" i="3"/>
  <c r="H1421" i="3" s="1"/>
  <c r="C1430" i="3"/>
  <c r="H1430" i="3" s="1"/>
  <c r="C1429" i="3"/>
  <c r="C1428" i="3"/>
  <c r="H1428" i="3" s="1"/>
  <c r="C1425" i="3"/>
  <c r="O1425" i="3" s="1"/>
  <c r="C1424" i="3"/>
  <c r="H1424" i="3" s="1"/>
  <c r="C1423" i="3"/>
  <c r="H1423" i="3" s="1"/>
  <c r="C1422" i="3"/>
  <c r="C1438" i="3"/>
  <c r="H1438" i="3" s="1"/>
  <c r="C1435" i="3"/>
  <c r="H1435" i="3" s="1"/>
  <c r="C1431" i="3"/>
  <c r="H1431" i="3" s="1"/>
  <c r="C1437" i="3"/>
  <c r="H1437" i="3" s="1"/>
  <c r="C1436" i="3"/>
  <c r="H1436" i="3" s="1"/>
  <c r="C1434" i="3"/>
  <c r="H1434" i="3" s="1"/>
  <c r="C1433" i="3"/>
  <c r="H1433" i="3" s="1"/>
  <c r="C1432" i="3"/>
  <c r="C1444" i="3"/>
  <c r="H1444" i="3" s="1"/>
  <c r="C1440" i="3"/>
  <c r="H1440" i="3" s="1"/>
  <c r="C1439" i="3"/>
  <c r="H1439" i="3" s="1"/>
  <c r="C1449" i="3"/>
  <c r="H1449" i="3" s="1"/>
  <c r="C1448" i="3"/>
  <c r="H1448" i="3" s="1"/>
  <c r="C1447" i="3"/>
  <c r="H1447" i="3" s="1"/>
  <c r="C1446" i="3"/>
  <c r="H1446" i="3" s="1"/>
  <c r="C1445" i="3"/>
  <c r="H1445" i="3" s="1"/>
  <c r="C1443" i="3"/>
  <c r="H1443" i="3" s="1"/>
  <c r="C1442" i="3"/>
  <c r="H1442" i="3" s="1"/>
  <c r="C1441" i="3"/>
  <c r="H1441" i="3" s="1"/>
  <c r="C1455" i="3"/>
  <c r="H1455" i="3" s="1"/>
  <c r="C1454" i="3"/>
  <c r="H1454" i="3" s="1"/>
  <c r="C1452" i="3"/>
  <c r="H1452" i="3" s="1"/>
  <c r="C1456" i="3"/>
  <c r="H1456" i="3" s="1"/>
  <c r="C1453" i="3"/>
  <c r="C1451" i="3"/>
  <c r="H1451" i="3" s="1"/>
  <c r="C1450" i="3"/>
  <c r="H1450" i="3" s="1"/>
  <c r="C1457" i="3"/>
  <c r="C1464" i="3"/>
  <c r="H1464" i="3" s="1"/>
  <c r="C1463" i="3"/>
  <c r="H1463" i="3" s="1"/>
  <c r="C1461" i="3"/>
  <c r="H1461" i="3" s="1"/>
  <c r="C1462" i="3"/>
  <c r="H1462" i="3" s="1"/>
  <c r="C1460" i="3"/>
  <c r="C1459" i="3"/>
  <c r="H1459" i="3" s="1"/>
  <c r="C1458" i="3"/>
  <c r="H1458" i="3" s="1"/>
  <c r="C1467" i="3"/>
  <c r="H1467" i="3" s="1"/>
  <c r="C1465" i="3"/>
  <c r="H1465" i="3" s="1"/>
  <c r="C1466" i="3"/>
  <c r="C1472" i="3"/>
  <c r="H1472" i="3" s="1"/>
  <c r="C1469" i="3"/>
  <c r="H1469" i="3" s="1"/>
  <c r="C1468" i="3"/>
  <c r="H1468" i="3" s="1"/>
  <c r="C1470" i="3"/>
  <c r="H1470" i="3" s="1"/>
  <c r="C1471" i="3"/>
  <c r="H1471" i="3" s="1"/>
  <c r="C1476" i="3"/>
  <c r="H1476" i="3" s="1"/>
  <c r="C1474" i="3"/>
  <c r="H1474" i="3" s="1"/>
  <c r="C1475" i="3"/>
  <c r="H1475" i="3" s="1"/>
  <c r="C1473" i="3"/>
  <c r="H1473" i="3" s="1"/>
  <c r="C1481" i="3"/>
  <c r="H1481" i="3" s="1"/>
  <c r="C1480" i="3"/>
  <c r="H1480" i="3" s="1"/>
  <c r="C1483" i="3"/>
  <c r="H1483" i="3" s="1"/>
  <c r="C1482" i="3"/>
  <c r="H1482" i="3" s="1"/>
  <c r="C1479" i="3"/>
  <c r="H1479" i="3" s="1"/>
  <c r="C1478" i="3"/>
  <c r="H1478" i="3" s="1"/>
  <c r="C1477" i="3"/>
  <c r="H1477" i="3" s="1"/>
  <c r="C1484" i="3"/>
  <c r="H1484" i="3" s="1"/>
  <c r="C1491" i="3"/>
  <c r="H1491" i="3" s="1"/>
  <c r="C1485" i="3"/>
  <c r="H1485" i="3" s="1"/>
  <c r="C1490" i="3"/>
  <c r="H1490" i="3" s="1"/>
  <c r="C1489" i="3"/>
  <c r="H1489" i="3" s="1"/>
  <c r="C1488" i="3"/>
  <c r="H1488" i="3" s="1"/>
  <c r="C1487" i="3"/>
  <c r="H1487" i="3" s="1"/>
  <c r="C1486" i="3"/>
  <c r="H1486" i="3" s="1"/>
  <c r="C1497" i="3"/>
  <c r="H1497" i="3" s="1"/>
  <c r="C1496" i="3"/>
  <c r="H1496" i="3" s="1"/>
  <c r="C1493" i="3"/>
  <c r="H1493" i="3" s="1"/>
  <c r="C1494" i="3"/>
  <c r="H1494" i="3" s="1"/>
  <c r="C1495" i="3"/>
  <c r="H1495" i="3" s="1"/>
  <c r="C1492" i="3"/>
  <c r="H1492" i="3" s="1"/>
  <c r="C1502" i="3"/>
  <c r="H1502" i="3" s="1"/>
  <c r="C1500" i="3"/>
  <c r="H1500" i="3" s="1"/>
  <c r="C1499" i="3"/>
  <c r="H1499" i="3" s="1"/>
  <c r="C1503" i="3"/>
  <c r="H1503" i="3" s="1"/>
  <c r="C1498" i="3"/>
  <c r="H1498" i="3" s="1"/>
  <c r="C1504" i="3"/>
  <c r="H1504" i="3" s="1"/>
  <c r="C1501" i="3"/>
  <c r="H1501" i="3" s="1"/>
  <c r="C1512" i="3"/>
  <c r="H1512" i="3" s="1"/>
  <c r="C1516" i="3"/>
  <c r="H1516" i="3" s="1"/>
  <c r="C1507" i="3"/>
  <c r="H1507" i="3" s="1"/>
  <c r="C1506" i="3"/>
  <c r="H1506" i="3" s="1"/>
  <c r="C1505" i="3"/>
  <c r="H1505" i="3" s="1"/>
  <c r="C1511" i="3"/>
  <c r="H1511" i="3" s="1"/>
  <c r="C1515" i="3"/>
  <c r="H1515" i="3" s="1"/>
  <c r="C1514" i="3"/>
  <c r="H1514" i="3" s="1"/>
  <c r="C1513" i="3"/>
  <c r="H1513" i="3" s="1"/>
  <c r="C1510" i="3"/>
  <c r="H1510" i="3" s="1"/>
  <c r="C1509" i="3"/>
  <c r="H1509" i="3" s="1"/>
  <c r="C1508" i="3"/>
  <c r="H1508" i="3" s="1"/>
  <c r="C1527" i="3"/>
  <c r="H1527" i="3" s="1"/>
  <c r="C1520" i="3"/>
  <c r="H1520" i="3" s="1"/>
  <c r="C1522" i="3"/>
  <c r="H1522" i="3" s="1"/>
  <c r="C1526" i="3"/>
  <c r="H1526" i="3" s="1"/>
  <c r="C1517" i="3"/>
  <c r="H1517" i="3" s="1"/>
  <c r="C1523" i="3"/>
  <c r="H1523" i="3" s="1"/>
  <c r="C1525" i="3"/>
  <c r="H1525" i="3" s="1"/>
  <c r="C1524" i="3"/>
  <c r="H1524" i="3" s="1"/>
  <c r="C1521" i="3"/>
  <c r="H1521" i="3" s="1"/>
  <c r="C1518" i="3"/>
  <c r="C1519" i="3"/>
  <c r="H1519" i="3" s="1"/>
  <c r="C1531" i="3"/>
  <c r="H1531" i="3" s="1"/>
  <c r="C1528" i="3"/>
  <c r="H1528" i="3" s="1"/>
  <c r="C1532" i="3"/>
  <c r="H1532" i="3" s="1"/>
  <c r="C1534" i="3"/>
  <c r="H1534" i="3" s="1"/>
  <c r="C1533" i="3"/>
  <c r="H1533" i="3" s="1"/>
  <c r="C1529" i="3"/>
  <c r="H1529" i="3" s="1"/>
  <c r="C1530" i="3"/>
  <c r="C1540" i="3"/>
  <c r="H1540" i="3" s="1"/>
  <c r="C1539" i="3"/>
  <c r="H1539" i="3" s="1"/>
  <c r="C1538" i="3"/>
  <c r="H1538" i="3" s="1"/>
  <c r="C1541" i="3"/>
  <c r="H1541" i="3" s="1"/>
  <c r="C1537" i="3"/>
  <c r="C1536" i="3"/>
  <c r="H1536" i="3" s="1"/>
  <c r="C1535" i="3"/>
  <c r="H1535" i="3" s="1"/>
  <c r="C1544" i="3"/>
  <c r="H1544" i="3" s="1"/>
  <c r="C1548" i="3"/>
  <c r="H1548" i="3" s="1"/>
  <c r="C1547" i="3"/>
  <c r="H1547" i="3" s="1"/>
  <c r="C1546" i="3"/>
  <c r="H1546" i="3" s="1"/>
  <c r="C1545" i="3"/>
  <c r="H1545" i="3" s="1"/>
  <c r="C1542" i="3"/>
  <c r="H1542" i="3" s="1"/>
  <c r="C1549" i="3"/>
  <c r="C1543" i="3"/>
  <c r="H1543" i="3" s="1"/>
  <c r="C1554" i="3"/>
  <c r="H1554" i="3" s="1"/>
  <c r="C1553" i="3"/>
  <c r="H1553" i="3" s="1"/>
  <c r="C1561" i="3"/>
  <c r="H1561" i="3" s="1"/>
  <c r="C1560" i="3"/>
  <c r="H1560" i="3" s="1"/>
  <c r="C1559" i="3"/>
  <c r="H1559" i="3" s="1"/>
  <c r="C1558" i="3"/>
  <c r="H1558" i="3" s="1"/>
  <c r="C1557" i="3"/>
  <c r="H1557" i="3" s="1"/>
  <c r="G397" i="1" s="1"/>
  <c r="C1556" i="3"/>
  <c r="H1556" i="3" s="1"/>
  <c r="C1555" i="3"/>
  <c r="H1555" i="3" s="1"/>
  <c r="C1552" i="3"/>
  <c r="H1552" i="3" s="1"/>
  <c r="C1551" i="3"/>
  <c r="H1551" i="3" s="1"/>
  <c r="C1550" i="3"/>
  <c r="H1550" i="3" s="1"/>
  <c r="C1568" i="3"/>
  <c r="H1568" i="3" s="1"/>
  <c r="C1566" i="3"/>
  <c r="H1566" i="3" s="1"/>
  <c r="C1562" i="3"/>
  <c r="H1562" i="3" s="1"/>
  <c r="C1569" i="3"/>
  <c r="H1569" i="3" s="1"/>
  <c r="C1567" i="3"/>
  <c r="H1567" i="3" s="1"/>
  <c r="C1565" i="3"/>
  <c r="H1565" i="3" s="1"/>
  <c r="C1564" i="3"/>
  <c r="H1564" i="3" s="1"/>
  <c r="C1563" i="3"/>
  <c r="H1563" i="3" s="1"/>
  <c r="C1575" i="3"/>
  <c r="H1575" i="3" s="1"/>
  <c r="C1572" i="3"/>
  <c r="H1572" i="3" s="1"/>
  <c r="C1574" i="3"/>
  <c r="H1574" i="3" s="1"/>
  <c r="C1573" i="3"/>
  <c r="H1573" i="3" s="1"/>
  <c r="C1571" i="3"/>
  <c r="C1570" i="3"/>
  <c r="H1570" i="3" s="1"/>
  <c r="C1577" i="3"/>
  <c r="H1577" i="3" s="1"/>
  <c r="C1576" i="3"/>
  <c r="H1576" i="3" s="1"/>
  <c r="C1581" i="3"/>
  <c r="H1581" i="3" s="1"/>
  <c r="C1578" i="3"/>
  <c r="C1583" i="3"/>
  <c r="H1583" i="3" s="1"/>
  <c r="C1582" i="3"/>
  <c r="H1582" i="3" s="1"/>
  <c r="C1580" i="3"/>
  <c r="H1580" i="3" s="1"/>
  <c r="C1579" i="3"/>
  <c r="H1579" i="3" s="1"/>
  <c r="C1591" i="3"/>
  <c r="H1591" i="3" s="1"/>
  <c r="C1593" i="3"/>
  <c r="C1594" i="3"/>
  <c r="H1594" i="3" s="1"/>
  <c r="C1588" i="3"/>
  <c r="H1588" i="3" s="1"/>
  <c r="C1586" i="3"/>
  <c r="C1585" i="3"/>
  <c r="H1585" i="3" s="1"/>
  <c r="C1592" i="3"/>
  <c r="H1592" i="3" s="1"/>
  <c r="C1590" i="3"/>
  <c r="H1590" i="3" s="1"/>
  <c r="C1589" i="3"/>
  <c r="H1589" i="3" s="1"/>
  <c r="C1587" i="3"/>
  <c r="H1587" i="3" s="1"/>
  <c r="C1584" i="3"/>
  <c r="H1584" i="3" s="1"/>
  <c r="C1601" i="3"/>
  <c r="H1601" i="3" s="1"/>
  <c r="C1605" i="3"/>
  <c r="H1605" i="3" s="1"/>
  <c r="C1603" i="3"/>
  <c r="H1603" i="3" s="1"/>
  <c r="C1595" i="3"/>
  <c r="H1595" i="3" s="1"/>
  <c r="C1602" i="3"/>
  <c r="H1602" i="3" s="1"/>
  <c r="C1604" i="3"/>
  <c r="H1604" i="3" s="1"/>
  <c r="C1600" i="3"/>
  <c r="H1600" i="3" s="1"/>
  <c r="C1599" i="3"/>
  <c r="H1599" i="3" s="1"/>
  <c r="C1598" i="3"/>
  <c r="H1598" i="3" s="1"/>
  <c r="C1597" i="3"/>
  <c r="H1597" i="3" s="1"/>
  <c r="C1596" i="3"/>
  <c r="H1596" i="3" s="1"/>
  <c r="C1612" i="3"/>
  <c r="H1612" i="3" s="1"/>
  <c r="C1610" i="3"/>
  <c r="H1610" i="3" s="1"/>
  <c r="C1609" i="3"/>
  <c r="H1609" i="3" s="1"/>
  <c r="C1606" i="3"/>
  <c r="H1606" i="3" s="1"/>
  <c r="C1613" i="3"/>
  <c r="H1613" i="3" s="1"/>
  <c r="C1617" i="3"/>
  <c r="H1617" i="3" s="1"/>
  <c r="C1615" i="3"/>
  <c r="H1615" i="3" s="1"/>
  <c r="C1614" i="3"/>
  <c r="H1614" i="3" s="1"/>
  <c r="C1611" i="3"/>
  <c r="C1608" i="3"/>
  <c r="H1608" i="3" s="1"/>
  <c r="C1616" i="3"/>
  <c r="H1616" i="3" s="1"/>
  <c r="C1607" i="3"/>
  <c r="C1629" i="3"/>
  <c r="H1629" i="3" s="1"/>
  <c r="C1626" i="3"/>
  <c r="H1626" i="3" s="1"/>
  <c r="C1623" i="3"/>
  <c r="H1623" i="3" s="1"/>
  <c r="C1622" i="3"/>
  <c r="H1622" i="3" s="1"/>
  <c r="C1618" i="3"/>
  <c r="H1618" i="3" s="1"/>
  <c r="C1627" i="3"/>
  <c r="H1627" i="3" s="1"/>
  <c r="C1630" i="3"/>
  <c r="H1630" i="3" s="1"/>
  <c r="C1631" i="3"/>
  <c r="C1628" i="3"/>
  <c r="H1628" i="3" s="1"/>
  <c r="C1624" i="3"/>
  <c r="C1621" i="3"/>
  <c r="C1620" i="3"/>
  <c r="H1620" i="3" s="1"/>
  <c r="C1625" i="3"/>
  <c r="H1625" i="3" s="1"/>
  <c r="C1638" i="3"/>
  <c r="H1638" i="3" s="1"/>
  <c r="C1636" i="3"/>
  <c r="H1636" i="3" s="1"/>
  <c r="C1635" i="3"/>
  <c r="H1635" i="3" s="1"/>
  <c r="C1633" i="3"/>
  <c r="H1633" i="3" s="1"/>
  <c r="C1632" i="3"/>
  <c r="H1632" i="3" s="1"/>
  <c r="C1634" i="3"/>
  <c r="H1634" i="3" s="1"/>
  <c r="C1641" i="3"/>
  <c r="C1639" i="3"/>
  <c r="H1639" i="3" s="1"/>
  <c r="C1637" i="3"/>
  <c r="H1637" i="3" s="1"/>
  <c r="C1640" i="3"/>
  <c r="H1640" i="3" s="1"/>
  <c r="C1647" i="3"/>
  <c r="H1647" i="3" s="1"/>
  <c r="C1643" i="3"/>
  <c r="H1643" i="3" s="1"/>
  <c r="C1649" i="3"/>
  <c r="H1649" i="3" s="1"/>
  <c r="C1642" i="3"/>
  <c r="H1642" i="3" s="1"/>
  <c r="C1648" i="3"/>
  <c r="H1648" i="3" s="1"/>
  <c r="C1651" i="3"/>
  <c r="H1651" i="3" s="1"/>
  <c r="C1650" i="3"/>
  <c r="H1650" i="3" s="1"/>
  <c r="C1644" i="3"/>
  <c r="H1644" i="3" s="1"/>
  <c r="C1646" i="3"/>
  <c r="C1652" i="3"/>
  <c r="H1652" i="3" s="1"/>
  <c r="C1645" i="3"/>
  <c r="H1645" i="3" s="1"/>
  <c r="C1656" i="3"/>
  <c r="H1656" i="3" s="1"/>
  <c r="C1658" i="3"/>
  <c r="H1658" i="3" s="1"/>
  <c r="C1653" i="3"/>
  <c r="H1653" i="3" s="1"/>
  <c r="C1659" i="3"/>
  <c r="H1659" i="3" s="1"/>
  <c r="C1655" i="3"/>
  <c r="H1655" i="3" s="1"/>
  <c r="C1654" i="3"/>
  <c r="H1654" i="3" s="1"/>
  <c r="C1657" i="3"/>
  <c r="H1657" i="3" s="1"/>
  <c r="C1666" i="3"/>
  <c r="H1666" i="3" s="1"/>
  <c r="C1660" i="3"/>
  <c r="H1660" i="3" s="1"/>
  <c r="C1665" i="3"/>
  <c r="H1665" i="3" s="1"/>
  <c r="C1664" i="3"/>
  <c r="H1664" i="3" s="1"/>
  <c r="C1663" i="3"/>
  <c r="H1663" i="3" s="1"/>
  <c r="C1662" i="3"/>
  <c r="H1662" i="3" s="1"/>
  <c r="C1661" i="3"/>
  <c r="H1661" i="3" s="1"/>
  <c r="C1673" i="3"/>
  <c r="H1673" i="3" s="1"/>
  <c r="C1675" i="3"/>
  <c r="H1675" i="3" s="1"/>
  <c r="C1667" i="3"/>
  <c r="H1667" i="3" s="1"/>
  <c r="C1668" i="3"/>
  <c r="H1668" i="3" s="1"/>
  <c r="C1671" i="3"/>
  <c r="H1671" i="3" s="1"/>
  <c r="C1676" i="3"/>
  <c r="H1676" i="3" s="1"/>
  <c r="C1674" i="3"/>
  <c r="H1674" i="3" s="1"/>
  <c r="C1670" i="3"/>
  <c r="H1670" i="3" s="1"/>
  <c r="C1669" i="3"/>
  <c r="H1669" i="3" s="1"/>
  <c r="C1679" i="3"/>
  <c r="H1679" i="3" s="1"/>
  <c r="C1678" i="3"/>
  <c r="H1678" i="3" s="1"/>
  <c r="C1680" i="3"/>
  <c r="H1680" i="3" s="1"/>
  <c r="C1683" i="3"/>
  <c r="H1683" i="3" s="1"/>
  <c r="C1686" i="3"/>
  <c r="H1686" i="3" s="1"/>
  <c r="C1682" i="3"/>
  <c r="H1682" i="3" s="1"/>
  <c r="C1685" i="3"/>
  <c r="H1685" i="3" s="1"/>
  <c r="C1677" i="3"/>
  <c r="H1677" i="3" s="1"/>
  <c r="C1681" i="3"/>
  <c r="H1681" i="3" s="1"/>
  <c r="C1684" i="3"/>
  <c r="H1684" i="3" s="1"/>
  <c r="C1688" i="3"/>
  <c r="C1687" i="3"/>
  <c r="H1687" i="3" s="1"/>
  <c r="C1699" i="3"/>
  <c r="H1699" i="3" s="1"/>
  <c r="C1689" i="3"/>
  <c r="H1689" i="3" s="1"/>
  <c r="C1691" i="3"/>
  <c r="H1691" i="3" s="1"/>
  <c r="C1690" i="3"/>
  <c r="H1690" i="3" s="1"/>
  <c r="C1698" i="3"/>
  <c r="H1698" i="3" s="1"/>
  <c r="C1694" i="3"/>
  <c r="H1694" i="3" s="1"/>
  <c r="C1693" i="3"/>
  <c r="C1692" i="3"/>
  <c r="H1692" i="3" s="1"/>
  <c r="C1696" i="3"/>
  <c r="H1696" i="3" s="1"/>
  <c r="C1695" i="3"/>
  <c r="C1697" i="3"/>
  <c r="H1697" i="3" s="1"/>
  <c r="C1702" i="3"/>
  <c r="H1702" i="3" s="1"/>
  <c r="C1705" i="3"/>
  <c r="H1705" i="3" s="1"/>
  <c r="C1706" i="3"/>
  <c r="H1706" i="3" s="1"/>
  <c r="C1704" i="3"/>
  <c r="C1709" i="3"/>
  <c r="H1709" i="3" s="1"/>
  <c r="C1708" i="3"/>
  <c r="H1708" i="3" s="1"/>
  <c r="C1707" i="3"/>
  <c r="C1703" i="3"/>
  <c r="H1703" i="3" s="1"/>
  <c r="C1701" i="3"/>
  <c r="H1701" i="3" s="1"/>
  <c r="C1700" i="3"/>
  <c r="H1700" i="3" s="1"/>
  <c r="C1718" i="3"/>
  <c r="H1718" i="3" s="1"/>
  <c r="C1714" i="3"/>
  <c r="H1714" i="3" s="1"/>
  <c r="C1712" i="3"/>
  <c r="H1712" i="3" s="1"/>
  <c r="C1711" i="3"/>
  <c r="H1711" i="3" s="1"/>
  <c r="C1710" i="3"/>
  <c r="H1710" i="3" s="1"/>
  <c r="C1720" i="3"/>
  <c r="H1720" i="3" s="1"/>
  <c r="C1719" i="3"/>
  <c r="H1719" i="3" s="1"/>
  <c r="C1717" i="3"/>
  <c r="H1717" i="3" s="1"/>
  <c r="C1716" i="3"/>
  <c r="H1716" i="3" s="1"/>
  <c r="C1715" i="3"/>
  <c r="H1715" i="3" s="1"/>
  <c r="C1713" i="3"/>
  <c r="H1713" i="3" s="1"/>
  <c r="C1726" i="3"/>
  <c r="H1726" i="3" s="1"/>
  <c r="C1723" i="3"/>
  <c r="H1723" i="3" s="1"/>
  <c r="C1727" i="3"/>
  <c r="H1727" i="3" s="1"/>
  <c r="C1725" i="3"/>
  <c r="H1725" i="3" s="1"/>
  <c r="C1724" i="3"/>
  <c r="H1724" i="3" s="1"/>
  <c r="C1722" i="3"/>
  <c r="H1722" i="3" s="1"/>
  <c r="C1721" i="3"/>
  <c r="H1721" i="3" s="1"/>
  <c r="C1733" i="3"/>
  <c r="H1733" i="3" s="1"/>
  <c r="C1735" i="3"/>
  <c r="H1735" i="3" s="1"/>
  <c r="C1730" i="3"/>
  <c r="H1730" i="3" s="1"/>
  <c r="C1734" i="3"/>
  <c r="H1734" i="3" s="1"/>
  <c r="C1731" i="3"/>
  <c r="H1731" i="3" s="1"/>
  <c r="C1729" i="3"/>
  <c r="H1729" i="3" s="1"/>
  <c r="C1728" i="3"/>
  <c r="H1728" i="3" s="1"/>
  <c r="C1732" i="3"/>
  <c r="H1732" i="3" s="1"/>
  <c r="C1744" i="3"/>
  <c r="H1744" i="3" s="1"/>
  <c r="C1738" i="3"/>
  <c r="H1738" i="3" s="1"/>
  <c r="C1745" i="3"/>
  <c r="H1745" i="3" s="1"/>
  <c r="C1743" i="3"/>
  <c r="H1743" i="3" s="1"/>
  <c r="C1741" i="3"/>
  <c r="H1741" i="3" s="1"/>
  <c r="C1739" i="3"/>
  <c r="H1739" i="3" s="1"/>
  <c r="C1737" i="3"/>
  <c r="H1737" i="3" s="1"/>
  <c r="C1736" i="3"/>
  <c r="H1736" i="3" s="1"/>
  <c r="C1742" i="3"/>
  <c r="H1742" i="3" s="1"/>
  <c r="C1740" i="3"/>
  <c r="H1740" i="3" s="1"/>
  <c r="I2" i="3"/>
  <c r="I3" i="3"/>
  <c r="F263" i="1" s="1"/>
  <c r="I7" i="3"/>
  <c r="I6" i="3"/>
  <c r="F181" i="1" s="1"/>
  <c r="I5" i="3"/>
  <c r="F226" i="1" s="1"/>
  <c r="I4" i="3"/>
  <c r="I13" i="3"/>
  <c r="F186" i="1" s="1"/>
  <c r="I12" i="3"/>
  <c r="I11" i="3"/>
  <c r="F216" i="1" s="1"/>
  <c r="I10" i="3"/>
  <c r="I9" i="3"/>
  <c r="I8" i="3"/>
  <c r="F227" i="1" s="1"/>
  <c r="I21" i="3"/>
  <c r="I19" i="3"/>
  <c r="I20" i="3"/>
  <c r="F202" i="1" s="1"/>
  <c r="I18" i="3"/>
  <c r="F185" i="1" s="1"/>
  <c r="I17" i="3"/>
  <c r="I16" i="3"/>
  <c r="I15" i="3"/>
  <c r="I14" i="3"/>
  <c r="F239" i="1" s="1"/>
  <c r="I27" i="3"/>
  <c r="I26" i="3"/>
  <c r="F171" i="1" s="1"/>
  <c r="I25" i="3"/>
  <c r="I24" i="3"/>
  <c r="I23" i="3"/>
  <c r="F170" i="1" s="1"/>
  <c r="I22" i="3"/>
  <c r="I35" i="3"/>
  <c r="I34" i="3"/>
  <c r="I33" i="3"/>
  <c r="I32" i="3"/>
  <c r="F217" i="1" s="1"/>
  <c r="I31" i="3"/>
  <c r="F209" i="1" s="1"/>
  <c r="I30" i="3"/>
  <c r="F247" i="1" s="1"/>
  <c r="I29" i="3"/>
  <c r="I28" i="3"/>
  <c r="I44" i="3"/>
  <c r="F207" i="1" s="1"/>
  <c r="I43" i="3"/>
  <c r="F237" i="1" s="1"/>
  <c r="I42" i="3"/>
  <c r="I41" i="3"/>
  <c r="I40" i="3"/>
  <c r="F242" i="1" s="1"/>
  <c r="I39" i="3"/>
  <c r="I38" i="3"/>
  <c r="F238" i="1" s="1"/>
  <c r="I37" i="3"/>
  <c r="F220" i="1" s="1"/>
  <c r="I36" i="3"/>
  <c r="F200" i="1" s="1"/>
  <c r="I51" i="3"/>
  <c r="F194" i="1" s="1"/>
  <c r="I50" i="3"/>
  <c r="I49" i="3"/>
  <c r="F250" i="1" s="1"/>
  <c r="I48" i="3"/>
  <c r="F258" i="1" s="1"/>
  <c r="I47" i="3"/>
  <c r="I46" i="3"/>
  <c r="I45" i="3"/>
  <c r="F230" i="1" s="1"/>
  <c r="I57" i="3"/>
  <c r="I56" i="3"/>
  <c r="F223" i="1" s="1"/>
  <c r="I55" i="3"/>
  <c r="I54" i="3"/>
  <c r="I53" i="3"/>
  <c r="I52" i="3"/>
  <c r="F213" i="1" s="1"/>
  <c r="I63" i="3"/>
  <c r="F241" i="1" s="1"/>
  <c r="I62" i="3"/>
  <c r="F208" i="1" s="1"/>
  <c r="I61" i="3"/>
  <c r="F178" i="1" s="1"/>
  <c r="I60" i="3"/>
  <c r="I59" i="3"/>
  <c r="F271" i="1" s="1"/>
  <c r="I58" i="3"/>
  <c r="I69" i="3"/>
  <c r="F245" i="1" s="1"/>
  <c r="I68" i="3"/>
  <c r="I67" i="3"/>
  <c r="I66" i="3"/>
  <c r="I65" i="3"/>
  <c r="F206" i="1" s="1"/>
  <c r="I64" i="3"/>
  <c r="F233" i="1" s="1"/>
  <c r="I73" i="3"/>
  <c r="I74" i="3"/>
  <c r="I72" i="3"/>
  <c r="I71" i="3"/>
  <c r="F246" i="1" s="1"/>
  <c r="I70" i="3"/>
  <c r="I79" i="3"/>
  <c r="F234" i="1" s="1"/>
  <c r="I78" i="3"/>
  <c r="F235" i="1" s="1"/>
  <c r="I77" i="3"/>
  <c r="I76" i="3"/>
  <c r="I75" i="3"/>
  <c r="F205" i="1" s="1"/>
  <c r="I83" i="3"/>
  <c r="I82" i="3"/>
  <c r="I81" i="3"/>
  <c r="I80" i="3"/>
  <c r="I89" i="3"/>
  <c r="I88" i="3"/>
  <c r="I87" i="3"/>
  <c r="F224" i="1" s="1"/>
  <c r="I86" i="3"/>
  <c r="I85" i="3"/>
  <c r="I84" i="3"/>
  <c r="F221" i="1" s="1"/>
  <c r="I94" i="3"/>
  <c r="I93" i="3"/>
  <c r="F176" i="1" s="1"/>
  <c r="I92" i="3"/>
  <c r="I91" i="3"/>
  <c r="I90" i="3"/>
  <c r="F195" i="1" s="1"/>
  <c r="I101" i="3"/>
  <c r="I102" i="3"/>
  <c r="I99" i="3"/>
  <c r="I100" i="3"/>
  <c r="I98" i="3"/>
  <c r="I97" i="3"/>
  <c r="I96" i="3"/>
  <c r="I95" i="3"/>
  <c r="I110" i="3"/>
  <c r="I109" i="3"/>
  <c r="I107" i="3"/>
  <c r="I108" i="3"/>
  <c r="I106" i="3"/>
  <c r="I105" i="3"/>
  <c r="F229" i="1" s="1"/>
  <c r="I104" i="3"/>
  <c r="I103" i="3"/>
  <c r="I119" i="3"/>
  <c r="I118" i="3"/>
  <c r="I117" i="3"/>
  <c r="I116" i="3"/>
  <c r="I115" i="3"/>
  <c r="F236" i="1" s="1"/>
  <c r="I114" i="3"/>
  <c r="F184" i="1" s="1"/>
  <c r="I113" i="3"/>
  <c r="I112" i="3"/>
  <c r="I111" i="3"/>
  <c r="I127" i="3"/>
  <c r="I126" i="3"/>
  <c r="I125" i="3"/>
  <c r="I124" i="3"/>
  <c r="I123" i="3"/>
  <c r="I122" i="3"/>
  <c r="F193" i="1" s="1"/>
  <c r="I121" i="3"/>
  <c r="I120" i="3"/>
  <c r="I135" i="3"/>
  <c r="I134" i="3"/>
  <c r="I133" i="3"/>
  <c r="I132" i="3"/>
  <c r="F231" i="1" s="1"/>
  <c r="I131" i="3"/>
  <c r="I130" i="3"/>
  <c r="I129" i="3"/>
  <c r="F199" i="1" s="1"/>
  <c r="I128" i="3"/>
  <c r="I142" i="3"/>
  <c r="I141" i="3"/>
  <c r="I140" i="3"/>
  <c r="I139" i="3"/>
  <c r="F180" i="1" s="1"/>
  <c r="I138" i="3"/>
  <c r="I137" i="3"/>
  <c r="I136" i="3"/>
  <c r="I148" i="3"/>
  <c r="I147" i="3"/>
  <c r="I146" i="3"/>
  <c r="I145" i="3"/>
  <c r="I144" i="3"/>
  <c r="F212" i="1" s="1"/>
  <c r="I143" i="3"/>
  <c r="I153" i="3"/>
  <c r="I152" i="3"/>
  <c r="I151" i="3"/>
  <c r="I150" i="3"/>
  <c r="I149" i="3"/>
  <c r="I162" i="3"/>
  <c r="I161" i="3"/>
  <c r="I160" i="3"/>
  <c r="I159" i="3"/>
  <c r="I158" i="3"/>
  <c r="I157" i="3"/>
  <c r="I156" i="3"/>
  <c r="I155" i="3"/>
  <c r="I154" i="3"/>
  <c r="I172" i="3"/>
  <c r="I171" i="3"/>
  <c r="I170" i="3"/>
  <c r="I169" i="3"/>
  <c r="I168" i="3"/>
  <c r="I167" i="3"/>
  <c r="I166" i="3"/>
  <c r="I165" i="3"/>
  <c r="I164" i="3"/>
  <c r="I163" i="3"/>
  <c r="I179" i="3"/>
  <c r="I178" i="3"/>
  <c r="I176" i="3"/>
  <c r="I177" i="3"/>
  <c r="I175" i="3"/>
  <c r="I174" i="3"/>
  <c r="I173" i="3"/>
  <c r="I183" i="3"/>
  <c r="I182" i="3"/>
  <c r="I181" i="3"/>
  <c r="I180" i="3"/>
  <c r="I191" i="3"/>
  <c r="I190" i="3"/>
  <c r="I189" i="3"/>
  <c r="I188" i="3"/>
  <c r="I187" i="3"/>
  <c r="I186" i="3"/>
  <c r="I185" i="3"/>
  <c r="I184" i="3"/>
  <c r="I198" i="3"/>
  <c r="I197" i="3"/>
  <c r="F192" i="1" s="1"/>
  <c r="I196" i="3"/>
  <c r="I195" i="3"/>
  <c r="I194" i="3"/>
  <c r="I193" i="3"/>
  <c r="I192" i="3"/>
  <c r="I208" i="3"/>
  <c r="I207" i="3"/>
  <c r="I206" i="3"/>
  <c r="I205" i="3"/>
  <c r="I204" i="3"/>
  <c r="I203" i="3"/>
  <c r="F151" i="1" s="1"/>
  <c r="I202" i="3"/>
  <c r="I201" i="3"/>
  <c r="I200" i="3"/>
  <c r="I199" i="3"/>
  <c r="F55" i="1" s="1"/>
  <c r="I215" i="3"/>
  <c r="I214" i="3"/>
  <c r="F422" i="1" s="1"/>
  <c r="I213" i="3"/>
  <c r="I212" i="3"/>
  <c r="I211" i="3"/>
  <c r="I210" i="3"/>
  <c r="I209" i="3"/>
  <c r="I223" i="3"/>
  <c r="I224" i="3"/>
  <c r="I221" i="3"/>
  <c r="I222" i="3"/>
  <c r="I220" i="3"/>
  <c r="I219" i="3"/>
  <c r="I218" i="3"/>
  <c r="I217" i="3"/>
  <c r="I216" i="3"/>
  <c r="F243" i="1" s="1"/>
  <c r="I237" i="3"/>
  <c r="I236" i="3"/>
  <c r="I235" i="3"/>
  <c r="I234" i="3"/>
  <c r="I233" i="3"/>
  <c r="I232" i="3"/>
  <c r="F210" i="1" s="1"/>
  <c r="I230" i="3"/>
  <c r="I231" i="3"/>
  <c r="I229" i="3"/>
  <c r="I228" i="3"/>
  <c r="I227" i="3"/>
  <c r="I226" i="3"/>
  <c r="I225" i="3"/>
  <c r="I246" i="3"/>
  <c r="I245" i="3"/>
  <c r="I244" i="3"/>
  <c r="F188" i="1" s="1"/>
  <c r="I243" i="3"/>
  <c r="I242" i="3"/>
  <c r="I241" i="3"/>
  <c r="I240" i="3"/>
  <c r="I239" i="3"/>
  <c r="F88" i="1" s="1"/>
  <c r="I238" i="3"/>
  <c r="F89" i="1" s="1"/>
  <c r="I250" i="3"/>
  <c r="I249" i="3"/>
  <c r="I248" i="3"/>
  <c r="I247" i="3"/>
  <c r="I257" i="3"/>
  <c r="I256" i="3"/>
  <c r="I255" i="3"/>
  <c r="I254" i="3"/>
  <c r="I253" i="3"/>
  <c r="I252" i="3"/>
  <c r="I251" i="3"/>
  <c r="I264" i="3"/>
  <c r="I263" i="3"/>
  <c r="I262" i="3"/>
  <c r="F145" i="1" s="1"/>
  <c r="I261" i="3"/>
  <c r="I260" i="3"/>
  <c r="I259" i="3"/>
  <c r="I258" i="3"/>
  <c r="I269" i="3"/>
  <c r="I268" i="3"/>
  <c r="I267" i="3"/>
  <c r="I266" i="3"/>
  <c r="I265" i="3"/>
  <c r="I274" i="3"/>
  <c r="I273" i="3"/>
  <c r="I272" i="3"/>
  <c r="I271" i="3"/>
  <c r="I270" i="3"/>
  <c r="I281" i="3"/>
  <c r="I279" i="3"/>
  <c r="I280" i="3"/>
  <c r="I278" i="3"/>
  <c r="I277" i="3"/>
  <c r="I276" i="3"/>
  <c r="I275" i="3"/>
  <c r="I289" i="3"/>
  <c r="I288" i="3"/>
  <c r="I287" i="3"/>
  <c r="I286" i="3"/>
  <c r="I285" i="3"/>
  <c r="I284" i="3"/>
  <c r="I282" i="3"/>
  <c r="I283" i="3"/>
  <c r="F381" i="1" s="1"/>
  <c r="I294" i="3"/>
  <c r="I293" i="3"/>
  <c r="I292" i="3"/>
  <c r="I291" i="3"/>
  <c r="I290" i="3"/>
  <c r="F253" i="1" s="1"/>
  <c r="I300" i="3"/>
  <c r="I299" i="3"/>
  <c r="I298" i="3"/>
  <c r="F179" i="1" s="1"/>
  <c r="I297" i="3"/>
  <c r="I296" i="3"/>
  <c r="I295" i="3"/>
  <c r="I308" i="3"/>
  <c r="I307" i="3"/>
  <c r="I306" i="3"/>
  <c r="I305" i="3"/>
  <c r="I304" i="3"/>
  <c r="I303" i="3"/>
  <c r="I302" i="3"/>
  <c r="I301" i="3"/>
  <c r="I312" i="3"/>
  <c r="I311" i="3"/>
  <c r="I313" i="3"/>
  <c r="I310" i="3"/>
  <c r="I309" i="3"/>
  <c r="I321" i="3"/>
  <c r="I320" i="3"/>
  <c r="I319" i="3"/>
  <c r="I318" i="3"/>
  <c r="I317" i="3"/>
  <c r="I316" i="3"/>
  <c r="I315" i="3"/>
  <c r="I314" i="3"/>
  <c r="I326" i="3"/>
  <c r="I325" i="3"/>
  <c r="I324" i="3"/>
  <c r="F174" i="1" s="1"/>
  <c r="I323" i="3"/>
  <c r="I322" i="3"/>
  <c r="I329" i="3"/>
  <c r="I328" i="3"/>
  <c r="I327" i="3"/>
  <c r="I330" i="3"/>
  <c r="I338" i="3"/>
  <c r="I337" i="3"/>
  <c r="I336" i="3"/>
  <c r="I335" i="3"/>
  <c r="I334" i="3"/>
  <c r="I333" i="3"/>
  <c r="I332" i="3"/>
  <c r="I331" i="3"/>
  <c r="I346" i="3"/>
  <c r="I345" i="3"/>
  <c r="I344" i="3"/>
  <c r="I343" i="3"/>
  <c r="I342" i="3"/>
  <c r="F414" i="1" s="1"/>
  <c r="I341" i="3"/>
  <c r="I340" i="3"/>
  <c r="I339" i="3"/>
  <c r="F275" i="1" s="1"/>
  <c r="I357" i="3"/>
  <c r="I356" i="3"/>
  <c r="I355" i="3"/>
  <c r="I354" i="3"/>
  <c r="I353" i="3"/>
  <c r="I352" i="3"/>
  <c r="I351" i="3"/>
  <c r="I350" i="3"/>
  <c r="I349" i="3"/>
  <c r="I348" i="3"/>
  <c r="F228" i="1" s="1"/>
  <c r="I347" i="3"/>
  <c r="F305" i="1" s="1"/>
  <c r="I362" i="3"/>
  <c r="I361" i="3"/>
  <c r="I360" i="3"/>
  <c r="I359" i="3"/>
  <c r="I358" i="3"/>
  <c r="I370" i="3"/>
  <c r="I369" i="3"/>
  <c r="I368" i="3"/>
  <c r="I367" i="3"/>
  <c r="I366" i="3"/>
  <c r="I365" i="3"/>
  <c r="I363" i="3"/>
  <c r="I364" i="3"/>
  <c r="I376" i="3"/>
  <c r="I375" i="3"/>
  <c r="I374" i="3"/>
  <c r="I373" i="3"/>
  <c r="I372" i="3"/>
  <c r="I371" i="3"/>
  <c r="I385" i="3"/>
  <c r="I384" i="3"/>
  <c r="I383" i="3"/>
  <c r="I382" i="3"/>
  <c r="I381" i="3"/>
  <c r="I380" i="3"/>
  <c r="I379" i="3"/>
  <c r="I378" i="3"/>
  <c r="I377" i="3"/>
  <c r="I389" i="3"/>
  <c r="I388" i="3"/>
  <c r="I387" i="3"/>
  <c r="I386" i="3"/>
  <c r="I394" i="3"/>
  <c r="I393" i="3"/>
  <c r="F391" i="1" s="1"/>
  <c r="I392" i="3"/>
  <c r="I391" i="3"/>
  <c r="I390" i="3"/>
  <c r="I401" i="3"/>
  <c r="I400" i="3"/>
  <c r="I399" i="3"/>
  <c r="I398" i="3"/>
  <c r="I397" i="3"/>
  <c r="I396" i="3"/>
  <c r="I395" i="3"/>
  <c r="I407" i="3"/>
  <c r="I406" i="3"/>
  <c r="I405" i="3"/>
  <c r="I404" i="3"/>
  <c r="I403" i="3"/>
  <c r="F325" i="1" s="1"/>
  <c r="I402" i="3"/>
  <c r="I413" i="3"/>
  <c r="I412" i="3"/>
  <c r="I411" i="3"/>
  <c r="F175" i="1" s="1"/>
  <c r="I410" i="3"/>
  <c r="I409" i="3"/>
  <c r="I408" i="3"/>
  <c r="I418" i="3"/>
  <c r="I417" i="3"/>
  <c r="F182" i="1" s="1"/>
  <c r="I416" i="3"/>
  <c r="I415" i="3"/>
  <c r="I414" i="3"/>
  <c r="I424" i="3"/>
  <c r="I423" i="3"/>
  <c r="I422" i="3"/>
  <c r="I421" i="3"/>
  <c r="I420" i="3"/>
  <c r="I419" i="3"/>
  <c r="I432" i="3"/>
  <c r="I431" i="3"/>
  <c r="I430" i="3"/>
  <c r="I429" i="3"/>
  <c r="I428" i="3"/>
  <c r="I427" i="3"/>
  <c r="I426" i="3"/>
  <c r="I425" i="3"/>
  <c r="F262" i="1" s="1"/>
  <c r="I437" i="3"/>
  <c r="I436" i="3"/>
  <c r="I435" i="3"/>
  <c r="I434" i="3"/>
  <c r="I433" i="3"/>
  <c r="F327" i="1" s="1"/>
  <c r="I442" i="3"/>
  <c r="I441" i="3"/>
  <c r="I440" i="3"/>
  <c r="I439" i="3"/>
  <c r="I438" i="3"/>
  <c r="I449" i="3"/>
  <c r="I448" i="3"/>
  <c r="I447" i="3"/>
  <c r="I446" i="3"/>
  <c r="I445" i="3"/>
  <c r="I444" i="3"/>
  <c r="I443" i="3"/>
  <c r="I455" i="3"/>
  <c r="I454" i="3"/>
  <c r="I453" i="3"/>
  <c r="I452" i="3"/>
  <c r="I451" i="3"/>
  <c r="I450" i="3"/>
  <c r="I460" i="3"/>
  <c r="I459" i="3"/>
  <c r="I458" i="3"/>
  <c r="I457" i="3"/>
  <c r="I456" i="3"/>
  <c r="I467" i="3"/>
  <c r="I466" i="3"/>
  <c r="I465" i="3"/>
  <c r="I464" i="3"/>
  <c r="I463" i="3"/>
  <c r="I462" i="3"/>
  <c r="I461" i="3"/>
  <c r="I474" i="3"/>
  <c r="I473" i="3"/>
  <c r="I472" i="3"/>
  <c r="I471" i="3"/>
  <c r="I470" i="3"/>
  <c r="I469" i="3"/>
  <c r="I468" i="3"/>
  <c r="I482" i="3"/>
  <c r="I481" i="3"/>
  <c r="I480" i="3"/>
  <c r="I479" i="3"/>
  <c r="I478" i="3"/>
  <c r="I477" i="3"/>
  <c r="I476" i="3"/>
  <c r="I475" i="3"/>
  <c r="F290" i="1" s="1"/>
  <c r="I488" i="3"/>
  <c r="I487" i="3"/>
  <c r="I486" i="3"/>
  <c r="I485" i="3"/>
  <c r="I484" i="3"/>
  <c r="I483" i="3"/>
  <c r="I496" i="3"/>
  <c r="I495" i="3"/>
  <c r="I494" i="3"/>
  <c r="I493" i="3"/>
  <c r="F222" i="1" s="1"/>
  <c r="I492" i="3"/>
  <c r="I491" i="3"/>
  <c r="I490" i="3"/>
  <c r="I489" i="3"/>
  <c r="I501" i="3"/>
  <c r="I500" i="3"/>
  <c r="I499" i="3"/>
  <c r="I498" i="3"/>
  <c r="I497" i="3"/>
  <c r="I506" i="3"/>
  <c r="I505" i="3"/>
  <c r="I504" i="3"/>
  <c r="I503" i="3"/>
  <c r="I502" i="3"/>
  <c r="I515" i="3"/>
  <c r="I514" i="3"/>
  <c r="I513" i="3"/>
  <c r="I512" i="3"/>
  <c r="F190" i="1" s="1"/>
  <c r="I511" i="3"/>
  <c r="F187" i="1" s="1"/>
  <c r="I510" i="3"/>
  <c r="F131" i="1" s="1"/>
  <c r="I509" i="3"/>
  <c r="I508" i="3"/>
  <c r="I507" i="3"/>
  <c r="I525" i="3"/>
  <c r="I524" i="3"/>
  <c r="I523" i="3"/>
  <c r="I522" i="3"/>
  <c r="I521" i="3"/>
  <c r="I520" i="3"/>
  <c r="F183" i="1" s="1"/>
  <c r="I519" i="3"/>
  <c r="I518" i="3"/>
  <c r="I517" i="3"/>
  <c r="I516" i="3"/>
  <c r="I535" i="3"/>
  <c r="I534" i="3"/>
  <c r="I533" i="3"/>
  <c r="I532" i="3"/>
  <c r="I531" i="3"/>
  <c r="I530" i="3"/>
  <c r="I529" i="3"/>
  <c r="I528" i="3"/>
  <c r="I527" i="3"/>
  <c r="I526" i="3"/>
  <c r="I543" i="3"/>
  <c r="I542" i="3"/>
  <c r="I541" i="3"/>
  <c r="I540" i="3"/>
  <c r="I539" i="3"/>
  <c r="I538" i="3"/>
  <c r="I537" i="3"/>
  <c r="I536" i="3"/>
  <c r="I551" i="3"/>
  <c r="I550" i="3"/>
  <c r="I549" i="3"/>
  <c r="I548" i="3"/>
  <c r="I547" i="3"/>
  <c r="I546" i="3"/>
  <c r="I545" i="3"/>
  <c r="I544" i="3"/>
  <c r="I557" i="3"/>
  <c r="I556" i="3"/>
  <c r="I555" i="3"/>
  <c r="I554" i="3"/>
  <c r="F128" i="1" s="1"/>
  <c r="I553" i="3"/>
  <c r="I552" i="3"/>
  <c r="F411" i="1" s="1"/>
  <c r="I565" i="3"/>
  <c r="I564" i="3"/>
  <c r="I563" i="3"/>
  <c r="I562" i="3"/>
  <c r="I561" i="3"/>
  <c r="I560" i="3"/>
  <c r="F168" i="1" s="1"/>
  <c r="I559" i="3"/>
  <c r="I558" i="3"/>
  <c r="I572" i="3"/>
  <c r="I571" i="3"/>
  <c r="I570" i="3"/>
  <c r="I569" i="3"/>
  <c r="F172" i="1" s="1"/>
  <c r="I568" i="3"/>
  <c r="I567" i="3"/>
  <c r="I566" i="3"/>
  <c r="I578" i="3"/>
  <c r="I577" i="3"/>
  <c r="I576" i="3"/>
  <c r="I575" i="3"/>
  <c r="I574" i="3"/>
  <c r="I573" i="3"/>
  <c r="I586" i="3"/>
  <c r="I585" i="3"/>
  <c r="I584" i="3"/>
  <c r="I583" i="3"/>
  <c r="I582" i="3"/>
  <c r="I581" i="3"/>
  <c r="I580" i="3"/>
  <c r="I579" i="3"/>
  <c r="F299" i="1" s="1"/>
  <c r="I589" i="3"/>
  <c r="I588" i="3"/>
  <c r="I587" i="3"/>
  <c r="F310" i="1" s="1"/>
  <c r="I595" i="3"/>
  <c r="I594" i="3"/>
  <c r="I593" i="3"/>
  <c r="I592" i="3"/>
  <c r="I591" i="3"/>
  <c r="I590" i="3"/>
  <c r="F312" i="1" s="1"/>
  <c r="I601" i="3"/>
  <c r="I600" i="3"/>
  <c r="I599" i="3"/>
  <c r="I598" i="3"/>
  <c r="I597" i="3"/>
  <c r="I596" i="3"/>
  <c r="F283" i="1" s="1"/>
  <c r="I609" i="3"/>
  <c r="I608" i="3"/>
  <c r="I607" i="3"/>
  <c r="I606" i="3"/>
  <c r="I605" i="3"/>
  <c r="I604" i="3"/>
  <c r="I603" i="3"/>
  <c r="I602" i="3"/>
  <c r="F393" i="1" s="1"/>
  <c r="I615" i="3"/>
  <c r="I614" i="3"/>
  <c r="I613" i="3"/>
  <c r="F191" i="1" s="1"/>
  <c r="I612" i="3"/>
  <c r="I611" i="3"/>
  <c r="I610" i="3"/>
  <c r="F401" i="1" s="1"/>
  <c r="I620" i="3"/>
  <c r="I619" i="3"/>
  <c r="I618" i="3"/>
  <c r="I617" i="3"/>
  <c r="I616" i="3"/>
  <c r="I626" i="3"/>
  <c r="I625" i="3"/>
  <c r="I624" i="3"/>
  <c r="I623" i="3"/>
  <c r="I622" i="3"/>
  <c r="I621" i="3"/>
  <c r="I632" i="3"/>
  <c r="I631" i="3"/>
  <c r="I630" i="3"/>
  <c r="I629" i="3"/>
  <c r="I627" i="3"/>
  <c r="I628" i="3"/>
  <c r="F294" i="1" s="1"/>
  <c r="I640" i="3"/>
  <c r="I639" i="3"/>
  <c r="I638" i="3"/>
  <c r="I637" i="3"/>
  <c r="I636" i="3"/>
  <c r="I635" i="3"/>
  <c r="I634" i="3"/>
  <c r="I633" i="3"/>
  <c r="F317" i="1" s="1"/>
  <c r="I649" i="3"/>
  <c r="I648" i="3"/>
  <c r="I647" i="3"/>
  <c r="I646" i="3"/>
  <c r="I645" i="3"/>
  <c r="I644" i="3"/>
  <c r="I643" i="3"/>
  <c r="I642" i="3"/>
  <c r="I641" i="3"/>
  <c r="F413" i="1" s="1"/>
  <c r="I656" i="3"/>
  <c r="I655" i="3"/>
  <c r="I654" i="3"/>
  <c r="I653" i="3"/>
  <c r="I652" i="3"/>
  <c r="I651" i="3"/>
  <c r="I650" i="3"/>
  <c r="F315" i="1" s="1"/>
  <c r="I664" i="3"/>
  <c r="I663" i="3"/>
  <c r="I662" i="3"/>
  <c r="I661" i="3"/>
  <c r="I660" i="3"/>
  <c r="I659" i="3"/>
  <c r="I658" i="3"/>
  <c r="I657" i="3"/>
  <c r="I669" i="3"/>
  <c r="I668" i="3"/>
  <c r="I667" i="3"/>
  <c r="I666" i="3"/>
  <c r="I665" i="3"/>
  <c r="I676" i="3"/>
  <c r="I675" i="3"/>
  <c r="I674" i="3"/>
  <c r="I673" i="3"/>
  <c r="I672" i="3"/>
  <c r="I671" i="3"/>
  <c r="I670" i="3"/>
  <c r="I683" i="3"/>
  <c r="I682" i="3"/>
  <c r="I681" i="3"/>
  <c r="I680" i="3"/>
  <c r="I679" i="3"/>
  <c r="I678" i="3"/>
  <c r="I677" i="3"/>
  <c r="I691" i="3"/>
  <c r="I690" i="3"/>
  <c r="I689" i="3"/>
  <c r="I688" i="3"/>
  <c r="I687" i="3"/>
  <c r="I686" i="3"/>
  <c r="I685" i="3"/>
  <c r="I684" i="3"/>
  <c r="I697" i="3"/>
  <c r="I696" i="3"/>
  <c r="I695" i="3"/>
  <c r="I694" i="3"/>
  <c r="I693" i="3"/>
  <c r="I692" i="3"/>
  <c r="I705" i="3"/>
  <c r="I704" i="3"/>
  <c r="I703" i="3"/>
  <c r="I702" i="3"/>
  <c r="I701" i="3"/>
  <c r="I700" i="3"/>
  <c r="I699" i="3"/>
  <c r="I698" i="3"/>
  <c r="I714" i="3"/>
  <c r="I713" i="3"/>
  <c r="I712" i="3"/>
  <c r="I711" i="3"/>
  <c r="I710" i="3"/>
  <c r="I709" i="3"/>
  <c r="I708" i="3"/>
  <c r="I707" i="3"/>
  <c r="I706" i="3"/>
  <c r="I725" i="3"/>
  <c r="I724" i="3"/>
  <c r="I723" i="3"/>
  <c r="I722" i="3"/>
  <c r="I721" i="3"/>
  <c r="I720" i="3"/>
  <c r="I719" i="3"/>
  <c r="I718" i="3"/>
  <c r="I717" i="3"/>
  <c r="I716" i="3"/>
  <c r="I715" i="3"/>
  <c r="I735" i="3"/>
  <c r="I734" i="3"/>
  <c r="I733" i="3"/>
  <c r="I732" i="3"/>
  <c r="I731" i="3"/>
  <c r="I730" i="3"/>
  <c r="I729" i="3"/>
  <c r="I728" i="3"/>
  <c r="I727" i="3"/>
  <c r="I726" i="3"/>
  <c r="I743" i="3"/>
  <c r="I742" i="3"/>
  <c r="I741" i="3"/>
  <c r="I740" i="3"/>
  <c r="I739" i="3"/>
  <c r="I738" i="3"/>
  <c r="I737" i="3"/>
  <c r="I736" i="3"/>
  <c r="I751" i="3"/>
  <c r="I750" i="3"/>
  <c r="I749" i="3"/>
  <c r="I748" i="3"/>
  <c r="I745" i="3"/>
  <c r="I747" i="3"/>
  <c r="I746" i="3"/>
  <c r="I744" i="3"/>
  <c r="I758" i="3"/>
  <c r="I763" i="3"/>
  <c r="I762" i="3"/>
  <c r="I761" i="3"/>
  <c r="I760" i="3"/>
  <c r="I759" i="3"/>
  <c r="I757" i="3"/>
  <c r="I756" i="3"/>
  <c r="I755" i="3"/>
  <c r="I754" i="3"/>
  <c r="I753" i="3"/>
  <c r="I752" i="3"/>
  <c r="I775" i="3"/>
  <c r="I774" i="3"/>
  <c r="I771" i="3"/>
  <c r="I773" i="3"/>
  <c r="I772" i="3"/>
  <c r="I770" i="3"/>
  <c r="I769" i="3"/>
  <c r="I768" i="3"/>
  <c r="I767" i="3"/>
  <c r="I766" i="3"/>
  <c r="I765" i="3"/>
  <c r="I764" i="3"/>
  <c r="I785" i="3"/>
  <c r="I783" i="3"/>
  <c r="I784" i="3"/>
  <c r="I782" i="3"/>
  <c r="I781" i="3"/>
  <c r="I780" i="3"/>
  <c r="I779" i="3"/>
  <c r="I778" i="3"/>
  <c r="I777" i="3"/>
  <c r="I776" i="3"/>
  <c r="I788" i="3"/>
  <c r="I787" i="3"/>
  <c r="I786" i="3"/>
  <c r="I795" i="3"/>
  <c r="I794" i="3"/>
  <c r="I792" i="3"/>
  <c r="I793" i="3"/>
  <c r="I791" i="3"/>
  <c r="I790" i="3"/>
  <c r="I789" i="3"/>
  <c r="I801" i="3"/>
  <c r="I800" i="3"/>
  <c r="I799" i="3"/>
  <c r="I798" i="3"/>
  <c r="I797" i="3"/>
  <c r="I796" i="3"/>
  <c r="I811" i="3"/>
  <c r="I810" i="3"/>
  <c r="I809" i="3"/>
  <c r="I807" i="3"/>
  <c r="I808" i="3"/>
  <c r="I806" i="3"/>
  <c r="I805" i="3"/>
  <c r="I804" i="3"/>
  <c r="I803" i="3"/>
  <c r="I802" i="3"/>
  <c r="I820" i="3"/>
  <c r="I819" i="3"/>
  <c r="I818" i="3"/>
  <c r="I817" i="3"/>
  <c r="I816" i="3"/>
  <c r="I815" i="3"/>
  <c r="I814" i="3"/>
  <c r="I813" i="3"/>
  <c r="I812" i="3"/>
  <c r="I828" i="3"/>
  <c r="I827" i="3"/>
  <c r="I826" i="3"/>
  <c r="I825" i="3"/>
  <c r="I824" i="3"/>
  <c r="I823" i="3"/>
  <c r="I822" i="3"/>
  <c r="I821" i="3"/>
  <c r="I831" i="3"/>
  <c r="I830" i="3"/>
  <c r="I829" i="3"/>
  <c r="I839" i="3"/>
  <c r="I838" i="3"/>
  <c r="I837" i="3"/>
  <c r="I836" i="3"/>
  <c r="I835" i="3"/>
  <c r="I834" i="3"/>
  <c r="I833" i="3"/>
  <c r="I832" i="3"/>
  <c r="I846" i="3"/>
  <c r="I845" i="3"/>
  <c r="I844" i="3"/>
  <c r="I843" i="3"/>
  <c r="I842" i="3"/>
  <c r="I841" i="3"/>
  <c r="I840" i="3"/>
  <c r="I853" i="3"/>
  <c r="I852" i="3"/>
  <c r="I851" i="3"/>
  <c r="I850" i="3"/>
  <c r="I849" i="3"/>
  <c r="I848" i="3"/>
  <c r="I847" i="3"/>
  <c r="I863" i="3"/>
  <c r="I860" i="3"/>
  <c r="I862" i="3"/>
  <c r="I861" i="3"/>
  <c r="I859" i="3"/>
  <c r="I858" i="3"/>
  <c r="I857" i="3"/>
  <c r="I856" i="3"/>
  <c r="I855" i="3"/>
  <c r="I854" i="3"/>
  <c r="I872" i="3"/>
  <c r="I871" i="3"/>
  <c r="I870" i="3"/>
  <c r="I869" i="3"/>
  <c r="I868" i="3"/>
  <c r="I867" i="3"/>
  <c r="I866" i="3"/>
  <c r="I865" i="3"/>
  <c r="I864" i="3"/>
  <c r="I880" i="3"/>
  <c r="I879" i="3"/>
  <c r="I878" i="3"/>
  <c r="I877" i="3"/>
  <c r="I876" i="3"/>
  <c r="I875" i="3"/>
  <c r="I874" i="3"/>
  <c r="I873" i="3"/>
  <c r="I890" i="3"/>
  <c r="I888" i="3"/>
  <c r="I889" i="3"/>
  <c r="I887" i="3"/>
  <c r="I886" i="3"/>
  <c r="I885" i="3"/>
  <c r="I884" i="3"/>
  <c r="I883" i="3"/>
  <c r="I882" i="3"/>
  <c r="I881" i="3"/>
  <c r="I898" i="3"/>
  <c r="I896" i="3"/>
  <c r="I897" i="3"/>
  <c r="I895" i="3"/>
  <c r="I894" i="3"/>
  <c r="I893" i="3"/>
  <c r="I892" i="3"/>
  <c r="I891" i="3"/>
  <c r="I911" i="3"/>
  <c r="I910" i="3"/>
  <c r="I909" i="3"/>
  <c r="I908" i="3"/>
  <c r="I907" i="3"/>
  <c r="I905" i="3"/>
  <c r="I904" i="3"/>
  <c r="I906" i="3"/>
  <c r="I903" i="3"/>
  <c r="I902" i="3"/>
  <c r="I901" i="3"/>
  <c r="I900" i="3"/>
  <c r="I899" i="3"/>
  <c r="I919" i="3"/>
  <c r="I920" i="3"/>
  <c r="I918" i="3"/>
  <c r="I917" i="3"/>
  <c r="I916" i="3"/>
  <c r="I915" i="3"/>
  <c r="I914" i="3"/>
  <c r="I913" i="3"/>
  <c r="I912" i="3"/>
  <c r="I930" i="3"/>
  <c r="I929" i="3"/>
  <c r="I928" i="3"/>
  <c r="I927" i="3"/>
  <c r="I926" i="3"/>
  <c r="I925" i="3"/>
  <c r="I924" i="3"/>
  <c r="I923" i="3"/>
  <c r="I922" i="3"/>
  <c r="I921" i="3"/>
  <c r="I938" i="3"/>
  <c r="I937" i="3"/>
  <c r="I936" i="3"/>
  <c r="I935" i="3"/>
  <c r="I934" i="3"/>
  <c r="I933" i="3"/>
  <c r="I932" i="3"/>
  <c r="I931" i="3"/>
  <c r="I948" i="3"/>
  <c r="I947" i="3"/>
  <c r="I946" i="3"/>
  <c r="I945" i="3"/>
  <c r="I944" i="3"/>
  <c r="I943" i="3"/>
  <c r="I942" i="3"/>
  <c r="I941" i="3"/>
  <c r="I940" i="3"/>
  <c r="I939" i="3"/>
  <c r="I958" i="3"/>
  <c r="I957" i="3"/>
  <c r="I956" i="3"/>
  <c r="I955" i="3"/>
  <c r="I954" i="3"/>
  <c r="I953" i="3"/>
  <c r="I952" i="3"/>
  <c r="I951" i="3"/>
  <c r="I950" i="3"/>
  <c r="I949" i="3"/>
  <c r="I968" i="3"/>
  <c r="I967" i="3"/>
  <c r="I966" i="3"/>
  <c r="I965" i="3"/>
  <c r="I964" i="3"/>
  <c r="I963" i="3"/>
  <c r="I962" i="3"/>
  <c r="I961" i="3"/>
  <c r="I960" i="3"/>
  <c r="I959" i="3"/>
  <c r="I975" i="3"/>
  <c r="I974" i="3"/>
  <c r="I973" i="3"/>
  <c r="I972" i="3"/>
  <c r="I971" i="3"/>
  <c r="I970" i="3"/>
  <c r="I969" i="3"/>
  <c r="I982" i="3"/>
  <c r="I981" i="3"/>
  <c r="I980" i="3"/>
  <c r="I979" i="3"/>
  <c r="I978" i="3"/>
  <c r="I977" i="3"/>
  <c r="I976" i="3"/>
  <c r="I991" i="3"/>
  <c r="I990" i="3"/>
  <c r="I989" i="3"/>
  <c r="I988" i="3"/>
  <c r="I987" i="3"/>
  <c r="I986" i="3"/>
  <c r="I985" i="3"/>
  <c r="I984" i="3"/>
  <c r="I983" i="3"/>
  <c r="I998" i="3"/>
  <c r="I997" i="3"/>
  <c r="I996" i="3"/>
  <c r="I995" i="3"/>
  <c r="I994" i="3"/>
  <c r="I993" i="3"/>
  <c r="I992" i="3"/>
  <c r="I1003" i="3"/>
  <c r="I1002" i="3"/>
  <c r="I1001" i="3"/>
  <c r="I1000" i="3"/>
  <c r="I999" i="3"/>
  <c r="I1011" i="3"/>
  <c r="I1010" i="3"/>
  <c r="I1009" i="3"/>
  <c r="I1008" i="3"/>
  <c r="I1007" i="3"/>
  <c r="I1006" i="3"/>
  <c r="I1005" i="3"/>
  <c r="I1004" i="3"/>
  <c r="I1016" i="3"/>
  <c r="I1015" i="3"/>
  <c r="I1014" i="3"/>
  <c r="I1013" i="3"/>
  <c r="I1012" i="3"/>
  <c r="I1025" i="3"/>
  <c r="I1024" i="3"/>
  <c r="I1023" i="3"/>
  <c r="I1022" i="3"/>
  <c r="I1021" i="3"/>
  <c r="I1020" i="3"/>
  <c r="I1019" i="3"/>
  <c r="I1018" i="3"/>
  <c r="I1017" i="3"/>
  <c r="I1027" i="3"/>
  <c r="I1026" i="3"/>
  <c r="I1034" i="3"/>
  <c r="I1033" i="3"/>
  <c r="I1032" i="3"/>
  <c r="I1031" i="3"/>
  <c r="I1030" i="3"/>
  <c r="I1029" i="3"/>
  <c r="I1028" i="3"/>
  <c r="I1042" i="3"/>
  <c r="I1041" i="3"/>
  <c r="I1040" i="3"/>
  <c r="I1039" i="3"/>
  <c r="I1038" i="3"/>
  <c r="I1037" i="3"/>
  <c r="I1036" i="3"/>
  <c r="I1035" i="3"/>
  <c r="I1051" i="3"/>
  <c r="I1050" i="3"/>
  <c r="I1049" i="3"/>
  <c r="I1048" i="3"/>
  <c r="I1047" i="3"/>
  <c r="I1046" i="3"/>
  <c r="I1045" i="3"/>
  <c r="I1044" i="3"/>
  <c r="I1043" i="3"/>
  <c r="I1055" i="3"/>
  <c r="I1054" i="3"/>
  <c r="I1053" i="3"/>
  <c r="I1052" i="3"/>
  <c r="I1058" i="3"/>
  <c r="I1057" i="3"/>
  <c r="I1056" i="3"/>
  <c r="I1063" i="3"/>
  <c r="I1062" i="3"/>
  <c r="I1061" i="3"/>
  <c r="I1060" i="3"/>
  <c r="I1059" i="3"/>
  <c r="I1069" i="3"/>
  <c r="I1068" i="3"/>
  <c r="I1067" i="3"/>
  <c r="I1066" i="3"/>
  <c r="I1065" i="3"/>
  <c r="I1064" i="3"/>
  <c r="I1071" i="3"/>
  <c r="I1077" i="3"/>
  <c r="I1075" i="3"/>
  <c r="I1076" i="3"/>
  <c r="I1074" i="3"/>
  <c r="I1073" i="3"/>
  <c r="I1072" i="3"/>
  <c r="I1070" i="3"/>
  <c r="I1084" i="3"/>
  <c r="I1083" i="3"/>
  <c r="I1082" i="3"/>
  <c r="I1081" i="3"/>
  <c r="I1080" i="3"/>
  <c r="I1079" i="3"/>
  <c r="I1078" i="3"/>
  <c r="I1091" i="3"/>
  <c r="I1090" i="3"/>
  <c r="I1089" i="3"/>
  <c r="I1087" i="3"/>
  <c r="I1088" i="3"/>
  <c r="I1085" i="3"/>
  <c r="I1086" i="3"/>
  <c r="I1099" i="3"/>
  <c r="I1095" i="3"/>
  <c r="I1098" i="3"/>
  <c r="I1096" i="3"/>
  <c r="I1097" i="3"/>
  <c r="I1094" i="3"/>
  <c r="I1093" i="3"/>
  <c r="I1092" i="3"/>
  <c r="I1104" i="3"/>
  <c r="I1103" i="3"/>
  <c r="I1102" i="3"/>
  <c r="I1101" i="3"/>
  <c r="I1100" i="3"/>
  <c r="I1110" i="3"/>
  <c r="I1109" i="3"/>
  <c r="I1108" i="3"/>
  <c r="I1107" i="3"/>
  <c r="I1106" i="3"/>
  <c r="I1105" i="3"/>
  <c r="I1117" i="3"/>
  <c r="I1116" i="3"/>
  <c r="I1115" i="3"/>
  <c r="I1114" i="3"/>
  <c r="I1113" i="3"/>
  <c r="I1112" i="3"/>
  <c r="I1111" i="3"/>
  <c r="I1122" i="3"/>
  <c r="I1121" i="3"/>
  <c r="I1120" i="3"/>
  <c r="I1119" i="3"/>
  <c r="I1118" i="3"/>
  <c r="I1130" i="3"/>
  <c r="I1129" i="3"/>
  <c r="I1127" i="3"/>
  <c r="I1128" i="3"/>
  <c r="I1126" i="3"/>
  <c r="I1125" i="3"/>
  <c r="I1124" i="3"/>
  <c r="I1123" i="3"/>
  <c r="I1140" i="3"/>
  <c r="I1141" i="3"/>
  <c r="I1139" i="3"/>
  <c r="I1138" i="3"/>
  <c r="I1137" i="3"/>
  <c r="I1136" i="3"/>
  <c r="I1135" i="3"/>
  <c r="I1134" i="3"/>
  <c r="I1133" i="3"/>
  <c r="I1132" i="3"/>
  <c r="I1131" i="3"/>
  <c r="I1151" i="3"/>
  <c r="I1150" i="3"/>
  <c r="I1149" i="3"/>
  <c r="I1148" i="3"/>
  <c r="I1147" i="3"/>
  <c r="I1146" i="3"/>
  <c r="I1145" i="3"/>
  <c r="I1144" i="3"/>
  <c r="I1143" i="3"/>
  <c r="I1142" i="3"/>
  <c r="I1161" i="3"/>
  <c r="I1160" i="3"/>
  <c r="I1159" i="3"/>
  <c r="I1158" i="3"/>
  <c r="I1157" i="3"/>
  <c r="I1156" i="3"/>
  <c r="I1155" i="3"/>
  <c r="I1154" i="3"/>
  <c r="I1153" i="3"/>
  <c r="I1152" i="3"/>
  <c r="I1173" i="3"/>
  <c r="I1172" i="3"/>
  <c r="I1171" i="3"/>
  <c r="I1170" i="3"/>
  <c r="I1169" i="3"/>
  <c r="I1168" i="3"/>
  <c r="I1167" i="3"/>
  <c r="I1166" i="3"/>
  <c r="I1165" i="3"/>
  <c r="I1164" i="3"/>
  <c r="I1163" i="3"/>
  <c r="I1162" i="3"/>
  <c r="I1181" i="3"/>
  <c r="I1180" i="3"/>
  <c r="I1179" i="3"/>
  <c r="I1178" i="3"/>
  <c r="I1177" i="3"/>
  <c r="I1176" i="3"/>
  <c r="I1175" i="3"/>
  <c r="I1174" i="3"/>
  <c r="I1185" i="3"/>
  <c r="I1184" i="3"/>
  <c r="I1183" i="3"/>
  <c r="I1182" i="3"/>
  <c r="I1190" i="3"/>
  <c r="I1189" i="3"/>
  <c r="I1188" i="3"/>
  <c r="I1187" i="3"/>
  <c r="I1186" i="3"/>
  <c r="I1193" i="3"/>
  <c r="I1192" i="3"/>
  <c r="I1191" i="3"/>
  <c r="I1198" i="3"/>
  <c r="I1197" i="3"/>
  <c r="I1196" i="3"/>
  <c r="I1195" i="3"/>
  <c r="I1194" i="3"/>
  <c r="I1202" i="3"/>
  <c r="I1201" i="3"/>
  <c r="I1200" i="3"/>
  <c r="I1199" i="3"/>
  <c r="I1208" i="3"/>
  <c r="I1209" i="3"/>
  <c r="I1207" i="3"/>
  <c r="I1206" i="3"/>
  <c r="I1205" i="3"/>
  <c r="I1204" i="3"/>
  <c r="I1203" i="3"/>
  <c r="I1216" i="3"/>
  <c r="I1214" i="3"/>
  <c r="I1215" i="3"/>
  <c r="I1213" i="3"/>
  <c r="I1212" i="3"/>
  <c r="F198" i="1" s="1"/>
  <c r="I1211" i="3"/>
  <c r="I1210" i="3"/>
  <c r="I1222" i="3"/>
  <c r="I1223" i="3"/>
  <c r="I1220" i="3"/>
  <c r="I1221" i="3"/>
  <c r="I1219" i="3"/>
  <c r="I1217" i="3"/>
  <c r="I1218" i="3"/>
  <c r="I1228" i="3"/>
  <c r="I1227" i="3"/>
  <c r="I1226" i="3"/>
  <c r="I1225" i="3"/>
  <c r="I1224" i="3"/>
  <c r="I1235" i="3"/>
  <c r="I1233" i="3"/>
  <c r="I1234" i="3"/>
  <c r="I1232" i="3"/>
  <c r="I1231" i="3"/>
  <c r="I1230" i="3"/>
  <c r="I1229" i="3"/>
  <c r="I1239" i="3"/>
  <c r="I1238" i="3"/>
  <c r="I1237" i="3"/>
  <c r="I1236" i="3"/>
  <c r="I1244" i="3"/>
  <c r="I1243" i="3"/>
  <c r="I1242" i="3"/>
  <c r="I1241" i="3"/>
  <c r="I1240" i="3"/>
  <c r="I1251" i="3"/>
  <c r="I1250" i="3"/>
  <c r="I1249" i="3"/>
  <c r="I1248" i="3"/>
  <c r="I1247" i="3"/>
  <c r="I1246" i="3"/>
  <c r="I1245" i="3"/>
  <c r="I1258" i="3"/>
  <c r="I1257" i="3"/>
  <c r="I1256" i="3"/>
  <c r="I1255" i="3"/>
  <c r="I1254" i="3"/>
  <c r="I1253" i="3"/>
  <c r="I1252" i="3"/>
  <c r="I1267" i="3"/>
  <c r="I1266" i="3"/>
  <c r="I1265" i="3"/>
  <c r="I1264" i="3"/>
  <c r="I1263" i="3"/>
  <c r="I1262" i="3"/>
  <c r="I1261" i="3"/>
  <c r="I1260" i="3"/>
  <c r="I1259" i="3"/>
  <c r="I1272" i="3"/>
  <c r="I1271" i="3"/>
  <c r="I1275" i="3"/>
  <c r="I1270" i="3"/>
  <c r="I1269" i="3"/>
  <c r="I1268" i="3"/>
  <c r="I1274" i="3"/>
  <c r="I1273" i="3"/>
  <c r="I1281" i="3"/>
  <c r="I1276" i="3"/>
  <c r="I1277" i="3"/>
  <c r="I1278" i="3"/>
  <c r="I1279" i="3"/>
  <c r="I1280" i="3"/>
  <c r="I1283" i="3"/>
  <c r="I1287" i="3"/>
  <c r="I1286" i="3"/>
  <c r="I1282" i="3"/>
  <c r="I1285" i="3"/>
  <c r="I1284" i="3"/>
  <c r="I1292" i="3"/>
  <c r="I1290" i="3"/>
  <c r="I1293" i="3"/>
  <c r="I1291" i="3"/>
  <c r="I1289" i="3"/>
  <c r="I1288" i="3"/>
  <c r="I1299" i="3"/>
  <c r="I1298" i="3"/>
  <c r="I1297" i="3"/>
  <c r="I1296" i="3"/>
  <c r="I1295" i="3"/>
  <c r="I1294" i="3"/>
  <c r="I1305" i="3"/>
  <c r="I1304" i="3"/>
  <c r="I1302" i="3"/>
  <c r="I1301" i="3"/>
  <c r="I1300" i="3"/>
  <c r="I1303" i="3"/>
  <c r="I1312" i="3"/>
  <c r="I1311" i="3"/>
  <c r="I1308" i="3"/>
  <c r="I1307" i="3"/>
  <c r="I1309" i="3"/>
  <c r="I1306" i="3"/>
  <c r="I1310" i="3"/>
  <c r="I1317" i="3"/>
  <c r="I1320" i="3"/>
  <c r="I1319" i="3"/>
  <c r="I1318" i="3"/>
  <c r="I1322" i="3"/>
  <c r="I1316" i="3"/>
  <c r="I1315" i="3"/>
  <c r="I1314" i="3"/>
  <c r="I1321" i="3"/>
  <c r="I1313" i="3"/>
  <c r="I1323" i="3"/>
  <c r="I1327" i="3"/>
  <c r="I1328" i="3"/>
  <c r="I1332" i="3"/>
  <c r="I1325" i="3"/>
  <c r="I1326" i="3"/>
  <c r="I1329" i="3"/>
  <c r="I1330" i="3"/>
  <c r="I1324" i="3"/>
  <c r="I1331" i="3"/>
  <c r="I1340" i="3"/>
  <c r="I1338" i="3"/>
  <c r="I1336" i="3"/>
  <c r="I1335" i="3"/>
  <c r="I1334" i="3"/>
  <c r="I1337" i="3"/>
  <c r="I1339" i="3"/>
  <c r="I1333" i="3"/>
  <c r="I1346" i="3"/>
  <c r="I1345" i="3"/>
  <c r="I1344" i="3"/>
  <c r="I1343" i="3"/>
  <c r="I1342" i="3"/>
  <c r="I1341" i="3"/>
  <c r="I1353" i="3"/>
  <c r="I1351" i="3"/>
  <c r="I1350" i="3"/>
  <c r="I1349" i="3"/>
  <c r="I1357" i="3"/>
  <c r="I1348" i="3"/>
  <c r="I1356" i="3"/>
  <c r="I1355" i="3"/>
  <c r="I1354" i="3"/>
  <c r="I1352" i="3"/>
  <c r="I1347" i="3"/>
  <c r="I1369" i="3"/>
  <c r="I1367" i="3"/>
  <c r="I1365" i="3"/>
  <c r="I1360" i="3"/>
  <c r="I1368" i="3"/>
  <c r="I1366" i="3"/>
  <c r="I1364" i="3"/>
  <c r="I1362" i="3"/>
  <c r="I1361" i="3"/>
  <c r="I1359" i="3"/>
  <c r="I1358" i="3"/>
  <c r="I1363" i="3"/>
  <c r="I1378" i="3"/>
  <c r="I1373" i="3"/>
  <c r="I1372" i="3"/>
  <c r="I1371" i="3"/>
  <c r="I1377" i="3"/>
  <c r="I1376" i="3"/>
  <c r="I1374" i="3"/>
  <c r="I1375" i="3"/>
  <c r="I1370" i="3"/>
  <c r="I1384" i="3"/>
  <c r="I1383" i="3"/>
  <c r="I1381" i="3"/>
  <c r="I1379" i="3"/>
  <c r="I1380" i="3"/>
  <c r="I1382" i="3"/>
  <c r="I1395" i="3"/>
  <c r="I1386" i="3"/>
  <c r="I1393" i="3"/>
  <c r="I1392" i="3"/>
  <c r="I1391" i="3"/>
  <c r="I1390" i="3"/>
  <c r="I1389" i="3"/>
  <c r="I1388" i="3"/>
  <c r="I1387" i="3"/>
  <c r="I1385" i="3"/>
  <c r="I1394" i="3"/>
  <c r="I1397" i="3"/>
  <c r="I1402" i="3"/>
  <c r="I1400" i="3"/>
  <c r="I1399" i="3"/>
  <c r="I1398" i="3"/>
  <c r="I1396" i="3"/>
  <c r="I1401" i="3"/>
  <c r="I1403" i="3"/>
  <c r="I1409" i="3"/>
  <c r="I1406" i="3"/>
  <c r="I1408" i="3"/>
  <c r="I1412" i="3"/>
  <c r="I1411" i="3"/>
  <c r="I1407" i="3"/>
  <c r="I1405" i="3"/>
  <c r="I1404" i="3"/>
  <c r="I1410" i="3"/>
  <c r="I1417" i="3"/>
  <c r="I1420" i="3"/>
  <c r="I1418" i="3"/>
  <c r="I1416" i="3"/>
  <c r="I1415" i="3"/>
  <c r="I1414" i="3"/>
  <c r="I1413" i="3"/>
  <c r="I1419" i="3"/>
  <c r="I1427" i="3"/>
  <c r="I1426" i="3"/>
  <c r="I1421" i="3"/>
  <c r="I1430" i="3"/>
  <c r="I1429" i="3"/>
  <c r="I1428" i="3"/>
  <c r="I1425" i="3"/>
  <c r="I1424" i="3"/>
  <c r="I1423" i="3"/>
  <c r="I1422" i="3"/>
  <c r="I1438" i="3"/>
  <c r="I1435" i="3"/>
  <c r="I1431" i="3"/>
  <c r="I1437" i="3"/>
  <c r="I1436" i="3"/>
  <c r="I1434" i="3"/>
  <c r="I1433" i="3"/>
  <c r="I1432" i="3"/>
  <c r="I1444" i="3"/>
  <c r="I1440" i="3"/>
  <c r="I1439" i="3"/>
  <c r="I1449" i="3"/>
  <c r="I1448" i="3"/>
  <c r="I1447" i="3"/>
  <c r="I1446" i="3"/>
  <c r="I1445" i="3"/>
  <c r="I1443" i="3"/>
  <c r="I1442" i="3"/>
  <c r="I1441" i="3"/>
  <c r="I1455" i="3"/>
  <c r="I1454" i="3"/>
  <c r="I1452" i="3"/>
  <c r="I1456" i="3"/>
  <c r="I1453" i="3"/>
  <c r="I1451" i="3"/>
  <c r="I1450" i="3"/>
  <c r="I1457" i="3"/>
  <c r="I1464" i="3"/>
  <c r="I1463" i="3"/>
  <c r="I1461" i="3"/>
  <c r="I1462" i="3"/>
  <c r="I1460" i="3"/>
  <c r="I1459" i="3"/>
  <c r="I1458" i="3"/>
  <c r="I1467" i="3"/>
  <c r="I1465" i="3"/>
  <c r="I1466" i="3"/>
  <c r="I1472" i="3"/>
  <c r="I1469" i="3"/>
  <c r="I1468" i="3"/>
  <c r="I1470" i="3"/>
  <c r="I1471" i="3"/>
  <c r="I1476" i="3"/>
  <c r="I1474" i="3"/>
  <c r="I1475" i="3"/>
  <c r="I1473" i="3"/>
  <c r="I1481" i="3"/>
  <c r="I1480" i="3"/>
  <c r="I1483" i="3"/>
  <c r="I1482" i="3"/>
  <c r="I1479" i="3"/>
  <c r="I1478" i="3"/>
  <c r="I1477" i="3"/>
  <c r="I1484" i="3"/>
  <c r="I1491" i="3"/>
  <c r="I1485" i="3"/>
  <c r="I1490" i="3"/>
  <c r="I1489" i="3"/>
  <c r="I1488" i="3"/>
  <c r="I1487" i="3"/>
  <c r="I1486" i="3"/>
  <c r="I1497" i="3"/>
  <c r="I1496" i="3"/>
  <c r="I1493" i="3"/>
  <c r="I1494" i="3"/>
  <c r="I1495" i="3"/>
  <c r="I1492" i="3"/>
  <c r="I1502" i="3"/>
  <c r="I1500" i="3"/>
  <c r="I1499" i="3"/>
  <c r="I1503" i="3"/>
  <c r="I1498" i="3"/>
  <c r="I1504" i="3"/>
  <c r="I1501" i="3"/>
  <c r="I1512" i="3"/>
  <c r="I1516" i="3"/>
  <c r="I1507" i="3"/>
  <c r="I1506" i="3"/>
  <c r="I1505" i="3"/>
  <c r="I1511" i="3"/>
  <c r="I1515" i="3"/>
  <c r="I1514" i="3"/>
  <c r="I1513" i="3"/>
  <c r="I1510" i="3"/>
  <c r="I1509" i="3"/>
  <c r="I1508" i="3"/>
  <c r="I1527" i="3"/>
  <c r="I1520" i="3"/>
  <c r="I1522" i="3"/>
  <c r="I1526" i="3"/>
  <c r="I1517" i="3"/>
  <c r="I1523" i="3"/>
  <c r="I1525" i="3"/>
  <c r="I1524" i="3"/>
  <c r="I1521" i="3"/>
  <c r="I1518" i="3"/>
  <c r="I1519" i="3"/>
  <c r="I1531" i="3"/>
  <c r="I1528" i="3"/>
  <c r="I1532" i="3"/>
  <c r="I1534" i="3"/>
  <c r="I1533" i="3"/>
  <c r="I1529" i="3"/>
  <c r="I1530" i="3"/>
  <c r="I1540" i="3"/>
  <c r="I1539" i="3"/>
  <c r="I1538" i="3"/>
  <c r="I1541" i="3"/>
  <c r="I1537" i="3"/>
  <c r="I1536" i="3"/>
  <c r="I1535" i="3"/>
  <c r="I1544" i="3"/>
  <c r="I1548" i="3"/>
  <c r="I1547" i="3"/>
  <c r="I1546" i="3"/>
  <c r="I1545" i="3"/>
  <c r="I1542" i="3"/>
  <c r="I1549" i="3"/>
  <c r="I1543" i="3"/>
  <c r="I1554" i="3"/>
  <c r="I1553" i="3"/>
  <c r="I1561" i="3"/>
  <c r="I1560" i="3"/>
  <c r="I1559" i="3"/>
  <c r="I1558" i="3"/>
  <c r="I1557" i="3"/>
  <c r="F397" i="1" s="1"/>
  <c r="I1556" i="3"/>
  <c r="I1555" i="3"/>
  <c r="I1552" i="3"/>
  <c r="I1551" i="3"/>
  <c r="I1550" i="3"/>
  <c r="I1568" i="3"/>
  <c r="I1566" i="3"/>
  <c r="I1562" i="3"/>
  <c r="I1569" i="3"/>
  <c r="I1567" i="3"/>
  <c r="I1565" i="3"/>
  <c r="I1564" i="3"/>
  <c r="I1563" i="3"/>
  <c r="I1575" i="3"/>
  <c r="I1572" i="3"/>
  <c r="I1574" i="3"/>
  <c r="I1573" i="3"/>
  <c r="I1571" i="3"/>
  <c r="I1570" i="3"/>
  <c r="I1577" i="3"/>
  <c r="I1576" i="3"/>
  <c r="I1581" i="3"/>
  <c r="I1578" i="3"/>
  <c r="I1583" i="3"/>
  <c r="I1582" i="3"/>
  <c r="I1580" i="3"/>
  <c r="I1579" i="3"/>
  <c r="I1591" i="3"/>
  <c r="I1593" i="3"/>
  <c r="I1594" i="3"/>
  <c r="I1588" i="3"/>
  <c r="I1586" i="3"/>
  <c r="I1585" i="3"/>
  <c r="I1592" i="3"/>
  <c r="I1590" i="3"/>
  <c r="I1589" i="3"/>
  <c r="I1587" i="3"/>
  <c r="I1584" i="3"/>
  <c r="I1601" i="3"/>
  <c r="I1605" i="3"/>
  <c r="I1603" i="3"/>
  <c r="I1595" i="3"/>
  <c r="I1602" i="3"/>
  <c r="I1604" i="3"/>
  <c r="I1600" i="3"/>
  <c r="I1599" i="3"/>
  <c r="I1598" i="3"/>
  <c r="I1597" i="3"/>
  <c r="I1596" i="3"/>
  <c r="I1612" i="3"/>
  <c r="I1610" i="3"/>
  <c r="I1609" i="3"/>
  <c r="I1606" i="3"/>
  <c r="I1613" i="3"/>
  <c r="I1617" i="3"/>
  <c r="I1615" i="3"/>
  <c r="I1614" i="3"/>
  <c r="I1611" i="3"/>
  <c r="I1608" i="3"/>
  <c r="I1616" i="3"/>
  <c r="I1607" i="3"/>
  <c r="I1629" i="3"/>
  <c r="I1626" i="3"/>
  <c r="I1623" i="3"/>
  <c r="I1622" i="3"/>
  <c r="I1618" i="3"/>
  <c r="I1627" i="3"/>
  <c r="I1630" i="3"/>
  <c r="I1631" i="3"/>
  <c r="I1628" i="3"/>
  <c r="I1624" i="3"/>
  <c r="I1621" i="3"/>
  <c r="I1620" i="3"/>
  <c r="I1625" i="3"/>
  <c r="I1638" i="3"/>
  <c r="I1636" i="3"/>
  <c r="I1635" i="3"/>
  <c r="I1633" i="3"/>
  <c r="I1632" i="3"/>
  <c r="I1634" i="3"/>
  <c r="I1641" i="3"/>
  <c r="I1639" i="3"/>
  <c r="I1637" i="3"/>
  <c r="I1640" i="3"/>
  <c r="I1647" i="3"/>
  <c r="I1643" i="3"/>
  <c r="I1649" i="3"/>
  <c r="I1642" i="3"/>
  <c r="I1648" i="3"/>
  <c r="I1651" i="3"/>
  <c r="I1650" i="3"/>
  <c r="I1644" i="3"/>
  <c r="I1646" i="3"/>
  <c r="I1652" i="3"/>
  <c r="I1645" i="3"/>
  <c r="I1656" i="3"/>
  <c r="I1658" i="3"/>
  <c r="I1653" i="3"/>
  <c r="I1659" i="3"/>
  <c r="I1655" i="3"/>
  <c r="I1654" i="3"/>
  <c r="I1657" i="3"/>
  <c r="I1666" i="3"/>
  <c r="I1660" i="3"/>
  <c r="I1665" i="3"/>
  <c r="I1664" i="3"/>
  <c r="I1663" i="3"/>
  <c r="I1662" i="3"/>
  <c r="I1661" i="3"/>
  <c r="I1673" i="3"/>
  <c r="I1675" i="3"/>
  <c r="I1667" i="3"/>
  <c r="I1668" i="3"/>
  <c r="I1671" i="3"/>
  <c r="I1676" i="3"/>
  <c r="I1674" i="3"/>
  <c r="I1670" i="3"/>
  <c r="I1669" i="3"/>
  <c r="I1679" i="3"/>
  <c r="I1678" i="3"/>
  <c r="I1680" i="3"/>
  <c r="I1683" i="3"/>
  <c r="I1686" i="3"/>
  <c r="I1682" i="3"/>
  <c r="I1685" i="3"/>
  <c r="I1677" i="3"/>
  <c r="I1681" i="3"/>
  <c r="I1684" i="3"/>
  <c r="I1688" i="3"/>
  <c r="I1687" i="3"/>
  <c r="I1699" i="3"/>
  <c r="I1689" i="3"/>
  <c r="I1691" i="3"/>
  <c r="I1690" i="3"/>
  <c r="I1698" i="3"/>
  <c r="I1694" i="3"/>
  <c r="I1693" i="3"/>
  <c r="I1692" i="3"/>
  <c r="I1696" i="3"/>
  <c r="I1695" i="3"/>
  <c r="I1697" i="3"/>
  <c r="I1702" i="3"/>
  <c r="I1705" i="3"/>
  <c r="I1706" i="3"/>
  <c r="I1704" i="3"/>
  <c r="I1709" i="3"/>
  <c r="I1708" i="3"/>
  <c r="I1707" i="3"/>
  <c r="I1703" i="3"/>
  <c r="I1701" i="3"/>
  <c r="I1700" i="3"/>
  <c r="I1718" i="3"/>
  <c r="I1714" i="3"/>
  <c r="I1712" i="3"/>
  <c r="I1711" i="3"/>
  <c r="I1710" i="3"/>
  <c r="I1720" i="3"/>
  <c r="I1719" i="3"/>
  <c r="I1717" i="3"/>
  <c r="I1716" i="3"/>
  <c r="I1715" i="3"/>
  <c r="I1713" i="3"/>
  <c r="I1726" i="3"/>
  <c r="I1723" i="3"/>
  <c r="I1727" i="3"/>
  <c r="I1725" i="3"/>
  <c r="I1724" i="3"/>
  <c r="I1722" i="3"/>
  <c r="I1721" i="3"/>
  <c r="I1733" i="3"/>
  <c r="I1735" i="3"/>
  <c r="I1730" i="3"/>
  <c r="I1734" i="3"/>
  <c r="I1731" i="3"/>
  <c r="I1729" i="3"/>
  <c r="I1728" i="3"/>
  <c r="I1732" i="3"/>
  <c r="I1744" i="3"/>
  <c r="I1738" i="3"/>
  <c r="I1745" i="3"/>
  <c r="I1743" i="3"/>
  <c r="I1741" i="3"/>
  <c r="I1739" i="3"/>
  <c r="I1737" i="3"/>
  <c r="I1736" i="3"/>
  <c r="I1742" i="3"/>
  <c r="I1740" i="3"/>
  <c r="J56" i="3"/>
  <c r="J558" i="3"/>
  <c r="K2" i="3"/>
  <c r="K3" i="3"/>
  <c r="K7" i="3"/>
  <c r="K6" i="3"/>
  <c r="K5" i="3"/>
  <c r="K4" i="3"/>
  <c r="K13" i="3"/>
  <c r="K12" i="3"/>
  <c r="K11" i="3"/>
  <c r="K10" i="3"/>
  <c r="K9" i="3"/>
  <c r="K8" i="3"/>
  <c r="K19" i="3"/>
  <c r="K20" i="3"/>
  <c r="K18" i="3"/>
  <c r="K17" i="3"/>
  <c r="K16" i="3"/>
  <c r="K15" i="3"/>
  <c r="K14" i="3"/>
  <c r="K27" i="3"/>
  <c r="K26" i="3"/>
  <c r="K25" i="3"/>
  <c r="K24" i="3"/>
  <c r="K23" i="3"/>
  <c r="K22" i="3"/>
  <c r="K35" i="3"/>
  <c r="K34" i="3"/>
  <c r="K33" i="3"/>
  <c r="K32" i="3"/>
  <c r="K30" i="3"/>
  <c r="K29" i="3"/>
  <c r="K28" i="3"/>
  <c r="K44" i="3"/>
  <c r="K43" i="3"/>
  <c r="K42" i="3"/>
  <c r="K41" i="3"/>
  <c r="K40" i="3"/>
  <c r="K39" i="3"/>
  <c r="K38" i="3"/>
  <c r="K37" i="3"/>
  <c r="K36" i="3"/>
  <c r="K51" i="3"/>
  <c r="K50" i="3"/>
  <c r="K49" i="3"/>
  <c r="K48" i="3"/>
  <c r="K47" i="3"/>
  <c r="K46" i="3"/>
  <c r="K45" i="3"/>
  <c r="K57" i="3"/>
  <c r="K55" i="3"/>
  <c r="K54" i="3"/>
  <c r="K53" i="3"/>
  <c r="K52" i="3"/>
  <c r="K63" i="3"/>
  <c r="K62" i="3"/>
  <c r="K61" i="3"/>
  <c r="K60" i="3"/>
  <c r="K58" i="3"/>
  <c r="K69" i="3"/>
  <c r="K68" i="3"/>
  <c r="K67" i="3"/>
  <c r="K66" i="3"/>
  <c r="K65" i="3"/>
  <c r="K64" i="3"/>
  <c r="K73" i="3"/>
  <c r="K74" i="3"/>
  <c r="K72" i="3"/>
  <c r="K71" i="3"/>
  <c r="K70" i="3"/>
  <c r="K79" i="3"/>
  <c r="K78" i="3"/>
  <c r="K77" i="3"/>
  <c r="K76" i="3"/>
  <c r="K75" i="3"/>
  <c r="K83" i="3"/>
  <c r="K82" i="3"/>
  <c r="K81" i="3"/>
  <c r="K80" i="3"/>
  <c r="K89" i="3"/>
  <c r="K88" i="3"/>
  <c r="K87" i="3"/>
  <c r="K86" i="3"/>
  <c r="K85" i="3"/>
  <c r="K84" i="3"/>
  <c r="K94" i="3"/>
  <c r="K92" i="3"/>
  <c r="K91" i="3"/>
  <c r="K90" i="3"/>
  <c r="K101" i="3"/>
  <c r="K102" i="3"/>
  <c r="K99" i="3"/>
  <c r="K100" i="3"/>
  <c r="K98" i="3"/>
  <c r="K97" i="3"/>
  <c r="K95" i="3"/>
  <c r="K110" i="3"/>
  <c r="K109" i="3"/>
  <c r="K107" i="3"/>
  <c r="K108" i="3"/>
  <c r="K106" i="3"/>
  <c r="K105" i="3"/>
  <c r="K104" i="3"/>
  <c r="K103" i="3"/>
  <c r="K119" i="3"/>
  <c r="K118" i="3"/>
  <c r="K117" i="3"/>
  <c r="K116" i="3"/>
  <c r="K114" i="3"/>
  <c r="K113" i="3"/>
  <c r="K112" i="3"/>
  <c r="K111" i="3"/>
  <c r="K127" i="3"/>
  <c r="K126" i="3"/>
  <c r="K125" i="3"/>
  <c r="K124" i="3"/>
  <c r="K122" i="3"/>
  <c r="K121" i="3"/>
  <c r="K120" i="3"/>
  <c r="K133" i="3"/>
  <c r="K132" i="3"/>
  <c r="K131" i="3"/>
  <c r="K130" i="3"/>
  <c r="K129" i="3"/>
  <c r="K128" i="3"/>
  <c r="K142" i="3"/>
  <c r="K141" i="3"/>
  <c r="K140" i="3"/>
  <c r="K139" i="3"/>
  <c r="K138" i="3"/>
  <c r="K137" i="3"/>
  <c r="K136" i="3"/>
  <c r="K148" i="3"/>
  <c r="K147" i="3"/>
  <c r="K146" i="3"/>
  <c r="K145" i="3"/>
  <c r="K144" i="3"/>
  <c r="K143" i="3"/>
  <c r="K153" i="3"/>
  <c r="K152" i="3"/>
  <c r="K150" i="3"/>
  <c r="K149" i="3"/>
  <c r="K162" i="3"/>
  <c r="K161" i="3"/>
  <c r="K160" i="3"/>
  <c r="K159" i="3"/>
  <c r="K157" i="3"/>
  <c r="K156" i="3"/>
  <c r="K155" i="3"/>
  <c r="K154" i="3"/>
  <c r="K172" i="3"/>
  <c r="K171" i="3"/>
  <c r="K168" i="3"/>
  <c r="K167" i="3"/>
  <c r="K166" i="3"/>
  <c r="K165" i="3"/>
  <c r="K164" i="3"/>
  <c r="K163" i="3"/>
  <c r="K179" i="3"/>
  <c r="K178" i="3"/>
  <c r="K176" i="3"/>
  <c r="K177" i="3"/>
  <c r="K175" i="3"/>
  <c r="K174" i="3"/>
  <c r="K173" i="3"/>
  <c r="K183" i="3"/>
  <c r="K182" i="3"/>
  <c r="K181" i="3"/>
  <c r="K180" i="3"/>
  <c r="K191" i="3"/>
  <c r="K190" i="3"/>
  <c r="K189" i="3"/>
  <c r="K188" i="3"/>
  <c r="K187" i="3"/>
  <c r="K186" i="3"/>
  <c r="K185" i="3"/>
  <c r="K184" i="3"/>
  <c r="K198" i="3"/>
  <c r="K197" i="3"/>
  <c r="K196" i="3"/>
  <c r="K195" i="3"/>
  <c r="K194" i="3"/>
  <c r="K193" i="3"/>
  <c r="K192" i="3"/>
  <c r="K208" i="3"/>
  <c r="K207" i="3"/>
  <c r="K206" i="3"/>
  <c r="K205" i="3"/>
  <c r="K204" i="3"/>
  <c r="K203" i="3"/>
  <c r="K202" i="3"/>
  <c r="K201" i="3"/>
  <c r="K199" i="3"/>
  <c r="K215" i="3"/>
  <c r="K214" i="3"/>
  <c r="K213" i="3"/>
  <c r="K212" i="3"/>
  <c r="K211" i="3"/>
  <c r="K210" i="3"/>
  <c r="K209" i="3"/>
  <c r="K224" i="3"/>
  <c r="K221" i="3"/>
  <c r="K222" i="3"/>
  <c r="K220" i="3"/>
  <c r="K219" i="3"/>
  <c r="K218" i="3"/>
  <c r="K217" i="3"/>
  <c r="K216" i="3"/>
  <c r="K236" i="3"/>
  <c r="K235" i="3"/>
  <c r="K234" i="3"/>
  <c r="K233" i="3"/>
  <c r="K232" i="3"/>
  <c r="K230" i="3"/>
  <c r="K231" i="3"/>
  <c r="K229" i="3"/>
  <c r="K228" i="3"/>
  <c r="K227" i="3"/>
  <c r="K226" i="3"/>
  <c r="K225" i="3"/>
  <c r="K246" i="3"/>
  <c r="K245" i="3"/>
  <c r="K244" i="3"/>
  <c r="K243" i="3"/>
  <c r="K242" i="3"/>
  <c r="K241" i="3"/>
  <c r="K240" i="3"/>
  <c r="K239" i="3"/>
  <c r="K238" i="3"/>
  <c r="K250" i="3"/>
  <c r="K247" i="3"/>
  <c r="K257" i="3"/>
  <c r="K256" i="3"/>
  <c r="K255" i="3"/>
  <c r="K254" i="3"/>
  <c r="K253" i="3"/>
  <c r="K252" i="3"/>
  <c r="K251" i="3"/>
  <c r="K264" i="3"/>
  <c r="K263" i="3"/>
  <c r="K262" i="3"/>
  <c r="K261" i="3"/>
  <c r="K260" i="3"/>
  <c r="K259" i="3"/>
  <c r="K258" i="3"/>
  <c r="K269" i="3"/>
  <c r="K268" i="3"/>
  <c r="K267" i="3"/>
  <c r="K266" i="3"/>
  <c r="K265" i="3"/>
  <c r="K274" i="3"/>
  <c r="K273" i="3"/>
  <c r="K272" i="3"/>
  <c r="K271" i="3"/>
  <c r="K270" i="3"/>
  <c r="K281" i="3"/>
  <c r="K280" i="3"/>
  <c r="K278" i="3"/>
  <c r="K277" i="3"/>
  <c r="K276" i="3"/>
  <c r="K275" i="3"/>
  <c r="K289" i="3"/>
  <c r="K288" i="3"/>
  <c r="K287" i="3"/>
  <c r="K286" i="3"/>
  <c r="K285" i="3"/>
  <c r="K284" i="3"/>
  <c r="K282" i="3"/>
  <c r="K283" i="3"/>
  <c r="K294" i="3"/>
  <c r="K293" i="3"/>
  <c r="K292" i="3"/>
  <c r="K291" i="3"/>
  <c r="K290" i="3"/>
  <c r="K300" i="3"/>
  <c r="K299" i="3"/>
  <c r="K298" i="3"/>
  <c r="K297" i="3"/>
  <c r="K296" i="3"/>
  <c r="K295" i="3"/>
  <c r="K308" i="3"/>
  <c r="K307" i="3"/>
  <c r="K306" i="3"/>
  <c r="K305" i="3"/>
  <c r="K304" i="3"/>
  <c r="K303" i="3"/>
  <c r="K302" i="3"/>
  <c r="K301" i="3"/>
  <c r="K312" i="3"/>
  <c r="K311" i="3"/>
  <c r="K313" i="3"/>
  <c r="K310" i="3"/>
  <c r="K309" i="3"/>
  <c r="K321" i="3"/>
  <c r="K320" i="3"/>
  <c r="K319" i="3"/>
  <c r="K318" i="3"/>
  <c r="K317" i="3"/>
  <c r="K316" i="3"/>
  <c r="K315" i="3"/>
  <c r="K326" i="3"/>
  <c r="K325" i="3"/>
  <c r="K324" i="3"/>
  <c r="K323" i="3"/>
  <c r="K329" i="3"/>
  <c r="K328" i="3"/>
  <c r="K327" i="3"/>
  <c r="K330" i="3"/>
  <c r="K338" i="3"/>
  <c r="K337" i="3"/>
  <c r="K336" i="3"/>
  <c r="K335" i="3"/>
  <c r="K334" i="3"/>
  <c r="K333" i="3"/>
  <c r="K332" i="3"/>
  <c r="K331" i="3"/>
  <c r="K346" i="3"/>
  <c r="K345" i="3"/>
  <c r="K343" i="3"/>
  <c r="K342" i="3"/>
  <c r="K341" i="3"/>
  <c r="K340" i="3"/>
  <c r="K339" i="3"/>
  <c r="K357" i="3"/>
  <c r="K356" i="3"/>
  <c r="K355" i="3"/>
  <c r="K354" i="3"/>
  <c r="K353" i="3"/>
  <c r="K352" i="3"/>
  <c r="K351" i="3"/>
  <c r="K350" i="3"/>
  <c r="K349" i="3"/>
  <c r="K348" i="3"/>
  <c r="K347" i="3"/>
  <c r="K362" i="3"/>
  <c r="K361" i="3"/>
  <c r="K360" i="3"/>
  <c r="K358" i="3"/>
  <c r="K370" i="3"/>
  <c r="K369" i="3"/>
  <c r="K368" i="3"/>
  <c r="K367" i="3"/>
  <c r="K366" i="3"/>
  <c r="K365" i="3"/>
  <c r="K363" i="3"/>
  <c r="K364" i="3"/>
  <c r="K376" i="3"/>
  <c r="K375" i="3"/>
  <c r="K374" i="3"/>
  <c r="K373" i="3"/>
  <c r="K372" i="3"/>
  <c r="K385" i="3"/>
  <c r="K383" i="3"/>
  <c r="K382" i="3"/>
  <c r="K381" i="3"/>
  <c r="K380" i="3"/>
  <c r="K379" i="3"/>
  <c r="K378" i="3"/>
  <c r="K377" i="3"/>
  <c r="K389" i="3"/>
  <c r="K388" i="3"/>
  <c r="K387" i="3"/>
  <c r="K386" i="3"/>
  <c r="K394" i="3"/>
  <c r="K393" i="3"/>
  <c r="K392" i="3"/>
  <c r="K391" i="3"/>
  <c r="K390" i="3"/>
  <c r="K401" i="3"/>
  <c r="K400" i="3"/>
  <c r="K399" i="3"/>
  <c r="K398" i="3"/>
  <c r="K396" i="3"/>
  <c r="K395" i="3"/>
  <c r="K407" i="3"/>
  <c r="K406" i="3"/>
  <c r="K405" i="3"/>
  <c r="K404" i="3"/>
  <c r="K403" i="3"/>
  <c r="K402" i="3"/>
  <c r="K413" i="3"/>
  <c r="K412" i="3"/>
  <c r="K411" i="3"/>
  <c r="K410" i="3"/>
  <c r="K409" i="3"/>
  <c r="K408" i="3"/>
  <c r="K418" i="3"/>
  <c r="K417" i="3"/>
  <c r="K416" i="3"/>
  <c r="K415" i="3"/>
  <c r="K414" i="3"/>
  <c r="K424" i="3"/>
  <c r="K423" i="3"/>
  <c r="K422" i="3"/>
  <c r="K421" i="3"/>
  <c r="K420" i="3"/>
  <c r="K432" i="3"/>
  <c r="K431" i="3"/>
  <c r="K430" i="3"/>
  <c r="K429" i="3"/>
  <c r="K428" i="3"/>
  <c r="K427" i="3"/>
  <c r="K426" i="3"/>
  <c r="K425" i="3"/>
  <c r="K437" i="3"/>
  <c r="K436" i="3"/>
  <c r="K435" i="3"/>
  <c r="K434" i="3"/>
  <c r="K433" i="3"/>
  <c r="K442" i="3"/>
  <c r="K441" i="3"/>
  <c r="K440" i="3"/>
  <c r="K439" i="3"/>
  <c r="K438" i="3"/>
  <c r="K449" i="3"/>
  <c r="K448" i="3"/>
  <c r="K447" i="3"/>
  <c r="K446" i="3"/>
  <c r="K445" i="3"/>
  <c r="K444" i="3"/>
  <c r="K443" i="3"/>
  <c r="K455" i="3"/>
  <c r="K454" i="3"/>
  <c r="K453" i="3"/>
  <c r="K452" i="3"/>
  <c r="K451" i="3"/>
  <c r="K450" i="3"/>
  <c r="K460" i="3"/>
  <c r="K459" i="3"/>
  <c r="K458" i="3"/>
  <c r="K457" i="3"/>
  <c r="K456" i="3"/>
  <c r="K467" i="3"/>
  <c r="K466" i="3"/>
  <c r="K465" i="3"/>
  <c r="K464" i="3"/>
  <c r="K463" i="3"/>
  <c r="K462" i="3"/>
  <c r="K461" i="3"/>
  <c r="K474" i="3"/>
  <c r="K472" i="3"/>
  <c r="K471" i="3"/>
  <c r="K470" i="3"/>
  <c r="K469" i="3"/>
  <c r="K468" i="3"/>
  <c r="K482" i="3"/>
  <c r="K481" i="3"/>
  <c r="K480" i="3"/>
  <c r="K479" i="3"/>
  <c r="K478" i="3"/>
  <c r="K477" i="3"/>
  <c r="K476" i="3"/>
  <c r="K475" i="3"/>
  <c r="K488" i="3"/>
  <c r="K487" i="3"/>
  <c r="K486" i="3"/>
  <c r="K485" i="3"/>
  <c r="K484" i="3"/>
  <c r="K483" i="3"/>
  <c r="K496" i="3"/>
  <c r="K495" i="3"/>
  <c r="K494" i="3"/>
  <c r="K493" i="3"/>
  <c r="K492" i="3"/>
  <c r="K491" i="3"/>
  <c r="K490" i="3"/>
  <c r="K489" i="3"/>
  <c r="K501" i="3"/>
  <c r="K500" i="3"/>
  <c r="K499" i="3"/>
  <c r="K498" i="3"/>
  <c r="K497" i="3"/>
  <c r="K506" i="3"/>
  <c r="K505" i="3"/>
  <c r="K504" i="3"/>
  <c r="K503" i="3"/>
  <c r="K502" i="3"/>
  <c r="K515" i="3"/>
  <c r="K514" i="3"/>
  <c r="K513" i="3"/>
  <c r="K512" i="3"/>
  <c r="K511" i="3"/>
  <c r="K510" i="3"/>
  <c r="K509" i="3"/>
  <c r="K508" i="3"/>
  <c r="K507" i="3"/>
  <c r="K525" i="3"/>
  <c r="K524" i="3"/>
  <c r="K523" i="3"/>
  <c r="K522" i="3"/>
  <c r="K520" i="3"/>
  <c r="K519" i="3"/>
  <c r="K518" i="3"/>
  <c r="K517" i="3"/>
  <c r="K516" i="3"/>
  <c r="K535" i="3"/>
  <c r="K534" i="3"/>
  <c r="K533" i="3"/>
  <c r="K532" i="3"/>
  <c r="K531" i="3"/>
  <c r="K530" i="3"/>
  <c r="K528" i="3"/>
  <c r="K527" i="3"/>
  <c r="K526" i="3"/>
  <c r="K543" i="3"/>
  <c r="K542" i="3"/>
  <c r="K541" i="3"/>
  <c r="K540" i="3"/>
  <c r="K539" i="3"/>
  <c r="K538" i="3"/>
  <c r="K537" i="3"/>
  <c r="K550" i="3"/>
  <c r="K549" i="3"/>
  <c r="K548" i="3"/>
  <c r="K547" i="3"/>
  <c r="K546" i="3"/>
  <c r="K544" i="3"/>
  <c r="K557" i="3"/>
  <c r="K556" i="3"/>
  <c r="K555" i="3"/>
  <c r="K554" i="3"/>
  <c r="K553" i="3"/>
  <c r="K552" i="3"/>
  <c r="K565" i="3"/>
  <c r="K564" i="3"/>
  <c r="K563" i="3"/>
  <c r="K562" i="3"/>
  <c r="K561" i="3"/>
  <c r="K560" i="3"/>
  <c r="K559" i="3"/>
  <c r="K558" i="3"/>
  <c r="K572" i="3"/>
  <c r="K571" i="3"/>
  <c r="K570" i="3"/>
  <c r="K569" i="3"/>
  <c r="K568" i="3"/>
  <c r="K567" i="3"/>
  <c r="K577" i="3"/>
  <c r="K576" i="3"/>
  <c r="K575" i="3"/>
  <c r="K574" i="3"/>
  <c r="K573" i="3"/>
  <c r="K585" i="3"/>
  <c r="K584" i="3"/>
  <c r="K582" i="3"/>
  <c r="K581" i="3"/>
  <c r="K580" i="3"/>
  <c r="K579" i="3"/>
  <c r="K589" i="3"/>
  <c r="K588" i="3"/>
  <c r="K587" i="3"/>
  <c r="K595" i="3"/>
  <c r="K594" i="3"/>
  <c r="K593" i="3"/>
  <c r="K592" i="3"/>
  <c r="K591" i="3"/>
  <c r="K590" i="3"/>
  <c r="K601" i="3"/>
  <c r="K600" i="3"/>
  <c r="K599" i="3"/>
  <c r="K598" i="3"/>
  <c r="K597" i="3"/>
  <c r="K596" i="3"/>
  <c r="K609" i="3"/>
  <c r="K608" i="3"/>
  <c r="K607" i="3"/>
  <c r="K606" i="3"/>
  <c r="K605" i="3"/>
  <c r="K604" i="3"/>
  <c r="K603" i="3"/>
  <c r="K602" i="3"/>
  <c r="K615" i="3"/>
  <c r="K614" i="3"/>
  <c r="K613" i="3"/>
  <c r="K612" i="3"/>
  <c r="K611" i="3"/>
  <c r="K610" i="3"/>
  <c r="K620" i="3"/>
  <c r="K619" i="3"/>
  <c r="K618" i="3"/>
  <c r="K617" i="3"/>
  <c r="K616" i="3"/>
  <c r="K626" i="3"/>
  <c r="K625" i="3"/>
  <c r="K624" i="3"/>
  <c r="K623" i="3"/>
  <c r="K622" i="3"/>
  <c r="K621" i="3"/>
  <c r="K631" i="3"/>
  <c r="K629" i="3"/>
  <c r="K627" i="3"/>
  <c r="K628" i="3"/>
  <c r="K639" i="3"/>
  <c r="K638" i="3"/>
  <c r="K637" i="3"/>
  <c r="K636" i="3"/>
  <c r="K635" i="3"/>
  <c r="K634" i="3"/>
  <c r="K633" i="3"/>
  <c r="K649" i="3"/>
  <c r="K648" i="3"/>
  <c r="K647" i="3"/>
  <c r="K646" i="3"/>
  <c r="K645" i="3"/>
  <c r="K644" i="3"/>
  <c r="K643" i="3"/>
  <c r="K642" i="3"/>
  <c r="K641" i="3"/>
  <c r="K656" i="3"/>
  <c r="K655" i="3"/>
  <c r="K654" i="3"/>
  <c r="K653" i="3"/>
  <c r="K652" i="3"/>
  <c r="K651" i="3"/>
  <c r="K650" i="3"/>
  <c r="K664" i="3"/>
  <c r="K663" i="3"/>
  <c r="K662" i="3"/>
  <c r="K661" i="3"/>
  <c r="K660" i="3"/>
  <c r="K659" i="3"/>
  <c r="K658" i="3"/>
  <c r="K657" i="3"/>
  <c r="K669" i="3"/>
  <c r="K668" i="3"/>
  <c r="K667" i="3"/>
  <c r="K666" i="3"/>
  <c r="K665" i="3"/>
  <c r="K676" i="3"/>
  <c r="K675" i="3"/>
  <c r="K674" i="3"/>
  <c r="K672" i="3"/>
  <c r="K671" i="3"/>
  <c r="K670" i="3"/>
  <c r="K683" i="3"/>
  <c r="K682" i="3"/>
  <c r="K681" i="3"/>
  <c r="K680" i="3"/>
  <c r="K679" i="3"/>
  <c r="K678" i="3"/>
  <c r="K691" i="3"/>
  <c r="K690" i="3"/>
  <c r="K687" i="3"/>
  <c r="K686" i="3"/>
  <c r="K685" i="3"/>
  <c r="K684" i="3"/>
  <c r="K697" i="3"/>
  <c r="K696" i="3"/>
  <c r="K695" i="3"/>
  <c r="K694" i="3"/>
  <c r="K693" i="3"/>
  <c r="K692" i="3"/>
  <c r="K705" i="3"/>
  <c r="K704" i="3"/>
  <c r="K703" i="3"/>
  <c r="K702" i="3"/>
  <c r="K701" i="3"/>
  <c r="K700" i="3"/>
  <c r="K699" i="3"/>
  <c r="K698" i="3"/>
  <c r="K714" i="3"/>
  <c r="K713" i="3"/>
  <c r="K712" i="3"/>
  <c r="K711" i="3"/>
  <c r="K709" i="3"/>
  <c r="K708" i="3"/>
  <c r="K707" i="3"/>
  <c r="K706" i="3"/>
  <c r="K725" i="3"/>
  <c r="K724" i="3"/>
  <c r="K723" i="3"/>
  <c r="K722" i="3"/>
  <c r="K721" i="3"/>
  <c r="K720" i="3"/>
  <c r="K719" i="3"/>
  <c r="K718" i="3"/>
  <c r="K717" i="3"/>
  <c r="K716" i="3"/>
  <c r="K715" i="3"/>
  <c r="K734" i="3"/>
  <c r="K733" i="3"/>
  <c r="K732" i="3"/>
  <c r="K731" i="3"/>
  <c r="K730" i="3"/>
  <c r="K729" i="3"/>
  <c r="K728" i="3"/>
  <c r="K727" i="3"/>
  <c r="K743" i="3"/>
  <c r="K742" i="3"/>
  <c r="K741" i="3"/>
  <c r="K740" i="3"/>
  <c r="K736" i="3"/>
  <c r="K751" i="3"/>
  <c r="K749" i="3"/>
  <c r="K748" i="3"/>
  <c r="K747" i="3"/>
  <c r="K746" i="3"/>
  <c r="K744" i="3"/>
  <c r="K758" i="3"/>
  <c r="K763" i="3"/>
  <c r="K762" i="3"/>
  <c r="K761" i="3"/>
  <c r="K760" i="3"/>
  <c r="K759" i="3"/>
  <c r="K757" i="3"/>
  <c r="K756" i="3"/>
  <c r="K755" i="3"/>
  <c r="K754" i="3"/>
  <c r="K753" i="3"/>
  <c r="K775" i="3"/>
  <c r="K771" i="3"/>
  <c r="K773" i="3"/>
  <c r="K772" i="3"/>
  <c r="K770" i="3"/>
  <c r="K769" i="3"/>
  <c r="K768" i="3"/>
  <c r="K767" i="3"/>
  <c r="K766" i="3"/>
  <c r="K765" i="3"/>
  <c r="K764" i="3"/>
  <c r="K785" i="3"/>
  <c r="K783" i="3"/>
  <c r="K784" i="3"/>
  <c r="K782" i="3"/>
  <c r="K781" i="3"/>
  <c r="K780" i="3"/>
  <c r="K779" i="3"/>
  <c r="K778" i="3"/>
  <c r="K777" i="3"/>
  <c r="K776" i="3"/>
  <c r="K788" i="3"/>
  <c r="K787" i="3"/>
  <c r="K786" i="3"/>
  <c r="K795" i="3"/>
  <c r="K792" i="3"/>
  <c r="K793" i="3"/>
  <c r="K791" i="3"/>
  <c r="K790" i="3"/>
  <c r="K789" i="3"/>
  <c r="K800" i="3"/>
  <c r="K799" i="3"/>
  <c r="K798" i="3"/>
  <c r="K797" i="3"/>
  <c r="K796" i="3"/>
  <c r="K811" i="3"/>
  <c r="K810" i="3"/>
  <c r="K809" i="3"/>
  <c r="K807" i="3"/>
  <c r="K808" i="3"/>
  <c r="K806" i="3"/>
  <c r="K805" i="3"/>
  <c r="K804" i="3"/>
  <c r="K803" i="3"/>
  <c r="K802" i="3"/>
  <c r="K820" i="3"/>
  <c r="K819" i="3"/>
  <c r="K818" i="3"/>
  <c r="K817" i="3"/>
  <c r="K816" i="3"/>
  <c r="K815" i="3"/>
  <c r="K814" i="3"/>
  <c r="K813" i="3"/>
  <c r="K812" i="3"/>
  <c r="K828" i="3"/>
  <c r="K827" i="3"/>
  <c r="K826" i="3"/>
  <c r="K825" i="3"/>
  <c r="K824" i="3"/>
  <c r="K823" i="3"/>
  <c r="K822" i="3"/>
  <c r="K821" i="3"/>
  <c r="K831" i="3"/>
  <c r="K830" i="3"/>
  <c r="K829" i="3"/>
  <c r="K839" i="3"/>
  <c r="K838" i="3"/>
  <c r="K837" i="3"/>
  <c r="K836" i="3"/>
  <c r="K835" i="3"/>
  <c r="K834" i="3"/>
  <c r="K833" i="3"/>
  <c r="K832" i="3"/>
  <c r="K846" i="3"/>
  <c r="K845" i="3"/>
  <c r="K844" i="3"/>
  <c r="K843" i="3"/>
  <c r="K842" i="3"/>
  <c r="K841" i="3"/>
  <c r="K840" i="3"/>
  <c r="K853" i="3"/>
  <c r="K852" i="3"/>
  <c r="K851" i="3"/>
  <c r="K850" i="3"/>
  <c r="K849" i="3"/>
  <c r="K848" i="3"/>
  <c r="K847" i="3"/>
  <c r="K863" i="3"/>
  <c r="K860" i="3"/>
  <c r="K862" i="3"/>
  <c r="K861" i="3"/>
  <c r="K859" i="3"/>
  <c r="K858" i="3"/>
  <c r="K857" i="3"/>
  <c r="K856" i="3"/>
  <c r="K855" i="3"/>
  <c r="K854" i="3"/>
  <c r="K871" i="3"/>
  <c r="K870" i="3"/>
  <c r="K869" i="3"/>
  <c r="K868" i="3"/>
  <c r="K867" i="3"/>
  <c r="K866" i="3"/>
  <c r="K865" i="3"/>
  <c r="K864" i="3"/>
  <c r="K880" i="3"/>
  <c r="K879" i="3"/>
  <c r="K878" i="3"/>
  <c r="K877" i="3"/>
  <c r="K876" i="3"/>
  <c r="K875" i="3"/>
  <c r="K874" i="3"/>
  <c r="K873" i="3"/>
  <c r="K890" i="3"/>
  <c r="K889" i="3"/>
  <c r="K887" i="3"/>
  <c r="K886" i="3"/>
  <c r="K884" i="3"/>
  <c r="K882" i="3"/>
  <c r="K881" i="3"/>
  <c r="K898" i="3"/>
  <c r="K897" i="3"/>
  <c r="K895" i="3"/>
  <c r="K894" i="3"/>
  <c r="K893" i="3"/>
  <c r="K892" i="3"/>
  <c r="K891" i="3"/>
  <c r="K911" i="3"/>
  <c r="K910" i="3"/>
  <c r="K909" i="3"/>
  <c r="K908" i="3"/>
  <c r="K907" i="3"/>
  <c r="K905" i="3"/>
  <c r="K904" i="3"/>
  <c r="K906" i="3"/>
  <c r="K903" i="3"/>
  <c r="K902" i="3"/>
  <c r="K901" i="3"/>
  <c r="K900" i="3"/>
  <c r="K899" i="3"/>
  <c r="K919" i="3"/>
  <c r="K920" i="3"/>
  <c r="K918" i="3"/>
  <c r="K917" i="3"/>
  <c r="K916" i="3"/>
  <c r="K915" i="3"/>
  <c r="K914" i="3"/>
  <c r="K913" i="3"/>
  <c r="K912" i="3"/>
  <c r="K930" i="3"/>
  <c r="K929" i="3"/>
  <c r="K928" i="3"/>
  <c r="K927" i="3"/>
  <c r="K926" i="3"/>
  <c r="K925" i="3"/>
  <c r="K924" i="3"/>
  <c r="K923" i="3"/>
  <c r="K922" i="3"/>
  <c r="K921" i="3"/>
  <c r="K938" i="3"/>
  <c r="K937" i="3"/>
  <c r="K936" i="3"/>
  <c r="K935" i="3"/>
  <c r="K934" i="3"/>
  <c r="K933" i="3"/>
  <c r="K932" i="3"/>
  <c r="K931" i="3"/>
  <c r="K948" i="3"/>
  <c r="K947" i="3"/>
  <c r="K946" i="3"/>
  <c r="K945" i="3"/>
  <c r="K944" i="3"/>
  <c r="K943" i="3"/>
  <c r="K942" i="3"/>
  <c r="K941" i="3"/>
  <c r="K940" i="3"/>
  <c r="K939" i="3"/>
  <c r="K958" i="3"/>
  <c r="K957" i="3"/>
  <c r="K956" i="3"/>
  <c r="K955" i="3"/>
  <c r="K954" i="3"/>
  <c r="K953" i="3"/>
  <c r="K952" i="3"/>
  <c r="K951" i="3"/>
  <c r="K950" i="3"/>
  <c r="K949" i="3"/>
  <c r="K968" i="3"/>
  <c r="K967" i="3"/>
  <c r="K966" i="3"/>
  <c r="K965" i="3"/>
  <c r="K964" i="3"/>
  <c r="K963" i="3"/>
  <c r="K962" i="3"/>
  <c r="K961" i="3"/>
  <c r="K960" i="3"/>
  <c r="K959" i="3"/>
  <c r="K975" i="3"/>
  <c r="K974" i="3"/>
  <c r="K973" i="3"/>
  <c r="K972" i="3"/>
  <c r="K971" i="3"/>
  <c r="K970" i="3"/>
  <c r="K969" i="3"/>
  <c r="K982" i="3"/>
  <c r="K981" i="3"/>
  <c r="K980" i="3"/>
  <c r="K979" i="3"/>
  <c r="K978" i="3"/>
  <c r="K977" i="3"/>
  <c r="K976" i="3"/>
  <c r="K991" i="3"/>
  <c r="K990" i="3"/>
  <c r="K989" i="3"/>
  <c r="K988" i="3"/>
  <c r="K987" i="3"/>
  <c r="K986" i="3"/>
  <c r="K985" i="3"/>
  <c r="K984" i="3"/>
  <c r="K983" i="3"/>
  <c r="K998" i="3"/>
  <c r="K997" i="3"/>
  <c r="K996" i="3"/>
  <c r="K995" i="3"/>
  <c r="K994" i="3"/>
  <c r="K993" i="3"/>
  <c r="K992" i="3"/>
  <c r="K1003" i="3"/>
  <c r="K1002" i="3"/>
  <c r="K1001" i="3"/>
  <c r="K1000" i="3"/>
  <c r="K999" i="3"/>
  <c r="K1011" i="3"/>
  <c r="K1010" i="3"/>
  <c r="K1009" i="3"/>
  <c r="K1008" i="3"/>
  <c r="K1007" i="3"/>
  <c r="K1006" i="3"/>
  <c r="K1004" i="3"/>
  <c r="K1016" i="3"/>
  <c r="K1015" i="3"/>
  <c r="K1014" i="3"/>
  <c r="K1013" i="3"/>
  <c r="K1012" i="3"/>
  <c r="K1025" i="3"/>
  <c r="K1024" i="3"/>
  <c r="K1023" i="3"/>
  <c r="K1022" i="3"/>
  <c r="K1021" i="3"/>
  <c r="K1020" i="3"/>
  <c r="K1019" i="3"/>
  <c r="K1018" i="3"/>
  <c r="K1017" i="3"/>
  <c r="K1027" i="3"/>
  <c r="K1026" i="3"/>
  <c r="K1034" i="3"/>
  <c r="K1033" i="3"/>
  <c r="K1032" i="3"/>
  <c r="K1030" i="3"/>
  <c r="K1029" i="3"/>
  <c r="K1028" i="3"/>
  <c r="K1042" i="3"/>
  <c r="K1041" i="3"/>
  <c r="K1040" i="3"/>
  <c r="K1039" i="3"/>
  <c r="K1038" i="3"/>
  <c r="K1037" i="3"/>
  <c r="K1036" i="3"/>
  <c r="K1035" i="3"/>
  <c r="K1051" i="3"/>
  <c r="K1050" i="3"/>
  <c r="K1049" i="3"/>
  <c r="K1048" i="3"/>
  <c r="K1047" i="3"/>
  <c r="K1046" i="3"/>
  <c r="K1045" i="3"/>
  <c r="K1044" i="3"/>
  <c r="K1043" i="3"/>
  <c r="K1055" i="3"/>
  <c r="K1054" i="3"/>
  <c r="K1053" i="3"/>
  <c r="K1052" i="3"/>
  <c r="K1058" i="3"/>
  <c r="K1057" i="3"/>
  <c r="K1056" i="3"/>
  <c r="K1063" i="3"/>
  <c r="K1062" i="3"/>
  <c r="K1061" i="3"/>
  <c r="K1060" i="3"/>
  <c r="K1059" i="3"/>
  <c r="K1069" i="3"/>
  <c r="K1068" i="3"/>
  <c r="K1067" i="3"/>
  <c r="K1066" i="3"/>
  <c r="K1065" i="3"/>
  <c r="K1064" i="3"/>
  <c r="K1071" i="3"/>
  <c r="K1077" i="3"/>
  <c r="K1075" i="3"/>
  <c r="K1076" i="3"/>
  <c r="K1074" i="3"/>
  <c r="K1073" i="3"/>
  <c r="K1072" i="3"/>
  <c r="K1070" i="3"/>
  <c r="K1084" i="3"/>
  <c r="K1083" i="3"/>
  <c r="K1082" i="3"/>
  <c r="K1081" i="3"/>
  <c r="K1080" i="3"/>
  <c r="K1079" i="3"/>
  <c r="K1078" i="3"/>
  <c r="K1091" i="3"/>
  <c r="K1090" i="3"/>
  <c r="K1089" i="3"/>
  <c r="K1087" i="3"/>
  <c r="K1088" i="3"/>
  <c r="K1085" i="3"/>
  <c r="K1086" i="3"/>
  <c r="K1099" i="3"/>
  <c r="K1095" i="3"/>
  <c r="K1098" i="3"/>
  <c r="K1096" i="3"/>
  <c r="K1097" i="3"/>
  <c r="K1094" i="3"/>
  <c r="K1093" i="3"/>
  <c r="K1092" i="3"/>
  <c r="K1104" i="3"/>
  <c r="K1103" i="3"/>
  <c r="K1102" i="3"/>
  <c r="K1101" i="3"/>
  <c r="K1100" i="3"/>
  <c r="K1110" i="3"/>
  <c r="K1109" i="3"/>
  <c r="K1108" i="3"/>
  <c r="K1107" i="3"/>
  <c r="K1106" i="3"/>
  <c r="K1117" i="3"/>
  <c r="K1116" i="3"/>
  <c r="K1115" i="3"/>
  <c r="K1114" i="3"/>
  <c r="K1113" i="3"/>
  <c r="K1112" i="3"/>
  <c r="K1111" i="3"/>
  <c r="K1122" i="3"/>
  <c r="K1121" i="3"/>
  <c r="K1120" i="3"/>
  <c r="K1119" i="3"/>
  <c r="K1118" i="3"/>
  <c r="K1130" i="3"/>
  <c r="K1129" i="3"/>
  <c r="K1127" i="3"/>
  <c r="K1128" i="3"/>
  <c r="K1126" i="3"/>
  <c r="K1125" i="3"/>
  <c r="K1124" i="3"/>
  <c r="K1123" i="3"/>
  <c r="K1140" i="3"/>
  <c r="K1141" i="3"/>
  <c r="K1139" i="3"/>
  <c r="K1138" i="3"/>
  <c r="K1137" i="3"/>
  <c r="K1136" i="3"/>
  <c r="K1135" i="3"/>
  <c r="K1134" i="3"/>
  <c r="K1133" i="3"/>
  <c r="K1132" i="3"/>
  <c r="K1131" i="3"/>
  <c r="K1151" i="3"/>
  <c r="K1150" i="3"/>
  <c r="K1149" i="3"/>
  <c r="K1148" i="3"/>
  <c r="K1147" i="3"/>
  <c r="K1146" i="3"/>
  <c r="K1145" i="3"/>
  <c r="K1144" i="3"/>
  <c r="K1143" i="3"/>
  <c r="K1142" i="3"/>
  <c r="K1161" i="3"/>
  <c r="K1160" i="3"/>
  <c r="K1159" i="3"/>
  <c r="K1158" i="3"/>
  <c r="K1157" i="3"/>
  <c r="K1156" i="3"/>
  <c r="K1155" i="3"/>
  <c r="K1154" i="3"/>
  <c r="K1153" i="3"/>
  <c r="K1152" i="3"/>
  <c r="K1173" i="3"/>
  <c r="K1172" i="3"/>
  <c r="K1171" i="3"/>
  <c r="K1170" i="3"/>
  <c r="K1169" i="3"/>
  <c r="K1168" i="3"/>
  <c r="K1167" i="3"/>
  <c r="K1166" i="3"/>
  <c r="K1165" i="3"/>
  <c r="K1164" i="3"/>
  <c r="K1163" i="3"/>
  <c r="K1162" i="3"/>
  <c r="K1181" i="3"/>
  <c r="K1180" i="3"/>
  <c r="K1179" i="3"/>
  <c r="K1178" i="3"/>
  <c r="K1177" i="3"/>
  <c r="K1176" i="3"/>
  <c r="K1175" i="3"/>
  <c r="K1174" i="3"/>
  <c r="K1185" i="3"/>
  <c r="K1184" i="3"/>
  <c r="K1183" i="3"/>
  <c r="K1182" i="3"/>
  <c r="K1190" i="3"/>
  <c r="K1189" i="3"/>
  <c r="K1188" i="3"/>
  <c r="K1187" i="3"/>
  <c r="K1186" i="3"/>
  <c r="K1193" i="3"/>
  <c r="K1192" i="3"/>
  <c r="K1191" i="3"/>
  <c r="K1198" i="3"/>
  <c r="K1197" i="3"/>
  <c r="K1196" i="3"/>
  <c r="K1195" i="3"/>
  <c r="K1194" i="3"/>
  <c r="K1202" i="3"/>
  <c r="K1201" i="3"/>
  <c r="K1200" i="3"/>
  <c r="K1199" i="3"/>
  <c r="K1208" i="3"/>
  <c r="K1209" i="3"/>
  <c r="K1207" i="3"/>
  <c r="K1206" i="3"/>
  <c r="K1205" i="3"/>
  <c r="K1204" i="3"/>
  <c r="K1203" i="3"/>
  <c r="K1216" i="3"/>
  <c r="K1214" i="3"/>
  <c r="K1215" i="3"/>
  <c r="K1213" i="3"/>
  <c r="K1212" i="3"/>
  <c r="K1211" i="3"/>
  <c r="K1210" i="3"/>
  <c r="K1222" i="3"/>
  <c r="K1223" i="3"/>
  <c r="K1220" i="3"/>
  <c r="K1221" i="3"/>
  <c r="K1219" i="3"/>
  <c r="K1217" i="3"/>
  <c r="K1218" i="3"/>
  <c r="K1228" i="3"/>
  <c r="K1227" i="3"/>
  <c r="K1226" i="3"/>
  <c r="K1225" i="3"/>
  <c r="K1224" i="3"/>
  <c r="K1235" i="3"/>
  <c r="K1233" i="3"/>
  <c r="K1234" i="3"/>
  <c r="K1232" i="3"/>
  <c r="K1231" i="3"/>
  <c r="K1230" i="3"/>
  <c r="K1229" i="3"/>
  <c r="K1239" i="3"/>
  <c r="K1238" i="3"/>
  <c r="K1237" i="3"/>
  <c r="K1236" i="3"/>
  <c r="K1244" i="3"/>
  <c r="K1243" i="3"/>
  <c r="K1242" i="3"/>
  <c r="K1241" i="3"/>
  <c r="K1240" i="3"/>
  <c r="K1251" i="3"/>
  <c r="K1250" i="3"/>
  <c r="K1249" i="3"/>
  <c r="K1248" i="3"/>
  <c r="K1247" i="3"/>
  <c r="K1246" i="3"/>
  <c r="K1245" i="3"/>
  <c r="K1258" i="3"/>
  <c r="K1257" i="3"/>
  <c r="K1256" i="3"/>
  <c r="K1255" i="3"/>
  <c r="K1254" i="3"/>
  <c r="K1253" i="3"/>
  <c r="K1252" i="3"/>
  <c r="K1267" i="3"/>
  <c r="K1266" i="3"/>
  <c r="K1265" i="3"/>
  <c r="K1264" i="3"/>
  <c r="K1263" i="3"/>
  <c r="K1262" i="3"/>
  <c r="K1261" i="3"/>
  <c r="K1260" i="3"/>
  <c r="K1259" i="3"/>
  <c r="K1272" i="3"/>
  <c r="K1271" i="3"/>
  <c r="K1275" i="3"/>
  <c r="K1270" i="3"/>
  <c r="K1269" i="3"/>
  <c r="K1268" i="3"/>
  <c r="K1274" i="3"/>
  <c r="K1273" i="3"/>
  <c r="K1281" i="3"/>
  <c r="K1276" i="3"/>
  <c r="K1277" i="3"/>
  <c r="K1278" i="3"/>
  <c r="K1279" i="3"/>
  <c r="K1280" i="3"/>
  <c r="K1283" i="3"/>
  <c r="K1287" i="3"/>
  <c r="K1286" i="3"/>
  <c r="K1282" i="3"/>
  <c r="K1285" i="3"/>
  <c r="K1284" i="3"/>
  <c r="K1292" i="3"/>
  <c r="K1290" i="3"/>
  <c r="K1293" i="3"/>
  <c r="K1291" i="3"/>
  <c r="K1289" i="3"/>
  <c r="K1288" i="3"/>
  <c r="K1299" i="3"/>
  <c r="K1298" i="3"/>
  <c r="K1297" i="3"/>
  <c r="K1296" i="3"/>
  <c r="K1295" i="3"/>
  <c r="K1294" i="3"/>
  <c r="K1305" i="3"/>
  <c r="K1304" i="3"/>
  <c r="K1302" i="3"/>
  <c r="K1301" i="3"/>
  <c r="K1300" i="3"/>
  <c r="K1303" i="3"/>
  <c r="K1312" i="3"/>
  <c r="K1311" i="3"/>
  <c r="K1308" i="3"/>
  <c r="K1307" i="3"/>
  <c r="K1309" i="3"/>
  <c r="K1306" i="3"/>
  <c r="K1310" i="3"/>
  <c r="K1317" i="3"/>
  <c r="K1320" i="3"/>
  <c r="K1319" i="3"/>
  <c r="K1318" i="3"/>
  <c r="K1322" i="3"/>
  <c r="K1316" i="3"/>
  <c r="K1315" i="3"/>
  <c r="K1314" i="3"/>
  <c r="K1321" i="3"/>
  <c r="K1313" i="3"/>
  <c r="K1323" i="3"/>
  <c r="K1327" i="3"/>
  <c r="K1328" i="3"/>
  <c r="K1332" i="3"/>
  <c r="K1325" i="3"/>
  <c r="K1326" i="3"/>
  <c r="K1329" i="3"/>
  <c r="K1330" i="3"/>
  <c r="K1324" i="3"/>
  <c r="K1331" i="3"/>
  <c r="K1340" i="3"/>
  <c r="K1338" i="3"/>
  <c r="K1336" i="3"/>
  <c r="K1335" i="3"/>
  <c r="K1334" i="3"/>
  <c r="K1337" i="3"/>
  <c r="K1339" i="3"/>
  <c r="K1333" i="3"/>
  <c r="K1346" i="3"/>
  <c r="K1345" i="3"/>
  <c r="K1344" i="3"/>
  <c r="K1343" i="3"/>
  <c r="K1342" i="3"/>
  <c r="K1341" i="3"/>
  <c r="K1353" i="3"/>
  <c r="K1351" i="3"/>
  <c r="K1350" i="3"/>
  <c r="K1349" i="3"/>
  <c r="K1357" i="3"/>
  <c r="K1348" i="3"/>
  <c r="K1356" i="3"/>
  <c r="K1355" i="3"/>
  <c r="K1354" i="3"/>
  <c r="K1352" i="3"/>
  <c r="K1347" i="3"/>
  <c r="K1369" i="3"/>
  <c r="K1367" i="3"/>
  <c r="K1365" i="3"/>
  <c r="K1360" i="3"/>
  <c r="K1368" i="3"/>
  <c r="K1366" i="3"/>
  <c r="K1364" i="3"/>
  <c r="K1362" i="3"/>
  <c r="K1361" i="3"/>
  <c r="K1359" i="3"/>
  <c r="K1358" i="3"/>
  <c r="K1363" i="3"/>
  <c r="K1378" i="3"/>
  <c r="K1373" i="3"/>
  <c r="K1372" i="3"/>
  <c r="K1371" i="3"/>
  <c r="K1377" i="3"/>
  <c r="K1376" i="3"/>
  <c r="K1374" i="3"/>
  <c r="K1375" i="3"/>
  <c r="K1370" i="3"/>
  <c r="K1384" i="3"/>
  <c r="K1383" i="3"/>
  <c r="K1381" i="3"/>
  <c r="K1379" i="3"/>
  <c r="K1380" i="3"/>
  <c r="K1382" i="3"/>
  <c r="K1395" i="3"/>
  <c r="K1386" i="3"/>
  <c r="K1393" i="3"/>
  <c r="K1392" i="3"/>
  <c r="K1391" i="3"/>
  <c r="K1390" i="3"/>
  <c r="K1389" i="3"/>
  <c r="K1388" i="3"/>
  <c r="K1387" i="3"/>
  <c r="K1385" i="3"/>
  <c r="K1394" i="3"/>
  <c r="K1397" i="3"/>
  <c r="K1402" i="3"/>
  <c r="K1400" i="3"/>
  <c r="K1399" i="3"/>
  <c r="K1398" i="3"/>
  <c r="K1396" i="3"/>
  <c r="K1401" i="3"/>
  <c r="K1403" i="3"/>
  <c r="K1409" i="3"/>
  <c r="K1406" i="3"/>
  <c r="K1408" i="3"/>
  <c r="K1412" i="3"/>
  <c r="K1411" i="3"/>
  <c r="K1407" i="3"/>
  <c r="K1405" i="3"/>
  <c r="K1404" i="3"/>
  <c r="K1410" i="3"/>
  <c r="K1417" i="3"/>
  <c r="K1420" i="3"/>
  <c r="K1418" i="3"/>
  <c r="K1416" i="3"/>
  <c r="K1415" i="3"/>
  <c r="K1414" i="3"/>
  <c r="K1413" i="3"/>
  <c r="K1419" i="3"/>
  <c r="K1427" i="3"/>
  <c r="K1426" i="3"/>
  <c r="K1421" i="3"/>
  <c r="K1430" i="3"/>
  <c r="K1429" i="3"/>
  <c r="K1428" i="3"/>
  <c r="K1425" i="3"/>
  <c r="K1424" i="3"/>
  <c r="K1423" i="3"/>
  <c r="K1422" i="3"/>
  <c r="K1438" i="3"/>
  <c r="K1435" i="3"/>
  <c r="K1431" i="3"/>
  <c r="K1437" i="3"/>
  <c r="K1436" i="3"/>
  <c r="K1434" i="3"/>
  <c r="K1433" i="3"/>
  <c r="K1432" i="3"/>
  <c r="K1444" i="3"/>
  <c r="K1440" i="3"/>
  <c r="K1439" i="3"/>
  <c r="K1449" i="3"/>
  <c r="K1448" i="3"/>
  <c r="K1447" i="3"/>
  <c r="K1446" i="3"/>
  <c r="K1445" i="3"/>
  <c r="K1443" i="3"/>
  <c r="K1442" i="3"/>
  <c r="K1441" i="3"/>
  <c r="K1455" i="3"/>
  <c r="K1454" i="3"/>
  <c r="K1452" i="3"/>
  <c r="K1456" i="3"/>
  <c r="K1453" i="3"/>
  <c r="K1451" i="3"/>
  <c r="K1450" i="3"/>
  <c r="K1457" i="3"/>
  <c r="K1464" i="3"/>
  <c r="K1463" i="3"/>
  <c r="K1461" i="3"/>
  <c r="K1462" i="3"/>
  <c r="K1460" i="3"/>
  <c r="K1459" i="3"/>
  <c r="K1458" i="3"/>
  <c r="K1467" i="3"/>
  <c r="K1465" i="3"/>
  <c r="K1466" i="3"/>
  <c r="K1472" i="3"/>
  <c r="K1469" i="3"/>
  <c r="K1468" i="3"/>
  <c r="K1470" i="3"/>
  <c r="K1471" i="3"/>
  <c r="K1476" i="3"/>
  <c r="K1474" i="3"/>
  <c r="K1475" i="3"/>
  <c r="K1473" i="3"/>
  <c r="K1481" i="3"/>
  <c r="K1480" i="3"/>
  <c r="K1483" i="3"/>
  <c r="K1482" i="3"/>
  <c r="K1479" i="3"/>
  <c r="K1478" i="3"/>
  <c r="K1477" i="3"/>
  <c r="K1484" i="3"/>
  <c r="K1491" i="3"/>
  <c r="K1485" i="3"/>
  <c r="K1490" i="3"/>
  <c r="K1489" i="3"/>
  <c r="K1488" i="3"/>
  <c r="K1487" i="3"/>
  <c r="K1486" i="3"/>
  <c r="K1497" i="3"/>
  <c r="K1496" i="3"/>
  <c r="K1493" i="3"/>
  <c r="K1494" i="3"/>
  <c r="K1495" i="3"/>
  <c r="K1492" i="3"/>
  <c r="K1502" i="3"/>
  <c r="K1500" i="3"/>
  <c r="K1499" i="3"/>
  <c r="K1503" i="3"/>
  <c r="K1498" i="3"/>
  <c r="K1504" i="3"/>
  <c r="K1501" i="3"/>
  <c r="K1512" i="3"/>
  <c r="K1516" i="3"/>
  <c r="K1507" i="3"/>
  <c r="K1506" i="3"/>
  <c r="K1505" i="3"/>
  <c r="K1511" i="3"/>
  <c r="K1515" i="3"/>
  <c r="K1514" i="3"/>
  <c r="K1513" i="3"/>
  <c r="K1510" i="3"/>
  <c r="K1509" i="3"/>
  <c r="K1508" i="3"/>
  <c r="K1527" i="3"/>
  <c r="K1520" i="3"/>
  <c r="K1522" i="3"/>
  <c r="K1526" i="3"/>
  <c r="K1517" i="3"/>
  <c r="K1523" i="3"/>
  <c r="K1525" i="3"/>
  <c r="K1524" i="3"/>
  <c r="K1521" i="3"/>
  <c r="K1518" i="3"/>
  <c r="K1519" i="3"/>
  <c r="K1531" i="3"/>
  <c r="K1528" i="3"/>
  <c r="K1532" i="3"/>
  <c r="K1534" i="3"/>
  <c r="K1533" i="3"/>
  <c r="K1529" i="3"/>
  <c r="K1530" i="3"/>
  <c r="K1540" i="3"/>
  <c r="K1539" i="3"/>
  <c r="K1538" i="3"/>
  <c r="K1541" i="3"/>
  <c r="K1537" i="3"/>
  <c r="K1536" i="3"/>
  <c r="K1535" i="3"/>
  <c r="K1544" i="3"/>
  <c r="K1548" i="3"/>
  <c r="K1547" i="3"/>
  <c r="K1546" i="3"/>
  <c r="K1545" i="3"/>
  <c r="K1542" i="3"/>
  <c r="K1549" i="3"/>
  <c r="K1543" i="3"/>
  <c r="K1554" i="3"/>
  <c r="K1553" i="3"/>
  <c r="K1561" i="3"/>
  <c r="K1560" i="3"/>
  <c r="K1559" i="3"/>
  <c r="K1558" i="3"/>
  <c r="K1557" i="3"/>
  <c r="K1556" i="3"/>
  <c r="K1555" i="3"/>
  <c r="K1552" i="3"/>
  <c r="K1551" i="3"/>
  <c r="K1550" i="3"/>
  <c r="K1568" i="3"/>
  <c r="K1566" i="3"/>
  <c r="K1562" i="3"/>
  <c r="K1569" i="3"/>
  <c r="K1567" i="3"/>
  <c r="K1565" i="3"/>
  <c r="K1564" i="3"/>
  <c r="K1563" i="3"/>
  <c r="K1575" i="3"/>
  <c r="K1572" i="3"/>
  <c r="K1574" i="3"/>
  <c r="K1573" i="3"/>
  <c r="K1571" i="3"/>
  <c r="K1570" i="3"/>
  <c r="K1577" i="3"/>
  <c r="K1576" i="3"/>
  <c r="K1581" i="3"/>
  <c r="K1583" i="3"/>
  <c r="K1582" i="3"/>
  <c r="K1580" i="3"/>
  <c r="K1579" i="3"/>
  <c r="K1591" i="3"/>
  <c r="K1593" i="3"/>
  <c r="K1594" i="3"/>
  <c r="K1588" i="3"/>
  <c r="K1586" i="3"/>
  <c r="K1585" i="3"/>
  <c r="K1592" i="3"/>
  <c r="K1590" i="3"/>
  <c r="K1589" i="3"/>
  <c r="K1587" i="3"/>
  <c r="K1584" i="3"/>
  <c r="K1601" i="3"/>
  <c r="K1605" i="3"/>
  <c r="K1603" i="3"/>
  <c r="K1595" i="3"/>
  <c r="K1602" i="3"/>
  <c r="K1604" i="3"/>
  <c r="K1600" i="3"/>
  <c r="K1599" i="3"/>
  <c r="K1598" i="3"/>
  <c r="K1597" i="3"/>
  <c r="K1596" i="3"/>
  <c r="K1612" i="3"/>
  <c r="K1610" i="3"/>
  <c r="K1609" i="3"/>
  <c r="K1606" i="3"/>
  <c r="K1613" i="3"/>
  <c r="K1617" i="3"/>
  <c r="K1615" i="3"/>
  <c r="K1614" i="3"/>
  <c r="K1611" i="3"/>
  <c r="K1608" i="3"/>
  <c r="K1616" i="3"/>
  <c r="K1607" i="3"/>
  <c r="K1629" i="3"/>
  <c r="K1626" i="3"/>
  <c r="K1623" i="3"/>
  <c r="K1622" i="3"/>
  <c r="K1618" i="3"/>
  <c r="K1627" i="3"/>
  <c r="K1630" i="3"/>
  <c r="K1631" i="3"/>
  <c r="K1628" i="3"/>
  <c r="K1624" i="3"/>
  <c r="K1621" i="3"/>
  <c r="K1620" i="3"/>
  <c r="K1625" i="3"/>
  <c r="K1638" i="3"/>
  <c r="K1636" i="3"/>
  <c r="K1635" i="3"/>
  <c r="K1633" i="3"/>
  <c r="K1632" i="3"/>
  <c r="K1634" i="3"/>
  <c r="K1641" i="3"/>
  <c r="K1639" i="3"/>
  <c r="K1637" i="3"/>
  <c r="K1640" i="3"/>
  <c r="K1647" i="3"/>
  <c r="K1643" i="3"/>
  <c r="K1649" i="3"/>
  <c r="K1642" i="3"/>
  <c r="K1648" i="3"/>
  <c r="K1651" i="3"/>
  <c r="K1650" i="3"/>
  <c r="K1644" i="3"/>
  <c r="K1646" i="3"/>
  <c r="K1652" i="3"/>
  <c r="K1645" i="3"/>
  <c r="K1656" i="3"/>
  <c r="K1658" i="3"/>
  <c r="K1653" i="3"/>
  <c r="K1659" i="3"/>
  <c r="K1655" i="3"/>
  <c r="K1654" i="3"/>
  <c r="K1657" i="3"/>
  <c r="K1666" i="3"/>
  <c r="K1660" i="3"/>
  <c r="K1665" i="3"/>
  <c r="K1664" i="3"/>
  <c r="K1663" i="3"/>
  <c r="K1662" i="3"/>
  <c r="K1661" i="3"/>
  <c r="K1673" i="3"/>
  <c r="K1675" i="3"/>
  <c r="K1667" i="3"/>
  <c r="K1668" i="3"/>
  <c r="K1671" i="3"/>
  <c r="K1676" i="3"/>
  <c r="K1674" i="3"/>
  <c r="K1670" i="3"/>
  <c r="K1669" i="3"/>
  <c r="K1679" i="3"/>
  <c r="K1678" i="3"/>
  <c r="K1680" i="3"/>
  <c r="K1683" i="3"/>
  <c r="K1686" i="3"/>
  <c r="K1682" i="3"/>
  <c r="K1685" i="3"/>
  <c r="K1677" i="3"/>
  <c r="K1681" i="3"/>
  <c r="K1684" i="3"/>
  <c r="K1688" i="3"/>
  <c r="K1687" i="3"/>
  <c r="K1699" i="3"/>
  <c r="K1689" i="3"/>
  <c r="K1691" i="3"/>
  <c r="K1690" i="3"/>
  <c r="K1698" i="3"/>
  <c r="K1694" i="3"/>
  <c r="K1693" i="3"/>
  <c r="K1692" i="3"/>
  <c r="K1696" i="3"/>
  <c r="K1695" i="3"/>
  <c r="K1697" i="3"/>
  <c r="K1702" i="3"/>
  <c r="K1705" i="3"/>
  <c r="K1706" i="3"/>
  <c r="K1704" i="3"/>
  <c r="K1709" i="3"/>
  <c r="K1708" i="3"/>
  <c r="K1707" i="3"/>
  <c r="K1703" i="3"/>
  <c r="K1701" i="3"/>
  <c r="K1700" i="3"/>
  <c r="K1718" i="3"/>
  <c r="K1714" i="3"/>
  <c r="K1712" i="3"/>
  <c r="K1711" i="3"/>
  <c r="K1710" i="3"/>
  <c r="K1720" i="3"/>
  <c r="K1719" i="3"/>
  <c r="K1717" i="3"/>
  <c r="K1716" i="3"/>
  <c r="K1715" i="3"/>
  <c r="K1713" i="3"/>
  <c r="K1726" i="3"/>
  <c r="K1723" i="3"/>
  <c r="K1727" i="3"/>
  <c r="K1725" i="3"/>
  <c r="K1724" i="3"/>
  <c r="K1722" i="3"/>
  <c r="K1721" i="3"/>
  <c r="K1733" i="3"/>
  <c r="K1735" i="3"/>
  <c r="K1730" i="3"/>
  <c r="K1734" i="3"/>
  <c r="K1731" i="3"/>
  <c r="K1729" i="3"/>
  <c r="K1728" i="3"/>
  <c r="K1744" i="3"/>
  <c r="K1738" i="3"/>
  <c r="K1745" i="3"/>
  <c r="K1743" i="3"/>
  <c r="K1741" i="3"/>
  <c r="K1739" i="3"/>
  <c r="K1737" i="3"/>
  <c r="K1736" i="3"/>
  <c r="K1742" i="3"/>
  <c r="K1740" i="3"/>
  <c r="N2" i="3"/>
  <c r="N3" i="3"/>
  <c r="N7" i="3"/>
  <c r="N6" i="3"/>
  <c r="N5" i="3"/>
  <c r="N4" i="3"/>
  <c r="N13" i="3"/>
  <c r="N12" i="3"/>
  <c r="N11" i="3"/>
  <c r="N10" i="3"/>
  <c r="N9" i="3"/>
  <c r="N8" i="3"/>
  <c r="N21" i="3"/>
  <c r="N19" i="3"/>
  <c r="N20" i="3"/>
  <c r="N18" i="3"/>
  <c r="N17" i="3"/>
  <c r="N16" i="3"/>
  <c r="N15" i="3"/>
  <c r="N14" i="3"/>
  <c r="N27" i="3"/>
  <c r="N26" i="3"/>
  <c r="N25" i="3"/>
  <c r="N24" i="3"/>
  <c r="N23" i="3"/>
  <c r="N22" i="3"/>
  <c r="N35" i="3"/>
  <c r="N34" i="3"/>
  <c r="N33" i="3"/>
  <c r="N32" i="3"/>
  <c r="N31" i="3"/>
  <c r="N30" i="3"/>
  <c r="N29" i="3"/>
  <c r="N28" i="3"/>
  <c r="N44" i="3"/>
  <c r="N43" i="3"/>
  <c r="N42" i="3"/>
  <c r="N41" i="3"/>
  <c r="N40" i="3"/>
  <c r="N39" i="3"/>
  <c r="N38" i="3"/>
  <c r="N37" i="3"/>
  <c r="N36" i="3"/>
  <c r="N51" i="3"/>
  <c r="N50" i="3"/>
  <c r="N49" i="3"/>
  <c r="N48" i="3"/>
  <c r="N47" i="3"/>
  <c r="N46" i="3"/>
  <c r="N45" i="3"/>
  <c r="N57" i="3"/>
  <c r="N56" i="3"/>
  <c r="N55" i="3"/>
  <c r="N54" i="3"/>
  <c r="N53" i="3"/>
  <c r="N52" i="3"/>
  <c r="N63" i="3"/>
  <c r="N62" i="3"/>
  <c r="N61" i="3"/>
  <c r="N60" i="3"/>
  <c r="N59" i="3"/>
  <c r="N58" i="3"/>
  <c r="N69" i="3"/>
  <c r="N68" i="3"/>
  <c r="N67" i="3"/>
  <c r="N66" i="3"/>
  <c r="N65" i="3"/>
  <c r="N64" i="3"/>
  <c r="N73" i="3"/>
  <c r="N74" i="3"/>
  <c r="N72" i="3"/>
  <c r="N71" i="3"/>
  <c r="N70" i="3"/>
  <c r="N79" i="3"/>
  <c r="N78" i="3"/>
  <c r="N77" i="3"/>
  <c r="N76" i="3"/>
  <c r="N75" i="3"/>
  <c r="N83" i="3"/>
  <c r="N82" i="3"/>
  <c r="N81" i="3"/>
  <c r="N80" i="3"/>
  <c r="N89" i="3"/>
  <c r="N88" i="3"/>
  <c r="N87" i="3"/>
  <c r="N86" i="3"/>
  <c r="N85" i="3"/>
  <c r="N84" i="3"/>
  <c r="N94" i="3"/>
  <c r="N93" i="3"/>
  <c r="N92" i="3"/>
  <c r="N91" i="3"/>
  <c r="N90" i="3"/>
  <c r="N101" i="3"/>
  <c r="N102" i="3"/>
  <c r="N99" i="3"/>
  <c r="N100" i="3"/>
  <c r="N98" i="3"/>
  <c r="N97" i="3"/>
  <c r="N96" i="3"/>
  <c r="N95" i="3"/>
  <c r="N110" i="3"/>
  <c r="N109" i="3"/>
  <c r="N107" i="3"/>
  <c r="N108" i="3"/>
  <c r="N106" i="3"/>
  <c r="N105" i="3"/>
  <c r="N104" i="3"/>
  <c r="N103" i="3"/>
  <c r="N119" i="3"/>
  <c r="N118" i="3"/>
  <c r="N117" i="3"/>
  <c r="N116" i="3"/>
  <c r="N115" i="3"/>
  <c r="N114" i="3"/>
  <c r="N113" i="3"/>
  <c r="N112" i="3"/>
  <c r="N111" i="3"/>
  <c r="N127" i="3"/>
  <c r="N126" i="3"/>
  <c r="N125" i="3"/>
  <c r="N124" i="3"/>
  <c r="N123" i="3"/>
  <c r="N122" i="3"/>
  <c r="N121" i="3"/>
  <c r="N120" i="3"/>
  <c r="N135" i="3"/>
  <c r="N134" i="3"/>
  <c r="N133" i="3"/>
  <c r="N132" i="3"/>
  <c r="N131" i="3"/>
  <c r="N130" i="3"/>
  <c r="N129" i="3"/>
  <c r="N128" i="3"/>
  <c r="N142" i="3"/>
  <c r="N141" i="3"/>
  <c r="N140" i="3"/>
  <c r="N139" i="3"/>
  <c r="N138" i="3"/>
  <c r="N137" i="3"/>
  <c r="N136" i="3"/>
  <c r="N148" i="3"/>
  <c r="N147" i="3"/>
  <c r="N146" i="3"/>
  <c r="N145" i="3"/>
  <c r="N144" i="3"/>
  <c r="N143" i="3"/>
  <c r="N153" i="3"/>
  <c r="N152" i="3"/>
  <c r="N151" i="3"/>
  <c r="N150" i="3"/>
  <c r="N149" i="3"/>
  <c r="N162" i="3"/>
  <c r="N161" i="3"/>
  <c r="N160" i="3"/>
  <c r="N159" i="3"/>
  <c r="N158" i="3"/>
  <c r="N157" i="3"/>
  <c r="N156" i="3"/>
  <c r="N155" i="3"/>
  <c r="N154" i="3"/>
  <c r="N172" i="3"/>
  <c r="N171" i="3"/>
  <c r="N170" i="3"/>
  <c r="N169" i="3"/>
  <c r="N168" i="3"/>
  <c r="N167" i="3"/>
  <c r="N166" i="3"/>
  <c r="N165" i="3"/>
  <c r="N164" i="3"/>
  <c r="N163" i="3"/>
  <c r="N179" i="3"/>
  <c r="N178" i="3"/>
  <c r="N176" i="3"/>
  <c r="N177" i="3"/>
  <c r="N175" i="3"/>
  <c r="N174" i="3"/>
  <c r="N173" i="3"/>
  <c r="N183" i="3"/>
  <c r="N182" i="3"/>
  <c r="N181" i="3"/>
  <c r="N180" i="3"/>
  <c r="N191" i="3"/>
  <c r="N190" i="3"/>
  <c r="N189" i="3"/>
  <c r="N188" i="3"/>
  <c r="N187" i="3"/>
  <c r="N186" i="3"/>
  <c r="N185" i="3"/>
  <c r="N184" i="3"/>
  <c r="N198" i="3"/>
  <c r="N197" i="3"/>
  <c r="N196" i="3"/>
  <c r="N195" i="3"/>
  <c r="N194" i="3"/>
  <c r="N193" i="3"/>
  <c r="N192" i="3"/>
  <c r="N208" i="3"/>
  <c r="N207" i="3"/>
  <c r="N206" i="3"/>
  <c r="N205" i="3"/>
  <c r="N204" i="3"/>
  <c r="N203" i="3"/>
  <c r="N202" i="3"/>
  <c r="N201" i="3"/>
  <c r="N200" i="3"/>
  <c r="N199" i="3"/>
  <c r="N215" i="3"/>
  <c r="N214" i="3"/>
  <c r="N213" i="3"/>
  <c r="N212" i="3"/>
  <c r="N211" i="3"/>
  <c r="N210" i="3"/>
  <c r="N209" i="3"/>
  <c r="N223" i="3"/>
  <c r="N224" i="3"/>
  <c r="N221" i="3"/>
  <c r="N222" i="3"/>
  <c r="N220" i="3"/>
  <c r="N219" i="3"/>
  <c r="N218" i="3"/>
  <c r="N217" i="3"/>
  <c r="N216" i="3"/>
  <c r="N237" i="3"/>
  <c r="N236" i="3"/>
  <c r="N235" i="3"/>
  <c r="N234" i="3"/>
  <c r="N233" i="3"/>
  <c r="N232" i="3"/>
  <c r="N230" i="3"/>
  <c r="N231" i="3"/>
  <c r="N229" i="3"/>
  <c r="N228" i="3"/>
  <c r="N227" i="3"/>
  <c r="N226" i="3"/>
  <c r="N225" i="3"/>
  <c r="N246" i="3"/>
  <c r="N245" i="3"/>
  <c r="N244" i="3"/>
  <c r="N243" i="3"/>
  <c r="N242" i="3"/>
  <c r="N241" i="3"/>
  <c r="N240" i="3"/>
  <c r="N239" i="3"/>
  <c r="N238" i="3"/>
  <c r="N250" i="3"/>
  <c r="N249" i="3"/>
  <c r="N248" i="3"/>
  <c r="N247" i="3"/>
  <c r="N257" i="3"/>
  <c r="N256" i="3"/>
  <c r="N255" i="3"/>
  <c r="N254" i="3"/>
  <c r="N253" i="3"/>
  <c r="N252" i="3"/>
  <c r="N251" i="3"/>
  <c r="N264" i="3"/>
  <c r="N263" i="3"/>
  <c r="N262" i="3"/>
  <c r="N261" i="3"/>
  <c r="N260" i="3"/>
  <c r="N259" i="3"/>
  <c r="N258" i="3"/>
  <c r="N269" i="3"/>
  <c r="N268" i="3"/>
  <c r="N267" i="3"/>
  <c r="N266" i="3"/>
  <c r="N265" i="3"/>
  <c r="N274" i="3"/>
  <c r="N273" i="3"/>
  <c r="N272" i="3"/>
  <c r="N271" i="3"/>
  <c r="N270" i="3"/>
  <c r="N281" i="3"/>
  <c r="N279" i="3"/>
  <c r="N280" i="3"/>
  <c r="N278" i="3"/>
  <c r="N277" i="3"/>
  <c r="N276" i="3"/>
  <c r="N275" i="3"/>
  <c r="N289" i="3"/>
  <c r="N288" i="3"/>
  <c r="N287" i="3"/>
  <c r="N286" i="3"/>
  <c r="N285" i="3"/>
  <c r="N284" i="3"/>
  <c r="N282" i="3"/>
  <c r="N283" i="3"/>
  <c r="N294" i="3"/>
  <c r="N293" i="3"/>
  <c r="N292" i="3"/>
  <c r="N291" i="3"/>
  <c r="N290" i="3"/>
  <c r="N300" i="3"/>
  <c r="N299" i="3"/>
  <c r="N298" i="3"/>
  <c r="N297" i="3"/>
  <c r="N296" i="3"/>
  <c r="N295" i="3"/>
  <c r="N308" i="3"/>
  <c r="N307" i="3"/>
  <c r="N306" i="3"/>
  <c r="N305" i="3"/>
  <c r="N304" i="3"/>
  <c r="N303" i="3"/>
  <c r="N302" i="3"/>
  <c r="N301" i="3"/>
  <c r="N312" i="3"/>
  <c r="N311" i="3"/>
  <c r="N313" i="3"/>
  <c r="N310" i="3"/>
  <c r="N309" i="3"/>
  <c r="N321" i="3"/>
  <c r="N320" i="3"/>
  <c r="N319" i="3"/>
  <c r="N318" i="3"/>
  <c r="N317" i="3"/>
  <c r="N316" i="3"/>
  <c r="N315" i="3"/>
  <c r="N314" i="3"/>
  <c r="N326" i="3"/>
  <c r="N325" i="3"/>
  <c r="N324" i="3"/>
  <c r="N323" i="3"/>
  <c r="N322" i="3"/>
  <c r="N329" i="3"/>
  <c r="N328" i="3"/>
  <c r="N327" i="3"/>
  <c r="N330" i="3"/>
  <c r="N338" i="3"/>
  <c r="N337" i="3"/>
  <c r="N336" i="3"/>
  <c r="N335" i="3"/>
  <c r="N334" i="3"/>
  <c r="N333" i="3"/>
  <c r="N332" i="3"/>
  <c r="N331" i="3"/>
  <c r="N346" i="3"/>
  <c r="N345" i="3"/>
  <c r="N344" i="3"/>
  <c r="N343" i="3"/>
  <c r="N342" i="3"/>
  <c r="N341" i="3"/>
  <c r="N340" i="3"/>
  <c r="N339" i="3"/>
  <c r="N357" i="3"/>
  <c r="N356" i="3"/>
  <c r="N355" i="3"/>
  <c r="N354" i="3"/>
  <c r="N353" i="3"/>
  <c r="N352" i="3"/>
  <c r="N351" i="3"/>
  <c r="N350" i="3"/>
  <c r="N349" i="3"/>
  <c r="N348" i="3"/>
  <c r="N347" i="3"/>
  <c r="N362" i="3"/>
  <c r="N361" i="3"/>
  <c r="N360" i="3"/>
  <c r="N359" i="3"/>
  <c r="N358" i="3"/>
  <c r="N370" i="3"/>
  <c r="N369" i="3"/>
  <c r="N368" i="3"/>
  <c r="N367" i="3"/>
  <c r="N366" i="3"/>
  <c r="N365" i="3"/>
  <c r="N363" i="3"/>
  <c r="N364" i="3"/>
  <c r="N376" i="3"/>
  <c r="N375" i="3"/>
  <c r="N374" i="3"/>
  <c r="N373" i="3"/>
  <c r="N372" i="3"/>
  <c r="N371" i="3"/>
  <c r="N385" i="3"/>
  <c r="N384" i="3"/>
  <c r="N383" i="3"/>
  <c r="N382" i="3"/>
  <c r="N381" i="3"/>
  <c r="N380" i="3"/>
  <c r="N379" i="3"/>
  <c r="N378" i="3"/>
  <c r="N377" i="3"/>
  <c r="N389" i="3"/>
  <c r="N388" i="3"/>
  <c r="N387" i="3"/>
  <c r="N386" i="3"/>
  <c r="N394" i="3"/>
  <c r="N393" i="3"/>
  <c r="N392" i="3"/>
  <c r="N391" i="3"/>
  <c r="N390" i="3"/>
  <c r="N401" i="3"/>
  <c r="N400" i="3"/>
  <c r="N399" i="3"/>
  <c r="N398" i="3"/>
  <c r="N397" i="3"/>
  <c r="N396" i="3"/>
  <c r="N395" i="3"/>
  <c r="N407" i="3"/>
  <c r="N406" i="3"/>
  <c r="N405" i="3"/>
  <c r="N404" i="3"/>
  <c r="N403" i="3"/>
  <c r="N402" i="3"/>
  <c r="N413" i="3"/>
  <c r="N412" i="3"/>
  <c r="N411" i="3"/>
  <c r="N410" i="3"/>
  <c r="N409" i="3"/>
  <c r="N408" i="3"/>
  <c r="N418" i="3"/>
  <c r="N417" i="3"/>
  <c r="N416" i="3"/>
  <c r="N415" i="3"/>
  <c r="N414" i="3"/>
  <c r="N424" i="3"/>
  <c r="N423" i="3"/>
  <c r="N422" i="3"/>
  <c r="N421" i="3"/>
  <c r="N420" i="3"/>
  <c r="N419" i="3"/>
  <c r="N432" i="3"/>
  <c r="N431" i="3"/>
  <c r="N430" i="3"/>
  <c r="N429" i="3"/>
  <c r="N428" i="3"/>
  <c r="N427" i="3"/>
  <c r="N426" i="3"/>
  <c r="N425" i="3"/>
  <c r="N437" i="3"/>
  <c r="N436" i="3"/>
  <c r="N435" i="3"/>
  <c r="N434" i="3"/>
  <c r="N433" i="3"/>
  <c r="N442" i="3"/>
  <c r="N441" i="3"/>
  <c r="N440" i="3"/>
  <c r="N439" i="3"/>
  <c r="N438" i="3"/>
  <c r="N449" i="3"/>
  <c r="N448" i="3"/>
  <c r="N447" i="3"/>
  <c r="N446" i="3"/>
  <c r="N445" i="3"/>
  <c r="N444" i="3"/>
  <c r="N443" i="3"/>
  <c r="N455" i="3"/>
  <c r="N454" i="3"/>
  <c r="N453" i="3"/>
  <c r="N452" i="3"/>
  <c r="N451" i="3"/>
  <c r="N450" i="3"/>
  <c r="N460" i="3"/>
  <c r="N459" i="3"/>
  <c r="N458" i="3"/>
  <c r="N457" i="3"/>
  <c r="N456" i="3"/>
  <c r="N467" i="3"/>
  <c r="N466" i="3"/>
  <c r="N465" i="3"/>
  <c r="N464" i="3"/>
  <c r="N463" i="3"/>
  <c r="N462" i="3"/>
  <c r="N461" i="3"/>
  <c r="N474" i="3"/>
  <c r="N473" i="3"/>
  <c r="N472" i="3"/>
  <c r="N471" i="3"/>
  <c r="N470" i="3"/>
  <c r="N469" i="3"/>
  <c r="N468" i="3"/>
  <c r="N482" i="3"/>
  <c r="N481" i="3"/>
  <c r="N480" i="3"/>
  <c r="N479" i="3"/>
  <c r="N478" i="3"/>
  <c r="N477" i="3"/>
  <c r="N476" i="3"/>
  <c r="N475" i="3"/>
  <c r="N488" i="3"/>
  <c r="N487" i="3"/>
  <c r="N486" i="3"/>
  <c r="N485" i="3"/>
  <c r="N484" i="3"/>
  <c r="N483" i="3"/>
  <c r="N496" i="3"/>
  <c r="N495" i="3"/>
  <c r="N494" i="3"/>
  <c r="N493" i="3"/>
  <c r="N492" i="3"/>
  <c r="N491" i="3"/>
  <c r="N490" i="3"/>
  <c r="N489" i="3"/>
  <c r="N501" i="3"/>
  <c r="N500" i="3"/>
  <c r="N499" i="3"/>
  <c r="N498" i="3"/>
  <c r="N497" i="3"/>
  <c r="N506" i="3"/>
  <c r="N505" i="3"/>
  <c r="N504" i="3"/>
  <c r="N503" i="3"/>
  <c r="N502" i="3"/>
  <c r="N515" i="3"/>
  <c r="N514" i="3"/>
  <c r="N513" i="3"/>
  <c r="N512" i="3"/>
  <c r="N511" i="3"/>
  <c r="N510" i="3"/>
  <c r="N509" i="3"/>
  <c r="N508" i="3"/>
  <c r="N507" i="3"/>
  <c r="N525" i="3"/>
  <c r="N524" i="3"/>
  <c r="N523" i="3"/>
  <c r="N522" i="3"/>
  <c r="N521" i="3"/>
  <c r="N520" i="3"/>
  <c r="N519" i="3"/>
  <c r="N518" i="3"/>
  <c r="N517" i="3"/>
  <c r="N516" i="3"/>
  <c r="N535" i="3"/>
  <c r="N534" i="3"/>
  <c r="N533" i="3"/>
  <c r="N532" i="3"/>
  <c r="N531" i="3"/>
  <c r="N530" i="3"/>
  <c r="N529" i="3"/>
  <c r="N528" i="3"/>
  <c r="N527" i="3"/>
  <c r="N526" i="3"/>
  <c r="N543" i="3"/>
  <c r="N542" i="3"/>
  <c r="N541" i="3"/>
  <c r="N540" i="3"/>
  <c r="N539" i="3"/>
  <c r="N538" i="3"/>
  <c r="N537" i="3"/>
  <c r="N536" i="3"/>
  <c r="N551" i="3"/>
  <c r="N550" i="3"/>
  <c r="N549" i="3"/>
  <c r="N548" i="3"/>
  <c r="N547" i="3"/>
  <c r="N546" i="3"/>
  <c r="N545" i="3"/>
  <c r="N544" i="3"/>
  <c r="N557" i="3"/>
  <c r="N556" i="3"/>
  <c r="N555" i="3"/>
  <c r="N554" i="3"/>
  <c r="N553" i="3"/>
  <c r="N552" i="3"/>
  <c r="N565" i="3"/>
  <c r="N564" i="3"/>
  <c r="N563" i="3"/>
  <c r="N562" i="3"/>
  <c r="N561" i="3"/>
  <c r="N560" i="3"/>
  <c r="N559" i="3"/>
  <c r="N558" i="3"/>
  <c r="N572" i="3"/>
  <c r="N571" i="3"/>
  <c r="N570" i="3"/>
  <c r="N569" i="3"/>
  <c r="N568" i="3"/>
  <c r="N567" i="3"/>
  <c r="N566" i="3"/>
  <c r="N578" i="3"/>
  <c r="N577" i="3"/>
  <c r="N576" i="3"/>
  <c r="N575" i="3"/>
  <c r="N574" i="3"/>
  <c r="N573" i="3"/>
  <c r="N586" i="3"/>
  <c r="N585" i="3"/>
  <c r="N584" i="3"/>
  <c r="N583" i="3"/>
  <c r="N582" i="3"/>
  <c r="N581" i="3"/>
  <c r="N580" i="3"/>
  <c r="N579" i="3"/>
  <c r="N589" i="3"/>
  <c r="N588" i="3"/>
  <c r="N587" i="3"/>
  <c r="N595" i="3"/>
  <c r="N594" i="3"/>
  <c r="N593" i="3"/>
  <c r="N592" i="3"/>
  <c r="N591" i="3"/>
  <c r="N590" i="3"/>
  <c r="N601" i="3"/>
  <c r="N600" i="3"/>
  <c r="N599" i="3"/>
  <c r="N598" i="3"/>
  <c r="N597" i="3"/>
  <c r="N596" i="3"/>
  <c r="N609" i="3"/>
  <c r="N608" i="3"/>
  <c r="N607" i="3"/>
  <c r="N606" i="3"/>
  <c r="N605" i="3"/>
  <c r="N604" i="3"/>
  <c r="N603" i="3"/>
  <c r="N602" i="3"/>
  <c r="N615" i="3"/>
  <c r="N614" i="3"/>
  <c r="N613" i="3"/>
  <c r="N612" i="3"/>
  <c r="N611" i="3"/>
  <c r="N610" i="3"/>
  <c r="N620" i="3"/>
  <c r="N619" i="3"/>
  <c r="N618" i="3"/>
  <c r="N617" i="3"/>
  <c r="N616" i="3"/>
  <c r="N626" i="3"/>
  <c r="N625" i="3"/>
  <c r="N624" i="3"/>
  <c r="N623" i="3"/>
  <c r="N622" i="3"/>
  <c r="N621" i="3"/>
  <c r="N632" i="3"/>
  <c r="N631" i="3"/>
  <c r="N630" i="3"/>
  <c r="N629" i="3"/>
  <c r="N627" i="3"/>
  <c r="N628" i="3"/>
  <c r="N640" i="3"/>
  <c r="N639" i="3"/>
  <c r="N638" i="3"/>
  <c r="N637" i="3"/>
  <c r="N636" i="3"/>
  <c r="N635" i="3"/>
  <c r="N634" i="3"/>
  <c r="N633" i="3"/>
  <c r="N649" i="3"/>
  <c r="N648" i="3"/>
  <c r="N647" i="3"/>
  <c r="N646" i="3"/>
  <c r="N645" i="3"/>
  <c r="N644" i="3"/>
  <c r="N643" i="3"/>
  <c r="N642" i="3"/>
  <c r="N641" i="3"/>
  <c r="N656" i="3"/>
  <c r="N655" i="3"/>
  <c r="N654" i="3"/>
  <c r="N653" i="3"/>
  <c r="N652" i="3"/>
  <c r="N651" i="3"/>
  <c r="N650" i="3"/>
  <c r="N664" i="3"/>
  <c r="N663" i="3"/>
  <c r="N662" i="3"/>
  <c r="N661" i="3"/>
  <c r="N660" i="3"/>
  <c r="N659" i="3"/>
  <c r="N658" i="3"/>
  <c r="N657" i="3"/>
  <c r="N669" i="3"/>
  <c r="N668" i="3"/>
  <c r="N667" i="3"/>
  <c r="N666" i="3"/>
  <c r="N665" i="3"/>
  <c r="N676" i="3"/>
  <c r="N675" i="3"/>
  <c r="N674" i="3"/>
  <c r="N673" i="3"/>
  <c r="N672" i="3"/>
  <c r="N671" i="3"/>
  <c r="N670" i="3"/>
  <c r="N683" i="3"/>
  <c r="N682" i="3"/>
  <c r="N681" i="3"/>
  <c r="N680" i="3"/>
  <c r="N679" i="3"/>
  <c r="N678" i="3"/>
  <c r="N677" i="3"/>
  <c r="N691" i="3"/>
  <c r="N690" i="3"/>
  <c r="N689" i="3"/>
  <c r="N688" i="3"/>
  <c r="N687" i="3"/>
  <c r="N686" i="3"/>
  <c r="N685" i="3"/>
  <c r="N684" i="3"/>
  <c r="N697" i="3"/>
  <c r="N696" i="3"/>
  <c r="N695" i="3"/>
  <c r="N694" i="3"/>
  <c r="N693" i="3"/>
  <c r="N692" i="3"/>
  <c r="N705" i="3"/>
  <c r="N704" i="3"/>
  <c r="N703" i="3"/>
  <c r="N702" i="3"/>
  <c r="N701" i="3"/>
  <c r="N700" i="3"/>
  <c r="N699" i="3"/>
  <c r="N698" i="3"/>
  <c r="N714" i="3"/>
  <c r="N713" i="3"/>
  <c r="N712" i="3"/>
  <c r="N711" i="3"/>
  <c r="N710" i="3"/>
  <c r="N709" i="3"/>
  <c r="N708" i="3"/>
  <c r="N707" i="3"/>
  <c r="N706" i="3"/>
  <c r="N725" i="3"/>
  <c r="N724" i="3"/>
  <c r="N723" i="3"/>
  <c r="N722" i="3"/>
  <c r="N721" i="3"/>
  <c r="N720" i="3"/>
  <c r="N719" i="3"/>
  <c r="N718" i="3"/>
  <c r="N717" i="3"/>
  <c r="N716" i="3"/>
  <c r="N715" i="3"/>
  <c r="N735" i="3"/>
  <c r="N734" i="3"/>
  <c r="N733" i="3"/>
  <c r="N732" i="3"/>
  <c r="N731" i="3"/>
  <c r="N730" i="3"/>
  <c r="N729" i="3"/>
  <c r="N728" i="3"/>
  <c r="N727" i="3"/>
  <c r="N726" i="3"/>
  <c r="N743" i="3"/>
  <c r="N742" i="3"/>
  <c r="N741" i="3"/>
  <c r="N740" i="3"/>
  <c r="N739" i="3"/>
  <c r="N738" i="3"/>
  <c r="N737" i="3"/>
  <c r="N736" i="3"/>
  <c r="N751" i="3"/>
  <c r="N750" i="3"/>
  <c r="N749" i="3"/>
  <c r="N748" i="3"/>
  <c r="N745" i="3"/>
  <c r="N747" i="3"/>
  <c r="N746" i="3"/>
  <c r="N744" i="3"/>
  <c r="N758" i="3"/>
  <c r="N763" i="3"/>
  <c r="N762" i="3"/>
  <c r="N761" i="3"/>
  <c r="N760" i="3"/>
  <c r="N759" i="3"/>
  <c r="N757" i="3"/>
  <c r="N756" i="3"/>
  <c r="N755" i="3"/>
  <c r="N754" i="3"/>
  <c r="N753" i="3"/>
  <c r="N752" i="3"/>
  <c r="N775" i="3"/>
  <c r="N774" i="3"/>
  <c r="N771" i="3"/>
  <c r="N773" i="3"/>
  <c r="N772" i="3"/>
  <c r="N770" i="3"/>
  <c r="N769" i="3"/>
  <c r="N768" i="3"/>
  <c r="N767" i="3"/>
  <c r="N766" i="3"/>
  <c r="N765" i="3"/>
  <c r="N764" i="3"/>
  <c r="N785" i="3"/>
  <c r="N783" i="3"/>
  <c r="N784" i="3"/>
  <c r="N782" i="3"/>
  <c r="N781" i="3"/>
  <c r="N780" i="3"/>
  <c r="N779" i="3"/>
  <c r="N778" i="3"/>
  <c r="N777" i="3"/>
  <c r="N776" i="3"/>
  <c r="N788" i="3"/>
  <c r="N787" i="3"/>
  <c r="N786" i="3"/>
  <c r="N795" i="3"/>
  <c r="N794" i="3"/>
  <c r="N792" i="3"/>
  <c r="N793" i="3"/>
  <c r="N791" i="3"/>
  <c r="N790" i="3"/>
  <c r="N789" i="3"/>
  <c r="N801" i="3"/>
  <c r="N800" i="3"/>
  <c r="N799" i="3"/>
  <c r="N798" i="3"/>
  <c r="N797" i="3"/>
  <c r="N796" i="3"/>
  <c r="N811" i="3"/>
  <c r="N810" i="3"/>
  <c r="N809" i="3"/>
  <c r="N807" i="3"/>
  <c r="N808" i="3"/>
  <c r="N806" i="3"/>
  <c r="N805" i="3"/>
  <c r="N804" i="3"/>
  <c r="N803" i="3"/>
  <c r="N802" i="3"/>
  <c r="N820" i="3"/>
  <c r="N819" i="3"/>
  <c r="N818" i="3"/>
  <c r="N817" i="3"/>
  <c r="N816" i="3"/>
  <c r="N815" i="3"/>
  <c r="N814" i="3"/>
  <c r="N813" i="3"/>
  <c r="N812" i="3"/>
  <c r="N828" i="3"/>
  <c r="N827" i="3"/>
  <c r="N826" i="3"/>
  <c r="N825" i="3"/>
  <c r="N824" i="3"/>
  <c r="N823" i="3"/>
  <c r="N822" i="3"/>
  <c r="N821" i="3"/>
  <c r="N831" i="3"/>
  <c r="N830" i="3"/>
  <c r="N829" i="3"/>
  <c r="N839" i="3"/>
  <c r="N838" i="3"/>
  <c r="N837" i="3"/>
  <c r="N836" i="3"/>
  <c r="N835" i="3"/>
  <c r="N834" i="3"/>
  <c r="N833" i="3"/>
  <c r="N832" i="3"/>
  <c r="N846" i="3"/>
  <c r="N845" i="3"/>
  <c r="N844" i="3"/>
  <c r="N843" i="3"/>
  <c r="N842" i="3"/>
  <c r="N841" i="3"/>
  <c r="N840" i="3"/>
  <c r="N853" i="3"/>
  <c r="N852" i="3"/>
  <c r="N851" i="3"/>
  <c r="N850" i="3"/>
  <c r="N849" i="3"/>
  <c r="N848" i="3"/>
  <c r="N847" i="3"/>
  <c r="N863" i="3"/>
  <c r="N860" i="3"/>
  <c r="N862" i="3"/>
  <c r="N861" i="3"/>
  <c r="N859" i="3"/>
  <c r="N858" i="3"/>
  <c r="N857" i="3"/>
  <c r="N856" i="3"/>
  <c r="N855" i="3"/>
  <c r="N854" i="3"/>
  <c r="N872" i="3"/>
  <c r="N871" i="3"/>
  <c r="N870" i="3"/>
  <c r="N869" i="3"/>
  <c r="N868" i="3"/>
  <c r="N867" i="3"/>
  <c r="N866" i="3"/>
  <c r="N865" i="3"/>
  <c r="N864" i="3"/>
  <c r="N880" i="3"/>
  <c r="N879" i="3"/>
  <c r="N878" i="3"/>
  <c r="N877" i="3"/>
  <c r="N876" i="3"/>
  <c r="N875" i="3"/>
  <c r="N874" i="3"/>
  <c r="N873" i="3"/>
  <c r="N890" i="3"/>
  <c r="N888" i="3"/>
  <c r="N889" i="3"/>
  <c r="N887" i="3"/>
  <c r="N886" i="3"/>
  <c r="N885" i="3"/>
  <c r="N884" i="3"/>
  <c r="N883" i="3"/>
  <c r="N882" i="3"/>
  <c r="N881" i="3"/>
  <c r="N898" i="3"/>
  <c r="N896" i="3"/>
  <c r="N897" i="3"/>
  <c r="N895" i="3"/>
  <c r="N894" i="3"/>
  <c r="N893" i="3"/>
  <c r="N892" i="3"/>
  <c r="N891" i="3"/>
  <c r="N911" i="3"/>
  <c r="N910" i="3"/>
  <c r="N909" i="3"/>
  <c r="N908" i="3"/>
  <c r="N907" i="3"/>
  <c r="N905" i="3"/>
  <c r="N904" i="3"/>
  <c r="N906" i="3"/>
  <c r="N903" i="3"/>
  <c r="N902" i="3"/>
  <c r="N901" i="3"/>
  <c r="N900" i="3"/>
  <c r="N899" i="3"/>
  <c r="N919" i="3"/>
  <c r="N920" i="3"/>
  <c r="N918" i="3"/>
  <c r="N917" i="3"/>
  <c r="N916" i="3"/>
  <c r="N915" i="3"/>
  <c r="N914" i="3"/>
  <c r="N913" i="3"/>
  <c r="N912" i="3"/>
  <c r="N930" i="3"/>
  <c r="N929" i="3"/>
  <c r="N928" i="3"/>
  <c r="N927" i="3"/>
  <c r="N926" i="3"/>
  <c r="N925" i="3"/>
  <c r="N924" i="3"/>
  <c r="N923" i="3"/>
  <c r="N922" i="3"/>
  <c r="N921" i="3"/>
  <c r="N938" i="3"/>
  <c r="N937" i="3"/>
  <c r="N936" i="3"/>
  <c r="N935" i="3"/>
  <c r="N934" i="3"/>
  <c r="N933" i="3"/>
  <c r="N932" i="3"/>
  <c r="N931" i="3"/>
  <c r="N948" i="3"/>
  <c r="N947" i="3"/>
  <c r="N946" i="3"/>
  <c r="N945" i="3"/>
  <c r="N944" i="3"/>
  <c r="N943" i="3"/>
  <c r="N942" i="3"/>
  <c r="N941" i="3"/>
  <c r="N940" i="3"/>
  <c r="N939" i="3"/>
  <c r="N958" i="3"/>
  <c r="N957" i="3"/>
  <c r="N956" i="3"/>
  <c r="N955" i="3"/>
  <c r="N954" i="3"/>
  <c r="N953" i="3"/>
  <c r="N952" i="3"/>
  <c r="N951" i="3"/>
  <c r="N950" i="3"/>
  <c r="N949" i="3"/>
  <c r="N968" i="3"/>
  <c r="N967" i="3"/>
  <c r="N966" i="3"/>
  <c r="N965" i="3"/>
  <c r="N964" i="3"/>
  <c r="N963" i="3"/>
  <c r="N962" i="3"/>
  <c r="N961" i="3"/>
  <c r="N960" i="3"/>
  <c r="N959" i="3"/>
  <c r="N975" i="3"/>
  <c r="N974" i="3"/>
  <c r="N973" i="3"/>
  <c r="N972" i="3"/>
  <c r="N971" i="3"/>
  <c r="N970" i="3"/>
  <c r="N969" i="3"/>
  <c r="N982" i="3"/>
  <c r="N981" i="3"/>
  <c r="N980" i="3"/>
  <c r="N979" i="3"/>
  <c r="N978" i="3"/>
  <c r="N977" i="3"/>
  <c r="N976" i="3"/>
  <c r="N991" i="3"/>
  <c r="N990" i="3"/>
  <c r="N989" i="3"/>
  <c r="N988" i="3"/>
  <c r="N987" i="3"/>
  <c r="N986" i="3"/>
  <c r="N985" i="3"/>
  <c r="N984" i="3"/>
  <c r="N983" i="3"/>
  <c r="N998" i="3"/>
  <c r="N997" i="3"/>
  <c r="N996" i="3"/>
  <c r="N995" i="3"/>
  <c r="N994" i="3"/>
  <c r="N993" i="3"/>
  <c r="N992" i="3"/>
  <c r="N1003" i="3"/>
  <c r="N1002" i="3"/>
  <c r="N1001" i="3"/>
  <c r="N1000" i="3"/>
  <c r="N999" i="3"/>
  <c r="N1011" i="3"/>
  <c r="N1010" i="3"/>
  <c r="N1009" i="3"/>
  <c r="N1008" i="3"/>
  <c r="N1007" i="3"/>
  <c r="N1006" i="3"/>
  <c r="N1005" i="3"/>
  <c r="N1004" i="3"/>
  <c r="N1016" i="3"/>
  <c r="N1015" i="3"/>
  <c r="N1014" i="3"/>
  <c r="N1013" i="3"/>
  <c r="N1012" i="3"/>
  <c r="N1025" i="3"/>
  <c r="N1024" i="3"/>
  <c r="N1023" i="3"/>
  <c r="N1022" i="3"/>
  <c r="N1021" i="3"/>
  <c r="N1020" i="3"/>
  <c r="N1019" i="3"/>
  <c r="N1018" i="3"/>
  <c r="N1017" i="3"/>
  <c r="N1027" i="3"/>
  <c r="N1026" i="3"/>
  <c r="N1034" i="3"/>
  <c r="N1033" i="3"/>
  <c r="N1032" i="3"/>
  <c r="N1031" i="3"/>
  <c r="N1030" i="3"/>
  <c r="N1029" i="3"/>
  <c r="N1028" i="3"/>
  <c r="N1042" i="3"/>
  <c r="N1041" i="3"/>
  <c r="N1040" i="3"/>
  <c r="N1039" i="3"/>
  <c r="N1038" i="3"/>
  <c r="N1037" i="3"/>
  <c r="N1036" i="3"/>
  <c r="N1035" i="3"/>
  <c r="N1051" i="3"/>
  <c r="N1050" i="3"/>
  <c r="N1049" i="3"/>
  <c r="N1048" i="3"/>
  <c r="N1047" i="3"/>
  <c r="N1046" i="3"/>
  <c r="N1045" i="3"/>
  <c r="N1044" i="3"/>
  <c r="N1043" i="3"/>
  <c r="N1055" i="3"/>
  <c r="N1054" i="3"/>
  <c r="N1053" i="3"/>
  <c r="N1052" i="3"/>
  <c r="N1058" i="3"/>
  <c r="N1057" i="3"/>
  <c r="N1056" i="3"/>
  <c r="N1063" i="3"/>
  <c r="N1062" i="3"/>
  <c r="N1061" i="3"/>
  <c r="N1060" i="3"/>
  <c r="N1059" i="3"/>
  <c r="N1069" i="3"/>
  <c r="N1068" i="3"/>
  <c r="N1067" i="3"/>
  <c r="N1066" i="3"/>
  <c r="N1065" i="3"/>
  <c r="N1064" i="3"/>
  <c r="N1071" i="3"/>
  <c r="N1077" i="3"/>
  <c r="N1075" i="3"/>
  <c r="N1076" i="3"/>
  <c r="N1074" i="3"/>
  <c r="N1073" i="3"/>
  <c r="N1072" i="3"/>
  <c r="N1070" i="3"/>
  <c r="N1084" i="3"/>
  <c r="N1083" i="3"/>
  <c r="N1082" i="3"/>
  <c r="N1081" i="3"/>
  <c r="N1080" i="3"/>
  <c r="N1079" i="3"/>
  <c r="N1078" i="3"/>
  <c r="N1091" i="3"/>
  <c r="N1090" i="3"/>
  <c r="N1089" i="3"/>
  <c r="N1087" i="3"/>
  <c r="N1088" i="3"/>
  <c r="N1085" i="3"/>
  <c r="N1086" i="3"/>
  <c r="N1099" i="3"/>
  <c r="N1095" i="3"/>
  <c r="N1098" i="3"/>
  <c r="N1096" i="3"/>
  <c r="N1097" i="3"/>
  <c r="N1094" i="3"/>
  <c r="N1093" i="3"/>
  <c r="N1092" i="3"/>
  <c r="N1104" i="3"/>
  <c r="N1103" i="3"/>
  <c r="N1102" i="3"/>
  <c r="N1101" i="3"/>
  <c r="N1100" i="3"/>
  <c r="N1110" i="3"/>
  <c r="N1109" i="3"/>
  <c r="N1108" i="3"/>
  <c r="N1107" i="3"/>
  <c r="N1106" i="3"/>
  <c r="N1105" i="3"/>
  <c r="N1117" i="3"/>
  <c r="N1116" i="3"/>
  <c r="N1115" i="3"/>
  <c r="N1114" i="3"/>
  <c r="N1113" i="3"/>
  <c r="N1112" i="3"/>
  <c r="N1111" i="3"/>
  <c r="N1122" i="3"/>
  <c r="N1121" i="3"/>
  <c r="N1120" i="3"/>
  <c r="N1119" i="3"/>
  <c r="N1118" i="3"/>
  <c r="N1130" i="3"/>
  <c r="N1129" i="3"/>
  <c r="N1127" i="3"/>
  <c r="N1128" i="3"/>
  <c r="N1126" i="3"/>
  <c r="N1125" i="3"/>
  <c r="N1124" i="3"/>
  <c r="N1123" i="3"/>
  <c r="N1140" i="3"/>
  <c r="N1141" i="3"/>
  <c r="N1139" i="3"/>
  <c r="N1138" i="3"/>
  <c r="N1137" i="3"/>
  <c r="N1136" i="3"/>
  <c r="N1135" i="3"/>
  <c r="N1134" i="3"/>
  <c r="N1133" i="3"/>
  <c r="N1132" i="3"/>
  <c r="N1131" i="3"/>
  <c r="N1151" i="3"/>
  <c r="N1150" i="3"/>
  <c r="N1149" i="3"/>
  <c r="N1148" i="3"/>
  <c r="N1147" i="3"/>
  <c r="N1146" i="3"/>
  <c r="N1145" i="3"/>
  <c r="N1144" i="3"/>
  <c r="N1143" i="3"/>
  <c r="N1142" i="3"/>
  <c r="N1161" i="3"/>
  <c r="N1160" i="3"/>
  <c r="N1159" i="3"/>
  <c r="N1158" i="3"/>
  <c r="N1157" i="3"/>
  <c r="N1156" i="3"/>
  <c r="N1155" i="3"/>
  <c r="N1154" i="3"/>
  <c r="N1153" i="3"/>
  <c r="N1152" i="3"/>
  <c r="N1173" i="3"/>
  <c r="N1172" i="3"/>
  <c r="N1171" i="3"/>
  <c r="N1170" i="3"/>
  <c r="N1169" i="3"/>
  <c r="N1168" i="3"/>
  <c r="N1167" i="3"/>
  <c r="N1166" i="3"/>
  <c r="N1165" i="3"/>
  <c r="N1164" i="3"/>
  <c r="N1163" i="3"/>
  <c r="N1162" i="3"/>
  <c r="N1181" i="3"/>
  <c r="N1180" i="3"/>
  <c r="N1179" i="3"/>
  <c r="N1178" i="3"/>
  <c r="N1177" i="3"/>
  <c r="N1176" i="3"/>
  <c r="N1175" i="3"/>
  <c r="N1174" i="3"/>
  <c r="N1185" i="3"/>
  <c r="N1184" i="3"/>
  <c r="N1183" i="3"/>
  <c r="N1182" i="3"/>
  <c r="N1190" i="3"/>
  <c r="N1189" i="3"/>
  <c r="N1188" i="3"/>
  <c r="N1187" i="3"/>
  <c r="N1186" i="3"/>
  <c r="N1193" i="3"/>
  <c r="N1192" i="3"/>
  <c r="N1191" i="3"/>
  <c r="N1198" i="3"/>
  <c r="N1197" i="3"/>
  <c r="N1196" i="3"/>
  <c r="N1195" i="3"/>
  <c r="N1194" i="3"/>
  <c r="N1202" i="3"/>
  <c r="N1201" i="3"/>
  <c r="N1200" i="3"/>
  <c r="N1199" i="3"/>
  <c r="N1208" i="3"/>
  <c r="N1209" i="3"/>
  <c r="N1207" i="3"/>
  <c r="N1206" i="3"/>
  <c r="N1205" i="3"/>
  <c r="N1204" i="3"/>
  <c r="N1203" i="3"/>
  <c r="N1216" i="3"/>
  <c r="N1214" i="3"/>
  <c r="N1215" i="3"/>
  <c r="N1213" i="3"/>
  <c r="N1212" i="3"/>
  <c r="N1211" i="3"/>
  <c r="N1210" i="3"/>
  <c r="N1222" i="3"/>
  <c r="N1223" i="3"/>
  <c r="N1220" i="3"/>
  <c r="N1221" i="3"/>
  <c r="N1219" i="3"/>
  <c r="N1217" i="3"/>
  <c r="N1218" i="3"/>
  <c r="N1228" i="3"/>
  <c r="N1227" i="3"/>
  <c r="N1226" i="3"/>
  <c r="N1225" i="3"/>
  <c r="N1224" i="3"/>
  <c r="N1235" i="3"/>
  <c r="N1233" i="3"/>
  <c r="N1234" i="3"/>
  <c r="N1232" i="3"/>
  <c r="N1231" i="3"/>
  <c r="N1230" i="3"/>
  <c r="N1229" i="3"/>
  <c r="N1239" i="3"/>
  <c r="N1238" i="3"/>
  <c r="N1237" i="3"/>
  <c r="N1236" i="3"/>
  <c r="N1244" i="3"/>
  <c r="N1243" i="3"/>
  <c r="N1242" i="3"/>
  <c r="N1241" i="3"/>
  <c r="N1240" i="3"/>
  <c r="N1251" i="3"/>
  <c r="N1250" i="3"/>
  <c r="N1249" i="3"/>
  <c r="N1248" i="3"/>
  <c r="N1247" i="3"/>
  <c r="N1246" i="3"/>
  <c r="N1245" i="3"/>
  <c r="N1258" i="3"/>
  <c r="N1257" i="3"/>
  <c r="N1256" i="3"/>
  <c r="N1255" i="3"/>
  <c r="N1254" i="3"/>
  <c r="N1253" i="3"/>
  <c r="N1252" i="3"/>
  <c r="N1267" i="3"/>
  <c r="N1266" i="3"/>
  <c r="N1265" i="3"/>
  <c r="N1264" i="3"/>
  <c r="N1263" i="3"/>
  <c r="N1262" i="3"/>
  <c r="N1261" i="3"/>
  <c r="N1260" i="3"/>
  <c r="N1259" i="3"/>
  <c r="N1272" i="3"/>
  <c r="N1271" i="3"/>
  <c r="N1275" i="3"/>
  <c r="N1270" i="3"/>
  <c r="N1269" i="3"/>
  <c r="N1268" i="3"/>
  <c r="N1274" i="3"/>
  <c r="N1273" i="3"/>
  <c r="N1281" i="3"/>
  <c r="N1276" i="3"/>
  <c r="N1277" i="3"/>
  <c r="N1278" i="3"/>
  <c r="N1279" i="3"/>
  <c r="N1280" i="3"/>
  <c r="N1283" i="3"/>
  <c r="N1287" i="3"/>
  <c r="N1286" i="3"/>
  <c r="N1282" i="3"/>
  <c r="N1285" i="3"/>
  <c r="N1284" i="3"/>
  <c r="N1292" i="3"/>
  <c r="N1290" i="3"/>
  <c r="N1293" i="3"/>
  <c r="N1291" i="3"/>
  <c r="N1289" i="3"/>
  <c r="N1288" i="3"/>
  <c r="N1299" i="3"/>
  <c r="N1298" i="3"/>
  <c r="N1297" i="3"/>
  <c r="N1296" i="3"/>
  <c r="N1295" i="3"/>
  <c r="N1294" i="3"/>
  <c r="N1305" i="3"/>
  <c r="N1304" i="3"/>
  <c r="N1302" i="3"/>
  <c r="N1301" i="3"/>
  <c r="N1300" i="3"/>
  <c r="N1303" i="3"/>
  <c r="N1312" i="3"/>
  <c r="N1311" i="3"/>
  <c r="N1308" i="3"/>
  <c r="N1307" i="3"/>
  <c r="N1309" i="3"/>
  <c r="N1306" i="3"/>
  <c r="N1310" i="3"/>
  <c r="N1317" i="3"/>
  <c r="N1320" i="3"/>
  <c r="N1319" i="3"/>
  <c r="N1318" i="3"/>
  <c r="N1322" i="3"/>
  <c r="N1316" i="3"/>
  <c r="N1315" i="3"/>
  <c r="N1314" i="3"/>
  <c r="N1321" i="3"/>
  <c r="N1313" i="3"/>
  <c r="N1323" i="3"/>
  <c r="N1327" i="3"/>
  <c r="N1328" i="3"/>
  <c r="N1332" i="3"/>
  <c r="N1325" i="3"/>
  <c r="N1326" i="3"/>
  <c r="N1329" i="3"/>
  <c r="N1330" i="3"/>
  <c r="N1324" i="3"/>
  <c r="N1331" i="3"/>
  <c r="N1340" i="3"/>
  <c r="N1338" i="3"/>
  <c r="N1336" i="3"/>
  <c r="N1335" i="3"/>
  <c r="N1334" i="3"/>
  <c r="N1337" i="3"/>
  <c r="N1339" i="3"/>
  <c r="N1333" i="3"/>
  <c r="N1346" i="3"/>
  <c r="N1345" i="3"/>
  <c r="N1344" i="3"/>
  <c r="N1343" i="3"/>
  <c r="N1342" i="3"/>
  <c r="N1341" i="3"/>
  <c r="N1353" i="3"/>
  <c r="N1351" i="3"/>
  <c r="N1350" i="3"/>
  <c r="N1349" i="3"/>
  <c r="N1357" i="3"/>
  <c r="N1348" i="3"/>
  <c r="N1356" i="3"/>
  <c r="N1355" i="3"/>
  <c r="N1354" i="3"/>
  <c r="N1352" i="3"/>
  <c r="N1347" i="3"/>
  <c r="N1369" i="3"/>
  <c r="N1367" i="3"/>
  <c r="N1365" i="3"/>
  <c r="N1360" i="3"/>
  <c r="N1368" i="3"/>
  <c r="N1366" i="3"/>
  <c r="N1364" i="3"/>
  <c r="N1362" i="3"/>
  <c r="N1361" i="3"/>
  <c r="N1359" i="3"/>
  <c r="N1358" i="3"/>
  <c r="N1363" i="3"/>
  <c r="N1378" i="3"/>
  <c r="N1373" i="3"/>
  <c r="N1372" i="3"/>
  <c r="N1371" i="3"/>
  <c r="N1377" i="3"/>
  <c r="N1376" i="3"/>
  <c r="N1374" i="3"/>
  <c r="N1375" i="3"/>
  <c r="N1370" i="3"/>
  <c r="N1384" i="3"/>
  <c r="N1383" i="3"/>
  <c r="N1381" i="3"/>
  <c r="N1379" i="3"/>
  <c r="N1380" i="3"/>
  <c r="N1382" i="3"/>
  <c r="N1395" i="3"/>
  <c r="N1386" i="3"/>
  <c r="N1393" i="3"/>
  <c r="N1392" i="3"/>
  <c r="N1391" i="3"/>
  <c r="N1390" i="3"/>
  <c r="N1389" i="3"/>
  <c r="N1388" i="3"/>
  <c r="N1387" i="3"/>
  <c r="N1385" i="3"/>
  <c r="N1394" i="3"/>
  <c r="N1397" i="3"/>
  <c r="N1402" i="3"/>
  <c r="N1400" i="3"/>
  <c r="N1399" i="3"/>
  <c r="N1398" i="3"/>
  <c r="N1396" i="3"/>
  <c r="N1401" i="3"/>
  <c r="N1403" i="3"/>
  <c r="N1409" i="3"/>
  <c r="N1406" i="3"/>
  <c r="N1408" i="3"/>
  <c r="N1412" i="3"/>
  <c r="N1411" i="3"/>
  <c r="N1407" i="3"/>
  <c r="N1405" i="3"/>
  <c r="N1404" i="3"/>
  <c r="N1410" i="3"/>
  <c r="N1417" i="3"/>
  <c r="N1420" i="3"/>
  <c r="N1418" i="3"/>
  <c r="N1416" i="3"/>
  <c r="N1415" i="3"/>
  <c r="N1414" i="3"/>
  <c r="N1413" i="3"/>
  <c r="N1419" i="3"/>
  <c r="N1427" i="3"/>
  <c r="N1426" i="3"/>
  <c r="N1421" i="3"/>
  <c r="N1430" i="3"/>
  <c r="N1429" i="3"/>
  <c r="N1428" i="3"/>
  <c r="N1425" i="3"/>
  <c r="N1424" i="3"/>
  <c r="N1423" i="3"/>
  <c r="N1422" i="3"/>
  <c r="N1438" i="3"/>
  <c r="N1435" i="3"/>
  <c r="N1431" i="3"/>
  <c r="N1437" i="3"/>
  <c r="N1436" i="3"/>
  <c r="N1434" i="3"/>
  <c r="N1433" i="3"/>
  <c r="N1432" i="3"/>
  <c r="N1444" i="3"/>
  <c r="N1440" i="3"/>
  <c r="N1439" i="3"/>
  <c r="N1449" i="3"/>
  <c r="N1448" i="3"/>
  <c r="N1447" i="3"/>
  <c r="N1446" i="3"/>
  <c r="N1445" i="3"/>
  <c r="N1443" i="3"/>
  <c r="N1442" i="3"/>
  <c r="N1441" i="3"/>
  <c r="N1455" i="3"/>
  <c r="N1454" i="3"/>
  <c r="N1452" i="3"/>
  <c r="N1456" i="3"/>
  <c r="N1453" i="3"/>
  <c r="N1451" i="3"/>
  <c r="N1450" i="3"/>
  <c r="N1457" i="3"/>
  <c r="N1464" i="3"/>
  <c r="N1463" i="3"/>
  <c r="N1461" i="3"/>
  <c r="N1462" i="3"/>
  <c r="N1460" i="3"/>
  <c r="N1459" i="3"/>
  <c r="N1458" i="3"/>
  <c r="N1467" i="3"/>
  <c r="N1465" i="3"/>
  <c r="N1466" i="3"/>
  <c r="N1472" i="3"/>
  <c r="N1469" i="3"/>
  <c r="N1468" i="3"/>
  <c r="N1470" i="3"/>
  <c r="N1471" i="3"/>
  <c r="N1476" i="3"/>
  <c r="N1474" i="3"/>
  <c r="N1475" i="3"/>
  <c r="N1473" i="3"/>
  <c r="N1481" i="3"/>
  <c r="N1480" i="3"/>
  <c r="N1483" i="3"/>
  <c r="N1482" i="3"/>
  <c r="N1479" i="3"/>
  <c r="N1478" i="3"/>
  <c r="N1477" i="3"/>
  <c r="N1484" i="3"/>
  <c r="N1491" i="3"/>
  <c r="N1485" i="3"/>
  <c r="N1490" i="3"/>
  <c r="N1489" i="3"/>
  <c r="N1488" i="3"/>
  <c r="N1487" i="3"/>
  <c r="N1486" i="3"/>
  <c r="N1497" i="3"/>
  <c r="N1496" i="3"/>
  <c r="N1493" i="3"/>
  <c r="N1494" i="3"/>
  <c r="N1495" i="3"/>
  <c r="N1492" i="3"/>
  <c r="N1502" i="3"/>
  <c r="N1500" i="3"/>
  <c r="N1499" i="3"/>
  <c r="N1503" i="3"/>
  <c r="N1498" i="3"/>
  <c r="N1504" i="3"/>
  <c r="N1501" i="3"/>
  <c r="N1512" i="3"/>
  <c r="N1516" i="3"/>
  <c r="N1507" i="3"/>
  <c r="N1506" i="3"/>
  <c r="N1505" i="3"/>
  <c r="N1511" i="3"/>
  <c r="N1515" i="3"/>
  <c r="N1514" i="3"/>
  <c r="N1513" i="3"/>
  <c r="N1510" i="3"/>
  <c r="N1509" i="3"/>
  <c r="N1508" i="3"/>
  <c r="N1527" i="3"/>
  <c r="N1520" i="3"/>
  <c r="N1522" i="3"/>
  <c r="N1526" i="3"/>
  <c r="N1517" i="3"/>
  <c r="N1523" i="3"/>
  <c r="N1525" i="3"/>
  <c r="N1524" i="3"/>
  <c r="N1521" i="3"/>
  <c r="N1518" i="3"/>
  <c r="N1519" i="3"/>
  <c r="N1531" i="3"/>
  <c r="N1528" i="3"/>
  <c r="N1532" i="3"/>
  <c r="N1534" i="3"/>
  <c r="N1533" i="3"/>
  <c r="N1529" i="3"/>
  <c r="N1530" i="3"/>
  <c r="N1540" i="3"/>
  <c r="N1539" i="3"/>
  <c r="N1538" i="3"/>
  <c r="N1541" i="3"/>
  <c r="N1537" i="3"/>
  <c r="N1536" i="3"/>
  <c r="N1535" i="3"/>
  <c r="N1544" i="3"/>
  <c r="N1548" i="3"/>
  <c r="N1547" i="3"/>
  <c r="N1546" i="3"/>
  <c r="N1545" i="3"/>
  <c r="N1542" i="3"/>
  <c r="N1549" i="3"/>
  <c r="N1543" i="3"/>
  <c r="N1554" i="3"/>
  <c r="N1553" i="3"/>
  <c r="N1561" i="3"/>
  <c r="N1560" i="3"/>
  <c r="N1559" i="3"/>
  <c r="N1558" i="3"/>
  <c r="N1557" i="3"/>
  <c r="N1556" i="3"/>
  <c r="N1555" i="3"/>
  <c r="N1552" i="3"/>
  <c r="N1551" i="3"/>
  <c r="N1550" i="3"/>
  <c r="N1568" i="3"/>
  <c r="N1566" i="3"/>
  <c r="N1562" i="3"/>
  <c r="N1569" i="3"/>
  <c r="N1567" i="3"/>
  <c r="N1565" i="3"/>
  <c r="N1564" i="3"/>
  <c r="N1563" i="3"/>
  <c r="N1575" i="3"/>
  <c r="N1572" i="3"/>
  <c r="N1574" i="3"/>
  <c r="N1573" i="3"/>
  <c r="N1571" i="3"/>
  <c r="N1570" i="3"/>
  <c r="N1577" i="3"/>
  <c r="N1576" i="3"/>
  <c r="N1581" i="3"/>
  <c r="N1578" i="3"/>
  <c r="N1583" i="3"/>
  <c r="N1582" i="3"/>
  <c r="N1580" i="3"/>
  <c r="N1579" i="3"/>
  <c r="N1591" i="3"/>
  <c r="N1593" i="3"/>
  <c r="N1594" i="3"/>
  <c r="N1588" i="3"/>
  <c r="N1586" i="3"/>
  <c r="N1585" i="3"/>
  <c r="N1592" i="3"/>
  <c r="N1590" i="3"/>
  <c r="N1589" i="3"/>
  <c r="N1587" i="3"/>
  <c r="N1584" i="3"/>
  <c r="N1601" i="3"/>
  <c r="N1605" i="3"/>
  <c r="N1603" i="3"/>
  <c r="N1595" i="3"/>
  <c r="N1602" i="3"/>
  <c r="N1604" i="3"/>
  <c r="N1600" i="3"/>
  <c r="N1599" i="3"/>
  <c r="N1598" i="3"/>
  <c r="N1597" i="3"/>
  <c r="N1596" i="3"/>
  <c r="N1612" i="3"/>
  <c r="N1610" i="3"/>
  <c r="N1609" i="3"/>
  <c r="N1606" i="3"/>
  <c r="N1613" i="3"/>
  <c r="N1617" i="3"/>
  <c r="N1615" i="3"/>
  <c r="N1614" i="3"/>
  <c r="N1611" i="3"/>
  <c r="N1608" i="3"/>
  <c r="N1616" i="3"/>
  <c r="N1607" i="3"/>
  <c r="N1629" i="3"/>
  <c r="N1626" i="3"/>
  <c r="N1623" i="3"/>
  <c r="N1622" i="3"/>
  <c r="N1618" i="3"/>
  <c r="N1627" i="3"/>
  <c r="N1630" i="3"/>
  <c r="N1631" i="3"/>
  <c r="N1628" i="3"/>
  <c r="N1624" i="3"/>
  <c r="N1621" i="3"/>
  <c r="N1620" i="3"/>
  <c r="N1625" i="3"/>
  <c r="N1638" i="3"/>
  <c r="N1636" i="3"/>
  <c r="N1635" i="3"/>
  <c r="N1633" i="3"/>
  <c r="N1632" i="3"/>
  <c r="N1634" i="3"/>
  <c r="N1641" i="3"/>
  <c r="N1639" i="3"/>
  <c r="N1637" i="3"/>
  <c r="N1640" i="3"/>
  <c r="N1647" i="3"/>
  <c r="N1643" i="3"/>
  <c r="N1649" i="3"/>
  <c r="N1642" i="3"/>
  <c r="N1648" i="3"/>
  <c r="N1651" i="3"/>
  <c r="N1650" i="3"/>
  <c r="N1644" i="3"/>
  <c r="N1646" i="3"/>
  <c r="N1652" i="3"/>
  <c r="N1645" i="3"/>
  <c r="N1656" i="3"/>
  <c r="N1658" i="3"/>
  <c r="N1653" i="3"/>
  <c r="N1659" i="3"/>
  <c r="N1655" i="3"/>
  <c r="N1654" i="3"/>
  <c r="N1657" i="3"/>
  <c r="N1666" i="3"/>
  <c r="N1660" i="3"/>
  <c r="N1665" i="3"/>
  <c r="N1664" i="3"/>
  <c r="N1663" i="3"/>
  <c r="N1662" i="3"/>
  <c r="N1661" i="3"/>
  <c r="N1673" i="3"/>
  <c r="N1675" i="3"/>
  <c r="N1667" i="3"/>
  <c r="N1668" i="3"/>
  <c r="N1671" i="3"/>
  <c r="N1676" i="3"/>
  <c r="N1674" i="3"/>
  <c r="N1670" i="3"/>
  <c r="N1669" i="3"/>
  <c r="N1679" i="3"/>
  <c r="N1678" i="3"/>
  <c r="N1680" i="3"/>
  <c r="N1683" i="3"/>
  <c r="N1686" i="3"/>
  <c r="N1682" i="3"/>
  <c r="N1685" i="3"/>
  <c r="N1677" i="3"/>
  <c r="N1681" i="3"/>
  <c r="N1684" i="3"/>
  <c r="N1688" i="3"/>
  <c r="N1687" i="3"/>
  <c r="N1699" i="3"/>
  <c r="N1689" i="3"/>
  <c r="N1691" i="3"/>
  <c r="N1690" i="3"/>
  <c r="N1698" i="3"/>
  <c r="N1694" i="3"/>
  <c r="N1693" i="3"/>
  <c r="N1692" i="3"/>
  <c r="N1696" i="3"/>
  <c r="N1695" i="3"/>
  <c r="N1697" i="3"/>
  <c r="N1702" i="3"/>
  <c r="N1705" i="3"/>
  <c r="N1706" i="3"/>
  <c r="N1704" i="3"/>
  <c r="N1709" i="3"/>
  <c r="N1708" i="3"/>
  <c r="N1707" i="3"/>
  <c r="N1703" i="3"/>
  <c r="N1701" i="3"/>
  <c r="N1700" i="3"/>
  <c r="N1718" i="3"/>
  <c r="N1714" i="3"/>
  <c r="N1712" i="3"/>
  <c r="N1711" i="3"/>
  <c r="N1710" i="3"/>
  <c r="N1720" i="3"/>
  <c r="N1719" i="3"/>
  <c r="N1717" i="3"/>
  <c r="N1716" i="3"/>
  <c r="N1715" i="3"/>
  <c r="N1713" i="3"/>
  <c r="N1726" i="3"/>
  <c r="N1723" i="3"/>
  <c r="N1727" i="3"/>
  <c r="N1725" i="3"/>
  <c r="N1724" i="3"/>
  <c r="N1722" i="3"/>
  <c r="N1721" i="3"/>
  <c r="N1733" i="3"/>
  <c r="N1735" i="3"/>
  <c r="N1730" i="3"/>
  <c r="N1734" i="3"/>
  <c r="N1731" i="3"/>
  <c r="N1729" i="3"/>
  <c r="N1728" i="3"/>
  <c r="N1732" i="3"/>
  <c r="N1744" i="3"/>
  <c r="N1738" i="3"/>
  <c r="N1745" i="3"/>
  <c r="N1743" i="3"/>
  <c r="N1741" i="3"/>
  <c r="N1739" i="3"/>
  <c r="N1737" i="3"/>
  <c r="N1736" i="3"/>
  <c r="N1742" i="3"/>
  <c r="N1740" i="3"/>
  <c r="O6" i="3"/>
  <c r="O8" i="3"/>
  <c r="O14" i="3"/>
  <c r="O26" i="3"/>
  <c r="O22" i="3"/>
  <c r="O34" i="3"/>
  <c r="O43" i="3"/>
  <c r="O41" i="3"/>
  <c r="O51" i="3"/>
  <c r="O56" i="3"/>
  <c r="O55" i="3"/>
  <c r="O62" i="3"/>
  <c r="O60" i="3"/>
  <c r="O58" i="3"/>
  <c r="O66" i="3"/>
  <c r="O64" i="3"/>
  <c r="O72" i="3"/>
  <c r="O77" i="3"/>
  <c r="O88" i="3"/>
  <c r="O93" i="3"/>
  <c r="O91" i="3"/>
  <c r="O98" i="3"/>
  <c r="O96" i="3"/>
  <c r="O107" i="3"/>
  <c r="O104" i="3"/>
  <c r="O113" i="3"/>
  <c r="O112" i="3"/>
  <c r="O122" i="3"/>
  <c r="O132" i="3"/>
  <c r="O130" i="3"/>
  <c r="O137" i="3"/>
  <c r="O153" i="3"/>
  <c r="O151" i="3"/>
  <c r="O159" i="3"/>
  <c r="O172" i="3"/>
  <c r="O170" i="3"/>
  <c r="O179" i="3"/>
  <c r="O176" i="3"/>
  <c r="O177" i="3"/>
  <c r="O173" i="3"/>
  <c r="O182" i="3"/>
  <c r="O181" i="3"/>
  <c r="O186" i="3"/>
  <c r="O195" i="3"/>
  <c r="O193" i="3"/>
  <c r="O207" i="3"/>
  <c r="O204" i="3"/>
  <c r="O202" i="3"/>
  <c r="O211" i="3"/>
  <c r="O219" i="3"/>
  <c r="O235" i="3"/>
  <c r="O233" i="3"/>
  <c r="O227" i="3"/>
  <c r="O225" i="3"/>
  <c r="O239" i="3"/>
  <c r="O238" i="3"/>
  <c r="O255" i="3"/>
  <c r="O261" i="3"/>
  <c r="O267" i="3"/>
  <c r="O265" i="3"/>
  <c r="O280" i="3"/>
  <c r="O276" i="3"/>
  <c r="O286" i="3"/>
  <c r="O291" i="3"/>
  <c r="O296" i="3"/>
  <c r="O308" i="3"/>
  <c r="O312" i="3"/>
  <c r="O311" i="3"/>
  <c r="O318" i="3"/>
  <c r="O323" i="3"/>
  <c r="O338" i="3"/>
  <c r="O336" i="3"/>
  <c r="O346" i="3"/>
  <c r="O344" i="3"/>
  <c r="O355" i="3"/>
  <c r="O347" i="3"/>
  <c r="O360" i="3"/>
  <c r="O368" i="3"/>
  <c r="O376" i="3"/>
  <c r="O374" i="3"/>
  <c r="O373" i="3"/>
  <c r="O381" i="3"/>
  <c r="O378" i="3"/>
  <c r="O386" i="3"/>
  <c r="O390" i="3"/>
  <c r="O399" i="3"/>
  <c r="O406" i="3"/>
  <c r="O404" i="3"/>
  <c r="O413" i="3"/>
  <c r="O408" i="3"/>
  <c r="O422" i="3"/>
  <c r="O428" i="3"/>
  <c r="O435" i="3"/>
  <c r="O433" i="3"/>
  <c r="O442" i="3"/>
  <c r="O449" i="3"/>
  <c r="O447" i="3"/>
  <c r="O452" i="3"/>
  <c r="O467" i="3"/>
  <c r="O461" i="3"/>
  <c r="O473" i="3"/>
  <c r="O482" i="3"/>
  <c r="O480" i="3"/>
  <c r="O478" i="3"/>
  <c r="O477" i="3"/>
  <c r="O486" i="3"/>
  <c r="O492" i="3"/>
  <c r="O499" i="3"/>
  <c r="O521" i="3"/>
  <c r="O518" i="3"/>
  <c r="O533" i="3"/>
  <c r="O548" i="3"/>
  <c r="O572" i="3"/>
  <c r="O567" i="3"/>
  <c r="O590" i="3"/>
  <c r="O599" i="3"/>
  <c r="O597" i="3"/>
  <c r="O629" i="3"/>
  <c r="O647" i="3"/>
  <c r="O642" i="3"/>
  <c r="O662" i="3"/>
  <c r="O659" i="3"/>
  <c r="O667" i="3"/>
  <c r="O677" i="3"/>
  <c r="O688" i="3"/>
  <c r="O695" i="3"/>
  <c r="O713" i="3"/>
  <c r="O720" i="3"/>
  <c r="O735" i="3"/>
  <c r="O730" i="3"/>
  <c r="O761" i="3"/>
  <c r="O757" i="3"/>
  <c r="O782" i="3"/>
  <c r="O794" i="3"/>
  <c r="O797" i="3"/>
  <c r="O872" i="3"/>
  <c r="O869" i="3"/>
  <c r="O898" i="3"/>
  <c r="O919" i="3"/>
  <c r="O917" i="3"/>
  <c r="O938" i="3"/>
  <c r="O932" i="3"/>
  <c r="O955" i="3"/>
  <c r="O952" i="3"/>
  <c r="O979" i="3"/>
  <c r="O1002" i="3"/>
  <c r="O1023" i="3"/>
  <c r="O1036" i="3"/>
  <c r="O1046" i="3"/>
  <c r="O1063" i="3"/>
  <c r="O1071" i="3"/>
  <c r="O1097" i="3"/>
  <c r="O1103" i="3"/>
  <c r="O1108" i="3"/>
  <c r="O1106" i="3"/>
  <c r="O1111" i="3"/>
  <c r="O1127" i="3"/>
  <c r="O1139" i="3"/>
  <c r="O1138" i="3"/>
  <c r="O1131" i="3"/>
  <c r="O1144" i="3"/>
  <c r="O1161" i="3"/>
  <c r="O1156" i="3"/>
  <c r="O1170" i="3"/>
  <c r="O1162" i="3"/>
  <c r="O1179" i="3"/>
  <c r="O1174" i="3"/>
  <c r="O1183" i="3"/>
  <c r="O1187" i="3"/>
  <c r="O1195" i="3"/>
  <c r="O1194" i="3"/>
  <c r="O1207" i="3"/>
  <c r="O1213" i="3"/>
  <c r="O1219" i="3"/>
  <c r="O1235" i="3"/>
  <c r="O1238" i="3"/>
  <c r="O1251" i="3"/>
  <c r="O1248" i="3"/>
  <c r="O1257" i="3"/>
  <c r="O1265" i="3"/>
  <c r="O1264" i="3"/>
  <c r="O1271" i="3"/>
  <c r="O1269" i="3"/>
  <c r="O1276" i="3"/>
  <c r="O1282" i="3"/>
  <c r="O1288" i="3"/>
  <c r="O1304" i="3"/>
  <c r="O1300" i="3"/>
  <c r="O1307" i="3"/>
  <c r="O1322" i="3"/>
  <c r="O1328" i="3"/>
  <c r="O1340" i="3"/>
  <c r="O1338" i="3"/>
  <c r="O1346" i="3"/>
  <c r="O1350" i="3"/>
  <c r="O1347" i="3"/>
  <c r="O1362" i="3"/>
  <c r="O1371" i="3"/>
  <c r="O1381" i="3"/>
  <c r="O1391" i="3"/>
  <c r="O1402" i="3"/>
  <c r="O1406" i="3"/>
  <c r="O1417" i="3"/>
  <c r="O1416" i="3"/>
  <c r="O1427" i="3"/>
  <c r="O1423" i="3"/>
  <c r="O1433" i="3"/>
  <c r="O1446" i="3"/>
  <c r="O1456" i="3"/>
  <c r="O1462" i="3"/>
  <c r="O1458" i="3"/>
  <c r="O1469" i="3"/>
  <c r="O1470" i="3"/>
  <c r="O1481" i="3"/>
  <c r="O1491" i="3"/>
  <c r="O1496" i="3"/>
  <c r="O1499" i="3"/>
  <c r="O1503" i="3"/>
  <c r="O1505" i="3"/>
  <c r="O1527" i="3"/>
  <c r="O1521" i="3"/>
  <c r="O1529" i="3"/>
  <c r="O1535" i="3"/>
  <c r="O1543" i="3"/>
  <c r="O1556" i="3"/>
  <c r="O1569" i="3"/>
  <c r="O1573" i="3"/>
  <c r="O1582" i="3"/>
  <c r="O1585" i="3"/>
  <c r="O1603" i="3"/>
  <c r="O1596" i="3"/>
  <c r="O1614" i="3"/>
  <c r="O1622" i="3"/>
  <c r="O1620" i="3"/>
  <c r="O1732" i="3"/>
  <c r="O1742" i="3"/>
  <c r="AC328" i="1"/>
  <c r="A427" i="2"/>
  <c r="C427" i="2" s="1"/>
  <c r="I427" i="2"/>
  <c r="K427" i="2"/>
  <c r="M427" i="2"/>
  <c r="P427" i="2"/>
  <c r="H327" i="1"/>
  <c r="I327" i="1"/>
  <c r="AD327" i="1"/>
  <c r="H328" i="1"/>
  <c r="H329" i="1"/>
  <c r="I328" i="1"/>
  <c r="I329" i="1"/>
  <c r="AD328" i="1"/>
  <c r="H324" i="1"/>
  <c r="I324" i="1"/>
  <c r="AD324" i="1"/>
  <c r="H326" i="1"/>
  <c r="I326" i="1"/>
  <c r="AC326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A426" i="2"/>
  <c r="C426" i="2" s="1"/>
  <c r="I426" i="2"/>
  <c r="K426" i="2"/>
  <c r="M426" i="2"/>
  <c r="P426" i="2"/>
  <c r="A425" i="2"/>
  <c r="C425" i="2" s="1"/>
  <c r="I425" i="2"/>
  <c r="K425" i="2"/>
  <c r="M425" i="2"/>
  <c r="P425" i="2"/>
  <c r="O1310" i="3" l="1"/>
  <c r="O1279" i="3"/>
  <c r="O1153" i="3"/>
  <c r="O1100" i="3"/>
  <c r="O1012" i="3"/>
  <c r="O912" i="3"/>
  <c r="O816" i="3"/>
  <c r="O733" i="3"/>
  <c r="O687" i="3"/>
  <c r="O483" i="3"/>
  <c r="O416" i="3"/>
  <c r="O392" i="3"/>
  <c r="O365" i="3"/>
  <c r="O13" i="3"/>
  <c r="O1430" i="3"/>
  <c r="O1244" i="3"/>
  <c r="O1120" i="3"/>
  <c r="O998" i="3"/>
  <c r="O708" i="3"/>
  <c r="O680" i="3"/>
  <c r="O249" i="3"/>
  <c r="O127" i="3"/>
  <c r="O1440" i="3"/>
  <c r="O1411" i="3"/>
  <c r="O1374" i="3"/>
  <c r="O1343" i="3"/>
  <c r="O1254" i="3"/>
  <c r="O923" i="3"/>
  <c r="O825" i="3"/>
  <c r="O785" i="3"/>
  <c r="O1192" i="3"/>
  <c r="O967" i="3"/>
  <c r="O864" i="3"/>
  <c r="O772" i="3"/>
  <c r="O620" i="3"/>
  <c r="O282" i="3"/>
  <c r="O1630" i="3"/>
  <c r="O1435" i="3"/>
  <c r="O1398" i="3"/>
  <c r="O1358" i="3"/>
  <c r="O1335" i="3"/>
  <c r="O1210" i="3"/>
  <c r="O1125" i="3"/>
  <c r="O1058" i="3"/>
  <c r="O1007" i="3"/>
  <c r="O805" i="3"/>
  <c r="O755" i="3"/>
  <c r="O650" i="3"/>
  <c r="O603" i="3"/>
  <c r="O135" i="3"/>
  <c r="O31" i="3"/>
  <c r="O905" i="3"/>
  <c r="O793" i="3"/>
  <c r="O1204" i="3"/>
  <c r="O1087" i="3"/>
  <c r="O943" i="3"/>
  <c r="O862" i="3"/>
  <c r="O563" i="3"/>
  <c r="O510" i="3"/>
  <c r="O1547" i="3"/>
  <c r="O1326" i="3"/>
  <c r="O1297" i="3"/>
  <c r="O1262" i="3"/>
  <c r="O1149" i="3"/>
  <c r="O1082" i="3"/>
  <c r="O1037" i="3"/>
  <c r="O990" i="3"/>
  <c r="O893" i="3"/>
  <c r="O852" i="3"/>
  <c r="O758" i="3"/>
  <c r="O674" i="3"/>
  <c r="O633" i="3"/>
  <c r="O557" i="3"/>
  <c r="O504" i="3"/>
  <c r="O425" i="3"/>
  <c r="O371" i="3"/>
  <c r="O328" i="3"/>
  <c r="O272" i="3"/>
  <c r="O216" i="3"/>
  <c r="O25" i="3"/>
  <c r="O1442" i="3"/>
  <c r="O1348" i="3"/>
  <c r="O1075" i="3"/>
  <c r="O933" i="3"/>
  <c r="O846" i="3"/>
  <c r="O593" i="3"/>
  <c r="O1388" i="3"/>
  <c r="O1365" i="3"/>
  <c r="O1382" i="3"/>
  <c r="O1232" i="3"/>
  <c r="O1201" i="3"/>
  <c r="O1116" i="3"/>
  <c r="O1030" i="3"/>
  <c r="O777" i="3"/>
  <c r="O751" i="3"/>
  <c r="O699" i="3"/>
  <c r="O628" i="3"/>
  <c r="O396" i="3"/>
  <c r="O1314" i="3"/>
  <c r="O1292" i="3"/>
  <c r="O1167" i="3"/>
  <c r="O1136" i="3"/>
  <c r="O1018" i="3"/>
  <c r="O982" i="3"/>
  <c r="O883" i="3"/>
  <c r="O839" i="3"/>
  <c r="O743" i="3"/>
  <c r="O693" i="3"/>
  <c r="O657" i="3"/>
  <c r="O581" i="3"/>
  <c r="O551" i="3"/>
  <c r="O489" i="3"/>
  <c r="O470" i="3"/>
  <c r="O419" i="3"/>
  <c r="O315" i="3"/>
  <c r="O299" i="3"/>
  <c r="O244" i="3"/>
  <c r="O142" i="3"/>
  <c r="O40" i="3"/>
  <c r="O1471" i="3"/>
  <c r="O1228" i="3"/>
  <c r="O1069" i="3"/>
  <c r="O959" i="3"/>
  <c r="O873" i="3"/>
  <c r="O623" i="3"/>
  <c r="O543" i="3"/>
  <c r="O199" i="3"/>
  <c r="G399" i="1"/>
  <c r="H814" i="3"/>
  <c r="G377" i="1"/>
  <c r="H555" i="3"/>
  <c r="J462" i="3"/>
  <c r="H462" i="3"/>
  <c r="F169" i="1"/>
  <c r="F427" i="1"/>
  <c r="J592" i="3"/>
  <c r="H592" i="3"/>
  <c r="J439" i="3"/>
  <c r="H439" i="3"/>
  <c r="J340" i="3"/>
  <c r="H340" i="3"/>
  <c r="J314" i="3"/>
  <c r="H314" i="3"/>
  <c r="AV425" i="1"/>
  <c r="AX425" i="1"/>
  <c r="O237" i="3"/>
  <c r="H237" i="3"/>
  <c r="F167" i="1"/>
  <c r="F424" i="1"/>
  <c r="O223" i="3"/>
  <c r="H223" i="3"/>
  <c r="F164" i="1"/>
  <c r="F425" i="1"/>
  <c r="F189" i="1"/>
  <c r="F423" i="1"/>
  <c r="O756" i="3"/>
  <c r="H756" i="3"/>
  <c r="J441" i="3"/>
  <c r="H441" i="3"/>
  <c r="O426" i="3"/>
  <c r="H426" i="3"/>
  <c r="J397" i="3"/>
  <c r="H397" i="3"/>
  <c r="O366" i="3"/>
  <c r="H366" i="3"/>
  <c r="J316" i="3"/>
  <c r="H316" i="3"/>
  <c r="J300" i="3"/>
  <c r="H300" i="3"/>
  <c r="O284" i="3"/>
  <c r="H284" i="3"/>
  <c r="O250" i="3"/>
  <c r="H250" i="3"/>
  <c r="O101" i="3"/>
  <c r="H101" i="3"/>
  <c r="O75" i="3"/>
  <c r="H75" i="3"/>
  <c r="G403" i="1"/>
  <c r="H19" i="3"/>
  <c r="O583" i="3"/>
  <c r="H583" i="3"/>
  <c r="O451" i="3"/>
  <c r="H451" i="3"/>
  <c r="O421" i="3"/>
  <c r="H421" i="3"/>
  <c r="O418" i="3"/>
  <c r="H418" i="3"/>
  <c r="O394" i="3"/>
  <c r="H394" i="3"/>
  <c r="O335" i="3"/>
  <c r="H335" i="3"/>
  <c r="O322" i="3"/>
  <c r="H322" i="3"/>
  <c r="O278" i="3"/>
  <c r="H278" i="3"/>
  <c r="O232" i="3"/>
  <c r="H232" i="3"/>
  <c r="O210" i="3"/>
  <c r="H210" i="3"/>
  <c r="O169" i="3"/>
  <c r="H169" i="3"/>
  <c r="O129" i="3"/>
  <c r="H129" i="3"/>
  <c r="O90" i="3"/>
  <c r="H90" i="3"/>
  <c r="O73" i="3"/>
  <c r="H73" i="3"/>
  <c r="O59" i="3"/>
  <c r="H59" i="3"/>
  <c r="O21" i="3"/>
  <c r="H21" i="3"/>
  <c r="F116" i="1"/>
  <c r="F426" i="1"/>
  <c r="O631" i="3"/>
  <c r="H631" i="3"/>
  <c r="O559" i="3"/>
  <c r="H559" i="3"/>
  <c r="O547" i="3"/>
  <c r="H547" i="3"/>
  <c r="O474" i="3"/>
  <c r="H474" i="3"/>
  <c r="O456" i="3"/>
  <c r="H456" i="3"/>
  <c r="O448" i="3"/>
  <c r="H448" i="3"/>
  <c r="O405" i="3"/>
  <c r="H405" i="3"/>
  <c r="O369" i="3"/>
  <c r="H369" i="3"/>
  <c r="O345" i="3"/>
  <c r="H345" i="3"/>
  <c r="O287" i="3"/>
  <c r="H287" i="3"/>
  <c r="O266" i="3"/>
  <c r="H266" i="3"/>
  <c r="O194" i="3"/>
  <c r="H194" i="3"/>
  <c r="O183" i="3"/>
  <c r="H183" i="3"/>
  <c r="O163" i="3"/>
  <c r="H163" i="3"/>
  <c r="O160" i="3"/>
  <c r="H160" i="3"/>
  <c r="O123" i="3"/>
  <c r="H123" i="3"/>
  <c r="O114" i="3"/>
  <c r="H114" i="3"/>
  <c r="O97" i="3"/>
  <c r="H97" i="3"/>
  <c r="O35" i="3"/>
  <c r="H35" i="3"/>
  <c r="F196" i="1"/>
  <c r="F421" i="1"/>
  <c r="O638" i="3"/>
  <c r="H638" i="3"/>
  <c r="O617" i="3"/>
  <c r="H617" i="3"/>
  <c r="O586" i="3"/>
  <c r="H586" i="3"/>
  <c r="J560" i="3"/>
  <c r="H560" i="3"/>
  <c r="O554" i="3"/>
  <c r="H554" i="3"/>
  <c r="J457" i="3"/>
  <c r="H457" i="3"/>
  <c r="J449" i="3"/>
  <c r="H449" i="3"/>
  <c r="J424" i="3"/>
  <c r="H424" i="3"/>
  <c r="J376" i="3"/>
  <c r="H376" i="3"/>
  <c r="O370" i="3"/>
  <c r="H370" i="3"/>
  <c r="O349" i="3"/>
  <c r="H349" i="3"/>
  <c r="J357" i="3"/>
  <c r="H357" i="3"/>
  <c r="O325" i="3"/>
  <c r="H325" i="3"/>
  <c r="J302" i="3"/>
  <c r="H302" i="3"/>
  <c r="J267" i="3"/>
  <c r="H267" i="3"/>
  <c r="O164" i="3"/>
  <c r="H164" i="3"/>
  <c r="J161" i="3"/>
  <c r="H161" i="3"/>
  <c r="O139" i="3"/>
  <c r="H139" i="3"/>
  <c r="J132" i="3"/>
  <c r="H132" i="3"/>
  <c r="J115" i="3"/>
  <c r="H115" i="3"/>
  <c r="O37" i="3"/>
  <c r="H37" i="3"/>
  <c r="O1113" i="3"/>
  <c r="O1079" i="3"/>
  <c r="O1051" i="3"/>
  <c r="F133" i="1"/>
  <c r="F420" i="1"/>
  <c r="F147" i="1"/>
  <c r="F419" i="1"/>
  <c r="F140" i="1"/>
  <c r="F418" i="1"/>
  <c r="F158" i="1"/>
  <c r="F417" i="1"/>
  <c r="F144" i="1"/>
  <c r="F416" i="1"/>
  <c r="O1660" i="3"/>
  <c r="F135" i="1"/>
  <c r="F415" i="1"/>
  <c r="J993" i="3"/>
  <c r="F197" i="1"/>
  <c r="F142" i="1"/>
  <c r="F412" i="1"/>
  <c r="AV414" i="1"/>
  <c r="AX414" i="1"/>
  <c r="O1534" i="3"/>
  <c r="O316" i="3"/>
  <c r="O157" i="3"/>
  <c r="O217" i="3"/>
  <c r="O110" i="3"/>
  <c r="O306" i="3"/>
  <c r="O200" i="3"/>
  <c r="O610" i="3"/>
  <c r="O526" i="3"/>
  <c r="O4" i="3"/>
  <c r="F157" i="1"/>
  <c r="F410" i="1"/>
  <c r="F137" i="1"/>
  <c r="F409" i="1"/>
  <c r="F54" i="1"/>
  <c r="F408" i="1"/>
  <c r="F203" i="1"/>
  <c r="F407" i="1"/>
  <c r="F150" i="1"/>
  <c r="F406" i="1"/>
  <c r="F127" i="1"/>
  <c r="F405" i="1"/>
  <c r="F166" i="1"/>
  <c r="F404" i="1"/>
  <c r="F152" i="1"/>
  <c r="F403" i="1"/>
  <c r="F201" i="1"/>
  <c r="F399" i="1"/>
  <c r="F112" i="1"/>
  <c r="F402" i="1"/>
  <c r="F120" i="1"/>
  <c r="F398" i="1"/>
  <c r="F122" i="1"/>
  <c r="F400" i="1"/>
  <c r="F149" i="1"/>
  <c r="F396" i="1"/>
  <c r="O1354" i="3"/>
  <c r="O1220" i="3"/>
  <c r="O1146" i="3"/>
  <c r="O1319" i="3"/>
  <c r="O1454" i="3"/>
  <c r="O1394" i="3"/>
  <c r="O1287" i="3"/>
  <c r="F156" i="1"/>
  <c r="F395" i="1"/>
  <c r="F126" i="1"/>
  <c r="F394" i="1"/>
  <c r="AV394" i="1"/>
  <c r="AX394" i="1"/>
  <c r="F162" i="1"/>
  <c r="F392" i="1"/>
  <c r="F130" i="1"/>
  <c r="F390" i="1"/>
  <c r="F154" i="1"/>
  <c r="F389" i="1"/>
  <c r="F72" i="1"/>
  <c r="F388" i="1"/>
  <c r="F134" i="1"/>
  <c r="F384" i="1"/>
  <c r="F163" i="1"/>
  <c r="F386" i="1"/>
  <c r="F143" i="1"/>
  <c r="F385" i="1"/>
  <c r="F60" i="1"/>
  <c r="F387" i="1"/>
  <c r="F148" i="1"/>
  <c r="F383" i="1"/>
  <c r="F153" i="1"/>
  <c r="F382" i="1"/>
  <c r="O1629" i="3"/>
  <c r="O1502" i="3"/>
  <c r="O1464" i="3"/>
  <c r="O1414" i="3"/>
  <c r="H1414" i="3"/>
  <c r="O1114" i="3"/>
  <c r="H1114" i="3"/>
  <c r="O988" i="3"/>
  <c r="H988" i="3"/>
  <c r="O953" i="3"/>
  <c r="H953" i="3"/>
  <c r="O891" i="3"/>
  <c r="H891" i="3"/>
  <c r="O870" i="3"/>
  <c r="J668" i="3"/>
  <c r="H668" i="3"/>
  <c r="J1646" i="3"/>
  <c r="H1646" i="3"/>
  <c r="O1631" i="3"/>
  <c r="H1631" i="3"/>
  <c r="J1607" i="3"/>
  <c r="H1607" i="3"/>
  <c r="J1593" i="3"/>
  <c r="H1593" i="3"/>
  <c r="J1512" i="3"/>
  <c r="J1457" i="3"/>
  <c r="H1457" i="3"/>
  <c r="J1429" i="3"/>
  <c r="H1429" i="3"/>
  <c r="J1387" i="3"/>
  <c r="H1387" i="3"/>
  <c r="O1290" i="3"/>
  <c r="J1261" i="3"/>
  <c r="H1261" i="3"/>
  <c r="J1247" i="3"/>
  <c r="H1247" i="3"/>
  <c r="J1231" i="3"/>
  <c r="H1231" i="3"/>
  <c r="O1227" i="3"/>
  <c r="J1200" i="3"/>
  <c r="J1182" i="3"/>
  <c r="H1182" i="3"/>
  <c r="O1152" i="3"/>
  <c r="J1135" i="3"/>
  <c r="H1135" i="3"/>
  <c r="J1119" i="3"/>
  <c r="H1119" i="3"/>
  <c r="J1088" i="3"/>
  <c r="H1088" i="3"/>
  <c r="J1025" i="3"/>
  <c r="H1025" i="3"/>
  <c r="J1006" i="3"/>
  <c r="H1006" i="3"/>
  <c r="J1001" i="3"/>
  <c r="J942" i="3"/>
  <c r="H942" i="3"/>
  <c r="O922" i="3"/>
  <c r="H922" i="3"/>
  <c r="J920" i="3"/>
  <c r="H920" i="3"/>
  <c r="J882" i="3"/>
  <c r="J861" i="3"/>
  <c r="H861" i="3"/>
  <c r="J845" i="3"/>
  <c r="H845" i="3"/>
  <c r="J804" i="3"/>
  <c r="AX348" i="1" s="1"/>
  <c r="H804" i="3"/>
  <c r="G348" i="1" s="1"/>
  <c r="J791" i="3"/>
  <c r="H791" i="3"/>
  <c r="O754" i="3"/>
  <c r="H754" i="3"/>
  <c r="J763" i="3"/>
  <c r="H763" i="3"/>
  <c r="J686" i="3"/>
  <c r="H686" i="3"/>
  <c r="J669" i="3"/>
  <c r="H669" i="3"/>
  <c r="O1710" i="3"/>
  <c r="J1707" i="3"/>
  <c r="H1707" i="3"/>
  <c r="O1695" i="3"/>
  <c r="H1695" i="3"/>
  <c r="O1636" i="3"/>
  <c r="J1389" i="3"/>
  <c r="H1389" i="3"/>
  <c r="O1205" i="3"/>
  <c r="H1205" i="3"/>
  <c r="O1101" i="3"/>
  <c r="H1101" i="3"/>
  <c r="J1083" i="3"/>
  <c r="H1083" i="3"/>
  <c r="J1052" i="3"/>
  <c r="H1052" i="3"/>
  <c r="J1013" i="3"/>
  <c r="H1013" i="3"/>
  <c r="J956" i="3"/>
  <c r="H956" i="3"/>
  <c r="J899" i="3"/>
  <c r="H899" i="3"/>
  <c r="J884" i="3"/>
  <c r="H884" i="3"/>
  <c r="J865" i="3"/>
  <c r="H865" i="3"/>
  <c r="O854" i="3"/>
  <c r="H854" i="3"/>
  <c r="J860" i="3"/>
  <c r="O826" i="3"/>
  <c r="O778" i="3"/>
  <c r="H778" i="3"/>
  <c r="J756" i="3"/>
  <c r="O734" i="3"/>
  <c r="J709" i="3"/>
  <c r="J651" i="3"/>
  <c r="O643" i="3"/>
  <c r="O1611" i="3"/>
  <c r="H1611" i="3"/>
  <c r="O1612" i="3"/>
  <c r="O1592" i="3"/>
  <c r="O1571" i="3"/>
  <c r="H1571" i="3"/>
  <c r="O1554" i="3"/>
  <c r="O1544" i="3"/>
  <c r="O1530" i="3"/>
  <c r="H1530" i="3"/>
  <c r="O1518" i="3"/>
  <c r="H1518" i="3"/>
  <c r="O1520" i="3"/>
  <c r="O1511" i="3"/>
  <c r="O1493" i="3"/>
  <c r="O1480" i="3"/>
  <c r="O1460" i="3"/>
  <c r="H1460" i="3"/>
  <c r="O1453" i="3"/>
  <c r="H1453" i="3"/>
  <c r="O1432" i="3"/>
  <c r="H1432" i="3"/>
  <c r="O1422" i="3"/>
  <c r="H1422" i="3"/>
  <c r="O1420" i="3"/>
  <c r="H1420" i="3"/>
  <c r="O1408" i="3"/>
  <c r="O1400" i="3"/>
  <c r="H1400" i="3"/>
  <c r="O1390" i="3"/>
  <c r="H1390" i="3"/>
  <c r="O1361" i="3"/>
  <c r="H1361" i="3"/>
  <c r="O1369" i="3"/>
  <c r="O1349" i="3"/>
  <c r="O1332" i="3"/>
  <c r="O1316" i="3"/>
  <c r="H1316" i="3"/>
  <c r="O1309" i="3"/>
  <c r="H1309" i="3"/>
  <c r="O1302" i="3"/>
  <c r="O1299" i="3"/>
  <c r="O1277" i="3"/>
  <c r="H1277" i="3"/>
  <c r="O1275" i="3"/>
  <c r="H1275" i="3"/>
  <c r="O1250" i="3"/>
  <c r="H1250" i="3"/>
  <c r="O1237" i="3"/>
  <c r="O1233" i="3"/>
  <c r="H1233" i="3"/>
  <c r="O1217" i="3"/>
  <c r="H1217" i="3"/>
  <c r="O1212" i="3"/>
  <c r="H1212" i="3"/>
  <c r="O1186" i="3"/>
  <c r="H1186" i="3"/>
  <c r="O1185" i="3"/>
  <c r="O1181" i="3"/>
  <c r="H1181" i="3"/>
  <c r="O1169" i="3"/>
  <c r="O1155" i="3"/>
  <c r="O1143" i="3"/>
  <c r="H1143" i="3"/>
  <c r="O1151" i="3"/>
  <c r="H1151" i="3"/>
  <c r="O1122" i="3"/>
  <c r="O1090" i="3"/>
  <c r="O1084" i="3"/>
  <c r="J1060" i="3"/>
  <c r="H1060" i="3"/>
  <c r="O1053" i="3"/>
  <c r="O1048" i="3"/>
  <c r="H1048" i="3"/>
  <c r="O1032" i="3"/>
  <c r="H1032" i="3"/>
  <c r="O1014" i="3"/>
  <c r="O992" i="3"/>
  <c r="H992" i="3"/>
  <c r="O984" i="3"/>
  <c r="O970" i="3"/>
  <c r="H970" i="3"/>
  <c r="J961" i="3"/>
  <c r="O949" i="3"/>
  <c r="H949" i="3"/>
  <c r="O957" i="3"/>
  <c r="H957" i="3"/>
  <c r="O935" i="3"/>
  <c r="O925" i="3"/>
  <c r="O914" i="3"/>
  <c r="O900" i="3"/>
  <c r="H900" i="3"/>
  <c r="O908" i="3"/>
  <c r="H908" i="3"/>
  <c r="O875" i="3"/>
  <c r="O866" i="3"/>
  <c r="O855" i="3"/>
  <c r="H855" i="3"/>
  <c r="O863" i="3"/>
  <c r="O833" i="3"/>
  <c r="H833" i="3"/>
  <c r="O827" i="3"/>
  <c r="H827" i="3"/>
  <c r="O818" i="3"/>
  <c r="H818" i="3"/>
  <c r="O799" i="3"/>
  <c r="H799" i="3"/>
  <c r="O779" i="3"/>
  <c r="H779" i="3"/>
  <c r="O765" i="3"/>
  <c r="H765" i="3"/>
  <c r="O771" i="3"/>
  <c r="O746" i="3"/>
  <c r="H746" i="3"/>
  <c r="O737" i="3"/>
  <c r="O727" i="3"/>
  <c r="O722" i="3"/>
  <c r="H722" i="3"/>
  <c r="O710" i="3"/>
  <c r="O701" i="3"/>
  <c r="O676" i="3"/>
  <c r="H676" i="3"/>
  <c r="O652" i="3"/>
  <c r="H652" i="3"/>
  <c r="O644" i="3"/>
  <c r="H644" i="3"/>
  <c r="O1704" i="3"/>
  <c r="H1704" i="3"/>
  <c r="O1693" i="3"/>
  <c r="H1693" i="3"/>
  <c r="O1688" i="3"/>
  <c r="H1688" i="3"/>
  <c r="O1680" i="3"/>
  <c r="O1668" i="3"/>
  <c r="O1658" i="3"/>
  <c r="O1641" i="3"/>
  <c r="H1641" i="3"/>
  <c r="J1061" i="3"/>
  <c r="J1033" i="3"/>
  <c r="H1033" i="3"/>
  <c r="J950" i="3"/>
  <c r="H950" i="3"/>
  <c r="J841" i="3"/>
  <c r="H841" i="3"/>
  <c r="J723" i="3"/>
  <c r="H723" i="3"/>
  <c r="J683" i="3"/>
  <c r="O1621" i="3"/>
  <c r="H1621" i="3"/>
  <c r="O1586" i="3"/>
  <c r="H1586" i="3"/>
  <c r="O1549" i="3"/>
  <c r="H1549" i="3"/>
  <c r="J1506" i="3"/>
  <c r="O1392" i="3"/>
  <c r="H1392" i="3"/>
  <c r="O1272" i="3"/>
  <c r="O1239" i="3"/>
  <c r="H1239" i="3"/>
  <c r="O1163" i="3"/>
  <c r="J1141" i="3"/>
  <c r="H1141" i="3"/>
  <c r="O1078" i="3"/>
  <c r="O963" i="3"/>
  <c r="O937" i="3"/>
  <c r="O902" i="3"/>
  <c r="O877" i="3"/>
  <c r="O857" i="3"/>
  <c r="O848" i="3"/>
  <c r="O821" i="3"/>
  <c r="H821" i="3"/>
  <c r="O812" i="3"/>
  <c r="H812" i="3"/>
  <c r="O809" i="3"/>
  <c r="H809" i="3"/>
  <c r="O801" i="3"/>
  <c r="O767" i="3"/>
  <c r="O739" i="3"/>
  <c r="O729" i="3"/>
  <c r="O691" i="3"/>
  <c r="H691" i="3"/>
  <c r="O670" i="3"/>
  <c r="H670" i="3"/>
  <c r="O666" i="3"/>
  <c r="H666" i="3"/>
  <c r="O654" i="3"/>
  <c r="H654" i="3"/>
  <c r="J1624" i="3"/>
  <c r="H1624" i="3"/>
  <c r="O1578" i="3"/>
  <c r="H1578" i="3"/>
  <c r="O1537" i="3"/>
  <c r="H1537" i="3"/>
  <c r="O1466" i="3"/>
  <c r="H1466" i="3"/>
  <c r="J1463" i="3"/>
  <c r="J1425" i="3"/>
  <c r="H1425" i="3"/>
  <c r="J1403" i="3"/>
  <c r="H1403" i="3"/>
  <c r="O1353" i="3"/>
  <c r="O1311" i="3"/>
  <c r="O1225" i="3"/>
  <c r="H1225" i="3"/>
  <c r="O1214" i="3"/>
  <c r="O1176" i="3"/>
  <c r="H1176" i="3"/>
  <c r="O1133" i="3"/>
  <c r="H1133" i="3"/>
  <c r="J1140" i="3"/>
  <c r="J999" i="3"/>
  <c r="H999" i="3"/>
  <c r="O995" i="3"/>
  <c r="J938" i="3"/>
  <c r="H938" i="3"/>
  <c r="O911" i="3"/>
  <c r="H911" i="3"/>
  <c r="O843" i="3"/>
  <c r="H843" i="3"/>
  <c r="J836" i="3"/>
  <c r="H836" i="3"/>
  <c r="J768" i="3"/>
  <c r="J740" i="3"/>
  <c r="O704" i="3"/>
  <c r="H704" i="3"/>
  <c r="O671" i="3"/>
  <c r="H671" i="3"/>
  <c r="J655" i="3"/>
  <c r="H655" i="3"/>
  <c r="J1570" i="3"/>
  <c r="J832" i="3"/>
  <c r="J111" i="3"/>
  <c r="H111" i="3"/>
  <c r="G426" i="1" s="1"/>
  <c r="O1618" i="3"/>
  <c r="O1595" i="3"/>
  <c r="O1498" i="3"/>
  <c r="O1485" i="3"/>
  <c r="O1468" i="3"/>
  <c r="O1379" i="3"/>
  <c r="O1105" i="3"/>
  <c r="J976" i="3"/>
  <c r="O840" i="3"/>
  <c r="J545" i="3"/>
  <c r="O290" i="3"/>
  <c r="H290" i="3"/>
  <c r="O103" i="3"/>
  <c r="H103" i="3"/>
  <c r="G408" i="1" s="1"/>
  <c r="O1736" i="3"/>
  <c r="O1721" i="3"/>
  <c r="O587" i="3"/>
  <c r="H587" i="3"/>
  <c r="J786" i="3"/>
  <c r="O566" i="3"/>
  <c r="O348" i="3"/>
  <c r="H348" i="3"/>
  <c r="J1043" i="3"/>
  <c r="O752" i="3"/>
  <c r="O1370" i="3"/>
  <c r="J1517" i="3"/>
  <c r="J1439" i="3"/>
  <c r="J1017" i="3"/>
  <c r="J776" i="3"/>
  <c r="J698" i="3"/>
  <c r="J692" i="3"/>
  <c r="J596" i="3"/>
  <c r="H596" i="3"/>
  <c r="J395" i="3"/>
  <c r="H395" i="3"/>
  <c r="H283" i="3"/>
  <c r="G381" i="1" s="1"/>
  <c r="J248" i="3"/>
  <c r="G387" i="1"/>
  <c r="O1715" i="3"/>
  <c r="O1714" i="3"/>
  <c r="O1665" i="3"/>
  <c r="O1648" i="3"/>
  <c r="J807" i="3"/>
  <c r="O600" i="3"/>
  <c r="H600" i="3"/>
  <c r="O524" i="3"/>
  <c r="H524" i="3"/>
  <c r="J1011" i="3"/>
  <c r="J887" i="3"/>
  <c r="O712" i="3"/>
  <c r="O529" i="3"/>
  <c r="G420" i="1"/>
  <c r="O517" i="3"/>
  <c r="H517" i="3"/>
  <c r="O514" i="3"/>
  <c r="H514" i="3"/>
  <c r="O498" i="3"/>
  <c r="H498" i="3"/>
  <c r="O487" i="3"/>
  <c r="H487" i="3"/>
  <c r="O319" i="3"/>
  <c r="O279" i="3"/>
  <c r="J220" i="3"/>
  <c r="H220" i="3"/>
  <c r="O61" i="3"/>
  <c r="H61" i="3"/>
  <c r="J9" i="3"/>
  <c r="H9" i="3"/>
  <c r="J1601" i="3"/>
  <c r="J1436" i="3"/>
  <c r="O1197" i="3"/>
  <c r="J973" i="3"/>
  <c r="O903" i="3"/>
  <c r="O878" i="3"/>
  <c r="J713" i="3"/>
  <c r="J540" i="3"/>
  <c r="H540" i="3"/>
  <c r="J507" i="3"/>
  <c r="O515" i="3"/>
  <c r="H515" i="3"/>
  <c r="O488" i="3"/>
  <c r="H488" i="3"/>
  <c r="O213" i="3"/>
  <c r="O106" i="3"/>
  <c r="H106" i="3"/>
  <c r="O16" i="3"/>
  <c r="H16" i="3"/>
  <c r="G343" i="1" s="1"/>
  <c r="J10" i="3"/>
  <c r="H10" i="3"/>
  <c r="O3" i="3"/>
  <c r="H3" i="3"/>
  <c r="J189" i="3"/>
  <c r="J1321" i="3"/>
  <c r="O550" i="3"/>
  <c r="H550" i="3"/>
  <c r="J520" i="3"/>
  <c r="H520" i="3"/>
  <c r="O496" i="3"/>
  <c r="H496" i="3"/>
  <c r="J469" i="3"/>
  <c r="J117" i="3"/>
  <c r="AX369" i="1" s="1"/>
  <c r="G369" i="1"/>
  <c r="J107" i="3"/>
  <c r="J39" i="3"/>
  <c r="H39" i="3"/>
  <c r="J1640" i="3"/>
  <c r="O817" i="3"/>
  <c r="J675" i="3"/>
  <c r="J624" i="3"/>
  <c r="H624" i="3"/>
  <c r="O594" i="3"/>
  <c r="H594" i="3"/>
  <c r="J576" i="3"/>
  <c r="H576" i="3"/>
  <c r="J522" i="3"/>
  <c r="H522" i="3"/>
  <c r="J511" i="3"/>
  <c r="H511" i="3"/>
  <c r="J353" i="3"/>
  <c r="H353" i="3"/>
  <c r="O259" i="3"/>
  <c r="H259" i="3"/>
  <c r="G398" i="1" s="1"/>
  <c r="O1580" i="3"/>
  <c r="O1567" i="3"/>
  <c r="O1555" i="3"/>
  <c r="O1445" i="3"/>
  <c r="O1426" i="3"/>
  <c r="O1377" i="3"/>
  <c r="O1345" i="3"/>
  <c r="O1285" i="3"/>
  <c r="O1256" i="3"/>
  <c r="O1206" i="3"/>
  <c r="O1128" i="3"/>
  <c r="O1102" i="3"/>
  <c r="O1098" i="3"/>
  <c r="O1039" i="3"/>
  <c r="O1020" i="3"/>
  <c r="O1009" i="3"/>
  <c r="O945" i="3"/>
  <c r="O895" i="3"/>
  <c r="O885" i="3"/>
  <c r="O830" i="3"/>
  <c r="O808" i="3"/>
  <c r="O689" i="3"/>
  <c r="O682" i="3"/>
  <c r="J625" i="3"/>
  <c r="H625" i="3"/>
  <c r="O537" i="3"/>
  <c r="H537" i="3"/>
  <c r="O527" i="3"/>
  <c r="O535" i="3"/>
  <c r="H535" i="3"/>
  <c r="O512" i="3"/>
  <c r="H512" i="3"/>
  <c r="J506" i="3"/>
  <c r="H506" i="3"/>
  <c r="O491" i="3"/>
  <c r="G338" i="1"/>
  <c r="O485" i="3"/>
  <c r="H485" i="3"/>
  <c r="O479" i="3"/>
  <c r="O354" i="3"/>
  <c r="O317" i="3"/>
  <c r="H317" i="3"/>
  <c r="O307" i="3"/>
  <c r="O158" i="3"/>
  <c r="O87" i="3"/>
  <c r="J1725" i="3"/>
  <c r="J330" i="3"/>
  <c r="AX376" i="1" s="1"/>
  <c r="H330" i="3"/>
  <c r="G376" i="1" s="1"/>
  <c r="O1393" i="3"/>
  <c r="O1245" i="3"/>
  <c r="F219" i="1"/>
  <c r="F139" i="1"/>
  <c r="F378" i="1"/>
  <c r="F165" i="1"/>
  <c r="F379" i="1"/>
  <c r="F138" i="1"/>
  <c r="F377" i="1"/>
  <c r="F124" i="1"/>
  <c r="F376" i="1"/>
  <c r="F136" i="1"/>
  <c r="F380" i="1"/>
  <c r="F123" i="1"/>
  <c r="O1712" i="3"/>
  <c r="O1744" i="3"/>
  <c r="O1683" i="3"/>
  <c r="O1653" i="3"/>
  <c r="O1625" i="3"/>
  <c r="J1329" i="3"/>
  <c r="J966" i="3"/>
  <c r="J641" i="3"/>
  <c r="J619" i="3"/>
  <c r="J556" i="3"/>
  <c r="G374" i="1"/>
  <c r="G361" i="1"/>
  <c r="J476" i="3"/>
  <c r="AV375" i="1" s="1"/>
  <c r="G375" i="1"/>
  <c r="J426" i="3"/>
  <c r="G325" i="1"/>
  <c r="J390" i="3"/>
  <c r="H389" i="3"/>
  <c r="G362" i="1" s="1"/>
  <c r="J358" i="3"/>
  <c r="J359" i="3"/>
  <c r="J329" i="3"/>
  <c r="H329" i="3"/>
  <c r="G357" i="1"/>
  <c r="H281" i="3"/>
  <c r="G360" i="1" s="1"/>
  <c r="H273" i="3"/>
  <c r="G367" i="1" s="1"/>
  <c r="H255" i="3"/>
  <c r="G344" i="1" s="1"/>
  <c r="J250" i="3"/>
  <c r="J243" i="3"/>
  <c r="H243" i="3"/>
  <c r="H165" i="3"/>
  <c r="G352" i="1" s="1"/>
  <c r="H172" i="3"/>
  <c r="G365" i="1" s="1"/>
  <c r="J140" i="3"/>
  <c r="H140" i="3"/>
  <c r="G388" i="1" s="1"/>
  <c r="G363" i="1"/>
  <c r="J38" i="3"/>
  <c r="H38" i="3"/>
  <c r="J12" i="3"/>
  <c r="H12" i="3"/>
  <c r="G395" i="1" s="1"/>
  <c r="H2" i="3"/>
  <c r="G346" i="1" s="1"/>
  <c r="O1737" i="3"/>
  <c r="O1706" i="3"/>
  <c r="O1656" i="3"/>
  <c r="O1642" i="3"/>
  <c r="O1684" i="3"/>
  <c r="O1634" i="3"/>
  <c r="O1722" i="3"/>
  <c r="O1678" i="3"/>
  <c r="O1694" i="3"/>
  <c r="O1728" i="3"/>
  <c r="O1716" i="3"/>
  <c r="O1667" i="3"/>
  <c r="O1718" i="3"/>
  <c r="F132" i="1"/>
  <c r="F374" i="1"/>
  <c r="F129" i="1"/>
  <c r="F375" i="1"/>
  <c r="F103" i="1"/>
  <c r="F371" i="1"/>
  <c r="F115" i="1"/>
  <c r="F373" i="1"/>
  <c r="F113" i="1"/>
  <c r="F372" i="1"/>
  <c r="F110" i="1"/>
  <c r="F368" i="1"/>
  <c r="F173" i="1"/>
  <c r="F369" i="1"/>
  <c r="F141" i="1"/>
  <c r="F370" i="1"/>
  <c r="F125" i="1"/>
  <c r="F357" i="1"/>
  <c r="O389" i="3"/>
  <c r="O823" i="3"/>
  <c r="O17" i="3"/>
  <c r="O542" i="3"/>
  <c r="O468" i="3"/>
  <c r="O495" i="3"/>
  <c r="O174" i="3"/>
  <c r="O116" i="3"/>
  <c r="O289" i="3"/>
  <c r="O214" i="3"/>
  <c r="O196" i="3"/>
  <c r="O1142" i="3"/>
  <c r="O100" i="3"/>
  <c r="O297" i="3"/>
  <c r="O29" i="3"/>
  <c r="O431" i="3"/>
  <c r="O1380" i="3"/>
  <c r="O1093" i="3"/>
  <c r="O744" i="3"/>
  <c r="O541" i="3"/>
  <c r="O133" i="3"/>
  <c r="O1270" i="3"/>
  <c r="O1218" i="3"/>
  <c r="O860" i="3"/>
  <c r="O681" i="3"/>
  <c r="O330" i="3"/>
  <c r="O145" i="3"/>
  <c r="O508" i="3"/>
  <c r="O321" i="3"/>
  <c r="O974" i="3"/>
  <c r="O773" i="3"/>
  <c r="O736" i="3"/>
  <c r="O648" i="3"/>
  <c r="O458" i="3"/>
  <c r="O339" i="3"/>
  <c r="O154" i="3"/>
  <c r="O46" i="3"/>
  <c r="O1260" i="3"/>
  <c r="O1000" i="3"/>
  <c r="O561" i="3"/>
  <c r="O364" i="3"/>
  <c r="O1626" i="3"/>
  <c r="O1486" i="3"/>
  <c r="O1463" i="3"/>
  <c r="O788" i="3"/>
  <c r="O753" i="3"/>
  <c r="O749" i="3"/>
  <c r="O706" i="3"/>
  <c r="O407" i="3"/>
  <c r="O264" i="3"/>
  <c r="O242" i="3"/>
  <c r="O236" i="3"/>
  <c r="O11" i="3"/>
  <c r="O921" i="3"/>
  <c r="O358" i="3"/>
  <c r="O270" i="3"/>
  <c r="O125" i="3"/>
  <c r="O70" i="3"/>
  <c r="J94" i="3"/>
  <c r="O1056" i="3"/>
  <c r="O678" i="3"/>
  <c r="O531" i="3"/>
  <c r="O38" i="3"/>
  <c r="O1027" i="3"/>
  <c r="O814" i="3"/>
  <c r="O502" i="3"/>
  <c r="O455" i="3"/>
  <c r="O414" i="3"/>
  <c r="O384" i="3"/>
  <c r="O140" i="3"/>
  <c r="O108" i="3"/>
  <c r="O475" i="3"/>
  <c r="O436" i="3"/>
  <c r="O326" i="3"/>
  <c r="O303" i="3"/>
  <c r="O294" i="3"/>
  <c r="O189" i="3"/>
  <c r="O162" i="3"/>
  <c r="O94" i="3"/>
  <c r="O63" i="3"/>
  <c r="O23" i="3"/>
  <c r="O462" i="3"/>
  <c r="O331" i="3"/>
  <c r="O247" i="3"/>
  <c r="O205" i="3"/>
  <c r="O165" i="3"/>
  <c r="O1159" i="3"/>
  <c r="O555" i="3"/>
  <c r="O1080" i="3"/>
  <c r="O941" i="3"/>
  <c r="O844" i="3"/>
  <c r="O705" i="3"/>
  <c r="O549" i="3"/>
  <c r="O500" i="3"/>
  <c r="O411" i="3"/>
  <c r="O350" i="3"/>
  <c r="O228" i="3"/>
  <c r="O221" i="3"/>
  <c r="O2" i="3"/>
  <c r="O1118" i="3"/>
  <c r="O1074" i="3"/>
  <c r="O1005" i="3"/>
  <c r="O879" i="3"/>
  <c r="O769" i="3"/>
  <c r="O762" i="3"/>
  <c r="O672" i="3"/>
  <c r="O519" i="3"/>
  <c r="O438" i="3"/>
  <c r="O268" i="3"/>
  <c r="O81" i="3"/>
  <c r="O67" i="3"/>
  <c r="J289" i="3"/>
  <c r="O1355" i="3"/>
  <c r="O1385" i="3"/>
  <c r="O1516" i="3"/>
  <c r="O1418" i="3"/>
  <c r="O1121" i="3"/>
  <c r="O1283" i="3"/>
  <c r="O1242" i="3"/>
  <c r="O1165" i="3"/>
  <c r="O1198" i="3"/>
  <c r="O1581" i="3"/>
  <c r="O1368" i="3"/>
  <c r="O1405" i="3"/>
  <c r="O1673" i="3"/>
  <c r="O1295" i="3"/>
  <c r="O1337" i="3"/>
  <c r="O1320" i="3"/>
  <c r="O1246" i="3"/>
  <c r="O1226" i="3"/>
  <c r="F114" i="1"/>
  <c r="F367" i="1"/>
  <c r="J100" i="3"/>
  <c r="O1137" i="3"/>
  <c r="O934" i="3"/>
  <c r="O874" i="3"/>
  <c r="O624" i="3"/>
  <c r="O522" i="3"/>
  <c r="O490" i="3"/>
  <c r="O1686" i="3"/>
  <c r="O1610" i="3"/>
  <c r="O1519" i="3"/>
  <c r="O1494" i="3"/>
  <c r="O1255" i="3"/>
  <c r="O1236" i="3"/>
  <c r="O1013" i="3"/>
  <c r="O907" i="3"/>
  <c r="O721" i="3"/>
  <c r="O417" i="3"/>
  <c r="O397" i="3"/>
  <c r="O1602" i="3"/>
  <c r="O1522" i="3"/>
  <c r="O1284" i="3"/>
  <c r="O1059" i="3"/>
  <c r="O956" i="3"/>
  <c r="O832" i="3"/>
  <c r="O544" i="3"/>
  <c r="O372" i="3"/>
  <c r="O342" i="3"/>
  <c r="O277" i="3"/>
  <c r="O1193" i="3"/>
  <c r="O1168" i="3"/>
  <c r="O969" i="3"/>
  <c r="O806" i="3"/>
  <c r="O658" i="3"/>
  <c r="O471" i="3"/>
  <c r="O450" i="3"/>
  <c r="O441" i="3"/>
  <c r="O361" i="3"/>
  <c r="O1548" i="3"/>
  <c r="O1325" i="3"/>
  <c r="O1451" i="3"/>
  <c r="O1438" i="3"/>
  <c r="O829" i="3"/>
  <c r="O571" i="3"/>
  <c r="O1344" i="3"/>
  <c r="O1019" i="3"/>
  <c r="O1003" i="3"/>
  <c r="O884" i="3"/>
  <c r="O700" i="3"/>
  <c r="J334" i="3"/>
  <c r="O556" i="3"/>
  <c r="O39" i="3"/>
  <c r="O68" i="3"/>
  <c r="O619" i="3"/>
  <c r="O377" i="3"/>
  <c r="O1671" i="3"/>
  <c r="O1540" i="3"/>
  <c r="O1514" i="3"/>
  <c r="O1459" i="3"/>
  <c r="O1443" i="3"/>
  <c r="O1389" i="3"/>
  <c r="O1376" i="3"/>
  <c r="O1315" i="3"/>
  <c r="O1126" i="3"/>
  <c r="O983" i="3"/>
  <c r="O960" i="3"/>
  <c r="O924" i="3"/>
  <c r="O798" i="3"/>
  <c r="O694" i="3"/>
  <c r="O511" i="3"/>
  <c r="O432" i="3"/>
  <c r="O379" i="3"/>
  <c r="O329" i="3"/>
  <c r="O273" i="3"/>
  <c r="O230" i="3"/>
  <c r="O148" i="3"/>
  <c r="O1709" i="3"/>
  <c r="O1651" i="3"/>
  <c r="O1627" i="3"/>
  <c r="O1692" i="3"/>
  <c r="O1637" i="3"/>
  <c r="O1552" i="3"/>
  <c r="O1515" i="3"/>
  <c r="O1263" i="3"/>
  <c r="O1234" i="3"/>
  <c r="O1211" i="3"/>
  <c r="O1154" i="3"/>
  <c r="O1150" i="3"/>
  <c r="O1117" i="3"/>
  <c r="O1096" i="3"/>
  <c r="O1052" i="3"/>
  <c r="O1031" i="3"/>
  <c r="O944" i="3"/>
  <c r="O853" i="3"/>
  <c r="O764" i="3"/>
  <c r="O726" i="3"/>
  <c r="O651" i="3"/>
  <c r="O627" i="3"/>
  <c r="O604" i="3"/>
  <c r="O582" i="3"/>
  <c r="O534" i="3"/>
  <c r="O465" i="3"/>
  <c r="O445" i="3"/>
  <c r="O313" i="3"/>
  <c r="O208" i="3"/>
  <c r="O180" i="3"/>
  <c r="O120" i="3"/>
  <c r="O86" i="3"/>
  <c r="O74" i="3"/>
  <c r="O49" i="3"/>
  <c r="O1565" i="3"/>
  <c r="O1202" i="3"/>
  <c r="O1184" i="3"/>
  <c r="O1083" i="3"/>
  <c r="O1038" i="3"/>
  <c r="O1726" i="3"/>
  <c r="O1639" i="3"/>
  <c r="O1608" i="3"/>
  <c r="O1591" i="3"/>
  <c r="O1483" i="3"/>
  <c r="O1421" i="3"/>
  <c r="O1278" i="3"/>
  <c r="O1249" i="3"/>
  <c r="O1180" i="3"/>
  <c r="O1077" i="3"/>
  <c r="O1008" i="3"/>
  <c r="O991" i="3"/>
  <c r="O968" i="3"/>
  <c r="O913" i="3"/>
  <c r="O894" i="3"/>
  <c r="O865" i="3"/>
  <c r="O792" i="3"/>
  <c r="O709" i="3"/>
  <c r="O675" i="3"/>
  <c r="O564" i="3"/>
  <c r="O536" i="3"/>
  <c r="O420" i="3"/>
  <c r="O402" i="3"/>
  <c r="O353" i="3"/>
  <c r="O275" i="3"/>
  <c r="O168" i="3"/>
  <c r="O149" i="3"/>
  <c r="O119" i="3"/>
  <c r="O32" i="3"/>
  <c r="O19" i="3"/>
  <c r="O1367" i="3"/>
  <c r="O1301" i="3"/>
  <c r="O84" i="3"/>
  <c r="O1740" i="3"/>
  <c r="O1713" i="3"/>
  <c r="O1687" i="3"/>
  <c r="O1664" i="3"/>
  <c r="O1579" i="3"/>
  <c r="O1553" i="3"/>
  <c r="O1531" i="3"/>
  <c r="O1450" i="3"/>
  <c r="O1444" i="3"/>
  <c r="O1399" i="3"/>
  <c r="O1359" i="3"/>
  <c r="O1089" i="3"/>
  <c r="O1047" i="3"/>
  <c r="O576" i="3"/>
  <c r="O505" i="3"/>
  <c r="O484" i="3"/>
  <c r="O437" i="3"/>
  <c r="O393" i="3"/>
  <c r="O334" i="3"/>
  <c r="O314" i="3"/>
  <c r="O300" i="3"/>
  <c r="O245" i="3"/>
  <c r="O327" i="3"/>
  <c r="O24" i="3"/>
  <c r="J245" i="3"/>
  <c r="O602" i="3"/>
  <c r="O395" i="3"/>
  <c r="O47" i="3"/>
  <c r="O197" i="3"/>
  <c r="O126" i="3"/>
  <c r="O229" i="3"/>
  <c r="O298" i="3"/>
  <c r="O412" i="3"/>
  <c r="O304" i="3"/>
  <c r="O175" i="3"/>
  <c r="O248" i="3"/>
  <c r="O215" i="3"/>
  <c r="O146" i="3"/>
  <c r="O18" i="3"/>
  <c r="O476" i="3"/>
  <c r="O385" i="3"/>
  <c r="O271" i="3"/>
  <c r="O596" i="3"/>
  <c r="O562" i="3"/>
  <c r="O166" i="3"/>
  <c r="O134" i="3"/>
  <c r="J151" i="3"/>
  <c r="J148" i="3"/>
  <c r="J694" i="3"/>
  <c r="J471" i="3"/>
  <c r="O849" i="3"/>
  <c r="O822" i="3"/>
  <c r="O1413" i="3"/>
  <c r="O1525" i="3"/>
  <c r="O1241" i="3"/>
  <c r="O810" i="3"/>
  <c r="J172" i="3"/>
  <c r="AV365" i="1" s="1"/>
  <c r="O1643" i="3"/>
  <c r="O1601" i="3"/>
  <c r="F108" i="1"/>
  <c r="F364" i="1"/>
  <c r="F160" i="1"/>
  <c r="F363" i="1"/>
  <c r="F121" i="1"/>
  <c r="F366" i="1"/>
  <c r="F106" i="1"/>
  <c r="F365" i="1"/>
  <c r="F119" i="1"/>
  <c r="F362" i="1"/>
  <c r="O1321" i="3"/>
  <c r="O1696" i="3"/>
  <c r="O1604" i="3"/>
  <c r="O1551" i="3"/>
  <c r="O1738" i="3"/>
  <c r="O1676" i="3"/>
  <c r="O1539" i="3"/>
  <c r="O1489" i="3"/>
  <c r="O1659" i="3"/>
  <c r="O1650" i="3"/>
  <c r="O1577" i="3"/>
  <c r="O1482" i="3"/>
  <c r="O1711" i="3"/>
  <c r="O1638" i="3"/>
  <c r="O1616" i="3"/>
  <c r="O1501" i="3"/>
  <c r="O1699" i="3"/>
  <c r="O1561" i="3"/>
  <c r="O1526" i="3"/>
  <c r="O1589" i="3"/>
  <c r="O1735" i="3"/>
  <c r="O1708" i="3"/>
  <c r="O1663" i="3"/>
  <c r="O1609" i="3"/>
  <c r="O1564" i="3"/>
  <c r="O1528" i="3"/>
  <c r="O1495" i="3"/>
  <c r="O890" i="3"/>
  <c r="O1148" i="3"/>
  <c r="O1733" i="3"/>
  <c r="O1590" i="3"/>
  <c r="O1570" i="3"/>
  <c r="O1504" i="3"/>
  <c r="O1490" i="3"/>
  <c r="O1437" i="3"/>
  <c r="O1412" i="3"/>
  <c r="O1357" i="3"/>
  <c r="O1336" i="3"/>
  <c r="O1313" i="3"/>
  <c r="O1306" i="3"/>
  <c r="O1298" i="3"/>
  <c r="O1216" i="3"/>
  <c r="O1134" i="3"/>
  <c r="O1035" i="3"/>
  <c r="O918" i="3"/>
  <c r="O859" i="3"/>
  <c r="O811" i="3"/>
  <c r="O731" i="3"/>
  <c r="O621" i="3"/>
  <c r="O615" i="3"/>
  <c r="O573" i="3"/>
  <c r="O1401" i="3"/>
  <c r="O1341" i="3"/>
  <c r="O1312" i="3"/>
  <c r="O1293" i="3"/>
  <c r="O1230" i="3"/>
  <c r="O1177" i="3"/>
  <c r="O1173" i="3"/>
  <c r="O1085" i="3"/>
  <c r="O965" i="3"/>
  <c r="O881" i="3"/>
  <c r="O837" i="3"/>
  <c r="O685" i="3"/>
  <c r="O663" i="3"/>
  <c r="O591" i="3"/>
  <c r="O1330" i="3"/>
  <c r="O1274" i="3"/>
  <c r="O1223" i="3"/>
  <c r="O1147" i="3"/>
  <c r="O1109" i="3"/>
  <c r="O1024" i="3"/>
  <c r="O906" i="3"/>
  <c r="O790" i="3"/>
  <c r="O784" i="3"/>
  <c r="O714" i="3"/>
  <c r="O1455" i="3"/>
  <c r="O1252" i="3"/>
  <c r="O1199" i="3"/>
  <c r="O1044" i="3"/>
  <c r="O1028" i="3"/>
  <c r="O980" i="3"/>
  <c r="O931" i="3"/>
  <c r="O929" i="3"/>
  <c r="O850" i="3"/>
  <c r="O803" i="3"/>
  <c r="O741" i="3"/>
  <c r="O718" i="3"/>
  <c r="O639" i="3"/>
  <c r="O618" i="3"/>
  <c r="O609" i="3"/>
  <c r="O568" i="3"/>
  <c r="O1428" i="3"/>
  <c r="O1386" i="3"/>
  <c r="O1378" i="3"/>
  <c r="O1190" i="3"/>
  <c r="O1123" i="3"/>
  <c r="O1067" i="3"/>
  <c r="O996" i="3"/>
  <c r="O888" i="3"/>
  <c r="O668" i="3"/>
  <c r="O656" i="3"/>
  <c r="O579" i="3"/>
  <c r="J541" i="3"/>
  <c r="J495" i="3"/>
  <c r="O1396" i="3"/>
  <c r="O1166" i="3"/>
  <c r="O592" i="3"/>
  <c r="O574" i="3"/>
  <c r="O520" i="3"/>
  <c r="O503" i="3"/>
  <c r="O459" i="3"/>
  <c r="O351" i="3"/>
  <c r="O206" i="3"/>
  <c r="O99" i="3"/>
  <c r="O71" i="3"/>
  <c r="J149" i="3"/>
  <c r="O1429" i="3"/>
  <c r="O1191" i="3"/>
  <c r="O1268" i="3"/>
  <c r="O692" i="3"/>
  <c r="O532" i="3"/>
  <c r="O463" i="3"/>
  <c r="O439" i="3"/>
  <c r="O359" i="3"/>
  <c r="O332" i="3"/>
  <c r="O309" i="3"/>
  <c r="O190" i="3"/>
  <c r="O82" i="3"/>
  <c r="O975" i="3"/>
  <c r="O1057" i="3"/>
  <c r="O580" i="3"/>
  <c r="O509" i="3"/>
  <c r="O415" i="3"/>
  <c r="O391" i="3"/>
  <c r="O283" i="3"/>
  <c r="O269" i="3"/>
  <c r="O243" i="3"/>
  <c r="O141" i="3"/>
  <c r="O52" i="3"/>
  <c r="O30" i="3"/>
  <c r="O12" i="3"/>
  <c r="O1296" i="3"/>
  <c r="O569" i="3"/>
  <c r="O501" i="3"/>
  <c r="O469" i="3"/>
  <c r="O443" i="3"/>
  <c r="O363" i="3"/>
  <c r="O340" i="3"/>
  <c r="O224" i="3"/>
  <c r="O155" i="3"/>
  <c r="O117" i="3"/>
  <c r="J1000" i="3"/>
  <c r="F76" i="1"/>
  <c r="F361" i="1"/>
  <c r="F146" i="1"/>
  <c r="F360" i="1"/>
  <c r="F117" i="1"/>
  <c r="F359" i="1"/>
  <c r="F155" i="1"/>
  <c r="F358" i="1"/>
  <c r="F71" i="1"/>
  <c r="F353" i="1"/>
  <c r="F20" i="1"/>
  <c r="F260" i="1"/>
  <c r="F14" i="1"/>
  <c r="F272" i="1"/>
  <c r="F98" i="1"/>
  <c r="F348" i="1"/>
  <c r="F17" i="1"/>
  <c r="F215" i="1"/>
  <c r="F16" i="1"/>
  <c r="F232" i="1"/>
  <c r="F111" i="1"/>
  <c r="F255" i="1"/>
  <c r="F105" i="1"/>
  <c r="F342" i="1"/>
  <c r="F102" i="1"/>
  <c r="F338" i="1"/>
  <c r="F52" i="1"/>
  <c r="F282" i="1"/>
  <c r="F43" i="1"/>
  <c r="F292" i="1"/>
  <c r="F70" i="1"/>
  <c r="F297" i="1"/>
  <c r="F47" i="1"/>
  <c r="F296" i="1"/>
  <c r="F58" i="1"/>
  <c r="F288" i="1"/>
  <c r="F109" i="1"/>
  <c r="F330" i="1"/>
  <c r="F38" i="1"/>
  <c r="F270" i="1"/>
  <c r="F34" i="1"/>
  <c r="F264" i="1"/>
  <c r="F37" i="1"/>
  <c r="F269" i="1"/>
  <c r="F62" i="1"/>
  <c r="F303" i="1"/>
  <c r="F39" i="1"/>
  <c r="F225" i="1"/>
  <c r="F91" i="1"/>
  <c r="F334" i="1"/>
  <c r="F3" i="1"/>
  <c r="F204" i="1"/>
  <c r="F8" i="1"/>
  <c r="F218" i="1"/>
  <c r="F10" i="1"/>
  <c r="F252" i="1"/>
  <c r="F51" i="1"/>
  <c r="F251" i="1"/>
  <c r="F5" i="1"/>
  <c r="F214" i="1"/>
  <c r="F18" i="1"/>
  <c r="F248" i="1"/>
  <c r="F7" i="1"/>
  <c r="F257" i="1"/>
  <c r="F96" i="1"/>
  <c r="F313" i="1"/>
  <c r="F92" i="1"/>
  <c r="F316" i="1"/>
  <c r="F77" i="1"/>
  <c r="F289" i="1"/>
  <c r="F4" i="1"/>
  <c r="F261" i="1"/>
  <c r="F49" i="1"/>
  <c r="F295" i="1"/>
  <c r="F104" i="1"/>
  <c r="F326" i="1"/>
  <c r="F86" i="1"/>
  <c r="F319" i="1"/>
  <c r="F101" i="1"/>
  <c r="F344" i="1"/>
  <c r="F118" i="1"/>
  <c r="F335" i="1"/>
  <c r="F100" i="1"/>
  <c r="F354" i="1"/>
  <c r="F30" i="1"/>
  <c r="F266" i="1"/>
  <c r="F107" i="1"/>
  <c r="F285" i="1"/>
  <c r="F65" i="1"/>
  <c r="F328" i="1"/>
  <c r="F21" i="1"/>
  <c r="F177" i="1"/>
  <c r="F80" i="1"/>
  <c r="F314" i="1"/>
  <c r="F19" i="1"/>
  <c r="F320" i="1"/>
  <c r="F35" i="1"/>
  <c r="F276" i="1"/>
  <c r="F99" i="1"/>
  <c r="F249" i="1"/>
  <c r="F85" i="1"/>
  <c r="F352" i="1"/>
  <c r="F40" i="1"/>
  <c r="F284" i="1"/>
  <c r="F78" i="1"/>
  <c r="F336" i="1"/>
  <c r="F63" i="1"/>
  <c r="F306" i="1"/>
  <c r="F81" i="1"/>
  <c r="F300" i="1"/>
  <c r="F41" i="1"/>
  <c r="F267" i="1"/>
  <c r="F83" i="1"/>
  <c r="F339" i="1"/>
  <c r="F93" i="1"/>
  <c r="F345" i="1"/>
  <c r="F74" i="1"/>
  <c r="F322" i="1"/>
  <c r="F95" i="1"/>
  <c r="F349" i="1"/>
  <c r="F69" i="1"/>
  <c r="F332" i="1"/>
  <c r="F73" i="1"/>
  <c r="F309" i="1"/>
  <c r="F82" i="1"/>
  <c r="F341" i="1"/>
  <c r="F59" i="1"/>
  <c r="F304" i="1"/>
  <c r="F68" i="1"/>
  <c r="F321" i="1"/>
  <c r="F27" i="1"/>
  <c r="F265" i="1"/>
  <c r="F66" i="1"/>
  <c r="F286" i="1"/>
  <c r="F94" i="1"/>
  <c r="F340" i="1"/>
  <c r="F48" i="1"/>
  <c r="F277" i="1"/>
  <c r="F75" i="1"/>
  <c r="F347" i="1"/>
  <c r="F44" i="1"/>
  <c r="F273" i="1"/>
  <c r="F25" i="1"/>
  <c r="F240" i="1"/>
  <c r="F31" i="1"/>
  <c r="F244" i="1"/>
  <c r="F84" i="1"/>
  <c r="F355" i="1"/>
  <c r="F32" i="1"/>
  <c r="F323" i="1"/>
  <c r="F97" i="1"/>
  <c r="F356" i="1"/>
  <c r="F11" i="1"/>
  <c r="F256" i="1"/>
  <c r="F87" i="1"/>
  <c r="F351" i="1"/>
  <c r="F42" i="1"/>
  <c r="F298" i="1"/>
  <c r="F15" i="1"/>
  <c r="F318" i="1"/>
  <c r="F29" i="1"/>
  <c r="F268" i="1"/>
  <c r="F50" i="1"/>
  <c r="F287" i="1"/>
  <c r="F53" i="1"/>
  <c r="F337" i="1"/>
  <c r="F33" i="1"/>
  <c r="F281" i="1"/>
  <c r="F61" i="1"/>
  <c r="F311" i="1"/>
  <c r="F64" i="1"/>
  <c r="F308" i="1"/>
  <c r="F36" i="1"/>
  <c r="F301" i="1"/>
  <c r="F26" i="1"/>
  <c r="F279" i="1"/>
  <c r="F24" i="1"/>
  <c r="F274" i="1"/>
  <c r="F67" i="1"/>
  <c r="F302" i="1"/>
  <c r="F159" i="1"/>
  <c r="F329" i="1"/>
  <c r="F161" i="1"/>
  <c r="F350" i="1"/>
  <c r="F12" i="1"/>
  <c r="F278" i="1"/>
  <c r="F57" i="1"/>
  <c r="F331" i="1"/>
  <c r="F13" i="1"/>
  <c r="F211" i="1"/>
  <c r="F79" i="1"/>
  <c r="F293" i="1"/>
  <c r="F9" i="1"/>
  <c r="F259" i="1"/>
  <c r="F46" i="1"/>
  <c r="F291" i="1"/>
  <c r="F56" i="1"/>
  <c r="F343" i="1"/>
  <c r="F22" i="1"/>
  <c r="F307" i="1"/>
  <c r="F45" i="1"/>
  <c r="F324" i="1"/>
  <c r="F23" i="1"/>
  <c r="F333" i="1"/>
  <c r="F28" i="1"/>
  <c r="F280" i="1"/>
  <c r="F6" i="1"/>
  <c r="F254" i="1"/>
  <c r="F90" i="1"/>
  <c r="F346" i="1"/>
  <c r="J1028" i="3"/>
  <c r="J297" i="3"/>
  <c r="J125" i="3"/>
  <c r="J850" i="3"/>
  <c r="J468" i="3"/>
  <c r="J214" i="3"/>
  <c r="J718" i="3"/>
  <c r="J23" i="3"/>
  <c r="J714" i="3"/>
  <c r="J17" i="3"/>
  <c r="J326" i="3"/>
  <c r="J11" i="3"/>
  <c r="J573" i="3"/>
  <c r="J303" i="3"/>
  <c r="J792" i="3"/>
  <c r="J402" i="3"/>
  <c r="O1600" i="3"/>
  <c r="J1031" i="3"/>
  <c r="J610" i="3"/>
  <c r="J377" i="3"/>
  <c r="J208" i="3"/>
  <c r="J119" i="3"/>
  <c r="J197" i="3"/>
  <c r="O1119" i="3"/>
  <c r="J157" i="3"/>
  <c r="J58" i="3"/>
  <c r="O1488" i="3"/>
  <c r="O1476" i="3"/>
  <c r="O1441" i="3"/>
  <c r="O1247" i="3"/>
  <c r="O1094" i="3"/>
  <c r="O1017" i="3"/>
  <c r="O954" i="3"/>
  <c r="O871" i="3"/>
  <c r="O791" i="3"/>
  <c r="O763" i="3"/>
  <c r="O742" i="3"/>
  <c r="O664" i="3"/>
  <c r="O1457" i="3"/>
  <c r="O1375" i="3"/>
  <c r="O1006" i="3"/>
  <c r="O930" i="3"/>
  <c r="O851" i="3"/>
  <c r="O838" i="3"/>
  <c r="O679" i="3"/>
  <c r="O649" i="3"/>
  <c r="O1407" i="3"/>
  <c r="O1303" i="3"/>
  <c r="O1280" i="3"/>
  <c r="O1253" i="3"/>
  <c r="O1178" i="3"/>
  <c r="O1124" i="3"/>
  <c r="O1068" i="3"/>
  <c r="O997" i="3"/>
  <c r="O904" i="3"/>
  <c r="O815" i="3"/>
  <c r="O783" i="3"/>
  <c r="O719" i="3"/>
  <c r="O669" i="3"/>
  <c r="O622" i="3"/>
  <c r="O1563" i="3"/>
  <c r="O1560" i="3"/>
  <c r="O1538" i="3"/>
  <c r="O1492" i="3"/>
  <c r="O1360" i="3"/>
  <c r="O1334" i="3"/>
  <c r="O1231" i="3"/>
  <c r="O1110" i="3"/>
  <c r="O1045" i="3"/>
  <c r="O981" i="3"/>
  <c r="O966" i="3"/>
  <c r="O882" i="3"/>
  <c r="O880" i="3"/>
  <c r="O698" i="3"/>
  <c r="J1076" i="3"/>
  <c r="J68" i="3"/>
  <c r="O1513" i="3"/>
  <c r="O1356" i="3"/>
  <c r="O1200" i="3"/>
  <c r="O1081" i="3"/>
  <c r="O1587" i="3"/>
  <c r="O1479" i="3"/>
  <c r="O1467" i="3"/>
  <c r="O1261" i="3"/>
  <c r="O1182" i="3"/>
  <c r="O1135" i="3"/>
  <c r="O1088" i="3"/>
  <c r="O1029" i="3"/>
  <c r="O942" i="3"/>
  <c r="O796" i="3"/>
  <c r="O641" i="3"/>
  <c r="O1593" i="3"/>
  <c r="O1431" i="3"/>
  <c r="O1329" i="3"/>
  <c r="O1160" i="3"/>
  <c r="O1439" i="3"/>
  <c r="O1395" i="3"/>
  <c r="O1203" i="3"/>
  <c r="O861" i="3"/>
  <c r="O750" i="3"/>
  <c r="O686" i="3"/>
  <c r="O1517" i="3"/>
  <c r="O1415" i="3"/>
  <c r="O1387" i="3"/>
  <c r="O1317" i="3"/>
  <c r="O1115" i="3"/>
  <c r="O1076" i="3"/>
  <c r="O1025" i="3"/>
  <c r="O1001" i="3"/>
  <c r="O845" i="3"/>
  <c r="O776" i="3"/>
  <c r="O732" i="3"/>
  <c r="O673" i="3"/>
  <c r="O640" i="3"/>
  <c r="J649" i="3"/>
  <c r="O1655" i="3"/>
  <c r="O1576" i="3"/>
  <c r="O1550" i="3"/>
  <c r="O1546" i="3"/>
  <c r="O1512" i="3"/>
  <c r="O1363" i="3"/>
  <c r="O1342" i="3"/>
  <c r="O1243" i="3"/>
  <c r="O1222" i="3"/>
  <c r="O989" i="3"/>
  <c r="O920" i="3"/>
  <c r="O892" i="3"/>
  <c r="O824" i="3"/>
  <c r="O804" i="3"/>
  <c r="O770" i="3"/>
  <c r="O707" i="3"/>
  <c r="J391" i="3"/>
  <c r="J229" i="3"/>
  <c r="J1263" i="3"/>
  <c r="J851" i="3"/>
  <c r="J580" i="3"/>
  <c r="J463" i="3"/>
  <c r="J99" i="3"/>
  <c r="J1115" i="3"/>
  <c r="J824" i="3"/>
  <c r="J501" i="3"/>
  <c r="J224" i="3"/>
  <c r="J1504" i="3"/>
  <c r="O1647" i="3"/>
  <c r="O1720" i="3"/>
  <c r="O1685" i="3"/>
  <c r="O1541" i="3"/>
  <c r="O1478" i="3"/>
  <c r="O1697" i="3"/>
  <c r="O1661" i="3"/>
  <c r="O1613" i="3"/>
  <c r="O1594" i="3"/>
  <c r="O1510" i="3"/>
  <c r="O1465" i="3"/>
  <c r="J811" i="3"/>
  <c r="J672" i="3"/>
  <c r="J562" i="3"/>
  <c r="J298" i="3"/>
  <c r="J70" i="3"/>
  <c r="O1734" i="3"/>
  <c r="O1628" i="3"/>
  <c r="O1568" i="3"/>
  <c r="O1646" i="3"/>
  <c r="O1545" i="3"/>
  <c r="O1487" i="3"/>
  <c r="O1743" i="3"/>
  <c r="O1635" i="3"/>
  <c r="O1584" i="3"/>
  <c r="O1575" i="3"/>
  <c r="O1449" i="3"/>
  <c r="J788" i="3"/>
  <c r="J640" i="3"/>
  <c r="J532" i="3"/>
  <c r="J459" i="3"/>
  <c r="J351" i="3"/>
  <c r="J269" i="3"/>
  <c r="J190" i="3"/>
  <c r="J126" i="3"/>
  <c r="O1727" i="3"/>
  <c r="O1703" i="3"/>
  <c r="O1691" i="3"/>
  <c r="O1670" i="3"/>
  <c r="O1523" i="3"/>
  <c r="O1474" i="3"/>
  <c r="J1431" i="3"/>
  <c r="J989" i="3"/>
  <c r="J762" i="3"/>
  <c r="J519" i="3"/>
  <c r="J437" i="3"/>
  <c r="J264" i="3"/>
  <c r="H432" i="3"/>
  <c r="H309" i="3"/>
  <c r="G425" i="1" s="1"/>
  <c r="O1654" i="3"/>
  <c r="O1599" i="3"/>
  <c r="O1559" i="3"/>
  <c r="O1532" i="3"/>
  <c r="J881" i="3"/>
  <c r="J750" i="3"/>
  <c r="J508" i="3"/>
  <c r="J327" i="3"/>
  <c r="J154" i="3"/>
  <c r="J108" i="3"/>
  <c r="J30" i="3"/>
  <c r="J1245" i="3"/>
  <c r="J965" i="3"/>
  <c r="J769" i="3"/>
  <c r="J656" i="3"/>
  <c r="J1636" i="3"/>
  <c r="J741" i="3"/>
  <c r="J618" i="3"/>
  <c r="J1004" i="3"/>
  <c r="J1695" i="3"/>
  <c r="J1395" i="3"/>
  <c r="J1243" i="3"/>
  <c r="J1081" i="3"/>
  <c r="J62" i="3"/>
  <c r="O1741" i="3"/>
  <c r="J1384" i="3"/>
  <c r="J1220" i="3"/>
  <c r="O1669" i="3"/>
  <c r="O1366" i="3"/>
  <c r="O1323" i="3"/>
  <c r="O1291" i="3"/>
  <c r="O1189" i="3"/>
  <c r="O1158" i="3"/>
  <c r="O1086" i="3"/>
  <c r="O1066" i="3"/>
  <c r="O999" i="3"/>
  <c r="O948" i="3"/>
  <c r="O802" i="3"/>
  <c r="O740" i="3"/>
  <c r="O725" i="3"/>
  <c r="O684" i="3"/>
  <c r="O410" i="3"/>
  <c r="O302" i="3"/>
  <c r="O281" i="3"/>
  <c r="O28" i="3"/>
  <c r="J1560" i="3"/>
  <c r="J1360" i="3"/>
  <c r="J1222" i="3"/>
  <c r="J1063" i="3"/>
  <c r="J987" i="3"/>
  <c r="O1690" i="3"/>
  <c r="O1598" i="3"/>
  <c r="O1652" i="3"/>
  <c r="O1702" i="3"/>
  <c r="O1507" i="3"/>
  <c r="O1436" i="3"/>
  <c r="O1403" i="3"/>
  <c r="O1324" i="3"/>
  <c r="O1267" i="3"/>
  <c r="O1130" i="3"/>
  <c r="O1026" i="3"/>
  <c r="O964" i="3"/>
  <c r="O836" i="3"/>
  <c r="O787" i="3"/>
  <c r="O530" i="3"/>
  <c r="O454" i="3"/>
  <c r="O357" i="3"/>
  <c r="O320" i="3"/>
  <c r="J1303" i="3"/>
  <c r="J1203" i="3"/>
  <c r="J1057" i="3"/>
  <c r="J802" i="3"/>
  <c r="O1566" i="3"/>
  <c r="O1719" i="3"/>
  <c r="O1657" i="3"/>
  <c r="O1633" i="3"/>
  <c r="O1373" i="3"/>
  <c r="O1339" i="3"/>
  <c r="O1294" i="3"/>
  <c r="O1259" i="3"/>
  <c r="O1172" i="3"/>
  <c r="O1073" i="3"/>
  <c r="O655" i="3"/>
  <c r="O632" i="3"/>
  <c r="J1475" i="3"/>
  <c r="J1293" i="3"/>
  <c r="J1198" i="3"/>
  <c r="J1045" i="3"/>
  <c r="J454" i="3"/>
  <c r="J293" i="3"/>
  <c r="J144" i="3"/>
  <c r="O1617" i="3"/>
  <c r="O1542" i="3"/>
  <c r="O1475" i="3"/>
  <c r="O1043" i="3"/>
  <c r="O987" i="3"/>
  <c r="O928" i="3"/>
  <c r="O858" i="3"/>
  <c r="O424" i="3"/>
  <c r="O388" i="3"/>
  <c r="O144" i="3"/>
  <c r="O10" i="3"/>
  <c r="O1723" i="3"/>
  <c r="O1677" i="3"/>
  <c r="O1509" i="3"/>
  <c r="O1448" i="3"/>
  <c r="O1404" i="3"/>
  <c r="O1229" i="3"/>
  <c r="O1208" i="3"/>
  <c r="O1140" i="3"/>
  <c r="O1092" i="3"/>
  <c r="O1004" i="3"/>
  <c r="O940" i="3"/>
  <c r="O889" i="3"/>
  <c r="O813" i="3"/>
  <c r="O789" i="3"/>
  <c r="O768" i="3"/>
  <c r="O748" i="3"/>
  <c r="O717" i="3"/>
  <c r="O507" i="3"/>
  <c r="O494" i="3"/>
  <c r="O457" i="3"/>
  <c r="O188" i="3"/>
  <c r="O115" i="3"/>
  <c r="J1474" i="3"/>
  <c r="J1273" i="3"/>
  <c r="J1191" i="3"/>
  <c r="J948" i="3"/>
  <c r="J435" i="3"/>
  <c r="O1624" i="3"/>
  <c r="O1572" i="3"/>
  <c r="O1500" i="3"/>
  <c r="O1725" i="3"/>
  <c r="O1731" i="3"/>
  <c r="O1701" i="3"/>
  <c r="O1588" i="3"/>
  <c r="O1558" i="3"/>
  <c r="O1477" i="3"/>
  <c r="O1384" i="3"/>
  <c r="O1273" i="3"/>
  <c r="O1164" i="3"/>
  <c r="O1042" i="3"/>
  <c r="O973" i="3"/>
  <c r="O614" i="3"/>
  <c r="O560" i="3"/>
  <c r="O540" i="3"/>
  <c r="O430" i="3"/>
  <c r="O293" i="3"/>
  <c r="O161" i="3"/>
  <c r="O124" i="3"/>
  <c r="J1476" i="3"/>
  <c r="J1124" i="3"/>
  <c r="J928" i="3"/>
  <c r="J684" i="3"/>
  <c r="O506" i="3"/>
  <c r="O185" i="3"/>
  <c r="O577" i="3"/>
  <c r="J255" i="3"/>
  <c r="AV344" i="1" s="1"/>
  <c r="O1060" i="3"/>
  <c r="O961" i="3"/>
  <c r="O398" i="3"/>
  <c r="J1654" i="3"/>
  <c r="J1437" i="3"/>
  <c r="O545" i="3"/>
  <c r="O152" i="3"/>
  <c r="O446" i="3"/>
  <c r="O523" i="3"/>
  <c r="O285" i="3"/>
  <c r="J1581" i="3"/>
  <c r="J1177" i="3"/>
  <c r="O403" i="3"/>
  <c r="O625" i="3"/>
  <c r="O595" i="3"/>
  <c r="O362" i="3"/>
  <c r="J1246" i="3"/>
  <c r="O976" i="3"/>
  <c r="O367" i="3"/>
  <c r="O246" i="3"/>
  <c r="J1368" i="3"/>
  <c r="J428" i="3"/>
  <c r="J355" i="3"/>
  <c r="J14" i="3"/>
  <c r="AV350" i="1"/>
  <c r="AX350" i="1"/>
  <c r="J1670" i="3"/>
  <c r="J1260" i="3"/>
  <c r="J1262" i="3"/>
  <c r="J1319" i="3"/>
  <c r="J1193" i="3"/>
  <c r="J534" i="3"/>
  <c r="J393" i="3"/>
  <c r="J1579" i="3"/>
  <c r="J1418" i="3"/>
  <c r="J1507" i="3"/>
  <c r="J1211" i="3"/>
  <c r="J1492" i="3"/>
  <c r="J1404" i="3"/>
  <c r="J1317" i="3"/>
  <c r="J1110" i="3"/>
  <c r="J1029" i="3"/>
  <c r="J180" i="3"/>
  <c r="J19" i="3"/>
  <c r="J1306" i="3"/>
  <c r="J1030" i="3"/>
  <c r="J955" i="3"/>
  <c r="J816" i="3"/>
  <c r="J650" i="3"/>
  <c r="J581" i="3"/>
  <c r="J1082" i="3"/>
  <c r="J1358" i="3"/>
  <c r="J1236" i="3"/>
  <c r="J806" i="3"/>
  <c r="J733" i="3"/>
  <c r="J1576" i="3"/>
  <c r="J1448" i="3"/>
  <c r="J1359" i="3"/>
  <c r="J1166" i="3"/>
  <c r="J919" i="3"/>
  <c r="J1733" i="3"/>
  <c r="J1137" i="3"/>
  <c r="J1708" i="3"/>
  <c r="J1659" i="3"/>
  <c r="J1450" i="3"/>
  <c r="J998" i="3"/>
  <c r="J943" i="3"/>
  <c r="J905" i="3"/>
  <c r="J758" i="3"/>
  <c r="J1637" i="3"/>
  <c r="J1442" i="3"/>
  <c r="J1411" i="3"/>
  <c r="J1254" i="3"/>
  <c r="J1180" i="3"/>
  <c r="J1121" i="3"/>
  <c r="J1012" i="3"/>
  <c r="J893" i="3"/>
  <c r="J852" i="3"/>
  <c r="J805" i="3"/>
  <c r="J777" i="3"/>
  <c r="J744" i="3"/>
  <c r="J720" i="3"/>
  <c r="J687" i="3"/>
  <c r="J642" i="3"/>
  <c r="J620" i="3"/>
  <c r="J571" i="3"/>
  <c r="J1696" i="3"/>
  <c r="J1551" i="3"/>
  <c r="J1495" i="3"/>
  <c r="J1388" i="3"/>
  <c r="J933" i="3"/>
  <c r="J846" i="3"/>
  <c r="J785" i="3"/>
  <c r="J708" i="3"/>
  <c r="J680" i="3"/>
  <c r="J1692" i="3"/>
  <c r="J1638" i="3"/>
  <c r="J1494" i="3"/>
  <c r="J1335" i="3"/>
  <c r="J1292" i="3"/>
  <c r="J1167" i="3"/>
  <c r="J1116" i="3"/>
  <c r="J1058" i="3"/>
  <c r="J1007" i="3"/>
  <c r="J982" i="3"/>
  <c r="J934" i="3"/>
  <c r="J883" i="3"/>
  <c r="J839" i="3"/>
  <c r="J764" i="3"/>
  <c r="J751" i="3"/>
  <c r="J633" i="3"/>
  <c r="J603" i="3"/>
  <c r="J505" i="3"/>
  <c r="J277" i="3"/>
  <c r="J230" i="3"/>
  <c r="J168" i="3"/>
  <c r="J120" i="3"/>
  <c r="J86" i="3"/>
  <c r="J32" i="3"/>
  <c r="H74" i="3"/>
  <c r="J1686" i="3"/>
  <c r="J1609" i="3"/>
  <c r="J1547" i="3"/>
  <c r="J1482" i="3"/>
  <c r="J1382" i="3"/>
  <c r="J1336" i="3"/>
  <c r="J1279" i="3"/>
  <c r="J1249" i="3"/>
  <c r="J1153" i="3"/>
  <c r="J1008" i="3"/>
  <c r="J959" i="3"/>
  <c r="J923" i="3"/>
  <c r="J873" i="3"/>
  <c r="J829" i="3"/>
  <c r="J674" i="3"/>
  <c r="J597" i="3"/>
  <c r="J564" i="3"/>
  <c r="J273" i="3"/>
  <c r="J1741" i="3"/>
  <c r="J1683" i="3"/>
  <c r="J1604" i="3"/>
  <c r="J1526" i="3"/>
  <c r="J1435" i="3"/>
  <c r="J1380" i="3"/>
  <c r="J1326" i="3"/>
  <c r="J1149" i="3"/>
  <c r="J1089" i="3"/>
  <c r="J872" i="3"/>
  <c r="J797" i="3"/>
  <c r="J772" i="3"/>
  <c r="J743" i="3"/>
  <c r="J699" i="3"/>
  <c r="J657" i="3"/>
  <c r="J628" i="3"/>
  <c r="J593" i="3"/>
  <c r="J490" i="3"/>
  <c r="J313" i="3"/>
  <c r="J1738" i="3"/>
  <c r="J1591" i="3"/>
  <c r="J1514" i="3"/>
  <c r="J1438" i="3"/>
  <c r="J1244" i="3"/>
  <c r="J1192" i="3"/>
  <c r="J1150" i="3"/>
  <c r="J1002" i="3"/>
  <c r="J967" i="3"/>
  <c r="J912" i="3"/>
  <c r="J862" i="3"/>
  <c r="J825" i="3"/>
  <c r="J793" i="3"/>
  <c r="J755" i="3"/>
  <c r="J726" i="3"/>
  <c r="J693" i="3"/>
  <c r="J658" i="3"/>
  <c r="J623" i="3"/>
  <c r="J526" i="3"/>
  <c r="J361" i="3"/>
  <c r="J200" i="3"/>
  <c r="J1290" i="3"/>
  <c r="J1227" i="3"/>
  <c r="J1152" i="3"/>
  <c r="J1036" i="3"/>
  <c r="J922" i="3"/>
  <c r="J754" i="3"/>
  <c r="J550" i="3"/>
  <c r="J496" i="3"/>
  <c r="H251" i="3"/>
  <c r="J251" i="3"/>
  <c r="J237" i="3"/>
  <c r="J1730" i="3"/>
  <c r="J1655" i="3"/>
  <c r="J1600" i="3"/>
  <c r="J1546" i="3"/>
  <c r="J1513" i="3"/>
  <c r="J1441" i="3"/>
  <c r="J1407" i="3"/>
  <c r="J1280" i="3"/>
  <c r="J1253" i="3"/>
  <c r="J981" i="3"/>
  <c r="J954" i="3"/>
  <c r="J904" i="3"/>
  <c r="J890" i="3"/>
  <c r="J770" i="3"/>
  <c r="J732" i="3"/>
  <c r="H622" i="3"/>
  <c r="H415" i="3"/>
  <c r="J1398" i="3"/>
  <c r="J1365" i="3"/>
  <c r="J1310" i="3"/>
  <c r="J1087" i="3"/>
  <c r="J1069" i="3"/>
  <c r="J1018" i="3"/>
  <c r="J1674" i="3"/>
  <c r="J1631" i="3"/>
  <c r="J1205" i="3"/>
  <c r="J1101" i="3"/>
  <c r="J854" i="3"/>
  <c r="J826" i="3"/>
  <c r="J817" i="3"/>
  <c r="J778" i="3"/>
  <c r="J734" i="3"/>
  <c r="J688" i="3"/>
  <c r="J643" i="3"/>
  <c r="J634" i="3"/>
  <c r="H634" i="3"/>
  <c r="H598" i="3"/>
  <c r="J598" i="3"/>
  <c r="J594" i="3"/>
  <c r="J366" i="3"/>
  <c r="J284" i="3"/>
  <c r="J259" i="3"/>
  <c r="J253" i="3"/>
  <c r="H253" i="3"/>
  <c r="J209" i="3"/>
  <c r="H209" i="3"/>
  <c r="H184" i="3"/>
  <c r="G400" i="1" s="1"/>
  <c r="J184" i="3"/>
  <c r="H128" i="3"/>
  <c r="J128" i="3"/>
  <c r="J101" i="3"/>
  <c r="J75" i="3"/>
  <c r="H54" i="3"/>
  <c r="J54" i="3"/>
  <c r="J26" i="3"/>
  <c r="J4" i="3"/>
  <c r="O1662" i="3"/>
  <c r="O1745" i="3"/>
  <c r="O1682" i="3"/>
  <c r="O1607" i="3"/>
  <c r="J1723" i="3"/>
  <c r="J1689" i="3"/>
  <c r="J1676" i="3"/>
  <c r="J1653" i="3"/>
  <c r="J1630" i="3"/>
  <c r="J1602" i="3"/>
  <c r="J1577" i="3"/>
  <c r="J1538" i="3"/>
  <c r="J1515" i="3"/>
  <c r="J1487" i="3"/>
  <c r="J1471" i="3"/>
  <c r="J1443" i="3"/>
  <c r="J1396" i="3"/>
  <c r="J1356" i="3"/>
  <c r="J1313" i="3"/>
  <c r="J1300" i="3"/>
  <c r="J1278" i="3"/>
  <c r="J1255" i="3"/>
  <c r="J1204" i="3"/>
  <c r="J1183" i="3"/>
  <c r="J1160" i="3"/>
  <c r="J1125" i="3"/>
  <c r="J1100" i="3"/>
  <c r="J1075" i="3"/>
  <c r="J1046" i="3"/>
  <c r="J975" i="3"/>
  <c r="J907" i="3"/>
  <c r="J874" i="3"/>
  <c r="J773" i="3"/>
  <c r="J679" i="3"/>
  <c r="J664" i="3"/>
  <c r="J602" i="3"/>
  <c r="J582" i="3"/>
  <c r="J484" i="3"/>
  <c r="J420" i="3"/>
  <c r="J379" i="3"/>
  <c r="J283" i="3"/>
  <c r="J175" i="3"/>
  <c r="J84" i="3"/>
  <c r="J24" i="3"/>
  <c r="H465" i="3"/>
  <c r="H155" i="3"/>
  <c r="O1606" i="3"/>
  <c r="O1689" i="3"/>
  <c r="J1710" i="3"/>
  <c r="J1699" i="3"/>
  <c r="J1671" i="3"/>
  <c r="J1644" i="3"/>
  <c r="J1627" i="3"/>
  <c r="J1587" i="3"/>
  <c r="J1563" i="3"/>
  <c r="J1539" i="3"/>
  <c r="J1488" i="3"/>
  <c r="J1470" i="3"/>
  <c r="J1430" i="3"/>
  <c r="J1399" i="3"/>
  <c r="J1375" i="3"/>
  <c r="J1348" i="3"/>
  <c r="J1296" i="3"/>
  <c r="J1232" i="3"/>
  <c r="J1161" i="3"/>
  <c r="J1126" i="3"/>
  <c r="J1094" i="3"/>
  <c r="J1077" i="3"/>
  <c r="J1047" i="3"/>
  <c r="J930" i="3"/>
  <c r="J892" i="3"/>
  <c r="J880" i="3"/>
  <c r="J853" i="3"/>
  <c r="J815" i="3"/>
  <c r="J796" i="3"/>
  <c r="J736" i="3"/>
  <c r="J719" i="3"/>
  <c r="J627" i="3"/>
  <c r="J544" i="3"/>
  <c r="J443" i="3"/>
  <c r="J385" i="3"/>
  <c r="J215" i="3"/>
  <c r="J166" i="3"/>
  <c r="J146" i="3"/>
  <c r="J52" i="3"/>
  <c r="H342" i="3"/>
  <c r="G414" i="1" s="1"/>
  <c r="H41" i="3"/>
  <c r="G350" i="1" s="1"/>
  <c r="O1730" i="3"/>
  <c r="O1674" i="3"/>
  <c r="J1742" i="3"/>
  <c r="J1712" i="3"/>
  <c r="J1687" i="3"/>
  <c r="J1662" i="3"/>
  <c r="J1650" i="3"/>
  <c r="J1589" i="3"/>
  <c r="J1564" i="3"/>
  <c r="J1528" i="3"/>
  <c r="J1489" i="3"/>
  <c r="J1467" i="3"/>
  <c r="J1415" i="3"/>
  <c r="J1385" i="3"/>
  <c r="J1374" i="3"/>
  <c r="J1342" i="3"/>
  <c r="J1314" i="3"/>
  <c r="J1297" i="3"/>
  <c r="J1268" i="3"/>
  <c r="J1228" i="3"/>
  <c r="J1201" i="3"/>
  <c r="J1178" i="3"/>
  <c r="J1142" i="3"/>
  <c r="J1096" i="3"/>
  <c r="J1068" i="3"/>
  <c r="J1037" i="3"/>
  <c r="J997" i="3"/>
  <c r="J960" i="3"/>
  <c r="J944" i="3"/>
  <c r="J871" i="3"/>
  <c r="J783" i="3"/>
  <c r="J700" i="3"/>
  <c r="J681" i="3"/>
  <c r="J574" i="3"/>
  <c r="J536" i="3"/>
  <c r="J509" i="3"/>
  <c r="J478" i="3"/>
  <c r="J445" i="3"/>
  <c r="J417" i="3"/>
  <c r="J372" i="3"/>
  <c r="J275" i="3"/>
  <c r="J82" i="3"/>
  <c r="O1707" i="3"/>
  <c r="O1640" i="3"/>
  <c r="J1682" i="3"/>
  <c r="J1663" i="3"/>
  <c r="J1608" i="3"/>
  <c r="J1550" i="3"/>
  <c r="J1519" i="3"/>
  <c r="J1501" i="3"/>
  <c r="J1479" i="3"/>
  <c r="J1458" i="3"/>
  <c r="J1440" i="3"/>
  <c r="J1416" i="3"/>
  <c r="J1363" i="3"/>
  <c r="J1343" i="3"/>
  <c r="J1315" i="3"/>
  <c r="J1298" i="3"/>
  <c r="J1248" i="3"/>
  <c r="J1218" i="3"/>
  <c r="J1202" i="3"/>
  <c r="J1179" i="3"/>
  <c r="J1148" i="3"/>
  <c r="J1120" i="3"/>
  <c r="J1059" i="3"/>
  <c r="J1038" i="3"/>
  <c r="J913" i="3"/>
  <c r="J894" i="3"/>
  <c r="J798" i="3"/>
  <c r="J742" i="3"/>
  <c r="J721" i="3"/>
  <c r="J569" i="3"/>
  <c r="J503" i="3"/>
  <c r="J412" i="3"/>
  <c r="J363" i="3"/>
  <c r="J332" i="3"/>
  <c r="J206" i="3"/>
  <c r="J141" i="3"/>
  <c r="J47" i="3"/>
  <c r="J18" i="3"/>
  <c r="H271" i="3"/>
  <c r="G394" i="1" s="1"/>
  <c r="O1644" i="3"/>
  <c r="J1745" i="3"/>
  <c r="J1664" i="3"/>
  <c r="J1606" i="3"/>
  <c r="J1334" i="3"/>
  <c r="J932" i="3"/>
  <c r="J838" i="3"/>
  <c r="J707" i="3"/>
  <c r="J673" i="3"/>
  <c r="J542" i="3"/>
  <c r="J304" i="3"/>
  <c r="J134" i="3"/>
  <c r="J71" i="3"/>
  <c r="J1114" i="3"/>
  <c r="J1734" i="3"/>
  <c r="J1711" i="3"/>
  <c r="J1691" i="3"/>
  <c r="J1635" i="3"/>
  <c r="J1616" i="3"/>
  <c r="J1561" i="3"/>
  <c r="J1531" i="3"/>
  <c r="J1337" i="3"/>
  <c r="J1312" i="3"/>
  <c r="J1269" i="3"/>
  <c r="J1230" i="3"/>
  <c r="J1210" i="3"/>
  <c r="J1136" i="3"/>
  <c r="J1097" i="3"/>
  <c r="J1074" i="3"/>
  <c r="J1024" i="3"/>
  <c r="J990" i="3"/>
  <c r="J929" i="3"/>
  <c r="J906" i="3"/>
  <c r="J864" i="3"/>
  <c r="J685" i="3"/>
  <c r="J639" i="3"/>
  <c r="J561" i="3"/>
  <c r="J455" i="3"/>
  <c r="J411" i="3"/>
  <c r="J389" i="3"/>
  <c r="J339" i="3"/>
  <c r="J228" i="3"/>
  <c r="J145" i="3"/>
  <c r="J63" i="3"/>
  <c r="J29" i="3"/>
  <c r="J1584" i="3"/>
  <c r="J1740" i="3"/>
  <c r="J1735" i="3"/>
  <c r="J1703" i="3"/>
  <c r="J1613" i="3"/>
  <c r="J1523" i="3"/>
  <c r="J1516" i="3"/>
  <c r="J1405" i="3"/>
  <c r="J1355" i="3"/>
  <c r="J1283" i="3"/>
  <c r="J1216" i="3"/>
  <c r="J1123" i="3"/>
  <c r="J888" i="3"/>
  <c r="J823" i="3"/>
  <c r="J803" i="3"/>
  <c r="J591" i="3"/>
  <c r="J431" i="3"/>
  <c r="J270" i="3"/>
  <c r="J247" i="3"/>
  <c r="J205" i="3"/>
  <c r="J1661" i="3"/>
  <c r="J1628" i="3"/>
  <c r="J1541" i="3"/>
  <c r="J1465" i="3"/>
  <c r="J1428" i="3"/>
  <c r="J1378" i="3"/>
  <c r="J1295" i="3"/>
  <c r="J1165" i="3"/>
  <c r="J1147" i="3"/>
  <c r="J996" i="3"/>
  <c r="J974" i="3"/>
  <c r="J844" i="3"/>
  <c r="J790" i="3"/>
  <c r="J784" i="3"/>
  <c r="J753" i="3"/>
  <c r="J749" i="3"/>
  <c r="J731" i="3"/>
  <c r="J706" i="3"/>
  <c r="J705" i="3"/>
  <c r="J678" i="3"/>
  <c r="J615" i="3"/>
  <c r="J555" i="3"/>
  <c r="J502" i="3"/>
  <c r="J438" i="3"/>
  <c r="J407" i="3"/>
  <c r="J384" i="3"/>
  <c r="J331" i="3"/>
  <c r="J236" i="3"/>
  <c r="J174" i="3"/>
  <c r="H609" i="3"/>
  <c r="J1727" i="3"/>
  <c r="J1568" i="3"/>
  <c r="J1449" i="3"/>
  <c r="J1386" i="3"/>
  <c r="J1330" i="3"/>
  <c r="J1320" i="3"/>
  <c r="J941" i="3"/>
  <c r="J921" i="3"/>
  <c r="J918" i="3"/>
  <c r="J859" i="3"/>
  <c r="J621" i="3"/>
  <c r="J568" i="3"/>
  <c r="J531" i="3"/>
  <c r="J475" i="3"/>
  <c r="J350" i="3"/>
  <c r="J321" i="3"/>
  <c r="J294" i="3"/>
  <c r="J162" i="3"/>
  <c r="J116" i="3"/>
  <c r="J67" i="3"/>
  <c r="J46" i="3"/>
  <c r="J1743" i="3"/>
  <c r="J1647" i="3"/>
  <c r="J1599" i="3"/>
  <c r="J1510" i="3"/>
  <c r="J1401" i="3"/>
  <c r="J1341" i="3"/>
  <c r="J1080" i="3"/>
  <c r="J1035" i="3"/>
  <c r="J1027" i="3"/>
  <c r="J814" i="3"/>
  <c r="J648" i="3"/>
  <c r="J579" i="3"/>
  <c r="J458" i="3"/>
  <c r="J414" i="3"/>
  <c r="J268" i="3"/>
  <c r="J242" i="3"/>
  <c r="J221" i="3"/>
  <c r="J196" i="3"/>
  <c r="J165" i="3"/>
  <c r="J1726" i="3"/>
  <c r="J1532" i="3"/>
  <c r="J1093" i="3"/>
  <c r="J879" i="3"/>
  <c r="J837" i="3"/>
  <c r="J663" i="3"/>
  <c r="J549" i="3"/>
  <c r="J500" i="3"/>
  <c r="J436" i="3"/>
  <c r="J364" i="3"/>
  <c r="J133" i="3"/>
  <c r="J81" i="3"/>
  <c r="J2" i="3"/>
  <c r="J1639" i="3"/>
  <c r="J1552" i="3"/>
  <c r="J1483" i="3"/>
  <c r="J1357" i="3"/>
  <c r="H604" i="3"/>
  <c r="O1062" i="3"/>
  <c r="O820" i="3"/>
  <c r="O553" i="3"/>
  <c r="O143" i="3"/>
  <c r="O105" i="3"/>
  <c r="O89" i="3"/>
  <c r="O65" i="3"/>
  <c r="O36" i="3"/>
  <c r="O15" i="3"/>
  <c r="O9" i="3"/>
  <c r="O1065" i="3"/>
  <c r="O994" i="3"/>
  <c r="J434" i="3"/>
  <c r="O1011" i="3"/>
  <c r="O745" i="3"/>
  <c r="J453" i="3"/>
  <c r="H28" i="3"/>
  <c r="O947" i="3"/>
  <c r="O868" i="3"/>
  <c r="J858" i="3"/>
  <c r="J725" i="3"/>
  <c r="J1651" i="3"/>
  <c r="J1625" i="3"/>
  <c r="J1459" i="3"/>
  <c r="J1301" i="3"/>
  <c r="J1284" i="3"/>
  <c r="J1270" i="3"/>
  <c r="J1184" i="3"/>
  <c r="J1168" i="3"/>
  <c r="J1117" i="3"/>
  <c r="J1003" i="3"/>
  <c r="J991" i="3"/>
  <c r="J450" i="3"/>
  <c r="J404" i="3"/>
  <c r="J306" i="3"/>
  <c r="J217" i="3"/>
  <c r="J182" i="3"/>
  <c r="J110" i="3"/>
  <c r="J60" i="3"/>
  <c r="J49" i="3"/>
  <c r="J1610" i="3"/>
  <c r="J1548" i="3"/>
  <c r="J1451" i="3"/>
  <c r="J1444" i="3"/>
  <c r="J1421" i="3"/>
  <c r="J1412" i="3"/>
  <c r="J1376" i="3"/>
  <c r="J1367" i="3"/>
  <c r="J1344" i="3"/>
  <c r="J1325" i="3"/>
  <c r="J1234" i="3"/>
  <c r="J1154" i="3"/>
  <c r="J969" i="3"/>
  <c r="J176" i="3"/>
  <c r="J1702" i="3"/>
  <c r="J1572" i="3"/>
  <c r="J1559" i="3"/>
  <c r="J1478" i="3"/>
  <c r="J1455" i="3"/>
  <c r="J1223" i="3"/>
  <c r="J1199" i="3"/>
  <c r="J1190" i="3"/>
  <c r="J1164" i="3"/>
  <c r="J1159" i="3"/>
  <c r="J1134" i="3"/>
  <c r="J1118" i="3"/>
  <c r="J1109" i="3"/>
  <c r="J1085" i="3"/>
  <c r="J1056" i="3"/>
  <c r="J1026" i="3"/>
  <c r="J1005" i="3"/>
  <c r="J980" i="3"/>
  <c r="J964" i="3"/>
  <c r="J787" i="3"/>
  <c r="J281" i="3"/>
  <c r="J1720" i="3"/>
  <c r="J1697" i="3"/>
  <c r="J1685" i="3"/>
  <c r="J1673" i="3"/>
  <c r="J1633" i="3"/>
  <c r="J1598" i="3"/>
  <c r="J1594" i="3"/>
  <c r="J1575" i="3"/>
  <c r="J1545" i="3"/>
  <c r="J1274" i="3"/>
  <c r="J1242" i="3"/>
  <c r="J1226" i="3"/>
  <c r="J1067" i="3"/>
  <c r="J1044" i="3"/>
  <c r="J1042" i="3"/>
  <c r="J931" i="3"/>
  <c r="J614" i="3"/>
  <c r="J499" i="3"/>
  <c r="O1072" i="3"/>
  <c r="O1016" i="3"/>
  <c r="O939" i="3"/>
  <c r="O887" i="3"/>
  <c r="O760" i="3"/>
  <c r="O697" i="3"/>
  <c r="O493" i="3"/>
  <c r="O481" i="3"/>
  <c r="O453" i="3"/>
  <c r="O434" i="3"/>
  <c r="O423" i="3"/>
  <c r="O409" i="3"/>
  <c r="O382" i="3"/>
  <c r="O375" i="3"/>
  <c r="O356" i="3"/>
  <c r="O301" i="3"/>
  <c r="O295" i="3"/>
  <c r="O292" i="3"/>
  <c r="O262" i="3"/>
  <c r="O256" i="3"/>
  <c r="O234" i="3"/>
  <c r="O220" i="3"/>
  <c r="O212" i="3"/>
  <c r="O187" i="3"/>
  <c r="O1022" i="3"/>
  <c r="O951" i="3"/>
  <c r="O896" i="3"/>
  <c r="O775" i="3"/>
  <c r="O703" i="3"/>
  <c r="O637" i="3"/>
  <c r="J1739" i="3"/>
  <c r="J1614" i="3"/>
  <c r="O1099" i="3"/>
  <c r="O1034" i="3"/>
  <c r="O910" i="3"/>
  <c r="O835" i="3"/>
  <c r="O646" i="3"/>
  <c r="O585" i="3"/>
  <c r="O525" i="3"/>
  <c r="J1462" i="3"/>
  <c r="J1041" i="3"/>
  <c r="J77" i="3"/>
  <c r="O1729" i="3"/>
  <c r="O1717" i="3"/>
  <c r="O1698" i="3"/>
  <c r="O1679" i="3"/>
  <c r="O1666" i="3"/>
  <c r="O1649" i="3"/>
  <c r="O1615" i="3"/>
  <c r="O1605" i="3"/>
  <c r="O1583" i="3"/>
  <c r="O1562" i="3"/>
  <c r="O1533" i="3"/>
  <c r="O1508" i="3"/>
  <c r="O1484" i="3"/>
  <c r="O1472" i="3"/>
  <c r="O1447" i="3"/>
  <c r="O1424" i="3"/>
  <c r="O1410" i="3"/>
  <c r="O1397" i="3"/>
  <c r="O1383" i="3"/>
  <c r="O1364" i="3"/>
  <c r="O1351" i="3"/>
  <c r="O1331" i="3"/>
  <c r="O1318" i="3"/>
  <c r="O1305" i="3"/>
  <c r="O1286" i="3"/>
  <c r="O1258" i="3"/>
  <c r="O1221" i="3"/>
  <c r="O1209" i="3"/>
  <c r="O1188" i="3"/>
  <c r="O1157" i="3"/>
  <c r="O1141" i="3"/>
  <c r="O972" i="3"/>
  <c r="O724" i="3"/>
  <c r="O588" i="3"/>
  <c r="J1318" i="3"/>
  <c r="O1050" i="3"/>
  <c r="O978" i="3"/>
  <c r="O916" i="3"/>
  <c r="O786" i="3"/>
  <c r="O716" i="3"/>
  <c r="O661" i="3"/>
  <c r="O1739" i="3"/>
  <c r="O1724" i="3"/>
  <c r="O1700" i="3"/>
  <c r="O1705" i="3"/>
  <c r="O1681" i="3"/>
  <c r="O1675" i="3"/>
  <c r="O1645" i="3"/>
  <c r="O1632" i="3"/>
  <c r="O1623" i="3"/>
  <c r="O1597" i="3"/>
  <c r="O1574" i="3"/>
  <c r="O1557" i="3"/>
  <c r="O1536" i="3"/>
  <c r="O1524" i="3"/>
  <c r="O1506" i="3"/>
  <c r="O1497" i="3"/>
  <c r="O1473" i="3"/>
  <c r="O1461" i="3"/>
  <c r="O1452" i="3"/>
  <c r="O1434" i="3"/>
  <c r="O1419" i="3"/>
  <c r="O1409" i="3"/>
  <c r="O1372" i="3"/>
  <c r="O1352" i="3"/>
  <c r="O1333" i="3"/>
  <c r="O1327" i="3"/>
  <c r="O1308" i="3"/>
  <c r="O1289" i="3"/>
  <c r="O1281" i="3"/>
  <c r="O1266" i="3"/>
  <c r="O1240" i="3"/>
  <c r="O1224" i="3"/>
  <c r="O1215" i="3"/>
  <c r="O1196" i="3"/>
  <c r="O1175" i="3"/>
  <c r="O1171" i="3"/>
  <c r="O1145" i="3"/>
  <c r="O1132" i="3"/>
  <c r="O1129" i="3"/>
  <c r="O1112" i="3"/>
  <c r="O1107" i="3"/>
  <c r="O1104" i="3"/>
  <c r="O1041" i="3"/>
  <c r="O842" i="3"/>
  <c r="O781" i="3"/>
  <c r="O1055" i="3"/>
  <c r="O986" i="3"/>
  <c r="O927" i="3"/>
  <c r="O607" i="3"/>
  <c r="O539" i="3"/>
  <c r="J143" i="3"/>
  <c r="J1744" i="3"/>
  <c r="J1713" i="3"/>
  <c r="J1709" i="3"/>
  <c r="J1565" i="3"/>
  <c r="J1553" i="3"/>
  <c r="J1540" i="3"/>
  <c r="J1522" i="3"/>
  <c r="J1490" i="3"/>
  <c r="J34" i="3"/>
  <c r="J1590" i="3"/>
  <c r="J1347" i="3"/>
  <c r="J233" i="3"/>
  <c r="J91" i="3"/>
  <c r="J1675" i="3"/>
  <c r="J1491" i="3"/>
  <c r="J1417" i="3"/>
  <c r="J910" i="3"/>
  <c r="J1535" i="3"/>
  <c r="J1328" i="3"/>
  <c r="J1282" i="3"/>
  <c r="J1235" i="3"/>
  <c r="J1062" i="3"/>
  <c r="J835" i="3"/>
  <c r="J775" i="3"/>
  <c r="J697" i="3"/>
  <c r="J1656" i="3"/>
  <c r="J1632" i="3"/>
  <c r="J1582" i="3"/>
  <c r="J1536" i="3"/>
  <c r="J1456" i="3"/>
  <c r="J1402" i="3"/>
  <c r="J986" i="3"/>
  <c r="J927" i="3"/>
  <c r="J1678" i="3"/>
  <c r="J1521" i="3"/>
  <c r="J1271" i="3"/>
  <c r="J1258" i="3"/>
  <c r="J1213" i="3"/>
  <c r="J724" i="3"/>
  <c r="J1543" i="3"/>
  <c r="J1427" i="3"/>
  <c r="J1340" i="3"/>
  <c r="J1288" i="3"/>
  <c r="J1103" i="3"/>
  <c r="J1016" i="3"/>
  <c r="J1716" i="3"/>
  <c r="J1585" i="3"/>
  <c r="J1731" i="3"/>
  <c r="J1705" i="3"/>
  <c r="J1657" i="3"/>
  <c r="J1597" i="3"/>
  <c r="J1574" i="3"/>
  <c r="J1473" i="3"/>
  <c r="J1447" i="3"/>
  <c r="J1410" i="3"/>
  <c r="J1383" i="3"/>
  <c r="J1351" i="3"/>
  <c r="J1281" i="3"/>
  <c r="J1241" i="3"/>
  <c r="J1221" i="3"/>
  <c r="J1189" i="3"/>
  <c r="J1172" i="3"/>
  <c r="J1112" i="3"/>
  <c r="J1079" i="3"/>
  <c r="J1034" i="3"/>
  <c r="J947" i="3"/>
  <c r="J917" i="3"/>
  <c r="J820" i="3"/>
  <c r="J632" i="3"/>
  <c r="J567" i="3"/>
  <c r="J553" i="3"/>
  <c r="J539" i="3"/>
  <c r="J410" i="3"/>
  <c r="J1621" i="3"/>
  <c r="J1586" i="3"/>
  <c r="J1549" i="3"/>
  <c r="J1392" i="3"/>
  <c r="J1272" i="3"/>
  <c r="J1239" i="3"/>
  <c r="J1163" i="3"/>
  <c r="J1078" i="3"/>
  <c r="J963" i="3"/>
  <c r="J937" i="3"/>
  <c r="J902" i="3"/>
  <c r="J877" i="3"/>
  <c r="J857" i="3"/>
  <c r="J848" i="3"/>
  <c r="J821" i="3"/>
  <c r="J812" i="3"/>
  <c r="J809" i="3"/>
  <c r="J801" i="3"/>
  <c r="J767" i="3"/>
  <c r="J739" i="3"/>
  <c r="J729" i="3"/>
  <c r="J712" i="3"/>
  <c r="J691" i="3"/>
  <c r="J670" i="3"/>
  <c r="J666" i="3"/>
  <c r="J654" i="3"/>
  <c r="J631" i="3"/>
  <c r="H616" i="3"/>
  <c r="J616" i="3"/>
  <c r="H613" i="3"/>
  <c r="J613" i="3"/>
  <c r="H601" i="3"/>
  <c r="J601" i="3"/>
  <c r="J566" i="3"/>
  <c r="J559" i="3"/>
  <c r="G378" i="1"/>
  <c r="J547" i="3"/>
  <c r="J529" i="3"/>
  <c r="J517" i="3"/>
  <c r="J514" i="3"/>
  <c r="J498" i="3"/>
  <c r="J487" i="3"/>
  <c r="J474" i="3"/>
  <c r="J456" i="3"/>
  <c r="J448" i="3"/>
  <c r="H429" i="3"/>
  <c r="J429" i="3"/>
  <c r="J405" i="3"/>
  <c r="H400" i="3"/>
  <c r="G359" i="1" s="1"/>
  <c r="J400" i="3"/>
  <c r="H387" i="3"/>
  <c r="G385" i="1" s="1"/>
  <c r="J387" i="3"/>
  <c r="J369" i="3"/>
  <c r="J348" i="3"/>
  <c r="J345" i="3"/>
  <c r="H337" i="3"/>
  <c r="J337" i="3"/>
  <c r="H324" i="3"/>
  <c r="J324" i="3"/>
  <c r="J319" i="3"/>
  <c r="J287" i="3"/>
  <c r="J279" i="3"/>
  <c r="J266" i="3"/>
  <c r="H240" i="3"/>
  <c r="J240" i="3"/>
  <c r="H226" i="3"/>
  <c r="J226" i="3"/>
  <c r="H203" i="3"/>
  <c r="J203" i="3"/>
  <c r="J194" i="3"/>
  <c r="J183" i="3"/>
  <c r="J163" i="3"/>
  <c r="H171" i="3"/>
  <c r="G368" i="1" s="1"/>
  <c r="J171" i="3"/>
  <c r="J160" i="3"/>
  <c r="J138" i="3"/>
  <c r="H138" i="3"/>
  <c r="H131" i="3"/>
  <c r="J131" i="3"/>
  <c r="J123" i="3"/>
  <c r="J114" i="3"/>
  <c r="J97" i="3"/>
  <c r="H92" i="3"/>
  <c r="J92" i="3"/>
  <c r="H78" i="3"/>
  <c r="J78" i="3"/>
  <c r="J61" i="3"/>
  <c r="H57" i="3"/>
  <c r="J57" i="3"/>
  <c r="H44" i="3"/>
  <c r="J44" i="3"/>
  <c r="G382" i="1"/>
  <c r="J35" i="3"/>
  <c r="H7" i="3"/>
  <c r="J7" i="3"/>
  <c r="J1700" i="3"/>
  <c r="J1615" i="3"/>
  <c r="J1484" i="3"/>
  <c r="J1452" i="3"/>
  <c r="J1419" i="3"/>
  <c r="J1352" i="3"/>
  <c r="J1286" i="3"/>
  <c r="J1196" i="3"/>
  <c r="J1145" i="3"/>
  <c r="J1129" i="3"/>
  <c r="J1099" i="3"/>
  <c r="J1065" i="3"/>
  <c r="J939" i="3"/>
  <c r="J716" i="3"/>
  <c r="J301" i="3"/>
  <c r="J292" i="3"/>
  <c r="J262" i="3"/>
  <c r="J1578" i="3"/>
  <c r="J1537" i="3"/>
  <c r="J1466" i="3"/>
  <c r="J1353" i="3"/>
  <c r="J1311" i="3"/>
  <c r="J1225" i="3"/>
  <c r="J1214" i="3"/>
  <c r="J1197" i="3"/>
  <c r="J1176" i="3"/>
  <c r="J1146" i="3"/>
  <c r="J1133" i="3"/>
  <c r="J1113" i="3"/>
  <c r="J1023" i="3"/>
  <c r="J995" i="3"/>
  <c r="J903" i="3"/>
  <c r="J911" i="3"/>
  <c r="J878" i="3"/>
  <c r="J843" i="3"/>
  <c r="J752" i="3"/>
  <c r="J761" i="3"/>
  <c r="J704" i="3"/>
  <c r="J671" i="3"/>
  <c r="J667" i="3"/>
  <c r="J647" i="3"/>
  <c r="J638" i="3"/>
  <c r="J617" i="3"/>
  <c r="J608" i="3"/>
  <c r="H608" i="3"/>
  <c r="J590" i="3"/>
  <c r="H589" i="3"/>
  <c r="J589" i="3"/>
  <c r="J586" i="3"/>
  <c r="J554" i="3"/>
  <c r="J518" i="3"/>
  <c r="G366" i="1"/>
  <c r="J515" i="3"/>
  <c r="J488" i="3"/>
  <c r="J482" i="3"/>
  <c r="H461" i="3"/>
  <c r="J461" i="3"/>
  <c r="J406" i="3"/>
  <c r="H401" i="3"/>
  <c r="J401" i="3"/>
  <c r="J383" i="3"/>
  <c r="H383" i="3"/>
  <c r="G412" i="1" s="1"/>
  <c r="J370" i="3"/>
  <c r="J349" i="3"/>
  <c r="H346" i="3"/>
  <c r="J346" i="3"/>
  <c r="J325" i="3"/>
  <c r="J296" i="3"/>
  <c r="H288" i="3"/>
  <c r="J288" i="3"/>
  <c r="J263" i="3"/>
  <c r="H263" i="3"/>
  <c r="J257" i="3"/>
  <c r="H257" i="3"/>
  <c r="H241" i="3"/>
  <c r="J241" i="3"/>
  <c r="H222" i="3"/>
  <c r="J222" i="3"/>
  <c r="J213" i="3"/>
  <c r="J195" i="3"/>
  <c r="J164" i="3"/>
  <c r="J139" i="3"/>
  <c r="J106" i="3"/>
  <c r="J98" i="3"/>
  <c r="H98" i="3"/>
  <c r="J93" i="3"/>
  <c r="H80" i="3"/>
  <c r="G351" i="1" s="1"/>
  <c r="J80" i="3"/>
  <c r="H79" i="3"/>
  <c r="J79" i="3"/>
  <c r="J66" i="3"/>
  <c r="J45" i="3"/>
  <c r="H45" i="3"/>
  <c r="J37" i="3"/>
  <c r="J22" i="3"/>
  <c r="H22" i="3"/>
  <c r="J16" i="3"/>
  <c r="J3" i="3"/>
  <c r="J1701" i="3"/>
  <c r="J1679" i="3"/>
  <c r="J1649" i="3"/>
  <c r="J1617" i="3"/>
  <c r="J1583" i="3"/>
  <c r="J1542" i="3"/>
  <c r="J1508" i="3"/>
  <c r="J1497" i="3"/>
  <c r="J1477" i="3"/>
  <c r="J1454" i="3"/>
  <c r="J1413" i="3"/>
  <c r="J1393" i="3"/>
  <c r="J1364" i="3"/>
  <c r="J1354" i="3"/>
  <c r="J1327" i="3"/>
  <c r="J1289" i="3"/>
  <c r="J1287" i="3"/>
  <c r="J1224" i="3"/>
  <c r="J1130" i="3"/>
  <c r="J1086" i="3"/>
  <c r="J1066" i="3"/>
  <c r="J1050" i="3"/>
  <c r="J940" i="3"/>
  <c r="J889" i="3"/>
  <c r="J813" i="3"/>
  <c r="J745" i="3"/>
  <c r="J717" i="3"/>
  <c r="J637" i="3"/>
  <c r="J525" i="3"/>
  <c r="J423" i="3"/>
  <c r="J388" i="3"/>
  <c r="J375" i="3"/>
  <c r="J234" i="3"/>
  <c r="J212" i="3"/>
  <c r="J105" i="3"/>
  <c r="J36" i="3"/>
  <c r="J1629" i="3"/>
  <c r="J1502" i="3"/>
  <c r="J1464" i="3"/>
  <c r="J1414" i="3"/>
  <c r="J1370" i="3"/>
  <c r="J1717" i="3"/>
  <c r="J1681" i="3"/>
  <c r="J1669" i="3"/>
  <c r="J1643" i="3"/>
  <c r="J1623" i="3"/>
  <c r="J1557" i="3"/>
  <c r="J1509" i="3"/>
  <c r="J1486" i="3"/>
  <c r="J1461" i="3"/>
  <c r="J1424" i="3"/>
  <c r="J1366" i="3"/>
  <c r="J1331" i="3"/>
  <c r="J1323" i="3"/>
  <c r="J1305" i="3"/>
  <c r="J1291" i="3"/>
  <c r="J1266" i="3"/>
  <c r="J1209" i="3"/>
  <c r="J1157" i="3"/>
  <c r="J1104" i="3"/>
  <c r="J1072" i="3"/>
  <c r="J1051" i="3"/>
  <c r="J972" i="3"/>
  <c r="J868" i="3"/>
  <c r="J842" i="3"/>
  <c r="J789" i="3"/>
  <c r="J748" i="3"/>
  <c r="J703" i="3"/>
  <c r="J661" i="3"/>
  <c r="J585" i="3"/>
  <c r="J548" i="3"/>
  <c r="J530" i="3"/>
  <c r="J235" i="3"/>
  <c r="J124" i="3"/>
  <c r="H204" i="3"/>
  <c r="J1724" i="3"/>
  <c r="J1719" i="3"/>
  <c r="J1677" i="3"/>
  <c r="J1626" i="3"/>
  <c r="J1588" i="3"/>
  <c r="J1558" i="3"/>
  <c r="J1524" i="3"/>
  <c r="J1397" i="3"/>
  <c r="J1372" i="3"/>
  <c r="J1333" i="3"/>
  <c r="J1324" i="3"/>
  <c r="J1294" i="3"/>
  <c r="J1267" i="3"/>
  <c r="J1229" i="3"/>
  <c r="J1208" i="3"/>
  <c r="J1175" i="3"/>
  <c r="J1158" i="3"/>
  <c r="J1107" i="3"/>
  <c r="J1092" i="3"/>
  <c r="J1073" i="3"/>
  <c r="J1022" i="3"/>
  <c r="J994" i="3"/>
  <c r="J896" i="3"/>
  <c r="J869" i="3"/>
  <c r="J730" i="3"/>
  <c r="J662" i="3"/>
  <c r="H173" i="3"/>
  <c r="J1698" i="3"/>
  <c r="J1645" i="3"/>
  <c r="J1605" i="3"/>
  <c r="J1562" i="3"/>
  <c r="J1533" i="3"/>
  <c r="J1525" i="3"/>
  <c r="J1499" i="3"/>
  <c r="J1472" i="3"/>
  <c r="J1434" i="3"/>
  <c r="J1409" i="3"/>
  <c r="J1394" i="3"/>
  <c r="J1373" i="3"/>
  <c r="J1339" i="3"/>
  <c r="J1108" i="3"/>
  <c r="J1055" i="3"/>
  <c r="J978" i="3"/>
  <c r="J951" i="3"/>
  <c r="J898" i="3"/>
  <c r="J849" i="3"/>
  <c r="J822" i="3"/>
  <c r="J781" i="3"/>
  <c r="J760" i="3"/>
  <c r="J646" i="3"/>
  <c r="J607" i="3"/>
  <c r="J493" i="3"/>
  <c r="J481" i="3"/>
  <c r="J320" i="3"/>
  <c r="J295" i="3"/>
  <c r="J227" i="3"/>
  <c r="J187" i="3"/>
  <c r="J89" i="3"/>
  <c r="J65" i="3"/>
  <c r="J1729" i="3"/>
  <c r="J1690" i="3"/>
  <c r="J1666" i="3"/>
  <c r="J1652" i="3"/>
  <c r="J1566" i="3"/>
  <c r="J1534" i="3"/>
  <c r="J1500" i="3"/>
  <c r="J1308" i="3"/>
  <c r="J1259" i="3"/>
  <c r="J1240" i="3"/>
  <c r="J1215" i="3"/>
  <c r="J1188" i="3"/>
  <c r="J1171" i="3"/>
  <c r="J1132" i="3"/>
  <c r="J979" i="3"/>
  <c r="J952" i="3"/>
  <c r="J916" i="3"/>
  <c r="J810" i="3"/>
  <c r="J782" i="3"/>
  <c r="J677" i="3"/>
  <c r="J588" i="3"/>
  <c r="J494" i="3"/>
  <c r="J430" i="3"/>
  <c r="J409" i="3"/>
  <c r="J382" i="3"/>
  <c r="J356" i="3"/>
  <c r="J338" i="3"/>
  <c r="J256" i="3"/>
  <c r="J188" i="3"/>
  <c r="J15" i="3"/>
  <c r="J1672" i="3"/>
  <c r="J988" i="3"/>
  <c r="J953" i="3"/>
  <c r="J891" i="3"/>
  <c r="J870" i="3"/>
  <c r="J1252" i="3"/>
  <c r="J1173" i="3"/>
  <c r="J1737" i="3"/>
  <c r="J1718" i="3"/>
  <c r="J1667" i="3"/>
  <c r="J1728" i="3"/>
  <c r="J1642" i="3"/>
  <c r="J1596" i="3"/>
  <c r="J1527" i="3"/>
  <c r="J1481" i="3"/>
  <c r="J1391" i="3"/>
  <c r="J1350" i="3"/>
  <c r="J1265" i="3"/>
  <c r="J1219" i="3"/>
  <c r="J1144" i="3"/>
  <c r="J1706" i="3"/>
  <c r="J1634" i="3"/>
  <c r="J1573" i="3"/>
  <c r="J1505" i="3"/>
  <c r="J1446" i="3"/>
  <c r="J1381" i="3"/>
  <c r="J1322" i="3"/>
  <c r="J1257" i="3"/>
  <c r="J1736" i="3"/>
  <c r="J1732" i="3"/>
  <c r="J1721" i="3"/>
  <c r="J1715" i="3"/>
  <c r="J1714" i="3"/>
  <c r="J1704" i="3"/>
  <c r="J1693" i="3"/>
  <c r="J1688" i="3"/>
  <c r="J1680" i="3"/>
  <c r="J1668" i="3"/>
  <c r="J1665" i="3"/>
  <c r="J1658" i="3"/>
  <c r="J1648" i="3"/>
  <c r="J1641" i="3"/>
  <c r="J1618" i="3"/>
  <c r="J1611" i="3"/>
  <c r="J1612" i="3"/>
  <c r="J1595" i="3"/>
  <c r="J1592" i="3"/>
  <c r="J1580" i="3"/>
  <c r="J1571" i="3"/>
  <c r="J1567" i="3"/>
  <c r="J1555" i="3"/>
  <c r="J1554" i="3"/>
  <c r="J1544" i="3"/>
  <c r="J1530" i="3"/>
  <c r="J1518" i="3"/>
  <c r="J1520" i="3"/>
  <c r="J1511" i="3"/>
  <c r="J1498" i="3"/>
  <c r="J1493" i="3"/>
  <c r="J1485" i="3"/>
  <c r="J1480" i="3"/>
  <c r="J1468" i="3"/>
  <c r="J1460" i="3"/>
  <c r="J1453" i="3"/>
  <c r="J1445" i="3"/>
  <c r="J1432" i="3"/>
  <c r="J1422" i="3"/>
  <c r="J1426" i="3"/>
  <c r="J1420" i="3"/>
  <c r="J1408" i="3"/>
  <c r="J1400" i="3"/>
  <c r="J1390" i="3"/>
  <c r="J1379" i="3"/>
  <c r="J1377" i="3"/>
  <c r="J1361" i="3"/>
  <c r="J1369" i="3"/>
  <c r="J1349" i="3"/>
  <c r="J1345" i="3"/>
  <c r="J1338" i="3"/>
  <c r="J1332" i="3"/>
  <c r="J1316" i="3"/>
  <c r="J1309" i="3"/>
  <c r="J1302" i="3"/>
  <c r="J1299" i="3"/>
  <c r="J1285" i="3"/>
  <c r="J1277" i="3"/>
  <c r="J1275" i="3"/>
  <c r="J1264" i="3"/>
  <c r="J1256" i="3"/>
  <c r="J1250" i="3"/>
  <c r="J1237" i="3"/>
  <c r="J1233" i="3"/>
  <c r="J1217" i="3"/>
  <c r="J1212" i="3"/>
  <c r="J1206" i="3"/>
  <c r="J1194" i="3"/>
  <c r="J1186" i="3"/>
  <c r="J1185" i="3"/>
  <c r="J1181" i="3"/>
  <c r="J1169" i="3"/>
  <c r="J1155" i="3"/>
  <c r="J1143" i="3"/>
  <c r="J1151" i="3"/>
  <c r="J1138" i="3"/>
  <c r="J1128" i="3"/>
  <c r="J1122" i="3"/>
  <c r="J746" i="3"/>
  <c r="J682" i="3"/>
  <c r="J537" i="3"/>
  <c r="J491" i="3"/>
  <c r="H472" i="3"/>
  <c r="J472" i="3"/>
  <c r="J421" i="3"/>
  <c r="J418" i="3"/>
  <c r="J394" i="3"/>
  <c r="J373" i="3"/>
  <c r="J335" i="3"/>
  <c r="J317" i="3"/>
  <c r="H260" i="3"/>
  <c r="J260" i="3"/>
  <c r="J169" i="3"/>
  <c r="J158" i="3"/>
  <c r="J103" i="3"/>
  <c r="H95" i="3"/>
  <c r="G355" i="1" s="1"/>
  <c r="J95" i="3"/>
  <c r="J59" i="3"/>
  <c r="H55" i="3"/>
  <c r="J55" i="3"/>
  <c r="H5" i="3"/>
  <c r="J5" i="3"/>
  <c r="J1207" i="3"/>
  <c r="J1195" i="3"/>
  <c r="J1187" i="3"/>
  <c r="J1174" i="3"/>
  <c r="J1162" i="3"/>
  <c r="J1170" i="3"/>
  <c r="J1131" i="3"/>
  <c r="J1139" i="3"/>
  <c r="J1127" i="3"/>
  <c r="J1111" i="3"/>
  <c r="J1106" i="3"/>
  <c r="O1095" i="3"/>
  <c r="J1095" i="3"/>
  <c r="J1091" i="3"/>
  <c r="O1091" i="3"/>
  <c r="J1070" i="3"/>
  <c r="O1070" i="3"/>
  <c r="J1064" i="3"/>
  <c r="O1064" i="3"/>
  <c r="O1061" i="3"/>
  <c r="J1054" i="3"/>
  <c r="O1054" i="3"/>
  <c r="J1049" i="3"/>
  <c r="O1049" i="3"/>
  <c r="O1040" i="3"/>
  <c r="J1040" i="3"/>
  <c r="O1033" i="3"/>
  <c r="O1021" i="3"/>
  <c r="J1021" i="3"/>
  <c r="J1015" i="3"/>
  <c r="O1015" i="3"/>
  <c r="J1010" i="3"/>
  <c r="O1010" i="3"/>
  <c r="O993" i="3"/>
  <c r="J985" i="3"/>
  <c r="O985" i="3"/>
  <c r="J977" i="3"/>
  <c r="O977" i="3"/>
  <c r="O971" i="3"/>
  <c r="J971" i="3"/>
  <c r="O962" i="3"/>
  <c r="J962" i="3"/>
  <c r="O950" i="3"/>
  <c r="J958" i="3"/>
  <c r="O958" i="3"/>
  <c r="J946" i="3"/>
  <c r="O946" i="3"/>
  <c r="O936" i="3"/>
  <c r="J936" i="3"/>
  <c r="J926" i="3"/>
  <c r="O926" i="3"/>
  <c r="J915" i="3"/>
  <c r="O915" i="3"/>
  <c r="O901" i="3"/>
  <c r="J901" i="3"/>
  <c r="O909" i="3"/>
  <c r="J909" i="3"/>
  <c r="O897" i="3"/>
  <c r="J897" i="3"/>
  <c r="J886" i="3"/>
  <c r="O886" i="3"/>
  <c r="J876" i="3"/>
  <c r="O876" i="3"/>
  <c r="J867" i="3"/>
  <c r="O867" i="3"/>
  <c r="J856" i="3"/>
  <c r="O856" i="3"/>
  <c r="J847" i="3"/>
  <c r="O847" i="3"/>
  <c r="O841" i="3"/>
  <c r="O834" i="3"/>
  <c r="J834" i="3"/>
  <c r="J831" i="3"/>
  <c r="O831" i="3"/>
  <c r="J828" i="3"/>
  <c r="O828" i="3"/>
  <c r="J819" i="3"/>
  <c r="O819" i="3"/>
  <c r="O807" i="3"/>
  <c r="J800" i="3"/>
  <c r="O800" i="3"/>
  <c r="J795" i="3"/>
  <c r="O795" i="3"/>
  <c r="O780" i="3"/>
  <c r="J780" i="3"/>
  <c r="O766" i="3"/>
  <c r="J766" i="3"/>
  <c r="O774" i="3"/>
  <c r="J774" i="3"/>
  <c r="J759" i="3"/>
  <c r="O759" i="3"/>
  <c r="J747" i="3"/>
  <c r="O747" i="3"/>
  <c r="J738" i="3"/>
  <c r="O738" i="3"/>
  <c r="J728" i="3"/>
  <c r="O728" i="3"/>
  <c r="J715" i="3"/>
  <c r="O715" i="3"/>
  <c r="O723" i="3"/>
  <c r="O711" i="3"/>
  <c r="J711" i="3"/>
  <c r="J702" i="3"/>
  <c r="O702" i="3"/>
  <c r="J696" i="3"/>
  <c r="O696" i="3"/>
  <c r="J690" i="3"/>
  <c r="O690" i="3"/>
  <c r="O683" i="3"/>
  <c r="J665" i="3"/>
  <c r="O665" i="3"/>
  <c r="J660" i="3"/>
  <c r="O660" i="3"/>
  <c r="O653" i="3"/>
  <c r="J653" i="3"/>
  <c r="O645" i="3"/>
  <c r="J645" i="3"/>
  <c r="H636" i="3"/>
  <c r="O636" i="3"/>
  <c r="J636" i="3"/>
  <c r="J630" i="3"/>
  <c r="O630" i="3"/>
  <c r="J626" i="3"/>
  <c r="O626" i="3"/>
  <c r="J1722" i="3"/>
  <c r="J1660" i="3"/>
  <c r="J1603" i="3"/>
  <c r="J1529" i="3"/>
  <c r="J1469" i="3"/>
  <c r="J1406" i="3"/>
  <c r="J1346" i="3"/>
  <c r="J1276" i="3"/>
  <c r="J572" i="3"/>
  <c r="J1684" i="3"/>
  <c r="J1622" i="3"/>
  <c r="J1556" i="3"/>
  <c r="J1496" i="3"/>
  <c r="J1423" i="3"/>
  <c r="J1362" i="3"/>
  <c r="J1304" i="3"/>
  <c r="J1238" i="3"/>
  <c r="J1156" i="3"/>
  <c r="J1694" i="3"/>
  <c r="J1620" i="3"/>
  <c r="J1569" i="3"/>
  <c r="J1503" i="3"/>
  <c r="J1433" i="3"/>
  <c r="J1371" i="3"/>
  <c r="J1307" i="3"/>
  <c r="J1251" i="3"/>
  <c r="J552" i="3"/>
  <c r="J480" i="3"/>
  <c r="J219" i="3"/>
  <c r="J578" i="3"/>
  <c r="J546" i="3"/>
  <c r="J528" i="3"/>
  <c r="J513" i="3"/>
  <c r="J486" i="3"/>
  <c r="J473" i="3"/>
  <c r="J433" i="3"/>
  <c r="H408" i="3"/>
  <c r="J408" i="3"/>
  <c r="J399" i="3"/>
  <c r="H381" i="3"/>
  <c r="G417" i="1" s="1"/>
  <c r="J381" i="3"/>
  <c r="H374" i="3"/>
  <c r="J374" i="3"/>
  <c r="H368" i="3"/>
  <c r="G416" i="1" s="1"/>
  <c r="J368" i="3"/>
  <c r="J344" i="3"/>
  <c r="J336" i="3"/>
  <c r="J312" i="3"/>
  <c r="H308" i="3"/>
  <c r="G373" i="1" s="1"/>
  <c r="J308" i="3"/>
  <c r="G358" i="1"/>
  <c r="J280" i="3"/>
  <c r="J265" i="3"/>
  <c r="J239" i="3"/>
  <c r="J225" i="3"/>
  <c r="H211" i="3"/>
  <c r="J211" i="3"/>
  <c r="J202" i="3"/>
  <c r="H186" i="3"/>
  <c r="J186" i="3"/>
  <c r="H179" i="3"/>
  <c r="G364" i="1" s="1"/>
  <c r="J179" i="3"/>
  <c r="J153" i="3"/>
  <c r="H137" i="3"/>
  <c r="J137" i="3"/>
  <c r="J122" i="3"/>
  <c r="H104" i="3"/>
  <c r="J104" i="3"/>
  <c r="J538" i="3"/>
  <c r="J467" i="3"/>
  <c r="J347" i="3"/>
  <c r="J159" i="3"/>
  <c r="J286" i="3"/>
  <c r="J492" i="3"/>
  <c r="J170" i="3"/>
  <c r="J113" i="3"/>
  <c r="O612" i="3"/>
  <c r="O578" i="3"/>
  <c r="O558" i="3"/>
  <c r="O552" i="3"/>
  <c r="O546" i="3"/>
  <c r="O538" i="3"/>
  <c r="O528" i="3"/>
  <c r="O516" i="3"/>
  <c r="O513" i="3"/>
  <c r="O497" i="3"/>
  <c r="J612" i="3"/>
  <c r="J516" i="3"/>
  <c r="J497" i="3"/>
  <c r="J447" i="3"/>
  <c r="J318" i="3"/>
  <c r="J291" i="3"/>
  <c r="J422" i="3"/>
  <c r="J983" i="3"/>
  <c r="J924" i="3"/>
  <c r="J96" i="3"/>
  <c r="J43" i="3"/>
  <c r="J51" i="3"/>
  <c r="J8" i="3"/>
  <c r="J1019" i="3"/>
  <c r="J968" i="3"/>
  <c r="J88" i="3"/>
  <c r="J311" i="3"/>
  <c r="J246" i="3"/>
  <c r="J1105" i="3"/>
  <c r="J1102" i="3"/>
  <c r="J1098" i="3"/>
  <c r="J1090" i="3"/>
  <c r="J1084" i="3"/>
  <c r="J1071" i="3"/>
  <c r="J1053" i="3"/>
  <c r="J1048" i="3"/>
  <c r="J1039" i="3"/>
  <c r="J1032" i="3"/>
  <c r="J1020" i="3"/>
  <c r="J1014" i="3"/>
  <c r="J1009" i="3"/>
  <c r="J992" i="3"/>
  <c r="J984" i="3"/>
  <c r="J970" i="3"/>
  <c r="J949" i="3"/>
  <c r="J957" i="3"/>
  <c r="J945" i="3"/>
  <c r="J935" i="3"/>
  <c r="J925" i="3"/>
  <c r="J914" i="3"/>
  <c r="J900" i="3"/>
  <c r="J908" i="3"/>
  <c r="J895" i="3"/>
  <c r="J885" i="3"/>
  <c r="J875" i="3"/>
  <c r="J866" i="3"/>
  <c r="J855" i="3"/>
  <c r="J863" i="3"/>
  <c r="J840" i="3"/>
  <c r="J833" i="3"/>
  <c r="J830" i="3"/>
  <c r="J827" i="3"/>
  <c r="J818" i="3"/>
  <c r="J808" i="3"/>
  <c r="J799" i="3"/>
  <c r="J794" i="3"/>
  <c r="J779" i="3"/>
  <c r="J765" i="3"/>
  <c r="J771" i="3"/>
  <c r="J757" i="3"/>
  <c r="J737" i="3"/>
  <c r="J727" i="3"/>
  <c r="J735" i="3"/>
  <c r="J722" i="3"/>
  <c r="J710" i="3"/>
  <c r="J701" i="3"/>
  <c r="J695" i="3"/>
  <c r="J689" i="3"/>
  <c r="J676" i="3"/>
  <c r="J659" i="3"/>
  <c r="J652" i="3"/>
  <c r="J644" i="3"/>
  <c r="H635" i="3"/>
  <c r="J635" i="3"/>
  <c r="J629" i="3"/>
  <c r="H629" i="3"/>
  <c r="H611" i="3"/>
  <c r="J611" i="3"/>
  <c r="H605" i="3"/>
  <c r="J605" i="3"/>
  <c r="J583" i="3"/>
  <c r="H565" i="3"/>
  <c r="J565" i="3"/>
  <c r="J527" i="3"/>
  <c r="J535" i="3"/>
  <c r="J512" i="3"/>
  <c r="J485" i="3"/>
  <c r="J479" i="3"/>
  <c r="H466" i="3"/>
  <c r="J466" i="3"/>
  <c r="J451" i="3"/>
  <c r="J442" i="3"/>
  <c r="H427" i="3"/>
  <c r="J427" i="3"/>
  <c r="H380" i="3"/>
  <c r="J380" i="3"/>
  <c r="J354" i="3"/>
  <c r="H343" i="3"/>
  <c r="G405" i="1" s="1"/>
  <c r="J343" i="3"/>
  <c r="J322" i="3"/>
  <c r="J307" i="3"/>
  <c r="J290" i="3"/>
  <c r="J278" i="3"/>
  <c r="J274" i="3"/>
  <c r="H274" i="3"/>
  <c r="H254" i="3"/>
  <c r="J254" i="3"/>
  <c r="J238" i="3"/>
  <c r="J232" i="3"/>
  <c r="H218" i="3"/>
  <c r="J218" i="3"/>
  <c r="J210" i="3"/>
  <c r="H201" i="3"/>
  <c r="J201" i="3"/>
  <c r="H192" i="3"/>
  <c r="J192" i="3"/>
  <c r="H181" i="3"/>
  <c r="G383" i="1" s="1"/>
  <c r="J181" i="3"/>
  <c r="H178" i="3"/>
  <c r="G371" i="1" s="1"/>
  <c r="J178" i="3"/>
  <c r="H136" i="3"/>
  <c r="G349" i="1" s="1"/>
  <c r="J136" i="3"/>
  <c r="J129" i="3"/>
  <c r="H121" i="3"/>
  <c r="J121" i="3"/>
  <c r="J112" i="3"/>
  <c r="J90" i="3"/>
  <c r="J87" i="3"/>
  <c r="H76" i="3"/>
  <c r="J76" i="3"/>
  <c r="J73" i="3"/>
  <c r="H50" i="3"/>
  <c r="J50" i="3"/>
  <c r="J42" i="3"/>
  <c r="H42" i="3"/>
  <c r="H33" i="3"/>
  <c r="J33" i="3"/>
  <c r="H27" i="3"/>
  <c r="J27" i="3"/>
  <c r="G396" i="1"/>
  <c r="J21" i="3"/>
  <c r="J595" i="3"/>
  <c r="J446" i="3"/>
  <c r="J362" i="3"/>
  <c r="J285" i="3"/>
  <c r="J599" i="3"/>
  <c r="J523" i="3"/>
  <c r="J403" i="3"/>
  <c r="J367" i="3"/>
  <c r="J185" i="3"/>
  <c r="J152" i="3"/>
  <c r="H398" i="3"/>
  <c r="J577" i="3"/>
  <c r="J606" i="3"/>
  <c r="H606" i="3"/>
  <c r="J600" i="3"/>
  <c r="J587" i="3"/>
  <c r="H584" i="3"/>
  <c r="J584" i="3"/>
  <c r="J524" i="3"/>
  <c r="J452" i="3"/>
  <c r="J386" i="3"/>
  <c r="H323" i="3"/>
  <c r="J323" i="3"/>
  <c r="H261" i="3"/>
  <c r="G372" i="1" s="1"/>
  <c r="J261" i="3"/>
  <c r="H193" i="3"/>
  <c r="J193" i="3"/>
  <c r="H130" i="3"/>
  <c r="J130" i="3"/>
  <c r="J64" i="3"/>
  <c r="J6" i="3"/>
  <c r="H6" i="3"/>
  <c r="O1672" i="3"/>
  <c r="H575" i="3"/>
  <c r="J575" i="3"/>
  <c r="H570" i="3"/>
  <c r="J570" i="3"/>
  <c r="J563" i="3"/>
  <c r="J557" i="3"/>
  <c r="J551" i="3"/>
  <c r="J543" i="3"/>
  <c r="J533" i="3"/>
  <c r="J521" i="3"/>
  <c r="J510" i="3"/>
  <c r="J504" i="3"/>
  <c r="J489" i="3"/>
  <c r="J483" i="3"/>
  <c r="J477" i="3"/>
  <c r="J470" i="3"/>
  <c r="H464" i="3"/>
  <c r="J464" i="3"/>
  <c r="H460" i="3"/>
  <c r="J460" i="3"/>
  <c r="H444" i="3"/>
  <c r="J444" i="3"/>
  <c r="H440" i="3"/>
  <c r="J440" i="3"/>
  <c r="J425" i="3"/>
  <c r="J419" i="3"/>
  <c r="J416" i="3"/>
  <c r="J413" i="3"/>
  <c r="J396" i="3"/>
  <c r="J392" i="3"/>
  <c r="J378" i="3"/>
  <c r="J371" i="3"/>
  <c r="J365" i="3"/>
  <c r="J360" i="3"/>
  <c r="H352" i="3"/>
  <c r="G409" i="1" s="1"/>
  <c r="J352" i="3"/>
  <c r="H341" i="3"/>
  <c r="G370" i="1" s="1"/>
  <c r="J341" i="3"/>
  <c r="H333" i="3"/>
  <c r="G406" i="1" s="1"/>
  <c r="J333" i="3"/>
  <c r="J328" i="3"/>
  <c r="J315" i="3"/>
  <c r="H310" i="3"/>
  <c r="J310" i="3"/>
  <c r="H305" i="3"/>
  <c r="J305" i="3"/>
  <c r="J299" i="3"/>
  <c r="J282" i="3"/>
  <c r="H276" i="3"/>
  <c r="J276" i="3"/>
  <c r="J272" i="3"/>
  <c r="H258" i="3"/>
  <c r="G380" i="1" s="1"/>
  <c r="J258" i="3"/>
  <c r="H252" i="3"/>
  <c r="J252" i="3"/>
  <c r="J249" i="3"/>
  <c r="J244" i="3"/>
  <c r="H231" i="3"/>
  <c r="G354" i="1" s="1"/>
  <c r="J231" i="3"/>
  <c r="J216" i="3"/>
  <c r="J223" i="3"/>
  <c r="J199" i="3"/>
  <c r="H207" i="3"/>
  <c r="J207" i="3"/>
  <c r="H198" i="3"/>
  <c r="J198" i="3"/>
  <c r="H191" i="3"/>
  <c r="J191" i="3"/>
  <c r="H177" i="3"/>
  <c r="J177" i="3"/>
  <c r="H167" i="3"/>
  <c r="J167" i="3"/>
  <c r="H156" i="3"/>
  <c r="J156" i="3"/>
  <c r="H150" i="3"/>
  <c r="J150" i="3"/>
  <c r="H147" i="3"/>
  <c r="G345" i="1" s="1"/>
  <c r="J147" i="3"/>
  <c r="J142" i="3"/>
  <c r="J135" i="3"/>
  <c r="J127" i="3"/>
  <c r="H118" i="3"/>
  <c r="G347" i="1" s="1"/>
  <c r="J118" i="3"/>
  <c r="H109" i="3"/>
  <c r="G353" i="1" s="1"/>
  <c r="J109" i="3"/>
  <c r="H102" i="3"/>
  <c r="G356" i="1" s="1"/>
  <c r="J102" i="3"/>
  <c r="H85" i="3"/>
  <c r="J85" i="3"/>
  <c r="H83" i="3"/>
  <c r="J83" i="3"/>
  <c r="H72" i="3"/>
  <c r="J72" i="3"/>
  <c r="H69" i="3"/>
  <c r="J69" i="3"/>
  <c r="H53" i="3"/>
  <c r="J53" i="3"/>
  <c r="H48" i="3"/>
  <c r="J48" i="3"/>
  <c r="J40" i="3"/>
  <c r="J31" i="3"/>
  <c r="J25" i="3"/>
  <c r="H20" i="3"/>
  <c r="J20" i="3"/>
  <c r="J13" i="3"/>
  <c r="AU328" i="1"/>
  <c r="AC329" i="1"/>
  <c r="AC324" i="1"/>
  <c r="AU324" i="1" s="1"/>
  <c r="AC327" i="1"/>
  <c r="AU327" i="1" s="1"/>
  <c r="AD326" i="1"/>
  <c r="AU326" i="1" s="1"/>
  <c r="AD329" i="1"/>
  <c r="H342" i="1"/>
  <c r="I342" i="1"/>
  <c r="AC342" i="1"/>
  <c r="AD342" i="1"/>
  <c r="H340" i="1"/>
  <c r="I340" i="1"/>
  <c r="AC340" i="1"/>
  <c r="AD340" i="1"/>
  <c r="AX422" i="1" l="1"/>
  <c r="AV422" i="1"/>
  <c r="AV426" i="1"/>
  <c r="AX426" i="1"/>
  <c r="AV427" i="1"/>
  <c r="AX427" i="1"/>
  <c r="AX424" i="1"/>
  <c r="AV424" i="1"/>
  <c r="AV421" i="1"/>
  <c r="AX421" i="1"/>
  <c r="AX423" i="1"/>
  <c r="AV423" i="1"/>
  <c r="AV419" i="1"/>
  <c r="AX419" i="1"/>
  <c r="AV420" i="1"/>
  <c r="AX420" i="1"/>
  <c r="AV416" i="1"/>
  <c r="AX416" i="1"/>
  <c r="AV418" i="1"/>
  <c r="AX418" i="1"/>
  <c r="AX417" i="1"/>
  <c r="AV417" i="1"/>
  <c r="AV415" i="1"/>
  <c r="AX415" i="1"/>
  <c r="AV412" i="1"/>
  <c r="AX412" i="1"/>
  <c r="AV413" i="1"/>
  <c r="AX413" i="1"/>
  <c r="AV411" i="1"/>
  <c r="AX411" i="1"/>
  <c r="AV410" i="1"/>
  <c r="AX410" i="1"/>
  <c r="AV409" i="1"/>
  <c r="AX409" i="1"/>
  <c r="AV408" i="1"/>
  <c r="AX408" i="1"/>
  <c r="AV407" i="1"/>
  <c r="AX407" i="1"/>
  <c r="AV406" i="1"/>
  <c r="AX406" i="1"/>
  <c r="AV405" i="1"/>
  <c r="AX405" i="1"/>
  <c r="AV369" i="1"/>
  <c r="AV404" i="1"/>
  <c r="AX404" i="1"/>
  <c r="AV403" i="1"/>
  <c r="AX403" i="1"/>
  <c r="AV396" i="1"/>
  <c r="AX396" i="1"/>
  <c r="AV397" i="1"/>
  <c r="AX397" i="1"/>
  <c r="AV399" i="1"/>
  <c r="AX399" i="1"/>
  <c r="AV402" i="1"/>
  <c r="AX402" i="1"/>
  <c r="AV400" i="1"/>
  <c r="AX400" i="1"/>
  <c r="AV398" i="1"/>
  <c r="AX398" i="1"/>
  <c r="AV401" i="1"/>
  <c r="AX401" i="1"/>
  <c r="AV395" i="1"/>
  <c r="AX395" i="1"/>
  <c r="AV392" i="1"/>
  <c r="AX392" i="1"/>
  <c r="AV393" i="1"/>
  <c r="AX393" i="1"/>
  <c r="AV391" i="1"/>
  <c r="AX391" i="1"/>
  <c r="AV390" i="1"/>
  <c r="AX390" i="1"/>
  <c r="AV389" i="1"/>
  <c r="AX389" i="1"/>
  <c r="AV388" i="1"/>
  <c r="AX388" i="1"/>
  <c r="AV383" i="1"/>
  <c r="AX383" i="1"/>
  <c r="AV382" i="1"/>
  <c r="AX382" i="1"/>
  <c r="AV385" i="1"/>
  <c r="AX385" i="1"/>
  <c r="AV384" i="1"/>
  <c r="AX384" i="1"/>
  <c r="AV386" i="1"/>
  <c r="AX386" i="1"/>
  <c r="AV387" i="1"/>
  <c r="AX387" i="1"/>
  <c r="AX375" i="1"/>
  <c r="AV348" i="1"/>
  <c r="AV376" i="1"/>
  <c r="AV380" i="1"/>
  <c r="AX380" i="1"/>
  <c r="AV381" i="1"/>
  <c r="AX381" i="1"/>
  <c r="AV378" i="1"/>
  <c r="AX378" i="1"/>
  <c r="AV377" i="1"/>
  <c r="AX377" i="1"/>
  <c r="AX379" i="1"/>
  <c r="AV379" i="1"/>
  <c r="AX373" i="1"/>
  <c r="AV373" i="1"/>
  <c r="AX374" i="1"/>
  <c r="AV374" i="1"/>
  <c r="AX372" i="1"/>
  <c r="AV372" i="1"/>
  <c r="AX371" i="1"/>
  <c r="AV371" i="1"/>
  <c r="AV370" i="1"/>
  <c r="AX370" i="1"/>
  <c r="AV357" i="1"/>
  <c r="AX357" i="1"/>
  <c r="AV368" i="1"/>
  <c r="AX368" i="1"/>
  <c r="AV367" i="1"/>
  <c r="AX367" i="1"/>
  <c r="AX365" i="1"/>
  <c r="AV364" i="1"/>
  <c r="AX364" i="1"/>
  <c r="AV366" i="1"/>
  <c r="AX366" i="1"/>
  <c r="AX363" i="1"/>
  <c r="AV363" i="1"/>
  <c r="AV362" i="1"/>
  <c r="AX362" i="1"/>
  <c r="AV361" i="1"/>
  <c r="AX361" i="1"/>
  <c r="AV360" i="1"/>
  <c r="AX360" i="1"/>
  <c r="AV359" i="1"/>
  <c r="AX359" i="1"/>
  <c r="AV358" i="1"/>
  <c r="AX358" i="1"/>
  <c r="AV353" i="1"/>
  <c r="AX353" i="1"/>
  <c r="AV356" i="1"/>
  <c r="AX356" i="1"/>
  <c r="AV354" i="1"/>
  <c r="AX354" i="1"/>
  <c r="AV355" i="1"/>
  <c r="AX355" i="1"/>
  <c r="AV338" i="1"/>
  <c r="AX338" i="1"/>
  <c r="AV325" i="1"/>
  <c r="AX325" i="1"/>
  <c r="AV352" i="1"/>
  <c r="AX352" i="1"/>
  <c r="AV351" i="1"/>
  <c r="AX351" i="1"/>
  <c r="AX344" i="1"/>
  <c r="AV349" i="1"/>
  <c r="AX349" i="1"/>
  <c r="AV347" i="1"/>
  <c r="AX347" i="1"/>
  <c r="AV346" i="1"/>
  <c r="AX346" i="1"/>
  <c r="AV345" i="1"/>
  <c r="AX345" i="1"/>
  <c r="AV343" i="1"/>
  <c r="AX343" i="1"/>
  <c r="AU329" i="1"/>
  <c r="AU342" i="1"/>
  <c r="AU340" i="1"/>
  <c r="P1744" i="3"/>
  <c r="P1738" i="3"/>
  <c r="P1745" i="3"/>
  <c r="P1743" i="3"/>
  <c r="P1741" i="3"/>
  <c r="P1739" i="3"/>
  <c r="P1737" i="3"/>
  <c r="P1736" i="3"/>
  <c r="P1742" i="3"/>
  <c r="P1740" i="3"/>
  <c r="Q1744" i="3"/>
  <c r="Q1738" i="3"/>
  <c r="Q1745" i="3"/>
  <c r="Q1743" i="3"/>
  <c r="Q1741" i="3"/>
  <c r="Q1739" i="3"/>
  <c r="Q1737" i="3"/>
  <c r="Q1736" i="3"/>
  <c r="Q1742" i="3"/>
  <c r="Q1740" i="3"/>
  <c r="A424" i="2"/>
  <c r="C424" i="2" s="1"/>
  <c r="I424" i="2"/>
  <c r="K424" i="2"/>
  <c r="M424" i="2"/>
  <c r="P424" i="2"/>
  <c r="A423" i="2"/>
  <c r="C423" i="2" s="1"/>
  <c r="I423" i="2"/>
  <c r="K423" i="2"/>
  <c r="M423" i="2"/>
  <c r="P423" i="2"/>
  <c r="K1732" i="3" l="1"/>
  <c r="E1732" i="3"/>
  <c r="Q1732" i="3"/>
  <c r="P1732" i="3" l="1"/>
  <c r="H331" i="1"/>
  <c r="I331" i="1"/>
  <c r="AC331" i="1"/>
  <c r="AD331" i="1"/>
  <c r="AU331" i="1" l="1"/>
  <c r="P1733" i="3"/>
  <c r="P1735" i="3"/>
  <c r="P1730" i="3"/>
  <c r="P1734" i="3"/>
  <c r="P1731" i="3"/>
  <c r="P1729" i="3"/>
  <c r="P1728" i="3"/>
  <c r="Q1733" i="3"/>
  <c r="Q1735" i="3"/>
  <c r="Q1730" i="3"/>
  <c r="Q1734" i="3"/>
  <c r="Q1731" i="3"/>
  <c r="Q1729" i="3"/>
  <c r="Q1728" i="3"/>
  <c r="A422" i="2" l="1"/>
  <c r="C422" i="2" s="1"/>
  <c r="I422" i="2"/>
  <c r="K422" i="2"/>
  <c r="M422" i="2"/>
  <c r="P422" i="2"/>
  <c r="A421" i="2"/>
  <c r="C421" i="2" s="1"/>
  <c r="I421" i="2"/>
  <c r="K421" i="2"/>
  <c r="M421" i="2"/>
  <c r="P421" i="2"/>
  <c r="A420" i="2"/>
  <c r="C420" i="2" s="1"/>
  <c r="I420" i="2"/>
  <c r="K420" i="2"/>
  <c r="M420" i="2"/>
  <c r="P420" i="2"/>
  <c r="E1712" i="3" l="1"/>
  <c r="P1712" i="3" s="1"/>
  <c r="P1726" i="3"/>
  <c r="P1723" i="3"/>
  <c r="P1727" i="3"/>
  <c r="P1725" i="3"/>
  <c r="P1724" i="3"/>
  <c r="P1722" i="3"/>
  <c r="P1721" i="3"/>
  <c r="Q1726" i="3"/>
  <c r="Q1723" i="3"/>
  <c r="Q1727" i="3"/>
  <c r="Q1725" i="3"/>
  <c r="Q1724" i="3"/>
  <c r="Q1722" i="3"/>
  <c r="Q1721" i="3"/>
  <c r="H334" i="1" l="1"/>
  <c r="H339" i="1"/>
  <c r="H335" i="1"/>
  <c r="H336" i="1"/>
  <c r="H337" i="1"/>
  <c r="I334" i="1"/>
  <c r="I339" i="1"/>
  <c r="I335" i="1"/>
  <c r="I336" i="1"/>
  <c r="I337" i="1"/>
  <c r="AC334" i="1"/>
  <c r="AC339" i="1"/>
  <c r="AC335" i="1"/>
  <c r="AC336" i="1"/>
  <c r="AC337" i="1"/>
  <c r="AD334" i="1"/>
  <c r="AD339" i="1"/>
  <c r="AD335" i="1"/>
  <c r="AD336" i="1"/>
  <c r="AD337" i="1"/>
  <c r="H332" i="1"/>
  <c r="H333" i="1"/>
  <c r="H341" i="1"/>
  <c r="I332" i="1"/>
  <c r="I333" i="1"/>
  <c r="I341" i="1"/>
  <c r="AC332" i="1"/>
  <c r="AC333" i="1"/>
  <c r="AC341" i="1"/>
  <c r="AD332" i="1"/>
  <c r="AD333" i="1"/>
  <c r="AD341" i="1"/>
  <c r="AU336" i="1" l="1"/>
  <c r="AU334" i="1"/>
  <c r="AU341" i="1"/>
  <c r="AU337" i="1"/>
  <c r="AU335" i="1"/>
  <c r="AU339" i="1"/>
  <c r="AU333" i="1"/>
  <c r="AU332" i="1"/>
  <c r="A419" i="2" l="1"/>
  <c r="C419" i="2" s="1"/>
  <c r="I419" i="2"/>
  <c r="K419" i="2"/>
  <c r="M419" i="2"/>
  <c r="P419" i="2"/>
  <c r="A418" i="2"/>
  <c r="C418" i="2" s="1"/>
  <c r="I418" i="2"/>
  <c r="K418" i="2"/>
  <c r="M418" i="2"/>
  <c r="P418" i="2"/>
  <c r="A417" i="2"/>
  <c r="C417" i="2" s="1"/>
  <c r="I417" i="2"/>
  <c r="K417" i="2"/>
  <c r="M417" i="2"/>
  <c r="P417" i="2"/>
  <c r="E1699" i="3" l="1"/>
  <c r="P1718" i="3"/>
  <c r="P1714" i="3"/>
  <c r="P1711" i="3"/>
  <c r="P1710" i="3"/>
  <c r="P1720" i="3"/>
  <c r="P1719" i="3"/>
  <c r="P1717" i="3"/>
  <c r="P1716" i="3"/>
  <c r="P1715" i="3"/>
  <c r="P1713" i="3"/>
  <c r="Q1718" i="3"/>
  <c r="Q1714" i="3"/>
  <c r="Q1711" i="3"/>
  <c r="Q1710" i="3"/>
  <c r="Q1720" i="3"/>
  <c r="Q1719" i="3"/>
  <c r="Q1717" i="3"/>
  <c r="Q1716" i="3"/>
  <c r="Q1715" i="3"/>
  <c r="Q1713" i="3"/>
  <c r="A416" i="2" l="1"/>
  <c r="C416" i="2" s="1"/>
  <c r="I416" i="2"/>
  <c r="K416" i="2"/>
  <c r="M416" i="2"/>
  <c r="P416" i="2"/>
  <c r="A415" i="2"/>
  <c r="C415" i="2" s="1"/>
  <c r="I415" i="2"/>
  <c r="K415" i="2"/>
  <c r="M415" i="2"/>
  <c r="P415" i="2"/>
  <c r="P1702" i="3"/>
  <c r="P1705" i="3"/>
  <c r="P1706" i="3"/>
  <c r="P1704" i="3"/>
  <c r="P1709" i="3"/>
  <c r="P1708" i="3"/>
  <c r="P1707" i="3"/>
  <c r="P1703" i="3"/>
  <c r="P1701" i="3"/>
  <c r="P1700" i="3"/>
  <c r="Q1702" i="3"/>
  <c r="Q1705" i="3"/>
  <c r="Q1706" i="3"/>
  <c r="Q1704" i="3"/>
  <c r="Q1709" i="3"/>
  <c r="Q1708" i="3"/>
  <c r="Q1707" i="3"/>
  <c r="Q1703" i="3"/>
  <c r="Q1701" i="3"/>
  <c r="Q1700" i="3"/>
  <c r="A414" i="2" l="1"/>
  <c r="I414" i="2"/>
  <c r="K414" i="2"/>
  <c r="M414" i="2"/>
  <c r="P414" i="2"/>
  <c r="A413" i="2"/>
  <c r="C413" i="2" s="1"/>
  <c r="I413" i="2"/>
  <c r="K413" i="2"/>
  <c r="M413" i="2"/>
  <c r="P413" i="2"/>
  <c r="A412" i="2"/>
  <c r="C412" i="2" s="1"/>
  <c r="I412" i="2"/>
  <c r="K412" i="2"/>
  <c r="M412" i="2"/>
  <c r="P412" i="2"/>
  <c r="C414" i="2" l="1"/>
  <c r="H290" i="1"/>
  <c r="I290" i="1"/>
  <c r="AC290" i="1"/>
  <c r="AD290" i="1"/>
  <c r="AU290" i="1" l="1"/>
  <c r="H286" i="1" l="1"/>
  <c r="I286" i="1"/>
  <c r="AC286" i="1"/>
  <c r="AD286" i="1"/>
  <c r="E1673" i="3"/>
  <c r="P1699" i="3"/>
  <c r="P1689" i="3"/>
  <c r="P1691" i="3"/>
  <c r="P1690" i="3"/>
  <c r="P1698" i="3"/>
  <c r="P1694" i="3"/>
  <c r="P1693" i="3"/>
  <c r="P1692" i="3"/>
  <c r="P1696" i="3"/>
  <c r="P1695" i="3"/>
  <c r="P1697" i="3"/>
  <c r="Q1699" i="3"/>
  <c r="Q1689" i="3"/>
  <c r="Q1691" i="3"/>
  <c r="Q1690" i="3"/>
  <c r="Q1698" i="3"/>
  <c r="Q1694" i="3"/>
  <c r="Q1693" i="3"/>
  <c r="Q1692" i="3"/>
  <c r="Q1696" i="3"/>
  <c r="Q1695" i="3"/>
  <c r="Q1697" i="3"/>
  <c r="AU286" i="1" l="1"/>
  <c r="A411" i="2" l="1"/>
  <c r="C411" i="2" s="1"/>
  <c r="I411" i="2"/>
  <c r="K411" i="2"/>
  <c r="M411" i="2"/>
  <c r="P411" i="2"/>
  <c r="A410" i="2"/>
  <c r="C410" i="2" s="1"/>
  <c r="I410" i="2"/>
  <c r="K410" i="2"/>
  <c r="M410" i="2"/>
  <c r="P410" i="2"/>
  <c r="A409" i="2" l="1"/>
  <c r="C409" i="2" s="1"/>
  <c r="I409" i="2"/>
  <c r="K409" i="2"/>
  <c r="M409" i="2"/>
  <c r="P409" i="2"/>
  <c r="A408" i="2"/>
  <c r="C408" i="2" s="1"/>
  <c r="I408" i="2"/>
  <c r="K408" i="2"/>
  <c r="M408" i="2"/>
  <c r="P408" i="2"/>
  <c r="E1656" i="3" l="1"/>
  <c r="H319" i="1" l="1"/>
  <c r="H320" i="1"/>
  <c r="H321" i="1"/>
  <c r="H322" i="1"/>
  <c r="H323" i="1"/>
  <c r="I319" i="1"/>
  <c r="I320" i="1"/>
  <c r="I321" i="1"/>
  <c r="I322" i="1"/>
  <c r="I323" i="1"/>
  <c r="AC319" i="1"/>
  <c r="AC320" i="1"/>
  <c r="AC321" i="1"/>
  <c r="AC322" i="1"/>
  <c r="AC323" i="1"/>
  <c r="AD319" i="1"/>
  <c r="AD320" i="1"/>
  <c r="AD321" i="1"/>
  <c r="AD322" i="1"/>
  <c r="AD323" i="1"/>
  <c r="E1675" i="3"/>
  <c r="P1679" i="3"/>
  <c r="P1678" i="3"/>
  <c r="P1680" i="3"/>
  <c r="P1683" i="3"/>
  <c r="P1686" i="3"/>
  <c r="P1682" i="3"/>
  <c r="P1685" i="3"/>
  <c r="P1677" i="3"/>
  <c r="P1681" i="3"/>
  <c r="P1684" i="3"/>
  <c r="P1688" i="3"/>
  <c r="P1687" i="3"/>
  <c r="Q1679" i="3"/>
  <c r="Q1678" i="3"/>
  <c r="Q1680" i="3"/>
  <c r="Q1683" i="3"/>
  <c r="Q1686" i="3"/>
  <c r="Q1682" i="3"/>
  <c r="Q1685" i="3"/>
  <c r="Q1677" i="3"/>
  <c r="Q1681" i="3"/>
  <c r="Q1684" i="3"/>
  <c r="Q1688" i="3"/>
  <c r="Q1687" i="3"/>
  <c r="AU321" i="1" l="1"/>
  <c r="AU320" i="1"/>
  <c r="AU319" i="1"/>
  <c r="AU323" i="1"/>
  <c r="AU322" i="1"/>
  <c r="H318" i="1" l="1"/>
  <c r="I318" i="1"/>
  <c r="AC318" i="1"/>
  <c r="AD318" i="1"/>
  <c r="H300" i="1"/>
  <c r="I300" i="1"/>
  <c r="AC300" i="1"/>
  <c r="AD300" i="1"/>
  <c r="AU318" i="1" l="1"/>
  <c r="AU300" i="1"/>
  <c r="Q1671" i="3"/>
  <c r="P1671" i="3"/>
  <c r="AD317" i="1"/>
  <c r="AD316" i="1"/>
  <c r="AD330" i="1"/>
  <c r="AC317" i="1"/>
  <c r="AC316" i="1"/>
  <c r="AC330" i="1"/>
  <c r="I317" i="1"/>
  <c r="I316" i="1"/>
  <c r="I330" i="1"/>
  <c r="H317" i="1"/>
  <c r="H316" i="1"/>
  <c r="H330" i="1"/>
  <c r="P1669" i="3"/>
  <c r="Q1669" i="3"/>
  <c r="P1670" i="3"/>
  <c r="Q1670" i="3"/>
  <c r="P1674" i="3"/>
  <c r="Q1674" i="3"/>
  <c r="P1676" i="3"/>
  <c r="Q1676" i="3"/>
  <c r="P1668" i="3"/>
  <c r="Q1668" i="3"/>
  <c r="P1667" i="3"/>
  <c r="Q1667" i="3"/>
  <c r="P1675" i="3"/>
  <c r="Q1675" i="3"/>
  <c r="P1673" i="3"/>
  <c r="Q1673" i="3"/>
  <c r="H315" i="1"/>
  <c r="I315" i="1"/>
  <c r="AC315" i="1"/>
  <c r="AD315" i="1"/>
  <c r="H314" i="1"/>
  <c r="I314" i="1"/>
  <c r="AC314" i="1"/>
  <c r="AD314" i="1"/>
  <c r="P1661" i="3"/>
  <c r="Q1661" i="3"/>
  <c r="P1662" i="3"/>
  <c r="Q1662" i="3"/>
  <c r="P1663" i="3"/>
  <c r="Q1663" i="3"/>
  <c r="P1664" i="3"/>
  <c r="Q1664" i="3"/>
  <c r="P1665" i="3"/>
  <c r="Q1665" i="3"/>
  <c r="P1660" i="3"/>
  <c r="Q1660" i="3"/>
  <c r="P1666" i="3"/>
  <c r="Q1666" i="3"/>
  <c r="C3" i="10"/>
  <c r="A407" i="2"/>
  <c r="C407" i="2" s="1"/>
  <c r="I407" i="2"/>
  <c r="K407" i="2"/>
  <c r="M407" i="2"/>
  <c r="P407" i="2"/>
  <c r="A406" i="2"/>
  <c r="C406" i="2" s="1"/>
  <c r="I406" i="2"/>
  <c r="K406" i="2"/>
  <c r="M406" i="2"/>
  <c r="P406" i="2"/>
  <c r="A405" i="2"/>
  <c r="C405" i="2" s="1"/>
  <c r="I405" i="2"/>
  <c r="K405" i="2"/>
  <c r="M405" i="2"/>
  <c r="P405" i="2"/>
  <c r="A404" i="2"/>
  <c r="C404" i="2" s="1"/>
  <c r="I404" i="2"/>
  <c r="K404" i="2"/>
  <c r="M404" i="2"/>
  <c r="P404" i="2"/>
  <c r="H311" i="1"/>
  <c r="H312" i="1"/>
  <c r="H313" i="1"/>
  <c r="I311" i="1"/>
  <c r="I312" i="1"/>
  <c r="I313" i="1"/>
  <c r="AC311" i="1"/>
  <c r="AC312" i="1"/>
  <c r="AC313" i="1"/>
  <c r="AD311" i="1"/>
  <c r="AD312" i="1"/>
  <c r="AD313" i="1"/>
  <c r="P1654" i="3"/>
  <c r="Q1654" i="3"/>
  <c r="E1642" i="3"/>
  <c r="P1642" i="3" s="1"/>
  <c r="P1657" i="3"/>
  <c r="Q1657" i="3"/>
  <c r="P1655" i="3"/>
  <c r="Q1655" i="3"/>
  <c r="P1659" i="3"/>
  <c r="Q1659" i="3"/>
  <c r="P1653" i="3"/>
  <c r="Q1653" i="3"/>
  <c r="P1658" i="3"/>
  <c r="Q1658" i="3"/>
  <c r="P1656" i="3"/>
  <c r="Q1656" i="3"/>
  <c r="A403" i="2"/>
  <c r="C403" i="2" s="1"/>
  <c r="I403" i="2"/>
  <c r="K403" i="2"/>
  <c r="M403" i="2"/>
  <c r="P403" i="2"/>
  <c r="A402" i="2"/>
  <c r="C402" i="2" s="1"/>
  <c r="I402" i="2"/>
  <c r="K402" i="2"/>
  <c r="M402" i="2"/>
  <c r="P402" i="2"/>
  <c r="G527" i="2"/>
  <c r="A401" i="2"/>
  <c r="C401" i="2" s="1"/>
  <c r="I401" i="2"/>
  <c r="K401" i="2"/>
  <c r="M401" i="2"/>
  <c r="P401" i="2"/>
  <c r="H310" i="1"/>
  <c r="I310" i="1"/>
  <c r="AC310" i="1"/>
  <c r="AD310" i="1"/>
  <c r="H308" i="1"/>
  <c r="H309" i="1"/>
  <c r="I308" i="1"/>
  <c r="I309" i="1"/>
  <c r="AC308" i="1"/>
  <c r="AC309" i="1"/>
  <c r="AD308" i="1"/>
  <c r="AD309" i="1"/>
  <c r="P1649" i="3"/>
  <c r="Q1649" i="3"/>
  <c r="P1645" i="3"/>
  <c r="Q1645" i="3"/>
  <c r="P1652" i="3"/>
  <c r="Q1652" i="3"/>
  <c r="P1646" i="3"/>
  <c r="Q1646" i="3"/>
  <c r="P1644" i="3"/>
  <c r="Q1644" i="3"/>
  <c r="P1650" i="3"/>
  <c r="Q1650" i="3"/>
  <c r="P1651" i="3"/>
  <c r="Q1651" i="3"/>
  <c r="P1648" i="3"/>
  <c r="Q1648" i="3"/>
  <c r="Q1642" i="3"/>
  <c r="P1643" i="3"/>
  <c r="Q1643" i="3"/>
  <c r="P1647" i="3"/>
  <c r="Q1647" i="3"/>
  <c r="E1640" i="3"/>
  <c r="H307" i="1"/>
  <c r="I307" i="1"/>
  <c r="AC307" i="1"/>
  <c r="AD307" i="1"/>
  <c r="Q1640" i="3"/>
  <c r="A400" i="2"/>
  <c r="C400" i="2" s="1"/>
  <c r="I400" i="2"/>
  <c r="K400" i="2"/>
  <c r="M400" i="2"/>
  <c r="P400" i="2"/>
  <c r="AD306" i="1"/>
  <c r="AD305" i="1"/>
  <c r="AD304" i="1"/>
  <c r="AD303" i="1"/>
  <c r="AD302" i="1"/>
  <c r="AD301" i="1"/>
  <c r="AC306" i="1"/>
  <c r="AC305" i="1"/>
  <c r="AC304" i="1"/>
  <c r="AC303" i="1"/>
  <c r="AC302" i="1"/>
  <c r="AC301" i="1"/>
  <c r="I306" i="1"/>
  <c r="I305" i="1"/>
  <c r="I304" i="1"/>
  <c r="I303" i="1"/>
  <c r="I302" i="1"/>
  <c r="I301" i="1"/>
  <c r="H306" i="1"/>
  <c r="H305" i="1"/>
  <c r="H304" i="1"/>
  <c r="H303" i="1"/>
  <c r="H302" i="1"/>
  <c r="H301" i="1"/>
  <c r="P1632" i="3"/>
  <c r="Q1632" i="3"/>
  <c r="P1637" i="3"/>
  <c r="Q1637" i="3"/>
  <c r="P1639" i="3"/>
  <c r="Q1639" i="3"/>
  <c r="P1641" i="3"/>
  <c r="Q1641" i="3"/>
  <c r="P1634" i="3"/>
  <c r="Q1634" i="3"/>
  <c r="P1633" i="3"/>
  <c r="Q1633" i="3"/>
  <c r="P1635" i="3"/>
  <c r="Q1635" i="3"/>
  <c r="P1636" i="3"/>
  <c r="Q1636" i="3"/>
  <c r="P1638" i="3"/>
  <c r="Q1638" i="3"/>
  <c r="H298" i="1"/>
  <c r="I298" i="1"/>
  <c r="AC298" i="1"/>
  <c r="AD298" i="1"/>
  <c r="P1640" i="3" l="1"/>
  <c r="AU313" i="1"/>
  <c r="AU311" i="1"/>
  <c r="AU307" i="1"/>
  <c r="AU310" i="1"/>
  <c r="AU309" i="1"/>
  <c r="AU314" i="1"/>
  <c r="AU315" i="1"/>
  <c r="AU312" i="1"/>
  <c r="AU308" i="1"/>
  <c r="AU330" i="1"/>
  <c r="AU316" i="1"/>
  <c r="AU317" i="1"/>
  <c r="AU301" i="1"/>
  <c r="AU302" i="1"/>
  <c r="AU303" i="1"/>
  <c r="AU304" i="1"/>
  <c r="AU305" i="1"/>
  <c r="AU306" i="1"/>
  <c r="AU298" i="1"/>
  <c r="H295" i="1" l="1"/>
  <c r="H296" i="1"/>
  <c r="H297" i="1"/>
  <c r="H299" i="1"/>
  <c r="I295" i="1"/>
  <c r="I296" i="1"/>
  <c r="I297" i="1"/>
  <c r="I299" i="1"/>
  <c r="AC295" i="1"/>
  <c r="AC296" i="1"/>
  <c r="AC297" i="1"/>
  <c r="AC299" i="1"/>
  <c r="AD295" i="1"/>
  <c r="AD296" i="1"/>
  <c r="AD297" i="1"/>
  <c r="AD299" i="1"/>
  <c r="P1629" i="3"/>
  <c r="P1626" i="3"/>
  <c r="P1623" i="3"/>
  <c r="P1622" i="3"/>
  <c r="P1618" i="3"/>
  <c r="P1627" i="3"/>
  <c r="P1630" i="3"/>
  <c r="P1631" i="3"/>
  <c r="P1628" i="3"/>
  <c r="P1624" i="3"/>
  <c r="P1621" i="3"/>
  <c r="P1620" i="3"/>
  <c r="P1625" i="3"/>
  <c r="Q1629" i="3"/>
  <c r="Q1626" i="3"/>
  <c r="Q1623" i="3"/>
  <c r="Q1622" i="3"/>
  <c r="Q1618" i="3"/>
  <c r="Q1627" i="3"/>
  <c r="Q1630" i="3"/>
  <c r="Q1631" i="3"/>
  <c r="Q1628" i="3"/>
  <c r="Q1624" i="3"/>
  <c r="Q1621" i="3"/>
  <c r="Q1620" i="3"/>
  <c r="Q1625" i="3"/>
  <c r="AU297" i="1" l="1"/>
  <c r="AU296" i="1"/>
  <c r="AU299" i="1"/>
  <c r="AU295" i="1"/>
  <c r="A399" i="2"/>
  <c r="C399" i="2" s="1"/>
  <c r="I399" i="2"/>
  <c r="K399" i="2"/>
  <c r="M399" i="2"/>
  <c r="P399" i="2"/>
  <c r="H291" i="1" l="1"/>
  <c r="H292" i="1"/>
  <c r="H293" i="1"/>
  <c r="H294" i="1"/>
  <c r="I291" i="1"/>
  <c r="I292" i="1"/>
  <c r="I293" i="1"/>
  <c r="I294" i="1"/>
  <c r="AC291" i="1"/>
  <c r="AC292" i="1"/>
  <c r="AC293" i="1"/>
  <c r="AC294" i="1"/>
  <c r="AD291" i="1"/>
  <c r="AD292" i="1"/>
  <c r="AD293" i="1"/>
  <c r="AD294" i="1"/>
  <c r="A398" i="2"/>
  <c r="C398" i="2" s="1"/>
  <c r="I398" i="2"/>
  <c r="K398" i="2"/>
  <c r="M398" i="2"/>
  <c r="P398" i="2"/>
  <c r="AU292" i="1" l="1"/>
  <c r="AU291" i="1"/>
  <c r="AU294" i="1"/>
  <c r="AU293" i="1"/>
  <c r="P1607" i="3"/>
  <c r="Q1607" i="3"/>
  <c r="P1616" i="3"/>
  <c r="Q1616" i="3"/>
  <c r="P1608" i="3"/>
  <c r="Q1608" i="3"/>
  <c r="P1611" i="3"/>
  <c r="Q1611" i="3"/>
  <c r="P1614" i="3"/>
  <c r="Q1614" i="3"/>
  <c r="P1615" i="3"/>
  <c r="Q1615" i="3"/>
  <c r="P1617" i="3"/>
  <c r="Q1617" i="3"/>
  <c r="P1613" i="3"/>
  <c r="Q1613" i="3"/>
  <c r="P1606" i="3"/>
  <c r="Q1606" i="3"/>
  <c r="P1609" i="3"/>
  <c r="Q1609" i="3"/>
  <c r="P1610" i="3"/>
  <c r="Q1610" i="3"/>
  <c r="P1612" i="3"/>
  <c r="Q1612" i="3"/>
  <c r="A397" i="2" l="1"/>
  <c r="C397" i="2" s="1"/>
  <c r="I397" i="2"/>
  <c r="K397" i="2"/>
  <c r="M397" i="2"/>
  <c r="P397" i="2"/>
  <c r="A396" i="2"/>
  <c r="C396" i="2" s="1"/>
  <c r="I396" i="2"/>
  <c r="K396" i="2"/>
  <c r="M396" i="2"/>
  <c r="P396" i="2"/>
  <c r="P1602" i="3" l="1"/>
  <c r="Q1602" i="3"/>
  <c r="P1595" i="3"/>
  <c r="Q1595" i="3"/>
  <c r="H279" i="1"/>
  <c r="H280" i="1"/>
  <c r="H281" i="1"/>
  <c r="H282" i="1"/>
  <c r="H283" i="1"/>
  <c r="H284" i="1"/>
  <c r="H285" i="1"/>
  <c r="H287" i="1"/>
  <c r="H288" i="1"/>
  <c r="H289" i="1"/>
  <c r="I279" i="1"/>
  <c r="I280" i="1"/>
  <c r="I281" i="1"/>
  <c r="I282" i="1"/>
  <c r="I283" i="1"/>
  <c r="I284" i="1"/>
  <c r="I285" i="1"/>
  <c r="I287" i="1"/>
  <c r="I288" i="1"/>
  <c r="I289" i="1"/>
  <c r="AC279" i="1"/>
  <c r="AC280" i="1"/>
  <c r="AC281" i="1"/>
  <c r="AC282" i="1"/>
  <c r="AC283" i="1"/>
  <c r="AC284" i="1"/>
  <c r="AC285" i="1"/>
  <c r="AC287" i="1"/>
  <c r="AC288" i="1"/>
  <c r="AC289" i="1"/>
  <c r="AD279" i="1"/>
  <c r="AD280" i="1"/>
  <c r="AD281" i="1"/>
  <c r="AD282" i="1"/>
  <c r="AD283" i="1"/>
  <c r="AD284" i="1"/>
  <c r="AD285" i="1"/>
  <c r="AD287" i="1"/>
  <c r="AD288" i="1"/>
  <c r="AD289" i="1"/>
  <c r="P1600" i="3"/>
  <c r="P1599" i="3"/>
  <c r="P1598" i="3"/>
  <c r="P1597" i="3"/>
  <c r="P1596" i="3"/>
  <c r="P1601" i="3"/>
  <c r="P1605" i="3"/>
  <c r="P1603" i="3"/>
  <c r="Q1600" i="3"/>
  <c r="Q1599" i="3"/>
  <c r="Q1598" i="3"/>
  <c r="Q1597" i="3"/>
  <c r="Q1596" i="3"/>
  <c r="Q1601" i="3"/>
  <c r="Q1605" i="3"/>
  <c r="Q1603" i="3"/>
  <c r="AU281" i="1" l="1"/>
  <c r="AU285" i="1"/>
  <c r="AU284" i="1"/>
  <c r="AU287" i="1"/>
  <c r="AU289" i="1"/>
  <c r="AU280" i="1"/>
  <c r="AU288" i="1"/>
  <c r="AU279" i="1"/>
  <c r="AU283" i="1"/>
  <c r="AU282" i="1"/>
  <c r="M395" i="2" l="1"/>
  <c r="A395" i="2"/>
  <c r="C395" i="2" s="1"/>
  <c r="I395" i="2"/>
  <c r="K395" i="2"/>
  <c r="P395" i="2"/>
  <c r="P1604" i="3" l="1"/>
  <c r="Q1604" i="3"/>
  <c r="E1592" i="3" l="1"/>
  <c r="P1592" i="3" l="1"/>
  <c r="P1590" i="3"/>
  <c r="P1589" i="3"/>
  <c r="P1587" i="3"/>
  <c r="P1584" i="3"/>
  <c r="P1591" i="3"/>
  <c r="P1593" i="3"/>
  <c r="P1594" i="3"/>
  <c r="P1588" i="3"/>
  <c r="P1586" i="3"/>
  <c r="P1585" i="3"/>
  <c r="Q1592" i="3"/>
  <c r="Q1590" i="3"/>
  <c r="Q1589" i="3"/>
  <c r="Q1587" i="3"/>
  <c r="Q1584" i="3"/>
  <c r="Q1591" i="3"/>
  <c r="Q1593" i="3"/>
  <c r="Q1594" i="3"/>
  <c r="Q1588" i="3"/>
  <c r="Q1586" i="3"/>
  <c r="Q1585" i="3"/>
  <c r="A394" i="2" l="1"/>
  <c r="C394" i="2" s="1"/>
  <c r="I394" i="2"/>
  <c r="K394" i="2"/>
  <c r="M394" i="2"/>
  <c r="P394" i="2"/>
  <c r="H278" i="1" l="1"/>
  <c r="I278" i="1"/>
  <c r="AC278" i="1"/>
  <c r="AD278" i="1"/>
  <c r="H276" i="1"/>
  <c r="H277" i="1"/>
  <c r="I276" i="1"/>
  <c r="I277" i="1"/>
  <c r="AC276" i="1"/>
  <c r="AC277" i="1"/>
  <c r="AD276" i="1"/>
  <c r="AD277" i="1"/>
  <c r="A393" i="2"/>
  <c r="C393" i="2" s="1"/>
  <c r="I393" i="2"/>
  <c r="K393" i="2"/>
  <c r="M393" i="2"/>
  <c r="P393" i="2"/>
  <c r="AU277" i="1" l="1"/>
  <c r="AU276" i="1"/>
  <c r="AU278" i="1"/>
  <c r="P1581" i="3"/>
  <c r="P1578" i="3"/>
  <c r="P1583" i="3"/>
  <c r="P1582" i="3"/>
  <c r="P1580" i="3"/>
  <c r="P1579" i="3"/>
  <c r="Q1581" i="3"/>
  <c r="Q1578" i="3"/>
  <c r="Q1583" i="3"/>
  <c r="Q1582" i="3"/>
  <c r="Q1580" i="3"/>
  <c r="Q1579" i="3"/>
  <c r="E1572" i="3" l="1"/>
  <c r="P1572" i="3" s="1"/>
  <c r="P1575" i="3"/>
  <c r="P1574" i="3"/>
  <c r="P1573" i="3"/>
  <c r="P1571" i="3"/>
  <c r="P1570" i="3"/>
  <c r="P1577" i="3"/>
  <c r="P1576" i="3"/>
  <c r="Q1575" i="3"/>
  <c r="Q1572" i="3"/>
  <c r="Q1574" i="3"/>
  <c r="Q1573" i="3"/>
  <c r="Q1571" i="3"/>
  <c r="Q1570" i="3"/>
  <c r="Q1577" i="3"/>
  <c r="Q1576" i="3"/>
  <c r="E1562" i="3" l="1"/>
  <c r="P1566" i="3" l="1"/>
  <c r="P1562" i="3"/>
  <c r="P1569" i="3"/>
  <c r="P1567" i="3"/>
  <c r="P1565" i="3"/>
  <c r="P1564" i="3"/>
  <c r="P1563" i="3"/>
  <c r="Q1566" i="3"/>
  <c r="Q1562" i="3"/>
  <c r="Q1569" i="3"/>
  <c r="Q1567" i="3"/>
  <c r="Q1565" i="3"/>
  <c r="Q1564" i="3"/>
  <c r="Q1563" i="3"/>
  <c r="P1568" i="3"/>
  <c r="Q1568" i="3"/>
  <c r="E1559" i="3" l="1"/>
  <c r="H271" i="1" l="1"/>
  <c r="H272" i="1"/>
  <c r="H273" i="1"/>
  <c r="H274" i="1"/>
  <c r="H275" i="1"/>
  <c r="I271" i="1"/>
  <c r="I272" i="1"/>
  <c r="I273" i="1"/>
  <c r="I274" i="1"/>
  <c r="I275" i="1"/>
  <c r="AC271" i="1"/>
  <c r="AC272" i="1"/>
  <c r="AC273" i="1"/>
  <c r="AC274" i="1"/>
  <c r="AC275" i="1"/>
  <c r="AD271" i="1"/>
  <c r="AD272" i="1"/>
  <c r="AD273" i="1"/>
  <c r="AD274" i="1"/>
  <c r="AD275" i="1"/>
  <c r="H270" i="1"/>
  <c r="I270" i="1"/>
  <c r="AC270" i="1"/>
  <c r="AD270" i="1"/>
  <c r="AU272" i="1" l="1"/>
  <c r="AU271" i="1"/>
  <c r="AU273" i="1"/>
  <c r="AU275" i="1"/>
  <c r="AU274" i="1"/>
  <c r="AU270" i="1"/>
  <c r="P1550" i="3"/>
  <c r="Q1550" i="3"/>
  <c r="P1551" i="3"/>
  <c r="Q1551" i="3"/>
  <c r="P1552" i="3"/>
  <c r="Q1552" i="3"/>
  <c r="P1555" i="3"/>
  <c r="Q1555" i="3"/>
  <c r="P1556" i="3"/>
  <c r="Q1556" i="3"/>
  <c r="P1557" i="3"/>
  <c r="Q1557" i="3"/>
  <c r="P1558" i="3"/>
  <c r="Q1558" i="3"/>
  <c r="P1559" i="3"/>
  <c r="Q1559" i="3"/>
  <c r="P1560" i="3"/>
  <c r="Q1560" i="3"/>
  <c r="P1561" i="3"/>
  <c r="Q1561" i="3"/>
  <c r="P1553" i="3"/>
  <c r="Q1553" i="3"/>
  <c r="P1554" i="3"/>
  <c r="Q1554" i="3"/>
  <c r="E1511" i="3" l="1"/>
  <c r="H266" i="1" l="1"/>
  <c r="H267" i="1"/>
  <c r="H268" i="1"/>
  <c r="H269" i="1"/>
  <c r="I266" i="1"/>
  <c r="I267" i="1"/>
  <c r="I268" i="1"/>
  <c r="I269" i="1"/>
  <c r="AC266" i="1"/>
  <c r="AC267" i="1"/>
  <c r="AC268" i="1"/>
  <c r="AC269" i="1"/>
  <c r="AD266" i="1"/>
  <c r="AD267" i="1"/>
  <c r="AD268" i="1"/>
  <c r="AD269" i="1"/>
  <c r="AU268" i="1" l="1"/>
  <c r="AU269" i="1"/>
  <c r="AU267" i="1"/>
  <c r="AU266" i="1"/>
  <c r="P1543" i="3"/>
  <c r="Q1543" i="3"/>
  <c r="P1549" i="3"/>
  <c r="Q1549" i="3"/>
  <c r="P1542" i="3"/>
  <c r="Q1542" i="3"/>
  <c r="P1545" i="3"/>
  <c r="Q1545" i="3"/>
  <c r="P1546" i="3"/>
  <c r="Q1546" i="3"/>
  <c r="P1547" i="3"/>
  <c r="Q1547" i="3"/>
  <c r="P1548" i="3"/>
  <c r="Q1548" i="3"/>
  <c r="P1544" i="3"/>
  <c r="Q1544" i="3"/>
  <c r="AD99" i="1"/>
  <c r="AC99" i="1"/>
  <c r="E1540" i="3" l="1"/>
  <c r="H263" i="1" l="1"/>
  <c r="H264" i="1"/>
  <c r="H265" i="1"/>
  <c r="I263" i="1"/>
  <c r="I264" i="1"/>
  <c r="I265" i="1"/>
  <c r="AC263" i="1"/>
  <c r="AC264" i="1"/>
  <c r="AC265" i="1"/>
  <c r="AD263" i="1"/>
  <c r="AD264" i="1"/>
  <c r="AD265" i="1"/>
  <c r="AU265" i="1" l="1"/>
  <c r="AU264" i="1"/>
  <c r="AU263" i="1"/>
  <c r="H206" i="1" l="1"/>
  <c r="I206" i="1"/>
  <c r="AC206" i="1"/>
  <c r="AD206" i="1"/>
  <c r="AU206" i="1" l="1"/>
  <c r="P1541" i="3" l="1"/>
  <c r="P1537" i="3"/>
  <c r="P1536" i="3"/>
  <c r="P1535" i="3"/>
  <c r="Q1541" i="3"/>
  <c r="Q1537" i="3"/>
  <c r="Q1536" i="3"/>
  <c r="Q1535" i="3"/>
  <c r="P1540" i="3"/>
  <c r="P1539" i="3"/>
  <c r="P1538" i="3"/>
  <c r="Q1540" i="3"/>
  <c r="Q1539" i="3"/>
  <c r="Q1538" i="3"/>
  <c r="E1491" i="3"/>
  <c r="AC255" i="1" l="1"/>
  <c r="H255" i="1" l="1"/>
  <c r="I255" i="1"/>
  <c r="AD255" i="1"/>
  <c r="AU255" i="1" l="1"/>
  <c r="H262" i="1"/>
  <c r="I262" i="1"/>
  <c r="AC262" i="1"/>
  <c r="AD262" i="1"/>
  <c r="H261" i="1"/>
  <c r="I261" i="1"/>
  <c r="AC261" i="1"/>
  <c r="AD261" i="1"/>
  <c r="AU262" i="1" l="1"/>
  <c r="AU261" i="1"/>
  <c r="P1532" i="3" l="1"/>
  <c r="P1534" i="3"/>
  <c r="P1533" i="3"/>
  <c r="P1529" i="3"/>
  <c r="P1530" i="3"/>
  <c r="Q1532" i="3"/>
  <c r="Q1534" i="3"/>
  <c r="Q1533" i="3"/>
  <c r="Q1529" i="3"/>
  <c r="Q1530" i="3"/>
  <c r="G263" i="1"/>
  <c r="P1531" i="3"/>
  <c r="P3" i="3"/>
  <c r="P1528" i="3"/>
  <c r="Q1531" i="3"/>
  <c r="Q3" i="3"/>
  <c r="Q1528" i="3"/>
  <c r="AV263" i="1" l="1"/>
  <c r="AX263" i="1"/>
  <c r="A392" i="2"/>
  <c r="C392" i="2" s="1"/>
  <c r="I392" i="2"/>
  <c r="K392" i="2"/>
  <c r="M392" i="2"/>
  <c r="P392" i="2"/>
  <c r="A391" i="2"/>
  <c r="C391" i="2" s="1"/>
  <c r="I391" i="2"/>
  <c r="K391" i="2"/>
  <c r="M391" i="2"/>
  <c r="P391" i="2"/>
  <c r="A390" i="2"/>
  <c r="C390" i="2" s="1"/>
  <c r="I390" i="2"/>
  <c r="K390" i="2"/>
  <c r="M390" i="2"/>
  <c r="P390" i="2"/>
  <c r="A389" i="2"/>
  <c r="C389" i="2" s="1"/>
  <c r="I389" i="2"/>
  <c r="K389" i="2"/>
  <c r="M389" i="2"/>
  <c r="P389" i="2"/>
  <c r="A388" i="2"/>
  <c r="C388" i="2" s="1"/>
  <c r="I388" i="2"/>
  <c r="K388" i="2"/>
  <c r="M388" i="2"/>
  <c r="P388" i="2"/>
  <c r="A387" i="2"/>
  <c r="C387" i="2" s="1"/>
  <c r="I387" i="2"/>
  <c r="K387" i="2"/>
  <c r="M387" i="2"/>
  <c r="P387" i="2"/>
  <c r="A386" i="2" l="1"/>
  <c r="C386" i="2" s="1"/>
  <c r="I386" i="2"/>
  <c r="K386" i="2"/>
  <c r="M386" i="2"/>
  <c r="P386" i="2"/>
  <c r="H260" i="1" l="1"/>
  <c r="I260" i="1"/>
  <c r="AC260" i="1"/>
  <c r="AD260" i="1"/>
  <c r="AU260" i="1" l="1"/>
  <c r="P1527" i="3" l="1"/>
  <c r="Q1527" i="3"/>
  <c r="P1520" i="3"/>
  <c r="Q1520" i="3"/>
  <c r="P1522" i="3"/>
  <c r="Q1522" i="3"/>
  <c r="P1526" i="3"/>
  <c r="Q1526" i="3"/>
  <c r="P1517" i="3"/>
  <c r="Q1517" i="3"/>
  <c r="H256" i="1" l="1"/>
  <c r="H257" i="1"/>
  <c r="H258" i="1"/>
  <c r="H259" i="1"/>
  <c r="I256" i="1"/>
  <c r="I257" i="1"/>
  <c r="I258" i="1"/>
  <c r="I259" i="1"/>
  <c r="AC256" i="1"/>
  <c r="AC257" i="1"/>
  <c r="AC258" i="1"/>
  <c r="AC259" i="1"/>
  <c r="AD256" i="1"/>
  <c r="AD257" i="1"/>
  <c r="AD258" i="1"/>
  <c r="AD259" i="1"/>
  <c r="P1501" i="3"/>
  <c r="Q1501" i="3"/>
  <c r="P1511" i="3"/>
  <c r="Q1511" i="3"/>
  <c r="P1519" i="3"/>
  <c r="Q1519" i="3"/>
  <c r="P1518" i="3"/>
  <c r="Q1518" i="3"/>
  <c r="P1521" i="3"/>
  <c r="Q1521" i="3"/>
  <c r="P1524" i="3"/>
  <c r="Q1524" i="3"/>
  <c r="P1525" i="3"/>
  <c r="Q1525" i="3"/>
  <c r="P1523" i="3"/>
  <c r="Q1523" i="3"/>
  <c r="AU259" i="1" l="1"/>
  <c r="AU258" i="1"/>
  <c r="AU256" i="1"/>
  <c r="AU257" i="1"/>
  <c r="H254" i="1"/>
  <c r="I254" i="1"/>
  <c r="AC254" i="1"/>
  <c r="AD254" i="1"/>
  <c r="P1504" i="3"/>
  <c r="Q1504" i="3"/>
  <c r="P1284" i="3"/>
  <c r="Q1284" i="3"/>
  <c r="H250" i="1"/>
  <c r="H251" i="1"/>
  <c r="H252" i="1"/>
  <c r="H253" i="1"/>
  <c r="I250" i="1"/>
  <c r="I251" i="1"/>
  <c r="I252" i="1"/>
  <c r="I253" i="1"/>
  <c r="AC250" i="1"/>
  <c r="AC251" i="1"/>
  <c r="AC252" i="1"/>
  <c r="AC253" i="1"/>
  <c r="AD250" i="1"/>
  <c r="AD251" i="1"/>
  <c r="AD252" i="1"/>
  <c r="AD253" i="1"/>
  <c r="H247" i="1"/>
  <c r="H248" i="1"/>
  <c r="H249" i="1"/>
  <c r="I247" i="1"/>
  <c r="I248" i="1"/>
  <c r="I249" i="1"/>
  <c r="AC247" i="1"/>
  <c r="AC248" i="1"/>
  <c r="AC249" i="1"/>
  <c r="AD247" i="1"/>
  <c r="AD248" i="1"/>
  <c r="AD249" i="1"/>
  <c r="H244" i="1"/>
  <c r="H245" i="1"/>
  <c r="H246" i="1"/>
  <c r="I244" i="1"/>
  <c r="I245" i="1"/>
  <c r="I246" i="1"/>
  <c r="AC244" i="1"/>
  <c r="AC245" i="1"/>
  <c r="AC246" i="1"/>
  <c r="AD244" i="1"/>
  <c r="AD245" i="1"/>
  <c r="AD246" i="1"/>
  <c r="H242" i="1"/>
  <c r="H243" i="1"/>
  <c r="I242" i="1"/>
  <c r="I243" i="1"/>
  <c r="AC242" i="1"/>
  <c r="AC243" i="1"/>
  <c r="AD242" i="1"/>
  <c r="AD243" i="1"/>
  <c r="Q1515" i="3"/>
  <c r="Q1503" i="3"/>
  <c r="Q1496" i="3"/>
  <c r="Q1484" i="3"/>
  <c r="Q1475" i="3"/>
  <c r="Q1474" i="3"/>
  <c r="Q1476" i="3"/>
  <c r="Q1457" i="3"/>
  <c r="Q1448" i="3"/>
  <c r="P1515" i="3"/>
  <c r="P1503" i="3"/>
  <c r="P1496" i="3"/>
  <c r="P1484" i="3"/>
  <c r="P1474" i="3"/>
  <c r="P1476" i="3"/>
  <c r="P1457" i="3"/>
  <c r="P1448" i="3"/>
  <c r="Q1478" i="3"/>
  <c r="Q1479" i="3"/>
  <c r="Q1469" i="3"/>
  <c r="Q1452" i="3"/>
  <c r="Q1441" i="3"/>
  <c r="Q1440" i="3"/>
  <c r="P1478" i="3"/>
  <c r="P1479" i="3"/>
  <c r="P1469" i="3"/>
  <c r="P1441" i="3"/>
  <c r="Q1508" i="3"/>
  <c r="Q1509" i="3"/>
  <c r="Q1510" i="3"/>
  <c r="Q1493" i="3"/>
  <c r="Q1481" i="3"/>
  <c r="Q1471" i="3"/>
  <c r="Q1466" i="3"/>
  <c r="Q1453" i="3"/>
  <c r="Q1443" i="3"/>
  <c r="Q1434" i="3"/>
  <c r="P1508" i="3"/>
  <c r="P1509" i="3"/>
  <c r="P1510" i="3"/>
  <c r="P1493" i="3"/>
  <c r="P1481" i="3"/>
  <c r="P1471" i="3"/>
  <c r="P1466" i="3"/>
  <c r="P1453" i="3"/>
  <c r="P1443" i="3"/>
  <c r="P1434" i="3"/>
  <c r="Q1505" i="3"/>
  <c r="P1505" i="3"/>
  <c r="Q1498" i="3"/>
  <c r="P1498" i="3"/>
  <c r="Q1485" i="3"/>
  <c r="P1485" i="3"/>
  <c r="Q1477" i="3"/>
  <c r="P1477" i="3"/>
  <c r="Q1468" i="3"/>
  <c r="P1468" i="3"/>
  <c r="Q1458" i="3"/>
  <c r="P1458" i="3"/>
  <c r="Q1450" i="3"/>
  <c r="P1450" i="3"/>
  <c r="Q1439" i="3"/>
  <c r="P1439" i="3"/>
  <c r="Q1512" i="3"/>
  <c r="Q1502" i="3"/>
  <c r="Q1472" i="3"/>
  <c r="Q1461" i="3"/>
  <c r="Q1455" i="3"/>
  <c r="Q1444" i="3"/>
  <c r="P1512" i="3"/>
  <c r="P1502" i="3"/>
  <c r="P1472" i="3"/>
  <c r="P1461" i="3"/>
  <c r="P1455" i="3"/>
  <c r="P1444" i="3"/>
  <c r="P1513" i="3"/>
  <c r="P1514" i="3"/>
  <c r="P1483" i="3"/>
  <c r="P1446" i="3"/>
  <c r="P1447" i="3"/>
  <c r="Q1516" i="3"/>
  <c r="Q1497" i="3"/>
  <c r="Q1467" i="3"/>
  <c r="Q1463" i="3"/>
  <c r="Q1464" i="3"/>
  <c r="Q1449" i="3"/>
  <c r="P1516" i="3"/>
  <c r="P1497" i="3"/>
  <c r="P1467" i="3"/>
  <c r="P1463" i="3"/>
  <c r="P1464" i="3"/>
  <c r="P1449" i="3"/>
  <c r="Q1492" i="3"/>
  <c r="Q1486" i="3"/>
  <c r="Q1487" i="3"/>
  <c r="Q1488" i="3"/>
  <c r="Q1442" i="3"/>
  <c r="P1492" i="3"/>
  <c r="P1486" i="3"/>
  <c r="P1487" i="3"/>
  <c r="P1488" i="3"/>
  <c r="P1442" i="3"/>
  <c r="Q1445" i="3"/>
  <c r="P1445" i="3"/>
  <c r="P1500" i="3"/>
  <c r="Q1500" i="3"/>
  <c r="P1499" i="3"/>
  <c r="Q1499" i="3"/>
  <c r="Q1513" i="3"/>
  <c r="Q1514" i="3"/>
  <c r="P1506" i="3"/>
  <c r="Q1506" i="3"/>
  <c r="P1507" i="3"/>
  <c r="Q1507" i="3"/>
  <c r="AU254" i="1" l="1"/>
  <c r="AU252" i="1"/>
  <c r="AU246" i="1"/>
  <c r="AU251" i="1"/>
  <c r="AU250" i="1"/>
  <c r="AU253" i="1"/>
  <c r="AU248" i="1"/>
  <c r="AU249" i="1"/>
  <c r="AU247" i="1"/>
  <c r="AU245" i="1"/>
  <c r="AU244" i="1"/>
  <c r="AU243" i="1"/>
  <c r="AU242" i="1"/>
  <c r="A385" i="2" l="1"/>
  <c r="C385" i="2" s="1"/>
  <c r="I385" i="2"/>
  <c r="K385" i="2"/>
  <c r="M385" i="2"/>
  <c r="P385" i="2"/>
  <c r="P1494" i="3" l="1"/>
  <c r="P1495" i="3"/>
  <c r="Q1494" i="3"/>
  <c r="Q1495" i="3"/>
  <c r="P1489" i="3" l="1"/>
  <c r="Q1489" i="3"/>
  <c r="P1490" i="3"/>
  <c r="Q1490" i="3"/>
  <c r="P1491" i="3"/>
  <c r="Q1491" i="3"/>
  <c r="H241" i="1" l="1"/>
  <c r="I241" i="1"/>
  <c r="AC241" i="1"/>
  <c r="AD241" i="1"/>
  <c r="H240" i="1"/>
  <c r="I240" i="1"/>
  <c r="AC240" i="1"/>
  <c r="AD240" i="1"/>
  <c r="H238" i="1"/>
  <c r="H239" i="1"/>
  <c r="I238" i="1"/>
  <c r="I239" i="1"/>
  <c r="AC238" i="1"/>
  <c r="AC239" i="1"/>
  <c r="AD238" i="1"/>
  <c r="AD239" i="1"/>
  <c r="H237" i="1"/>
  <c r="I237" i="1"/>
  <c r="AC237" i="1"/>
  <c r="AD237" i="1"/>
  <c r="H234" i="1"/>
  <c r="H235" i="1"/>
  <c r="H236" i="1"/>
  <c r="I234" i="1"/>
  <c r="I235" i="1"/>
  <c r="I236" i="1"/>
  <c r="AC234" i="1"/>
  <c r="AC235" i="1"/>
  <c r="AC236" i="1"/>
  <c r="AD234" i="1"/>
  <c r="AD235" i="1"/>
  <c r="AD236" i="1"/>
  <c r="AU238" i="1" l="1"/>
  <c r="AU235" i="1"/>
  <c r="AU234" i="1"/>
  <c r="AU239" i="1"/>
  <c r="AU240" i="1"/>
  <c r="AU241" i="1"/>
  <c r="AU237" i="1"/>
  <c r="AU236" i="1"/>
  <c r="P1482" i="3" l="1"/>
  <c r="Q1482" i="3"/>
  <c r="Q1483" i="3"/>
  <c r="P1480" i="3"/>
  <c r="Q1480" i="3"/>
  <c r="A384" i="2" l="1"/>
  <c r="C384" i="2" s="1"/>
  <c r="I384" i="2"/>
  <c r="K384" i="2"/>
  <c r="M384" i="2"/>
  <c r="P384" i="2"/>
  <c r="A383" i="2" l="1"/>
  <c r="C383" i="2" s="1"/>
  <c r="I383" i="2"/>
  <c r="K383" i="2"/>
  <c r="M383" i="2"/>
  <c r="P383" i="2"/>
  <c r="E1475" i="3"/>
  <c r="P1475" i="3" s="1"/>
  <c r="P1473" i="3"/>
  <c r="Q1473" i="3"/>
  <c r="P1470" i="3"/>
  <c r="Q1470" i="3"/>
  <c r="K55" i="10" l="1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P1465" i="3" l="1"/>
  <c r="Q1465" i="3"/>
  <c r="P1462" i="3" l="1"/>
  <c r="P1460" i="3"/>
  <c r="P1459" i="3"/>
  <c r="Q1462" i="3"/>
  <c r="Q1460" i="3"/>
  <c r="Q1459" i="3"/>
  <c r="H231" i="1" l="1"/>
  <c r="H232" i="1"/>
  <c r="H233" i="1"/>
  <c r="I231" i="1"/>
  <c r="I232" i="1"/>
  <c r="I233" i="1"/>
  <c r="E1452" i="3"/>
  <c r="P1452" i="3" l="1"/>
  <c r="P1451" i="3"/>
  <c r="Q1451" i="3"/>
  <c r="P1456" i="3"/>
  <c r="Q1456" i="3"/>
  <c r="P1454" i="3"/>
  <c r="Q1454" i="3"/>
  <c r="E1440" i="3" l="1"/>
  <c r="E1431" i="3"/>
  <c r="I226" i="1"/>
  <c r="I227" i="1"/>
  <c r="I228" i="1"/>
  <c r="I229" i="1"/>
  <c r="I230" i="1"/>
  <c r="H226" i="1"/>
  <c r="H227" i="1"/>
  <c r="H228" i="1"/>
  <c r="H229" i="1"/>
  <c r="H230" i="1"/>
  <c r="P1440" i="3" l="1"/>
  <c r="P1435" i="3"/>
  <c r="P1431" i="3"/>
  <c r="P1437" i="3"/>
  <c r="P1436" i="3"/>
  <c r="P1433" i="3"/>
  <c r="P1432" i="3"/>
  <c r="Q1435" i="3"/>
  <c r="Q1431" i="3"/>
  <c r="Q1437" i="3"/>
  <c r="Q1436" i="3"/>
  <c r="Q1433" i="3"/>
  <c r="Q1432" i="3"/>
  <c r="P1438" i="3"/>
  <c r="Q1438" i="3"/>
  <c r="A382" i="2" l="1"/>
  <c r="C382" i="2" s="1"/>
  <c r="I382" i="2"/>
  <c r="K382" i="2"/>
  <c r="M382" i="2"/>
  <c r="P382" i="2"/>
  <c r="A381" i="2"/>
  <c r="C381" i="2" s="1"/>
  <c r="I381" i="2"/>
  <c r="K381" i="2"/>
  <c r="M381" i="2"/>
  <c r="P381" i="2"/>
  <c r="A202" i="2" l="1"/>
  <c r="H225" i="1" l="1"/>
  <c r="I225" i="1"/>
  <c r="H224" i="1"/>
  <c r="I224" i="1"/>
  <c r="H223" i="1"/>
  <c r="I223" i="1"/>
  <c r="E1427" i="3"/>
  <c r="P1422" i="3"/>
  <c r="Q1422" i="3"/>
  <c r="P1423" i="3"/>
  <c r="Q1423" i="3"/>
  <c r="P1424" i="3"/>
  <c r="Q1424" i="3"/>
  <c r="P1425" i="3"/>
  <c r="Q1425" i="3"/>
  <c r="P1428" i="3"/>
  <c r="Q1428" i="3"/>
  <c r="P1429" i="3"/>
  <c r="Q1429" i="3"/>
  <c r="P1430" i="3"/>
  <c r="Q1430" i="3"/>
  <c r="P1421" i="3"/>
  <c r="Q1421" i="3"/>
  <c r="P1426" i="3"/>
  <c r="Q1426" i="3"/>
  <c r="H222" i="1"/>
  <c r="I222" i="1"/>
  <c r="P1419" i="3"/>
  <c r="Q1419" i="3"/>
  <c r="P1413" i="3"/>
  <c r="Q1413" i="3"/>
  <c r="P1414" i="3"/>
  <c r="Q1414" i="3"/>
  <c r="P1415" i="3"/>
  <c r="Q1415" i="3"/>
  <c r="P1416" i="3"/>
  <c r="Q1416" i="3"/>
  <c r="P1418" i="3"/>
  <c r="Q1418" i="3"/>
  <c r="P1420" i="3"/>
  <c r="Q1420" i="3"/>
  <c r="P1417" i="3"/>
  <c r="Q1417" i="3"/>
  <c r="A380" i="2"/>
  <c r="C380" i="2" s="1"/>
  <c r="I380" i="2"/>
  <c r="K380" i="2"/>
  <c r="M380" i="2"/>
  <c r="P380" i="2"/>
  <c r="A379" i="2"/>
  <c r="C379" i="2" s="1"/>
  <c r="I379" i="2"/>
  <c r="K379" i="2"/>
  <c r="M379" i="2"/>
  <c r="P379" i="2"/>
  <c r="A378" i="2"/>
  <c r="C378" i="2" s="1"/>
  <c r="I378" i="2"/>
  <c r="K378" i="2"/>
  <c r="M378" i="2"/>
  <c r="P378" i="2"/>
  <c r="A377" i="2"/>
  <c r="C377" i="2" s="1"/>
  <c r="I377" i="2"/>
  <c r="K377" i="2"/>
  <c r="M377" i="2"/>
  <c r="P377" i="2"/>
  <c r="A376" i="2"/>
  <c r="C376" i="2" s="1"/>
  <c r="I376" i="2"/>
  <c r="K376" i="2"/>
  <c r="M376" i="2"/>
  <c r="P376" i="2"/>
  <c r="A375" i="2"/>
  <c r="C375" i="2" s="1"/>
  <c r="I375" i="2"/>
  <c r="K375" i="2"/>
  <c r="M375" i="2"/>
  <c r="P375" i="2"/>
  <c r="A374" i="2"/>
  <c r="C374" i="2" s="1"/>
  <c r="I374" i="2"/>
  <c r="K374" i="2"/>
  <c r="M374" i="2"/>
  <c r="P374" i="2"/>
  <c r="A373" i="2"/>
  <c r="C373" i="2" s="1"/>
  <c r="I373" i="2"/>
  <c r="K373" i="2"/>
  <c r="M373" i="2"/>
  <c r="P373" i="2"/>
  <c r="A372" i="2"/>
  <c r="C372" i="2" s="1"/>
  <c r="I372" i="2"/>
  <c r="K372" i="2"/>
  <c r="M372" i="2"/>
  <c r="P372" i="2"/>
  <c r="A371" i="2" l="1"/>
  <c r="C371" i="2" s="1"/>
  <c r="I371" i="2"/>
  <c r="K371" i="2"/>
  <c r="M371" i="2"/>
  <c r="P371" i="2"/>
  <c r="E370" i="2"/>
  <c r="A370" i="2"/>
  <c r="C370" i="2" s="1"/>
  <c r="I370" i="2"/>
  <c r="K370" i="2"/>
  <c r="M370" i="2"/>
  <c r="P370" i="2"/>
  <c r="H221" i="1" l="1"/>
  <c r="I221" i="1"/>
  <c r="H220" i="1"/>
  <c r="I220" i="1"/>
  <c r="P1410" i="3"/>
  <c r="Q1410" i="3"/>
  <c r="P1404" i="3"/>
  <c r="Q1404" i="3"/>
  <c r="P1405" i="3"/>
  <c r="Q1405" i="3"/>
  <c r="P1407" i="3"/>
  <c r="Q1407" i="3"/>
  <c r="P1411" i="3"/>
  <c r="Q1411" i="3"/>
  <c r="P1412" i="3"/>
  <c r="Q1412" i="3"/>
  <c r="P1408" i="3"/>
  <c r="Q1408" i="3"/>
  <c r="P1406" i="3"/>
  <c r="Q1406" i="3"/>
  <c r="A369" i="2" l="1"/>
  <c r="C369" i="2" s="1"/>
  <c r="I369" i="2"/>
  <c r="K369" i="2"/>
  <c r="M369" i="2"/>
  <c r="P369" i="2"/>
  <c r="A368" i="2"/>
  <c r="C368" i="2" s="1"/>
  <c r="I368" i="2"/>
  <c r="K368" i="2"/>
  <c r="M368" i="2"/>
  <c r="P368" i="2"/>
  <c r="H219" i="1" l="1"/>
  <c r="I219" i="1"/>
  <c r="P1403" i="3"/>
  <c r="Q1403" i="3"/>
  <c r="P1401" i="3"/>
  <c r="Q1401" i="3"/>
  <c r="P1396" i="3"/>
  <c r="Q1396" i="3"/>
  <c r="P1398" i="3"/>
  <c r="Q1398" i="3"/>
  <c r="P1399" i="3"/>
  <c r="Q1399" i="3"/>
  <c r="P1400" i="3"/>
  <c r="Q1400" i="3"/>
  <c r="P1402" i="3"/>
  <c r="Q1402" i="3"/>
  <c r="P1397" i="3"/>
  <c r="Q1397" i="3"/>
  <c r="A367" i="2" l="1"/>
  <c r="C367" i="2" s="1"/>
  <c r="I367" i="2"/>
  <c r="K367" i="2"/>
  <c r="M367" i="2"/>
  <c r="P367" i="2"/>
  <c r="A366" i="2"/>
  <c r="C366" i="2" s="1"/>
  <c r="I366" i="2"/>
  <c r="K366" i="2"/>
  <c r="M366" i="2"/>
  <c r="P366" i="2"/>
  <c r="H215" i="1" l="1"/>
  <c r="I215" i="1"/>
  <c r="H218" i="1" l="1"/>
  <c r="I218" i="1"/>
  <c r="H217" i="1"/>
  <c r="I217" i="1"/>
  <c r="P1394" i="3"/>
  <c r="Q1394" i="3"/>
  <c r="P1385" i="3"/>
  <c r="Q1385" i="3"/>
  <c r="P1387" i="3"/>
  <c r="Q1387" i="3"/>
  <c r="P1388" i="3"/>
  <c r="Q1388" i="3"/>
  <c r="P1389" i="3"/>
  <c r="Q1389" i="3"/>
  <c r="P1390" i="3"/>
  <c r="Q1390" i="3"/>
  <c r="P1391" i="3"/>
  <c r="Q1391" i="3"/>
  <c r="P1392" i="3"/>
  <c r="Q1392" i="3"/>
  <c r="P1393" i="3"/>
  <c r="Q1393" i="3"/>
  <c r="P1386" i="3"/>
  <c r="Q1386" i="3"/>
  <c r="P1395" i="3"/>
  <c r="Q1395" i="3"/>
  <c r="E1350" i="3"/>
  <c r="A365" i="2" l="1"/>
  <c r="C365" i="2" s="1"/>
  <c r="I365" i="2"/>
  <c r="K365" i="2"/>
  <c r="M365" i="2"/>
  <c r="P365" i="2"/>
  <c r="A364" i="2"/>
  <c r="C364" i="2" s="1"/>
  <c r="I364" i="2"/>
  <c r="K364" i="2"/>
  <c r="M364" i="2"/>
  <c r="P364" i="2"/>
  <c r="A363" i="2" l="1"/>
  <c r="C363" i="2" s="1"/>
  <c r="I363" i="2"/>
  <c r="K363" i="2"/>
  <c r="M363" i="2"/>
  <c r="P363" i="2"/>
  <c r="E1365" i="3"/>
  <c r="A362" i="2" l="1"/>
  <c r="C362" i="2" s="1"/>
  <c r="I362" i="2"/>
  <c r="K362" i="2"/>
  <c r="M362" i="2"/>
  <c r="P362" i="2"/>
  <c r="A361" i="2"/>
  <c r="C361" i="2" s="1"/>
  <c r="I361" i="2"/>
  <c r="K361" i="2"/>
  <c r="M361" i="2"/>
  <c r="P361" i="2"/>
  <c r="A360" i="2"/>
  <c r="C360" i="2" s="1"/>
  <c r="I360" i="2"/>
  <c r="K360" i="2"/>
  <c r="M360" i="2"/>
  <c r="P360" i="2"/>
  <c r="H216" i="1" l="1"/>
  <c r="I216" i="1"/>
  <c r="P1384" i="3"/>
  <c r="P1427" i="3"/>
  <c r="P1383" i="3"/>
  <c r="P1381" i="3"/>
  <c r="P1379" i="3"/>
  <c r="P1380" i="3"/>
  <c r="P1382" i="3"/>
  <c r="Q1384" i="3"/>
  <c r="Q1427" i="3"/>
  <c r="Q1383" i="3"/>
  <c r="Q1381" i="3"/>
  <c r="Q1379" i="3"/>
  <c r="Q1380" i="3"/>
  <c r="Q1382" i="3"/>
  <c r="H211" i="1" l="1"/>
  <c r="H212" i="1"/>
  <c r="H213" i="1"/>
  <c r="H214" i="1"/>
  <c r="I211" i="1"/>
  <c r="I212" i="1"/>
  <c r="I213" i="1"/>
  <c r="I214" i="1"/>
  <c r="H207" i="1"/>
  <c r="H208" i="1"/>
  <c r="H209" i="1"/>
  <c r="H210" i="1"/>
  <c r="I207" i="1"/>
  <c r="I208" i="1"/>
  <c r="I209" i="1"/>
  <c r="I210" i="1"/>
  <c r="P1378" i="3"/>
  <c r="P1373" i="3"/>
  <c r="P1372" i="3"/>
  <c r="P1371" i="3"/>
  <c r="P1377" i="3"/>
  <c r="P1376" i="3"/>
  <c r="P1374" i="3"/>
  <c r="P1375" i="3"/>
  <c r="P1409" i="3"/>
  <c r="P1370" i="3"/>
  <c r="Q1378" i="3"/>
  <c r="Q1373" i="3"/>
  <c r="Q1372" i="3"/>
  <c r="Q1371" i="3"/>
  <c r="Q1377" i="3"/>
  <c r="Q1376" i="3"/>
  <c r="Q1374" i="3"/>
  <c r="Q1375" i="3"/>
  <c r="Q1409" i="3"/>
  <c r="Q1370" i="3"/>
  <c r="E1337" i="3"/>
  <c r="E1353" i="3" l="1"/>
  <c r="P1369" i="3" l="1"/>
  <c r="P1367" i="3"/>
  <c r="P1365" i="3"/>
  <c r="P1360" i="3"/>
  <c r="P1368" i="3"/>
  <c r="P1366" i="3"/>
  <c r="P1364" i="3"/>
  <c r="P1362" i="3"/>
  <c r="P1361" i="3"/>
  <c r="P1359" i="3"/>
  <c r="P1358" i="3"/>
  <c r="P1363" i="3"/>
  <c r="Q1369" i="3"/>
  <c r="Q1367" i="3"/>
  <c r="Q1365" i="3"/>
  <c r="Q1360" i="3"/>
  <c r="Q1368" i="3"/>
  <c r="Q1366" i="3"/>
  <c r="Q1364" i="3"/>
  <c r="Q1362" i="3"/>
  <c r="Q1361" i="3"/>
  <c r="Q1359" i="3"/>
  <c r="Q1358" i="3"/>
  <c r="Q1363" i="3"/>
  <c r="A186" i="2" l="1"/>
  <c r="H205" i="1" l="1"/>
  <c r="I205" i="1"/>
  <c r="H203" i="1"/>
  <c r="H204" i="1"/>
  <c r="I203" i="1"/>
  <c r="I204" i="1"/>
  <c r="H202" i="1"/>
  <c r="I202" i="1"/>
  <c r="H196" i="1"/>
  <c r="H197" i="1"/>
  <c r="H198" i="1"/>
  <c r="H199" i="1"/>
  <c r="H200" i="1"/>
  <c r="H201" i="1"/>
  <c r="I196" i="1"/>
  <c r="I197" i="1"/>
  <c r="I198" i="1"/>
  <c r="I199" i="1"/>
  <c r="I200" i="1"/>
  <c r="I201" i="1"/>
  <c r="P1353" i="3" l="1"/>
  <c r="P1351" i="3"/>
  <c r="P1350" i="3"/>
  <c r="P1349" i="3"/>
  <c r="P1357" i="3"/>
  <c r="P1348" i="3"/>
  <c r="P1356" i="3"/>
  <c r="P1355" i="3"/>
  <c r="P1354" i="3"/>
  <c r="P1352" i="3"/>
  <c r="P1347" i="3"/>
  <c r="Q1353" i="3"/>
  <c r="Q1351" i="3"/>
  <c r="Q1350" i="3"/>
  <c r="Q1349" i="3"/>
  <c r="Q1357" i="3"/>
  <c r="Q1348" i="3"/>
  <c r="Q1356" i="3"/>
  <c r="Q1355" i="3"/>
  <c r="Q1354" i="3"/>
  <c r="Q1352" i="3"/>
  <c r="Q1347" i="3"/>
  <c r="P1346" i="3" l="1"/>
  <c r="P1345" i="3"/>
  <c r="P1344" i="3"/>
  <c r="P1343" i="3"/>
  <c r="P1342" i="3"/>
  <c r="P1341" i="3"/>
  <c r="Q1346" i="3"/>
  <c r="Q1345" i="3"/>
  <c r="Q1344" i="3"/>
  <c r="Q1343" i="3"/>
  <c r="Q1342" i="3"/>
  <c r="Q1341" i="3"/>
  <c r="H195" i="1" l="1"/>
  <c r="I195" i="1"/>
  <c r="E1290" i="3" l="1"/>
  <c r="I174" i="1" l="1"/>
  <c r="H174" i="1"/>
  <c r="A310" i="2" l="1"/>
  <c r="C310" i="2" s="1"/>
  <c r="A311" i="2"/>
  <c r="C311" i="2" s="1"/>
  <c r="A312" i="2"/>
  <c r="C312" i="2" s="1"/>
  <c r="A313" i="2"/>
  <c r="C313" i="2" s="1"/>
  <c r="A314" i="2"/>
  <c r="C314" i="2" s="1"/>
  <c r="A315" i="2"/>
  <c r="C315" i="2" s="1"/>
  <c r="A316" i="2"/>
  <c r="C316" i="2" s="1"/>
  <c r="A317" i="2"/>
  <c r="C317" i="2" s="1"/>
  <c r="A318" i="2"/>
  <c r="C318" i="2" s="1"/>
  <c r="A319" i="2"/>
  <c r="C319" i="2" s="1"/>
  <c r="A320" i="2"/>
  <c r="C320" i="2" s="1"/>
  <c r="I310" i="2"/>
  <c r="I311" i="2"/>
  <c r="I312" i="2"/>
  <c r="I313" i="2"/>
  <c r="I314" i="2"/>
  <c r="I315" i="2"/>
  <c r="I316" i="2"/>
  <c r="I317" i="2"/>
  <c r="I318" i="2"/>
  <c r="I319" i="2"/>
  <c r="I320" i="2"/>
  <c r="K310" i="2"/>
  <c r="K311" i="2"/>
  <c r="K312" i="2"/>
  <c r="K313" i="2"/>
  <c r="K314" i="2"/>
  <c r="K315" i="2"/>
  <c r="K316" i="2"/>
  <c r="K317" i="2"/>
  <c r="K318" i="2"/>
  <c r="K319" i="2"/>
  <c r="K320" i="2"/>
  <c r="M310" i="2"/>
  <c r="M311" i="2"/>
  <c r="M312" i="2"/>
  <c r="M313" i="2"/>
  <c r="M314" i="2"/>
  <c r="M315" i="2"/>
  <c r="M316" i="2"/>
  <c r="M317" i="2"/>
  <c r="M318" i="2"/>
  <c r="M319" i="2"/>
  <c r="M320" i="2"/>
  <c r="P310" i="2"/>
  <c r="P311" i="2"/>
  <c r="P312" i="2"/>
  <c r="P313" i="2"/>
  <c r="P314" i="2"/>
  <c r="P315" i="2"/>
  <c r="P316" i="2"/>
  <c r="P317" i="2"/>
  <c r="P318" i="2"/>
  <c r="P319" i="2"/>
  <c r="P320" i="2"/>
  <c r="A321" i="2"/>
  <c r="C321" i="2" s="1"/>
  <c r="A322" i="2"/>
  <c r="C322" i="2" s="1"/>
  <c r="A323" i="2"/>
  <c r="C323" i="2" s="1"/>
  <c r="A324" i="2"/>
  <c r="C324" i="2" s="1"/>
  <c r="A325" i="2"/>
  <c r="C325" i="2" s="1"/>
  <c r="A326" i="2"/>
  <c r="C326" i="2" s="1"/>
  <c r="A327" i="2"/>
  <c r="C327" i="2" s="1"/>
  <c r="A328" i="2"/>
  <c r="C328" i="2" s="1"/>
  <c r="A329" i="2"/>
  <c r="C329" i="2" s="1"/>
  <c r="A330" i="2"/>
  <c r="C330" i="2" s="1"/>
  <c r="A331" i="2"/>
  <c r="C331" i="2" s="1"/>
  <c r="A332" i="2"/>
  <c r="C332" i="2" s="1"/>
  <c r="A333" i="2"/>
  <c r="C333" i="2" s="1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A334" i="2"/>
  <c r="C334" i="2" s="1"/>
  <c r="A335" i="2"/>
  <c r="C335" i="2" s="1"/>
  <c r="A336" i="2"/>
  <c r="C336" i="2" s="1"/>
  <c r="A337" i="2"/>
  <c r="C337" i="2" s="1"/>
  <c r="A338" i="2"/>
  <c r="C338" i="2" s="1"/>
  <c r="A339" i="2"/>
  <c r="C339" i="2" s="1"/>
  <c r="A340" i="2"/>
  <c r="C340" i="2" s="1"/>
  <c r="A341" i="2"/>
  <c r="C341" i="2" s="1"/>
  <c r="A342" i="2"/>
  <c r="C342" i="2" s="1"/>
  <c r="A343" i="2"/>
  <c r="C343" i="2" s="1"/>
  <c r="A344" i="2"/>
  <c r="C344" i="2" s="1"/>
  <c r="A345" i="2"/>
  <c r="C345" i="2" s="1"/>
  <c r="A346" i="2"/>
  <c r="C346" i="2" s="1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A347" i="2"/>
  <c r="C347" i="2" s="1"/>
  <c r="A348" i="2"/>
  <c r="C348" i="2" s="1"/>
  <c r="A349" i="2"/>
  <c r="C349" i="2" s="1"/>
  <c r="A350" i="2"/>
  <c r="C350" i="2" s="1"/>
  <c r="A351" i="2"/>
  <c r="C351" i="2" s="1"/>
  <c r="A352" i="2"/>
  <c r="C352" i="2" s="1"/>
  <c r="A353" i="2"/>
  <c r="C353" i="2" s="1"/>
  <c r="A354" i="2"/>
  <c r="C354" i="2" s="1"/>
  <c r="A355" i="2"/>
  <c r="C355" i="2" s="1"/>
  <c r="A356" i="2"/>
  <c r="C356" i="2" s="1"/>
  <c r="A357" i="2"/>
  <c r="C357" i="2" s="1"/>
  <c r="A358" i="2"/>
  <c r="C358" i="2" s="1"/>
  <c r="A359" i="2"/>
  <c r="C359" i="2" s="1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A309" i="2"/>
  <c r="C309" i="2" s="1"/>
  <c r="I309" i="2"/>
  <c r="K309" i="2"/>
  <c r="M309" i="2"/>
  <c r="P309" i="2"/>
  <c r="A308" i="2" l="1"/>
  <c r="C308" i="2" s="1"/>
  <c r="I308" i="2"/>
  <c r="K308" i="2"/>
  <c r="M308" i="2"/>
  <c r="P308" i="2"/>
  <c r="E1327" i="3" l="1"/>
  <c r="A307" i="2" l="1"/>
  <c r="C307" i="2" s="1"/>
  <c r="I307" i="2"/>
  <c r="K307" i="2"/>
  <c r="M307" i="2"/>
  <c r="P307" i="2"/>
  <c r="A306" i="2"/>
  <c r="C306" i="2" s="1"/>
  <c r="I306" i="2"/>
  <c r="K306" i="2"/>
  <c r="M306" i="2"/>
  <c r="P306" i="2"/>
  <c r="A305" i="2"/>
  <c r="C305" i="2" s="1"/>
  <c r="I305" i="2"/>
  <c r="K305" i="2"/>
  <c r="M305" i="2"/>
  <c r="P305" i="2"/>
  <c r="A304" i="2"/>
  <c r="C304" i="2" s="1"/>
  <c r="I304" i="2"/>
  <c r="K304" i="2"/>
  <c r="M304" i="2"/>
  <c r="P304" i="2"/>
  <c r="A303" i="2"/>
  <c r="C303" i="2" s="1"/>
  <c r="I303" i="2"/>
  <c r="K303" i="2"/>
  <c r="M303" i="2"/>
  <c r="P303" i="2"/>
  <c r="A302" i="2"/>
  <c r="C302" i="2" s="1"/>
  <c r="I302" i="2"/>
  <c r="K302" i="2"/>
  <c r="M302" i="2"/>
  <c r="P302" i="2"/>
  <c r="E1279" i="3" l="1"/>
  <c r="P1333" i="3"/>
  <c r="Q1333" i="3"/>
  <c r="P1338" i="3"/>
  <c r="P1336" i="3"/>
  <c r="P1335" i="3"/>
  <c r="P1334" i="3"/>
  <c r="P1337" i="3"/>
  <c r="P1339" i="3"/>
  <c r="Q1338" i="3"/>
  <c r="Q1336" i="3"/>
  <c r="Q1335" i="3"/>
  <c r="Q1334" i="3"/>
  <c r="Q1337" i="3"/>
  <c r="Q1339" i="3"/>
  <c r="P1340" i="3" l="1"/>
  <c r="Q1340" i="3"/>
  <c r="A301" i="2" l="1"/>
  <c r="C301" i="2" s="1"/>
  <c r="I301" i="2"/>
  <c r="K301" i="2"/>
  <c r="M301" i="2"/>
  <c r="P301" i="2"/>
  <c r="E1320" i="3" l="1"/>
  <c r="E1302" i="3"/>
  <c r="H193" i="1" l="1"/>
  <c r="H194" i="1"/>
  <c r="I193" i="1"/>
  <c r="I194" i="1"/>
  <c r="H188" i="1"/>
  <c r="H189" i="1"/>
  <c r="H190" i="1"/>
  <c r="H191" i="1"/>
  <c r="H192" i="1"/>
  <c r="I188" i="1"/>
  <c r="I189" i="1"/>
  <c r="I190" i="1"/>
  <c r="I191" i="1"/>
  <c r="I192" i="1"/>
  <c r="H183" i="1"/>
  <c r="I183" i="1"/>
  <c r="E1308" i="3"/>
  <c r="P1317" i="3"/>
  <c r="Q1317" i="3"/>
  <c r="P1320" i="3"/>
  <c r="Q1320" i="3"/>
  <c r="P1319" i="3"/>
  <c r="Q1319" i="3"/>
  <c r="P1318" i="3"/>
  <c r="Q1318" i="3"/>
  <c r="P1322" i="3"/>
  <c r="Q1322" i="3"/>
  <c r="P1316" i="3"/>
  <c r="Q1316" i="3"/>
  <c r="P1315" i="3"/>
  <c r="Q1315" i="3"/>
  <c r="P1314" i="3"/>
  <c r="Q1314" i="3"/>
  <c r="P1321" i="3"/>
  <c r="Q1321" i="3"/>
  <c r="P1313" i="3"/>
  <c r="Q1313" i="3"/>
  <c r="P1323" i="3"/>
  <c r="Q1323" i="3"/>
  <c r="P1331" i="3"/>
  <c r="Q1331" i="3"/>
  <c r="P1324" i="3"/>
  <c r="Q1324" i="3"/>
  <c r="P1330" i="3"/>
  <c r="Q1330" i="3"/>
  <c r="P1329" i="3"/>
  <c r="Q1329" i="3"/>
  <c r="P1326" i="3"/>
  <c r="Q1326" i="3"/>
  <c r="P1325" i="3"/>
  <c r="Q1325" i="3"/>
  <c r="P1332" i="3"/>
  <c r="Q1332" i="3"/>
  <c r="P1328" i="3"/>
  <c r="Q1328" i="3"/>
  <c r="P1327" i="3"/>
  <c r="Q1327" i="3"/>
  <c r="H187" i="1"/>
  <c r="I187" i="1"/>
  <c r="A300" i="2" l="1"/>
  <c r="C300" i="2" s="1"/>
  <c r="I300" i="2"/>
  <c r="K300" i="2"/>
  <c r="M300" i="2"/>
  <c r="P300" i="2"/>
  <c r="H186" i="1"/>
  <c r="I186" i="1"/>
  <c r="E1312" i="3"/>
  <c r="H185" i="1"/>
  <c r="I185" i="1"/>
  <c r="H184" i="1" l="1"/>
  <c r="I184" i="1"/>
  <c r="P1310" i="3"/>
  <c r="Q1310" i="3"/>
  <c r="P1306" i="3"/>
  <c r="Q1306" i="3"/>
  <c r="P1309" i="3"/>
  <c r="Q1309" i="3"/>
  <c r="P1307" i="3"/>
  <c r="Q1307" i="3"/>
  <c r="P1308" i="3"/>
  <c r="Q1308" i="3"/>
  <c r="P1311" i="3"/>
  <c r="Q1311" i="3"/>
  <c r="P1312" i="3"/>
  <c r="Q1312" i="3"/>
  <c r="H170" i="1"/>
  <c r="I170" i="1"/>
  <c r="A299" i="2"/>
  <c r="C299" i="2" s="1"/>
  <c r="I299" i="2"/>
  <c r="K299" i="2"/>
  <c r="M299" i="2"/>
  <c r="P299" i="2"/>
  <c r="H182" i="1" l="1"/>
  <c r="I182" i="1"/>
  <c r="H181" i="1"/>
  <c r="I181" i="1"/>
  <c r="P1303" i="3"/>
  <c r="Q1303" i="3"/>
  <c r="P1300" i="3"/>
  <c r="Q1300" i="3"/>
  <c r="P1301" i="3"/>
  <c r="Q1301" i="3"/>
  <c r="P1302" i="3"/>
  <c r="Q1302" i="3"/>
  <c r="P1304" i="3"/>
  <c r="Q1304" i="3"/>
  <c r="P1305" i="3"/>
  <c r="Q1305" i="3"/>
  <c r="H180" i="1" l="1"/>
  <c r="I180" i="1"/>
  <c r="H179" i="1"/>
  <c r="I179" i="1"/>
  <c r="H178" i="1"/>
  <c r="I178" i="1"/>
  <c r="H177" i="1"/>
  <c r="I177" i="1"/>
  <c r="H176" i="1"/>
  <c r="I176" i="1"/>
  <c r="P1294" i="3"/>
  <c r="Q1294" i="3"/>
  <c r="P1295" i="3"/>
  <c r="Q1295" i="3"/>
  <c r="P1296" i="3"/>
  <c r="Q1296" i="3"/>
  <c r="P1297" i="3"/>
  <c r="Q1297" i="3"/>
  <c r="P1298" i="3"/>
  <c r="Q1298" i="3"/>
  <c r="P1299" i="3"/>
  <c r="Q1299" i="3"/>
  <c r="A298" i="2"/>
  <c r="C298" i="2" s="1"/>
  <c r="I298" i="2"/>
  <c r="K298" i="2"/>
  <c r="M298" i="2"/>
  <c r="P298" i="2"/>
  <c r="A297" i="2"/>
  <c r="C297" i="2" s="1"/>
  <c r="I297" i="2"/>
  <c r="K297" i="2"/>
  <c r="M297" i="2"/>
  <c r="P297" i="2"/>
  <c r="A296" i="2"/>
  <c r="C296" i="2" s="1"/>
  <c r="I296" i="2"/>
  <c r="K296" i="2"/>
  <c r="M296" i="2"/>
  <c r="P296" i="2"/>
  <c r="A295" i="2"/>
  <c r="C295" i="2" s="1"/>
  <c r="I295" i="2"/>
  <c r="K295" i="2"/>
  <c r="M295" i="2"/>
  <c r="P295" i="2"/>
  <c r="A294" i="2"/>
  <c r="C294" i="2" s="1"/>
  <c r="I294" i="2"/>
  <c r="K294" i="2"/>
  <c r="M294" i="2"/>
  <c r="P294" i="2"/>
  <c r="A293" i="2"/>
  <c r="C293" i="2" s="1"/>
  <c r="I293" i="2"/>
  <c r="K293" i="2"/>
  <c r="M293" i="2"/>
  <c r="P293" i="2"/>
  <c r="A292" i="2"/>
  <c r="C292" i="2" s="1"/>
  <c r="I292" i="2"/>
  <c r="K292" i="2"/>
  <c r="M292" i="2"/>
  <c r="P292" i="2"/>
  <c r="A291" i="2"/>
  <c r="C291" i="2" s="1"/>
  <c r="I291" i="2"/>
  <c r="K291" i="2"/>
  <c r="M291" i="2"/>
  <c r="P291" i="2"/>
  <c r="A290" i="2"/>
  <c r="C290" i="2" s="1"/>
  <c r="I290" i="2"/>
  <c r="K290" i="2"/>
  <c r="M290" i="2"/>
  <c r="P290" i="2"/>
  <c r="A289" i="2"/>
  <c r="C289" i="2" s="1"/>
  <c r="I289" i="2"/>
  <c r="K289" i="2"/>
  <c r="M289" i="2"/>
  <c r="P289" i="2"/>
  <c r="A288" i="2"/>
  <c r="C288" i="2" s="1"/>
  <c r="I288" i="2"/>
  <c r="K288" i="2"/>
  <c r="M288" i="2"/>
  <c r="P288" i="2"/>
  <c r="E175" i="2"/>
  <c r="H175" i="1"/>
  <c r="I175" i="1"/>
  <c r="P1288" i="3"/>
  <c r="Q1288" i="3"/>
  <c r="P1289" i="3"/>
  <c r="Q1289" i="3"/>
  <c r="P1291" i="3"/>
  <c r="Q1291" i="3"/>
  <c r="P1293" i="3"/>
  <c r="Q1293" i="3"/>
  <c r="P1290" i="3"/>
  <c r="Q1290" i="3"/>
  <c r="P1292" i="3"/>
  <c r="Q1292" i="3"/>
  <c r="H173" i="1"/>
  <c r="I173" i="1"/>
  <c r="P1285" i="3"/>
  <c r="Q1285" i="3"/>
  <c r="H172" i="1" l="1"/>
  <c r="I172" i="1"/>
  <c r="P1282" i="3"/>
  <c r="Q1282" i="3"/>
  <c r="P1286" i="3"/>
  <c r="Q1286" i="3"/>
  <c r="P1287" i="3"/>
  <c r="Q1287" i="3"/>
  <c r="P1283" i="3"/>
  <c r="Q1283" i="3"/>
  <c r="A287" i="2" l="1"/>
  <c r="C287" i="2" s="1"/>
  <c r="I287" i="2"/>
  <c r="K287" i="2"/>
  <c r="M287" i="2"/>
  <c r="P287" i="2"/>
  <c r="H171" i="1" l="1"/>
  <c r="I171" i="1"/>
  <c r="G529" i="2" l="1"/>
  <c r="A286" i="2" l="1"/>
  <c r="C286" i="2" s="1"/>
  <c r="I286" i="2"/>
  <c r="K286" i="2"/>
  <c r="M286" i="2"/>
  <c r="P286" i="2"/>
  <c r="A285" i="2"/>
  <c r="C285" i="2" s="1"/>
  <c r="I285" i="2"/>
  <c r="K285" i="2"/>
  <c r="M285" i="2"/>
  <c r="P285" i="2"/>
  <c r="A284" i="2"/>
  <c r="C284" i="2" s="1"/>
  <c r="I284" i="2"/>
  <c r="K284" i="2"/>
  <c r="M284" i="2"/>
  <c r="P284" i="2"/>
  <c r="E1265" i="3" l="1"/>
  <c r="A283" i="2"/>
  <c r="C283" i="2" s="1"/>
  <c r="I283" i="2"/>
  <c r="K283" i="2"/>
  <c r="M283" i="2"/>
  <c r="P283" i="2"/>
  <c r="H168" i="1" l="1"/>
  <c r="H169" i="1"/>
  <c r="I168" i="1"/>
  <c r="I169" i="1"/>
  <c r="H167" i="1"/>
  <c r="I167" i="1"/>
  <c r="P1281" i="3" l="1"/>
  <c r="P1276" i="3"/>
  <c r="P1277" i="3"/>
  <c r="P1278" i="3"/>
  <c r="P1279" i="3"/>
  <c r="P1280" i="3"/>
  <c r="Q1281" i="3"/>
  <c r="Q1276" i="3"/>
  <c r="Q1277" i="3"/>
  <c r="Q1278" i="3"/>
  <c r="Q1279" i="3"/>
  <c r="Q1280" i="3"/>
  <c r="P1272" i="3"/>
  <c r="P1271" i="3"/>
  <c r="P1275" i="3"/>
  <c r="P1270" i="3"/>
  <c r="P1269" i="3"/>
  <c r="P1268" i="3"/>
  <c r="P1274" i="3"/>
  <c r="P1273" i="3"/>
  <c r="Q1272" i="3"/>
  <c r="Q1271" i="3"/>
  <c r="Q1275" i="3"/>
  <c r="Q1270" i="3"/>
  <c r="Q1269" i="3"/>
  <c r="Q1268" i="3"/>
  <c r="Q1274" i="3"/>
  <c r="Q1273" i="3"/>
  <c r="H166" i="1" l="1"/>
  <c r="I166" i="1"/>
  <c r="H165" i="1"/>
  <c r="I165" i="1"/>
  <c r="H164" i="1"/>
  <c r="I164" i="1"/>
  <c r="P1263" i="3"/>
  <c r="P1262" i="3"/>
  <c r="P1265" i="3"/>
  <c r="P1267" i="3"/>
  <c r="P1266" i="3"/>
  <c r="P1264" i="3"/>
  <c r="P1261" i="3"/>
  <c r="P1260" i="3"/>
  <c r="P1259" i="3"/>
  <c r="Q1263" i="3"/>
  <c r="Q1262" i="3"/>
  <c r="Q1265" i="3"/>
  <c r="Q1267" i="3"/>
  <c r="Q1266" i="3"/>
  <c r="Q1264" i="3"/>
  <c r="Q1261" i="3"/>
  <c r="Q1260" i="3"/>
  <c r="Q1259" i="3"/>
  <c r="H161" i="1" l="1"/>
  <c r="I161" i="1"/>
  <c r="P1253" i="3"/>
  <c r="Q1253" i="3"/>
  <c r="P1254" i="3"/>
  <c r="Q1254" i="3"/>
  <c r="P1255" i="3"/>
  <c r="Q1255" i="3"/>
  <c r="P1256" i="3"/>
  <c r="Q1256" i="3"/>
  <c r="P1257" i="3"/>
  <c r="Q1257" i="3"/>
  <c r="P1258" i="3"/>
  <c r="Q1258" i="3"/>
  <c r="P1252" i="3"/>
  <c r="Q1252" i="3"/>
  <c r="A276" i="2" l="1"/>
  <c r="C276" i="2" s="1"/>
  <c r="A277" i="2"/>
  <c r="C277" i="2" s="1"/>
  <c r="A278" i="2"/>
  <c r="C278" i="2" s="1"/>
  <c r="A279" i="2"/>
  <c r="C279" i="2" s="1"/>
  <c r="A280" i="2"/>
  <c r="C280" i="2" s="1"/>
  <c r="A281" i="2"/>
  <c r="C281" i="2" s="1"/>
  <c r="A282" i="2"/>
  <c r="C282" i="2" s="1"/>
  <c r="I276" i="2"/>
  <c r="I277" i="2"/>
  <c r="I278" i="2"/>
  <c r="I279" i="2"/>
  <c r="I280" i="2"/>
  <c r="I281" i="2"/>
  <c r="I282" i="2"/>
  <c r="K276" i="2"/>
  <c r="K277" i="2"/>
  <c r="K278" i="2"/>
  <c r="K279" i="2"/>
  <c r="K280" i="2"/>
  <c r="K281" i="2"/>
  <c r="K282" i="2"/>
  <c r="M276" i="2"/>
  <c r="M277" i="2"/>
  <c r="M278" i="2"/>
  <c r="M279" i="2"/>
  <c r="M280" i="2"/>
  <c r="M281" i="2"/>
  <c r="M282" i="2"/>
  <c r="P276" i="2"/>
  <c r="P277" i="2"/>
  <c r="P278" i="2"/>
  <c r="P279" i="2"/>
  <c r="P280" i="2"/>
  <c r="P281" i="2"/>
  <c r="P282" i="2"/>
  <c r="P267" i="2" l="1"/>
  <c r="P268" i="2"/>
  <c r="P269" i="2"/>
  <c r="P270" i="2"/>
  <c r="P271" i="2"/>
  <c r="P272" i="2"/>
  <c r="P273" i="2"/>
  <c r="P274" i="2"/>
  <c r="P275" i="2"/>
  <c r="M274" i="2"/>
  <c r="M273" i="2"/>
  <c r="M272" i="2"/>
  <c r="M271" i="2"/>
  <c r="M270" i="2"/>
  <c r="K274" i="2"/>
  <c r="K273" i="2"/>
  <c r="K272" i="2"/>
  <c r="K271" i="2"/>
  <c r="K270" i="2"/>
  <c r="P1248" i="3" l="1"/>
  <c r="Q1248" i="3"/>
  <c r="P1245" i="3"/>
  <c r="Q1245" i="3"/>
  <c r="P1247" i="3"/>
  <c r="Q1247" i="3"/>
  <c r="P1249" i="3"/>
  <c r="Q1249" i="3"/>
  <c r="P1250" i="3"/>
  <c r="Q1250" i="3"/>
  <c r="P1246" i="3"/>
  <c r="Q1246" i="3"/>
  <c r="P1251" i="3"/>
  <c r="Q1251" i="3"/>
  <c r="H163" i="1" l="1"/>
  <c r="I163" i="1"/>
  <c r="H162" i="1"/>
  <c r="I162" i="1"/>
  <c r="A270" i="2" l="1"/>
  <c r="C270" i="2" s="1"/>
  <c r="A271" i="2"/>
  <c r="C271" i="2" s="1"/>
  <c r="A272" i="2"/>
  <c r="C272" i="2" s="1"/>
  <c r="A273" i="2"/>
  <c r="C273" i="2" s="1"/>
  <c r="A274" i="2"/>
  <c r="C274" i="2" s="1"/>
  <c r="A204" i="2"/>
  <c r="H148" i="1"/>
  <c r="I148" i="1"/>
  <c r="I269" i="2"/>
  <c r="I270" i="2"/>
  <c r="I271" i="2"/>
  <c r="I272" i="2"/>
  <c r="I273" i="2"/>
  <c r="I274" i="2"/>
  <c r="I268" i="2"/>
  <c r="A269" i="2"/>
  <c r="C269" i="2" s="1"/>
  <c r="A268" i="2"/>
  <c r="C268" i="2" s="1"/>
  <c r="M269" i="2"/>
  <c r="K269" i="2"/>
  <c r="M268" i="2"/>
  <c r="K268" i="2"/>
  <c r="P1241" i="3" l="1"/>
  <c r="Q1241" i="3"/>
  <c r="P1242" i="3"/>
  <c r="Q1242" i="3"/>
  <c r="P1243" i="3"/>
  <c r="Q1243" i="3"/>
  <c r="P1244" i="3"/>
  <c r="Q1244" i="3"/>
  <c r="P1240" i="3"/>
  <c r="Q1240" i="3"/>
  <c r="Q1236" i="3" l="1"/>
  <c r="P1236" i="3"/>
  <c r="Q1238" i="3"/>
  <c r="P1238" i="3"/>
  <c r="Q1239" i="3"/>
  <c r="P1239" i="3"/>
  <c r="Q1237" i="3"/>
  <c r="P1237" i="3"/>
  <c r="Q1232" i="3"/>
  <c r="P1232" i="3"/>
  <c r="Q1230" i="3"/>
  <c r="P1230" i="3"/>
  <c r="Q1234" i="3"/>
  <c r="P1234" i="3"/>
  <c r="Q1233" i="3"/>
  <c r="P1233" i="3"/>
  <c r="Q1229" i="3"/>
  <c r="P1229" i="3"/>
  <c r="Q1231" i="3"/>
  <c r="P1231" i="3"/>
  <c r="Q1235" i="3"/>
  <c r="P1235" i="3"/>
  <c r="Q1225" i="3"/>
  <c r="P1225" i="3"/>
  <c r="Q1227" i="3"/>
  <c r="P1227" i="3"/>
  <c r="Q1228" i="3"/>
  <c r="P1228" i="3"/>
  <c r="Q1224" i="3"/>
  <c r="P1224" i="3"/>
  <c r="Q1226" i="3"/>
  <c r="P1226" i="3"/>
  <c r="Q1221" i="3"/>
  <c r="P1221" i="3"/>
  <c r="Q1218" i="3"/>
  <c r="P1218" i="3"/>
  <c r="Q1217" i="3"/>
  <c r="P1217" i="3"/>
  <c r="Q1220" i="3"/>
  <c r="P1220" i="3"/>
  <c r="Q1223" i="3"/>
  <c r="P1223" i="3"/>
  <c r="Q1222" i="3"/>
  <c r="P1222" i="3"/>
  <c r="Q1219" i="3"/>
  <c r="P1219" i="3"/>
  <c r="Q1210" i="3"/>
  <c r="P1210" i="3"/>
  <c r="Q1212" i="3"/>
  <c r="P1212" i="3"/>
  <c r="Q1215" i="3"/>
  <c r="P1215" i="3"/>
  <c r="Q1214" i="3"/>
  <c r="P1214" i="3"/>
  <c r="Q1211" i="3"/>
  <c r="P1211" i="3"/>
  <c r="Q1213" i="3"/>
  <c r="P1213" i="3"/>
  <c r="Q1216" i="3"/>
  <c r="P1216" i="3"/>
  <c r="Q1204" i="3"/>
  <c r="P1204" i="3"/>
  <c r="Q1205" i="3"/>
  <c r="P1205" i="3"/>
  <c r="Q1209" i="3"/>
  <c r="P1209" i="3"/>
  <c r="Q1206" i="3"/>
  <c r="E1206" i="3"/>
  <c r="Q1203" i="3"/>
  <c r="P1203" i="3"/>
  <c r="Q1207" i="3"/>
  <c r="P1207" i="3"/>
  <c r="Q1208" i="3"/>
  <c r="P1208" i="3"/>
  <c r="Q1199" i="3"/>
  <c r="P1199" i="3"/>
  <c r="Q1201" i="3"/>
  <c r="P1201" i="3"/>
  <c r="Q1202" i="3"/>
  <c r="P1202" i="3"/>
  <c r="Q1200" i="3"/>
  <c r="P1200" i="3"/>
  <c r="Q1195" i="3"/>
  <c r="P1195" i="3"/>
  <c r="Q1194" i="3"/>
  <c r="P1194" i="3"/>
  <c r="Q1197" i="3"/>
  <c r="P1197" i="3"/>
  <c r="Q1198" i="3"/>
  <c r="P1198" i="3"/>
  <c r="Q1196" i="3"/>
  <c r="P1196" i="3"/>
  <c r="Q1191" i="3"/>
  <c r="P1191" i="3"/>
  <c r="Q1192" i="3"/>
  <c r="P1192" i="3"/>
  <c r="Q1193" i="3"/>
  <c r="P1193" i="3"/>
  <c r="Q1186" i="3"/>
  <c r="P1186" i="3"/>
  <c r="Q1187" i="3"/>
  <c r="P1187" i="3"/>
  <c r="Q1189" i="3"/>
  <c r="P1189" i="3"/>
  <c r="Q1188" i="3"/>
  <c r="P1188" i="3"/>
  <c r="Q1190" i="3"/>
  <c r="P1190" i="3"/>
  <c r="Q1182" i="3"/>
  <c r="P1182" i="3"/>
  <c r="Q1184" i="3"/>
  <c r="E1184" i="3"/>
  <c r="Q1185" i="3"/>
  <c r="P1185" i="3"/>
  <c r="Q1183" i="3"/>
  <c r="P1183" i="3"/>
  <c r="Q1175" i="3"/>
  <c r="P1175" i="3"/>
  <c r="Q1176" i="3"/>
  <c r="P1176" i="3"/>
  <c r="Q1177" i="3"/>
  <c r="P1177" i="3"/>
  <c r="Q1179" i="3"/>
  <c r="P1179" i="3"/>
  <c r="Q1180" i="3"/>
  <c r="P1180" i="3"/>
  <c r="Q1181" i="3"/>
  <c r="P1181" i="3"/>
  <c r="Q1174" i="3"/>
  <c r="P1174" i="3"/>
  <c r="Q1178" i="3"/>
  <c r="P1178" i="3"/>
  <c r="Q1164" i="3"/>
  <c r="P1164" i="3"/>
  <c r="Q1165" i="3"/>
  <c r="P1165" i="3"/>
  <c r="Q1166" i="3"/>
  <c r="P1166" i="3"/>
  <c r="Q1167" i="3"/>
  <c r="P1167" i="3"/>
  <c r="Q1168" i="3"/>
  <c r="P1168" i="3"/>
  <c r="Q1173" i="3"/>
  <c r="P1173" i="3"/>
  <c r="Q1172" i="3"/>
  <c r="P1172" i="3"/>
  <c r="Q1163" i="3"/>
  <c r="P1163" i="3"/>
  <c r="Q1162" i="3"/>
  <c r="P1162" i="3"/>
  <c r="Q1169" i="3"/>
  <c r="P1169" i="3"/>
  <c r="Q1170" i="3"/>
  <c r="P1170" i="3"/>
  <c r="Q1171" i="3"/>
  <c r="P1171" i="3"/>
  <c r="Q1159" i="3"/>
  <c r="P1159" i="3"/>
  <c r="Q1160" i="3"/>
  <c r="P1160" i="3"/>
  <c r="Q1152" i="3"/>
  <c r="P1152" i="3"/>
  <c r="Q1153" i="3"/>
  <c r="P1153" i="3"/>
  <c r="Q1158" i="3"/>
  <c r="P1158" i="3"/>
  <c r="Q1154" i="3"/>
  <c r="P1154" i="3"/>
  <c r="Q1155" i="3"/>
  <c r="P1155" i="3"/>
  <c r="Q1156" i="3"/>
  <c r="P1156" i="3"/>
  <c r="Q1157" i="3"/>
  <c r="P1157" i="3"/>
  <c r="Q1161" i="3"/>
  <c r="P1161" i="3"/>
  <c r="Q1142" i="3"/>
  <c r="P1142" i="3"/>
  <c r="Q1143" i="3"/>
  <c r="P1143" i="3"/>
  <c r="Q1146" i="3"/>
  <c r="P1146" i="3"/>
  <c r="Q1148" i="3"/>
  <c r="P1148" i="3"/>
  <c r="Q1149" i="3"/>
  <c r="P1149" i="3"/>
  <c r="Q1150" i="3"/>
  <c r="P1150" i="3"/>
  <c r="Q1151" i="3"/>
  <c r="P1151" i="3"/>
  <c r="Q1144" i="3"/>
  <c r="E1144" i="3"/>
  <c r="Q1145" i="3"/>
  <c r="P1145" i="3"/>
  <c r="Q1147" i="3"/>
  <c r="P1147" i="3"/>
  <c r="Q1132" i="3"/>
  <c r="P1132" i="3"/>
  <c r="Q1133" i="3"/>
  <c r="P1133" i="3"/>
  <c r="Q1134" i="3"/>
  <c r="P1134" i="3"/>
  <c r="Q1135" i="3"/>
  <c r="P1135" i="3"/>
  <c r="Q1141" i="3"/>
  <c r="P1141" i="3"/>
  <c r="Q1137" i="3"/>
  <c r="P1137" i="3"/>
  <c r="Q1131" i="3"/>
  <c r="P1131" i="3"/>
  <c r="Q1136" i="3"/>
  <c r="P1136" i="3"/>
  <c r="Q1138" i="3"/>
  <c r="E1138" i="3"/>
  <c r="Q1139" i="3"/>
  <c r="P1139" i="3"/>
  <c r="Q1140" i="3"/>
  <c r="E1140" i="3"/>
  <c r="Q1125" i="3"/>
  <c r="P1125" i="3"/>
  <c r="Q1126" i="3"/>
  <c r="P1126" i="3"/>
  <c r="Q1128" i="3"/>
  <c r="P1128" i="3"/>
  <c r="Q1129" i="3"/>
  <c r="P1129" i="3"/>
  <c r="Q1123" i="3"/>
  <c r="P1123" i="3"/>
  <c r="Q1124" i="3"/>
  <c r="P1124" i="3"/>
  <c r="Q1127" i="3"/>
  <c r="P1127" i="3"/>
  <c r="Q1130" i="3"/>
  <c r="P1130" i="3"/>
  <c r="Q1119" i="3"/>
  <c r="P1119" i="3"/>
  <c r="Q1120" i="3"/>
  <c r="P1120" i="3"/>
  <c r="Q1121" i="3"/>
  <c r="P1121" i="3"/>
  <c r="Q1118" i="3"/>
  <c r="P1118" i="3"/>
  <c r="Q1122" i="3"/>
  <c r="P1122" i="3"/>
  <c r="Q1112" i="3"/>
  <c r="P1112" i="3"/>
  <c r="Q1113" i="3"/>
  <c r="P1113" i="3"/>
  <c r="Q1114" i="3"/>
  <c r="P1114" i="3"/>
  <c r="Q1115" i="3"/>
  <c r="P1115" i="3"/>
  <c r="Q1111" i="3"/>
  <c r="P1111" i="3"/>
  <c r="Q1116" i="3"/>
  <c r="P1116" i="3"/>
  <c r="Q1117" i="3"/>
  <c r="P1117" i="3"/>
  <c r="Q1108" i="3"/>
  <c r="P1108" i="3"/>
  <c r="Q1106" i="3"/>
  <c r="P1106" i="3"/>
  <c r="Q1105" i="3"/>
  <c r="L1105" i="3"/>
  <c r="K1105" i="3" s="1"/>
  <c r="E1105" i="3"/>
  <c r="Q1107" i="3"/>
  <c r="P1107" i="3"/>
  <c r="Q1109" i="3"/>
  <c r="E1109" i="3"/>
  <c r="Q1110" i="3"/>
  <c r="P1110" i="3"/>
  <c r="Q1102" i="3"/>
  <c r="E1102" i="3"/>
  <c r="Q1100" i="3"/>
  <c r="P1100" i="3"/>
  <c r="Q1101" i="3"/>
  <c r="P1101" i="3"/>
  <c r="Q1103" i="3"/>
  <c r="P1103" i="3"/>
  <c r="Q1104" i="3"/>
  <c r="P1104" i="3"/>
  <c r="Q1093" i="3"/>
  <c r="P1093" i="3"/>
  <c r="Q1094" i="3"/>
  <c r="P1094" i="3"/>
  <c r="Q1097" i="3"/>
  <c r="P1097" i="3"/>
  <c r="Q1096" i="3"/>
  <c r="P1096" i="3"/>
  <c r="Q1098" i="3"/>
  <c r="P1098" i="3"/>
  <c r="Q1095" i="3"/>
  <c r="P1095" i="3"/>
  <c r="Q1092" i="3"/>
  <c r="P1092" i="3"/>
  <c r="Q1099" i="3"/>
  <c r="P1099" i="3"/>
  <c r="Q1088" i="3"/>
  <c r="P1088" i="3"/>
  <c r="Q1086" i="3"/>
  <c r="P1086" i="3"/>
  <c r="Q1087" i="3"/>
  <c r="P1087" i="3"/>
  <c r="Q1089" i="3"/>
  <c r="P1089" i="3"/>
  <c r="Q1085" i="3"/>
  <c r="P1085" i="3"/>
  <c r="Q1090" i="3"/>
  <c r="E1090" i="3"/>
  <c r="Q1091" i="3"/>
  <c r="P1091" i="3"/>
  <c r="Q1081" i="3"/>
  <c r="P1081" i="3"/>
  <c r="Q1079" i="3"/>
  <c r="P1079" i="3"/>
  <c r="Q1080" i="3"/>
  <c r="P1080" i="3"/>
  <c r="Q1083" i="3"/>
  <c r="P1083" i="3"/>
  <c r="Q1078" i="3"/>
  <c r="P1078" i="3"/>
  <c r="Q1082" i="3"/>
  <c r="P1082" i="3"/>
  <c r="Q1084" i="3"/>
  <c r="P1084" i="3"/>
  <c r="Q1070" i="3"/>
  <c r="P1070" i="3"/>
  <c r="Q1076" i="3"/>
  <c r="P1076" i="3"/>
  <c r="Q1072" i="3"/>
  <c r="P1072" i="3"/>
  <c r="Q1077" i="3"/>
  <c r="P1077" i="3"/>
  <c r="Q1075" i="3"/>
  <c r="P1075" i="3"/>
  <c r="Q1074" i="3"/>
  <c r="P1074" i="3"/>
  <c r="Q1064" i="3"/>
  <c r="P1064" i="3"/>
  <c r="Q1065" i="3"/>
  <c r="P1065" i="3"/>
  <c r="Q1066" i="3"/>
  <c r="P1066" i="3"/>
  <c r="Q1067" i="3"/>
  <c r="P1067" i="3"/>
  <c r="Q1068" i="3"/>
  <c r="P1068" i="3"/>
  <c r="Q1073" i="3"/>
  <c r="P1073" i="3"/>
  <c r="Q1069" i="3"/>
  <c r="P1069" i="3"/>
  <c r="Q1059" i="3"/>
  <c r="P1059" i="3"/>
  <c r="Q1060" i="3"/>
  <c r="P1060" i="3"/>
  <c r="Q1071" i="3"/>
  <c r="P1071" i="3"/>
  <c r="Q1061" i="3"/>
  <c r="P1061" i="3"/>
  <c r="Q1062" i="3"/>
  <c r="P1062" i="3"/>
  <c r="Q1063" i="3"/>
  <c r="P1063" i="3"/>
  <c r="Q1057" i="3"/>
  <c r="P1057" i="3"/>
  <c r="Q1056" i="3"/>
  <c r="P1056" i="3"/>
  <c r="Q1058" i="3"/>
  <c r="P1058" i="3"/>
  <c r="Q1052" i="3"/>
  <c r="P1052" i="3"/>
  <c r="Q1053" i="3"/>
  <c r="P1053" i="3"/>
  <c r="Q1054" i="3"/>
  <c r="E1054" i="3"/>
  <c r="Q1055" i="3"/>
  <c r="P1055" i="3"/>
  <c r="Q1048" i="3"/>
  <c r="P1048" i="3"/>
  <c r="Q1049" i="3"/>
  <c r="P1049" i="3"/>
  <c r="Q1051" i="3"/>
  <c r="P1051" i="3"/>
  <c r="Q1043" i="3"/>
  <c r="P1043" i="3"/>
  <c r="Q1044" i="3"/>
  <c r="P1044" i="3"/>
  <c r="Q1045" i="3"/>
  <c r="P1045" i="3"/>
  <c r="Q1046" i="3"/>
  <c r="P1046" i="3"/>
  <c r="Q1047" i="3"/>
  <c r="P1047" i="3"/>
  <c r="Q1050" i="3"/>
  <c r="P1050" i="3"/>
  <c r="Q959" i="3"/>
  <c r="P959" i="3"/>
  <c r="Q976" i="3"/>
  <c r="P976" i="3"/>
  <c r="Q1004" i="3"/>
  <c r="P1004" i="3"/>
  <c r="Q983" i="3"/>
  <c r="P983" i="3"/>
  <c r="Q1017" i="3"/>
  <c r="P1017" i="3"/>
  <c r="Q960" i="3"/>
  <c r="P960" i="3"/>
  <c r="Q1035" i="3"/>
  <c r="P1035" i="3"/>
  <c r="Q949" i="3"/>
  <c r="P949" i="3"/>
  <c r="Q969" i="3"/>
  <c r="P969" i="3"/>
  <c r="Q970" i="3"/>
  <c r="P970" i="3"/>
  <c r="Q971" i="3"/>
  <c r="P971" i="3"/>
  <c r="Q1026" i="3"/>
  <c r="P1026" i="3"/>
  <c r="Q961" i="3"/>
  <c r="P961" i="3"/>
  <c r="Q999" i="3"/>
  <c r="P999" i="3"/>
  <c r="Q1000" i="3"/>
  <c r="P1000" i="3"/>
  <c r="Q992" i="3"/>
  <c r="P992" i="3"/>
  <c r="Q1005" i="3"/>
  <c r="L1005" i="3"/>
  <c r="K1005" i="3" s="1"/>
  <c r="E1005" i="3"/>
  <c r="Q1018" i="3"/>
  <c r="P1018" i="3"/>
  <c r="Q972" i="3"/>
  <c r="P972" i="3"/>
  <c r="Q993" i="3"/>
  <c r="P993" i="3"/>
  <c r="Q1006" i="3"/>
  <c r="P1006" i="3"/>
  <c r="Q1007" i="3"/>
  <c r="P1007" i="3"/>
  <c r="Q1027" i="3"/>
  <c r="P1027" i="3"/>
  <c r="Q1012" i="3"/>
  <c r="P1012" i="3"/>
  <c r="Q1001" i="3"/>
  <c r="P1001" i="3"/>
  <c r="Q1028" i="3"/>
  <c r="P1028" i="3"/>
  <c r="Q950" i="3"/>
  <c r="P950" i="3"/>
  <c r="Q977" i="3"/>
  <c r="P977" i="3"/>
  <c r="Q1029" i="3"/>
  <c r="P1029" i="3"/>
  <c r="Q984" i="3"/>
  <c r="P984" i="3"/>
  <c r="Q1036" i="3"/>
  <c r="P1036" i="3"/>
  <c r="Q1013" i="3"/>
  <c r="P1013" i="3"/>
  <c r="Q962" i="3"/>
  <c r="P962" i="3"/>
  <c r="Q1030" i="3"/>
  <c r="P1030" i="3"/>
  <c r="Q951" i="3"/>
  <c r="P951" i="3"/>
  <c r="Q985" i="3"/>
  <c r="P985" i="3"/>
  <c r="Q978" i="3"/>
  <c r="P978" i="3"/>
  <c r="Q963" i="3"/>
  <c r="P963" i="3"/>
  <c r="Q1019" i="3"/>
  <c r="P1019" i="3"/>
  <c r="Q952" i="3"/>
  <c r="P952" i="3"/>
  <c r="Q994" i="3"/>
  <c r="P994" i="3"/>
  <c r="Q986" i="3"/>
  <c r="P986" i="3"/>
  <c r="Q995" i="3"/>
  <c r="P995" i="3"/>
  <c r="Q1014" i="3"/>
  <c r="P1014" i="3"/>
  <c r="Q1002" i="3"/>
  <c r="P1002" i="3"/>
  <c r="Q964" i="3"/>
  <c r="P964" i="3"/>
  <c r="Q965" i="3"/>
  <c r="P965" i="3"/>
  <c r="Q1037" i="3"/>
  <c r="P1037" i="3"/>
  <c r="Q987" i="3"/>
  <c r="P987" i="3"/>
  <c r="Q1038" i="3"/>
  <c r="P1038" i="3"/>
  <c r="Q988" i="3"/>
  <c r="P988" i="3"/>
  <c r="Q989" i="3"/>
  <c r="P989" i="3"/>
  <c r="Q979" i="3"/>
  <c r="P979" i="3"/>
  <c r="Q953" i="3"/>
  <c r="P953" i="3"/>
  <c r="Q1008" i="3"/>
  <c r="P1008" i="3"/>
  <c r="Q954" i="3"/>
  <c r="P954" i="3"/>
  <c r="Q955" i="3"/>
  <c r="P955" i="3"/>
  <c r="Q973" i="3"/>
  <c r="P973" i="3"/>
  <c r="Q990" i="3"/>
  <c r="P990" i="3"/>
  <c r="Q1039" i="3"/>
  <c r="P1039" i="3"/>
  <c r="Q1031" i="3"/>
  <c r="L1031" i="3"/>
  <c r="K1031" i="3" s="1"/>
  <c r="E1031" i="3"/>
  <c r="Q1020" i="3"/>
  <c r="P1020" i="3"/>
  <c r="Q1009" i="3"/>
  <c r="P1009" i="3"/>
  <c r="Q966" i="3"/>
  <c r="P966" i="3"/>
  <c r="Q1010" i="3"/>
  <c r="P1010" i="3"/>
  <c r="Q1003" i="3"/>
  <c r="P1003" i="3"/>
  <c r="Q1015" i="3"/>
  <c r="P1015" i="3"/>
  <c r="Q1011" i="3"/>
  <c r="P1011" i="3"/>
  <c r="Q1040" i="3"/>
  <c r="P1040" i="3"/>
  <c r="Q996" i="3"/>
  <c r="P996" i="3"/>
  <c r="Q967" i="3"/>
  <c r="P967" i="3"/>
  <c r="Q997" i="3"/>
  <c r="P997" i="3"/>
  <c r="Q1041" i="3"/>
  <c r="P1041" i="3"/>
  <c r="Q1021" i="3"/>
  <c r="P1021" i="3"/>
  <c r="Q1016" i="3"/>
  <c r="P1016" i="3"/>
  <c r="Q974" i="3"/>
  <c r="P974" i="3"/>
  <c r="Q975" i="3"/>
  <c r="P975" i="3"/>
  <c r="Q980" i="3"/>
  <c r="P980" i="3"/>
  <c r="Q1022" i="3"/>
  <c r="P1022" i="3"/>
  <c r="Q956" i="3"/>
  <c r="P956" i="3"/>
  <c r="Q957" i="3"/>
  <c r="P957" i="3"/>
  <c r="Q1042" i="3"/>
  <c r="P1042" i="3"/>
  <c r="Q981" i="3"/>
  <c r="P981" i="3"/>
  <c r="Q991" i="3"/>
  <c r="P991" i="3"/>
  <c r="Q968" i="3"/>
  <c r="P968" i="3"/>
  <c r="Q958" i="3"/>
  <c r="P958" i="3"/>
  <c r="Q1023" i="3"/>
  <c r="P1023" i="3"/>
  <c r="Q998" i="3"/>
  <c r="P998" i="3"/>
  <c r="Q1032" i="3"/>
  <c r="P1032" i="3"/>
  <c r="Q1033" i="3"/>
  <c r="P1033" i="3"/>
  <c r="Q982" i="3"/>
  <c r="P982" i="3"/>
  <c r="Q1024" i="3"/>
  <c r="P1024" i="3"/>
  <c r="Q1025" i="3"/>
  <c r="P1025" i="3"/>
  <c r="Q1034" i="3"/>
  <c r="P1034" i="3"/>
  <c r="Q939" i="3"/>
  <c r="P939" i="3"/>
  <c r="Q942" i="3"/>
  <c r="P942" i="3"/>
  <c r="Q944" i="3"/>
  <c r="P944" i="3"/>
  <c r="Q946" i="3"/>
  <c r="P946" i="3"/>
  <c r="Q947" i="3"/>
  <c r="P947" i="3"/>
  <c r="Q940" i="3"/>
  <c r="P940" i="3"/>
  <c r="Q941" i="3"/>
  <c r="P941" i="3"/>
  <c r="Q943" i="3"/>
  <c r="P943" i="3"/>
  <c r="Q945" i="3"/>
  <c r="P945" i="3"/>
  <c r="Q948" i="3"/>
  <c r="P948" i="3"/>
  <c r="Q931" i="3"/>
  <c r="P931" i="3"/>
  <c r="Q932" i="3"/>
  <c r="P932" i="3"/>
  <c r="Q934" i="3"/>
  <c r="P934" i="3"/>
  <c r="Q938" i="3"/>
  <c r="P938" i="3"/>
  <c r="Q933" i="3"/>
  <c r="P933" i="3"/>
  <c r="Q935" i="3"/>
  <c r="P935" i="3"/>
  <c r="Q936" i="3"/>
  <c r="P936" i="3"/>
  <c r="Q937" i="3"/>
  <c r="P937" i="3"/>
  <c r="Q921" i="3"/>
  <c r="P921" i="3"/>
  <c r="Q922" i="3"/>
  <c r="P922" i="3"/>
  <c r="Q923" i="3"/>
  <c r="P923" i="3"/>
  <c r="Q928" i="3"/>
  <c r="P928" i="3"/>
  <c r="Q930" i="3"/>
  <c r="P930" i="3"/>
  <c r="Q924" i="3"/>
  <c r="P924" i="3"/>
  <c r="Q925" i="3"/>
  <c r="P925" i="3"/>
  <c r="Q926" i="3"/>
  <c r="P926" i="3"/>
  <c r="Q927" i="3"/>
  <c r="P927" i="3"/>
  <c r="Q929" i="3"/>
  <c r="P929" i="3"/>
  <c r="Q912" i="3"/>
  <c r="P912" i="3"/>
  <c r="Q913" i="3"/>
  <c r="P913" i="3"/>
  <c r="Q915" i="3"/>
  <c r="P915" i="3"/>
  <c r="Q917" i="3"/>
  <c r="P917" i="3"/>
  <c r="Q920" i="3"/>
  <c r="P920" i="3"/>
  <c r="Q914" i="3"/>
  <c r="P914" i="3"/>
  <c r="Q916" i="3"/>
  <c r="P916" i="3"/>
  <c r="Q918" i="3"/>
  <c r="P918" i="3"/>
  <c r="Q919" i="3"/>
  <c r="P919" i="3"/>
  <c r="Q899" i="3"/>
  <c r="P899" i="3"/>
  <c r="Q900" i="3"/>
  <c r="P900" i="3"/>
  <c r="Q903" i="3"/>
  <c r="P903" i="3"/>
  <c r="Q906" i="3"/>
  <c r="P906" i="3"/>
  <c r="Q907" i="3"/>
  <c r="P907" i="3"/>
  <c r="Q908" i="3"/>
  <c r="P908" i="3"/>
  <c r="Q909" i="3"/>
  <c r="P909" i="3"/>
  <c r="Q910" i="3"/>
  <c r="P910" i="3"/>
  <c r="Q911" i="3"/>
  <c r="P911" i="3"/>
  <c r="Q901" i="3"/>
  <c r="P901" i="3"/>
  <c r="Q902" i="3"/>
  <c r="P902" i="3"/>
  <c r="Q904" i="3"/>
  <c r="P904" i="3"/>
  <c r="Q905" i="3"/>
  <c r="P905" i="3"/>
  <c r="Q891" i="3"/>
  <c r="P891" i="3"/>
  <c r="Q893" i="3"/>
  <c r="P893" i="3"/>
  <c r="Q894" i="3"/>
  <c r="P894" i="3"/>
  <c r="Q895" i="3"/>
  <c r="P895" i="3"/>
  <c r="Q897" i="3"/>
  <c r="P897" i="3"/>
  <c r="Q898" i="3"/>
  <c r="P898" i="3"/>
  <c r="Q892" i="3"/>
  <c r="P892" i="3"/>
  <c r="Q896" i="3"/>
  <c r="L896" i="3"/>
  <c r="K896" i="3" s="1"/>
  <c r="E896" i="3"/>
  <c r="Q881" i="3"/>
  <c r="P881" i="3"/>
  <c r="Q884" i="3"/>
  <c r="P884" i="3"/>
  <c r="Q889" i="3"/>
  <c r="P889" i="3"/>
  <c r="Q890" i="3"/>
  <c r="P890" i="3"/>
  <c r="Q882" i="3"/>
  <c r="P882" i="3"/>
  <c r="Q883" i="3"/>
  <c r="L883" i="3"/>
  <c r="K883" i="3" s="1"/>
  <c r="E883" i="3"/>
  <c r="Q885" i="3"/>
  <c r="L885" i="3"/>
  <c r="K885" i="3" s="1"/>
  <c r="E885" i="3"/>
  <c r="Q886" i="3"/>
  <c r="P886" i="3"/>
  <c r="Q887" i="3"/>
  <c r="P887" i="3"/>
  <c r="Q888" i="3"/>
  <c r="L888" i="3"/>
  <c r="K888" i="3" s="1"/>
  <c r="E888" i="3"/>
  <c r="Q879" i="3"/>
  <c r="P879" i="3"/>
  <c r="Q880" i="3"/>
  <c r="P880" i="3"/>
  <c r="Q873" i="3"/>
  <c r="P873" i="3"/>
  <c r="Q874" i="3"/>
  <c r="P874" i="3"/>
  <c r="Q875" i="3"/>
  <c r="P875" i="3"/>
  <c r="Q876" i="3"/>
  <c r="P876" i="3"/>
  <c r="Q877" i="3"/>
  <c r="P877" i="3"/>
  <c r="Q878" i="3"/>
  <c r="P878" i="3"/>
  <c r="Q865" i="3"/>
  <c r="P865" i="3"/>
  <c r="Q868" i="3"/>
  <c r="P868" i="3"/>
  <c r="Q869" i="3"/>
  <c r="P869" i="3"/>
  <c r="Q864" i="3"/>
  <c r="P864" i="3"/>
  <c r="Q866" i="3"/>
  <c r="P866" i="3"/>
  <c r="Q867" i="3"/>
  <c r="P867" i="3"/>
  <c r="Q870" i="3"/>
  <c r="P870" i="3"/>
  <c r="Q871" i="3"/>
  <c r="P871" i="3"/>
  <c r="Q872" i="3"/>
  <c r="L872" i="3"/>
  <c r="K872" i="3" s="1"/>
  <c r="E872" i="3"/>
  <c r="Q854" i="3"/>
  <c r="P854" i="3"/>
  <c r="Q855" i="3"/>
  <c r="P855" i="3"/>
  <c r="Q856" i="3"/>
  <c r="P856" i="3"/>
  <c r="Q858" i="3"/>
  <c r="P858" i="3"/>
  <c r="Q859" i="3"/>
  <c r="P859" i="3"/>
  <c r="Q861" i="3"/>
  <c r="P861" i="3"/>
  <c r="Q862" i="3"/>
  <c r="P862" i="3"/>
  <c r="Q857" i="3"/>
  <c r="P857" i="3"/>
  <c r="Q860" i="3"/>
  <c r="P860" i="3"/>
  <c r="Q863" i="3"/>
  <c r="P863" i="3"/>
  <c r="Q847" i="3"/>
  <c r="P847" i="3"/>
  <c r="Q850" i="3"/>
  <c r="P850" i="3"/>
  <c r="Q851" i="3"/>
  <c r="P851" i="3"/>
  <c r="Q852" i="3"/>
  <c r="P852" i="3"/>
  <c r="Q848" i="3"/>
  <c r="P848" i="3"/>
  <c r="Q849" i="3"/>
  <c r="P849" i="3"/>
  <c r="Q853" i="3"/>
  <c r="P853" i="3"/>
  <c r="Q840" i="3"/>
  <c r="P840" i="3"/>
  <c r="Q841" i="3"/>
  <c r="P841" i="3"/>
  <c r="Q843" i="3"/>
  <c r="P843" i="3"/>
  <c r="Q845" i="3"/>
  <c r="P845" i="3"/>
  <c r="Q846" i="3"/>
  <c r="P846" i="3"/>
  <c r="Q842" i="3"/>
  <c r="P842" i="3"/>
  <c r="Q844" i="3"/>
  <c r="P844" i="3"/>
  <c r="Q832" i="3"/>
  <c r="P832" i="3"/>
  <c r="Q833" i="3"/>
  <c r="P833" i="3"/>
  <c r="Q834" i="3"/>
  <c r="P834" i="3"/>
  <c r="Q835" i="3"/>
  <c r="P835" i="3"/>
  <c r="Q836" i="3"/>
  <c r="P836" i="3"/>
  <c r="Q838" i="3"/>
  <c r="P838" i="3"/>
  <c r="Q839" i="3"/>
  <c r="P839" i="3"/>
  <c r="Q837" i="3"/>
  <c r="P837" i="3"/>
  <c r="Q829" i="3"/>
  <c r="P829" i="3"/>
  <c r="Q830" i="3"/>
  <c r="P830" i="3"/>
  <c r="Q831" i="3"/>
  <c r="P831" i="3"/>
  <c r="Q821" i="3"/>
  <c r="P821" i="3"/>
  <c r="Q823" i="3"/>
  <c r="P823" i="3"/>
  <c r="Q824" i="3"/>
  <c r="P824" i="3"/>
  <c r="Q825" i="3"/>
  <c r="P825" i="3"/>
  <c r="Q827" i="3"/>
  <c r="P827" i="3"/>
  <c r="Q822" i="3"/>
  <c r="P822" i="3"/>
  <c r="Q826" i="3"/>
  <c r="P826" i="3"/>
  <c r="Q828" i="3"/>
  <c r="P828" i="3"/>
  <c r="Q812" i="3"/>
  <c r="P812" i="3"/>
  <c r="Q815" i="3"/>
  <c r="P815" i="3"/>
  <c r="Q818" i="3"/>
  <c r="P818" i="3"/>
  <c r="Q813" i="3"/>
  <c r="P813" i="3"/>
  <c r="Q814" i="3"/>
  <c r="P814" i="3"/>
  <c r="Q816" i="3"/>
  <c r="P816" i="3"/>
  <c r="Q817" i="3"/>
  <c r="P817" i="3"/>
  <c r="Q819" i="3"/>
  <c r="P819" i="3"/>
  <c r="Q820" i="3"/>
  <c r="P820" i="3"/>
  <c r="Q802" i="3"/>
  <c r="P802" i="3"/>
  <c r="Q803" i="3"/>
  <c r="P803" i="3"/>
  <c r="Q804" i="3"/>
  <c r="P804" i="3"/>
  <c r="Q805" i="3"/>
  <c r="P805" i="3"/>
  <c r="Q806" i="3"/>
  <c r="P806" i="3"/>
  <c r="Q808" i="3"/>
  <c r="P808" i="3"/>
  <c r="Q809" i="3"/>
  <c r="P809" i="3"/>
  <c r="Q810" i="3"/>
  <c r="P810" i="3"/>
  <c r="Q807" i="3"/>
  <c r="P807" i="3"/>
  <c r="Q811" i="3"/>
  <c r="P811" i="3"/>
  <c r="Q797" i="3"/>
  <c r="P797" i="3"/>
  <c r="Q799" i="3"/>
  <c r="P799" i="3"/>
  <c r="Q800" i="3"/>
  <c r="P800" i="3"/>
  <c r="Q796" i="3"/>
  <c r="P796" i="3"/>
  <c r="Q798" i="3"/>
  <c r="P798" i="3"/>
  <c r="Q801" i="3"/>
  <c r="L801" i="3"/>
  <c r="K801" i="3" s="1"/>
  <c r="E801" i="3"/>
  <c r="Q791" i="3"/>
  <c r="P791" i="3"/>
  <c r="Q793" i="3"/>
  <c r="P793" i="3"/>
  <c r="Q795" i="3"/>
  <c r="P795" i="3"/>
  <c r="Q789" i="3"/>
  <c r="P789" i="3"/>
  <c r="Q790" i="3"/>
  <c r="E790" i="3"/>
  <c r="P790" i="3" s="1"/>
  <c r="Q792" i="3"/>
  <c r="P792" i="3"/>
  <c r="Q794" i="3"/>
  <c r="L794" i="3"/>
  <c r="K794" i="3" s="1"/>
  <c r="E794" i="3"/>
  <c r="Q786" i="3"/>
  <c r="P786" i="3"/>
  <c r="Q787" i="3"/>
  <c r="P787" i="3"/>
  <c r="Q788" i="3"/>
  <c r="P788" i="3"/>
  <c r="Q776" i="3"/>
  <c r="P776" i="3"/>
  <c r="Q778" i="3"/>
  <c r="P778" i="3"/>
  <c r="Q779" i="3"/>
  <c r="P779" i="3"/>
  <c r="Q780" i="3"/>
  <c r="P780" i="3"/>
  <c r="Q781" i="3"/>
  <c r="P781" i="3"/>
  <c r="Q784" i="3"/>
  <c r="P784" i="3"/>
  <c r="Q785" i="3"/>
  <c r="P785" i="3"/>
  <c r="Q777" i="3"/>
  <c r="P777" i="3"/>
  <c r="Q782" i="3"/>
  <c r="P782" i="3"/>
  <c r="Q783" i="3"/>
  <c r="P783" i="3"/>
  <c r="Q765" i="3"/>
  <c r="P765" i="3"/>
  <c r="Q766" i="3"/>
  <c r="P766" i="3"/>
  <c r="Q769" i="3"/>
  <c r="P769" i="3"/>
  <c r="Q770" i="3"/>
  <c r="P770" i="3"/>
  <c r="Q772" i="3"/>
  <c r="P772" i="3"/>
  <c r="Q773" i="3"/>
  <c r="P773" i="3"/>
  <c r="Q775" i="3"/>
  <c r="P775" i="3"/>
  <c r="Q764" i="3"/>
  <c r="P764" i="3"/>
  <c r="Q767" i="3"/>
  <c r="P767" i="3"/>
  <c r="Q768" i="3"/>
  <c r="P768" i="3"/>
  <c r="Q771" i="3"/>
  <c r="P771" i="3"/>
  <c r="Q774" i="3"/>
  <c r="L774" i="3"/>
  <c r="K774" i="3" s="1"/>
  <c r="E774" i="3"/>
  <c r="Q754" i="3"/>
  <c r="P754" i="3"/>
  <c r="Q755" i="3"/>
  <c r="P755" i="3"/>
  <c r="Q759" i="3"/>
  <c r="P759" i="3"/>
  <c r="Q761" i="3"/>
  <c r="P761" i="3"/>
  <c r="Q763" i="3"/>
  <c r="P763" i="3"/>
  <c r="Q752" i="3"/>
  <c r="L752" i="3"/>
  <c r="K752" i="3" s="1"/>
  <c r="E752" i="3"/>
  <c r="Q753" i="3"/>
  <c r="P753" i="3"/>
  <c r="Q756" i="3"/>
  <c r="P756" i="3"/>
  <c r="Q757" i="3"/>
  <c r="P757" i="3"/>
  <c r="Q760" i="3"/>
  <c r="P760" i="3"/>
  <c r="Q762" i="3"/>
  <c r="P762" i="3"/>
  <c r="Q746" i="3"/>
  <c r="P746" i="3"/>
  <c r="Q747" i="3"/>
  <c r="P747" i="3"/>
  <c r="Q751" i="3"/>
  <c r="P751" i="3"/>
  <c r="Q744" i="3"/>
  <c r="P744" i="3"/>
  <c r="Q745" i="3"/>
  <c r="L745" i="3"/>
  <c r="K745" i="3" s="1"/>
  <c r="E745" i="3"/>
  <c r="Q758" i="3"/>
  <c r="P758" i="3"/>
  <c r="Q748" i="3"/>
  <c r="P748" i="3"/>
  <c r="Q749" i="3"/>
  <c r="P749" i="3"/>
  <c r="Q750" i="3"/>
  <c r="L750" i="3"/>
  <c r="K750" i="3" s="1"/>
  <c r="E750" i="3"/>
  <c r="Q741" i="3"/>
  <c r="P741" i="3"/>
  <c r="Q742" i="3"/>
  <c r="P742" i="3"/>
  <c r="Q743" i="3"/>
  <c r="P743" i="3"/>
  <c r="Q736" i="3"/>
  <c r="P736" i="3"/>
  <c r="Q737" i="3"/>
  <c r="L737" i="3"/>
  <c r="K737" i="3" s="1"/>
  <c r="E737" i="3"/>
  <c r="Q738" i="3"/>
  <c r="L738" i="3"/>
  <c r="K738" i="3" s="1"/>
  <c r="E738" i="3"/>
  <c r="Q739" i="3"/>
  <c r="L739" i="3"/>
  <c r="K739" i="3" s="1"/>
  <c r="E739" i="3"/>
  <c r="Q740" i="3"/>
  <c r="P740" i="3"/>
  <c r="Q730" i="3"/>
  <c r="P730" i="3"/>
  <c r="Q732" i="3"/>
  <c r="P732" i="3"/>
  <c r="Q733" i="3"/>
  <c r="P733" i="3"/>
  <c r="Q726" i="3"/>
  <c r="L726" i="3"/>
  <c r="K726" i="3" s="1"/>
  <c r="E726" i="3"/>
  <c r="Q727" i="3"/>
  <c r="P727" i="3"/>
  <c r="Q728" i="3"/>
  <c r="P728" i="3"/>
  <c r="Q729" i="3"/>
  <c r="P729" i="3"/>
  <c r="Q731" i="3"/>
  <c r="P731" i="3"/>
  <c r="Q734" i="3"/>
  <c r="P734" i="3"/>
  <c r="Q735" i="3"/>
  <c r="L735" i="3"/>
  <c r="K735" i="3" s="1"/>
  <c r="E735" i="3"/>
  <c r="Q716" i="3"/>
  <c r="P716" i="3"/>
  <c r="Q717" i="3"/>
  <c r="P717" i="3"/>
  <c r="Q722" i="3"/>
  <c r="P722" i="3"/>
  <c r="Q723" i="3"/>
  <c r="P723" i="3"/>
  <c r="Q724" i="3"/>
  <c r="P724" i="3"/>
  <c r="Q715" i="3"/>
  <c r="P715" i="3"/>
  <c r="Q718" i="3"/>
  <c r="P718" i="3"/>
  <c r="Q719" i="3"/>
  <c r="P719" i="3"/>
  <c r="Q720" i="3"/>
  <c r="P720" i="3"/>
  <c r="Q721" i="3"/>
  <c r="P721" i="3"/>
  <c r="Q725" i="3"/>
  <c r="P725" i="3"/>
  <c r="Q712" i="3"/>
  <c r="P712" i="3"/>
  <c r="Q706" i="3"/>
  <c r="P706" i="3"/>
  <c r="Q707" i="3"/>
  <c r="P707" i="3"/>
  <c r="Q708" i="3"/>
  <c r="P708" i="3"/>
  <c r="Q709" i="3"/>
  <c r="P709" i="3"/>
  <c r="Q710" i="3"/>
  <c r="L710" i="3"/>
  <c r="K710" i="3" s="1"/>
  <c r="E710" i="3"/>
  <c r="Q711" i="3"/>
  <c r="P711" i="3"/>
  <c r="Q713" i="3"/>
  <c r="P713" i="3"/>
  <c r="Q714" i="3"/>
  <c r="P714" i="3"/>
  <c r="Q700" i="3"/>
  <c r="P700" i="3"/>
  <c r="Q702" i="3"/>
  <c r="P702" i="3"/>
  <c r="Q703" i="3"/>
  <c r="P703" i="3"/>
  <c r="Q704" i="3"/>
  <c r="P704" i="3"/>
  <c r="Q698" i="3"/>
  <c r="P698" i="3"/>
  <c r="Q699" i="3"/>
  <c r="P699" i="3"/>
  <c r="Q701" i="3"/>
  <c r="P701" i="3"/>
  <c r="Q705" i="3"/>
  <c r="P705" i="3"/>
  <c r="Q694" i="3"/>
  <c r="P694" i="3"/>
  <c r="Q692" i="3"/>
  <c r="P692" i="3"/>
  <c r="Q693" i="3"/>
  <c r="P693" i="3"/>
  <c r="Q695" i="3"/>
  <c r="P695" i="3"/>
  <c r="Q696" i="3"/>
  <c r="P696" i="3"/>
  <c r="Q697" i="3"/>
  <c r="P697" i="3"/>
  <c r="Q685" i="3"/>
  <c r="P685" i="3"/>
  <c r="Q686" i="3"/>
  <c r="P686" i="3"/>
  <c r="Q687" i="3"/>
  <c r="P687" i="3"/>
  <c r="Q690" i="3"/>
  <c r="P690" i="3"/>
  <c r="Q691" i="3"/>
  <c r="P691" i="3"/>
  <c r="Q684" i="3"/>
  <c r="P684" i="3"/>
  <c r="Q688" i="3"/>
  <c r="L688" i="3"/>
  <c r="K688" i="3" s="1"/>
  <c r="E688" i="3"/>
  <c r="Q689" i="3"/>
  <c r="L689" i="3"/>
  <c r="K689" i="3" s="1"/>
  <c r="E689" i="3"/>
  <c r="Q679" i="3"/>
  <c r="P679" i="3"/>
  <c r="Q681" i="3"/>
  <c r="P681" i="3"/>
  <c r="Q677" i="3"/>
  <c r="L677" i="3"/>
  <c r="K677" i="3" s="1"/>
  <c r="E677" i="3"/>
  <c r="Q678" i="3"/>
  <c r="P678" i="3"/>
  <c r="Q680" i="3"/>
  <c r="P680" i="3"/>
  <c r="Q682" i="3"/>
  <c r="E682" i="3"/>
  <c r="P682" i="3" s="1"/>
  <c r="Q683" i="3"/>
  <c r="P683" i="3"/>
  <c r="Q670" i="3"/>
  <c r="P670" i="3"/>
  <c r="Q671" i="3"/>
  <c r="P671" i="3"/>
  <c r="Q675" i="3"/>
  <c r="P675" i="3"/>
  <c r="Q676" i="3"/>
  <c r="P676" i="3"/>
  <c r="Q672" i="3"/>
  <c r="P672" i="3"/>
  <c r="Q673" i="3"/>
  <c r="L673" i="3"/>
  <c r="K673" i="3" s="1"/>
  <c r="E673" i="3"/>
  <c r="Q674" i="3"/>
  <c r="P674" i="3"/>
  <c r="Q665" i="3"/>
  <c r="P665" i="3"/>
  <c r="Q666" i="3"/>
  <c r="P666" i="3"/>
  <c r="Q668" i="3"/>
  <c r="P668" i="3"/>
  <c r="Q669" i="3"/>
  <c r="P669" i="3"/>
  <c r="Q667" i="3"/>
  <c r="P667" i="3"/>
  <c r="Q657" i="3"/>
  <c r="P657" i="3"/>
  <c r="Q658" i="3"/>
  <c r="P658" i="3"/>
  <c r="Q659" i="3"/>
  <c r="P659" i="3"/>
  <c r="Q660" i="3"/>
  <c r="P660" i="3"/>
  <c r="Q661" i="3"/>
  <c r="P661" i="3"/>
  <c r="Q662" i="3"/>
  <c r="P662" i="3"/>
  <c r="Q663" i="3"/>
  <c r="P663" i="3"/>
  <c r="Q664" i="3"/>
  <c r="P664" i="3"/>
  <c r="Q650" i="3"/>
  <c r="P650" i="3"/>
  <c r="Q652" i="3"/>
  <c r="P652" i="3"/>
  <c r="Q654" i="3"/>
  <c r="P654" i="3"/>
  <c r="Q655" i="3"/>
  <c r="P655" i="3"/>
  <c r="Q656" i="3"/>
  <c r="P656" i="3"/>
  <c r="Q651" i="3"/>
  <c r="P651" i="3"/>
  <c r="Q653" i="3"/>
  <c r="P653" i="3"/>
  <c r="Q641" i="3"/>
  <c r="P641" i="3"/>
  <c r="Q644" i="3"/>
  <c r="P644" i="3"/>
  <c r="Q646" i="3"/>
  <c r="P646" i="3"/>
  <c r="Q647" i="3"/>
  <c r="P647" i="3"/>
  <c r="Q649" i="3"/>
  <c r="P649" i="3"/>
  <c r="Q642" i="3"/>
  <c r="P642" i="3"/>
  <c r="Q643" i="3"/>
  <c r="P643" i="3"/>
  <c r="Q645" i="3"/>
  <c r="P645" i="3"/>
  <c r="Q648" i="3"/>
  <c r="P648" i="3"/>
  <c r="Q633" i="3"/>
  <c r="P633" i="3"/>
  <c r="Q634" i="3"/>
  <c r="P634" i="3"/>
  <c r="Q635" i="3"/>
  <c r="P635" i="3"/>
  <c r="Q636" i="3"/>
  <c r="P636" i="3"/>
  <c r="Q637" i="3"/>
  <c r="P637" i="3"/>
  <c r="Q638" i="3"/>
  <c r="P638" i="3"/>
  <c r="Q639" i="3"/>
  <c r="P639" i="3"/>
  <c r="Q640" i="3"/>
  <c r="L640" i="3"/>
  <c r="K640" i="3" s="1"/>
  <c r="E640" i="3"/>
  <c r="Q628" i="3"/>
  <c r="P628" i="3"/>
  <c r="Q629" i="3"/>
  <c r="P629" i="3"/>
  <c r="Q627" i="3"/>
  <c r="P627" i="3"/>
  <c r="Q630" i="3"/>
  <c r="L630" i="3"/>
  <c r="K630" i="3" s="1"/>
  <c r="E630" i="3"/>
  <c r="Q631" i="3"/>
  <c r="P631" i="3"/>
  <c r="Q632" i="3"/>
  <c r="L632" i="3"/>
  <c r="K632" i="3" s="1"/>
  <c r="E632" i="3"/>
  <c r="Q622" i="3"/>
  <c r="P622" i="3"/>
  <c r="Q623" i="3"/>
  <c r="P623" i="3"/>
  <c r="Q624" i="3"/>
  <c r="P624" i="3"/>
  <c r="Q625" i="3"/>
  <c r="P625" i="3"/>
  <c r="Q621" i="3"/>
  <c r="P621" i="3"/>
  <c r="Q626" i="3"/>
  <c r="P626" i="3"/>
  <c r="Q616" i="3"/>
  <c r="P616" i="3"/>
  <c r="Q618" i="3"/>
  <c r="P618" i="3"/>
  <c r="Q619" i="3"/>
  <c r="P619" i="3"/>
  <c r="Q617" i="3"/>
  <c r="P617" i="3"/>
  <c r="Q620" i="3"/>
  <c r="P620" i="3"/>
  <c r="Q610" i="3"/>
  <c r="P610" i="3"/>
  <c r="Q611" i="3"/>
  <c r="P611" i="3"/>
  <c r="Q612" i="3"/>
  <c r="P612" i="3"/>
  <c r="Q613" i="3"/>
  <c r="P613" i="3"/>
  <c r="Q614" i="3"/>
  <c r="P614" i="3"/>
  <c r="Q615" i="3"/>
  <c r="P615" i="3"/>
  <c r="Q602" i="3"/>
  <c r="P602" i="3"/>
  <c r="Q603" i="3"/>
  <c r="P603" i="3"/>
  <c r="Q604" i="3"/>
  <c r="P604" i="3"/>
  <c r="Q605" i="3"/>
  <c r="P605" i="3"/>
  <c r="Q606" i="3"/>
  <c r="P606" i="3"/>
  <c r="Q607" i="3"/>
  <c r="P607" i="3"/>
  <c r="Q608" i="3"/>
  <c r="P608" i="3"/>
  <c r="Q609" i="3"/>
  <c r="P609" i="3"/>
  <c r="Q596" i="3"/>
  <c r="P596" i="3"/>
  <c r="Q598" i="3"/>
  <c r="P598" i="3"/>
  <c r="Q599" i="3"/>
  <c r="P599" i="3"/>
  <c r="Q600" i="3"/>
  <c r="P600" i="3"/>
  <c r="Q601" i="3"/>
  <c r="P601" i="3"/>
  <c r="Q597" i="3"/>
  <c r="P597" i="3"/>
  <c r="Q590" i="3"/>
  <c r="P590" i="3"/>
  <c r="Q591" i="3"/>
  <c r="P591" i="3"/>
  <c r="Q593" i="3"/>
  <c r="P593" i="3"/>
  <c r="Q594" i="3"/>
  <c r="P594" i="3"/>
  <c r="Q595" i="3"/>
  <c r="P595" i="3"/>
  <c r="Q592" i="3"/>
  <c r="P592" i="3"/>
  <c r="Q587" i="3"/>
  <c r="P587" i="3"/>
  <c r="Q588" i="3"/>
  <c r="P588" i="3"/>
  <c r="Q589" i="3"/>
  <c r="P589" i="3"/>
  <c r="Q579" i="3"/>
  <c r="P579" i="3"/>
  <c r="Q580" i="3"/>
  <c r="P580" i="3"/>
  <c r="Q581" i="3"/>
  <c r="P581" i="3"/>
  <c r="Q584" i="3"/>
  <c r="P584" i="3"/>
  <c r="Q582" i="3"/>
  <c r="P582" i="3"/>
  <c r="Q583" i="3"/>
  <c r="L583" i="3"/>
  <c r="K583" i="3" s="1"/>
  <c r="E583" i="3"/>
  <c r="Q585" i="3"/>
  <c r="P585" i="3"/>
  <c r="Q586" i="3"/>
  <c r="L586" i="3"/>
  <c r="K586" i="3" s="1"/>
  <c r="E586" i="3"/>
  <c r="Q573" i="3"/>
  <c r="P573" i="3"/>
  <c r="Q574" i="3"/>
  <c r="P574" i="3"/>
  <c r="Q575" i="3"/>
  <c r="P575" i="3"/>
  <c r="Q576" i="3"/>
  <c r="P576" i="3"/>
  <c r="Q577" i="3"/>
  <c r="P577" i="3"/>
  <c r="Q578" i="3"/>
  <c r="L578" i="3"/>
  <c r="K578" i="3" s="1"/>
  <c r="E578" i="3"/>
  <c r="Q567" i="3"/>
  <c r="P567" i="3"/>
  <c r="Q568" i="3"/>
  <c r="P568" i="3"/>
  <c r="Q570" i="3"/>
  <c r="P570" i="3"/>
  <c r="Q571" i="3"/>
  <c r="P571" i="3"/>
  <c r="Q572" i="3"/>
  <c r="P572" i="3"/>
  <c r="Q566" i="3"/>
  <c r="L566" i="3"/>
  <c r="K566" i="3" s="1"/>
  <c r="E566" i="3"/>
  <c r="Q569" i="3"/>
  <c r="E569" i="3"/>
  <c r="P569" i="3" s="1"/>
  <c r="Q561" i="3"/>
  <c r="P561" i="3"/>
  <c r="Q562" i="3"/>
  <c r="P562" i="3"/>
  <c r="Q564" i="3"/>
  <c r="P564" i="3"/>
  <c r="Q565" i="3"/>
  <c r="P565" i="3"/>
  <c r="Q558" i="3"/>
  <c r="P558" i="3"/>
  <c r="Q559" i="3"/>
  <c r="P559" i="3"/>
  <c r="Q560" i="3"/>
  <c r="P560" i="3"/>
  <c r="Q563" i="3"/>
  <c r="P563" i="3"/>
  <c r="Q552" i="3"/>
  <c r="P552" i="3"/>
  <c r="Q557" i="3"/>
  <c r="P557" i="3"/>
  <c r="Q553" i="3"/>
  <c r="P553" i="3"/>
  <c r="Q554" i="3"/>
  <c r="P554" i="3"/>
  <c r="Q555" i="3"/>
  <c r="P555" i="3"/>
  <c r="Q556" i="3"/>
  <c r="P556" i="3"/>
  <c r="Q550" i="3"/>
  <c r="P550" i="3"/>
  <c r="Q544" i="3"/>
  <c r="P544" i="3"/>
  <c r="Q545" i="3"/>
  <c r="L545" i="3"/>
  <c r="K545" i="3" s="1"/>
  <c r="E545" i="3"/>
  <c r="Q546" i="3"/>
  <c r="P546" i="3"/>
  <c r="Q547" i="3"/>
  <c r="P547" i="3"/>
  <c r="Q548" i="3"/>
  <c r="P548" i="3"/>
  <c r="Q549" i="3"/>
  <c r="P549" i="3"/>
  <c r="Q551" i="3"/>
  <c r="L551" i="3"/>
  <c r="K551" i="3" s="1"/>
  <c r="E551" i="3"/>
  <c r="Q537" i="3"/>
  <c r="P537" i="3"/>
  <c r="Q540" i="3"/>
  <c r="P540" i="3"/>
  <c r="Q542" i="3"/>
  <c r="P542" i="3"/>
  <c r="Q543" i="3"/>
  <c r="P543" i="3"/>
  <c r="Q536" i="3"/>
  <c r="L536" i="3"/>
  <c r="K536" i="3" s="1"/>
  <c r="E536" i="3"/>
  <c r="Q538" i="3"/>
  <c r="P538" i="3"/>
  <c r="Q539" i="3"/>
  <c r="P539" i="3"/>
  <c r="Q541" i="3"/>
  <c r="P541" i="3"/>
  <c r="Q528" i="3"/>
  <c r="P528" i="3"/>
  <c r="Q530" i="3"/>
  <c r="P530" i="3"/>
  <c r="Q533" i="3"/>
  <c r="E533" i="3"/>
  <c r="P533" i="3" s="1"/>
  <c r="Q535" i="3"/>
  <c r="P535" i="3"/>
  <c r="Q526" i="3"/>
  <c r="P526" i="3"/>
  <c r="Q527" i="3"/>
  <c r="P527" i="3"/>
  <c r="Q529" i="3"/>
  <c r="L529" i="3"/>
  <c r="K529" i="3" s="1"/>
  <c r="E529" i="3"/>
  <c r="Q531" i="3"/>
  <c r="P531" i="3"/>
  <c r="Q532" i="3"/>
  <c r="E532" i="3"/>
  <c r="P532" i="3" s="1"/>
  <c r="Q534" i="3"/>
  <c r="P534" i="3"/>
  <c r="Q517" i="3"/>
  <c r="P517" i="3"/>
  <c r="Q519" i="3"/>
  <c r="P519" i="3"/>
  <c r="Q520" i="3"/>
  <c r="P520" i="3"/>
  <c r="Q522" i="3"/>
  <c r="P522" i="3"/>
  <c r="Q523" i="3"/>
  <c r="P523" i="3"/>
  <c r="Q524" i="3"/>
  <c r="P524" i="3"/>
  <c r="Q516" i="3"/>
  <c r="P516" i="3"/>
  <c r="Q518" i="3"/>
  <c r="P518" i="3"/>
  <c r="Q521" i="3"/>
  <c r="L521" i="3"/>
  <c r="K521" i="3" s="1"/>
  <c r="E521" i="3"/>
  <c r="Q525" i="3"/>
  <c r="P525" i="3"/>
  <c r="Q508" i="3"/>
  <c r="P508" i="3"/>
  <c r="Q509" i="3"/>
  <c r="P509" i="3"/>
  <c r="Q510" i="3"/>
  <c r="P510" i="3"/>
  <c r="Q511" i="3"/>
  <c r="P511" i="3"/>
  <c r="Q512" i="3"/>
  <c r="P512" i="3"/>
  <c r="Q514" i="3"/>
  <c r="P514" i="3"/>
  <c r="Q515" i="3"/>
  <c r="P515" i="3"/>
  <c r="Q507" i="3"/>
  <c r="P507" i="3"/>
  <c r="Q513" i="3"/>
  <c r="P513" i="3"/>
  <c r="Q502" i="3"/>
  <c r="P502" i="3"/>
  <c r="Q503" i="3"/>
  <c r="P503" i="3"/>
  <c r="Q504" i="3"/>
  <c r="P504" i="3"/>
  <c r="Q505" i="3"/>
  <c r="P505" i="3"/>
  <c r="Q506" i="3"/>
  <c r="P506" i="3"/>
  <c r="Q498" i="3"/>
  <c r="P498" i="3"/>
  <c r="Q499" i="3"/>
  <c r="P499" i="3"/>
  <c r="Q497" i="3"/>
  <c r="P497" i="3"/>
  <c r="Q500" i="3"/>
  <c r="P500" i="3"/>
  <c r="Q501" i="3"/>
  <c r="P501" i="3"/>
  <c r="Q493" i="3"/>
  <c r="P493" i="3"/>
  <c r="Q496" i="3"/>
  <c r="P496" i="3"/>
  <c r="Q489" i="3"/>
  <c r="P489" i="3"/>
  <c r="Q490" i="3"/>
  <c r="P490" i="3"/>
  <c r="Q491" i="3"/>
  <c r="P491" i="3"/>
  <c r="Q492" i="3"/>
  <c r="P492" i="3"/>
  <c r="Q494" i="3"/>
  <c r="P494" i="3"/>
  <c r="Q495" i="3"/>
  <c r="P495" i="3"/>
  <c r="Q485" i="3"/>
  <c r="P485" i="3"/>
  <c r="Q486" i="3"/>
  <c r="P486" i="3"/>
  <c r="Q487" i="3"/>
  <c r="P487" i="3"/>
  <c r="Q488" i="3"/>
  <c r="P488" i="3"/>
  <c r="Q483" i="3"/>
  <c r="P483" i="3"/>
  <c r="Q484" i="3"/>
  <c r="P484" i="3"/>
  <c r="Q475" i="3"/>
  <c r="P475" i="3"/>
  <c r="Q477" i="3"/>
  <c r="P477" i="3"/>
  <c r="Q480" i="3"/>
  <c r="P480" i="3"/>
  <c r="Q481" i="3"/>
  <c r="P481" i="3"/>
  <c r="Q482" i="3"/>
  <c r="P482" i="3"/>
  <c r="Q476" i="3"/>
  <c r="P476" i="3"/>
  <c r="Q478" i="3"/>
  <c r="P478" i="3"/>
  <c r="Q479" i="3"/>
  <c r="P479" i="3"/>
  <c r="Q470" i="3"/>
  <c r="P470" i="3"/>
  <c r="Q471" i="3"/>
  <c r="P471" i="3"/>
  <c r="Q472" i="3"/>
  <c r="P472" i="3"/>
  <c r="Q468" i="3"/>
  <c r="P468" i="3"/>
  <c r="Q469" i="3"/>
  <c r="P469" i="3"/>
  <c r="Q473" i="3"/>
  <c r="L473" i="3"/>
  <c r="K473" i="3" s="1"/>
  <c r="E473" i="3"/>
  <c r="Q474" i="3"/>
  <c r="P474" i="3"/>
  <c r="Q461" i="3"/>
  <c r="P461" i="3"/>
  <c r="Q463" i="3"/>
  <c r="P463" i="3"/>
  <c r="Q464" i="3"/>
  <c r="P464" i="3"/>
  <c r="Q465" i="3"/>
  <c r="P465" i="3"/>
  <c r="Q466" i="3"/>
  <c r="P466" i="3"/>
  <c r="Q462" i="3"/>
  <c r="P462" i="3"/>
  <c r="Q467" i="3"/>
  <c r="P467" i="3"/>
  <c r="Q459" i="3"/>
  <c r="P459" i="3"/>
  <c r="Q460" i="3"/>
  <c r="P460" i="3"/>
  <c r="Q456" i="3"/>
  <c r="P456" i="3"/>
  <c r="Q457" i="3"/>
  <c r="P457" i="3"/>
  <c r="Q458" i="3"/>
  <c r="P458" i="3"/>
  <c r="Q454" i="3"/>
  <c r="P454" i="3"/>
  <c r="Q450" i="3"/>
  <c r="P450" i="3"/>
  <c r="Q451" i="3"/>
  <c r="P451" i="3"/>
  <c r="Q452" i="3"/>
  <c r="P452" i="3"/>
  <c r="Q453" i="3"/>
  <c r="P453" i="3"/>
  <c r="Q455" i="3"/>
  <c r="P455" i="3"/>
  <c r="Q443" i="3"/>
  <c r="P443" i="3"/>
  <c r="Q444" i="3"/>
  <c r="P444" i="3"/>
  <c r="Q446" i="3"/>
  <c r="P446" i="3"/>
  <c r="Q447" i="3"/>
  <c r="P447" i="3"/>
  <c r="Q445" i="3"/>
  <c r="P445" i="3"/>
  <c r="Q448" i="3"/>
  <c r="P448" i="3"/>
  <c r="Q449" i="3"/>
  <c r="P449" i="3"/>
  <c r="Q438" i="3"/>
  <c r="P438" i="3"/>
  <c r="Q440" i="3"/>
  <c r="P440" i="3"/>
  <c r="Q439" i="3"/>
  <c r="P439" i="3"/>
  <c r="Q441" i="3"/>
  <c r="P441" i="3"/>
  <c r="Q442" i="3"/>
  <c r="P442" i="3"/>
  <c r="Q433" i="3"/>
  <c r="P433" i="3"/>
  <c r="Q435" i="3"/>
  <c r="P435" i="3"/>
  <c r="Q436" i="3"/>
  <c r="P436" i="3"/>
  <c r="Q437" i="3"/>
  <c r="P437" i="3"/>
  <c r="Q434" i="3"/>
  <c r="P434" i="3"/>
  <c r="Q425" i="3"/>
  <c r="P425" i="3"/>
  <c r="Q427" i="3"/>
  <c r="P427" i="3"/>
  <c r="Q428" i="3"/>
  <c r="P428" i="3"/>
  <c r="Q429" i="3"/>
  <c r="P429" i="3"/>
  <c r="Q430" i="3"/>
  <c r="P430" i="3"/>
  <c r="Q431" i="3"/>
  <c r="P431" i="3"/>
  <c r="Q432" i="3"/>
  <c r="P432" i="3"/>
  <c r="Q426" i="3"/>
  <c r="P426" i="3"/>
  <c r="Q420" i="3"/>
  <c r="P420" i="3"/>
  <c r="Q422" i="3"/>
  <c r="P422" i="3"/>
  <c r="Q419" i="3"/>
  <c r="L419" i="3"/>
  <c r="K419" i="3" s="1"/>
  <c r="E419" i="3"/>
  <c r="Q421" i="3"/>
  <c r="P421" i="3"/>
  <c r="Q423" i="3"/>
  <c r="P423" i="3"/>
  <c r="Q424" i="3"/>
  <c r="P424" i="3"/>
  <c r="Q414" i="3"/>
  <c r="P414" i="3"/>
  <c r="Q415" i="3"/>
  <c r="P415" i="3"/>
  <c r="Q416" i="3"/>
  <c r="P416" i="3"/>
  <c r="Q417" i="3"/>
  <c r="P417" i="3"/>
  <c r="Q418" i="3"/>
  <c r="P418" i="3"/>
  <c r="Q408" i="3"/>
  <c r="P408" i="3"/>
  <c r="Q409" i="3"/>
  <c r="P409" i="3"/>
  <c r="Q410" i="3"/>
  <c r="P410" i="3"/>
  <c r="Q411" i="3"/>
  <c r="P411" i="3"/>
  <c r="Q412" i="3"/>
  <c r="P412" i="3"/>
  <c r="Q413" i="3"/>
  <c r="P413" i="3"/>
  <c r="Q402" i="3"/>
  <c r="P402" i="3"/>
  <c r="Q403" i="3"/>
  <c r="P403" i="3"/>
  <c r="Q404" i="3"/>
  <c r="P404" i="3"/>
  <c r="Q406" i="3"/>
  <c r="P406" i="3"/>
  <c r="Q405" i="3"/>
  <c r="P405" i="3"/>
  <c r="Q407" i="3"/>
  <c r="P407" i="3"/>
  <c r="Q395" i="3"/>
  <c r="P395" i="3"/>
  <c r="Q398" i="3"/>
  <c r="P398" i="3"/>
  <c r="Q399" i="3"/>
  <c r="P399" i="3"/>
  <c r="Q400" i="3"/>
  <c r="P400" i="3"/>
  <c r="Q401" i="3"/>
  <c r="P401" i="3"/>
  <c r="Q396" i="3"/>
  <c r="P396" i="3"/>
  <c r="Q397" i="3"/>
  <c r="L397" i="3"/>
  <c r="K397" i="3" s="1"/>
  <c r="E397" i="3"/>
  <c r="Q392" i="3"/>
  <c r="P392" i="3"/>
  <c r="Q393" i="3"/>
  <c r="P393" i="3"/>
  <c r="Q390" i="3"/>
  <c r="P390" i="3"/>
  <c r="Q391" i="3"/>
  <c r="P391" i="3"/>
  <c r="Q394" i="3"/>
  <c r="P394" i="3"/>
  <c r="Q387" i="3"/>
  <c r="P387" i="3"/>
  <c r="Q388" i="3"/>
  <c r="P388" i="3"/>
  <c r="Q389" i="3"/>
  <c r="P389" i="3"/>
  <c r="Q386" i="3"/>
  <c r="P386" i="3"/>
  <c r="Q380" i="3"/>
  <c r="P380" i="3"/>
  <c r="Q381" i="3"/>
  <c r="P381" i="3"/>
  <c r="Q382" i="3"/>
  <c r="P382" i="3"/>
  <c r="Q383" i="3"/>
  <c r="P383" i="3"/>
  <c r="Q385" i="3"/>
  <c r="P385" i="3"/>
  <c r="Q377" i="3"/>
  <c r="P377" i="3"/>
  <c r="Q378" i="3"/>
  <c r="P378" i="3"/>
  <c r="Q379" i="3"/>
  <c r="P379" i="3"/>
  <c r="Q384" i="3"/>
  <c r="L384" i="3"/>
  <c r="K384" i="3" s="1"/>
  <c r="E384" i="3"/>
  <c r="Q374" i="3"/>
  <c r="P374" i="3"/>
  <c r="Q371" i="3"/>
  <c r="L371" i="3"/>
  <c r="K371" i="3" s="1"/>
  <c r="E371" i="3"/>
  <c r="Q372" i="3"/>
  <c r="P372" i="3"/>
  <c r="Q373" i="3"/>
  <c r="P373" i="3"/>
  <c r="Q375" i="3"/>
  <c r="P375" i="3"/>
  <c r="Q376" i="3"/>
  <c r="P376" i="3"/>
  <c r="Q364" i="3"/>
  <c r="P364" i="3"/>
  <c r="Q367" i="3"/>
  <c r="P367" i="3"/>
  <c r="Q368" i="3"/>
  <c r="P368" i="3"/>
  <c r="Q363" i="3"/>
  <c r="P363" i="3"/>
  <c r="Q365" i="3"/>
  <c r="P365" i="3"/>
  <c r="Q366" i="3"/>
  <c r="P366" i="3"/>
  <c r="Q369" i="3"/>
  <c r="P369" i="3"/>
  <c r="Q370" i="3"/>
  <c r="P370" i="3"/>
  <c r="Q361" i="3"/>
  <c r="P361" i="3"/>
  <c r="Q358" i="3"/>
  <c r="P358" i="3"/>
  <c r="Q359" i="3"/>
  <c r="L359" i="3"/>
  <c r="K359" i="3" s="1"/>
  <c r="E359" i="3"/>
  <c r="Q360" i="3"/>
  <c r="P360" i="3"/>
  <c r="Q362" i="3"/>
  <c r="P362" i="3"/>
  <c r="Q347" i="3"/>
  <c r="P347" i="3"/>
  <c r="Q348" i="3"/>
  <c r="P348" i="3"/>
  <c r="Q351" i="3"/>
  <c r="P351" i="3"/>
  <c r="Q352" i="3"/>
  <c r="P352" i="3"/>
  <c r="Q353" i="3"/>
  <c r="P353" i="3"/>
  <c r="Q349" i="3"/>
  <c r="P349" i="3"/>
  <c r="Q350" i="3"/>
  <c r="E350" i="3"/>
  <c r="P350" i="3" s="1"/>
  <c r="Q354" i="3"/>
  <c r="P354" i="3"/>
  <c r="Q355" i="3"/>
  <c r="P355" i="3"/>
  <c r="Q356" i="3"/>
  <c r="P356" i="3"/>
  <c r="Q357" i="3"/>
  <c r="P357" i="3"/>
  <c r="Q339" i="3"/>
  <c r="P339" i="3"/>
  <c r="Q341" i="3"/>
  <c r="P341" i="3"/>
  <c r="Q342" i="3"/>
  <c r="P342" i="3"/>
  <c r="Q343" i="3"/>
  <c r="P343" i="3"/>
  <c r="Q346" i="3"/>
  <c r="P346" i="3"/>
  <c r="Q340" i="3"/>
  <c r="P340" i="3"/>
  <c r="Q344" i="3"/>
  <c r="L344" i="3"/>
  <c r="K344" i="3" s="1"/>
  <c r="E344" i="3"/>
  <c r="Q345" i="3"/>
  <c r="P345" i="3"/>
  <c r="Q333" i="3"/>
  <c r="P333" i="3"/>
  <c r="Q337" i="3"/>
  <c r="P337" i="3"/>
  <c r="Q338" i="3"/>
  <c r="P338" i="3"/>
  <c r="Q331" i="3"/>
  <c r="P331" i="3"/>
  <c r="Q332" i="3"/>
  <c r="P332" i="3"/>
  <c r="Q334" i="3"/>
  <c r="P334" i="3"/>
  <c r="Q335" i="3"/>
  <c r="P335" i="3"/>
  <c r="Q336" i="3"/>
  <c r="P336" i="3"/>
  <c r="Q330" i="3"/>
  <c r="P330" i="3"/>
  <c r="Q327" i="3"/>
  <c r="P327" i="3"/>
  <c r="Q329" i="3"/>
  <c r="P329" i="3"/>
  <c r="Q328" i="3"/>
  <c r="P328" i="3"/>
  <c r="Q323" i="3"/>
  <c r="P323" i="3"/>
  <c r="Q324" i="3"/>
  <c r="P324" i="3"/>
  <c r="Q322" i="3"/>
  <c r="L322" i="3"/>
  <c r="K322" i="3" s="1"/>
  <c r="E322" i="3"/>
  <c r="Q325" i="3"/>
  <c r="E325" i="3"/>
  <c r="P325" i="3" s="1"/>
  <c r="Q326" i="3"/>
  <c r="P326" i="3"/>
  <c r="Q317" i="3"/>
  <c r="P317" i="3"/>
  <c r="Q318" i="3"/>
  <c r="P318" i="3"/>
  <c r="Q320" i="3"/>
  <c r="P320" i="3"/>
  <c r="Q321" i="3"/>
  <c r="P321" i="3"/>
  <c r="Q314" i="3"/>
  <c r="L314" i="3"/>
  <c r="K314" i="3" s="1"/>
  <c r="E314" i="3"/>
  <c r="Q315" i="3"/>
  <c r="P315" i="3"/>
  <c r="Q316" i="3"/>
  <c r="P316" i="3"/>
  <c r="Q319" i="3"/>
  <c r="P319" i="3"/>
  <c r="Q309" i="3"/>
  <c r="P309" i="3"/>
  <c r="Q310" i="3"/>
  <c r="P310" i="3"/>
  <c r="Q313" i="3"/>
  <c r="P313" i="3"/>
  <c r="Q311" i="3"/>
  <c r="P311" i="3"/>
  <c r="Q312" i="3"/>
  <c r="E312" i="3"/>
  <c r="P312" i="3" s="1"/>
  <c r="Q301" i="3"/>
  <c r="P301" i="3"/>
  <c r="Q305" i="3"/>
  <c r="P305" i="3"/>
  <c r="Q308" i="3"/>
  <c r="P308" i="3"/>
  <c r="Q302" i="3"/>
  <c r="P302" i="3"/>
  <c r="Q303" i="3"/>
  <c r="P303" i="3"/>
  <c r="Q304" i="3"/>
  <c r="P304" i="3"/>
  <c r="Q306" i="3"/>
  <c r="P306" i="3"/>
  <c r="Q307" i="3"/>
  <c r="P307" i="3"/>
  <c r="Q298" i="3"/>
  <c r="P298" i="3"/>
  <c r="Q295" i="3"/>
  <c r="P295" i="3"/>
  <c r="Q296" i="3"/>
  <c r="P296" i="3"/>
  <c r="Q297" i="3"/>
  <c r="P297" i="3"/>
  <c r="Q299" i="3"/>
  <c r="P299" i="3"/>
  <c r="Q300" i="3"/>
  <c r="P300" i="3"/>
  <c r="Q290" i="3"/>
  <c r="P290" i="3"/>
  <c r="Q294" i="3"/>
  <c r="P294" i="3"/>
  <c r="Q291" i="3"/>
  <c r="P291" i="3"/>
  <c r="Q292" i="3"/>
  <c r="P292" i="3"/>
  <c r="Q293" i="3"/>
  <c r="P293" i="3"/>
  <c r="Q283" i="3"/>
  <c r="P283" i="3"/>
  <c r="Q285" i="3"/>
  <c r="P285" i="3"/>
  <c r="Q288" i="3"/>
  <c r="P288" i="3"/>
  <c r="Q289" i="3"/>
  <c r="P289" i="3"/>
  <c r="Q282" i="3"/>
  <c r="P282" i="3"/>
  <c r="Q284" i="3"/>
  <c r="P284" i="3"/>
  <c r="Q286" i="3"/>
  <c r="P286" i="3"/>
  <c r="Q287" i="3"/>
  <c r="P287" i="3"/>
  <c r="Q275" i="3"/>
  <c r="P275" i="3"/>
  <c r="Q276" i="3"/>
  <c r="P276" i="3"/>
  <c r="Q280" i="3"/>
  <c r="P280" i="3"/>
  <c r="Q281" i="3"/>
  <c r="P281" i="3"/>
  <c r="Q277" i="3"/>
  <c r="P277" i="3"/>
  <c r="Q278" i="3"/>
  <c r="E278" i="3"/>
  <c r="P278" i="3" s="1"/>
  <c r="Q279" i="3"/>
  <c r="L279" i="3"/>
  <c r="K279" i="3" s="1"/>
  <c r="E279" i="3"/>
  <c r="Q270" i="3"/>
  <c r="P270" i="3"/>
  <c r="Q271" i="3"/>
  <c r="P271" i="3"/>
  <c r="Q273" i="3"/>
  <c r="P273" i="3"/>
  <c r="Q274" i="3"/>
  <c r="P274" i="3"/>
  <c r="Q272" i="3"/>
  <c r="P272" i="3"/>
  <c r="Q268" i="3"/>
  <c r="P268" i="3"/>
  <c r="Q269" i="3"/>
  <c r="P269" i="3"/>
  <c r="Q265" i="3"/>
  <c r="P265" i="3"/>
  <c r="Q266" i="3"/>
  <c r="P266" i="3"/>
  <c r="Q267" i="3"/>
  <c r="P267" i="3"/>
  <c r="Q258" i="3"/>
  <c r="P258" i="3"/>
  <c r="Q259" i="3"/>
  <c r="P259" i="3"/>
  <c r="Q260" i="3"/>
  <c r="P260" i="3"/>
  <c r="Q261" i="3"/>
  <c r="P261" i="3"/>
  <c r="Q262" i="3"/>
  <c r="P262" i="3"/>
  <c r="Q263" i="3"/>
  <c r="P263" i="3"/>
  <c r="Q264" i="3"/>
  <c r="P264" i="3"/>
  <c r="Q251" i="3"/>
  <c r="P251" i="3"/>
  <c r="Q252" i="3"/>
  <c r="P252" i="3"/>
  <c r="Q253" i="3"/>
  <c r="P253" i="3"/>
  <c r="Q254" i="3"/>
  <c r="P254" i="3"/>
  <c r="Q255" i="3"/>
  <c r="P255" i="3"/>
  <c r="Q256" i="3"/>
  <c r="P256" i="3"/>
  <c r="Q257" i="3"/>
  <c r="P257" i="3"/>
  <c r="Q247" i="3"/>
  <c r="P247" i="3"/>
  <c r="Q248" i="3"/>
  <c r="L248" i="3"/>
  <c r="K248" i="3" s="1"/>
  <c r="E248" i="3"/>
  <c r="Q249" i="3"/>
  <c r="L249" i="3"/>
  <c r="K249" i="3" s="1"/>
  <c r="E249" i="3"/>
  <c r="Q250" i="3"/>
  <c r="P250" i="3"/>
  <c r="Q238" i="3"/>
  <c r="P238" i="3"/>
  <c r="Q239" i="3"/>
  <c r="P239" i="3"/>
  <c r="Q240" i="3"/>
  <c r="P240" i="3"/>
  <c r="Q241" i="3"/>
  <c r="P241" i="3"/>
  <c r="Q242" i="3"/>
  <c r="P242" i="3"/>
  <c r="Q243" i="3"/>
  <c r="P243" i="3"/>
  <c r="Q245" i="3"/>
  <c r="P245" i="3"/>
  <c r="Q244" i="3"/>
  <c r="P244" i="3"/>
  <c r="Q246" i="3"/>
  <c r="P246" i="3"/>
  <c r="Q226" i="3"/>
  <c r="P226" i="3"/>
  <c r="Q227" i="3"/>
  <c r="P227" i="3"/>
  <c r="Q228" i="3"/>
  <c r="P228" i="3"/>
  <c r="Q229" i="3"/>
  <c r="P229" i="3"/>
  <c r="Q231" i="3"/>
  <c r="P231" i="3"/>
  <c r="Q233" i="3"/>
  <c r="P233" i="3"/>
  <c r="Q234" i="3"/>
  <c r="P234" i="3"/>
  <c r="Q225" i="3"/>
  <c r="P225" i="3"/>
  <c r="Q230" i="3"/>
  <c r="P230" i="3"/>
  <c r="Q232" i="3"/>
  <c r="P232" i="3"/>
  <c r="Q235" i="3"/>
  <c r="P235" i="3"/>
  <c r="Q236" i="3"/>
  <c r="P236" i="3"/>
  <c r="Q237" i="3"/>
  <c r="L237" i="3"/>
  <c r="K237" i="3" s="1"/>
  <c r="E237" i="3"/>
  <c r="Q216" i="3"/>
  <c r="P216" i="3"/>
  <c r="Q217" i="3"/>
  <c r="P217" i="3"/>
  <c r="Q218" i="3"/>
  <c r="P218" i="3"/>
  <c r="Q219" i="3"/>
  <c r="P219" i="3"/>
  <c r="Q220" i="3"/>
  <c r="P220" i="3"/>
  <c r="Q222" i="3"/>
  <c r="P222" i="3"/>
  <c r="Q224" i="3"/>
  <c r="P224" i="3"/>
  <c r="Q221" i="3"/>
  <c r="P221" i="3"/>
  <c r="Q223" i="3"/>
  <c r="L223" i="3"/>
  <c r="K223" i="3" s="1"/>
  <c r="E223" i="3"/>
  <c r="Q209" i="3"/>
  <c r="P209" i="3"/>
  <c r="Q211" i="3"/>
  <c r="P211" i="3"/>
  <c r="Q212" i="3"/>
  <c r="P212" i="3"/>
  <c r="Q214" i="3"/>
  <c r="P214" i="3"/>
  <c r="Q215" i="3"/>
  <c r="P215" i="3"/>
  <c r="Q210" i="3"/>
  <c r="P210" i="3"/>
  <c r="Q213" i="3"/>
  <c r="P213" i="3"/>
  <c r="Q201" i="3"/>
  <c r="P201" i="3"/>
  <c r="Q203" i="3"/>
  <c r="P203" i="3"/>
  <c r="Q204" i="3"/>
  <c r="P204" i="3"/>
  <c r="Q207" i="3"/>
  <c r="P207" i="3"/>
  <c r="Q208" i="3"/>
  <c r="P208" i="3"/>
  <c r="Q199" i="3"/>
  <c r="P199" i="3"/>
  <c r="Q200" i="3"/>
  <c r="L200" i="3"/>
  <c r="K200" i="3" s="1"/>
  <c r="E200" i="3"/>
  <c r="Q202" i="3"/>
  <c r="P202" i="3"/>
  <c r="Q205" i="3"/>
  <c r="P205" i="3"/>
  <c r="Q206" i="3"/>
  <c r="P206" i="3"/>
  <c r="Q192" i="3"/>
  <c r="P192" i="3"/>
  <c r="Q193" i="3"/>
  <c r="P193" i="3"/>
  <c r="Q195" i="3"/>
  <c r="P195" i="3"/>
  <c r="Q196" i="3"/>
  <c r="P196" i="3"/>
  <c r="Q197" i="3"/>
  <c r="P197" i="3"/>
  <c r="Q198" i="3"/>
  <c r="P198" i="3"/>
  <c r="Q194" i="3"/>
  <c r="P194" i="3"/>
  <c r="Q184" i="3"/>
  <c r="P184" i="3"/>
  <c r="Q186" i="3"/>
  <c r="P186" i="3"/>
  <c r="Q187" i="3"/>
  <c r="P187" i="3"/>
  <c r="Q188" i="3"/>
  <c r="P188" i="3"/>
  <c r="Q191" i="3"/>
  <c r="P191" i="3"/>
  <c r="Q185" i="3"/>
  <c r="P185" i="3"/>
  <c r="Q189" i="3"/>
  <c r="E189" i="3"/>
  <c r="P189" i="3" s="1"/>
  <c r="Q190" i="3"/>
  <c r="P190" i="3"/>
  <c r="Q181" i="3"/>
  <c r="P181" i="3"/>
  <c r="Q180" i="3"/>
  <c r="P180" i="3"/>
  <c r="Q182" i="3"/>
  <c r="P182" i="3"/>
  <c r="Q183" i="3"/>
  <c r="P183" i="3"/>
  <c r="Q173" i="3"/>
  <c r="P173" i="3"/>
  <c r="Q175" i="3"/>
  <c r="P175" i="3"/>
  <c r="Q177" i="3"/>
  <c r="P177" i="3"/>
  <c r="Q178" i="3"/>
  <c r="P178" i="3"/>
  <c r="Q179" i="3"/>
  <c r="P179" i="3"/>
  <c r="Q174" i="3"/>
  <c r="P174" i="3"/>
  <c r="Q176" i="3"/>
  <c r="P176" i="3"/>
  <c r="Q165" i="3"/>
  <c r="P165" i="3"/>
  <c r="Q167" i="3"/>
  <c r="P167" i="3"/>
  <c r="Q171" i="3"/>
  <c r="P171" i="3"/>
  <c r="Q172" i="3"/>
  <c r="P172" i="3"/>
  <c r="Q163" i="3"/>
  <c r="P163" i="3"/>
  <c r="Q164" i="3"/>
  <c r="P164" i="3"/>
  <c r="Q166" i="3"/>
  <c r="P166" i="3"/>
  <c r="Q168" i="3"/>
  <c r="P168" i="3"/>
  <c r="Q169" i="3"/>
  <c r="L169" i="3"/>
  <c r="K169" i="3" s="1"/>
  <c r="E169" i="3"/>
  <c r="Q170" i="3"/>
  <c r="L170" i="3"/>
  <c r="K170" i="3" s="1"/>
  <c r="E170" i="3"/>
  <c r="Q154" i="3"/>
  <c r="P154" i="3"/>
  <c r="Q155" i="3"/>
  <c r="P155" i="3"/>
  <c r="Q156" i="3"/>
  <c r="P156" i="3"/>
  <c r="Q159" i="3"/>
  <c r="P159" i="3"/>
  <c r="Q157" i="3"/>
  <c r="P157" i="3"/>
  <c r="Q158" i="3"/>
  <c r="L158" i="3"/>
  <c r="K158" i="3" s="1"/>
  <c r="E158" i="3"/>
  <c r="Q160" i="3"/>
  <c r="P160" i="3"/>
  <c r="Q161" i="3"/>
  <c r="P161" i="3"/>
  <c r="Q162" i="3"/>
  <c r="P162" i="3"/>
  <c r="Q149" i="3"/>
  <c r="P149" i="3"/>
  <c r="Q150" i="3"/>
  <c r="P150" i="3"/>
  <c r="Q152" i="3"/>
  <c r="P152" i="3"/>
  <c r="Q151" i="3"/>
  <c r="L151" i="3"/>
  <c r="K151" i="3" s="1"/>
  <c r="E151" i="3"/>
  <c r="Q153" i="3"/>
  <c r="P153" i="3"/>
  <c r="Q145" i="3"/>
  <c r="P145" i="3"/>
  <c r="Q146" i="3"/>
  <c r="P146" i="3"/>
  <c r="Q147" i="3"/>
  <c r="P147" i="3"/>
  <c r="Q148" i="3"/>
  <c r="P148" i="3"/>
  <c r="Q143" i="3"/>
  <c r="P143" i="3"/>
  <c r="Q144" i="3"/>
  <c r="P144" i="3"/>
  <c r="Q136" i="3"/>
  <c r="P136" i="3"/>
  <c r="Q137" i="3"/>
  <c r="P137" i="3"/>
  <c r="Q138" i="3"/>
  <c r="P138" i="3"/>
  <c r="Q140" i="3"/>
  <c r="P140" i="3"/>
  <c r="Q141" i="3"/>
  <c r="P141" i="3"/>
  <c r="Q142" i="3"/>
  <c r="P142" i="3"/>
  <c r="Q139" i="3"/>
  <c r="P139" i="3"/>
  <c r="Q128" i="3"/>
  <c r="P128" i="3"/>
  <c r="Q130" i="3"/>
  <c r="P130" i="3"/>
  <c r="Q131" i="3"/>
  <c r="P131" i="3"/>
  <c r="Q133" i="3"/>
  <c r="P133" i="3"/>
  <c r="Q129" i="3"/>
  <c r="P129" i="3"/>
  <c r="Q132" i="3"/>
  <c r="P132" i="3"/>
  <c r="Q134" i="3"/>
  <c r="L134" i="3"/>
  <c r="K134" i="3" s="1"/>
  <c r="E134" i="3"/>
  <c r="Q135" i="3"/>
  <c r="L135" i="3"/>
  <c r="K135" i="3" s="1"/>
  <c r="E135" i="3"/>
  <c r="Q120" i="3"/>
  <c r="P120" i="3"/>
  <c r="Q121" i="3"/>
  <c r="P121" i="3"/>
  <c r="Q124" i="3"/>
  <c r="P124" i="3"/>
  <c r="Q125" i="3"/>
  <c r="P125" i="3"/>
  <c r="Q126" i="3"/>
  <c r="P126" i="3"/>
  <c r="Q122" i="3"/>
  <c r="P122" i="3"/>
  <c r="Q123" i="3"/>
  <c r="L123" i="3"/>
  <c r="K123" i="3" s="1"/>
  <c r="E123" i="3"/>
  <c r="Q127" i="3"/>
  <c r="P127" i="3"/>
  <c r="Q111" i="3"/>
  <c r="P111" i="3"/>
  <c r="Q113" i="3"/>
  <c r="P113" i="3"/>
  <c r="Q116" i="3"/>
  <c r="P116" i="3"/>
  <c r="Q118" i="3"/>
  <c r="P118" i="3"/>
  <c r="Q119" i="3"/>
  <c r="P119" i="3"/>
  <c r="Q112" i="3"/>
  <c r="P112" i="3"/>
  <c r="Q114" i="3"/>
  <c r="P114" i="3"/>
  <c r="Q115" i="3"/>
  <c r="L115" i="3"/>
  <c r="K115" i="3" s="1"/>
  <c r="E115" i="3"/>
  <c r="Q117" i="3"/>
  <c r="P117" i="3"/>
  <c r="Q103" i="3"/>
  <c r="P103" i="3"/>
  <c r="Q104" i="3"/>
  <c r="P104" i="3"/>
  <c r="Q106" i="3"/>
  <c r="P106" i="3"/>
  <c r="Q108" i="3"/>
  <c r="P108" i="3"/>
  <c r="Q109" i="3"/>
  <c r="P109" i="3"/>
  <c r="Q110" i="3"/>
  <c r="P110" i="3"/>
  <c r="Q105" i="3"/>
  <c r="P105" i="3"/>
  <c r="Q107" i="3"/>
  <c r="P107" i="3"/>
  <c r="Q95" i="3"/>
  <c r="P95" i="3"/>
  <c r="Q98" i="3"/>
  <c r="P98" i="3"/>
  <c r="Q100" i="3"/>
  <c r="P100" i="3"/>
  <c r="Q102" i="3"/>
  <c r="P102" i="3"/>
  <c r="Q96" i="3"/>
  <c r="L96" i="3"/>
  <c r="K96" i="3" s="1"/>
  <c r="E96" i="3"/>
  <c r="Q97" i="3"/>
  <c r="P97" i="3"/>
  <c r="Q99" i="3"/>
  <c r="P99" i="3"/>
  <c r="Q101" i="3"/>
  <c r="P101" i="3"/>
  <c r="Q92" i="3"/>
  <c r="P92" i="3"/>
  <c r="Q90" i="3"/>
  <c r="P90" i="3"/>
  <c r="Q91" i="3"/>
  <c r="P91" i="3"/>
  <c r="Q93" i="3"/>
  <c r="L93" i="3"/>
  <c r="K93" i="3" s="1"/>
  <c r="E93" i="3"/>
  <c r="Q94" i="3"/>
  <c r="P94" i="3"/>
  <c r="Q85" i="3"/>
  <c r="P85" i="3"/>
  <c r="Q86" i="3"/>
  <c r="P86" i="3"/>
  <c r="Q88" i="3"/>
  <c r="P88" i="3"/>
  <c r="Q89" i="3"/>
  <c r="P89" i="3"/>
  <c r="Q84" i="3"/>
  <c r="P84" i="3"/>
  <c r="Q87" i="3"/>
  <c r="P87" i="3"/>
  <c r="Q80" i="3"/>
  <c r="P80" i="3"/>
  <c r="Q81" i="3"/>
  <c r="P81" i="3"/>
  <c r="Q82" i="3"/>
  <c r="P82" i="3"/>
  <c r="Q83" i="3"/>
  <c r="P83" i="3"/>
  <c r="Q76" i="3"/>
  <c r="P76" i="3"/>
  <c r="Q78" i="3"/>
  <c r="P78" i="3"/>
  <c r="Q79" i="3"/>
  <c r="P79" i="3"/>
  <c r="Q75" i="3"/>
  <c r="P75" i="3"/>
  <c r="Q77" i="3"/>
  <c r="P77" i="3"/>
  <c r="Q70" i="3"/>
  <c r="P70" i="3"/>
  <c r="Q72" i="3"/>
  <c r="P72" i="3"/>
  <c r="Q74" i="3"/>
  <c r="P74" i="3"/>
  <c r="Q71" i="3"/>
  <c r="P71" i="3"/>
  <c r="Q73" i="3"/>
  <c r="P73" i="3"/>
  <c r="Q67" i="3"/>
  <c r="P67" i="3"/>
  <c r="Q68" i="3"/>
  <c r="P68" i="3"/>
  <c r="Q69" i="3"/>
  <c r="P69" i="3"/>
  <c r="Q64" i="3"/>
  <c r="P64" i="3"/>
  <c r="Q65" i="3"/>
  <c r="P65" i="3"/>
  <c r="Q66" i="3"/>
  <c r="P66" i="3"/>
  <c r="Q58" i="3"/>
  <c r="P58" i="3"/>
  <c r="Q60" i="3"/>
  <c r="P60" i="3"/>
  <c r="Q61" i="3"/>
  <c r="P61" i="3"/>
  <c r="Q63" i="3"/>
  <c r="P63" i="3"/>
  <c r="Q59" i="3"/>
  <c r="L59" i="3"/>
  <c r="K59" i="3" s="1"/>
  <c r="E59" i="3"/>
  <c r="Q62" i="3"/>
  <c r="P62" i="3"/>
  <c r="Q53" i="3"/>
  <c r="P53" i="3"/>
  <c r="Q54" i="3"/>
  <c r="P54" i="3"/>
  <c r="Q55" i="3"/>
  <c r="P55" i="3"/>
  <c r="Q57" i="3"/>
  <c r="P57" i="3"/>
  <c r="Q52" i="3"/>
  <c r="P52" i="3"/>
  <c r="Q56" i="3"/>
  <c r="L56" i="3"/>
  <c r="K56" i="3" s="1"/>
  <c r="E56" i="3"/>
  <c r="Q45" i="3"/>
  <c r="P45" i="3"/>
  <c r="Q46" i="3"/>
  <c r="P46" i="3"/>
  <c r="Q47" i="3"/>
  <c r="P47" i="3"/>
  <c r="Q48" i="3"/>
  <c r="P48" i="3"/>
  <c r="Q49" i="3"/>
  <c r="P49" i="3"/>
  <c r="Q50" i="3"/>
  <c r="P50" i="3"/>
  <c r="Q51" i="3"/>
  <c r="P51" i="3"/>
  <c r="Q38" i="3"/>
  <c r="P38" i="3"/>
  <c r="Q39" i="3"/>
  <c r="P39" i="3"/>
  <c r="Q40" i="3"/>
  <c r="P40" i="3"/>
  <c r="Q41" i="3"/>
  <c r="P41" i="3"/>
  <c r="Q42" i="3"/>
  <c r="P42" i="3"/>
  <c r="Q43" i="3"/>
  <c r="P43" i="3"/>
  <c r="Q44" i="3"/>
  <c r="P44" i="3"/>
  <c r="Q36" i="3"/>
  <c r="P36" i="3"/>
  <c r="Q37" i="3"/>
  <c r="P37" i="3"/>
  <c r="Q28" i="3"/>
  <c r="P28" i="3"/>
  <c r="Q30" i="3"/>
  <c r="P30" i="3"/>
  <c r="Q32" i="3"/>
  <c r="P32" i="3"/>
  <c r="Q33" i="3"/>
  <c r="P33" i="3"/>
  <c r="Q29" i="3"/>
  <c r="E29" i="3"/>
  <c r="P29" i="3" s="1"/>
  <c r="Q31" i="3"/>
  <c r="L31" i="3"/>
  <c r="K31" i="3" s="1"/>
  <c r="E31" i="3"/>
  <c r="Q34" i="3"/>
  <c r="P34" i="3"/>
  <c r="Q35" i="3"/>
  <c r="P35" i="3"/>
  <c r="Q22" i="3"/>
  <c r="P22" i="3"/>
  <c r="Q24" i="3"/>
  <c r="P24" i="3"/>
  <c r="Q25" i="3"/>
  <c r="P25" i="3"/>
  <c r="Q27" i="3"/>
  <c r="P27" i="3"/>
  <c r="Q23" i="3"/>
  <c r="P23" i="3"/>
  <c r="Q26" i="3"/>
  <c r="P26" i="3"/>
  <c r="Q14" i="3"/>
  <c r="P14" i="3"/>
  <c r="Q15" i="3"/>
  <c r="P15" i="3"/>
  <c r="Q16" i="3"/>
  <c r="P16" i="3"/>
  <c r="Q17" i="3"/>
  <c r="P17" i="3"/>
  <c r="Q20" i="3"/>
  <c r="P20" i="3"/>
  <c r="Q18" i="3"/>
  <c r="P18" i="3"/>
  <c r="Q19" i="3"/>
  <c r="P19" i="3"/>
  <c r="Q21" i="3"/>
  <c r="L21" i="3"/>
  <c r="K21" i="3" s="1"/>
  <c r="E21" i="3"/>
  <c r="Q8" i="3"/>
  <c r="P8" i="3"/>
  <c r="Q9" i="3"/>
  <c r="P9" i="3"/>
  <c r="Q10" i="3"/>
  <c r="P10" i="3"/>
  <c r="Q11" i="3"/>
  <c r="P11" i="3"/>
  <c r="Q12" i="3"/>
  <c r="P12" i="3"/>
  <c r="Q13" i="3"/>
  <c r="P13" i="3"/>
  <c r="Q4" i="3"/>
  <c r="P4" i="3"/>
  <c r="Q5" i="3"/>
  <c r="P5" i="3"/>
  <c r="Q6" i="3"/>
  <c r="P6" i="3"/>
  <c r="Q7" i="3"/>
  <c r="P7" i="3"/>
  <c r="Q2" i="3"/>
  <c r="P2" i="3"/>
  <c r="P1109" i="3" l="1"/>
  <c r="P1054" i="3"/>
  <c r="P1102" i="3"/>
  <c r="P1138" i="3"/>
  <c r="P1144" i="3"/>
  <c r="P1184" i="3"/>
  <c r="P1090" i="3"/>
  <c r="P1140" i="3"/>
  <c r="P1206" i="3"/>
  <c r="P96" i="3"/>
  <c r="P688" i="3"/>
  <c r="P726" i="3"/>
  <c r="P737" i="3"/>
  <c r="P384" i="3"/>
  <c r="P521" i="3"/>
  <c r="P529" i="3"/>
  <c r="P801" i="3"/>
  <c r="P1031" i="3"/>
  <c r="P794" i="3"/>
  <c r="P630" i="3"/>
  <c r="P134" i="3"/>
  <c r="P169" i="3"/>
  <c r="P566" i="3"/>
  <c r="P223" i="3"/>
  <c r="P158" i="3"/>
  <c r="P249" i="3"/>
  <c r="P359" i="3"/>
  <c r="P371" i="3"/>
  <c r="P419" i="3"/>
  <c r="P586" i="3"/>
  <c r="P583" i="3"/>
  <c r="P710" i="3"/>
  <c r="P739" i="3"/>
  <c r="P750" i="3"/>
  <c r="P872" i="3"/>
  <c r="P21" i="3"/>
  <c r="P123" i="3"/>
  <c r="P677" i="3"/>
  <c r="P673" i="3"/>
  <c r="P883" i="3"/>
  <c r="P31" i="3"/>
  <c r="P59" i="3"/>
  <c r="P93" i="3"/>
  <c r="P151" i="3"/>
  <c r="P170" i="3"/>
  <c r="P237" i="3"/>
  <c r="P322" i="3"/>
  <c r="P344" i="3"/>
  <c r="P545" i="3"/>
  <c r="P632" i="3"/>
  <c r="P689" i="3"/>
  <c r="P135" i="3"/>
  <c r="P56" i="3"/>
  <c r="P115" i="3"/>
  <c r="P200" i="3"/>
  <c r="P248" i="3"/>
  <c r="P279" i="3"/>
  <c r="P314" i="3"/>
  <c r="P536" i="3"/>
  <c r="P551" i="3"/>
  <c r="P735" i="3"/>
  <c r="P738" i="3"/>
  <c r="P752" i="3"/>
  <c r="P888" i="3"/>
  <c r="P1005" i="3"/>
  <c r="P397" i="3"/>
  <c r="P578" i="3"/>
  <c r="P745" i="3"/>
  <c r="P885" i="3"/>
  <c r="P896" i="3"/>
  <c r="P1105" i="3"/>
  <c r="P473" i="3"/>
  <c r="P640" i="3"/>
  <c r="P774" i="3"/>
  <c r="G184" i="1"/>
  <c r="G154" i="1"/>
  <c r="G227" i="1"/>
  <c r="G169" i="1"/>
  <c r="G205" i="1"/>
  <c r="G145" i="1"/>
  <c r="G114" i="1"/>
  <c r="G327" i="1"/>
  <c r="G90" i="1"/>
  <c r="G241" i="1"/>
  <c r="G233" i="1"/>
  <c r="G235" i="1"/>
  <c r="G224" i="1"/>
  <c r="G151" i="1"/>
  <c r="G130" i="1"/>
  <c r="G136" i="1"/>
  <c r="G98" i="1"/>
  <c r="G152" i="1"/>
  <c r="G202" i="1"/>
  <c r="G239" i="1"/>
  <c r="G170" i="1"/>
  <c r="G166" i="1"/>
  <c r="G160" i="1"/>
  <c r="G219" i="1"/>
  <c r="G174" i="1"/>
  <c r="G76" i="1"/>
  <c r="G190" i="1"/>
  <c r="G131" i="1"/>
  <c r="G294" i="1"/>
  <c r="G122" i="1"/>
  <c r="G138" i="1"/>
  <c r="G191" i="1"/>
  <c r="G156" i="1"/>
  <c r="G318" i="1"/>
  <c r="G55" i="1"/>
  <c r="G140" i="1"/>
  <c r="G157" i="1"/>
  <c r="G217" i="1"/>
  <c r="G200" i="1"/>
  <c r="G237" i="1"/>
  <c r="G161" i="1"/>
  <c r="G194" i="1"/>
  <c r="G250" i="1"/>
  <c r="G230" i="1"/>
  <c r="G84" i="1"/>
  <c r="G229" i="1"/>
  <c r="G71" i="1"/>
  <c r="G54" i="1"/>
  <c r="G236" i="1"/>
  <c r="G199" i="1"/>
  <c r="G72" i="1"/>
  <c r="G212" i="1"/>
  <c r="G110" i="1"/>
  <c r="G85" i="1"/>
  <c r="G103" i="1"/>
  <c r="G100" i="1"/>
  <c r="G188" i="1"/>
  <c r="G88" i="1"/>
  <c r="G146" i="1"/>
  <c r="G253" i="1"/>
  <c r="G179" i="1"/>
  <c r="G115" i="1"/>
  <c r="G127" i="1"/>
  <c r="G141" i="1"/>
  <c r="G135" i="1"/>
  <c r="G305" i="1"/>
  <c r="G142" i="1"/>
  <c r="G158" i="1"/>
  <c r="G162" i="1"/>
  <c r="G183" i="1"/>
  <c r="G132" i="1"/>
  <c r="G315" i="1"/>
  <c r="G182" i="1"/>
  <c r="G168" i="1"/>
  <c r="G213" i="1"/>
  <c r="G75" i="1"/>
  <c r="G147" i="1"/>
  <c r="G197" i="1"/>
  <c r="G133" i="1"/>
  <c r="G128" i="1"/>
  <c r="G310" i="1"/>
  <c r="G208" i="1"/>
  <c r="G271" i="1"/>
  <c r="G192" i="1"/>
  <c r="G60" i="1"/>
  <c r="G117" i="1"/>
  <c r="G175" i="1"/>
  <c r="G283" i="1"/>
  <c r="G226" i="1"/>
  <c r="G186" i="1"/>
  <c r="G216" i="1"/>
  <c r="G149" i="1"/>
  <c r="G178" i="1"/>
  <c r="G206" i="1"/>
  <c r="G245" i="1"/>
  <c r="G246" i="1"/>
  <c r="G196" i="1"/>
  <c r="G234" i="1"/>
  <c r="G87" i="1"/>
  <c r="G221" i="1"/>
  <c r="G176" i="1"/>
  <c r="G193" i="1"/>
  <c r="G113" i="1"/>
  <c r="G120" i="1"/>
  <c r="G126" i="1"/>
  <c r="G134" i="1"/>
  <c r="G262" i="1"/>
  <c r="G201" i="1"/>
  <c r="G165" i="1"/>
  <c r="G163" i="1"/>
  <c r="G312" i="1"/>
  <c r="G185" i="1"/>
  <c r="G171" i="1"/>
  <c r="G189" i="1"/>
  <c r="G153" i="1"/>
  <c r="G209" i="1"/>
  <c r="G195" i="1"/>
  <c r="G243" i="1"/>
  <c r="G124" i="1"/>
  <c r="G150" i="1"/>
  <c r="G290" i="1"/>
  <c r="G102" i="1"/>
  <c r="G222" i="1"/>
  <c r="G167" i="1"/>
  <c r="G187" i="1"/>
  <c r="G198" i="1"/>
  <c r="G116" i="1"/>
  <c r="G144" i="1"/>
  <c r="G181" i="1"/>
  <c r="G172" i="1"/>
  <c r="G247" i="1"/>
  <c r="G220" i="1"/>
  <c r="G207" i="1"/>
  <c r="G242" i="1"/>
  <c r="G238" i="1"/>
  <c r="G258" i="1"/>
  <c r="G223" i="1"/>
  <c r="G97" i="1"/>
  <c r="G231" i="1"/>
  <c r="G180" i="1"/>
  <c r="G95" i="1"/>
  <c r="G93" i="1"/>
  <c r="G106" i="1"/>
  <c r="G108" i="1"/>
  <c r="G148" i="1"/>
  <c r="G210" i="1"/>
  <c r="G89" i="1"/>
  <c r="G155" i="1"/>
  <c r="G112" i="1"/>
  <c r="G125" i="1"/>
  <c r="G164" i="1"/>
  <c r="G275" i="1"/>
  <c r="G137" i="1"/>
  <c r="G228" i="1"/>
  <c r="G119" i="1"/>
  <c r="G143" i="1"/>
  <c r="G123" i="1"/>
  <c r="G121" i="1"/>
  <c r="G139" i="1"/>
  <c r="G203" i="1"/>
  <c r="G159" i="1" l="1"/>
  <c r="G329" i="1"/>
  <c r="AV329" i="1"/>
  <c r="AX329" i="1"/>
  <c r="G45" i="1"/>
  <c r="G324" i="1"/>
  <c r="AV324" i="1"/>
  <c r="AX324" i="1"/>
  <c r="G104" i="1"/>
  <c r="G326" i="1"/>
  <c r="AV326" i="1"/>
  <c r="AX326" i="1"/>
  <c r="G65" i="1"/>
  <c r="G328" i="1"/>
  <c r="AV328" i="1"/>
  <c r="AX328" i="1"/>
  <c r="AV327" i="1"/>
  <c r="AX327" i="1"/>
  <c r="G94" i="1"/>
  <c r="G340" i="1"/>
  <c r="AX340" i="1"/>
  <c r="AV340" i="1"/>
  <c r="G105" i="1"/>
  <c r="G342" i="1"/>
  <c r="G101" i="1"/>
  <c r="AV342" i="1"/>
  <c r="AX342" i="1"/>
  <c r="G57" i="1"/>
  <c r="G331" i="1"/>
  <c r="AV331" i="1"/>
  <c r="AX331" i="1"/>
  <c r="AX333" i="1"/>
  <c r="AV333" i="1"/>
  <c r="AV337" i="1"/>
  <c r="AX337" i="1"/>
  <c r="G118" i="1"/>
  <c r="G335" i="1"/>
  <c r="G82" i="1"/>
  <c r="G341" i="1"/>
  <c r="G91" i="1"/>
  <c r="G334" i="1"/>
  <c r="G53" i="1"/>
  <c r="G337" i="1"/>
  <c r="AV335" i="1"/>
  <c r="AX335" i="1"/>
  <c r="G83" i="1"/>
  <c r="G339" i="1"/>
  <c r="AX341" i="1"/>
  <c r="AV341" i="1"/>
  <c r="AX334" i="1"/>
  <c r="AV334" i="1"/>
  <c r="G78" i="1"/>
  <c r="G336" i="1"/>
  <c r="AV339" i="1"/>
  <c r="AX339" i="1"/>
  <c r="G69" i="1"/>
  <c r="G332" i="1"/>
  <c r="AX336" i="1"/>
  <c r="AV336" i="1"/>
  <c r="AV332" i="1"/>
  <c r="AX332" i="1"/>
  <c r="G23" i="1"/>
  <c r="G333" i="1"/>
  <c r="AV290" i="1"/>
  <c r="AX290" i="1"/>
  <c r="G66" i="1"/>
  <c r="G286" i="1"/>
  <c r="AV286" i="1"/>
  <c r="AX286" i="1"/>
  <c r="G19" i="1"/>
  <c r="G320" i="1"/>
  <c r="AX322" i="1"/>
  <c r="AV322" i="1"/>
  <c r="G86" i="1"/>
  <c r="G319" i="1"/>
  <c r="AX320" i="1"/>
  <c r="AV320" i="1"/>
  <c r="G32" i="1"/>
  <c r="G323" i="1"/>
  <c r="AV319" i="1"/>
  <c r="AX319" i="1"/>
  <c r="AX323" i="1"/>
  <c r="AV323" i="1"/>
  <c r="G68" i="1"/>
  <c r="G321" i="1"/>
  <c r="AX321" i="1"/>
  <c r="AV321" i="1"/>
  <c r="G173" i="1"/>
  <c r="G74" i="1"/>
  <c r="G322" i="1"/>
  <c r="G316" i="1"/>
  <c r="AV318" i="1"/>
  <c r="AX318" i="1"/>
  <c r="G81" i="1"/>
  <c r="G300" i="1"/>
  <c r="AV300" i="1"/>
  <c r="AX300" i="1"/>
  <c r="G109" i="1"/>
  <c r="AX316" i="1"/>
  <c r="AV316" i="1"/>
  <c r="G92" i="1"/>
  <c r="G330" i="1"/>
  <c r="AX330" i="1"/>
  <c r="AV330" i="1"/>
  <c r="G15" i="1"/>
  <c r="G317" i="1"/>
  <c r="AX317" i="1"/>
  <c r="AV317" i="1"/>
  <c r="G56" i="1"/>
  <c r="AV315" i="1"/>
  <c r="AX315" i="1"/>
  <c r="G80" i="1"/>
  <c r="G314" i="1"/>
  <c r="AV314" i="1"/>
  <c r="AX314" i="1"/>
  <c r="G96" i="1"/>
  <c r="G313" i="1"/>
  <c r="AV313" i="1"/>
  <c r="AX313" i="1"/>
  <c r="G61" i="1"/>
  <c r="G311" i="1"/>
  <c r="AV311" i="1"/>
  <c r="AX311" i="1"/>
  <c r="AV312" i="1"/>
  <c r="AX312" i="1"/>
  <c r="G73" i="1"/>
  <c r="G309" i="1"/>
  <c r="AV309" i="1"/>
  <c r="AX309" i="1"/>
  <c r="AV310" i="1"/>
  <c r="AX310" i="1"/>
  <c r="G64" i="1"/>
  <c r="G308" i="1"/>
  <c r="AV308" i="1"/>
  <c r="AX308" i="1"/>
  <c r="G299" i="1"/>
  <c r="G22" i="1"/>
  <c r="G307" i="1"/>
  <c r="AV307" i="1"/>
  <c r="AX307" i="1"/>
  <c r="G62" i="1"/>
  <c r="G303" i="1"/>
  <c r="AX303" i="1"/>
  <c r="AV303" i="1"/>
  <c r="G36" i="1"/>
  <c r="G301" i="1"/>
  <c r="AX301" i="1"/>
  <c r="AV301" i="1"/>
  <c r="AX305" i="1"/>
  <c r="AV305" i="1"/>
  <c r="G59" i="1"/>
  <c r="G304" i="1"/>
  <c r="AX304" i="1"/>
  <c r="AV304" i="1"/>
  <c r="G67" i="1"/>
  <c r="G302" i="1"/>
  <c r="AX302" i="1"/>
  <c r="AV302" i="1"/>
  <c r="G63" i="1"/>
  <c r="G306" i="1"/>
  <c r="AX306" i="1"/>
  <c r="AV306" i="1"/>
  <c r="G42" i="1"/>
  <c r="G298" i="1"/>
  <c r="AV298" i="1"/>
  <c r="AX298" i="1"/>
  <c r="G47" i="1"/>
  <c r="G296" i="1"/>
  <c r="AV296" i="1"/>
  <c r="AX296" i="1"/>
  <c r="AV299" i="1"/>
  <c r="AX299" i="1"/>
  <c r="G70" i="1"/>
  <c r="G297" i="1"/>
  <c r="AV297" i="1"/>
  <c r="AX297" i="1"/>
  <c r="G49" i="1"/>
  <c r="G295" i="1"/>
  <c r="AV295" i="1"/>
  <c r="AX295" i="1"/>
  <c r="G43" i="1"/>
  <c r="G292" i="1"/>
  <c r="AX292" i="1"/>
  <c r="AV292" i="1"/>
  <c r="AX291" i="1"/>
  <c r="AV291" i="1"/>
  <c r="AV294" i="1"/>
  <c r="AX294" i="1"/>
  <c r="G79" i="1"/>
  <c r="G293" i="1"/>
  <c r="AX293" i="1"/>
  <c r="AV293" i="1"/>
  <c r="G46" i="1"/>
  <c r="G291" i="1"/>
  <c r="G50" i="1"/>
  <c r="G287" i="1"/>
  <c r="AV284" i="1"/>
  <c r="AX284" i="1"/>
  <c r="AV287" i="1"/>
  <c r="AX287" i="1"/>
  <c r="G40" i="1"/>
  <c r="G284" i="1"/>
  <c r="G52" i="1"/>
  <c r="G282" i="1"/>
  <c r="G26" i="1"/>
  <c r="G279" i="1"/>
  <c r="AX282" i="1"/>
  <c r="AV282" i="1"/>
  <c r="G77" i="1"/>
  <c r="G289" i="1"/>
  <c r="AX279" i="1"/>
  <c r="AV279" i="1"/>
  <c r="AV289" i="1"/>
  <c r="AX289" i="1"/>
  <c r="G33" i="1"/>
  <c r="G281" i="1"/>
  <c r="G28" i="1"/>
  <c r="G280" i="1"/>
  <c r="G58" i="1"/>
  <c r="G288" i="1"/>
  <c r="AV281" i="1"/>
  <c r="AX281" i="1"/>
  <c r="G129" i="1"/>
  <c r="G107" i="1"/>
  <c r="G285" i="1"/>
  <c r="AX280" i="1"/>
  <c r="AV280" i="1"/>
  <c r="AX288" i="1"/>
  <c r="AV288" i="1"/>
  <c r="AV283" i="1"/>
  <c r="AX283" i="1"/>
  <c r="AV285" i="1"/>
  <c r="AX285" i="1"/>
  <c r="G48" i="1"/>
  <c r="G277" i="1"/>
  <c r="AX277" i="1"/>
  <c r="AV277" i="1"/>
  <c r="AX278" i="1"/>
  <c r="AV278" i="1"/>
  <c r="G35" i="1"/>
  <c r="G276" i="1"/>
  <c r="G12" i="1"/>
  <c r="G278" i="1"/>
  <c r="AX276" i="1"/>
  <c r="AV276" i="1"/>
  <c r="AV274" i="1"/>
  <c r="AX274" i="1"/>
  <c r="G44" i="1"/>
  <c r="G273" i="1"/>
  <c r="AV273" i="1"/>
  <c r="AX273" i="1"/>
  <c r="AV275" i="1"/>
  <c r="AX275" i="1"/>
  <c r="G24" i="1"/>
  <c r="G274" i="1"/>
  <c r="AV272" i="1"/>
  <c r="AX272" i="1"/>
  <c r="AX271" i="1"/>
  <c r="AV271" i="1"/>
  <c r="G38" i="1"/>
  <c r="G270" i="1"/>
  <c r="AV270" i="1"/>
  <c r="AX270" i="1"/>
  <c r="G14" i="1"/>
  <c r="G272" i="1"/>
  <c r="G37" i="1"/>
  <c r="G269" i="1"/>
  <c r="G29" i="1"/>
  <c r="G268" i="1"/>
  <c r="AV268" i="1"/>
  <c r="AX268" i="1"/>
  <c r="AV267" i="1"/>
  <c r="AX267" i="1"/>
  <c r="G41" i="1"/>
  <c r="G267" i="1"/>
  <c r="AV269" i="1"/>
  <c r="AX269" i="1"/>
  <c r="G30" i="1"/>
  <c r="G266" i="1"/>
  <c r="AX266" i="1"/>
  <c r="AV266" i="1"/>
  <c r="G34" i="1"/>
  <c r="G264" i="1"/>
  <c r="AV264" i="1"/>
  <c r="AX264" i="1"/>
  <c r="G27" i="1"/>
  <c r="G265" i="1"/>
  <c r="AV265" i="1"/>
  <c r="AX265" i="1"/>
  <c r="AV206" i="1"/>
  <c r="AX206" i="1"/>
  <c r="G111" i="1"/>
  <c r="G255" i="1"/>
  <c r="AV255" i="1"/>
  <c r="AX255" i="1"/>
  <c r="AV80" i="1"/>
  <c r="AX80" i="1"/>
  <c r="AX46" i="1"/>
  <c r="AV46" i="1"/>
  <c r="AX197" i="1"/>
  <c r="AV197" i="1"/>
  <c r="AV179" i="1"/>
  <c r="AX179" i="1"/>
  <c r="AX104" i="1"/>
  <c r="AV104" i="1"/>
  <c r="AV129" i="1"/>
  <c r="AX129" i="1"/>
  <c r="AV261" i="1"/>
  <c r="AX261" i="1"/>
  <c r="AX4" i="1"/>
  <c r="AV4" i="1"/>
  <c r="AX99" i="1"/>
  <c r="AX249" i="1"/>
  <c r="AV99" i="1"/>
  <c r="AV249" i="1"/>
  <c r="AX173" i="1"/>
  <c r="AV173" i="1"/>
  <c r="AX209" i="1"/>
  <c r="AV209" i="1"/>
  <c r="G259" i="1"/>
  <c r="G9" i="1"/>
  <c r="AX48" i="1"/>
  <c r="AV48" i="1"/>
  <c r="AV163" i="1"/>
  <c r="AX163" i="1"/>
  <c r="AV43" i="1"/>
  <c r="AX43" i="1"/>
  <c r="AX101" i="1"/>
  <c r="AV101" i="1"/>
  <c r="AX176" i="1"/>
  <c r="AV176" i="1"/>
  <c r="AX196" i="1"/>
  <c r="AV196" i="1"/>
  <c r="AX149" i="1"/>
  <c r="AV149" i="1"/>
  <c r="AX60" i="1"/>
  <c r="AV60" i="1"/>
  <c r="AX14" i="1"/>
  <c r="AV14" i="1"/>
  <c r="AX142" i="1"/>
  <c r="AV142" i="1"/>
  <c r="AV253" i="1"/>
  <c r="AX253" i="1"/>
  <c r="AX146" i="1"/>
  <c r="AV146" i="1"/>
  <c r="AX100" i="1"/>
  <c r="AV100" i="1"/>
  <c r="AX103" i="1"/>
  <c r="AV103" i="1"/>
  <c r="AX74" i="1"/>
  <c r="AV74" i="1"/>
  <c r="AV236" i="1"/>
  <c r="AX236" i="1"/>
  <c r="AX67" i="1"/>
  <c r="AV67" i="1"/>
  <c r="AX217" i="1"/>
  <c r="AV217" i="1"/>
  <c r="AX15" i="1"/>
  <c r="AV15" i="1"/>
  <c r="AX166" i="1"/>
  <c r="AV166" i="1"/>
  <c r="G16" i="1"/>
  <c r="G232" i="1"/>
  <c r="AX23" i="1"/>
  <c r="AV23" i="1"/>
  <c r="AV169" i="1"/>
  <c r="AX169" i="1"/>
  <c r="G99" i="1"/>
  <c r="G249" i="1"/>
  <c r="AX12" i="1"/>
  <c r="AV12" i="1"/>
  <c r="AX7" i="1"/>
  <c r="AV7" i="1"/>
  <c r="AV257" i="1"/>
  <c r="AX257" i="1"/>
  <c r="AV237" i="1"/>
  <c r="AX237" i="1"/>
  <c r="AX66" i="1"/>
  <c r="AV66" i="1"/>
  <c r="AV107" i="1"/>
  <c r="AX107" i="1"/>
  <c r="AX160" i="1"/>
  <c r="AV160" i="1"/>
  <c r="AV210" i="1"/>
  <c r="AX210" i="1"/>
  <c r="AV244" i="1"/>
  <c r="AX31" i="1"/>
  <c r="AV31" i="1"/>
  <c r="AX244" i="1"/>
  <c r="AX61" i="1"/>
  <c r="AV61" i="1"/>
  <c r="AX116" i="1"/>
  <c r="AV116" i="1"/>
  <c r="AV9" i="1"/>
  <c r="AV259" i="1"/>
  <c r="AX259" i="1"/>
  <c r="AX9" i="1"/>
  <c r="AX134" i="1"/>
  <c r="AV134" i="1"/>
  <c r="AX120" i="1"/>
  <c r="AV120" i="1"/>
  <c r="AX81" i="1"/>
  <c r="AV81" i="1"/>
  <c r="AV221" i="1"/>
  <c r="AX221" i="1"/>
  <c r="AV50" i="1"/>
  <c r="AX50" i="1"/>
  <c r="AX186" i="1"/>
  <c r="AV186" i="1"/>
  <c r="AX175" i="1"/>
  <c r="AV175" i="1"/>
  <c r="AV19" i="1"/>
  <c r="AX19" i="1"/>
  <c r="AV213" i="1"/>
  <c r="AX213" i="1"/>
  <c r="AX127" i="1"/>
  <c r="AV127" i="1"/>
  <c r="G10" i="1"/>
  <c r="G252" i="1"/>
  <c r="AX110" i="1"/>
  <c r="AV110" i="1"/>
  <c r="AX72" i="1"/>
  <c r="AV72" i="1"/>
  <c r="AV71" i="1"/>
  <c r="AX71" i="1"/>
  <c r="AV55" i="1"/>
  <c r="AX55" i="1"/>
  <c r="AX156" i="1"/>
  <c r="AV156" i="1"/>
  <c r="AX138" i="1"/>
  <c r="AV138" i="1"/>
  <c r="AV131" i="1"/>
  <c r="AX131" i="1"/>
  <c r="AV56" i="1"/>
  <c r="AX56" i="1"/>
  <c r="AV232" i="1"/>
  <c r="AX16" i="1"/>
  <c r="AV16" i="1"/>
  <c r="AX232" i="1"/>
  <c r="AX136" i="1"/>
  <c r="AV136" i="1"/>
  <c r="AV224" i="1"/>
  <c r="AX224" i="1"/>
  <c r="G261" i="1"/>
  <c r="G4" i="1"/>
  <c r="AX162" i="1"/>
  <c r="AV162" i="1"/>
  <c r="AX135" i="1"/>
  <c r="AV135" i="1"/>
  <c r="AX188" i="1"/>
  <c r="AV188" i="1"/>
  <c r="AX59" i="1"/>
  <c r="AV59" i="1"/>
  <c r="AV84" i="1"/>
  <c r="AX84" i="1"/>
  <c r="AV105" i="1"/>
  <c r="AX105" i="1"/>
  <c r="AX152" i="1"/>
  <c r="AV152" i="1"/>
  <c r="AV121" i="1"/>
  <c r="AX121" i="1"/>
  <c r="AV3" i="1"/>
  <c r="AX204" i="1"/>
  <c r="AV204" i="1"/>
  <c r="AX3" i="1"/>
  <c r="G31" i="1"/>
  <c r="G244" i="1"/>
  <c r="AX24" i="1"/>
  <c r="AV24" i="1"/>
  <c r="AV247" i="1"/>
  <c r="AX247" i="1"/>
  <c r="AV203" i="1"/>
  <c r="AX203" i="1"/>
  <c r="AX37" i="1"/>
  <c r="AV37" i="1"/>
  <c r="G204" i="1"/>
  <c r="G3" i="1"/>
  <c r="G51" i="1"/>
  <c r="G251" i="1"/>
  <c r="AV96" i="1"/>
  <c r="AX96" i="1"/>
  <c r="AX238" i="1"/>
  <c r="AV238" i="1"/>
  <c r="AX62" i="1"/>
  <c r="AV62" i="1"/>
  <c r="AX164" i="1"/>
  <c r="AV164" i="1"/>
  <c r="AX51" i="1"/>
  <c r="AX251" i="1"/>
  <c r="AV251" i="1"/>
  <c r="AV51" i="1"/>
  <c r="G18" i="1"/>
  <c r="G248" i="1"/>
  <c r="AX112" i="1"/>
  <c r="AV112" i="1"/>
  <c r="AX148" i="1"/>
  <c r="AV148" i="1"/>
  <c r="G25" i="1"/>
  <c r="G240" i="1"/>
  <c r="AX97" i="1"/>
  <c r="AV97" i="1"/>
  <c r="AX207" i="1"/>
  <c r="AV207" i="1"/>
  <c r="G13" i="1"/>
  <c r="G211" i="1"/>
  <c r="AX124" i="1"/>
  <c r="AV124" i="1"/>
  <c r="AX22" i="1"/>
  <c r="AV22" i="1"/>
  <c r="AX126" i="1"/>
  <c r="AV126" i="1"/>
  <c r="AX86" i="1"/>
  <c r="AV86" i="1"/>
  <c r="AX94" i="1"/>
  <c r="AV94" i="1"/>
  <c r="AX42" i="1"/>
  <c r="AV42" i="1"/>
  <c r="AX53" i="1"/>
  <c r="AV53" i="1"/>
  <c r="AV252" i="1"/>
  <c r="AX10" i="1"/>
  <c r="AV10" i="1"/>
  <c r="AX252" i="1"/>
  <c r="G5" i="1"/>
  <c r="G214" i="1"/>
  <c r="AX32" i="1"/>
  <c r="AV32" i="1"/>
  <c r="AX200" i="1"/>
  <c r="AV200" i="1"/>
  <c r="AX47" i="1"/>
  <c r="AV47" i="1"/>
  <c r="AX157" i="1"/>
  <c r="AV157" i="1"/>
  <c r="AV76" i="1"/>
  <c r="AX76" i="1"/>
  <c r="AV98" i="1"/>
  <c r="AX98" i="1"/>
  <c r="AX233" i="1"/>
  <c r="AV233" i="1"/>
  <c r="AV145" i="1"/>
  <c r="AX145" i="1"/>
  <c r="AX205" i="1"/>
  <c r="AV205" i="1"/>
  <c r="AX119" i="1"/>
  <c r="AV119" i="1"/>
  <c r="AV58" i="1"/>
  <c r="AX58" i="1"/>
  <c r="AX49" i="1"/>
  <c r="AV49" i="1"/>
  <c r="AX40" i="1"/>
  <c r="AV40" i="1"/>
  <c r="AX95" i="1"/>
  <c r="AV95" i="1"/>
  <c r="AV240" i="1"/>
  <c r="AV25" i="1"/>
  <c r="AX25" i="1"/>
  <c r="AX240" i="1"/>
  <c r="AX258" i="1"/>
  <c r="AV258" i="1"/>
  <c r="AX13" i="1"/>
  <c r="AV13" i="1"/>
  <c r="AX211" i="1"/>
  <c r="AV211" i="1"/>
  <c r="AX167" i="1"/>
  <c r="AV167" i="1"/>
  <c r="AX243" i="1"/>
  <c r="AV243" i="1"/>
  <c r="AV153" i="1"/>
  <c r="AX153" i="1"/>
  <c r="AX36" i="1"/>
  <c r="AV36" i="1"/>
  <c r="AV201" i="1"/>
  <c r="AX201" i="1"/>
  <c r="G21" i="1"/>
  <c r="G177" i="1"/>
  <c r="AX29" i="1"/>
  <c r="AV29" i="1"/>
  <c r="AX45" i="1"/>
  <c r="AV45" i="1"/>
  <c r="AV41" i="1"/>
  <c r="AX41" i="1"/>
  <c r="AX38" i="1"/>
  <c r="AV38" i="1"/>
  <c r="AX128" i="1"/>
  <c r="AV128" i="1"/>
  <c r="AX44" i="1"/>
  <c r="AV44" i="1"/>
  <c r="AX5" i="1"/>
  <c r="AX214" i="1"/>
  <c r="AV5" i="1"/>
  <c r="AV214" i="1"/>
  <c r="AV212" i="1"/>
  <c r="AX212" i="1"/>
  <c r="AX54" i="1"/>
  <c r="AV54" i="1"/>
  <c r="AV250" i="1"/>
  <c r="AX250" i="1"/>
  <c r="AX65" i="1"/>
  <c r="AV65" i="1"/>
  <c r="AX64" i="1"/>
  <c r="AV64" i="1"/>
  <c r="AX174" i="1"/>
  <c r="AV174" i="1"/>
  <c r="AX170" i="1"/>
  <c r="AV170" i="1"/>
  <c r="AX111" i="1"/>
  <c r="AV111" i="1"/>
  <c r="AV68" i="1"/>
  <c r="AX68" i="1"/>
  <c r="AX90" i="1"/>
  <c r="AV90" i="1"/>
  <c r="G11" i="1"/>
  <c r="G256" i="1"/>
  <c r="AX227" i="1"/>
  <c r="AV227" i="1"/>
  <c r="AX34" i="1"/>
  <c r="AV34" i="1"/>
  <c r="AV248" i="1"/>
  <c r="AX18" i="1"/>
  <c r="AV18" i="1"/>
  <c r="AX248" i="1"/>
  <c r="AX143" i="1"/>
  <c r="AV143" i="1"/>
  <c r="AV228" i="1"/>
  <c r="AX228" i="1"/>
  <c r="AX180" i="1"/>
  <c r="AV180" i="1"/>
  <c r="AV242" i="1"/>
  <c r="AX242" i="1"/>
  <c r="AX181" i="1"/>
  <c r="AV181" i="1"/>
  <c r="AX198" i="1"/>
  <c r="AV198" i="1"/>
  <c r="AX102" i="1"/>
  <c r="AV102" i="1"/>
  <c r="AX52" i="1"/>
  <c r="AV52" i="1"/>
  <c r="AV171" i="1"/>
  <c r="AX171" i="1"/>
  <c r="G17" i="1"/>
  <c r="G215" i="1"/>
  <c r="AV113" i="1"/>
  <c r="AX113" i="1"/>
  <c r="AX21" i="1"/>
  <c r="AV21" i="1"/>
  <c r="AV177" i="1"/>
  <c r="AX177" i="1"/>
  <c r="AX87" i="1"/>
  <c r="AV87" i="1"/>
  <c r="AV245" i="1"/>
  <c r="AX245" i="1"/>
  <c r="AV226" i="1"/>
  <c r="AX226" i="1"/>
  <c r="AX117" i="1"/>
  <c r="AV117" i="1"/>
  <c r="AV208" i="1"/>
  <c r="AX208" i="1"/>
  <c r="AV147" i="1"/>
  <c r="AX147" i="1"/>
  <c r="AX182" i="1"/>
  <c r="AV182" i="1"/>
  <c r="G20" i="1"/>
  <c r="G260" i="1"/>
  <c r="AX92" i="1"/>
  <c r="AV92" i="1"/>
  <c r="AX118" i="1"/>
  <c r="AV118" i="1"/>
  <c r="AX82" i="1"/>
  <c r="AV82" i="1"/>
  <c r="AV229" i="1"/>
  <c r="AX229" i="1"/>
  <c r="AV161" i="1"/>
  <c r="AX161" i="1"/>
  <c r="AX140" i="1"/>
  <c r="AV140" i="1"/>
  <c r="AX63" i="1"/>
  <c r="AV63" i="1"/>
  <c r="AX190" i="1"/>
  <c r="AV190" i="1"/>
  <c r="AX202" i="1"/>
  <c r="AV202" i="1"/>
  <c r="AX130" i="1"/>
  <c r="AV130" i="1"/>
  <c r="AX235" i="1"/>
  <c r="AV235" i="1"/>
  <c r="AX114" i="1"/>
  <c r="AV114" i="1"/>
  <c r="AV11" i="1"/>
  <c r="AV256" i="1"/>
  <c r="AX11" i="1"/>
  <c r="AX256" i="1"/>
  <c r="AV91" i="1"/>
  <c r="AX91" i="1"/>
  <c r="AV137" i="1"/>
  <c r="AX137" i="1"/>
  <c r="G39" i="1"/>
  <c r="G225" i="1"/>
  <c r="AX125" i="1"/>
  <c r="AV125" i="1"/>
  <c r="AV155" i="1"/>
  <c r="AX155" i="1"/>
  <c r="AX93" i="1"/>
  <c r="AV93" i="1"/>
  <c r="AV223" i="1"/>
  <c r="AX223" i="1"/>
  <c r="AX172" i="1"/>
  <c r="AV172" i="1"/>
  <c r="AX26" i="1"/>
  <c r="AV26" i="1"/>
  <c r="AV195" i="1"/>
  <c r="AX195" i="1"/>
  <c r="AV185" i="1"/>
  <c r="AX185" i="1"/>
  <c r="AX215" i="1"/>
  <c r="AV215" i="1"/>
  <c r="AV17" i="1"/>
  <c r="AX17" i="1"/>
  <c r="AV262" i="1"/>
  <c r="AX262" i="1"/>
  <c r="AV193" i="1"/>
  <c r="AX193" i="1"/>
  <c r="AV234" i="1"/>
  <c r="AX234" i="1"/>
  <c r="AX178" i="1"/>
  <c r="AV178" i="1"/>
  <c r="AX20" i="1"/>
  <c r="AV20" i="1"/>
  <c r="AX260" i="1"/>
  <c r="AV260" i="1"/>
  <c r="AX132" i="1"/>
  <c r="AV132" i="1"/>
  <c r="AX158" i="1"/>
  <c r="AV158" i="1"/>
  <c r="AX77" i="1"/>
  <c r="AV77" i="1"/>
  <c r="AX83" i="1"/>
  <c r="AV83" i="1"/>
  <c r="AV199" i="1"/>
  <c r="AX199" i="1"/>
  <c r="AX230" i="1"/>
  <c r="AV230" i="1"/>
  <c r="AX57" i="1"/>
  <c r="AV57" i="1"/>
  <c r="AX191" i="1"/>
  <c r="AV191" i="1"/>
  <c r="AX122" i="1"/>
  <c r="AV122" i="1"/>
  <c r="AX79" i="1"/>
  <c r="AV79" i="1"/>
  <c r="AX151" i="1"/>
  <c r="AV151" i="1"/>
  <c r="AX241" i="1"/>
  <c r="AV241" i="1"/>
  <c r="AX184" i="1"/>
  <c r="AV184" i="1"/>
  <c r="AX8" i="1"/>
  <c r="AV8" i="1"/>
  <c r="AV218" i="1"/>
  <c r="AX218" i="1"/>
  <c r="AV27" i="1"/>
  <c r="AX27" i="1"/>
  <c r="AX254" i="1"/>
  <c r="AV254" i="1"/>
  <c r="AX6" i="1"/>
  <c r="AV6" i="1"/>
  <c r="AX108" i="1"/>
  <c r="AV108" i="1"/>
  <c r="AV231" i="1"/>
  <c r="AX231" i="1"/>
  <c r="AV220" i="1"/>
  <c r="AX220" i="1"/>
  <c r="AV139" i="1"/>
  <c r="AX139" i="1"/>
  <c r="AV123" i="1"/>
  <c r="AX123" i="1"/>
  <c r="AX39" i="1"/>
  <c r="AV39" i="1"/>
  <c r="AX225" i="1"/>
  <c r="AV225" i="1"/>
  <c r="G8" i="1"/>
  <c r="G218" i="1"/>
  <c r="AV89" i="1"/>
  <c r="AX89" i="1"/>
  <c r="AX106" i="1"/>
  <c r="AV106" i="1"/>
  <c r="AX73" i="1"/>
  <c r="AV73" i="1"/>
  <c r="AX159" i="1"/>
  <c r="AV159" i="1"/>
  <c r="AX109" i="1"/>
  <c r="AV109" i="1"/>
  <c r="AX144" i="1"/>
  <c r="AV144" i="1"/>
  <c r="AV187" i="1"/>
  <c r="AX187" i="1"/>
  <c r="AX222" i="1"/>
  <c r="AV222" i="1"/>
  <c r="AX150" i="1"/>
  <c r="AV150" i="1"/>
  <c r="AX189" i="1"/>
  <c r="AV189" i="1"/>
  <c r="AX165" i="1"/>
  <c r="AV165" i="1"/>
  <c r="AX70" i="1"/>
  <c r="AV70" i="1"/>
  <c r="AX78" i="1"/>
  <c r="AV78" i="1"/>
  <c r="AX246" i="1"/>
  <c r="AV246" i="1"/>
  <c r="AV216" i="1"/>
  <c r="AX216" i="1"/>
  <c r="G6" i="1"/>
  <c r="G254" i="1"/>
  <c r="AX192" i="1"/>
  <c r="AV192" i="1"/>
  <c r="AX133" i="1"/>
  <c r="AV133" i="1"/>
  <c r="AX75" i="1"/>
  <c r="AV75" i="1"/>
  <c r="AX168" i="1"/>
  <c r="AV168" i="1"/>
  <c r="AX183" i="1"/>
  <c r="AV183" i="1"/>
  <c r="AX141" i="1"/>
  <c r="AV141" i="1"/>
  <c r="AV115" i="1"/>
  <c r="AX115" i="1"/>
  <c r="G7" i="1"/>
  <c r="G257" i="1"/>
  <c r="AX88" i="1"/>
  <c r="AV88" i="1"/>
  <c r="AX30" i="1"/>
  <c r="AV30" i="1"/>
  <c r="AX85" i="1"/>
  <c r="AV85" i="1"/>
  <c r="AV69" i="1"/>
  <c r="AX69" i="1"/>
  <c r="AX194" i="1"/>
  <c r="AV194" i="1"/>
  <c r="AV33" i="1"/>
  <c r="AX33" i="1"/>
  <c r="AX219" i="1"/>
  <c r="AV219" i="1"/>
  <c r="AV239" i="1"/>
  <c r="AX239" i="1"/>
  <c r="AV35" i="1"/>
  <c r="AX35" i="1"/>
  <c r="AX28" i="1"/>
  <c r="AV28" i="1"/>
  <c r="AX154" i="1"/>
  <c r="AV15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9" i="1"/>
  <c r="I99" i="1"/>
  <c r="H96" i="1"/>
  <c r="I96" i="1"/>
  <c r="H97" i="1"/>
  <c r="I97" i="1"/>
  <c r="H98" i="1"/>
  <c r="I98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A226" i="2" l="1"/>
  <c r="C226" i="2" s="1"/>
  <c r="I226" i="2"/>
  <c r="K226" i="2"/>
  <c r="M226" i="2"/>
  <c r="P226" i="2"/>
  <c r="A225" i="2"/>
  <c r="C225" i="2" s="1"/>
  <c r="I225" i="2"/>
  <c r="K225" i="2"/>
  <c r="M225" i="2"/>
  <c r="P225" i="2"/>
  <c r="A275" i="2"/>
  <c r="C275" i="2" s="1"/>
  <c r="I275" i="2"/>
  <c r="K275" i="2"/>
  <c r="M275" i="2"/>
  <c r="A248" i="2" l="1"/>
  <c r="C248" i="2" s="1"/>
  <c r="I248" i="2"/>
  <c r="K248" i="2"/>
  <c r="M248" i="2"/>
  <c r="P248" i="2"/>
  <c r="A247" i="2"/>
  <c r="C247" i="2" s="1"/>
  <c r="I247" i="2"/>
  <c r="K247" i="2"/>
  <c r="M247" i="2"/>
  <c r="P247" i="2"/>
  <c r="A246" i="2"/>
  <c r="C246" i="2" s="1"/>
  <c r="I246" i="2"/>
  <c r="K246" i="2"/>
  <c r="M246" i="2"/>
  <c r="P246" i="2"/>
  <c r="A245" i="2"/>
  <c r="C245" i="2" s="1"/>
  <c r="I245" i="2"/>
  <c r="K245" i="2"/>
  <c r="M245" i="2"/>
  <c r="P245" i="2"/>
  <c r="A244" i="2"/>
  <c r="C244" i="2" s="1"/>
  <c r="I244" i="2"/>
  <c r="K244" i="2"/>
  <c r="M244" i="2"/>
  <c r="P244" i="2"/>
  <c r="A255" i="2"/>
  <c r="C255" i="2" s="1"/>
  <c r="I255" i="2"/>
  <c r="K255" i="2"/>
  <c r="M255" i="2"/>
  <c r="P255" i="2"/>
  <c r="A241" i="2"/>
  <c r="C241" i="2" s="1"/>
  <c r="I241" i="2"/>
  <c r="K241" i="2"/>
  <c r="M241" i="2"/>
  <c r="P241" i="2"/>
  <c r="A234" i="2"/>
  <c r="C234" i="2" s="1"/>
  <c r="I234" i="2"/>
  <c r="K234" i="2"/>
  <c r="M234" i="2"/>
  <c r="P234" i="2"/>
  <c r="A233" i="2"/>
  <c r="C233" i="2" s="1"/>
  <c r="I233" i="2"/>
  <c r="K233" i="2"/>
  <c r="M233" i="2"/>
  <c r="P233" i="2"/>
  <c r="A240" i="2"/>
  <c r="C240" i="2" s="1"/>
  <c r="I240" i="2"/>
  <c r="K240" i="2"/>
  <c r="M240" i="2"/>
  <c r="P240" i="2"/>
  <c r="A239" i="2"/>
  <c r="C239" i="2" s="1"/>
  <c r="I239" i="2"/>
  <c r="K239" i="2"/>
  <c r="M239" i="2"/>
  <c r="P239" i="2"/>
  <c r="A217" i="2"/>
  <c r="C217" i="2" s="1"/>
  <c r="I217" i="2"/>
  <c r="K217" i="2"/>
  <c r="M217" i="2"/>
  <c r="P217" i="2"/>
  <c r="A224" i="2"/>
  <c r="C224" i="2" s="1"/>
  <c r="I224" i="2"/>
  <c r="K224" i="2"/>
  <c r="M224" i="2"/>
  <c r="P224" i="2"/>
  <c r="A237" i="2"/>
  <c r="C237" i="2" s="1"/>
  <c r="I237" i="2"/>
  <c r="K237" i="2"/>
  <c r="M237" i="2"/>
  <c r="P237" i="2"/>
  <c r="A236" i="2"/>
  <c r="C236" i="2" s="1"/>
  <c r="I236" i="2"/>
  <c r="K236" i="2"/>
  <c r="M236" i="2"/>
  <c r="P236" i="2"/>
  <c r="A197" i="2" l="1"/>
  <c r="C197" i="2" s="1"/>
  <c r="I197" i="2"/>
  <c r="K197" i="2"/>
  <c r="M197" i="2"/>
  <c r="P197" i="2"/>
  <c r="A195" i="2"/>
  <c r="C195" i="2" s="1"/>
  <c r="I195" i="2"/>
  <c r="K195" i="2"/>
  <c r="M195" i="2"/>
  <c r="P195" i="2"/>
  <c r="A178" i="2"/>
  <c r="C178" i="2" s="1"/>
  <c r="I178" i="2"/>
  <c r="K178" i="2"/>
  <c r="M178" i="2"/>
  <c r="P178" i="2"/>
  <c r="A267" i="2" l="1"/>
  <c r="C267" i="2" s="1"/>
  <c r="I267" i="2"/>
  <c r="K267" i="2"/>
  <c r="M267" i="2"/>
  <c r="A238" i="2" l="1"/>
  <c r="C238" i="2" s="1"/>
  <c r="I238" i="2"/>
  <c r="K238" i="2"/>
  <c r="M238" i="2"/>
  <c r="P238" i="2"/>
  <c r="A223" i="2"/>
  <c r="C223" i="2" s="1"/>
  <c r="I223" i="2"/>
  <c r="K223" i="2"/>
  <c r="M223" i="2"/>
  <c r="P223" i="2"/>
  <c r="A218" i="2"/>
  <c r="C218" i="2" s="1"/>
  <c r="I218" i="2"/>
  <c r="K218" i="2"/>
  <c r="M218" i="2"/>
  <c r="P218" i="2"/>
  <c r="A189" i="2" l="1"/>
  <c r="C189" i="2" s="1"/>
  <c r="I189" i="2"/>
  <c r="K189" i="2"/>
  <c r="M189" i="2"/>
  <c r="P189" i="2"/>
  <c r="A235" i="2" l="1"/>
  <c r="C235" i="2" s="1"/>
  <c r="I235" i="2"/>
  <c r="K235" i="2"/>
  <c r="M235" i="2"/>
  <c r="P235" i="2"/>
  <c r="A139" i="2"/>
  <c r="C139" i="2" s="1"/>
  <c r="I139" i="2"/>
  <c r="K139" i="2"/>
  <c r="M139" i="2"/>
  <c r="P139" i="2"/>
  <c r="A182" i="2"/>
  <c r="C182" i="2" s="1"/>
  <c r="I182" i="2"/>
  <c r="K182" i="2"/>
  <c r="M182" i="2"/>
  <c r="P182" i="2"/>
  <c r="A181" i="2"/>
  <c r="C181" i="2" s="1"/>
  <c r="I181" i="2"/>
  <c r="K181" i="2"/>
  <c r="M181" i="2"/>
  <c r="P181" i="2"/>
  <c r="A258" i="2"/>
  <c r="C258" i="2" s="1"/>
  <c r="I258" i="2"/>
  <c r="K258" i="2"/>
  <c r="M258" i="2"/>
  <c r="P258" i="2"/>
  <c r="A260" i="2"/>
  <c r="C260" i="2" s="1"/>
  <c r="I260" i="2"/>
  <c r="K260" i="2"/>
  <c r="M260" i="2"/>
  <c r="P260" i="2"/>
  <c r="A254" i="2"/>
  <c r="C254" i="2" s="1"/>
  <c r="I254" i="2"/>
  <c r="K254" i="2"/>
  <c r="M254" i="2"/>
  <c r="P254" i="2"/>
  <c r="A252" i="2"/>
  <c r="C252" i="2" s="1"/>
  <c r="I252" i="2"/>
  <c r="K252" i="2"/>
  <c r="M252" i="2"/>
  <c r="P252" i="2"/>
  <c r="A251" i="2"/>
  <c r="C251" i="2" s="1"/>
  <c r="I251" i="2"/>
  <c r="K251" i="2"/>
  <c r="M251" i="2"/>
  <c r="P251" i="2"/>
  <c r="A250" i="2"/>
  <c r="C250" i="2" s="1"/>
  <c r="I250" i="2"/>
  <c r="K250" i="2"/>
  <c r="M250" i="2"/>
  <c r="P250" i="2"/>
  <c r="A249" i="2"/>
  <c r="C249" i="2" s="1"/>
  <c r="I249" i="2"/>
  <c r="K249" i="2"/>
  <c r="M249" i="2"/>
  <c r="P249" i="2"/>
  <c r="A256" i="2"/>
  <c r="C256" i="2" s="1"/>
  <c r="I256" i="2"/>
  <c r="K256" i="2"/>
  <c r="M256" i="2"/>
  <c r="P256" i="2"/>
  <c r="A243" i="2"/>
  <c r="C243" i="2" s="1"/>
  <c r="I243" i="2"/>
  <c r="K243" i="2"/>
  <c r="M243" i="2"/>
  <c r="P243" i="2"/>
  <c r="A242" i="2"/>
  <c r="C242" i="2" s="1"/>
  <c r="I242" i="2"/>
  <c r="K242" i="2"/>
  <c r="M242" i="2"/>
  <c r="P242" i="2"/>
  <c r="A230" i="2"/>
  <c r="C230" i="2" s="1"/>
  <c r="I230" i="2"/>
  <c r="K230" i="2"/>
  <c r="M230" i="2"/>
  <c r="P230" i="2"/>
  <c r="A229" i="2"/>
  <c r="C229" i="2" s="1"/>
  <c r="I229" i="2"/>
  <c r="K229" i="2"/>
  <c r="M229" i="2"/>
  <c r="P229" i="2"/>
  <c r="A222" i="2"/>
  <c r="C222" i="2" s="1"/>
  <c r="I222" i="2"/>
  <c r="K222" i="2"/>
  <c r="M222" i="2"/>
  <c r="P222" i="2"/>
  <c r="A262" i="2"/>
  <c r="C262" i="2" s="1"/>
  <c r="I262" i="2"/>
  <c r="K262" i="2"/>
  <c r="M262" i="2"/>
  <c r="P262" i="2"/>
  <c r="A261" i="2"/>
  <c r="C261" i="2" s="1"/>
  <c r="I261" i="2"/>
  <c r="K261" i="2"/>
  <c r="M261" i="2"/>
  <c r="P261" i="2"/>
  <c r="A257" i="2"/>
  <c r="C257" i="2" s="1"/>
  <c r="I257" i="2"/>
  <c r="K257" i="2"/>
  <c r="M257" i="2"/>
  <c r="P257" i="2"/>
  <c r="A203" i="2"/>
  <c r="C203" i="2" s="1"/>
  <c r="I203" i="2"/>
  <c r="K203" i="2"/>
  <c r="M203" i="2"/>
  <c r="P203" i="2"/>
  <c r="A200" i="2"/>
  <c r="C200" i="2" s="1"/>
  <c r="I200" i="2"/>
  <c r="K200" i="2"/>
  <c r="M200" i="2"/>
  <c r="P200" i="2"/>
  <c r="I265" i="2"/>
  <c r="I264" i="2"/>
  <c r="A265" i="2"/>
  <c r="C265" i="2" s="1"/>
  <c r="K265" i="2"/>
  <c r="M265" i="2"/>
  <c r="P265" i="2"/>
  <c r="A264" i="2"/>
  <c r="C264" i="2" s="1"/>
  <c r="K264" i="2"/>
  <c r="M264" i="2"/>
  <c r="P264" i="2"/>
  <c r="A263" i="2"/>
  <c r="C263" i="2" s="1"/>
  <c r="I263" i="2"/>
  <c r="K263" i="2"/>
  <c r="M263" i="2"/>
  <c r="P263" i="2"/>
  <c r="A259" i="2"/>
  <c r="C259" i="2" s="1"/>
  <c r="I259" i="2"/>
  <c r="K259" i="2"/>
  <c r="M259" i="2"/>
  <c r="P259" i="2"/>
  <c r="A185" i="2"/>
  <c r="C185" i="2" s="1"/>
  <c r="I185" i="2"/>
  <c r="K185" i="2"/>
  <c r="M185" i="2"/>
  <c r="P185" i="2"/>
  <c r="A214" i="2"/>
  <c r="C214" i="2" s="1"/>
  <c r="I214" i="2"/>
  <c r="K214" i="2"/>
  <c r="M214" i="2"/>
  <c r="P214" i="2"/>
  <c r="A213" i="2"/>
  <c r="C213" i="2" s="1"/>
  <c r="I213" i="2"/>
  <c r="K213" i="2"/>
  <c r="M213" i="2"/>
  <c r="P213" i="2"/>
  <c r="A221" i="2"/>
  <c r="C221" i="2" s="1"/>
  <c r="I221" i="2"/>
  <c r="K221" i="2"/>
  <c r="M221" i="2"/>
  <c r="P221" i="2"/>
  <c r="A232" i="2"/>
  <c r="C232" i="2" s="1"/>
  <c r="I232" i="2"/>
  <c r="K232" i="2"/>
  <c r="M232" i="2"/>
  <c r="P232" i="2"/>
  <c r="A231" i="2"/>
  <c r="C231" i="2" s="1"/>
  <c r="I231" i="2"/>
  <c r="K231" i="2"/>
  <c r="M231" i="2"/>
  <c r="P231" i="2"/>
  <c r="A228" i="2"/>
  <c r="C228" i="2" s="1"/>
  <c r="I228" i="2"/>
  <c r="K228" i="2"/>
  <c r="M228" i="2"/>
  <c r="P228" i="2"/>
  <c r="A227" i="2"/>
  <c r="C227" i="2" s="1"/>
  <c r="I227" i="2"/>
  <c r="K227" i="2"/>
  <c r="M227" i="2"/>
  <c r="P227" i="2"/>
  <c r="A212" i="2"/>
  <c r="C212" i="2" s="1"/>
  <c r="I212" i="2"/>
  <c r="K212" i="2"/>
  <c r="M212" i="2"/>
  <c r="P212" i="2"/>
  <c r="A175" i="2"/>
  <c r="C175" i="2" s="1"/>
  <c r="I175" i="2"/>
  <c r="K175" i="2"/>
  <c r="M175" i="2"/>
  <c r="P175" i="2"/>
  <c r="A163" i="2"/>
  <c r="C163" i="2" s="1"/>
  <c r="I163" i="2"/>
  <c r="K163" i="2"/>
  <c r="M163" i="2"/>
  <c r="P163" i="2"/>
  <c r="I204" i="2" l="1"/>
  <c r="P204" i="2"/>
  <c r="M204" i="2"/>
  <c r="K204" i="2"/>
  <c r="A183" i="2" l="1"/>
  <c r="I216" i="2" l="1"/>
  <c r="J26" i="5" l="1"/>
  <c r="P144" i="2" l="1"/>
  <c r="M144" i="2"/>
  <c r="K144" i="2"/>
  <c r="I144" i="2"/>
  <c r="A144" i="2"/>
  <c r="C144" i="2" s="1"/>
  <c r="P184" i="2"/>
  <c r="M184" i="2"/>
  <c r="K184" i="2"/>
  <c r="I184" i="2"/>
  <c r="A184" i="2"/>
  <c r="C184" i="2" s="1"/>
  <c r="P135" i="2"/>
  <c r="M135" i="2"/>
  <c r="K135" i="2"/>
  <c r="I135" i="2"/>
  <c r="A135" i="2"/>
  <c r="C135" i="2" s="1"/>
  <c r="P174" i="2"/>
  <c r="M174" i="2"/>
  <c r="K174" i="2"/>
  <c r="I174" i="2"/>
  <c r="A174" i="2"/>
  <c r="P149" i="2"/>
  <c r="M149" i="2"/>
  <c r="K149" i="2"/>
  <c r="I149" i="2"/>
  <c r="A149" i="2"/>
  <c r="C149" i="2" s="1"/>
  <c r="P155" i="2"/>
  <c r="M155" i="2"/>
  <c r="K155" i="2"/>
  <c r="I155" i="2"/>
  <c r="A155" i="2"/>
  <c r="C155" i="2" s="1"/>
  <c r="P145" i="2"/>
  <c r="M145" i="2"/>
  <c r="K145" i="2"/>
  <c r="I145" i="2"/>
  <c r="A145" i="2"/>
  <c r="C145" i="2" s="1"/>
  <c r="P187" i="2"/>
  <c r="M187" i="2"/>
  <c r="K187" i="2"/>
  <c r="I187" i="2"/>
  <c r="A187" i="2"/>
  <c r="C187" i="2" s="1"/>
  <c r="A201" i="2" l="1"/>
  <c r="C201" i="2" s="1"/>
  <c r="I201" i="2"/>
  <c r="K201" i="2"/>
  <c r="M201" i="2"/>
  <c r="P201" i="2"/>
  <c r="A220" i="2"/>
  <c r="C220" i="2" s="1"/>
  <c r="I220" i="2"/>
  <c r="K220" i="2"/>
  <c r="M220" i="2"/>
  <c r="P220" i="2"/>
  <c r="A199" i="2"/>
  <c r="C199" i="2" s="1"/>
  <c r="I199" i="2"/>
  <c r="K199" i="2"/>
  <c r="M199" i="2"/>
  <c r="P199" i="2"/>
  <c r="A190" i="2" l="1"/>
  <c r="C190" i="2" s="1"/>
  <c r="I190" i="2"/>
  <c r="K190" i="2"/>
  <c r="M190" i="2"/>
  <c r="P190" i="2"/>
  <c r="E98" i="2" l="1"/>
  <c r="H74" i="1" l="1"/>
  <c r="I74" i="1"/>
  <c r="A198" i="2" l="1"/>
  <c r="C198" i="2" s="1"/>
  <c r="I198" i="2"/>
  <c r="K198" i="2"/>
  <c r="M198" i="2"/>
  <c r="P198" i="2"/>
  <c r="C186" i="2"/>
  <c r="C202" i="2"/>
  <c r="C183" i="2"/>
  <c r="A192" i="2"/>
  <c r="C192" i="2" s="1"/>
  <c r="A161" i="2"/>
  <c r="C161" i="2" s="1"/>
  <c r="A133" i="2"/>
  <c r="C133" i="2" s="1"/>
  <c r="A219" i="2"/>
  <c r="C219" i="2" s="1"/>
  <c r="I186" i="2"/>
  <c r="I202" i="2"/>
  <c r="I183" i="2"/>
  <c r="I192" i="2"/>
  <c r="I161" i="2"/>
  <c r="I133" i="2"/>
  <c r="I219" i="2"/>
  <c r="K186" i="2"/>
  <c r="K202" i="2"/>
  <c r="K183" i="2"/>
  <c r="K192" i="2"/>
  <c r="K161" i="2"/>
  <c r="K133" i="2"/>
  <c r="K219" i="2"/>
  <c r="M186" i="2"/>
  <c r="M202" i="2"/>
  <c r="M183" i="2"/>
  <c r="M192" i="2"/>
  <c r="M161" i="2"/>
  <c r="M133" i="2"/>
  <c r="M219" i="2"/>
  <c r="P186" i="2"/>
  <c r="P202" i="2"/>
  <c r="P183" i="2"/>
  <c r="P192" i="2"/>
  <c r="P161" i="2"/>
  <c r="P133" i="2"/>
  <c r="P219" i="2"/>
  <c r="A179" i="2"/>
  <c r="C179" i="2" s="1"/>
  <c r="A132" i="2"/>
  <c r="C132" i="2" s="1"/>
  <c r="A216" i="2"/>
  <c r="C216" i="2" s="1"/>
  <c r="A176" i="2"/>
  <c r="C176" i="2" s="1"/>
  <c r="A208" i="2"/>
  <c r="C208" i="2" s="1"/>
  <c r="I179" i="2"/>
  <c r="I132" i="2"/>
  <c r="I176" i="2"/>
  <c r="I208" i="2"/>
  <c r="K179" i="2"/>
  <c r="K132" i="2"/>
  <c r="K216" i="2"/>
  <c r="K176" i="2"/>
  <c r="K208" i="2"/>
  <c r="M179" i="2"/>
  <c r="M132" i="2"/>
  <c r="M216" i="2"/>
  <c r="M176" i="2"/>
  <c r="M208" i="2"/>
  <c r="P179" i="2"/>
  <c r="P132" i="2"/>
  <c r="P216" i="2"/>
  <c r="P176" i="2"/>
  <c r="P208" i="2"/>
  <c r="A209" i="2"/>
  <c r="C209" i="2" s="1"/>
  <c r="A266" i="2"/>
  <c r="C266" i="2" s="1"/>
  <c r="A196" i="2"/>
  <c r="C196" i="2" s="1"/>
  <c r="A205" i="2"/>
  <c r="C205" i="2" s="1"/>
  <c r="A206" i="2"/>
  <c r="C206" i="2" s="1"/>
  <c r="I209" i="2"/>
  <c r="I266" i="2"/>
  <c r="I196" i="2"/>
  <c r="I205" i="2"/>
  <c r="I206" i="2"/>
  <c r="K209" i="2"/>
  <c r="K266" i="2"/>
  <c r="K196" i="2"/>
  <c r="K205" i="2"/>
  <c r="K206" i="2"/>
  <c r="M209" i="2"/>
  <c r="M266" i="2"/>
  <c r="M196" i="2"/>
  <c r="M205" i="2"/>
  <c r="M206" i="2"/>
  <c r="P209" i="2"/>
  <c r="P266" i="2"/>
  <c r="P196" i="2"/>
  <c r="P205" i="2"/>
  <c r="P206" i="2"/>
  <c r="A134" i="2"/>
  <c r="C134" i="2" s="1"/>
  <c r="A207" i="2"/>
  <c r="C207" i="2" s="1"/>
  <c r="A146" i="2"/>
  <c r="C146" i="2" s="1"/>
  <c r="A180" i="2"/>
  <c r="C180" i="2" s="1"/>
  <c r="A211" i="2"/>
  <c r="C211" i="2" s="1"/>
  <c r="I134" i="2"/>
  <c r="I207" i="2"/>
  <c r="I146" i="2"/>
  <c r="I180" i="2"/>
  <c r="I211" i="2"/>
  <c r="K134" i="2"/>
  <c r="K207" i="2"/>
  <c r="K146" i="2"/>
  <c r="K180" i="2"/>
  <c r="K211" i="2"/>
  <c r="M134" i="2"/>
  <c r="M207" i="2"/>
  <c r="M146" i="2"/>
  <c r="M180" i="2"/>
  <c r="M211" i="2"/>
  <c r="P134" i="2"/>
  <c r="P207" i="2"/>
  <c r="P146" i="2"/>
  <c r="P180" i="2"/>
  <c r="P211" i="2"/>
  <c r="I160" i="2" l="1"/>
  <c r="I170" i="2" l="1"/>
  <c r="K170" i="2"/>
  <c r="M170" i="2"/>
  <c r="P170" i="2"/>
  <c r="A113" i="2" l="1"/>
  <c r="C113" i="2" s="1"/>
  <c r="I113" i="2"/>
  <c r="K113" i="2"/>
  <c r="M113" i="2"/>
  <c r="P113" i="2"/>
  <c r="A2" i="2"/>
  <c r="A151" i="2"/>
  <c r="C151" i="2" s="1"/>
  <c r="I2" i="2"/>
  <c r="I151" i="2"/>
  <c r="K2" i="2"/>
  <c r="K151" i="2"/>
  <c r="M2" i="2"/>
  <c r="M151" i="2"/>
  <c r="P2" i="2"/>
  <c r="P151" i="2"/>
  <c r="A165" i="2"/>
  <c r="C165" i="2" s="1"/>
  <c r="I165" i="2"/>
  <c r="K165" i="2"/>
  <c r="M165" i="2"/>
  <c r="P165" i="2"/>
  <c r="I114" i="2"/>
  <c r="K114" i="2"/>
  <c r="K160" i="2"/>
  <c r="M114" i="2"/>
  <c r="M160" i="2"/>
  <c r="P114" i="2"/>
  <c r="P160" i="2"/>
  <c r="I171" i="2"/>
  <c r="I153" i="2"/>
  <c r="K171" i="2"/>
  <c r="K153" i="2"/>
  <c r="M171" i="2"/>
  <c r="M153" i="2"/>
  <c r="P171" i="2"/>
  <c r="P153" i="2"/>
  <c r="C2" i="2" l="1"/>
  <c r="A156" i="2"/>
  <c r="C156" i="2" s="1"/>
  <c r="I156" i="2"/>
  <c r="K156" i="2"/>
  <c r="M156" i="2"/>
  <c r="P156" i="2"/>
  <c r="A150" i="2"/>
  <c r="C150" i="2" s="1"/>
  <c r="I150" i="2"/>
  <c r="K150" i="2"/>
  <c r="M150" i="2"/>
  <c r="P150" i="2"/>
  <c r="I177" i="2"/>
  <c r="K177" i="2"/>
  <c r="M177" i="2"/>
  <c r="P177" i="2"/>
  <c r="I193" i="2"/>
  <c r="K193" i="2"/>
  <c r="M193" i="2"/>
  <c r="P193" i="2"/>
  <c r="I210" i="2"/>
  <c r="K210" i="2"/>
  <c r="M210" i="2"/>
  <c r="P210" i="2"/>
  <c r="I253" i="2"/>
  <c r="K253" i="2"/>
  <c r="M253" i="2"/>
  <c r="P253" i="2"/>
  <c r="I215" i="2"/>
  <c r="K215" i="2"/>
  <c r="M215" i="2"/>
  <c r="P215" i="2"/>
  <c r="A154" i="2"/>
  <c r="C154" i="2" s="1"/>
  <c r="I154" i="2"/>
  <c r="K154" i="2"/>
  <c r="M154" i="2"/>
  <c r="P154" i="2"/>
  <c r="A169" i="2"/>
  <c r="C169" i="2" s="1"/>
  <c r="I169" i="2"/>
  <c r="K169" i="2"/>
  <c r="M169" i="2"/>
  <c r="P169" i="2"/>
  <c r="A157" i="2" l="1"/>
  <c r="C157" i="2" s="1"/>
  <c r="I157" i="2"/>
  <c r="K157" i="2"/>
  <c r="M157" i="2"/>
  <c r="P157" i="2"/>
  <c r="A194" i="2"/>
  <c r="C194" i="2" s="1"/>
  <c r="I194" i="2"/>
  <c r="K194" i="2"/>
  <c r="M194" i="2"/>
  <c r="P194" i="2"/>
  <c r="A152" i="2"/>
  <c r="C152" i="2" s="1"/>
  <c r="I152" i="2"/>
  <c r="K152" i="2"/>
  <c r="M152" i="2"/>
  <c r="P152" i="2"/>
  <c r="A164" i="2"/>
  <c r="C164" i="2" s="1"/>
  <c r="I164" i="2"/>
  <c r="K164" i="2"/>
  <c r="M164" i="2"/>
  <c r="P164" i="2"/>
  <c r="A148" i="2" l="1"/>
  <c r="C148" i="2" s="1"/>
  <c r="I148" i="2"/>
  <c r="K148" i="2"/>
  <c r="M148" i="2"/>
  <c r="P148" i="2"/>
  <c r="A168" i="2"/>
  <c r="C168" i="2" s="1"/>
  <c r="I168" i="2"/>
  <c r="K168" i="2"/>
  <c r="M168" i="2"/>
  <c r="P168" i="2"/>
  <c r="H75" i="1" l="1"/>
  <c r="I75" i="1"/>
  <c r="H76" i="1"/>
  <c r="I76" i="1"/>
  <c r="H83" i="1" l="1"/>
  <c r="I83" i="1"/>
  <c r="A68" i="2" l="1"/>
  <c r="C68" i="2" s="1"/>
  <c r="I68" i="2"/>
  <c r="K68" i="2"/>
  <c r="M68" i="2"/>
  <c r="P68" i="2"/>
  <c r="H84" i="1" l="1"/>
  <c r="I84" i="1"/>
  <c r="H82" i="1"/>
  <c r="I82" i="1"/>
  <c r="H81" i="1"/>
  <c r="I81" i="1"/>
  <c r="H80" i="1"/>
  <c r="I80" i="1"/>
  <c r="H79" i="1"/>
  <c r="I79" i="1"/>
  <c r="H78" i="1"/>
  <c r="I78" i="1"/>
  <c r="H77" i="1"/>
  <c r="I77" i="1"/>
  <c r="H66" i="1" l="1"/>
  <c r="H67" i="1"/>
  <c r="H68" i="1"/>
  <c r="H69" i="1"/>
  <c r="H70" i="1"/>
  <c r="H71" i="1"/>
  <c r="H72" i="1"/>
  <c r="H73" i="1"/>
  <c r="I66" i="1"/>
  <c r="I67" i="1"/>
  <c r="I68" i="1"/>
  <c r="I69" i="1"/>
  <c r="I70" i="1"/>
  <c r="I71" i="1"/>
  <c r="I72" i="1"/>
  <c r="I73" i="1"/>
  <c r="A136" i="2" l="1"/>
  <c r="C136" i="2" s="1"/>
  <c r="I136" i="2"/>
  <c r="K136" i="2"/>
  <c r="M136" i="2"/>
  <c r="P136" i="2"/>
  <c r="A131" i="2" l="1"/>
  <c r="C131" i="2" s="1"/>
  <c r="I131" i="2"/>
  <c r="K131" i="2"/>
  <c r="M131" i="2"/>
  <c r="P131" i="2"/>
  <c r="A158" i="2"/>
  <c r="C158" i="2" s="1"/>
  <c r="I158" i="2"/>
  <c r="K158" i="2"/>
  <c r="M158" i="2"/>
  <c r="P158" i="2"/>
  <c r="A142" i="2"/>
  <c r="C142" i="2" s="1"/>
  <c r="I142" i="2"/>
  <c r="K142" i="2"/>
  <c r="M142" i="2"/>
  <c r="P142" i="2"/>
  <c r="A102" i="2"/>
  <c r="C102" i="2" s="1"/>
  <c r="I102" i="2"/>
  <c r="K102" i="2"/>
  <c r="M102" i="2"/>
  <c r="P102" i="2"/>
  <c r="H65" i="1" l="1"/>
  <c r="H64" i="1"/>
  <c r="I65" i="1"/>
  <c r="I64" i="1"/>
  <c r="H61" i="1" l="1"/>
  <c r="H62" i="1"/>
  <c r="H63" i="1"/>
  <c r="I61" i="1"/>
  <c r="I62" i="1"/>
  <c r="I63" i="1"/>
  <c r="A172" i="2" l="1"/>
  <c r="C172" i="2" s="1"/>
  <c r="I172" i="2"/>
  <c r="K172" i="2"/>
  <c r="M172" i="2"/>
  <c r="P172" i="2"/>
  <c r="A166" i="2"/>
  <c r="C166" i="2" s="1"/>
  <c r="I166" i="2"/>
  <c r="K166" i="2"/>
  <c r="M166" i="2"/>
  <c r="P166" i="2"/>
  <c r="A120" i="2"/>
  <c r="C120" i="2" s="1"/>
  <c r="I120" i="2"/>
  <c r="K120" i="2"/>
  <c r="M120" i="2"/>
  <c r="P120" i="2"/>
  <c r="A130" i="2"/>
  <c r="C130" i="2" s="1"/>
  <c r="I130" i="2"/>
  <c r="K130" i="2"/>
  <c r="M130" i="2"/>
  <c r="P130" i="2"/>
  <c r="A147" i="2"/>
  <c r="C147" i="2" s="1"/>
  <c r="A159" i="2"/>
  <c r="C159" i="2" s="1"/>
  <c r="I159" i="2"/>
  <c r="K159" i="2"/>
  <c r="M159" i="2"/>
  <c r="P159" i="2"/>
  <c r="A162" i="2"/>
  <c r="C162" i="2" s="1"/>
  <c r="I162" i="2"/>
  <c r="K162" i="2"/>
  <c r="M162" i="2"/>
  <c r="P162" i="2"/>
  <c r="H58" i="1" l="1"/>
  <c r="H59" i="1"/>
  <c r="H60" i="1"/>
  <c r="I58" i="1"/>
  <c r="I59" i="1"/>
  <c r="I60" i="1"/>
  <c r="A109" i="2" l="1"/>
  <c r="C109" i="2" s="1"/>
  <c r="I109" i="2"/>
  <c r="K109" i="2"/>
  <c r="M109" i="2"/>
  <c r="P109" i="2"/>
  <c r="A191" i="2" l="1"/>
  <c r="C191" i="2" s="1"/>
  <c r="I191" i="2"/>
  <c r="K191" i="2"/>
  <c r="M191" i="2"/>
  <c r="P191" i="2"/>
  <c r="P140" i="2"/>
  <c r="M140" i="2"/>
  <c r="K140" i="2"/>
  <c r="I140" i="2"/>
  <c r="A137" i="2"/>
  <c r="C137" i="2" s="1"/>
  <c r="A138" i="2"/>
  <c r="C138" i="2" s="1"/>
  <c r="A140" i="2"/>
  <c r="C140" i="2" s="1"/>
  <c r="I137" i="2"/>
  <c r="I138" i="2"/>
  <c r="K137" i="2"/>
  <c r="K138" i="2"/>
  <c r="M137" i="2"/>
  <c r="M138" i="2"/>
  <c r="P137" i="2"/>
  <c r="P138" i="2"/>
  <c r="A101" i="2"/>
  <c r="C101" i="2" s="1"/>
  <c r="I101" i="2"/>
  <c r="K101" i="2"/>
  <c r="M101" i="2"/>
  <c r="P101" i="2"/>
  <c r="H56" i="1" l="1"/>
  <c r="H57" i="1"/>
  <c r="I56" i="1"/>
  <c r="I57" i="1"/>
  <c r="H19" i="1" l="1"/>
  <c r="I19" i="1"/>
  <c r="A108" i="2"/>
  <c r="C108" i="2" s="1"/>
  <c r="I108" i="2"/>
  <c r="K108" i="2"/>
  <c r="M108" i="2"/>
  <c r="P108" i="2"/>
  <c r="A167" i="2"/>
  <c r="C167" i="2" s="1"/>
  <c r="I167" i="2"/>
  <c r="K167" i="2"/>
  <c r="M167" i="2"/>
  <c r="P167" i="2"/>
  <c r="H52" i="1" l="1"/>
  <c r="H53" i="1"/>
  <c r="H54" i="1"/>
  <c r="H55" i="1"/>
  <c r="I52" i="1"/>
  <c r="I53" i="1"/>
  <c r="I54" i="1"/>
  <c r="I55" i="1"/>
  <c r="P88" i="2" l="1"/>
  <c r="M88" i="2"/>
  <c r="K88" i="2"/>
  <c r="I88" i="2"/>
  <c r="P87" i="2"/>
  <c r="M87" i="2"/>
  <c r="K87" i="2"/>
  <c r="I87" i="2"/>
  <c r="A97" i="2"/>
  <c r="C97" i="2" s="1"/>
  <c r="I97" i="2"/>
  <c r="K97" i="2"/>
  <c r="M97" i="2"/>
  <c r="P97" i="2"/>
  <c r="A129" i="2"/>
  <c r="C129" i="2" s="1"/>
  <c r="I129" i="2"/>
  <c r="K129" i="2"/>
  <c r="M129" i="2"/>
  <c r="P129" i="2"/>
  <c r="A105" i="2"/>
  <c r="C105" i="2" s="1"/>
  <c r="I105" i="2"/>
  <c r="K105" i="2"/>
  <c r="M105" i="2"/>
  <c r="P105" i="2"/>
  <c r="A127" i="2"/>
  <c r="C127" i="2" s="1"/>
  <c r="I127" i="2"/>
  <c r="K127" i="2"/>
  <c r="M127" i="2"/>
  <c r="P127" i="2"/>
  <c r="A104" i="2"/>
  <c r="C104" i="2" s="1"/>
  <c r="I104" i="2"/>
  <c r="K104" i="2"/>
  <c r="M104" i="2"/>
  <c r="P104" i="2"/>
  <c r="A87" i="2"/>
  <c r="C87" i="2" s="1"/>
  <c r="A88" i="2"/>
  <c r="C88" i="2" s="1"/>
  <c r="A86" i="2"/>
  <c r="C86" i="2" s="1"/>
  <c r="I86" i="2"/>
  <c r="K86" i="2"/>
  <c r="M86" i="2"/>
  <c r="P86" i="2"/>
  <c r="A141" i="2"/>
  <c r="C141" i="2" s="1"/>
  <c r="I141" i="2"/>
  <c r="K141" i="2"/>
  <c r="M141" i="2"/>
  <c r="P141" i="2"/>
  <c r="H49" i="1"/>
  <c r="H50" i="1"/>
  <c r="H51" i="1"/>
  <c r="I49" i="1"/>
  <c r="I50" i="1"/>
  <c r="I51" i="1"/>
  <c r="H48" i="1"/>
  <c r="H47" i="1"/>
  <c r="H45" i="1"/>
  <c r="H46" i="1"/>
  <c r="H44" i="1"/>
  <c r="I48" i="1"/>
  <c r="I47" i="1"/>
  <c r="I45" i="1"/>
  <c r="I46" i="1"/>
  <c r="I44" i="1"/>
  <c r="H32" i="1"/>
  <c r="H40" i="1"/>
  <c r="H41" i="1"/>
  <c r="H42" i="1"/>
  <c r="H43" i="1"/>
  <c r="I32" i="1"/>
  <c r="I40" i="1"/>
  <c r="I41" i="1"/>
  <c r="I42" i="1"/>
  <c r="I43" i="1"/>
  <c r="H36" i="1"/>
  <c r="H35" i="1"/>
  <c r="H37" i="1"/>
  <c r="H38" i="1"/>
  <c r="H39" i="1"/>
  <c r="I36" i="1"/>
  <c r="I35" i="1"/>
  <c r="I37" i="1"/>
  <c r="I38" i="1"/>
  <c r="I39" i="1"/>
  <c r="H31" i="1"/>
  <c r="H33" i="1"/>
  <c r="H34" i="1"/>
  <c r="I31" i="1"/>
  <c r="I33" i="1"/>
  <c r="I34" i="1"/>
  <c r="H28" i="1"/>
  <c r="H29" i="1"/>
  <c r="H30" i="1"/>
  <c r="I28" i="1"/>
  <c r="I29" i="1"/>
  <c r="I30" i="1"/>
  <c r="A143" i="2"/>
  <c r="C143" i="2" s="1"/>
  <c r="I143" i="2"/>
  <c r="K143" i="2"/>
  <c r="M143" i="2"/>
  <c r="P143" i="2"/>
  <c r="A123" i="2"/>
  <c r="C123" i="2" s="1"/>
  <c r="I123" i="2"/>
  <c r="K123" i="2"/>
  <c r="M123" i="2"/>
  <c r="P123" i="2"/>
  <c r="A124" i="2"/>
  <c r="C124" i="2" s="1"/>
  <c r="I124" i="2"/>
  <c r="K124" i="2"/>
  <c r="M124" i="2"/>
  <c r="P124" i="2"/>
  <c r="A128" i="2" l="1"/>
  <c r="C128" i="2" s="1"/>
  <c r="I128" i="2"/>
  <c r="K128" i="2"/>
  <c r="M128" i="2"/>
  <c r="P128" i="2"/>
  <c r="A103" i="2"/>
  <c r="C103" i="2" s="1"/>
  <c r="I103" i="2"/>
  <c r="K103" i="2"/>
  <c r="M103" i="2"/>
  <c r="P103" i="2"/>
  <c r="H26" i="1" l="1"/>
  <c r="H27" i="1"/>
  <c r="I26" i="1"/>
  <c r="I27" i="1"/>
  <c r="H21" i="1" l="1"/>
  <c r="H23" i="1"/>
  <c r="H24" i="1"/>
  <c r="H25" i="1"/>
  <c r="I21" i="1"/>
  <c r="I23" i="1"/>
  <c r="I24" i="1"/>
  <c r="I25" i="1"/>
  <c r="H22" i="1" l="1"/>
  <c r="H16" i="1"/>
  <c r="H17" i="1"/>
  <c r="H18" i="1"/>
  <c r="I22" i="1"/>
  <c r="I16" i="1"/>
  <c r="I17" i="1"/>
  <c r="I18" i="1"/>
  <c r="H20" i="1"/>
  <c r="I20" i="1"/>
  <c r="A173" i="2" l="1"/>
  <c r="C173" i="2" s="1"/>
  <c r="I173" i="2"/>
  <c r="K173" i="2"/>
  <c r="M173" i="2"/>
  <c r="P173" i="2"/>
  <c r="H11" i="1" l="1"/>
  <c r="H12" i="1"/>
  <c r="H13" i="1"/>
  <c r="H14" i="1"/>
  <c r="H15" i="1"/>
  <c r="I11" i="1"/>
  <c r="I12" i="1"/>
  <c r="I13" i="1"/>
  <c r="I14" i="1"/>
  <c r="I15" i="1"/>
  <c r="A115" i="2" l="1"/>
  <c r="C115" i="2" s="1"/>
  <c r="I115" i="2"/>
  <c r="K115" i="2"/>
  <c r="M115" i="2"/>
  <c r="P115" i="2"/>
  <c r="A110" i="2"/>
  <c r="C110" i="2" s="1"/>
  <c r="I110" i="2"/>
  <c r="K110" i="2"/>
  <c r="M110" i="2"/>
  <c r="P110" i="2"/>
  <c r="A119" i="2"/>
  <c r="C119" i="2" s="1"/>
  <c r="I119" i="2"/>
  <c r="K119" i="2"/>
  <c r="M119" i="2"/>
  <c r="P119" i="2"/>
  <c r="A125" i="2"/>
  <c r="C125" i="2" s="1"/>
  <c r="I125" i="2"/>
  <c r="K125" i="2"/>
  <c r="M125" i="2"/>
  <c r="P125" i="2"/>
  <c r="A58" i="2" l="1"/>
  <c r="C58" i="2" s="1"/>
  <c r="I58" i="2"/>
  <c r="K58" i="2"/>
  <c r="M58" i="2"/>
  <c r="P58" i="2"/>
  <c r="A59" i="2"/>
  <c r="C59" i="2" s="1"/>
  <c r="I59" i="2"/>
  <c r="K59" i="2"/>
  <c r="M59" i="2"/>
  <c r="P59" i="2"/>
  <c r="A99" i="2" l="1"/>
  <c r="C99" i="2" s="1"/>
  <c r="A122" i="2"/>
  <c r="A100" i="2"/>
  <c r="C100" i="2" s="1"/>
  <c r="A111" i="2"/>
  <c r="C111" i="2" s="1"/>
  <c r="I99" i="2"/>
  <c r="I122" i="2"/>
  <c r="I100" i="2"/>
  <c r="I111" i="2"/>
  <c r="K99" i="2"/>
  <c r="K122" i="2"/>
  <c r="K100" i="2"/>
  <c r="K111" i="2"/>
  <c r="M99" i="2"/>
  <c r="M122" i="2"/>
  <c r="M100" i="2"/>
  <c r="M111" i="2"/>
  <c r="P99" i="2"/>
  <c r="P122" i="2"/>
  <c r="P100" i="2"/>
  <c r="P111" i="2"/>
  <c r="A118" i="2"/>
  <c r="C118" i="2" s="1"/>
  <c r="I118" i="2"/>
  <c r="K118" i="2"/>
  <c r="M118" i="2"/>
  <c r="P118" i="2"/>
  <c r="C122" i="2" l="1"/>
  <c r="H9" i="1"/>
  <c r="H10" i="1"/>
  <c r="I9" i="1"/>
  <c r="I10" i="1"/>
  <c r="H6" i="1" l="1"/>
  <c r="H7" i="1"/>
  <c r="H8" i="1"/>
  <c r="I6" i="1"/>
  <c r="I7" i="1"/>
  <c r="I8" i="1"/>
  <c r="H4" i="1"/>
  <c r="H5" i="1"/>
  <c r="I4" i="1"/>
  <c r="I5" i="1"/>
  <c r="H3" i="1"/>
  <c r="I3" i="1"/>
  <c r="A107" i="2" l="1"/>
  <c r="C107" i="2" s="1"/>
  <c r="A116" i="2"/>
  <c r="C116" i="2" s="1"/>
  <c r="A112" i="2"/>
  <c r="C112" i="2" s="1"/>
  <c r="I107" i="2"/>
  <c r="I116" i="2"/>
  <c r="I112" i="2"/>
  <c r="K107" i="2"/>
  <c r="K116" i="2"/>
  <c r="K112" i="2"/>
  <c r="M107" i="2"/>
  <c r="M116" i="2"/>
  <c r="M112" i="2"/>
  <c r="P107" i="2"/>
  <c r="P116" i="2"/>
  <c r="P112" i="2"/>
  <c r="A121" i="2" l="1"/>
  <c r="C121" i="2" s="1"/>
  <c r="I121" i="2"/>
  <c r="K121" i="2"/>
  <c r="M121" i="2"/>
  <c r="P121" i="2"/>
  <c r="A30" i="2" l="1"/>
  <c r="C30" i="2" s="1"/>
  <c r="I30" i="2"/>
  <c r="K30" i="2"/>
  <c r="M30" i="2"/>
  <c r="P30" i="2"/>
  <c r="A31" i="2"/>
  <c r="C31" i="2" s="1"/>
  <c r="I31" i="2"/>
  <c r="K31" i="2"/>
  <c r="M31" i="2"/>
  <c r="P31" i="2"/>
  <c r="P78" i="2" l="1"/>
  <c r="M78" i="2"/>
  <c r="K78" i="2"/>
  <c r="I78" i="2"/>
  <c r="P77" i="2"/>
  <c r="M77" i="2"/>
  <c r="K77" i="2"/>
  <c r="I77" i="2"/>
  <c r="A55" i="2"/>
  <c r="C55" i="2" s="1"/>
  <c r="I55" i="2"/>
  <c r="K55" i="2"/>
  <c r="M55" i="2"/>
  <c r="P55" i="2"/>
  <c r="A98" i="2"/>
  <c r="C98" i="2" s="1"/>
  <c r="I98" i="2"/>
  <c r="K98" i="2"/>
  <c r="M98" i="2"/>
  <c r="P98" i="2"/>
  <c r="A93" i="2"/>
  <c r="C93" i="2" s="1"/>
  <c r="I93" i="2"/>
  <c r="K93" i="2"/>
  <c r="M93" i="2"/>
  <c r="P93" i="2"/>
  <c r="A96" i="2"/>
  <c r="C96" i="2" s="1"/>
  <c r="I96" i="2"/>
  <c r="K96" i="2"/>
  <c r="M96" i="2"/>
  <c r="P96" i="2"/>
  <c r="A188" i="2"/>
  <c r="C188" i="2" s="1"/>
  <c r="A94" i="2"/>
  <c r="C94" i="2" s="1"/>
  <c r="A95" i="2"/>
  <c r="C95" i="2" s="1"/>
  <c r="A72" i="2"/>
  <c r="C72" i="2" s="1"/>
  <c r="A51" i="2"/>
  <c r="C51" i="2" s="1"/>
  <c r="A73" i="2"/>
  <c r="C73" i="2" s="1"/>
  <c r="A76" i="2"/>
  <c r="C76" i="2" s="1"/>
  <c r="A77" i="2"/>
  <c r="C77" i="2" s="1"/>
  <c r="A78" i="2"/>
  <c r="C78" i="2" s="1"/>
  <c r="I188" i="2"/>
  <c r="I94" i="2"/>
  <c r="I95" i="2"/>
  <c r="I72" i="2"/>
  <c r="I51" i="2"/>
  <c r="I73" i="2"/>
  <c r="I76" i="2"/>
  <c r="K188" i="2"/>
  <c r="K94" i="2"/>
  <c r="K95" i="2"/>
  <c r="K72" i="2"/>
  <c r="K51" i="2"/>
  <c r="K73" i="2"/>
  <c r="K76" i="2"/>
  <c r="M188" i="2"/>
  <c r="M94" i="2"/>
  <c r="M95" i="2"/>
  <c r="M72" i="2"/>
  <c r="M51" i="2"/>
  <c r="M73" i="2"/>
  <c r="M76" i="2"/>
  <c r="P188" i="2"/>
  <c r="P94" i="2"/>
  <c r="P95" i="2"/>
  <c r="P72" i="2"/>
  <c r="P51" i="2"/>
  <c r="P73" i="2"/>
  <c r="P76" i="2"/>
  <c r="A89" i="2"/>
  <c r="C89" i="2" s="1"/>
  <c r="A126" i="2"/>
  <c r="C126" i="2" s="1"/>
  <c r="A106" i="2"/>
  <c r="C106" i="2" s="1"/>
  <c r="A117" i="2"/>
  <c r="C117" i="2" s="1"/>
  <c r="I89" i="2"/>
  <c r="I126" i="2"/>
  <c r="I106" i="2"/>
  <c r="I117" i="2"/>
  <c r="K89" i="2"/>
  <c r="K126" i="2"/>
  <c r="K106" i="2"/>
  <c r="K117" i="2"/>
  <c r="M89" i="2"/>
  <c r="M126" i="2"/>
  <c r="M106" i="2"/>
  <c r="M117" i="2"/>
  <c r="P89" i="2"/>
  <c r="P126" i="2"/>
  <c r="P106" i="2"/>
  <c r="P117" i="2"/>
  <c r="A90" i="2"/>
  <c r="C90" i="2" s="1"/>
  <c r="I90" i="2"/>
  <c r="K90" i="2"/>
  <c r="M90" i="2"/>
  <c r="P90" i="2"/>
  <c r="A62" i="2" l="1"/>
  <c r="C62" i="2" s="1"/>
  <c r="I62" i="2"/>
  <c r="K62" i="2"/>
  <c r="M62" i="2"/>
  <c r="P62" i="2"/>
  <c r="A70" i="2" l="1"/>
  <c r="C70" i="2" s="1"/>
  <c r="I70" i="2"/>
  <c r="K70" i="2"/>
  <c r="M70" i="2"/>
  <c r="P70" i="2"/>
  <c r="A75" i="2"/>
  <c r="C75" i="2" s="1"/>
  <c r="I75" i="2"/>
  <c r="K75" i="2"/>
  <c r="M75" i="2"/>
  <c r="P75" i="2"/>
  <c r="A67" i="2" l="1"/>
  <c r="C67" i="2" s="1"/>
  <c r="I67" i="2"/>
  <c r="K67" i="2"/>
  <c r="M67" i="2"/>
  <c r="P67" i="2"/>
  <c r="A85" i="2"/>
  <c r="C85" i="2" s="1"/>
  <c r="I85" i="2"/>
  <c r="K85" i="2"/>
  <c r="M85" i="2"/>
  <c r="P85" i="2"/>
  <c r="A53" i="2" l="1"/>
  <c r="C53" i="2" s="1"/>
  <c r="A69" i="2"/>
  <c r="C69" i="2" s="1"/>
  <c r="I53" i="2"/>
  <c r="I69" i="2"/>
  <c r="K53" i="2"/>
  <c r="K69" i="2"/>
  <c r="M53" i="2"/>
  <c r="M69" i="2"/>
  <c r="P53" i="2"/>
  <c r="P69" i="2"/>
  <c r="A61" i="2" l="1"/>
  <c r="C61" i="2" s="1"/>
  <c r="A54" i="2"/>
  <c r="C54" i="2" s="1"/>
  <c r="I61" i="2"/>
  <c r="I54" i="2"/>
  <c r="K61" i="2"/>
  <c r="K54" i="2"/>
  <c r="M61" i="2"/>
  <c r="M54" i="2"/>
  <c r="P61" i="2"/>
  <c r="P54" i="2"/>
  <c r="I38" i="2" l="1"/>
  <c r="K38" i="2"/>
  <c r="M38" i="2"/>
  <c r="P38" i="2"/>
  <c r="A38" i="2"/>
  <c r="C38" i="2" s="1"/>
  <c r="A82" i="2" l="1"/>
  <c r="C82" i="2" s="1"/>
  <c r="A91" i="2"/>
  <c r="C91" i="2" s="1"/>
  <c r="A84" i="2"/>
  <c r="C84" i="2" s="1"/>
  <c r="I82" i="2"/>
  <c r="I91" i="2"/>
  <c r="I84" i="2"/>
  <c r="K82" i="2"/>
  <c r="K91" i="2"/>
  <c r="K84" i="2"/>
  <c r="M82" i="2"/>
  <c r="M91" i="2"/>
  <c r="M84" i="2"/>
  <c r="P82" i="2"/>
  <c r="P91" i="2"/>
  <c r="P84" i="2"/>
  <c r="A33" i="2" l="1"/>
  <c r="C33" i="2" s="1"/>
  <c r="I33" i="2"/>
  <c r="K33" i="2"/>
  <c r="M33" i="2"/>
  <c r="P33" i="2"/>
  <c r="A81" i="2" l="1"/>
  <c r="C81" i="2" s="1"/>
  <c r="A83" i="2"/>
  <c r="A80" i="2"/>
  <c r="C80" i="2" s="1"/>
  <c r="I81" i="2"/>
  <c r="I83" i="2"/>
  <c r="I80" i="2"/>
  <c r="K81" i="2"/>
  <c r="K83" i="2"/>
  <c r="K80" i="2"/>
  <c r="M81" i="2"/>
  <c r="M83" i="2"/>
  <c r="M80" i="2"/>
  <c r="P81" i="2"/>
  <c r="P83" i="2"/>
  <c r="P80" i="2"/>
  <c r="C83" i="2" l="1"/>
  <c r="A4" i="2"/>
  <c r="C4" i="2" s="1"/>
  <c r="A5" i="2"/>
  <c r="C5" i="2" s="1"/>
  <c r="I4" i="2"/>
  <c r="I5" i="2"/>
  <c r="K4" i="2"/>
  <c r="K5" i="2"/>
  <c r="M4" i="2"/>
  <c r="M5" i="2"/>
  <c r="P4" i="2"/>
  <c r="P5" i="2"/>
  <c r="P17" i="2" l="1"/>
  <c r="M17" i="2"/>
  <c r="K17" i="2"/>
  <c r="I17" i="2"/>
  <c r="A8" i="2"/>
  <c r="C8" i="2" s="1"/>
  <c r="A14" i="2"/>
  <c r="C14" i="2" s="1"/>
  <c r="A16" i="2"/>
  <c r="C16" i="2" s="1"/>
  <c r="A17" i="2"/>
  <c r="C17" i="2" s="1"/>
  <c r="A25" i="2"/>
  <c r="C25" i="2" s="1"/>
  <c r="A24" i="2"/>
  <c r="A18" i="2"/>
  <c r="C18" i="2" s="1"/>
  <c r="I8" i="2"/>
  <c r="I14" i="2"/>
  <c r="I16" i="2"/>
  <c r="I25" i="2"/>
  <c r="I24" i="2"/>
  <c r="I18" i="2"/>
  <c r="K8" i="2"/>
  <c r="K14" i="2"/>
  <c r="K16" i="2"/>
  <c r="K25" i="2"/>
  <c r="K24" i="2"/>
  <c r="K18" i="2"/>
  <c r="M8" i="2"/>
  <c r="M14" i="2"/>
  <c r="M16" i="2"/>
  <c r="M25" i="2"/>
  <c r="M24" i="2"/>
  <c r="M18" i="2"/>
  <c r="P8" i="2"/>
  <c r="P14" i="2"/>
  <c r="P16" i="2"/>
  <c r="P25" i="2"/>
  <c r="P24" i="2"/>
  <c r="P18" i="2"/>
  <c r="P34" i="2"/>
  <c r="M34" i="2"/>
  <c r="K34" i="2"/>
  <c r="I34" i="2"/>
  <c r="P36" i="2"/>
  <c r="M36" i="2"/>
  <c r="K36" i="2"/>
  <c r="I36" i="2"/>
  <c r="A63" i="2"/>
  <c r="C63" i="2" s="1"/>
  <c r="A64" i="2"/>
  <c r="C64" i="2" s="1"/>
  <c r="A74" i="2"/>
  <c r="C74" i="2" s="1"/>
  <c r="I63" i="2"/>
  <c r="I64" i="2"/>
  <c r="I74" i="2"/>
  <c r="K63" i="2"/>
  <c r="K64" i="2"/>
  <c r="K74" i="2"/>
  <c r="M63" i="2"/>
  <c r="M64" i="2"/>
  <c r="M74" i="2"/>
  <c r="P63" i="2"/>
  <c r="P64" i="2"/>
  <c r="P74" i="2"/>
  <c r="A44" i="2"/>
  <c r="C44" i="2" s="1"/>
  <c r="A37" i="2"/>
  <c r="C37" i="2" s="1"/>
  <c r="A36" i="2"/>
  <c r="C36" i="2" s="1"/>
  <c r="A34" i="2"/>
  <c r="C34" i="2" s="1"/>
  <c r="I44" i="2"/>
  <c r="I37" i="2"/>
  <c r="K44" i="2"/>
  <c r="K37" i="2"/>
  <c r="M44" i="2"/>
  <c r="M37" i="2"/>
  <c r="P44" i="2"/>
  <c r="P37" i="2"/>
  <c r="C24" i="2" l="1"/>
  <c r="A56" i="2"/>
  <c r="C56" i="2" s="1"/>
  <c r="A57" i="2"/>
  <c r="C57" i="2" s="1"/>
  <c r="I56" i="2"/>
  <c r="I57" i="2"/>
  <c r="K56" i="2"/>
  <c r="K57" i="2"/>
  <c r="M56" i="2"/>
  <c r="M57" i="2"/>
  <c r="P56" i="2"/>
  <c r="P57" i="2"/>
  <c r="A60" i="2" l="1"/>
  <c r="C60" i="2" s="1"/>
  <c r="A3" i="2"/>
  <c r="A6" i="2"/>
  <c r="C6" i="2" s="1"/>
  <c r="A7" i="2"/>
  <c r="C7" i="2" s="1"/>
  <c r="A10" i="2"/>
  <c r="C10" i="2" s="1"/>
  <c r="I60" i="2"/>
  <c r="I3" i="2"/>
  <c r="I6" i="2"/>
  <c r="I7" i="2"/>
  <c r="I10" i="2"/>
  <c r="K60" i="2"/>
  <c r="K3" i="2"/>
  <c r="K6" i="2"/>
  <c r="K7" i="2"/>
  <c r="K10" i="2"/>
  <c r="M60" i="2"/>
  <c r="M3" i="2"/>
  <c r="M6" i="2"/>
  <c r="M7" i="2"/>
  <c r="M10" i="2"/>
  <c r="P60" i="2"/>
  <c r="P3" i="2"/>
  <c r="P6" i="2"/>
  <c r="P7" i="2"/>
  <c r="P10" i="2"/>
  <c r="C3" i="2" l="1"/>
  <c r="P46" i="2"/>
  <c r="M46" i="2"/>
  <c r="K46" i="2"/>
  <c r="I46" i="2"/>
  <c r="M45" i="2"/>
  <c r="P43" i="2"/>
  <c r="M43" i="2"/>
  <c r="K43" i="2"/>
  <c r="I43" i="2"/>
  <c r="P42" i="2"/>
  <c r="M42" i="2"/>
  <c r="K42" i="2"/>
  <c r="I42" i="2"/>
  <c r="A27" i="2"/>
  <c r="C27" i="2" s="1"/>
  <c r="A41" i="2"/>
  <c r="C41" i="2" s="1"/>
  <c r="A42" i="2"/>
  <c r="C42" i="2" s="1"/>
  <c r="A43" i="2"/>
  <c r="C43" i="2" s="1"/>
  <c r="A45" i="2"/>
  <c r="C45" i="2" s="1"/>
  <c r="A46" i="2"/>
  <c r="C46" i="2" s="1"/>
  <c r="I27" i="2"/>
  <c r="I41" i="2"/>
  <c r="I45" i="2"/>
  <c r="K27" i="2"/>
  <c r="K41" i="2"/>
  <c r="K45" i="2"/>
  <c r="M27" i="2"/>
  <c r="M41" i="2"/>
  <c r="P27" i="2"/>
  <c r="P41" i="2"/>
  <c r="P45" i="2"/>
  <c r="P48" i="2" l="1"/>
  <c r="M48" i="2"/>
  <c r="K48" i="2"/>
  <c r="I48" i="2"/>
  <c r="A23" i="2"/>
  <c r="C23" i="2" s="1"/>
  <c r="A52" i="2"/>
  <c r="C52" i="2" s="1"/>
  <c r="A39" i="2"/>
  <c r="C39" i="2" s="1"/>
  <c r="A40" i="2"/>
  <c r="C40" i="2" s="1"/>
  <c r="A47" i="2"/>
  <c r="C47" i="2" s="1"/>
  <c r="A48" i="2"/>
  <c r="C48" i="2" s="1"/>
  <c r="I23" i="2"/>
  <c r="I52" i="2"/>
  <c r="I39" i="2"/>
  <c r="I40" i="2"/>
  <c r="I47" i="2"/>
  <c r="K23" i="2"/>
  <c r="K52" i="2"/>
  <c r="K39" i="2"/>
  <c r="K40" i="2"/>
  <c r="K47" i="2"/>
  <c r="M23" i="2"/>
  <c r="M52" i="2"/>
  <c r="M39" i="2"/>
  <c r="M40" i="2"/>
  <c r="M47" i="2"/>
  <c r="P23" i="2"/>
  <c r="P52" i="2"/>
  <c r="P39" i="2"/>
  <c r="P40" i="2"/>
  <c r="P47" i="2"/>
  <c r="P12" i="2"/>
  <c r="M12" i="2"/>
  <c r="K12" i="2"/>
  <c r="I12" i="2"/>
  <c r="A13" i="2"/>
  <c r="C13" i="2" s="1"/>
  <c r="A12" i="2"/>
  <c r="C12" i="2" s="1"/>
  <c r="A49" i="2"/>
  <c r="C49" i="2" s="1"/>
  <c r="A71" i="2"/>
  <c r="C71" i="2" s="1"/>
  <c r="A65" i="2"/>
  <c r="C65" i="2" s="1"/>
  <c r="A92" i="2"/>
  <c r="A50" i="2"/>
  <c r="C50" i="2" s="1"/>
  <c r="I13" i="2"/>
  <c r="I49" i="2"/>
  <c r="I71" i="2"/>
  <c r="I65" i="2"/>
  <c r="I92" i="2"/>
  <c r="I50" i="2"/>
  <c r="K13" i="2"/>
  <c r="K49" i="2"/>
  <c r="K71" i="2"/>
  <c r="K65" i="2"/>
  <c r="K92" i="2"/>
  <c r="K50" i="2"/>
  <c r="M13" i="2"/>
  <c r="M49" i="2"/>
  <c r="M71" i="2"/>
  <c r="M65" i="2"/>
  <c r="M92" i="2"/>
  <c r="M50" i="2"/>
  <c r="P13" i="2"/>
  <c r="P49" i="2"/>
  <c r="P71" i="2"/>
  <c r="P65" i="2"/>
  <c r="P92" i="2"/>
  <c r="P50" i="2"/>
  <c r="A66" i="2"/>
  <c r="C66" i="2" s="1"/>
  <c r="A21" i="2"/>
  <c r="C21" i="2" s="1"/>
  <c r="A15" i="2"/>
  <c r="C15" i="2" s="1"/>
  <c r="A22" i="2"/>
  <c r="C22" i="2" s="1"/>
  <c r="A26" i="2"/>
  <c r="C26" i="2" s="1"/>
  <c r="A28" i="2"/>
  <c r="C28" i="2" s="1"/>
  <c r="I66" i="2"/>
  <c r="I21" i="2"/>
  <c r="I15" i="2"/>
  <c r="I22" i="2"/>
  <c r="I26" i="2"/>
  <c r="I28" i="2"/>
  <c r="K66" i="2"/>
  <c r="K21" i="2"/>
  <c r="K15" i="2"/>
  <c r="K22" i="2"/>
  <c r="K26" i="2"/>
  <c r="K28" i="2"/>
  <c r="M66" i="2"/>
  <c r="M21" i="2"/>
  <c r="M15" i="2"/>
  <c r="M22" i="2"/>
  <c r="M26" i="2"/>
  <c r="M28" i="2"/>
  <c r="P66" i="2"/>
  <c r="P21" i="2"/>
  <c r="P15" i="2"/>
  <c r="P22" i="2"/>
  <c r="P26" i="2"/>
  <c r="P28" i="2"/>
  <c r="A32" i="2"/>
  <c r="C32" i="2" s="1"/>
  <c r="A29" i="2"/>
  <c r="C29" i="2" s="1"/>
  <c r="A20" i="2"/>
  <c r="C20" i="2" s="1"/>
  <c r="A79" i="2"/>
  <c r="C79" i="2" s="1"/>
  <c r="A9" i="2"/>
  <c r="A19" i="2"/>
  <c r="C19" i="2" s="1"/>
  <c r="I32" i="2"/>
  <c r="I29" i="2"/>
  <c r="I20" i="2"/>
  <c r="I79" i="2"/>
  <c r="I9" i="2"/>
  <c r="I19" i="2"/>
  <c r="K32" i="2"/>
  <c r="K29" i="2"/>
  <c r="K20" i="2"/>
  <c r="K79" i="2"/>
  <c r="K9" i="2"/>
  <c r="K19" i="2"/>
  <c r="M32" i="2"/>
  <c r="M29" i="2"/>
  <c r="M20" i="2"/>
  <c r="M79" i="2"/>
  <c r="M9" i="2"/>
  <c r="M19" i="2"/>
  <c r="P32" i="2"/>
  <c r="P29" i="2"/>
  <c r="P20" i="2"/>
  <c r="P79" i="2"/>
  <c r="P9" i="2"/>
  <c r="P19" i="2"/>
  <c r="C92" i="2" l="1"/>
  <c r="C9" i="2"/>
  <c r="A11" i="2"/>
  <c r="I11" i="2"/>
  <c r="K11" i="2"/>
  <c r="M11" i="2"/>
  <c r="P11" i="2"/>
  <c r="C11" i="2" l="1"/>
  <c r="I35" i="2"/>
  <c r="P35" i="2"/>
  <c r="A35" i="2" l="1"/>
  <c r="K35" i="2"/>
  <c r="M35" i="2"/>
  <c r="S91" i="1" l="1"/>
  <c r="R91" i="1"/>
  <c r="T91" i="1" s="1"/>
  <c r="O91" i="1"/>
  <c r="P91" i="1" s="1"/>
  <c r="Q91" i="1" s="1"/>
  <c r="K91" i="1"/>
  <c r="AA91" i="1" s="1"/>
  <c r="O92" i="1"/>
  <c r="P92" i="1" s="1"/>
  <c r="Q92" i="1" s="1"/>
  <c r="R108" i="1"/>
  <c r="T108" i="1" s="1"/>
  <c r="R103" i="1"/>
  <c r="T103" i="1" s="1"/>
  <c r="R92" i="1"/>
  <c r="T92" i="1" s="1"/>
  <c r="S110" i="1"/>
  <c r="M91" i="1"/>
  <c r="O113" i="1"/>
  <c r="P113" i="1" s="1"/>
  <c r="Q113" i="1" s="1"/>
  <c r="K108" i="1"/>
  <c r="O101" i="1"/>
  <c r="P101" i="1" s="1"/>
  <c r="Q101" i="1" s="1"/>
  <c r="R104" i="1"/>
  <c r="T104" i="1" s="1"/>
  <c r="M101" i="1"/>
  <c r="K103" i="1"/>
  <c r="K101" i="1"/>
  <c r="R101" i="1"/>
  <c r="T101" i="1" s="1"/>
  <c r="L113" i="1"/>
  <c r="S104" i="1"/>
  <c r="M110" i="1"/>
  <c r="M113" i="1"/>
  <c r="M106" i="1"/>
  <c r="O103" i="1"/>
  <c r="P103" i="1" s="1"/>
  <c r="Q103" i="1" s="1"/>
  <c r="K106" i="1"/>
  <c r="R106" i="1"/>
  <c r="T106" i="1" s="1"/>
  <c r="K110" i="1"/>
  <c r="M92" i="1"/>
  <c r="S92" i="1"/>
  <c r="L108" i="1"/>
  <c r="L106" i="1"/>
  <c r="S106" i="1"/>
  <c r="R113" i="1"/>
  <c r="T113" i="1" s="1"/>
  <c r="M103" i="1"/>
  <c r="L92" i="1"/>
  <c r="S103" i="1"/>
  <c r="M108" i="1"/>
  <c r="K92" i="1"/>
  <c r="AA92" i="1" s="1"/>
  <c r="L101" i="1"/>
  <c r="L91" i="1"/>
  <c r="L103" i="1"/>
  <c r="O110" i="1"/>
  <c r="P110" i="1" s="1"/>
  <c r="Q110" i="1" s="1"/>
  <c r="O104" i="1"/>
  <c r="P104" i="1" s="1"/>
  <c r="Q104" i="1" s="1"/>
  <c r="S113" i="1"/>
  <c r="R110" i="1"/>
  <c r="T110" i="1" s="1"/>
  <c r="O106" i="1"/>
  <c r="P106" i="1" s="1"/>
  <c r="Q106" i="1" s="1"/>
  <c r="K113" i="1"/>
  <c r="S108" i="1"/>
  <c r="M104" i="1"/>
  <c r="S101" i="1"/>
  <c r="K104" i="1"/>
  <c r="L104" i="1"/>
  <c r="L110" i="1"/>
  <c r="O108" i="1"/>
  <c r="P108" i="1" s="1"/>
  <c r="Q108" i="1" s="1"/>
  <c r="L80" i="1"/>
  <c r="R80" i="1"/>
  <c r="T80" i="1" s="1"/>
  <c r="K80" i="1"/>
  <c r="AA80" i="1" s="1"/>
  <c r="S80" i="1"/>
  <c r="M80" i="1"/>
  <c r="O80" i="1"/>
  <c r="P80" i="1" s="1"/>
  <c r="Q80" i="1" s="1"/>
  <c r="M31" i="1"/>
  <c r="O31" i="1"/>
  <c r="P31" i="1" s="1"/>
  <c r="Q31" i="1" s="1"/>
  <c r="R31" i="1"/>
  <c r="T31" i="1" s="1"/>
  <c r="K31" i="1"/>
  <c r="AA31" i="1" s="1"/>
  <c r="L31" i="1"/>
  <c r="S31" i="1"/>
  <c r="S11" i="1"/>
  <c r="O11" i="1"/>
  <c r="P11" i="1" s="1"/>
  <c r="Q11" i="1" s="1"/>
  <c r="R11" i="1"/>
  <c r="T11" i="1" s="1"/>
  <c r="M11" i="1"/>
  <c r="L11" i="1"/>
  <c r="K11" i="1"/>
  <c r="AA11" i="1" s="1"/>
  <c r="C35" i="2"/>
  <c r="O6" i="1"/>
  <c r="P6" i="1" s="1"/>
  <c r="Q6" i="1" s="1"/>
  <c r="M6" i="1"/>
  <c r="R6" i="1"/>
  <c r="T6" i="1" s="1"/>
  <c r="K6" i="1"/>
  <c r="AA6" i="1" s="1"/>
  <c r="L6" i="1"/>
  <c r="S6" i="1"/>
  <c r="B3" i="10"/>
  <c r="B4" i="10"/>
  <c r="AB103" i="1" l="1"/>
  <c r="AA103" i="1"/>
  <c r="AA113" i="1"/>
  <c r="AB113" i="1"/>
  <c r="AA108" i="1"/>
  <c r="AB108" i="1"/>
  <c r="AB104" i="1"/>
  <c r="AA104" i="1"/>
  <c r="AA110" i="1"/>
  <c r="AB110" i="1"/>
  <c r="AA106" i="1"/>
  <c r="AB106" i="1"/>
  <c r="AA101" i="1"/>
  <c r="AB101" i="1"/>
  <c r="J104" i="1"/>
  <c r="J92" i="1"/>
  <c r="J108" i="1"/>
  <c r="J91" i="1"/>
  <c r="J101" i="1"/>
  <c r="J103" i="1"/>
  <c r="J106" i="1"/>
  <c r="J113" i="1"/>
  <c r="J110" i="1"/>
  <c r="J80" i="1"/>
  <c r="J31" i="1"/>
  <c r="J11" i="1"/>
  <c r="J6" i="1"/>
  <c r="AN110" i="1" l="1"/>
  <c r="AN113" i="1"/>
  <c r="AN106" i="1"/>
  <c r="AN103" i="1"/>
  <c r="AN101" i="1"/>
  <c r="AN108" i="1"/>
  <c r="AN91" i="1"/>
  <c r="AN92" i="1"/>
  <c r="AN104" i="1"/>
  <c r="AN80" i="1"/>
  <c r="AN31" i="1"/>
  <c r="AN11" i="1"/>
  <c r="AN6" i="1"/>
  <c r="G531" i="2"/>
  <c r="B335" i="10" l="1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4" i="10"/>
  <c r="C13" i="10"/>
  <c r="C12" i="10"/>
  <c r="C11" i="10"/>
  <c r="C10" i="10"/>
  <c r="C9" i="10"/>
  <c r="C8" i="10"/>
  <c r="C6" i="10"/>
  <c r="C5" i="10"/>
  <c r="C4" i="10"/>
  <c r="A48" i="10" l="1"/>
  <c r="V48" i="10" l="1"/>
  <c r="K48" i="10" s="1"/>
  <c r="E48" i="10"/>
  <c r="G1988" i="3"/>
  <c r="A335" i="10" l="1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P12" i="29"/>
  <c r="O12" i="29"/>
  <c r="M12" i="29"/>
  <c r="H12" i="29"/>
  <c r="B12" i="29"/>
  <c r="P11" i="29"/>
  <c r="O11" i="29"/>
  <c r="M11" i="29"/>
  <c r="H11" i="29"/>
  <c r="B11" i="29"/>
  <c r="P9" i="29"/>
  <c r="P8" i="29"/>
  <c r="P7" i="29"/>
  <c r="P5" i="29"/>
  <c r="P4" i="29"/>
  <c r="J11" i="29"/>
  <c r="J112" i="5"/>
  <c r="J111" i="5"/>
  <c r="J110" i="5"/>
  <c r="J109" i="5"/>
  <c r="J108" i="5"/>
  <c r="J107" i="5"/>
  <c r="J106" i="5"/>
  <c r="J105" i="5"/>
  <c r="J103" i="5"/>
  <c r="J101" i="5"/>
  <c r="J100" i="5"/>
  <c r="J99" i="5"/>
  <c r="J98" i="5"/>
  <c r="J90" i="5"/>
  <c r="J89" i="5"/>
  <c r="J88" i="5"/>
  <c r="J85" i="5"/>
  <c r="J79" i="5"/>
  <c r="J78" i="5"/>
  <c r="B455" i="5"/>
  <c r="A2" i="28" a="1"/>
  <c r="A2" i="28" s="1"/>
  <c r="G95" i="10" l="1"/>
  <c r="F95" i="10"/>
  <c r="N95" i="10"/>
  <c r="E95" i="10"/>
  <c r="I95" i="10" s="1"/>
  <c r="M95" i="10"/>
  <c r="H95" i="10"/>
  <c r="J95" i="10" s="1"/>
  <c r="G103" i="10"/>
  <c r="F103" i="10"/>
  <c r="N103" i="10"/>
  <c r="E103" i="10"/>
  <c r="I103" i="10" s="1"/>
  <c r="M103" i="10"/>
  <c r="H103" i="10"/>
  <c r="J103" i="10" s="1"/>
  <c r="F88" i="10"/>
  <c r="E88" i="10"/>
  <c r="I88" i="10" s="1"/>
  <c r="N88" i="10"/>
  <c r="H88" i="10"/>
  <c r="J88" i="10" s="1"/>
  <c r="G88" i="10"/>
  <c r="M88" i="10"/>
  <c r="F112" i="10"/>
  <c r="E112" i="10"/>
  <c r="I112" i="10" s="1"/>
  <c r="N112" i="10"/>
  <c r="H112" i="10"/>
  <c r="J112" i="10" s="1"/>
  <c r="G112" i="10"/>
  <c r="M112" i="10"/>
  <c r="F89" i="10"/>
  <c r="E89" i="10"/>
  <c r="I89" i="10" s="1"/>
  <c r="N89" i="10"/>
  <c r="G89" i="10"/>
  <c r="M89" i="10"/>
  <c r="H89" i="10"/>
  <c r="J89" i="10" s="1"/>
  <c r="F121" i="10"/>
  <c r="E121" i="10"/>
  <c r="I121" i="10" s="1"/>
  <c r="H121" i="10"/>
  <c r="J121" i="10" s="1"/>
  <c r="N121" i="10"/>
  <c r="M121" i="10"/>
  <c r="G121" i="10"/>
  <c r="E82" i="10"/>
  <c r="G114" i="10"/>
  <c r="F114" i="10"/>
  <c r="E114" i="10"/>
  <c r="I114" i="10" s="1"/>
  <c r="H114" i="10"/>
  <c r="J114" i="10" s="1"/>
  <c r="N114" i="10"/>
  <c r="M114" i="10"/>
  <c r="F83" i="10"/>
  <c r="E83" i="10"/>
  <c r="I83" i="10" s="1"/>
  <c r="N83" i="10"/>
  <c r="G83" i="10"/>
  <c r="M83" i="10"/>
  <c r="H83" i="10"/>
  <c r="J83" i="10" s="1"/>
  <c r="G99" i="10"/>
  <c r="F99" i="10"/>
  <c r="N99" i="10"/>
  <c r="E99" i="10"/>
  <c r="I99" i="10" s="1"/>
  <c r="H99" i="10"/>
  <c r="J99" i="10" s="1"/>
  <c r="M99" i="10"/>
  <c r="G115" i="10"/>
  <c r="F115" i="10"/>
  <c r="N115" i="10"/>
  <c r="E115" i="10"/>
  <c r="I115" i="10" s="1"/>
  <c r="H115" i="10"/>
  <c r="J115" i="10" s="1"/>
  <c r="M115" i="10"/>
  <c r="F84" i="10"/>
  <c r="N84" i="10"/>
  <c r="E84" i="10"/>
  <c r="I84" i="10" s="1"/>
  <c r="H84" i="10"/>
  <c r="J84" i="10" s="1"/>
  <c r="G84" i="10"/>
  <c r="M84" i="10"/>
  <c r="F92" i="10"/>
  <c r="E92" i="10"/>
  <c r="I92" i="10" s="1"/>
  <c r="N92" i="10"/>
  <c r="G92" i="10"/>
  <c r="M92" i="10"/>
  <c r="H92" i="10"/>
  <c r="J92" i="10" s="1"/>
  <c r="F100" i="10"/>
  <c r="E100" i="10"/>
  <c r="I100" i="10" s="1"/>
  <c r="N100" i="10"/>
  <c r="G100" i="10"/>
  <c r="H100" i="10"/>
  <c r="J100" i="10" s="1"/>
  <c r="M100" i="10"/>
  <c r="F108" i="10"/>
  <c r="E108" i="10"/>
  <c r="I108" i="10" s="1"/>
  <c r="N108" i="10"/>
  <c r="G108" i="10"/>
  <c r="M108" i="10"/>
  <c r="H108" i="10"/>
  <c r="J108" i="10" s="1"/>
  <c r="F116" i="10"/>
  <c r="E116" i="10"/>
  <c r="I116" i="10" s="1"/>
  <c r="N116" i="10"/>
  <c r="H116" i="10"/>
  <c r="J116" i="10" s="1"/>
  <c r="M116" i="10"/>
  <c r="G116" i="10"/>
  <c r="G124" i="10"/>
  <c r="F124" i="10"/>
  <c r="E124" i="10"/>
  <c r="I124" i="10" s="1"/>
  <c r="N124" i="10"/>
  <c r="H124" i="10"/>
  <c r="J124" i="10" s="1"/>
  <c r="M124" i="10"/>
  <c r="E79" i="10"/>
  <c r="I79" i="10" s="1"/>
  <c r="M79" i="10"/>
  <c r="G79" i="10"/>
  <c r="F79" i="10"/>
  <c r="N79" i="10"/>
  <c r="H79" i="10"/>
  <c r="J79" i="10" s="1"/>
  <c r="G111" i="10"/>
  <c r="F111" i="10"/>
  <c r="N111" i="10"/>
  <c r="E111" i="10"/>
  <c r="I111" i="10" s="1"/>
  <c r="M111" i="10"/>
  <c r="H111" i="10"/>
  <c r="J111" i="10" s="1"/>
  <c r="E80" i="10"/>
  <c r="F120" i="10"/>
  <c r="E120" i="10"/>
  <c r="I120" i="10" s="1"/>
  <c r="N120" i="10"/>
  <c r="H120" i="10"/>
  <c r="J120" i="10" s="1"/>
  <c r="G120" i="10"/>
  <c r="M120" i="10"/>
  <c r="E81" i="10"/>
  <c r="F105" i="10"/>
  <c r="E105" i="10"/>
  <c r="I105" i="10" s="1"/>
  <c r="N105" i="10"/>
  <c r="G105" i="10"/>
  <c r="M105" i="10"/>
  <c r="H105" i="10"/>
  <c r="J105" i="10" s="1"/>
  <c r="G90" i="10"/>
  <c r="F90" i="10"/>
  <c r="E90" i="10"/>
  <c r="I90" i="10" s="1"/>
  <c r="H90" i="10"/>
  <c r="J90" i="10" s="1"/>
  <c r="N90" i="10"/>
  <c r="M90" i="10"/>
  <c r="G122" i="10"/>
  <c r="F122" i="10"/>
  <c r="E122" i="10"/>
  <c r="I122" i="10" s="1"/>
  <c r="H122" i="10"/>
  <c r="J122" i="10" s="1"/>
  <c r="M122" i="10"/>
  <c r="N122" i="10"/>
  <c r="F85" i="10"/>
  <c r="E85" i="10"/>
  <c r="I85" i="10" s="1"/>
  <c r="H85" i="10"/>
  <c r="J85" i="10" s="1"/>
  <c r="G85" i="10"/>
  <c r="N85" i="10"/>
  <c r="M85" i="10"/>
  <c r="F93" i="10"/>
  <c r="E93" i="10"/>
  <c r="I93" i="10" s="1"/>
  <c r="H93" i="10"/>
  <c r="J93" i="10" s="1"/>
  <c r="N93" i="10"/>
  <c r="G93" i="10"/>
  <c r="M93" i="10"/>
  <c r="F101" i="10"/>
  <c r="E101" i="10"/>
  <c r="I101" i="10" s="1"/>
  <c r="H101" i="10"/>
  <c r="J101" i="10" s="1"/>
  <c r="N101" i="10"/>
  <c r="G101" i="10"/>
  <c r="M101" i="10"/>
  <c r="F109" i="10"/>
  <c r="E109" i="10"/>
  <c r="I109" i="10" s="1"/>
  <c r="H109" i="10"/>
  <c r="J109" i="10" s="1"/>
  <c r="N109" i="10"/>
  <c r="G109" i="10"/>
  <c r="M109" i="10"/>
  <c r="F117" i="10"/>
  <c r="E117" i="10"/>
  <c r="I117" i="10" s="1"/>
  <c r="H117" i="10"/>
  <c r="J117" i="10" s="1"/>
  <c r="G117" i="10"/>
  <c r="N117" i="10"/>
  <c r="M117" i="10"/>
  <c r="G87" i="10"/>
  <c r="N87" i="10"/>
  <c r="F87" i="10"/>
  <c r="E87" i="10"/>
  <c r="I87" i="10" s="1"/>
  <c r="M87" i="10"/>
  <c r="H87" i="10"/>
  <c r="J87" i="10" s="1"/>
  <c r="G119" i="10"/>
  <c r="F119" i="10"/>
  <c r="N119" i="10"/>
  <c r="E119" i="10"/>
  <c r="I119" i="10" s="1"/>
  <c r="M119" i="10"/>
  <c r="H119" i="10"/>
  <c r="J119" i="10" s="1"/>
  <c r="F96" i="10"/>
  <c r="E96" i="10"/>
  <c r="I96" i="10" s="1"/>
  <c r="N96" i="10"/>
  <c r="H96" i="10"/>
  <c r="J96" i="10" s="1"/>
  <c r="G96" i="10"/>
  <c r="M96" i="10"/>
  <c r="F104" i="10"/>
  <c r="E104" i="10"/>
  <c r="I104" i="10" s="1"/>
  <c r="N104" i="10"/>
  <c r="H104" i="10"/>
  <c r="J104" i="10" s="1"/>
  <c r="M104" i="10"/>
  <c r="G104" i="10"/>
  <c r="F97" i="10"/>
  <c r="E97" i="10"/>
  <c r="I97" i="10" s="1"/>
  <c r="H97" i="10"/>
  <c r="J97" i="10" s="1"/>
  <c r="N97" i="10"/>
  <c r="M97" i="10"/>
  <c r="G97" i="10"/>
  <c r="F113" i="10"/>
  <c r="E113" i="10"/>
  <c r="I113" i="10" s="1"/>
  <c r="N113" i="10"/>
  <c r="H113" i="10"/>
  <c r="J113" i="10" s="1"/>
  <c r="M113" i="10"/>
  <c r="G113" i="10"/>
  <c r="G98" i="10"/>
  <c r="F98" i="10"/>
  <c r="E98" i="10"/>
  <c r="I98" i="10" s="1"/>
  <c r="H98" i="10"/>
  <c r="J98" i="10" s="1"/>
  <c r="M98" i="10"/>
  <c r="N98" i="10"/>
  <c r="G106" i="10"/>
  <c r="F106" i="10"/>
  <c r="E106" i="10"/>
  <c r="I106" i="10" s="1"/>
  <c r="H106" i="10"/>
  <c r="J106" i="10" s="1"/>
  <c r="M106" i="10"/>
  <c r="N106" i="10"/>
  <c r="G91" i="10"/>
  <c r="N91" i="10"/>
  <c r="F91" i="10"/>
  <c r="E91" i="10"/>
  <c r="I91" i="10" s="1"/>
  <c r="M91" i="10"/>
  <c r="H91" i="10"/>
  <c r="J91" i="10" s="1"/>
  <c r="G107" i="10"/>
  <c r="F107" i="10"/>
  <c r="N107" i="10"/>
  <c r="E107" i="10"/>
  <c r="I107" i="10" s="1"/>
  <c r="H107" i="10"/>
  <c r="J107" i="10" s="1"/>
  <c r="M107" i="10"/>
  <c r="G123" i="10"/>
  <c r="F123" i="10"/>
  <c r="N123" i="10"/>
  <c r="E123" i="10"/>
  <c r="I123" i="10" s="1"/>
  <c r="H123" i="10"/>
  <c r="J123" i="10" s="1"/>
  <c r="M123" i="10"/>
  <c r="G86" i="10"/>
  <c r="F86" i="10"/>
  <c r="E86" i="10"/>
  <c r="I86" i="10" s="1"/>
  <c r="N86" i="10"/>
  <c r="M86" i="10"/>
  <c r="H86" i="10"/>
  <c r="J86" i="10" s="1"/>
  <c r="G94" i="10"/>
  <c r="F94" i="10"/>
  <c r="E94" i="10"/>
  <c r="I94" i="10" s="1"/>
  <c r="N94" i="10"/>
  <c r="M94" i="10"/>
  <c r="H94" i="10"/>
  <c r="J94" i="10" s="1"/>
  <c r="G102" i="10"/>
  <c r="F102" i="10"/>
  <c r="E102" i="10"/>
  <c r="I102" i="10" s="1"/>
  <c r="N102" i="10"/>
  <c r="H102" i="10"/>
  <c r="J102" i="10" s="1"/>
  <c r="M102" i="10"/>
  <c r="G110" i="10"/>
  <c r="F110" i="10"/>
  <c r="E110" i="10"/>
  <c r="I110" i="10" s="1"/>
  <c r="N110" i="10"/>
  <c r="M110" i="10"/>
  <c r="H110" i="10"/>
  <c r="J110" i="10" s="1"/>
  <c r="G118" i="10"/>
  <c r="F118" i="10"/>
  <c r="E118" i="10"/>
  <c r="I118" i="10" s="1"/>
  <c r="N118" i="10"/>
  <c r="M118" i="10"/>
  <c r="H118" i="10"/>
  <c r="J118" i="10" s="1"/>
  <c r="K1978" i="3"/>
  <c r="L1975" i="3"/>
  <c r="M1973" i="3"/>
  <c r="L1978" i="3"/>
  <c r="K1976" i="3"/>
  <c r="K1974" i="3"/>
  <c r="M1976" i="3"/>
  <c r="K1977" i="3"/>
  <c r="L1977" i="3"/>
  <c r="K1973" i="3"/>
  <c r="M1975" i="3"/>
  <c r="J1978" i="3"/>
  <c r="J1976" i="3"/>
  <c r="M1978" i="3"/>
  <c r="J1974" i="3"/>
  <c r="L1976" i="3"/>
  <c r="J1975" i="3"/>
  <c r="M1977" i="3"/>
  <c r="L1973" i="3"/>
  <c r="L1974" i="3"/>
  <c r="M1974" i="3"/>
  <c r="J1977" i="3"/>
  <c r="K1975" i="3"/>
  <c r="P13" i="29"/>
  <c r="N1973" i="3"/>
  <c r="O1974" i="3"/>
  <c r="N1974" i="3"/>
  <c r="J1981" i="3"/>
  <c r="N1975" i="3"/>
  <c r="J1980" i="3"/>
  <c r="J1979" i="3"/>
  <c r="O1975" i="3"/>
  <c r="I12" i="29"/>
  <c r="G12" i="29"/>
  <c r="J1973" i="3"/>
  <c r="G11" i="29"/>
  <c r="I11" i="29"/>
  <c r="J12" i="29"/>
  <c r="N1987" i="3"/>
  <c r="O1987" i="3"/>
  <c r="N1978" i="3"/>
  <c r="L1979" i="3"/>
  <c r="K1980" i="3"/>
  <c r="K1979" i="3"/>
  <c r="N1985" i="3"/>
  <c r="N1977" i="3"/>
  <c r="O1977" i="3"/>
  <c r="O1980" i="3"/>
  <c r="M1979" i="3"/>
  <c r="L1980" i="3"/>
  <c r="L1981" i="3"/>
  <c r="K1981" i="3"/>
  <c r="O1978" i="3"/>
  <c r="O1981" i="3"/>
  <c r="O1976" i="3"/>
  <c r="O1985" i="3"/>
  <c r="N1980" i="3"/>
  <c r="N1976" i="3"/>
  <c r="N1986" i="3"/>
  <c r="N1983" i="3"/>
  <c r="N1979" i="3"/>
  <c r="M1981" i="3"/>
  <c r="N1981" i="3"/>
  <c r="O1983" i="3"/>
  <c r="O1986" i="3"/>
  <c r="O1979" i="3"/>
  <c r="M1980" i="3"/>
  <c r="N11" i="29" l="1"/>
  <c r="J1984" i="3"/>
  <c r="M1984" i="3" s="1"/>
  <c r="O1973" i="3"/>
  <c r="N12" i="29"/>
  <c r="M1987" i="3"/>
  <c r="M1983" i="3"/>
  <c r="M1985" i="3"/>
  <c r="M1986" i="3"/>
  <c r="J1986" i="3" l="1"/>
  <c r="J1982" i="3"/>
  <c r="M1982" i="3" s="1"/>
  <c r="M1988" i="3" s="1"/>
  <c r="J1987" i="3"/>
  <c r="J1985" i="3"/>
  <c r="J1983" i="3"/>
  <c r="K1985" i="3"/>
  <c r="K1982" i="3"/>
  <c r="L1983" i="3"/>
  <c r="L1986" i="3"/>
  <c r="L1987" i="3"/>
  <c r="L1985" i="3"/>
  <c r="K1987" i="3"/>
  <c r="K1986" i="3"/>
  <c r="K1983" i="3"/>
  <c r="K1984" i="3"/>
  <c r="N1984" i="3" s="1"/>
  <c r="J1988" i="3" l="1"/>
  <c r="N1982" i="3"/>
  <c r="N1988" i="3" s="1"/>
  <c r="K1988" i="3"/>
  <c r="A20" i="10" l="1"/>
  <c r="A26" i="10"/>
  <c r="A54" i="10"/>
  <c r="E54" i="10" s="1"/>
  <c r="A17" i="10"/>
  <c r="A18" i="10"/>
  <c r="A12" i="10"/>
  <c r="A27" i="10"/>
  <c r="A23" i="10"/>
  <c r="A13" i="10"/>
  <c r="A3" i="10"/>
  <c r="V3" i="10" s="1"/>
  <c r="A24" i="10"/>
  <c r="A8" i="10"/>
  <c r="V8" i="10" s="1"/>
  <c r="A50" i="10"/>
  <c r="A21" i="10"/>
  <c r="A22" i="10"/>
  <c r="A25" i="10"/>
  <c r="A15" i="10"/>
  <c r="A5" i="10"/>
  <c r="A19" i="10"/>
  <c r="A46" i="10"/>
  <c r="A33" i="10"/>
  <c r="A51" i="10"/>
  <c r="A47" i="10"/>
  <c r="A39" i="10"/>
  <c r="E39" i="10" s="1"/>
  <c r="A49" i="10"/>
  <c r="A53" i="10"/>
  <c r="A52" i="10"/>
  <c r="A30" i="10"/>
  <c r="A42" i="10"/>
  <c r="E42" i="10" s="1"/>
  <c r="A35" i="10"/>
  <c r="A11" i="10"/>
  <c r="A4" i="10"/>
  <c r="V4" i="10" s="1"/>
  <c r="A40" i="10"/>
  <c r="E40" i="10" s="1"/>
  <c r="A38" i="10"/>
  <c r="A44" i="10"/>
  <c r="A43" i="10"/>
  <c r="A41" i="10"/>
  <c r="A16" i="10"/>
  <c r="A31" i="10"/>
  <c r="A36" i="10"/>
  <c r="A29" i="10"/>
  <c r="A34" i="10"/>
  <c r="A32" i="10"/>
  <c r="A14" i="10"/>
  <c r="A37" i="10"/>
  <c r="A28" i="10"/>
  <c r="A9" i="10"/>
  <c r="V9" i="10" s="1"/>
  <c r="A6" i="10"/>
  <c r="V6" i="10" s="1"/>
  <c r="A45" i="10"/>
  <c r="A7" i="10"/>
  <c r="V7" i="10" s="1"/>
  <c r="A10" i="10"/>
  <c r="V10" i="10" s="1"/>
  <c r="V5" i="10" l="1"/>
  <c r="V34" i="10"/>
  <c r="K34" i="10" s="1"/>
  <c r="E34" i="10"/>
  <c r="V43" i="10"/>
  <c r="K43" i="10" s="1"/>
  <c r="E43" i="10"/>
  <c r="V22" i="10"/>
  <c r="E22" i="10"/>
  <c r="V37" i="10"/>
  <c r="K37" i="10" s="1"/>
  <c r="E37" i="10"/>
  <c r="V31" i="10"/>
  <c r="E31" i="10"/>
  <c r="V14" i="10"/>
  <c r="E14" i="10"/>
  <c r="V29" i="10"/>
  <c r="E29" i="10"/>
  <c r="V16" i="10"/>
  <c r="E16" i="10"/>
  <c r="V44" i="10"/>
  <c r="K44" i="10" s="1"/>
  <c r="E44" i="10"/>
  <c r="V53" i="10"/>
  <c r="K53" i="10" s="1"/>
  <c r="E53" i="10"/>
  <c r="V47" i="10"/>
  <c r="K47" i="10" s="1"/>
  <c r="E47" i="10"/>
  <c r="V46" i="10"/>
  <c r="K46" i="10" s="1"/>
  <c r="E46" i="10"/>
  <c r="V15" i="10"/>
  <c r="E15" i="10"/>
  <c r="V21" i="10"/>
  <c r="E21" i="10"/>
  <c r="V24" i="10"/>
  <c r="E24" i="10"/>
  <c r="V23" i="10"/>
  <c r="E23" i="10"/>
  <c r="V18" i="10"/>
  <c r="E18" i="10"/>
  <c r="V26" i="10"/>
  <c r="E26" i="10"/>
  <c r="V35" i="10"/>
  <c r="K35" i="10" s="1"/>
  <c r="E35" i="10"/>
  <c r="V52" i="10"/>
  <c r="K52" i="10" s="1"/>
  <c r="E52" i="10"/>
  <c r="V33" i="10"/>
  <c r="E33" i="10"/>
  <c r="V13" i="10"/>
  <c r="E13" i="10"/>
  <c r="V45" i="10"/>
  <c r="K45" i="10" s="1"/>
  <c r="E45" i="10"/>
  <c r="V28" i="10"/>
  <c r="E28" i="10"/>
  <c r="V32" i="10"/>
  <c r="K32" i="10" s="1"/>
  <c r="E32" i="10"/>
  <c r="V36" i="10"/>
  <c r="K36" i="10" s="1"/>
  <c r="E36" i="10"/>
  <c r="V41" i="10"/>
  <c r="K41" i="10" s="1"/>
  <c r="E41" i="10"/>
  <c r="V38" i="10"/>
  <c r="K38" i="10" s="1"/>
  <c r="E38" i="10"/>
  <c r="V30" i="10"/>
  <c r="E30" i="10"/>
  <c r="V49" i="10"/>
  <c r="K49" i="10" s="1"/>
  <c r="E49" i="10"/>
  <c r="V51" i="10"/>
  <c r="K51" i="10" s="1"/>
  <c r="E51" i="10"/>
  <c r="V19" i="10"/>
  <c r="E19" i="10"/>
  <c r="V25" i="10"/>
  <c r="E25" i="10"/>
  <c r="V50" i="10"/>
  <c r="K50" i="10" s="1"/>
  <c r="E50" i="10"/>
  <c r="V27" i="10"/>
  <c r="E27" i="10"/>
  <c r="V17" i="10"/>
  <c r="E17" i="10"/>
  <c r="V20" i="10"/>
  <c r="E20" i="10"/>
  <c r="V11" i="10"/>
  <c r="E11" i="10"/>
  <c r="V12" i="10"/>
  <c r="E12" i="10"/>
  <c r="V39" i="10"/>
  <c r="K39" i="10" s="1"/>
  <c r="V54" i="10"/>
  <c r="K54" i="10" s="1"/>
  <c r="V42" i="10"/>
  <c r="K42" i="10" s="1"/>
  <c r="V40" i="10"/>
  <c r="K40" i="10" s="1"/>
  <c r="E4" i="10"/>
  <c r="E10" i="10"/>
  <c r="E7" i="10"/>
  <c r="E5" i="10"/>
  <c r="E8" i="10"/>
  <c r="E6" i="10"/>
  <c r="E9" i="10"/>
  <c r="E3" i="10"/>
  <c r="W53" i="10"/>
  <c r="R53" i="10" s="1"/>
  <c r="Q53" i="10" s="1"/>
  <c r="W54" i="10" l="1"/>
  <c r="R54" i="10" s="1"/>
  <c r="Q54" i="10" s="1"/>
  <c r="W52" i="10"/>
  <c r="R52" i="10" s="1"/>
  <c r="Q52" i="10" s="1"/>
  <c r="W50" i="10"/>
  <c r="R50" i="10" s="1"/>
  <c r="Q50" i="10" s="1"/>
  <c r="W51" i="10"/>
  <c r="R51" i="10" s="1"/>
  <c r="Q51" i="10" s="1"/>
  <c r="A193" i="2" l="1"/>
  <c r="C193" i="2" s="1"/>
  <c r="A215" i="2"/>
  <c r="C215" i="2" s="1"/>
  <c r="A210" i="2"/>
  <c r="C210" i="2" s="1"/>
  <c r="A177" i="2"/>
  <c r="A253" i="2"/>
  <c r="C253" i="2" s="1"/>
  <c r="C177" i="2" l="1"/>
  <c r="A153" i="2" l="1"/>
  <c r="C153" i="2" s="1"/>
  <c r="A170" i="2"/>
  <c r="C170" i="2" s="1"/>
  <c r="A160" i="2"/>
  <c r="A114" i="2"/>
  <c r="A171" i="2"/>
  <c r="C171" i="2" s="1"/>
  <c r="M425" i="1" l="1"/>
  <c r="M421" i="1"/>
  <c r="K427" i="1"/>
  <c r="L424" i="1"/>
  <c r="S427" i="1"/>
  <c r="R421" i="1"/>
  <c r="T421" i="1" s="1"/>
  <c r="O421" i="1"/>
  <c r="P421" i="1" s="1"/>
  <c r="Q421" i="1" s="1"/>
  <c r="K425" i="1"/>
  <c r="L422" i="1"/>
  <c r="R423" i="1"/>
  <c r="T423" i="1" s="1"/>
  <c r="O427" i="1"/>
  <c r="P427" i="1" s="1"/>
  <c r="Q427" i="1" s="1"/>
  <c r="O422" i="1"/>
  <c r="P422" i="1" s="1"/>
  <c r="Q422" i="1" s="1"/>
  <c r="S425" i="1"/>
  <c r="M422" i="1"/>
  <c r="S423" i="1"/>
  <c r="S424" i="1"/>
  <c r="R426" i="1"/>
  <c r="T426" i="1" s="1"/>
  <c r="L425" i="1"/>
  <c r="R425" i="1"/>
  <c r="T425" i="1" s="1"/>
  <c r="K422" i="1"/>
  <c r="K426" i="1"/>
  <c r="R427" i="1"/>
  <c r="T427" i="1" s="1"/>
  <c r="S426" i="1"/>
  <c r="O423" i="1"/>
  <c r="P423" i="1" s="1"/>
  <c r="Q423" i="1" s="1"/>
  <c r="R424" i="1"/>
  <c r="T424" i="1" s="1"/>
  <c r="K423" i="1"/>
  <c r="L423" i="1"/>
  <c r="O425" i="1"/>
  <c r="P425" i="1" s="1"/>
  <c r="Q425" i="1" s="1"/>
  <c r="L427" i="1"/>
  <c r="K424" i="1"/>
  <c r="R422" i="1"/>
  <c r="T422" i="1" s="1"/>
  <c r="O424" i="1"/>
  <c r="P424" i="1" s="1"/>
  <c r="Q424" i="1" s="1"/>
  <c r="M426" i="1"/>
  <c r="L426" i="1"/>
  <c r="K410" i="1"/>
  <c r="M424" i="1"/>
  <c r="O426" i="1"/>
  <c r="P426" i="1" s="1"/>
  <c r="Q426" i="1" s="1"/>
  <c r="M423" i="1"/>
  <c r="S422" i="1"/>
  <c r="L421" i="1"/>
  <c r="K421" i="1"/>
  <c r="M427" i="1"/>
  <c r="S421" i="1"/>
  <c r="R420" i="1"/>
  <c r="T420" i="1" s="1"/>
  <c r="O419" i="1"/>
  <c r="P419" i="1" s="1"/>
  <c r="Q419" i="1" s="1"/>
  <c r="O420" i="1"/>
  <c r="P420" i="1" s="1"/>
  <c r="Q420" i="1" s="1"/>
  <c r="K419" i="1"/>
  <c r="M420" i="1"/>
  <c r="R419" i="1"/>
  <c r="T419" i="1" s="1"/>
  <c r="L420" i="1"/>
  <c r="L419" i="1"/>
  <c r="M419" i="1"/>
  <c r="K420" i="1"/>
  <c r="S420" i="1"/>
  <c r="S419" i="1"/>
  <c r="O418" i="1"/>
  <c r="P418" i="1" s="1"/>
  <c r="Q418" i="1" s="1"/>
  <c r="L417" i="1"/>
  <c r="R418" i="1"/>
  <c r="T418" i="1" s="1"/>
  <c r="O416" i="1"/>
  <c r="P416" i="1" s="1"/>
  <c r="Q416" i="1" s="1"/>
  <c r="S416" i="1"/>
  <c r="M417" i="1"/>
  <c r="M416" i="1"/>
  <c r="K418" i="1"/>
  <c r="L418" i="1"/>
  <c r="M418" i="1"/>
  <c r="L416" i="1"/>
  <c r="K417" i="1"/>
  <c r="S417" i="1"/>
  <c r="R417" i="1"/>
  <c r="T417" i="1" s="1"/>
  <c r="O417" i="1"/>
  <c r="P417" i="1" s="1"/>
  <c r="Q417" i="1" s="1"/>
  <c r="S418" i="1"/>
  <c r="R416" i="1"/>
  <c r="T416" i="1" s="1"/>
  <c r="K416" i="1"/>
  <c r="S415" i="1"/>
  <c r="K415" i="1"/>
  <c r="L415" i="1"/>
  <c r="O415" i="1"/>
  <c r="P415" i="1" s="1"/>
  <c r="Q415" i="1" s="1"/>
  <c r="M415" i="1"/>
  <c r="R415" i="1"/>
  <c r="T415" i="1" s="1"/>
  <c r="S412" i="1"/>
  <c r="L413" i="1"/>
  <c r="R412" i="1"/>
  <c r="T412" i="1" s="1"/>
  <c r="M412" i="1"/>
  <c r="S413" i="1"/>
  <c r="M414" i="1"/>
  <c r="R414" i="1"/>
  <c r="T414" i="1" s="1"/>
  <c r="S414" i="1"/>
  <c r="K413" i="1"/>
  <c r="M413" i="1"/>
  <c r="L414" i="1"/>
  <c r="O413" i="1"/>
  <c r="P413" i="1" s="1"/>
  <c r="Q413" i="1" s="1"/>
  <c r="L412" i="1"/>
  <c r="O412" i="1"/>
  <c r="P412" i="1" s="1"/>
  <c r="Q412" i="1" s="1"/>
  <c r="O414" i="1"/>
  <c r="P414" i="1" s="1"/>
  <c r="Q414" i="1" s="1"/>
  <c r="K412" i="1"/>
  <c r="K414" i="1"/>
  <c r="R413" i="1"/>
  <c r="T413" i="1" s="1"/>
  <c r="L410" i="1"/>
  <c r="O409" i="1"/>
  <c r="P409" i="1" s="1"/>
  <c r="Q409" i="1" s="1"/>
  <c r="S409" i="1"/>
  <c r="K409" i="1"/>
  <c r="L409" i="1"/>
  <c r="O411" i="1"/>
  <c r="P411" i="1" s="1"/>
  <c r="Q411" i="1" s="1"/>
  <c r="M409" i="1"/>
  <c r="L411" i="1"/>
  <c r="R409" i="1"/>
  <c r="T409" i="1" s="1"/>
  <c r="R410" i="1"/>
  <c r="T410" i="1" s="1"/>
  <c r="S410" i="1"/>
  <c r="K411" i="1"/>
  <c r="S411" i="1"/>
  <c r="O410" i="1"/>
  <c r="P410" i="1" s="1"/>
  <c r="Q410" i="1" s="1"/>
  <c r="R411" i="1"/>
  <c r="T411" i="1" s="1"/>
  <c r="M411" i="1"/>
  <c r="M410" i="1"/>
  <c r="K406" i="1"/>
  <c r="S408" i="1"/>
  <c r="K404" i="1"/>
  <c r="O404" i="1"/>
  <c r="P404" i="1" s="1"/>
  <c r="Q404" i="1" s="1"/>
  <c r="S406" i="1"/>
  <c r="K403" i="1"/>
  <c r="L406" i="1"/>
  <c r="M408" i="1"/>
  <c r="R408" i="1"/>
  <c r="T408" i="1" s="1"/>
  <c r="L404" i="1"/>
  <c r="S404" i="1"/>
  <c r="R406" i="1"/>
  <c r="T406" i="1" s="1"/>
  <c r="O405" i="1"/>
  <c r="P405" i="1" s="1"/>
  <c r="Q405" i="1" s="1"/>
  <c r="R407" i="1"/>
  <c r="T407" i="1" s="1"/>
  <c r="L405" i="1"/>
  <c r="M404" i="1"/>
  <c r="S405" i="1"/>
  <c r="K405" i="1"/>
  <c r="O403" i="1"/>
  <c r="P403" i="1" s="1"/>
  <c r="Q403" i="1" s="1"/>
  <c r="M403" i="1"/>
  <c r="M405" i="1"/>
  <c r="L407" i="1"/>
  <c r="R405" i="1"/>
  <c r="T405" i="1" s="1"/>
  <c r="O408" i="1"/>
  <c r="P408" i="1" s="1"/>
  <c r="Q408" i="1" s="1"/>
  <c r="O406" i="1"/>
  <c r="P406" i="1" s="1"/>
  <c r="Q406" i="1" s="1"/>
  <c r="R404" i="1"/>
  <c r="T404" i="1" s="1"/>
  <c r="S407" i="1"/>
  <c r="M407" i="1"/>
  <c r="L403" i="1"/>
  <c r="K407" i="1"/>
  <c r="L408" i="1"/>
  <c r="R403" i="1"/>
  <c r="T403" i="1" s="1"/>
  <c r="O407" i="1"/>
  <c r="P407" i="1" s="1"/>
  <c r="Q407" i="1" s="1"/>
  <c r="K408" i="1"/>
  <c r="S403" i="1"/>
  <c r="M406" i="1"/>
  <c r="K397" i="1"/>
  <c r="L398" i="1"/>
  <c r="L399" i="1"/>
  <c r="K400" i="1"/>
  <c r="R398" i="1"/>
  <c r="T398" i="1" s="1"/>
  <c r="S400" i="1"/>
  <c r="M402" i="1"/>
  <c r="M400" i="1"/>
  <c r="O398" i="1"/>
  <c r="P398" i="1" s="1"/>
  <c r="Q398" i="1" s="1"/>
  <c r="O401" i="1"/>
  <c r="P401" i="1" s="1"/>
  <c r="Q401" i="1" s="1"/>
  <c r="S401" i="1"/>
  <c r="M399" i="1"/>
  <c r="S397" i="1"/>
  <c r="L402" i="1"/>
  <c r="S399" i="1"/>
  <c r="M398" i="1"/>
  <c r="O402" i="1"/>
  <c r="P402" i="1" s="1"/>
  <c r="Q402" i="1" s="1"/>
  <c r="M401" i="1"/>
  <c r="K402" i="1"/>
  <c r="L401" i="1"/>
  <c r="K398" i="1"/>
  <c r="R400" i="1"/>
  <c r="T400" i="1" s="1"/>
  <c r="S402" i="1"/>
  <c r="O399" i="1"/>
  <c r="P399" i="1" s="1"/>
  <c r="Q399" i="1" s="1"/>
  <c r="O397" i="1"/>
  <c r="P397" i="1" s="1"/>
  <c r="Q397" i="1" s="1"/>
  <c r="K399" i="1"/>
  <c r="M396" i="1"/>
  <c r="R396" i="1"/>
  <c r="T396" i="1" s="1"/>
  <c r="L400" i="1"/>
  <c r="M397" i="1"/>
  <c r="R401" i="1"/>
  <c r="T401" i="1" s="1"/>
  <c r="K401" i="1"/>
  <c r="R402" i="1"/>
  <c r="T402" i="1" s="1"/>
  <c r="S396" i="1"/>
  <c r="L396" i="1"/>
  <c r="O400" i="1"/>
  <c r="P400" i="1" s="1"/>
  <c r="Q400" i="1" s="1"/>
  <c r="K396" i="1"/>
  <c r="R399" i="1"/>
  <c r="T399" i="1" s="1"/>
  <c r="O396" i="1"/>
  <c r="P396" i="1" s="1"/>
  <c r="Q396" i="1" s="1"/>
  <c r="L397" i="1"/>
  <c r="S398" i="1"/>
  <c r="R397" i="1"/>
  <c r="T397" i="1" s="1"/>
  <c r="K395" i="1"/>
  <c r="L395" i="1"/>
  <c r="M395" i="1"/>
  <c r="O395" i="1"/>
  <c r="P395" i="1" s="1"/>
  <c r="Q395" i="1" s="1"/>
  <c r="R395" i="1"/>
  <c r="T395" i="1" s="1"/>
  <c r="S395" i="1"/>
  <c r="K394" i="1"/>
  <c r="L394" i="1"/>
  <c r="M394" i="1"/>
  <c r="O394" i="1"/>
  <c r="P394" i="1" s="1"/>
  <c r="Q394" i="1" s="1"/>
  <c r="R394" i="1"/>
  <c r="T394" i="1" s="1"/>
  <c r="S394" i="1"/>
  <c r="H5" i="10"/>
  <c r="J5" i="10" s="1"/>
  <c r="K393" i="1"/>
  <c r="L393" i="1"/>
  <c r="M393" i="1"/>
  <c r="O393" i="1"/>
  <c r="P393" i="1" s="1"/>
  <c r="Q393" i="1" s="1"/>
  <c r="R393" i="1"/>
  <c r="T393" i="1" s="1"/>
  <c r="S393" i="1"/>
  <c r="K392" i="1"/>
  <c r="L392" i="1"/>
  <c r="M392" i="1"/>
  <c r="O392" i="1"/>
  <c r="P392" i="1" s="1"/>
  <c r="Q392" i="1" s="1"/>
  <c r="R392" i="1"/>
  <c r="T392" i="1" s="1"/>
  <c r="S392" i="1"/>
  <c r="K391" i="1"/>
  <c r="L391" i="1"/>
  <c r="M391" i="1"/>
  <c r="O391" i="1"/>
  <c r="P391" i="1" s="1"/>
  <c r="Q391" i="1" s="1"/>
  <c r="R391" i="1"/>
  <c r="T391" i="1" s="1"/>
  <c r="S391" i="1"/>
  <c r="K390" i="1"/>
  <c r="L390" i="1"/>
  <c r="M390" i="1"/>
  <c r="O390" i="1"/>
  <c r="P390" i="1" s="1"/>
  <c r="Q390" i="1" s="1"/>
  <c r="R390" i="1"/>
  <c r="T390" i="1" s="1"/>
  <c r="S390" i="1"/>
  <c r="K389" i="1"/>
  <c r="L389" i="1"/>
  <c r="M389" i="1"/>
  <c r="O389" i="1"/>
  <c r="P389" i="1" s="1"/>
  <c r="Q389" i="1" s="1"/>
  <c r="R389" i="1"/>
  <c r="T389" i="1" s="1"/>
  <c r="S389" i="1"/>
  <c r="K388" i="1"/>
  <c r="L388" i="1"/>
  <c r="M388" i="1"/>
  <c r="O388" i="1"/>
  <c r="P388" i="1" s="1"/>
  <c r="Q388" i="1" s="1"/>
  <c r="R388" i="1"/>
  <c r="T388" i="1" s="1"/>
  <c r="S388" i="1"/>
  <c r="K383" i="1"/>
  <c r="K384" i="1"/>
  <c r="K385" i="1"/>
  <c r="K386" i="1"/>
  <c r="K387" i="1"/>
  <c r="L383" i="1"/>
  <c r="L384" i="1"/>
  <c r="L385" i="1"/>
  <c r="L386" i="1"/>
  <c r="L387" i="1"/>
  <c r="M383" i="1"/>
  <c r="M384" i="1"/>
  <c r="M385" i="1"/>
  <c r="M386" i="1"/>
  <c r="M387" i="1"/>
  <c r="O383" i="1"/>
  <c r="P383" i="1" s="1"/>
  <c r="Q383" i="1" s="1"/>
  <c r="O384" i="1"/>
  <c r="P384" i="1" s="1"/>
  <c r="Q384" i="1" s="1"/>
  <c r="O385" i="1"/>
  <c r="P385" i="1" s="1"/>
  <c r="Q385" i="1" s="1"/>
  <c r="O386" i="1"/>
  <c r="P386" i="1" s="1"/>
  <c r="Q386" i="1" s="1"/>
  <c r="O387" i="1"/>
  <c r="P387" i="1" s="1"/>
  <c r="Q387" i="1" s="1"/>
  <c r="R383" i="1"/>
  <c r="T383" i="1" s="1"/>
  <c r="R384" i="1"/>
  <c r="T384" i="1" s="1"/>
  <c r="R385" i="1"/>
  <c r="T385" i="1" s="1"/>
  <c r="R386" i="1"/>
  <c r="T386" i="1" s="1"/>
  <c r="R387" i="1"/>
  <c r="T387" i="1" s="1"/>
  <c r="S383" i="1"/>
  <c r="S384" i="1"/>
  <c r="S385" i="1"/>
  <c r="S386" i="1"/>
  <c r="S387" i="1"/>
  <c r="K382" i="1"/>
  <c r="L382" i="1"/>
  <c r="M382" i="1"/>
  <c r="O382" i="1"/>
  <c r="P382" i="1" s="1"/>
  <c r="Q382" i="1" s="1"/>
  <c r="R382" i="1"/>
  <c r="T382" i="1" s="1"/>
  <c r="S382" i="1"/>
  <c r="L379" i="1"/>
  <c r="L381" i="1"/>
  <c r="O378" i="1"/>
  <c r="P378" i="1" s="1"/>
  <c r="Q378" i="1" s="1"/>
  <c r="L377" i="1"/>
  <c r="S376" i="1"/>
  <c r="R378" i="1"/>
  <c r="T378" i="1" s="1"/>
  <c r="O379" i="1"/>
  <c r="P379" i="1" s="1"/>
  <c r="Q379" i="1" s="1"/>
  <c r="R381" i="1"/>
  <c r="T381" i="1" s="1"/>
  <c r="R376" i="1"/>
  <c r="T376" i="1" s="1"/>
  <c r="O381" i="1"/>
  <c r="P381" i="1" s="1"/>
  <c r="Q381" i="1" s="1"/>
  <c r="R379" i="1"/>
  <c r="T379" i="1" s="1"/>
  <c r="K379" i="1"/>
  <c r="S380" i="1"/>
  <c r="S381" i="1"/>
  <c r="S378" i="1"/>
  <c r="L378" i="1"/>
  <c r="K377" i="1"/>
  <c r="S379" i="1"/>
  <c r="M377" i="1"/>
  <c r="R380" i="1"/>
  <c r="T380" i="1" s="1"/>
  <c r="S377" i="1"/>
  <c r="L376" i="1"/>
  <c r="O380" i="1"/>
  <c r="P380" i="1" s="1"/>
  <c r="Q380" i="1" s="1"/>
  <c r="M378" i="1"/>
  <c r="R377" i="1"/>
  <c r="T377" i="1" s="1"/>
  <c r="M376" i="1"/>
  <c r="M381" i="1"/>
  <c r="K376" i="1"/>
  <c r="K378" i="1"/>
  <c r="O376" i="1"/>
  <c r="P376" i="1" s="1"/>
  <c r="Q376" i="1" s="1"/>
  <c r="K381" i="1"/>
  <c r="M380" i="1"/>
  <c r="O377" i="1"/>
  <c r="P377" i="1" s="1"/>
  <c r="Q377" i="1" s="1"/>
  <c r="L380" i="1"/>
  <c r="M379" i="1"/>
  <c r="K380" i="1"/>
  <c r="R374" i="1"/>
  <c r="T374" i="1" s="1"/>
  <c r="L371" i="1"/>
  <c r="R375" i="1"/>
  <c r="T375" i="1" s="1"/>
  <c r="R373" i="1"/>
  <c r="T373" i="1" s="1"/>
  <c r="S373" i="1"/>
  <c r="L373" i="1"/>
  <c r="K372" i="1"/>
  <c r="M372" i="1"/>
  <c r="L375" i="1"/>
  <c r="S372" i="1"/>
  <c r="K373" i="1"/>
  <c r="R372" i="1"/>
  <c r="T372" i="1" s="1"/>
  <c r="O375" i="1"/>
  <c r="P375" i="1" s="1"/>
  <c r="Q375" i="1" s="1"/>
  <c r="M371" i="1"/>
  <c r="O371" i="1"/>
  <c r="P371" i="1" s="1"/>
  <c r="Q371" i="1" s="1"/>
  <c r="S375" i="1"/>
  <c r="O372" i="1"/>
  <c r="P372" i="1" s="1"/>
  <c r="Q372" i="1" s="1"/>
  <c r="R371" i="1"/>
  <c r="T371" i="1" s="1"/>
  <c r="S374" i="1"/>
  <c r="K371" i="1"/>
  <c r="L374" i="1"/>
  <c r="K375" i="1"/>
  <c r="S371" i="1"/>
  <c r="K374" i="1"/>
  <c r="M375" i="1"/>
  <c r="O373" i="1"/>
  <c r="P373" i="1" s="1"/>
  <c r="Q373" i="1" s="1"/>
  <c r="M373" i="1"/>
  <c r="L372" i="1"/>
  <c r="O374" i="1"/>
  <c r="P374" i="1" s="1"/>
  <c r="Q374" i="1" s="1"/>
  <c r="M374" i="1"/>
  <c r="L369" i="1"/>
  <c r="L370" i="1"/>
  <c r="R369" i="1"/>
  <c r="T369" i="1" s="1"/>
  <c r="K368" i="1"/>
  <c r="O369" i="1"/>
  <c r="P369" i="1" s="1"/>
  <c r="Q369" i="1" s="1"/>
  <c r="L368" i="1"/>
  <c r="R370" i="1"/>
  <c r="T370" i="1" s="1"/>
  <c r="M369" i="1"/>
  <c r="S368" i="1"/>
  <c r="K369" i="1"/>
  <c r="K370" i="1"/>
  <c r="S369" i="1"/>
  <c r="R368" i="1"/>
  <c r="T368" i="1" s="1"/>
  <c r="O370" i="1"/>
  <c r="P370" i="1" s="1"/>
  <c r="Q370" i="1" s="1"/>
  <c r="S370" i="1"/>
  <c r="O368" i="1"/>
  <c r="P368" i="1" s="1"/>
  <c r="Q368" i="1" s="1"/>
  <c r="M368" i="1"/>
  <c r="M370" i="1"/>
  <c r="L357" i="1"/>
  <c r="S357" i="1"/>
  <c r="K357" i="1"/>
  <c r="M357" i="1"/>
  <c r="R357" i="1"/>
  <c r="T357" i="1" s="1"/>
  <c r="O357" i="1"/>
  <c r="P357" i="1" s="1"/>
  <c r="Q357" i="1" s="1"/>
  <c r="S367" i="1"/>
  <c r="M367" i="1"/>
  <c r="K367" i="1"/>
  <c r="L367" i="1"/>
  <c r="O367" i="1"/>
  <c r="P367" i="1" s="1"/>
  <c r="Q367" i="1" s="1"/>
  <c r="R367" i="1"/>
  <c r="T367" i="1" s="1"/>
  <c r="S362" i="1"/>
  <c r="R366" i="1"/>
  <c r="T366" i="1" s="1"/>
  <c r="S364" i="1"/>
  <c r="L362" i="1"/>
  <c r="M364" i="1"/>
  <c r="M362" i="1"/>
  <c r="M363" i="1"/>
  <c r="K362" i="1"/>
  <c r="L365" i="1"/>
  <c r="S363" i="1"/>
  <c r="R363" i="1"/>
  <c r="T363" i="1" s="1"/>
  <c r="R365" i="1"/>
  <c r="T365" i="1" s="1"/>
  <c r="K366" i="1"/>
  <c r="S365" i="1"/>
  <c r="O366" i="1"/>
  <c r="P366" i="1" s="1"/>
  <c r="Q366" i="1" s="1"/>
  <c r="K364" i="1"/>
  <c r="L363" i="1"/>
  <c r="M366" i="1"/>
  <c r="O362" i="1"/>
  <c r="P362" i="1" s="1"/>
  <c r="Q362" i="1" s="1"/>
  <c r="L364" i="1"/>
  <c r="S366" i="1"/>
  <c r="O364" i="1"/>
  <c r="P364" i="1" s="1"/>
  <c r="Q364" i="1" s="1"/>
  <c r="M365" i="1"/>
  <c r="R362" i="1"/>
  <c r="T362" i="1" s="1"/>
  <c r="O365" i="1"/>
  <c r="P365" i="1" s="1"/>
  <c r="Q365" i="1" s="1"/>
  <c r="L366" i="1"/>
  <c r="O363" i="1"/>
  <c r="P363" i="1" s="1"/>
  <c r="Q363" i="1" s="1"/>
  <c r="K363" i="1"/>
  <c r="K365" i="1"/>
  <c r="R364" i="1"/>
  <c r="T364" i="1" s="1"/>
  <c r="K361" i="1"/>
  <c r="L361" i="1"/>
  <c r="M361" i="1"/>
  <c r="O361" i="1"/>
  <c r="P361" i="1" s="1"/>
  <c r="Q361" i="1" s="1"/>
  <c r="R361" i="1"/>
  <c r="T361" i="1" s="1"/>
  <c r="S361" i="1"/>
  <c r="K360" i="1"/>
  <c r="L360" i="1"/>
  <c r="M360" i="1"/>
  <c r="O360" i="1"/>
  <c r="P360" i="1" s="1"/>
  <c r="Q360" i="1" s="1"/>
  <c r="R360" i="1"/>
  <c r="T360" i="1" s="1"/>
  <c r="S360" i="1"/>
  <c r="K359" i="1"/>
  <c r="L359" i="1"/>
  <c r="M359" i="1"/>
  <c r="O359" i="1"/>
  <c r="P359" i="1" s="1"/>
  <c r="Q359" i="1" s="1"/>
  <c r="R359" i="1"/>
  <c r="T359" i="1" s="1"/>
  <c r="S359" i="1"/>
  <c r="K358" i="1"/>
  <c r="L358" i="1"/>
  <c r="M358" i="1"/>
  <c r="O358" i="1"/>
  <c r="P358" i="1" s="1"/>
  <c r="Q358" i="1" s="1"/>
  <c r="R358" i="1"/>
  <c r="T358" i="1" s="1"/>
  <c r="S358" i="1"/>
  <c r="K353" i="1"/>
  <c r="L353" i="1"/>
  <c r="M353" i="1"/>
  <c r="O353" i="1"/>
  <c r="P353" i="1" s="1"/>
  <c r="Q353" i="1" s="1"/>
  <c r="R353" i="1"/>
  <c r="T353" i="1" s="1"/>
  <c r="S353" i="1"/>
  <c r="K356" i="1"/>
  <c r="L356" i="1"/>
  <c r="M356" i="1"/>
  <c r="O356" i="1"/>
  <c r="P356" i="1" s="1"/>
  <c r="Q356" i="1" s="1"/>
  <c r="R356" i="1"/>
  <c r="T356" i="1" s="1"/>
  <c r="S356" i="1"/>
  <c r="K355" i="1"/>
  <c r="L355" i="1"/>
  <c r="M355" i="1"/>
  <c r="O355" i="1"/>
  <c r="P355" i="1" s="1"/>
  <c r="Q355" i="1" s="1"/>
  <c r="R355" i="1"/>
  <c r="T355" i="1" s="1"/>
  <c r="S355" i="1"/>
  <c r="K354" i="1"/>
  <c r="L354" i="1"/>
  <c r="M354" i="1"/>
  <c r="O354" i="1"/>
  <c r="P354" i="1" s="1"/>
  <c r="Q354" i="1" s="1"/>
  <c r="R354" i="1"/>
  <c r="T354" i="1" s="1"/>
  <c r="S354" i="1"/>
  <c r="S338" i="1"/>
  <c r="M338" i="1"/>
  <c r="K338" i="1"/>
  <c r="L338" i="1"/>
  <c r="O338" i="1"/>
  <c r="P338" i="1" s="1"/>
  <c r="Q338" i="1" s="1"/>
  <c r="R338" i="1"/>
  <c r="T338" i="1" s="1"/>
  <c r="K325" i="1"/>
  <c r="R325" i="1"/>
  <c r="T325" i="1" s="1"/>
  <c r="S325" i="1"/>
  <c r="L325" i="1"/>
  <c r="M325" i="1"/>
  <c r="O325" i="1"/>
  <c r="P325" i="1" s="1"/>
  <c r="Q325" i="1" s="1"/>
  <c r="K352" i="1"/>
  <c r="L352" i="1"/>
  <c r="M352" i="1"/>
  <c r="O352" i="1"/>
  <c r="P352" i="1" s="1"/>
  <c r="Q352" i="1" s="1"/>
  <c r="R352" i="1"/>
  <c r="T352" i="1" s="1"/>
  <c r="S352" i="1"/>
  <c r="K351" i="1"/>
  <c r="L351" i="1"/>
  <c r="M351" i="1"/>
  <c r="O351" i="1"/>
  <c r="P351" i="1" s="1"/>
  <c r="Q351" i="1" s="1"/>
  <c r="R351" i="1"/>
  <c r="T351" i="1" s="1"/>
  <c r="S351" i="1"/>
  <c r="K350" i="1"/>
  <c r="L350" i="1"/>
  <c r="M350" i="1"/>
  <c r="O350" i="1"/>
  <c r="P350" i="1" s="1"/>
  <c r="Q350" i="1" s="1"/>
  <c r="R350" i="1"/>
  <c r="T350" i="1" s="1"/>
  <c r="S350" i="1"/>
  <c r="K349" i="1"/>
  <c r="L349" i="1"/>
  <c r="M349" i="1"/>
  <c r="O349" i="1"/>
  <c r="P349" i="1" s="1"/>
  <c r="Q349" i="1" s="1"/>
  <c r="R349" i="1"/>
  <c r="T349" i="1" s="1"/>
  <c r="S349" i="1"/>
  <c r="K348" i="1"/>
  <c r="L348" i="1"/>
  <c r="M348" i="1"/>
  <c r="O348" i="1"/>
  <c r="P348" i="1" s="1"/>
  <c r="Q348" i="1" s="1"/>
  <c r="R348" i="1"/>
  <c r="T348" i="1" s="1"/>
  <c r="S348" i="1"/>
  <c r="K347" i="1"/>
  <c r="L347" i="1"/>
  <c r="M347" i="1"/>
  <c r="O347" i="1"/>
  <c r="P347" i="1" s="1"/>
  <c r="Q347" i="1" s="1"/>
  <c r="R347" i="1"/>
  <c r="T347" i="1" s="1"/>
  <c r="S347" i="1"/>
  <c r="K346" i="1"/>
  <c r="L346" i="1"/>
  <c r="M346" i="1"/>
  <c r="O346" i="1"/>
  <c r="P346" i="1" s="1"/>
  <c r="Q346" i="1" s="1"/>
  <c r="R346" i="1"/>
  <c r="T346" i="1" s="1"/>
  <c r="S346" i="1"/>
  <c r="K345" i="1"/>
  <c r="L345" i="1"/>
  <c r="M345" i="1"/>
  <c r="O345" i="1"/>
  <c r="P345" i="1" s="1"/>
  <c r="Q345" i="1" s="1"/>
  <c r="R345" i="1"/>
  <c r="T345" i="1" s="1"/>
  <c r="S345" i="1"/>
  <c r="K344" i="1"/>
  <c r="L344" i="1"/>
  <c r="M344" i="1"/>
  <c r="O344" i="1"/>
  <c r="P344" i="1" s="1"/>
  <c r="Q344" i="1" s="1"/>
  <c r="R344" i="1"/>
  <c r="T344" i="1" s="1"/>
  <c r="S344" i="1"/>
  <c r="R343" i="1"/>
  <c r="T343" i="1" s="1"/>
  <c r="L343" i="1"/>
  <c r="O343" i="1"/>
  <c r="P343" i="1" s="1"/>
  <c r="Q343" i="1" s="1"/>
  <c r="S343" i="1"/>
  <c r="K343" i="1"/>
  <c r="M343" i="1"/>
  <c r="K327" i="1"/>
  <c r="L327" i="1"/>
  <c r="M327" i="1"/>
  <c r="O327" i="1"/>
  <c r="P327" i="1" s="1"/>
  <c r="Q327" i="1" s="1"/>
  <c r="R327" i="1"/>
  <c r="T327" i="1" s="1"/>
  <c r="S327" i="1"/>
  <c r="K328" i="1"/>
  <c r="K329" i="1"/>
  <c r="L328" i="1"/>
  <c r="L329" i="1"/>
  <c r="M328" i="1"/>
  <c r="M329" i="1"/>
  <c r="O328" i="1"/>
  <c r="P328" i="1" s="1"/>
  <c r="Q328" i="1" s="1"/>
  <c r="O329" i="1"/>
  <c r="P329" i="1" s="1"/>
  <c r="Q329" i="1" s="1"/>
  <c r="R328" i="1"/>
  <c r="T328" i="1" s="1"/>
  <c r="R329" i="1"/>
  <c r="T329" i="1" s="1"/>
  <c r="S328" i="1"/>
  <c r="S329" i="1"/>
  <c r="K324" i="1"/>
  <c r="L324" i="1"/>
  <c r="M324" i="1"/>
  <c r="O324" i="1"/>
  <c r="P324" i="1" s="1"/>
  <c r="Q324" i="1" s="1"/>
  <c r="R324" i="1"/>
  <c r="T324" i="1" s="1"/>
  <c r="S324" i="1"/>
  <c r="K326" i="1"/>
  <c r="L326" i="1"/>
  <c r="M326" i="1"/>
  <c r="O326" i="1"/>
  <c r="P326" i="1" s="1"/>
  <c r="Q326" i="1" s="1"/>
  <c r="R326" i="1"/>
  <c r="T326" i="1" s="1"/>
  <c r="S326" i="1"/>
  <c r="S340" i="1"/>
  <c r="R340" i="1"/>
  <c r="T340" i="1" s="1"/>
  <c r="O340" i="1"/>
  <c r="P340" i="1" s="1"/>
  <c r="Q340" i="1" s="1"/>
  <c r="S342" i="1"/>
  <c r="K340" i="1"/>
  <c r="K342" i="1"/>
  <c r="M342" i="1"/>
  <c r="R342" i="1"/>
  <c r="T342" i="1" s="1"/>
  <c r="O342" i="1"/>
  <c r="P342" i="1" s="1"/>
  <c r="Q342" i="1" s="1"/>
  <c r="L342" i="1"/>
  <c r="L340" i="1"/>
  <c r="M340" i="1"/>
  <c r="S331" i="1"/>
  <c r="O331" i="1"/>
  <c r="P331" i="1" s="1"/>
  <c r="Q331" i="1" s="1"/>
  <c r="K331" i="1"/>
  <c r="L331" i="1"/>
  <c r="M331" i="1"/>
  <c r="R331" i="1"/>
  <c r="T331" i="1" s="1"/>
  <c r="S333" i="1"/>
  <c r="M335" i="1"/>
  <c r="K341" i="1"/>
  <c r="L335" i="1"/>
  <c r="R335" i="1"/>
  <c r="T335" i="1" s="1"/>
  <c r="S332" i="1"/>
  <c r="R337" i="1"/>
  <c r="T337" i="1" s="1"/>
  <c r="M339" i="1"/>
  <c r="M334" i="1"/>
  <c r="R339" i="1"/>
  <c r="T339" i="1" s="1"/>
  <c r="R333" i="1"/>
  <c r="T333" i="1" s="1"/>
  <c r="O341" i="1"/>
  <c r="P341" i="1" s="1"/>
  <c r="Q341" i="1" s="1"/>
  <c r="L334" i="1"/>
  <c r="R341" i="1"/>
  <c r="T341" i="1" s="1"/>
  <c r="K334" i="1"/>
  <c r="K335" i="1"/>
  <c r="M337" i="1"/>
  <c r="R336" i="1"/>
  <c r="T336" i="1" s="1"/>
  <c r="O339" i="1"/>
  <c r="P339" i="1" s="1"/>
  <c r="Q339" i="1" s="1"/>
  <c r="K333" i="1"/>
  <c r="L339" i="1"/>
  <c r="S335" i="1"/>
  <c r="O334" i="1"/>
  <c r="P334" i="1" s="1"/>
  <c r="Q334" i="1" s="1"/>
  <c r="L333" i="1"/>
  <c r="O332" i="1"/>
  <c r="P332" i="1" s="1"/>
  <c r="Q332" i="1" s="1"/>
  <c r="K337" i="1"/>
  <c r="R334" i="1"/>
  <c r="T334" i="1" s="1"/>
  <c r="K332" i="1"/>
  <c r="M341" i="1"/>
  <c r="S334" i="1"/>
  <c r="S336" i="1"/>
  <c r="L332" i="1"/>
  <c r="S337" i="1"/>
  <c r="M336" i="1"/>
  <c r="L337" i="1"/>
  <c r="S341" i="1"/>
  <c r="R332" i="1"/>
  <c r="T332" i="1" s="1"/>
  <c r="S339" i="1"/>
  <c r="O337" i="1"/>
  <c r="P337" i="1" s="1"/>
  <c r="Q337" i="1" s="1"/>
  <c r="O335" i="1"/>
  <c r="P335" i="1" s="1"/>
  <c r="Q335" i="1" s="1"/>
  <c r="M332" i="1"/>
  <c r="K336" i="1"/>
  <c r="L341" i="1"/>
  <c r="M333" i="1"/>
  <c r="O336" i="1"/>
  <c r="P336" i="1" s="1"/>
  <c r="Q336" i="1" s="1"/>
  <c r="O333" i="1"/>
  <c r="P333" i="1" s="1"/>
  <c r="Q333" i="1" s="1"/>
  <c r="L336" i="1"/>
  <c r="K339" i="1"/>
  <c r="S290" i="1"/>
  <c r="O290" i="1"/>
  <c r="P290" i="1" s="1"/>
  <c r="Q290" i="1" s="1"/>
  <c r="R290" i="1"/>
  <c r="T290" i="1" s="1"/>
  <c r="K290" i="1"/>
  <c r="L290" i="1"/>
  <c r="M290" i="1"/>
  <c r="S286" i="1"/>
  <c r="R286" i="1"/>
  <c r="T286" i="1" s="1"/>
  <c r="L286" i="1"/>
  <c r="K286" i="1"/>
  <c r="M286" i="1"/>
  <c r="O286" i="1"/>
  <c r="P286" i="1" s="1"/>
  <c r="Q286" i="1" s="1"/>
  <c r="O320" i="1"/>
  <c r="P320" i="1" s="1"/>
  <c r="Q320" i="1" s="1"/>
  <c r="S320" i="1"/>
  <c r="R322" i="1"/>
  <c r="T322" i="1" s="1"/>
  <c r="K321" i="1"/>
  <c r="R323" i="1"/>
  <c r="T323" i="1" s="1"/>
  <c r="S319" i="1"/>
  <c r="K320" i="1"/>
  <c r="K322" i="1"/>
  <c r="R321" i="1"/>
  <c r="T321" i="1" s="1"/>
  <c r="S322" i="1"/>
  <c r="M323" i="1"/>
  <c r="L323" i="1"/>
  <c r="L320" i="1"/>
  <c r="O321" i="1"/>
  <c r="P321" i="1" s="1"/>
  <c r="Q321" i="1" s="1"/>
  <c r="R320" i="1"/>
  <c r="T320" i="1" s="1"/>
  <c r="M319" i="1"/>
  <c r="M320" i="1"/>
  <c r="R319" i="1"/>
  <c r="T319" i="1" s="1"/>
  <c r="O322" i="1"/>
  <c r="P322" i="1" s="1"/>
  <c r="Q322" i="1" s="1"/>
  <c r="S321" i="1"/>
  <c r="O319" i="1"/>
  <c r="P319" i="1" s="1"/>
  <c r="Q319" i="1" s="1"/>
  <c r="K323" i="1"/>
  <c r="L321" i="1"/>
  <c r="O323" i="1"/>
  <c r="P323" i="1" s="1"/>
  <c r="Q323" i="1" s="1"/>
  <c r="L322" i="1"/>
  <c r="L319" i="1"/>
  <c r="K319" i="1"/>
  <c r="M322" i="1"/>
  <c r="S323" i="1"/>
  <c r="M321" i="1"/>
  <c r="O318" i="1"/>
  <c r="P318" i="1" s="1"/>
  <c r="Q318" i="1" s="1"/>
  <c r="L318" i="1"/>
  <c r="M318" i="1"/>
  <c r="R318" i="1"/>
  <c r="T318" i="1" s="1"/>
  <c r="S318" i="1"/>
  <c r="K318" i="1"/>
  <c r="L316" i="1"/>
  <c r="L300" i="1"/>
  <c r="O317" i="1"/>
  <c r="P317" i="1" s="1"/>
  <c r="Q317" i="1" s="1"/>
  <c r="K317" i="1"/>
  <c r="O316" i="1"/>
  <c r="P316" i="1" s="1"/>
  <c r="Q316" i="1" s="1"/>
  <c r="K330" i="1"/>
  <c r="K300" i="1"/>
  <c r="S330" i="1"/>
  <c r="R300" i="1"/>
  <c r="T300" i="1" s="1"/>
  <c r="L317" i="1"/>
  <c r="R316" i="1"/>
  <c r="T316" i="1" s="1"/>
  <c r="M316" i="1"/>
  <c r="K316" i="1"/>
  <c r="M317" i="1"/>
  <c r="M300" i="1"/>
  <c r="S317" i="1"/>
  <c r="R317" i="1"/>
  <c r="T317" i="1" s="1"/>
  <c r="O330" i="1"/>
  <c r="P330" i="1" s="1"/>
  <c r="Q330" i="1" s="1"/>
  <c r="S316" i="1"/>
  <c r="R330" i="1"/>
  <c r="T330" i="1" s="1"/>
  <c r="M330" i="1"/>
  <c r="O300" i="1"/>
  <c r="P300" i="1" s="1"/>
  <c r="Q300" i="1" s="1"/>
  <c r="L330" i="1"/>
  <c r="S300" i="1"/>
  <c r="K315" i="1"/>
  <c r="L315" i="1"/>
  <c r="M315" i="1"/>
  <c r="O315" i="1"/>
  <c r="P315" i="1" s="1"/>
  <c r="Q315" i="1" s="1"/>
  <c r="R315" i="1"/>
  <c r="T315" i="1" s="1"/>
  <c r="S315" i="1"/>
  <c r="K314" i="1"/>
  <c r="L314" i="1"/>
  <c r="M314" i="1"/>
  <c r="O314" i="1"/>
  <c r="P314" i="1" s="1"/>
  <c r="Q314" i="1" s="1"/>
  <c r="R314" i="1"/>
  <c r="T314" i="1" s="1"/>
  <c r="S314" i="1"/>
  <c r="H8" i="10"/>
  <c r="J8" i="10" s="1"/>
  <c r="K311" i="1"/>
  <c r="K312" i="1"/>
  <c r="K313" i="1"/>
  <c r="L311" i="1"/>
  <c r="L312" i="1"/>
  <c r="L313" i="1"/>
  <c r="M311" i="1"/>
  <c r="M312" i="1"/>
  <c r="M313" i="1"/>
  <c r="O311" i="1"/>
  <c r="P311" i="1" s="1"/>
  <c r="Q311" i="1" s="1"/>
  <c r="O312" i="1"/>
  <c r="P312" i="1" s="1"/>
  <c r="Q312" i="1" s="1"/>
  <c r="O313" i="1"/>
  <c r="P313" i="1" s="1"/>
  <c r="Q313" i="1" s="1"/>
  <c r="R311" i="1"/>
  <c r="T311" i="1" s="1"/>
  <c r="R312" i="1"/>
  <c r="T312" i="1" s="1"/>
  <c r="R313" i="1"/>
  <c r="T313" i="1" s="1"/>
  <c r="S311" i="1"/>
  <c r="S312" i="1"/>
  <c r="S313" i="1"/>
  <c r="K310" i="1"/>
  <c r="L310" i="1"/>
  <c r="M310" i="1"/>
  <c r="O310" i="1"/>
  <c r="P310" i="1" s="1"/>
  <c r="Q310" i="1" s="1"/>
  <c r="R310" i="1"/>
  <c r="T310" i="1" s="1"/>
  <c r="S310" i="1"/>
  <c r="K308" i="1"/>
  <c r="K309" i="1"/>
  <c r="L308" i="1"/>
  <c r="L309" i="1"/>
  <c r="M308" i="1"/>
  <c r="M309" i="1"/>
  <c r="O308" i="1"/>
  <c r="P308" i="1" s="1"/>
  <c r="Q308" i="1" s="1"/>
  <c r="O309" i="1"/>
  <c r="P309" i="1" s="1"/>
  <c r="Q309" i="1" s="1"/>
  <c r="R308" i="1"/>
  <c r="T308" i="1" s="1"/>
  <c r="R309" i="1"/>
  <c r="T309" i="1" s="1"/>
  <c r="S308" i="1"/>
  <c r="S309" i="1"/>
  <c r="K307" i="1"/>
  <c r="L307" i="1"/>
  <c r="M307" i="1"/>
  <c r="O307" i="1"/>
  <c r="P307" i="1" s="1"/>
  <c r="Q307" i="1" s="1"/>
  <c r="R307" i="1"/>
  <c r="T307" i="1" s="1"/>
  <c r="S307" i="1"/>
  <c r="S306" i="1"/>
  <c r="S305" i="1"/>
  <c r="S304" i="1"/>
  <c r="S303" i="1"/>
  <c r="S302" i="1"/>
  <c r="S301" i="1"/>
  <c r="R306" i="1"/>
  <c r="T306" i="1" s="1"/>
  <c r="R305" i="1"/>
  <c r="T305" i="1" s="1"/>
  <c r="R304" i="1"/>
  <c r="T304" i="1" s="1"/>
  <c r="R303" i="1"/>
  <c r="T303" i="1" s="1"/>
  <c r="R302" i="1"/>
  <c r="T302" i="1" s="1"/>
  <c r="R301" i="1"/>
  <c r="T301" i="1" s="1"/>
  <c r="O306" i="1"/>
  <c r="P306" i="1" s="1"/>
  <c r="Q306" i="1" s="1"/>
  <c r="O305" i="1"/>
  <c r="P305" i="1" s="1"/>
  <c r="Q305" i="1" s="1"/>
  <c r="O304" i="1"/>
  <c r="P304" i="1" s="1"/>
  <c r="Q304" i="1" s="1"/>
  <c r="O303" i="1"/>
  <c r="P303" i="1" s="1"/>
  <c r="Q303" i="1" s="1"/>
  <c r="O302" i="1"/>
  <c r="P302" i="1" s="1"/>
  <c r="Q302" i="1" s="1"/>
  <c r="O301" i="1"/>
  <c r="P301" i="1" s="1"/>
  <c r="Q301" i="1" s="1"/>
  <c r="M306" i="1"/>
  <c r="M305" i="1"/>
  <c r="M304" i="1"/>
  <c r="M303" i="1"/>
  <c r="M302" i="1"/>
  <c r="M301" i="1"/>
  <c r="L306" i="1"/>
  <c r="L305" i="1"/>
  <c r="L304" i="1"/>
  <c r="L303" i="1"/>
  <c r="L302" i="1"/>
  <c r="L301" i="1"/>
  <c r="K306" i="1"/>
  <c r="K305" i="1"/>
  <c r="K304" i="1"/>
  <c r="K303" i="1"/>
  <c r="K302" i="1"/>
  <c r="K301" i="1"/>
  <c r="K298" i="1"/>
  <c r="L298" i="1"/>
  <c r="M298" i="1"/>
  <c r="O298" i="1"/>
  <c r="P298" i="1" s="1"/>
  <c r="Q298" i="1" s="1"/>
  <c r="R298" i="1"/>
  <c r="T298" i="1" s="1"/>
  <c r="S298" i="1"/>
  <c r="O297" i="1"/>
  <c r="P297" i="1" s="1"/>
  <c r="Q297" i="1" s="1"/>
  <c r="L295" i="1"/>
  <c r="S297" i="1"/>
  <c r="R296" i="1"/>
  <c r="T296" i="1" s="1"/>
  <c r="S299" i="1"/>
  <c r="O299" i="1"/>
  <c r="P299" i="1" s="1"/>
  <c r="Q299" i="1" s="1"/>
  <c r="S295" i="1"/>
  <c r="O296" i="1"/>
  <c r="P296" i="1" s="1"/>
  <c r="Q296" i="1" s="1"/>
  <c r="M297" i="1"/>
  <c r="M299" i="1"/>
  <c r="R299" i="1"/>
  <c r="T299" i="1" s="1"/>
  <c r="R297" i="1"/>
  <c r="T297" i="1" s="1"/>
  <c r="L299" i="1"/>
  <c r="K296" i="1"/>
  <c r="M295" i="1"/>
  <c r="R295" i="1"/>
  <c r="T295" i="1" s="1"/>
  <c r="K297" i="1"/>
  <c r="K295" i="1"/>
  <c r="O295" i="1"/>
  <c r="P295" i="1" s="1"/>
  <c r="Q295" i="1" s="1"/>
  <c r="L296" i="1"/>
  <c r="S296" i="1"/>
  <c r="K299" i="1"/>
  <c r="M296" i="1"/>
  <c r="L297" i="1"/>
  <c r="L294" i="1"/>
  <c r="M292" i="1"/>
  <c r="S291" i="1"/>
  <c r="O292" i="1"/>
  <c r="P292" i="1" s="1"/>
  <c r="Q292" i="1" s="1"/>
  <c r="S293" i="1"/>
  <c r="O293" i="1"/>
  <c r="P293" i="1" s="1"/>
  <c r="Q293" i="1" s="1"/>
  <c r="R293" i="1"/>
  <c r="T293" i="1" s="1"/>
  <c r="M293" i="1"/>
  <c r="K291" i="1"/>
  <c r="S294" i="1"/>
  <c r="K293" i="1"/>
  <c r="R294" i="1"/>
  <c r="T294" i="1" s="1"/>
  <c r="K294" i="1"/>
  <c r="L291" i="1"/>
  <c r="M294" i="1"/>
  <c r="O291" i="1"/>
  <c r="P291" i="1" s="1"/>
  <c r="Q291" i="1" s="1"/>
  <c r="M291" i="1"/>
  <c r="O294" i="1"/>
  <c r="P294" i="1" s="1"/>
  <c r="Q294" i="1" s="1"/>
  <c r="L292" i="1"/>
  <c r="K292" i="1"/>
  <c r="R291" i="1"/>
  <c r="T291" i="1" s="1"/>
  <c r="R292" i="1"/>
  <c r="T292" i="1" s="1"/>
  <c r="L293" i="1"/>
  <c r="S292" i="1"/>
  <c r="M289" i="1"/>
  <c r="O287" i="1"/>
  <c r="P287" i="1" s="1"/>
  <c r="Q287" i="1" s="1"/>
  <c r="K280" i="1"/>
  <c r="M281" i="1"/>
  <c r="L284" i="1"/>
  <c r="O285" i="1"/>
  <c r="P285" i="1" s="1"/>
  <c r="Q285" i="1" s="1"/>
  <c r="R280" i="1"/>
  <c r="T280" i="1" s="1"/>
  <c r="O282" i="1"/>
  <c r="P282" i="1" s="1"/>
  <c r="Q282" i="1" s="1"/>
  <c r="R282" i="1"/>
  <c r="T282" i="1" s="1"/>
  <c r="M280" i="1"/>
  <c r="K287" i="1"/>
  <c r="K282" i="1"/>
  <c r="R285" i="1"/>
  <c r="T285" i="1" s="1"/>
  <c r="K289" i="1"/>
  <c r="L280" i="1"/>
  <c r="O281" i="1"/>
  <c r="P281" i="1" s="1"/>
  <c r="Q281" i="1" s="1"/>
  <c r="O289" i="1"/>
  <c r="P289" i="1" s="1"/>
  <c r="Q289" i="1" s="1"/>
  <c r="S284" i="1"/>
  <c r="S280" i="1"/>
  <c r="S279" i="1"/>
  <c r="L281" i="1"/>
  <c r="O280" i="1"/>
  <c r="P280" i="1" s="1"/>
  <c r="Q280" i="1" s="1"/>
  <c r="R279" i="1"/>
  <c r="T279" i="1" s="1"/>
  <c r="O284" i="1"/>
  <c r="P284" i="1" s="1"/>
  <c r="Q284" i="1" s="1"/>
  <c r="M284" i="1"/>
  <c r="R288" i="1"/>
  <c r="T288" i="1" s="1"/>
  <c r="M285" i="1"/>
  <c r="M288" i="1"/>
  <c r="K279" i="1"/>
  <c r="O288" i="1"/>
  <c r="P288" i="1" s="1"/>
  <c r="Q288" i="1" s="1"/>
  <c r="M287" i="1"/>
  <c r="S283" i="1"/>
  <c r="M283" i="1"/>
  <c r="L289" i="1"/>
  <c r="R283" i="1"/>
  <c r="T283" i="1" s="1"/>
  <c r="K281" i="1"/>
  <c r="O279" i="1"/>
  <c r="P279" i="1" s="1"/>
  <c r="Q279" i="1" s="1"/>
  <c r="M279" i="1"/>
  <c r="S288" i="1"/>
  <c r="L279" i="1"/>
  <c r="R287" i="1"/>
  <c r="T287" i="1" s="1"/>
  <c r="R284" i="1"/>
  <c r="T284" i="1" s="1"/>
  <c r="M282" i="1"/>
  <c r="S289" i="1"/>
  <c r="K285" i="1"/>
  <c r="L288" i="1"/>
  <c r="L282" i="1"/>
  <c r="S281" i="1"/>
  <c r="L285" i="1"/>
  <c r="L287" i="1"/>
  <c r="R289" i="1"/>
  <c r="T289" i="1" s="1"/>
  <c r="R281" i="1"/>
  <c r="T281" i="1" s="1"/>
  <c r="O283" i="1"/>
  <c r="P283" i="1" s="1"/>
  <c r="Q283" i="1" s="1"/>
  <c r="L283" i="1"/>
  <c r="K284" i="1"/>
  <c r="K288" i="1"/>
  <c r="S287" i="1"/>
  <c r="S285" i="1"/>
  <c r="K283" i="1"/>
  <c r="S282" i="1"/>
  <c r="R276" i="1"/>
  <c r="T276" i="1" s="1"/>
  <c r="O276" i="1"/>
  <c r="P276" i="1" s="1"/>
  <c r="Q276" i="1" s="1"/>
  <c r="L277" i="1"/>
  <c r="S277" i="1"/>
  <c r="R278" i="1"/>
  <c r="T278" i="1" s="1"/>
  <c r="K277" i="1"/>
  <c r="AB277" i="1" s="1"/>
  <c r="R277" i="1"/>
  <c r="T277" i="1" s="1"/>
  <c r="K278" i="1"/>
  <c r="AB278" i="1" s="1"/>
  <c r="S278" i="1"/>
  <c r="L276" i="1"/>
  <c r="K276" i="1"/>
  <c r="AB276" i="1" s="1"/>
  <c r="O277" i="1"/>
  <c r="P277" i="1" s="1"/>
  <c r="Q277" i="1" s="1"/>
  <c r="L278" i="1"/>
  <c r="M276" i="1"/>
  <c r="O278" i="1"/>
  <c r="P278" i="1" s="1"/>
  <c r="Q278" i="1" s="1"/>
  <c r="S276" i="1"/>
  <c r="M278" i="1"/>
  <c r="M277" i="1"/>
  <c r="M272" i="1"/>
  <c r="R272" i="1"/>
  <c r="T272" i="1" s="1"/>
  <c r="S271" i="1"/>
  <c r="L270" i="1"/>
  <c r="K272" i="1"/>
  <c r="O271" i="1"/>
  <c r="P271" i="1" s="1"/>
  <c r="Q271" i="1" s="1"/>
  <c r="M275" i="1"/>
  <c r="R274" i="1"/>
  <c r="T274" i="1" s="1"/>
  <c r="M274" i="1"/>
  <c r="K271" i="1"/>
  <c r="S275" i="1"/>
  <c r="O272" i="1"/>
  <c r="P272" i="1" s="1"/>
  <c r="Q272" i="1" s="1"/>
  <c r="R271" i="1"/>
  <c r="T271" i="1" s="1"/>
  <c r="K275" i="1"/>
  <c r="L273" i="1"/>
  <c r="O275" i="1"/>
  <c r="P275" i="1" s="1"/>
  <c r="Q275" i="1" s="1"/>
  <c r="S274" i="1"/>
  <c r="L274" i="1"/>
  <c r="S272" i="1"/>
  <c r="O273" i="1"/>
  <c r="P273" i="1" s="1"/>
  <c r="Q273" i="1" s="1"/>
  <c r="M273" i="1"/>
  <c r="M270" i="1"/>
  <c r="S270" i="1"/>
  <c r="K273" i="1"/>
  <c r="O274" i="1"/>
  <c r="P274" i="1" s="1"/>
  <c r="Q274" i="1" s="1"/>
  <c r="M271" i="1"/>
  <c r="R275" i="1"/>
  <c r="T275" i="1" s="1"/>
  <c r="L275" i="1"/>
  <c r="R270" i="1"/>
  <c r="T270" i="1" s="1"/>
  <c r="L272" i="1"/>
  <c r="K274" i="1"/>
  <c r="R273" i="1"/>
  <c r="T273" i="1" s="1"/>
  <c r="S273" i="1"/>
  <c r="L271" i="1"/>
  <c r="O270" i="1"/>
  <c r="P270" i="1" s="1"/>
  <c r="Q270" i="1" s="1"/>
  <c r="K270" i="1"/>
  <c r="R267" i="1"/>
  <c r="T267" i="1" s="1"/>
  <c r="K269" i="1"/>
  <c r="L267" i="1"/>
  <c r="L266" i="1"/>
  <c r="S266" i="1"/>
  <c r="O269" i="1"/>
  <c r="P269" i="1" s="1"/>
  <c r="Q269" i="1" s="1"/>
  <c r="R269" i="1"/>
  <c r="T269" i="1" s="1"/>
  <c r="K266" i="1"/>
  <c r="L269" i="1"/>
  <c r="O266" i="1"/>
  <c r="P266" i="1" s="1"/>
  <c r="Q266" i="1" s="1"/>
  <c r="K268" i="1"/>
  <c r="M266" i="1"/>
  <c r="O267" i="1"/>
  <c r="P267" i="1" s="1"/>
  <c r="Q267" i="1" s="1"/>
  <c r="S268" i="1"/>
  <c r="L268" i="1"/>
  <c r="M269" i="1"/>
  <c r="S269" i="1"/>
  <c r="O268" i="1"/>
  <c r="P268" i="1" s="1"/>
  <c r="Q268" i="1" s="1"/>
  <c r="M268" i="1"/>
  <c r="R266" i="1"/>
  <c r="T266" i="1" s="1"/>
  <c r="S267" i="1"/>
  <c r="R268" i="1"/>
  <c r="T268" i="1" s="1"/>
  <c r="M267" i="1"/>
  <c r="K267" i="1"/>
  <c r="V267" i="1" s="1"/>
  <c r="K263" i="1"/>
  <c r="S263" i="1"/>
  <c r="S265" i="1"/>
  <c r="S264" i="1"/>
  <c r="K264" i="1"/>
  <c r="R263" i="1"/>
  <c r="T263" i="1" s="1"/>
  <c r="L265" i="1"/>
  <c r="L263" i="1"/>
  <c r="M265" i="1"/>
  <c r="O263" i="1"/>
  <c r="P263" i="1" s="1"/>
  <c r="Q263" i="1" s="1"/>
  <c r="L264" i="1"/>
  <c r="K265" i="1"/>
  <c r="M264" i="1"/>
  <c r="O265" i="1"/>
  <c r="P265" i="1" s="1"/>
  <c r="Q265" i="1" s="1"/>
  <c r="O264" i="1"/>
  <c r="P264" i="1" s="1"/>
  <c r="Q264" i="1" s="1"/>
  <c r="M263" i="1"/>
  <c r="R264" i="1"/>
  <c r="T264" i="1" s="1"/>
  <c r="R265" i="1"/>
  <c r="T265" i="1" s="1"/>
  <c r="L206" i="1"/>
  <c r="O206" i="1"/>
  <c r="P206" i="1" s="1"/>
  <c r="Q206" i="1" s="1"/>
  <c r="R206" i="1"/>
  <c r="T206" i="1" s="1"/>
  <c r="S206" i="1"/>
  <c r="K206" i="1"/>
  <c r="M206" i="1"/>
  <c r="R262" i="1"/>
  <c r="T262" i="1" s="1"/>
  <c r="K255" i="1"/>
  <c r="O261" i="1"/>
  <c r="P261" i="1" s="1"/>
  <c r="Q261" i="1" s="1"/>
  <c r="K261" i="1"/>
  <c r="S261" i="1"/>
  <c r="K262" i="1"/>
  <c r="S255" i="1"/>
  <c r="R255" i="1"/>
  <c r="T255" i="1" s="1"/>
  <c r="M255" i="1"/>
  <c r="O255" i="1"/>
  <c r="P255" i="1" s="1"/>
  <c r="Q255" i="1" s="1"/>
  <c r="L261" i="1"/>
  <c r="S262" i="1"/>
  <c r="M261" i="1"/>
  <c r="O262" i="1"/>
  <c r="P262" i="1" s="1"/>
  <c r="Q262" i="1" s="1"/>
  <c r="R261" i="1"/>
  <c r="T261" i="1" s="1"/>
  <c r="L255" i="1"/>
  <c r="M262" i="1"/>
  <c r="L262" i="1"/>
  <c r="R260" i="1"/>
  <c r="T260" i="1" s="1"/>
  <c r="S260" i="1"/>
  <c r="K260" i="1"/>
  <c r="O260" i="1"/>
  <c r="P260" i="1" s="1"/>
  <c r="Q260" i="1" s="1"/>
  <c r="M260" i="1"/>
  <c r="L260" i="1"/>
  <c r="R256" i="1"/>
  <c r="T256" i="1" s="1"/>
  <c r="M254" i="1"/>
  <c r="L254" i="1"/>
  <c r="L259" i="1"/>
  <c r="O257" i="1"/>
  <c r="P257" i="1" s="1"/>
  <c r="Q257" i="1" s="1"/>
  <c r="L258" i="1"/>
  <c r="K257" i="1"/>
  <c r="K254" i="1"/>
  <c r="S257" i="1"/>
  <c r="M259" i="1"/>
  <c r="K256" i="1"/>
  <c r="M258" i="1"/>
  <c r="S254" i="1"/>
  <c r="R254" i="1"/>
  <c r="T254" i="1" s="1"/>
  <c r="O259" i="1"/>
  <c r="P259" i="1" s="1"/>
  <c r="Q259" i="1" s="1"/>
  <c r="R259" i="1"/>
  <c r="T259" i="1" s="1"/>
  <c r="M256" i="1"/>
  <c r="O256" i="1"/>
  <c r="P256" i="1" s="1"/>
  <c r="Q256" i="1" s="1"/>
  <c r="K258" i="1"/>
  <c r="O258" i="1"/>
  <c r="P258" i="1" s="1"/>
  <c r="Q258" i="1" s="1"/>
  <c r="R257" i="1"/>
  <c r="T257" i="1" s="1"/>
  <c r="S258" i="1"/>
  <c r="L256" i="1"/>
  <c r="S256" i="1"/>
  <c r="O254" i="1"/>
  <c r="P254" i="1" s="1"/>
  <c r="Q254" i="1" s="1"/>
  <c r="L257" i="1"/>
  <c r="M257" i="1"/>
  <c r="R258" i="1"/>
  <c r="T258" i="1" s="1"/>
  <c r="K259" i="1"/>
  <c r="S259" i="1"/>
  <c r="K247" i="1"/>
  <c r="S251" i="1"/>
  <c r="K242" i="1"/>
  <c r="O251" i="1"/>
  <c r="P251" i="1" s="1"/>
  <c r="Q251" i="1" s="1"/>
  <c r="S253" i="1"/>
  <c r="S248" i="1"/>
  <c r="S244" i="1"/>
  <c r="S247" i="1"/>
  <c r="O250" i="1"/>
  <c r="P250" i="1" s="1"/>
  <c r="Q250" i="1" s="1"/>
  <c r="M245" i="1"/>
  <c r="L242" i="1"/>
  <c r="L246" i="1"/>
  <c r="R248" i="1"/>
  <c r="T248" i="1" s="1"/>
  <c r="S250" i="1"/>
  <c r="M252" i="1"/>
  <c r="K248" i="1"/>
  <c r="K252" i="1"/>
  <c r="K249" i="1"/>
  <c r="R247" i="1"/>
  <c r="T247" i="1" s="1"/>
  <c r="M244" i="1"/>
  <c r="O252" i="1"/>
  <c r="P252" i="1" s="1"/>
  <c r="Q252" i="1" s="1"/>
  <c r="S252" i="1"/>
  <c r="R244" i="1"/>
  <c r="T244" i="1" s="1"/>
  <c r="M246" i="1"/>
  <c r="K245" i="1"/>
  <c r="S246" i="1"/>
  <c r="S243" i="1"/>
  <c r="M243" i="1"/>
  <c r="R243" i="1"/>
  <c r="T243" i="1" s="1"/>
  <c r="O247" i="1"/>
  <c r="P247" i="1" s="1"/>
  <c r="Q247" i="1" s="1"/>
  <c r="R249" i="1"/>
  <c r="T249" i="1" s="1"/>
  <c r="M247" i="1"/>
  <c r="S249" i="1"/>
  <c r="S242" i="1"/>
  <c r="L249" i="1"/>
  <c r="M248" i="1"/>
  <c r="L253" i="1"/>
  <c r="O246" i="1"/>
  <c r="P246" i="1" s="1"/>
  <c r="Q246" i="1" s="1"/>
  <c r="R242" i="1"/>
  <c r="T242" i="1" s="1"/>
  <c r="R250" i="1"/>
  <c r="T250" i="1" s="1"/>
  <c r="O242" i="1"/>
  <c r="P242" i="1" s="1"/>
  <c r="Q242" i="1" s="1"/>
  <c r="O244" i="1"/>
  <c r="P244" i="1" s="1"/>
  <c r="Q244" i="1" s="1"/>
  <c r="M242" i="1"/>
  <c r="M251" i="1"/>
  <c r="R251" i="1"/>
  <c r="T251" i="1" s="1"/>
  <c r="L252" i="1"/>
  <c r="L248" i="1"/>
  <c r="L247" i="1"/>
  <c r="R252" i="1"/>
  <c r="T252" i="1" s="1"/>
  <c r="O245" i="1"/>
  <c r="P245" i="1" s="1"/>
  <c r="Q245" i="1" s="1"/>
  <c r="L251" i="1"/>
  <c r="M253" i="1"/>
  <c r="K250" i="1"/>
  <c r="L245" i="1"/>
  <c r="L250" i="1"/>
  <c r="O249" i="1"/>
  <c r="P249" i="1" s="1"/>
  <c r="Q249" i="1" s="1"/>
  <c r="O248" i="1"/>
  <c r="P248" i="1" s="1"/>
  <c r="Q248" i="1" s="1"/>
  <c r="R253" i="1"/>
  <c r="T253" i="1" s="1"/>
  <c r="O243" i="1"/>
  <c r="P243" i="1" s="1"/>
  <c r="Q243" i="1" s="1"/>
  <c r="O253" i="1"/>
  <c r="P253" i="1" s="1"/>
  <c r="Q253" i="1" s="1"/>
  <c r="M250" i="1"/>
  <c r="K246" i="1"/>
  <c r="K243" i="1"/>
  <c r="K251" i="1"/>
  <c r="L244" i="1"/>
  <c r="M249" i="1"/>
  <c r="L243" i="1"/>
  <c r="R246" i="1"/>
  <c r="T246" i="1" s="1"/>
  <c r="K244" i="1"/>
  <c r="K253" i="1"/>
  <c r="R245" i="1"/>
  <c r="T245" i="1" s="1"/>
  <c r="S245" i="1"/>
  <c r="M241" i="1"/>
  <c r="O235" i="1"/>
  <c r="P235" i="1" s="1"/>
  <c r="Q235" i="1" s="1"/>
  <c r="L241" i="1"/>
  <c r="R238" i="1"/>
  <c r="T238" i="1" s="1"/>
  <c r="R240" i="1"/>
  <c r="T240" i="1" s="1"/>
  <c r="R235" i="1"/>
  <c r="T235" i="1" s="1"/>
  <c r="O234" i="1"/>
  <c r="P234" i="1" s="1"/>
  <c r="Q234" i="1" s="1"/>
  <c r="S239" i="1"/>
  <c r="S236" i="1"/>
  <c r="O237" i="1"/>
  <c r="P237" i="1" s="1"/>
  <c r="Q237" i="1" s="1"/>
  <c r="M237" i="1"/>
  <c r="L234" i="1"/>
  <c r="M239" i="1"/>
  <c r="S235" i="1"/>
  <c r="O240" i="1"/>
  <c r="P240" i="1" s="1"/>
  <c r="Q240" i="1" s="1"/>
  <c r="R241" i="1"/>
  <c r="T241" i="1" s="1"/>
  <c r="L235" i="1"/>
  <c r="M240" i="1"/>
  <c r="O241" i="1"/>
  <c r="P241" i="1" s="1"/>
  <c r="Q241" i="1" s="1"/>
  <c r="S234" i="1"/>
  <c r="M236" i="1"/>
  <c r="R236" i="1"/>
  <c r="T236" i="1" s="1"/>
  <c r="L237" i="1"/>
  <c r="K238" i="1"/>
  <c r="R237" i="1"/>
  <c r="T237" i="1" s="1"/>
  <c r="L238" i="1"/>
  <c r="K235" i="1"/>
  <c r="K239" i="1"/>
  <c r="K236" i="1"/>
  <c r="S240" i="1"/>
  <c r="L236" i="1"/>
  <c r="R234" i="1"/>
  <c r="T234" i="1" s="1"/>
  <c r="S238" i="1"/>
  <c r="M238" i="1"/>
  <c r="K237" i="1"/>
  <c r="O238" i="1"/>
  <c r="P238" i="1" s="1"/>
  <c r="Q238" i="1" s="1"/>
  <c r="O236" i="1"/>
  <c r="P236" i="1" s="1"/>
  <c r="Q236" i="1" s="1"/>
  <c r="S241" i="1"/>
  <c r="L240" i="1"/>
  <c r="O239" i="1"/>
  <c r="P239" i="1" s="1"/>
  <c r="Q239" i="1" s="1"/>
  <c r="K234" i="1"/>
  <c r="R239" i="1"/>
  <c r="T239" i="1" s="1"/>
  <c r="K241" i="1"/>
  <c r="K240" i="1"/>
  <c r="M234" i="1"/>
  <c r="L239" i="1"/>
  <c r="M235" i="1"/>
  <c r="S237" i="1"/>
  <c r="S232" i="1"/>
  <c r="L232" i="1"/>
  <c r="R232" i="1"/>
  <c r="T232" i="1" s="1"/>
  <c r="M232" i="1"/>
  <c r="R233" i="1"/>
  <c r="T233" i="1" s="1"/>
  <c r="M233" i="1"/>
  <c r="O232" i="1"/>
  <c r="P232" i="1" s="1"/>
  <c r="Q232" i="1" s="1"/>
  <c r="F82" i="10"/>
  <c r="M80" i="10"/>
  <c r="M82" i="10"/>
  <c r="F80" i="10"/>
  <c r="G81" i="10"/>
  <c r="H82" i="10"/>
  <c r="J82" i="10" s="1"/>
  <c r="F81" i="10"/>
  <c r="G82" i="10"/>
  <c r="N80" i="10"/>
  <c r="H80" i="10"/>
  <c r="J80" i="10" s="1"/>
  <c r="G80" i="10"/>
  <c r="M81" i="10"/>
  <c r="N81" i="10"/>
  <c r="N82" i="10"/>
  <c r="H81" i="10"/>
  <c r="J81" i="10" s="1"/>
  <c r="I82" i="10"/>
  <c r="I80" i="10"/>
  <c r="I81" i="10"/>
  <c r="H39" i="10"/>
  <c r="J39" i="10" s="1"/>
  <c r="N41" i="10"/>
  <c r="H47" i="10"/>
  <c r="J47" i="10" s="1"/>
  <c r="N52" i="10"/>
  <c r="S48" i="10"/>
  <c r="H40" i="10"/>
  <c r="J40" i="10" s="1"/>
  <c r="O44" i="10"/>
  <c r="L44" i="10" s="1"/>
  <c r="S50" i="10"/>
  <c r="M46" i="10"/>
  <c r="O54" i="10"/>
  <c r="L54" i="10" s="1"/>
  <c r="F45" i="10"/>
  <c r="F41" i="10"/>
  <c r="O47" i="10"/>
  <c r="L47" i="10" s="1"/>
  <c r="H52" i="10"/>
  <c r="J52" i="10" s="1"/>
  <c r="O43" i="10"/>
  <c r="L43" i="10" s="1"/>
  <c r="F48" i="10"/>
  <c r="H44" i="10"/>
  <c r="J44" i="10" s="1"/>
  <c r="H46" i="10"/>
  <c r="J46" i="10" s="1"/>
  <c r="H53" i="10"/>
  <c r="J53" i="10" s="1"/>
  <c r="S40" i="10"/>
  <c r="S49" i="10"/>
  <c r="N39" i="10"/>
  <c r="M54" i="10"/>
  <c r="M47" i="10"/>
  <c r="O52" i="10"/>
  <c r="L52" i="10" s="1"/>
  <c r="M44" i="10"/>
  <c r="M52" i="10"/>
  <c r="M53" i="10"/>
  <c r="O40" i="10"/>
  <c r="L40" i="10" s="1"/>
  <c r="F49" i="10"/>
  <c r="F39" i="10"/>
  <c r="O51" i="10"/>
  <c r="L51" i="10" s="1"/>
  <c r="S54" i="10"/>
  <c r="S45" i="10"/>
  <c r="S41" i="10"/>
  <c r="S47" i="10"/>
  <c r="O48" i="10"/>
  <c r="L48" i="10" s="1"/>
  <c r="F46" i="10"/>
  <c r="O53" i="10"/>
  <c r="L53" i="10" s="1"/>
  <c r="F42" i="10"/>
  <c r="O39" i="10"/>
  <c r="L39" i="10" s="1"/>
  <c r="M51" i="10"/>
  <c r="H54" i="10"/>
  <c r="J54" i="10" s="1"/>
  <c r="S51" i="10"/>
  <c r="F51" i="10"/>
  <c r="H42" i="10"/>
  <c r="J42" i="10" s="1"/>
  <c r="N45" i="10"/>
  <c r="H41" i="10"/>
  <c r="J41" i="10" s="1"/>
  <c r="O41" i="10"/>
  <c r="L41" i="10" s="1"/>
  <c r="H45" i="10"/>
  <c r="J45" i="10" s="1"/>
  <c r="H48" i="10"/>
  <c r="J48" i="10" s="1"/>
  <c r="M50" i="10"/>
  <c r="S46" i="10"/>
  <c r="M41" i="10"/>
  <c r="N42" i="10"/>
  <c r="N49" i="10"/>
  <c r="S39" i="10"/>
  <c r="O49" i="10"/>
  <c r="L49" i="10" s="1"/>
  <c r="O45" i="10"/>
  <c r="L45" i="10" s="1"/>
  <c r="N47" i="10"/>
  <c r="S52" i="10"/>
  <c r="N43" i="10"/>
  <c r="N48" i="10"/>
  <c r="S44" i="10"/>
  <c r="O50" i="10"/>
  <c r="L50" i="10" s="1"/>
  <c r="O46" i="10"/>
  <c r="L46" i="10" s="1"/>
  <c r="F53" i="10"/>
  <c r="S42" i="10"/>
  <c r="H49" i="10"/>
  <c r="J49" i="10" s="1"/>
  <c r="M39" i="10"/>
  <c r="F54" i="10"/>
  <c r="M43" i="10"/>
  <c r="M40" i="10"/>
  <c r="M45" i="10"/>
  <c r="F52" i="10"/>
  <c r="F43" i="10"/>
  <c r="H43" i="10"/>
  <c r="J43" i="10" s="1"/>
  <c r="M48" i="10"/>
  <c r="F44" i="10"/>
  <c r="N50" i="10"/>
  <c r="N53" i="10"/>
  <c r="F40" i="10"/>
  <c r="N54" i="10"/>
  <c r="F47" i="10"/>
  <c r="S43" i="10"/>
  <c r="N44" i="10"/>
  <c r="F50" i="10"/>
  <c r="N46" i="10"/>
  <c r="S53" i="10"/>
  <c r="N40" i="10"/>
  <c r="M42" i="10"/>
  <c r="M49" i="10"/>
  <c r="H51" i="10"/>
  <c r="J51" i="10" s="1"/>
  <c r="H50" i="10"/>
  <c r="J50" i="10" s="1"/>
  <c r="O42" i="10"/>
  <c r="L42" i="10" s="1"/>
  <c r="N51" i="10"/>
  <c r="I52" i="10"/>
  <c r="I41" i="10"/>
  <c r="I42" i="10"/>
  <c r="I45" i="10"/>
  <c r="I46" i="10"/>
  <c r="I54" i="10"/>
  <c r="I47" i="10"/>
  <c r="I51" i="10"/>
  <c r="I44" i="10"/>
  <c r="I39" i="10"/>
  <c r="I49" i="10"/>
  <c r="I40" i="10"/>
  <c r="I50" i="10"/>
  <c r="I53" i="10"/>
  <c r="I48" i="10"/>
  <c r="I43" i="10"/>
  <c r="O233" i="1"/>
  <c r="P233" i="1" s="1"/>
  <c r="Q233" i="1" s="1"/>
  <c r="K231" i="1"/>
  <c r="L231" i="1"/>
  <c r="R231" i="1"/>
  <c r="T231" i="1" s="1"/>
  <c r="O231" i="1"/>
  <c r="P231" i="1" s="1"/>
  <c r="Q231" i="1" s="1"/>
  <c r="S233" i="1"/>
  <c r="M231" i="1"/>
  <c r="S231" i="1"/>
  <c r="K232" i="1"/>
  <c r="K233" i="1"/>
  <c r="L233" i="1"/>
  <c r="K230" i="1"/>
  <c r="K229" i="1"/>
  <c r="K227" i="1"/>
  <c r="K228" i="1"/>
  <c r="O230" i="1"/>
  <c r="P230" i="1" s="1"/>
  <c r="Q230" i="1" s="1"/>
  <c r="L227" i="1"/>
  <c r="M227" i="1"/>
  <c r="L230" i="1"/>
  <c r="R227" i="1"/>
  <c r="T227" i="1" s="1"/>
  <c r="S226" i="1"/>
  <c r="M230" i="1"/>
  <c r="L226" i="1"/>
  <c r="R229" i="1"/>
  <c r="T229" i="1" s="1"/>
  <c r="S228" i="1"/>
  <c r="O227" i="1"/>
  <c r="P227" i="1" s="1"/>
  <c r="Q227" i="1" s="1"/>
  <c r="R226" i="1"/>
  <c r="T226" i="1" s="1"/>
  <c r="R228" i="1"/>
  <c r="T228" i="1" s="1"/>
  <c r="R230" i="1"/>
  <c r="T230" i="1" s="1"/>
  <c r="O226" i="1"/>
  <c r="P226" i="1" s="1"/>
  <c r="Q226" i="1" s="1"/>
  <c r="M228" i="1"/>
  <c r="S227" i="1"/>
  <c r="O229" i="1"/>
  <c r="P229" i="1" s="1"/>
  <c r="Q229" i="1" s="1"/>
  <c r="S229" i="1"/>
  <c r="M229" i="1"/>
  <c r="M226" i="1"/>
  <c r="L228" i="1"/>
  <c r="O228" i="1"/>
  <c r="P228" i="1" s="1"/>
  <c r="Q228" i="1" s="1"/>
  <c r="K226" i="1"/>
  <c r="S230" i="1"/>
  <c r="L229" i="1"/>
  <c r="S224" i="1"/>
  <c r="K223" i="1"/>
  <c r="K225" i="1"/>
  <c r="O224" i="1"/>
  <c r="P224" i="1" s="1"/>
  <c r="Q224" i="1" s="1"/>
  <c r="R223" i="1"/>
  <c r="T223" i="1" s="1"/>
  <c r="O225" i="1"/>
  <c r="P225" i="1" s="1"/>
  <c r="Q225" i="1" s="1"/>
  <c r="M224" i="1"/>
  <c r="L223" i="1"/>
  <c r="R225" i="1"/>
  <c r="T225" i="1" s="1"/>
  <c r="M225" i="1"/>
  <c r="S223" i="1"/>
  <c r="L225" i="1"/>
  <c r="O223" i="1"/>
  <c r="P223" i="1" s="1"/>
  <c r="Q223" i="1" s="1"/>
  <c r="L224" i="1"/>
  <c r="R224" i="1"/>
  <c r="T224" i="1" s="1"/>
  <c r="M223" i="1"/>
  <c r="K224" i="1"/>
  <c r="S225" i="1"/>
  <c r="L222" i="1"/>
  <c r="M222" i="1"/>
  <c r="S222" i="1"/>
  <c r="R222" i="1"/>
  <c r="T222" i="1" s="1"/>
  <c r="K222" i="1"/>
  <c r="O222" i="1"/>
  <c r="P222" i="1" s="1"/>
  <c r="Q222" i="1" s="1"/>
  <c r="L221" i="1"/>
  <c r="O220" i="1"/>
  <c r="P220" i="1" s="1"/>
  <c r="Q220" i="1" s="1"/>
  <c r="M221" i="1"/>
  <c r="O221" i="1"/>
  <c r="P221" i="1" s="1"/>
  <c r="Q221" i="1" s="1"/>
  <c r="S220" i="1"/>
  <c r="R221" i="1"/>
  <c r="T221" i="1" s="1"/>
  <c r="M220" i="1"/>
  <c r="K221" i="1"/>
  <c r="S221" i="1"/>
  <c r="L220" i="1"/>
  <c r="R220" i="1"/>
  <c r="T220" i="1" s="1"/>
  <c r="K220" i="1"/>
  <c r="L219" i="1"/>
  <c r="R219" i="1"/>
  <c r="T219" i="1" s="1"/>
  <c r="K219" i="1"/>
  <c r="O219" i="1"/>
  <c r="P219" i="1" s="1"/>
  <c r="Q219" i="1" s="1"/>
  <c r="S219" i="1"/>
  <c r="M219" i="1"/>
  <c r="R215" i="1"/>
  <c r="T215" i="1" s="1"/>
  <c r="O215" i="1"/>
  <c r="P215" i="1" s="1"/>
  <c r="Q215" i="1" s="1"/>
  <c r="M215" i="1"/>
  <c r="L215" i="1"/>
  <c r="S215" i="1"/>
  <c r="K215" i="1"/>
  <c r="K217" i="1"/>
  <c r="O218" i="1"/>
  <c r="P218" i="1" s="1"/>
  <c r="Q218" i="1" s="1"/>
  <c r="S218" i="1"/>
  <c r="M218" i="1"/>
  <c r="L217" i="1"/>
  <c r="O217" i="1"/>
  <c r="P217" i="1" s="1"/>
  <c r="Q217" i="1" s="1"/>
  <c r="R217" i="1"/>
  <c r="T217" i="1" s="1"/>
  <c r="M217" i="1"/>
  <c r="S217" i="1"/>
  <c r="K218" i="1"/>
  <c r="L218" i="1"/>
  <c r="R218" i="1"/>
  <c r="T218" i="1" s="1"/>
  <c r="L216" i="1"/>
  <c r="M216" i="1"/>
  <c r="K216" i="1"/>
  <c r="R216" i="1"/>
  <c r="T216" i="1" s="1"/>
  <c r="S216" i="1"/>
  <c r="O216" i="1"/>
  <c r="P216" i="1" s="1"/>
  <c r="Q216" i="1" s="1"/>
  <c r="K196" i="1"/>
  <c r="L211" i="1"/>
  <c r="S214" i="1"/>
  <c r="K213" i="1"/>
  <c r="O208" i="1"/>
  <c r="P208" i="1" s="1"/>
  <c r="Q208" i="1" s="1"/>
  <c r="K210" i="1"/>
  <c r="R213" i="1"/>
  <c r="T213" i="1" s="1"/>
  <c r="R209" i="1"/>
  <c r="T209" i="1" s="1"/>
  <c r="L208" i="1"/>
  <c r="L207" i="1"/>
  <c r="M209" i="1"/>
  <c r="R207" i="1"/>
  <c r="T207" i="1" s="1"/>
  <c r="S210" i="1"/>
  <c r="M207" i="1"/>
  <c r="K211" i="1"/>
  <c r="L213" i="1"/>
  <c r="O211" i="1"/>
  <c r="P211" i="1" s="1"/>
  <c r="Q211" i="1" s="1"/>
  <c r="R211" i="1"/>
  <c r="T211" i="1" s="1"/>
  <c r="M213" i="1"/>
  <c r="L210" i="1"/>
  <c r="S213" i="1"/>
  <c r="R214" i="1"/>
  <c r="T214" i="1" s="1"/>
  <c r="M212" i="1"/>
  <c r="O207" i="1"/>
  <c r="P207" i="1" s="1"/>
  <c r="Q207" i="1" s="1"/>
  <c r="S212" i="1"/>
  <c r="K209" i="1"/>
  <c r="O212" i="1"/>
  <c r="P212" i="1" s="1"/>
  <c r="Q212" i="1" s="1"/>
  <c r="M210" i="1"/>
  <c r="L209" i="1"/>
  <c r="M214" i="1"/>
  <c r="K212" i="1"/>
  <c r="L214" i="1"/>
  <c r="S207" i="1"/>
  <c r="M208" i="1"/>
  <c r="O214" i="1"/>
  <c r="P214" i="1" s="1"/>
  <c r="Q214" i="1" s="1"/>
  <c r="K208" i="1"/>
  <c r="O213" i="1"/>
  <c r="P213" i="1" s="1"/>
  <c r="Q213" i="1" s="1"/>
  <c r="S209" i="1"/>
  <c r="R212" i="1"/>
  <c r="T212" i="1" s="1"/>
  <c r="S208" i="1"/>
  <c r="K207" i="1"/>
  <c r="R208" i="1"/>
  <c r="T208" i="1" s="1"/>
  <c r="R210" i="1"/>
  <c r="T210" i="1" s="1"/>
  <c r="K214" i="1"/>
  <c r="O210" i="1"/>
  <c r="P210" i="1" s="1"/>
  <c r="Q210" i="1" s="1"/>
  <c r="M211" i="1"/>
  <c r="O209" i="1"/>
  <c r="P209" i="1" s="1"/>
  <c r="Q209" i="1" s="1"/>
  <c r="L212" i="1"/>
  <c r="S211" i="1"/>
  <c r="O202" i="1"/>
  <c r="P202" i="1" s="1"/>
  <c r="Q202" i="1" s="1"/>
  <c r="O200" i="1"/>
  <c r="P200" i="1" s="1"/>
  <c r="Q200" i="1" s="1"/>
  <c r="K199" i="1"/>
  <c r="M199" i="1"/>
  <c r="K201" i="1"/>
  <c r="R202" i="1"/>
  <c r="T202" i="1" s="1"/>
  <c r="M205" i="1"/>
  <c r="M200" i="1"/>
  <c r="S199" i="1"/>
  <c r="S203" i="1"/>
  <c r="M203" i="1"/>
  <c r="S201" i="1"/>
  <c r="L200" i="1"/>
  <c r="O198" i="1"/>
  <c r="P198" i="1" s="1"/>
  <c r="Q198" i="1" s="1"/>
  <c r="S197" i="1"/>
  <c r="K198" i="1"/>
  <c r="K203" i="1"/>
  <c r="M196" i="1"/>
  <c r="S202" i="1"/>
  <c r="L196" i="1"/>
  <c r="O196" i="1"/>
  <c r="P196" i="1" s="1"/>
  <c r="Q196" i="1" s="1"/>
  <c r="K202" i="1"/>
  <c r="L204" i="1"/>
  <c r="M201" i="1"/>
  <c r="S200" i="1"/>
  <c r="K205" i="1"/>
  <c r="L203" i="1"/>
  <c r="M197" i="1"/>
  <c r="R199" i="1"/>
  <c r="T199" i="1" s="1"/>
  <c r="O203" i="1"/>
  <c r="P203" i="1" s="1"/>
  <c r="Q203" i="1" s="1"/>
  <c r="M202" i="1"/>
  <c r="L197" i="1"/>
  <c r="R196" i="1"/>
  <c r="T196" i="1" s="1"/>
  <c r="O204" i="1"/>
  <c r="P204" i="1" s="1"/>
  <c r="Q204" i="1" s="1"/>
  <c r="R198" i="1"/>
  <c r="T198" i="1" s="1"/>
  <c r="L202" i="1"/>
  <c r="S204" i="1"/>
  <c r="R204" i="1"/>
  <c r="T204" i="1" s="1"/>
  <c r="L198" i="1"/>
  <c r="R197" i="1"/>
  <c r="T197" i="1" s="1"/>
  <c r="K200" i="1"/>
  <c r="L205" i="1"/>
  <c r="R201" i="1"/>
  <c r="T201" i="1" s="1"/>
  <c r="R203" i="1"/>
  <c r="T203" i="1" s="1"/>
  <c r="O205" i="1"/>
  <c r="P205" i="1" s="1"/>
  <c r="Q205" i="1" s="1"/>
  <c r="S205" i="1"/>
  <c r="R205" i="1"/>
  <c r="T205" i="1" s="1"/>
  <c r="M198" i="1"/>
  <c r="K204" i="1"/>
  <c r="L199" i="1"/>
  <c r="O199" i="1"/>
  <c r="P199" i="1" s="1"/>
  <c r="Q199" i="1" s="1"/>
  <c r="O201" i="1"/>
  <c r="P201" i="1" s="1"/>
  <c r="Q201" i="1" s="1"/>
  <c r="R200" i="1"/>
  <c r="T200" i="1" s="1"/>
  <c r="S198" i="1"/>
  <c r="K197" i="1"/>
  <c r="L201" i="1"/>
  <c r="M204" i="1"/>
  <c r="O197" i="1"/>
  <c r="P197" i="1" s="1"/>
  <c r="Q197" i="1" s="1"/>
  <c r="S196" i="1"/>
  <c r="S195" i="1"/>
  <c r="M195" i="1"/>
  <c r="L195" i="1"/>
  <c r="O195" i="1"/>
  <c r="P195" i="1" s="1"/>
  <c r="Q195" i="1" s="1"/>
  <c r="K195" i="1"/>
  <c r="R195" i="1"/>
  <c r="T195" i="1" s="1"/>
  <c r="L174" i="1"/>
  <c r="O174" i="1"/>
  <c r="P174" i="1" s="1"/>
  <c r="Q174" i="1" s="1"/>
  <c r="M174" i="1"/>
  <c r="R174" i="1"/>
  <c r="T174" i="1" s="1"/>
  <c r="S174" i="1"/>
  <c r="K174" i="1"/>
  <c r="L193" i="1"/>
  <c r="L194" i="1"/>
  <c r="M189" i="1"/>
  <c r="S192" i="1"/>
  <c r="S189" i="1"/>
  <c r="S188" i="1"/>
  <c r="M190" i="1"/>
  <c r="R190" i="1"/>
  <c r="T190" i="1" s="1"/>
  <c r="R193" i="1"/>
  <c r="T193" i="1" s="1"/>
  <c r="R188" i="1"/>
  <c r="T188" i="1" s="1"/>
  <c r="M191" i="1"/>
  <c r="L192" i="1"/>
  <c r="O194" i="1"/>
  <c r="P194" i="1" s="1"/>
  <c r="Q194" i="1" s="1"/>
  <c r="R192" i="1"/>
  <c r="T192" i="1" s="1"/>
  <c r="M192" i="1"/>
  <c r="S190" i="1"/>
  <c r="K193" i="1"/>
  <c r="L188" i="1"/>
  <c r="O192" i="1"/>
  <c r="P192" i="1" s="1"/>
  <c r="Q192" i="1" s="1"/>
  <c r="S191" i="1"/>
  <c r="K191" i="1"/>
  <c r="M193" i="1"/>
  <c r="R191" i="1"/>
  <c r="T191" i="1" s="1"/>
  <c r="M188" i="1"/>
  <c r="O193" i="1"/>
  <c r="P193" i="1" s="1"/>
  <c r="Q193" i="1" s="1"/>
  <c r="L189" i="1"/>
  <c r="O189" i="1"/>
  <c r="P189" i="1" s="1"/>
  <c r="Q189" i="1" s="1"/>
  <c r="K188" i="1"/>
  <c r="S194" i="1"/>
  <c r="M194" i="1"/>
  <c r="L191" i="1"/>
  <c r="S193" i="1"/>
  <c r="K192" i="1"/>
  <c r="O190" i="1"/>
  <c r="P190" i="1" s="1"/>
  <c r="Q190" i="1" s="1"/>
  <c r="R194" i="1"/>
  <c r="T194" i="1" s="1"/>
  <c r="K189" i="1"/>
  <c r="K194" i="1"/>
  <c r="O191" i="1"/>
  <c r="P191" i="1" s="1"/>
  <c r="Q191" i="1" s="1"/>
  <c r="R189" i="1"/>
  <c r="T189" i="1" s="1"/>
  <c r="L190" i="1"/>
  <c r="O188" i="1"/>
  <c r="P188" i="1" s="1"/>
  <c r="Q188" i="1" s="1"/>
  <c r="K190" i="1"/>
  <c r="O183" i="1"/>
  <c r="P183" i="1" s="1"/>
  <c r="Q183" i="1" s="1"/>
  <c r="R183" i="1"/>
  <c r="T183" i="1" s="1"/>
  <c r="S183" i="1"/>
  <c r="L183" i="1"/>
  <c r="K183" i="1"/>
  <c r="M183" i="1"/>
  <c r="L187" i="1"/>
  <c r="O187" i="1"/>
  <c r="P187" i="1" s="1"/>
  <c r="Q187" i="1" s="1"/>
  <c r="M187" i="1"/>
  <c r="R187" i="1"/>
  <c r="T187" i="1" s="1"/>
  <c r="S187" i="1"/>
  <c r="K187" i="1"/>
  <c r="S186" i="1"/>
  <c r="L186" i="1"/>
  <c r="R186" i="1"/>
  <c r="T186" i="1" s="1"/>
  <c r="O186" i="1"/>
  <c r="P186" i="1" s="1"/>
  <c r="Q186" i="1" s="1"/>
  <c r="M186" i="1"/>
  <c r="K186" i="1"/>
  <c r="L185" i="1"/>
  <c r="S185" i="1"/>
  <c r="K185" i="1"/>
  <c r="R185" i="1"/>
  <c r="T185" i="1" s="1"/>
  <c r="M185" i="1"/>
  <c r="O185" i="1"/>
  <c r="P185" i="1" s="1"/>
  <c r="Q185" i="1" s="1"/>
  <c r="K184" i="1"/>
  <c r="L184" i="1"/>
  <c r="M184" i="1"/>
  <c r="S184" i="1"/>
  <c r="O184" i="1"/>
  <c r="P184" i="1" s="1"/>
  <c r="Q184" i="1" s="1"/>
  <c r="R184" i="1"/>
  <c r="T184" i="1" s="1"/>
  <c r="M170" i="1"/>
  <c r="R170" i="1"/>
  <c r="T170" i="1" s="1"/>
  <c r="S170" i="1"/>
  <c r="L170" i="1"/>
  <c r="O170" i="1"/>
  <c r="P170" i="1" s="1"/>
  <c r="Q170" i="1" s="1"/>
  <c r="K170" i="1"/>
  <c r="O181" i="1"/>
  <c r="P181" i="1" s="1"/>
  <c r="Q181" i="1" s="1"/>
  <c r="M182" i="1"/>
  <c r="K181" i="1"/>
  <c r="R181" i="1"/>
  <c r="T181" i="1" s="1"/>
  <c r="R182" i="1"/>
  <c r="T182" i="1" s="1"/>
  <c r="K182" i="1"/>
  <c r="M181" i="1"/>
  <c r="S182" i="1"/>
  <c r="O182" i="1"/>
  <c r="P182" i="1" s="1"/>
  <c r="Q182" i="1" s="1"/>
  <c r="S181" i="1"/>
  <c r="L181" i="1"/>
  <c r="L182" i="1"/>
  <c r="L177" i="1"/>
  <c r="K179" i="1"/>
  <c r="S177" i="1"/>
  <c r="R179" i="1"/>
  <c r="T179" i="1" s="1"/>
  <c r="O178" i="1"/>
  <c r="P178" i="1" s="1"/>
  <c r="Q178" i="1" s="1"/>
  <c r="O180" i="1"/>
  <c r="P180" i="1" s="1"/>
  <c r="Q180" i="1" s="1"/>
  <c r="M180" i="1"/>
  <c r="K177" i="1"/>
  <c r="S178" i="1"/>
  <c r="K176" i="1"/>
  <c r="M176" i="1"/>
  <c r="S179" i="1"/>
  <c r="L176" i="1"/>
  <c r="S180" i="1"/>
  <c r="R180" i="1"/>
  <c r="T180" i="1" s="1"/>
  <c r="K178" i="1"/>
  <c r="M177" i="1"/>
  <c r="L180" i="1"/>
  <c r="S176" i="1"/>
  <c r="O177" i="1"/>
  <c r="P177" i="1" s="1"/>
  <c r="Q177" i="1" s="1"/>
  <c r="K180" i="1"/>
  <c r="R176" i="1"/>
  <c r="T176" i="1" s="1"/>
  <c r="R177" i="1"/>
  <c r="T177" i="1" s="1"/>
  <c r="R178" i="1"/>
  <c r="T178" i="1" s="1"/>
  <c r="M178" i="1"/>
  <c r="O176" i="1"/>
  <c r="P176" i="1" s="1"/>
  <c r="Q176" i="1" s="1"/>
  <c r="O179" i="1"/>
  <c r="P179" i="1" s="1"/>
  <c r="Q179" i="1" s="1"/>
  <c r="M179" i="1"/>
  <c r="L179" i="1"/>
  <c r="L178" i="1"/>
  <c r="M175" i="1"/>
  <c r="L175" i="1"/>
  <c r="R175" i="1"/>
  <c r="T175" i="1" s="1"/>
  <c r="O175" i="1"/>
  <c r="P175" i="1" s="1"/>
  <c r="Q175" i="1" s="1"/>
  <c r="K175" i="1"/>
  <c r="S175" i="1"/>
  <c r="K173" i="1"/>
  <c r="R173" i="1"/>
  <c r="T173" i="1" s="1"/>
  <c r="M173" i="1"/>
  <c r="S173" i="1"/>
  <c r="O173" i="1"/>
  <c r="P173" i="1" s="1"/>
  <c r="Q173" i="1" s="1"/>
  <c r="L173" i="1"/>
  <c r="R172" i="1"/>
  <c r="T172" i="1" s="1"/>
  <c r="K172" i="1"/>
  <c r="O172" i="1"/>
  <c r="P172" i="1" s="1"/>
  <c r="Q172" i="1" s="1"/>
  <c r="L172" i="1"/>
  <c r="M172" i="1"/>
  <c r="S172" i="1"/>
  <c r="K171" i="1"/>
  <c r="O171" i="1"/>
  <c r="P171" i="1" s="1"/>
  <c r="Q171" i="1" s="1"/>
  <c r="M171" i="1"/>
  <c r="S171" i="1"/>
  <c r="L171" i="1"/>
  <c r="R171" i="1"/>
  <c r="T171" i="1" s="1"/>
  <c r="S167" i="1"/>
  <c r="R167" i="1"/>
  <c r="T167" i="1" s="1"/>
  <c r="L169" i="1"/>
  <c r="S169" i="1"/>
  <c r="O169" i="1"/>
  <c r="P169" i="1" s="1"/>
  <c r="Q169" i="1" s="1"/>
  <c r="O168" i="1"/>
  <c r="P168" i="1" s="1"/>
  <c r="Q168" i="1" s="1"/>
  <c r="O167" i="1"/>
  <c r="P167" i="1" s="1"/>
  <c r="Q167" i="1" s="1"/>
  <c r="R168" i="1"/>
  <c r="T168" i="1" s="1"/>
  <c r="M168" i="1"/>
  <c r="L168" i="1"/>
  <c r="S168" i="1"/>
  <c r="K169" i="1"/>
  <c r="M169" i="1"/>
  <c r="K168" i="1"/>
  <c r="K167" i="1"/>
  <c r="L167" i="1"/>
  <c r="M167" i="1"/>
  <c r="R169" i="1"/>
  <c r="T169" i="1" s="1"/>
  <c r="S164" i="1"/>
  <c r="K166" i="1"/>
  <c r="M165" i="1"/>
  <c r="L164" i="1"/>
  <c r="K164" i="1"/>
  <c r="M164" i="1"/>
  <c r="O165" i="1"/>
  <c r="P165" i="1" s="1"/>
  <c r="Q165" i="1" s="1"/>
  <c r="R166" i="1"/>
  <c r="T166" i="1" s="1"/>
  <c r="O166" i="1"/>
  <c r="P166" i="1" s="1"/>
  <c r="Q166" i="1" s="1"/>
  <c r="K165" i="1"/>
  <c r="O164" i="1"/>
  <c r="P164" i="1" s="1"/>
  <c r="Q164" i="1" s="1"/>
  <c r="H30" i="10"/>
  <c r="M36" i="10"/>
  <c r="Z36" i="10" s="1"/>
  <c r="G33" i="10"/>
  <c r="N37" i="10"/>
  <c r="S38" i="10"/>
  <c r="O36" i="10"/>
  <c r="L36" i="10" s="1"/>
  <c r="N32" i="10"/>
  <c r="O31" i="10"/>
  <c r="L31" i="10" s="1"/>
  <c r="G37" i="10"/>
  <c r="G36" i="10"/>
  <c r="M37" i="10"/>
  <c r="Z37" i="10" s="1"/>
  <c r="O38" i="10"/>
  <c r="L38" i="10" s="1"/>
  <c r="N33" i="10"/>
  <c r="F32" i="10"/>
  <c r="H35" i="10"/>
  <c r="M38" i="10"/>
  <c r="Z38" i="10" s="1"/>
  <c r="N31" i="10"/>
  <c r="S26" i="10"/>
  <c r="G34" i="10"/>
  <c r="H37" i="10"/>
  <c r="N38" i="10"/>
  <c r="F33" i="10"/>
  <c r="O32" i="10"/>
  <c r="L32" i="10" s="1"/>
  <c r="O35" i="10"/>
  <c r="L35" i="10" s="1"/>
  <c r="S31" i="10"/>
  <c r="H36" i="10"/>
  <c r="H31" i="10"/>
  <c r="H34" i="10"/>
  <c r="F38" i="10"/>
  <c r="M32" i="10"/>
  <c r="Z32" i="10" s="1"/>
  <c r="M31" i="10"/>
  <c r="Z31" i="10" s="1"/>
  <c r="N34" i="10"/>
  <c r="M26" i="10"/>
  <c r="Z26" i="10" s="1"/>
  <c r="O26" i="10"/>
  <c r="L26" i="10" s="1"/>
  <c r="M35" i="10"/>
  <c r="Z35" i="10" s="1"/>
  <c r="G31" i="10"/>
  <c r="S37" i="10"/>
  <c r="N36" i="10"/>
  <c r="O33" i="10"/>
  <c r="L33" i="10" s="1"/>
  <c r="H32" i="10"/>
  <c r="H38" i="10"/>
  <c r="S34" i="10"/>
  <c r="G35" i="10"/>
  <c r="G26" i="10"/>
  <c r="O37" i="10"/>
  <c r="L37" i="10" s="1"/>
  <c r="F36" i="10"/>
  <c r="S33" i="10"/>
  <c r="F35" i="10"/>
  <c r="F26" i="10"/>
  <c r="N26" i="10"/>
  <c r="G32" i="10"/>
  <c r="H33" i="10"/>
  <c r="S36" i="10"/>
  <c r="M33" i="10"/>
  <c r="Z33" i="10" s="1"/>
  <c r="N35" i="10"/>
  <c r="F31" i="10"/>
  <c r="F34" i="10"/>
  <c r="G38" i="10"/>
  <c r="F37" i="10"/>
  <c r="S32" i="10"/>
  <c r="S35" i="10"/>
  <c r="M34" i="10"/>
  <c r="Z34" i="10" s="1"/>
  <c r="H26" i="10"/>
  <c r="O34" i="10"/>
  <c r="L34" i="10" s="1"/>
  <c r="I31" i="10"/>
  <c r="I35" i="10"/>
  <c r="I36" i="10"/>
  <c r="I32" i="10"/>
  <c r="I37" i="10"/>
  <c r="I34" i="10"/>
  <c r="I38" i="10"/>
  <c r="I33" i="10"/>
  <c r="I26" i="10"/>
  <c r="M166" i="1"/>
  <c r="L166" i="1"/>
  <c r="S165" i="1"/>
  <c r="S166" i="1"/>
  <c r="L165" i="1"/>
  <c r="R165" i="1"/>
  <c r="T165" i="1" s="1"/>
  <c r="R164" i="1"/>
  <c r="T164" i="1" s="1"/>
  <c r="O161" i="1"/>
  <c r="P161" i="1" s="1"/>
  <c r="Q161" i="1" s="1"/>
  <c r="L161" i="1"/>
  <c r="M161" i="1"/>
  <c r="K161" i="1"/>
  <c r="S161" i="1"/>
  <c r="R161" i="1"/>
  <c r="T161" i="1" s="1"/>
  <c r="S163" i="1"/>
  <c r="L162" i="1"/>
  <c r="L163" i="1"/>
  <c r="R163" i="1"/>
  <c r="T163" i="1" s="1"/>
  <c r="O163" i="1"/>
  <c r="P163" i="1" s="1"/>
  <c r="Q163" i="1" s="1"/>
  <c r="K163" i="1"/>
  <c r="O162" i="1"/>
  <c r="P162" i="1" s="1"/>
  <c r="Q162" i="1" s="1"/>
  <c r="R162" i="1"/>
  <c r="T162" i="1" s="1"/>
  <c r="M163" i="1"/>
  <c r="K162" i="1"/>
  <c r="M162" i="1"/>
  <c r="S162" i="1"/>
  <c r="S148" i="1"/>
  <c r="M148" i="1"/>
  <c r="R148" i="1"/>
  <c r="T148" i="1" s="1"/>
  <c r="L148" i="1"/>
  <c r="K148" i="1"/>
  <c r="O148" i="1"/>
  <c r="P148" i="1" s="1"/>
  <c r="Q148" i="1" s="1"/>
  <c r="S119" i="1"/>
  <c r="M114" i="1"/>
  <c r="L149" i="1"/>
  <c r="K130" i="1"/>
  <c r="R117" i="1"/>
  <c r="T117" i="1" s="1"/>
  <c r="M119" i="1"/>
  <c r="O114" i="1"/>
  <c r="P114" i="1" s="1"/>
  <c r="Q114" i="1" s="1"/>
  <c r="R115" i="1"/>
  <c r="T115" i="1" s="1"/>
  <c r="K115" i="1"/>
  <c r="R119" i="1"/>
  <c r="T119" i="1" s="1"/>
  <c r="S149" i="1"/>
  <c r="S117" i="1"/>
  <c r="L119" i="1"/>
  <c r="K145" i="1"/>
  <c r="M130" i="1"/>
  <c r="R114" i="1"/>
  <c r="T114" i="1" s="1"/>
  <c r="S145" i="1"/>
  <c r="L145" i="1"/>
  <c r="L130" i="1"/>
  <c r="K114" i="1"/>
  <c r="M115" i="1"/>
  <c r="O130" i="1"/>
  <c r="P130" i="1" s="1"/>
  <c r="Q130" i="1" s="1"/>
  <c r="K117" i="1"/>
  <c r="R130" i="1"/>
  <c r="T130" i="1" s="1"/>
  <c r="L117" i="1"/>
  <c r="L114" i="1"/>
  <c r="R149" i="1"/>
  <c r="T149" i="1" s="1"/>
  <c r="L115" i="1"/>
  <c r="S114" i="1"/>
  <c r="R145" i="1"/>
  <c r="T145" i="1" s="1"/>
  <c r="O117" i="1"/>
  <c r="P117" i="1" s="1"/>
  <c r="Q117" i="1" s="1"/>
  <c r="M149" i="1"/>
  <c r="O119" i="1"/>
  <c r="P119" i="1" s="1"/>
  <c r="Q119" i="1" s="1"/>
  <c r="M145" i="1"/>
  <c r="K119" i="1"/>
  <c r="O115" i="1"/>
  <c r="P115" i="1" s="1"/>
  <c r="Q115" i="1" s="1"/>
  <c r="K149" i="1"/>
  <c r="S115" i="1"/>
  <c r="O149" i="1"/>
  <c r="P149" i="1" s="1"/>
  <c r="Q149" i="1" s="1"/>
  <c r="S130" i="1"/>
  <c r="O145" i="1"/>
  <c r="P145" i="1" s="1"/>
  <c r="Q145" i="1" s="1"/>
  <c r="M117" i="1"/>
  <c r="S97" i="1"/>
  <c r="L97" i="1"/>
  <c r="R109" i="1"/>
  <c r="T109" i="1" s="1"/>
  <c r="R129" i="1"/>
  <c r="T129" i="1" s="1"/>
  <c r="S141" i="1"/>
  <c r="L105" i="1"/>
  <c r="M136" i="1"/>
  <c r="R121" i="1"/>
  <c r="T121" i="1" s="1"/>
  <c r="S112" i="1"/>
  <c r="O131" i="1"/>
  <c r="P131" i="1" s="1"/>
  <c r="Q131" i="1" s="1"/>
  <c r="S93" i="1"/>
  <c r="R153" i="1"/>
  <c r="T153" i="1" s="1"/>
  <c r="O112" i="1"/>
  <c r="P112" i="1" s="1"/>
  <c r="Q112" i="1" s="1"/>
  <c r="M85" i="1"/>
  <c r="R143" i="1"/>
  <c r="T143" i="1" s="1"/>
  <c r="L120" i="1"/>
  <c r="S95" i="1"/>
  <c r="M125" i="1"/>
  <c r="L140" i="1"/>
  <c r="L96" i="1"/>
  <c r="S128" i="1"/>
  <c r="S136" i="1"/>
  <c r="O120" i="1"/>
  <c r="P120" i="1" s="1"/>
  <c r="Q120" i="1" s="1"/>
  <c r="S86" i="1"/>
  <c r="K102" i="1"/>
  <c r="L128" i="1"/>
  <c r="O152" i="1"/>
  <c r="P152" i="1" s="1"/>
  <c r="Q152" i="1" s="1"/>
  <c r="O137" i="1"/>
  <c r="P137" i="1" s="1"/>
  <c r="Q137" i="1" s="1"/>
  <c r="L118" i="1"/>
  <c r="M153" i="1"/>
  <c r="L150" i="1"/>
  <c r="K121" i="1"/>
  <c r="M146" i="1"/>
  <c r="L95" i="1"/>
  <c r="K96" i="1"/>
  <c r="S107" i="1"/>
  <c r="S140" i="1"/>
  <c r="K109" i="1"/>
  <c r="O100" i="1"/>
  <c r="P100" i="1" s="1"/>
  <c r="Q100" i="1" s="1"/>
  <c r="S134" i="1"/>
  <c r="R93" i="1"/>
  <c r="T93" i="1" s="1"/>
  <c r="O86" i="1"/>
  <c r="P86" i="1" s="1"/>
  <c r="Q86" i="1" s="1"/>
  <c r="L157" i="1"/>
  <c r="S87" i="1"/>
  <c r="M138" i="1"/>
  <c r="S105" i="1"/>
  <c r="S142" i="1"/>
  <c r="S154" i="1"/>
  <c r="R120" i="1"/>
  <c r="T120" i="1" s="1"/>
  <c r="O139" i="1"/>
  <c r="P139" i="1" s="1"/>
  <c r="Q139" i="1" s="1"/>
  <c r="O141" i="1"/>
  <c r="P141" i="1" s="1"/>
  <c r="Q141" i="1" s="1"/>
  <c r="O89" i="1"/>
  <c r="P89" i="1" s="1"/>
  <c r="Q89" i="1" s="1"/>
  <c r="S146" i="1"/>
  <c r="S147" i="1"/>
  <c r="K137" i="1"/>
  <c r="R128" i="1"/>
  <c r="T128" i="1" s="1"/>
  <c r="L88" i="1"/>
  <c r="O134" i="1"/>
  <c r="P134" i="1" s="1"/>
  <c r="Q134" i="1" s="1"/>
  <c r="R94" i="1"/>
  <c r="T94" i="1" s="1"/>
  <c r="L87" i="1"/>
  <c r="M111" i="1"/>
  <c r="K160" i="1"/>
  <c r="S96" i="1"/>
  <c r="M140" i="1"/>
  <c r="O95" i="1"/>
  <c r="P95" i="1" s="1"/>
  <c r="Q95" i="1" s="1"/>
  <c r="L124" i="1"/>
  <c r="O126" i="1"/>
  <c r="P126" i="1" s="1"/>
  <c r="Q126" i="1" s="1"/>
  <c r="K139" i="1"/>
  <c r="L123" i="1"/>
  <c r="L126" i="1"/>
  <c r="O105" i="1"/>
  <c r="P105" i="1" s="1"/>
  <c r="Q105" i="1" s="1"/>
  <c r="O135" i="1"/>
  <c r="P135" i="1" s="1"/>
  <c r="Q135" i="1" s="1"/>
  <c r="K107" i="1"/>
  <c r="S118" i="1"/>
  <c r="M152" i="1"/>
  <c r="R160" i="1"/>
  <c r="T160" i="1" s="1"/>
  <c r="O142" i="1"/>
  <c r="P142" i="1" s="1"/>
  <c r="Q142" i="1" s="1"/>
  <c r="M87" i="1"/>
  <c r="R111" i="1"/>
  <c r="T111" i="1" s="1"/>
  <c r="O138" i="1"/>
  <c r="P138" i="1" s="1"/>
  <c r="Q138" i="1" s="1"/>
  <c r="L143" i="1"/>
  <c r="O124" i="1"/>
  <c r="P124" i="1" s="1"/>
  <c r="Q124" i="1" s="1"/>
  <c r="S150" i="1"/>
  <c r="S133" i="1"/>
  <c r="O116" i="1"/>
  <c r="P116" i="1" s="1"/>
  <c r="Q116" i="1" s="1"/>
  <c r="L121" i="1"/>
  <c r="L86" i="1"/>
  <c r="K87" i="1"/>
  <c r="AA87" i="1" s="1"/>
  <c r="S89" i="1"/>
  <c r="K132" i="1"/>
  <c r="M156" i="1"/>
  <c r="S100" i="1"/>
  <c r="K150" i="1"/>
  <c r="L137" i="1"/>
  <c r="R124" i="1"/>
  <c r="T124" i="1" s="1"/>
  <c r="S85" i="1"/>
  <c r="L134" i="1"/>
  <c r="K129" i="1"/>
  <c r="S156" i="1"/>
  <c r="O143" i="1"/>
  <c r="P143" i="1" s="1"/>
  <c r="Q143" i="1" s="1"/>
  <c r="K88" i="1"/>
  <c r="AA88" i="1" s="1"/>
  <c r="O111" i="1"/>
  <c r="P111" i="1" s="1"/>
  <c r="Q111" i="1" s="1"/>
  <c r="L142" i="1"/>
  <c r="L85" i="1"/>
  <c r="O121" i="1"/>
  <c r="P121" i="1" s="1"/>
  <c r="Q121" i="1" s="1"/>
  <c r="S144" i="1"/>
  <c r="S99" i="1"/>
  <c r="K123" i="1"/>
  <c r="O99" i="1"/>
  <c r="P99" i="1" s="1"/>
  <c r="Q99" i="1" s="1"/>
  <c r="K89" i="1"/>
  <c r="AA89" i="1" s="1"/>
  <c r="K120" i="1"/>
  <c r="R122" i="1"/>
  <c r="T122" i="1" s="1"/>
  <c r="R118" i="1"/>
  <c r="T118" i="1" s="1"/>
  <c r="M142" i="1"/>
  <c r="O156" i="1"/>
  <c r="P156" i="1" s="1"/>
  <c r="Q156" i="1" s="1"/>
  <c r="O88" i="1"/>
  <c r="P88" i="1" s="1"/>
  <c r="Q88" i="1" s="1"/>
  <c r="O132" i="1"/>
  <c r="P132" i="1" s="1"/>
  <c r="Q132" i="1" s="1"/>
  <c r="S159" i="1"/>
  <c r="L141" i="1"/>
  <c r="L133" i="1"/>
  <c r="L111" i="1"/>
  <c r="L160" i="1"/>
  <c r="S123" i="1"/>
  <c r="R131" i="1"/>
  <c r="T131" i="1" s="1"/>
  <c r="K153" i="1"/>
  <c r="S90" i="1"/>
  <c r="M102" i="1"/>
  <c r="M123" i="1"/>
  <c r="R154" i="1"/>
  <c r="T154" i="1" s="1"/>
  <c r="K128" i="1"/>
  <c r="M133" i="1"/>
  <c r="R134" i="1"/>
  <c r="T134" i="1" s="1"/>
  <c r="L122" i="1"/>
  <c r="O160" i="1"/>
  <c r="P160" i="1" s="1"/>
  <c r="Q160" i="1" s="1"/>
  <c r="R147" i="1"/>
  <c r="T147" i="1" s="1"/>
  <c r="S124" i="1"/>
  <c r="R137" i="1"/>
  <c r="T137" i="1" s="1"/>
  <c r="O147" i="1"/>
  <c r="P147" i="1" s="1"/>
  <c r="Q147" i="1" s="1"/>
  <c r="M143" i="1"/>
  <c r="S139" i="1"/>
  <c r="M105" i="1"/>
  <c r="K98" i="1"/>
  <c r="K112" i="1"/>
  <c r="O107" i="1"/>
  <c r="P107" i="1" s="1"/>
  <c r="Q107" i="1" s="1"/>
  <c r="L144" i="1"/>
  <c r="O157" i="1"/>
  <c r="P157" i="1" s="1"/>
  <c r="Q157" i="1" s="1"/>
  <c r="S109" i="1"/>
  <c r="K100" i="1"/>
  <c r="S135" i="1"/>
  <c r="M135" i="1"/>
  <c r="R123" i="1"/>
  <c r="T123" i="1" s="1"/>
  <c r="K156" i="1"/>
  <c r="R132" i="1"/>
  <c r="T132" i="1" s="1"/>
  <c r="O118" i="1"/>
  <c r="P118" i="1" s="1"/>
  <c r="Q118" i="1" s="1"/>
  <c r="S131" i="1"/>
  <c r="O90" i="1"/>
  <c r="P90" i="1" s="1"/>
  <c r="Q90" i="1" s="1"/>
  <c r="K136" i="1"/>
  <c r="M96" i="1"/>
  <c r="L131" i="1"/>
  <c r="S151" i="1"/>
  <c r="O109" i="1"/>
  <c r="P109" i="1" s="1"/>
  <c r="Q109" i="1" s="1"/>
  <c r="K99" i="1"/>
  <c r="K118" i="1"/>
  <c r="S88" i="1"/>
  <c r="O129" i="1"/>
  <c r="P129" i="1" s="1"/>
  <c r="Q129" i="1" s="1"/>
  <c r="K93" i="1"/>
  <c r="AA93" i="1" s="1"/>
  <c r="M131" i="1"/>
  <c r="O122" i="1"/>
  <c r="P122" i="1" s="1"/>
  <c r="Q122" i="1" s="1"/>
  <c r="K151" i="1"/>
  <c r="S127" i="1"/>
  <c r="K135" i="1"/>
  <c r="S120" i="1"/>
  <c r="R135" i="1"/>
  <c r="T135" i="1" s="1"/>
  <c r="R90" i="1"/>
  <c r="T90" i="1" s="1"/>
  <c r="L132" i="1"/>
  <c r="M94" i="1"/>
  <c r="M159" i="1"/>
  <c r="O125" i="1"/>
  <c r="P125" i="1" s="1"/>
  <c r="Q125" i="1" s="1"/>
  <c r="M147" i="1"/>
  <c r="K124" i="1"/>
  <c r="S121" i="1"/>
  <c r="S129" i="1"/>
  <c r="M154" i="1"/>
  <c r="S132" i="1"/>
  <c r="L98" i="1"/>
  <c r="O93" i="1"/>
  <c r="P93" i="1" s="1"/>
  <c r="Q93" i="1" s="1"/>
  <c r="S102" i="1"/>
  <c r="M116" i="1"/>
  <c r="L158" i="1"/>
  <c r="R138" i="1"/>
  <c r="T138" i="1" s="1"/>
  <c r="K131" i="1"/>
  <c r="R85" i="1"/>
  <c r="T85" i="1" s="1"/>
  <c r="O123" i="1"/>
  <c r="P123" i="1" s="1"/>
  <c r="Q123" i="1" s="1"/>
  <c r="L90" i="1"/>
  <c r="R89" i="1"/>
  <c r="T89" i="1" s="1"/>
  <c r="S125" i="1"/>
  <c r="L112" i="1"/>
  <c r="R141" i="1"/>
  <c r="T141" i="1" s="1"/>
  <c r="M137" i="1"/>
  <c r="L156" i="1"/>
  <c r="R140" i="1"/>
  <c r="T140" i="1" s="1"/>
  <c r="S111" i="1"/>
  <c r="O97" i="1"/>
  <c r="P97" i="1" s="1"/>
  <c r="Q97" i="1" s="1"/>
  <c r="M151" i="1"/>
  <c r="K134" i="1"/>
  <c r="R157" i="1"/>
  <c r="T157" i="1" s="1"/>
  <c r="M144" i="1"/>
  <c r="M132" i="1"/>
  <c r="K116" i="1"/>
  <c r="M141" i="1"/>
  <c r="L107" i="1"/>
  <c r="K127" i="1"/>
  <c r="R158" i="1"/>
  <c r="T158" i="1" s="1"/>
  <c r="O146" i="1"/>
  <c r="P146" i="1" s="1"/>
  <c r="Q146" i="1" s="1"/>
  <c r="K95" i="1"/>
  <c r="AA95" i="1" s="1"/>
  <c r="R159" i="1"/>
  <c r="T159" i="1" s="1"/>
  <c r="S155" i="1"/>
  <c r="R105" i="1"/>
  <c r="T105" i="1" s="1"/>
  <c r="S158" i="1"/>
  <c r="K125" i="1"/>
  <c r="K142" i="1"/>
  <c r="L102" i="1"/>
  <c r="L109" i="1"/>
  <c r="R97" i="1"/>
  <c r="T97" i="1" s="1"/>
  <c r="M95" i="1"/>
  <c r="S98" i="1"/>
  <c r="L116" i="1"/>
  <c r="R96" i="1"/>
  <c r="T96" i="1" s="1"/>
  <c r="R98" i="1"/>
  <c r="T98" i="1" s="1"/>
  <c r="O94" i="1"/>
  <c r="P94" i="1" s="1"/>
  <c r="Q94" i="1" s="1"/>
  <c r="M127" i="1"/>
  <c r="M160" i="1"/>
  <c r="L152" i="1"/>
  <c r="M107" i="1"/>
  <c r="O87" i="1"/>
  <c r="P87" i="1" s="1"/>
  <c r="Q87" i="1" s="1"/>
  <c r="S160" i="1"/>
  <c r="R150" i="1"/>
  <c r="T150" i="1" s="1"/>
  <c r="S137" i="1"/>
  <c r="K94" i="1"/>
  <c r="AA94" i="1" s="1"/>
  <c r="R88" i="1"/>
  <c r="T88" i="1" s="1"/>
  <c r="R152" i="1"/>
  <c r="T152" i="1" s="1"/>
  <c r="K158" i="1"/>
  <c r="M121" i="1"/>
  <c r="S157" i="1"/>
  <c r="K146" i="1"/>
  <c r="S116" i="1"/>
  <c r="M150" i="1"/>
  <c r="O151" i="1"/>
  <c r="P151" i="1" s="1"/>
  <c r="Q151" i="1" s="1"/>
  <c r="R155" i="1"/>
  <c r="T155" i="1" s="1"/>
  <c r="M158" i="1"/>
  <c r="K159" i="1"/>
  <c r="R100" i="1"/>
  <c r="T100" i="1" s="1"/>
  <c r="O127" i="1"/>
  <c r="P127" i="1" s="1"/>
  <c r="Q127" i="1" s="1"/>
  <c r="K85" i="1"/>
  <c r="AA85" i="1" s="1"/>
  <c r="L146" i="1"/>
  <c r="L99" i="1"/>
  <c r="M89" i="1"/>
  <c r="O85" i="1"/>
  <c r="P85" i="1" s="1"/>
  <c r="Q85" i="1" s="1"/>
  <c r="K143" i="1"/>
  <c r="L139" i="1"/>
  <c r="O98" i="1"/>
  <c r="P98" i="1" s="1"/>
  <c r="Q98" i="1" s="1"/>
  <c r="K155" i="1"/>
  <c r="O136" i="1"/>
  <c r="P136" i="1" s="1"/>
  <c r="Q136" i="1" s="1"/>
  <c r="O128" i="1"/>
  <c r="P128" i="1" s="1"/>
  <c r="Q128" i="1" s="1"/>
  <c r="R116" i="1"/>
  <c r="T116" i="1" s="1"/>
  <c r="M109" i="1"/>
  <c r="K111" i="1"/>
  <c r="M139" i="1"/>
  <c r="L94" i="1"/>
  <c r="K97" i="1"/>
  <c r="L129" i="1"/>
  <c r="R127" i="1"/>
  <c r="T127" i="1" s="1"/>
  <c r="S138" i="1"/>
  <c r="O159" i="1"/>
  <c r="P159" i="1" s="1"/>
  <c r="Q159" i="1" s="1"/>
  <c r="M88" i="1"/>
  <c r="R146" i="1"/>
  <c r="T146" i="1" s="1"/>
  <c r="O140" i="1"/>
  <c r="P140" i="1" s="1"/>
  <c r="Q140" i="1" s="1"/>
  <c r="M118" i="1"/>
  <c r="S143" i="1"/>
  <c r="M134" i="1"/>
  <c r="L153" i="1"/>
  <c r="K122" i="1"/>
  <c r="L151" i="1"/>
  <c r="M93" i="1"/>
  <c r="M155" i="1"/>
  <c r="K147" i="1"/>
  <c r="M120" i="1"/>
  <c r="O153" i="1"/>
  <c r="P153" i="1" s="1"/>
  <c r="Q153" i="1" s="1"/>
  <c r="M126" i="1"/>
  <c r="L136" i="1"/>
  <c r="R102" i="1"/>
  <c r="T102" i="1" s="1"/>
  <c r="K90" i="1"/>
  <c r="AA90" i="1" s="1"/>
  <c r="O150" i="1"/>
  <c r="P150" i="1" s="1"/>
  <c r="Q150" i="1" s="1"/>
  <c r="R99" i="1"/>
  <c r="T99" i="1" s="1"/>
  <c r="R133" i="1"/>
  <c r="T133" i="1" s="1"/>
  <c r="M99" i="1"/>
  <c r="S94" i="1"/>
  <c r="R87" i="1"/>
  <c r="T87" i="1" s="1"/>
  <c r="L93" i="1"/>
  <c r="R156" i="1"/>
  <c r="T156" i="1" s="1"/>
  <c r="R125" i="1"/>
  <c r="T125" i="1" s="1"/>
  <c r="O96" i="1"/>
  <c r="P96" i="1" s="1"/>
  <c r="Q96" i="1" s="1"/>
  <c r="L154" i="1"/>
  <c r="O102" i="1"/>
  <c r="P102" i="1" s="1"/>
  <c r="Q102" i="1" s="1"/>
  <c r="K144" i="1"/>
  <c r="K133" i="1"/>
  <c r="L155" i="1"/>
  <c r="R95" i="1"/>
  <c r="T95" i="1" s="1"/>
  <c r="M97" i="1"/>
  <c r="S153" i="1"/>
  <c r="O144" i="1"/>
  <c r="P144" i="1" s="1"/>
  <c r="Q144" i="1" s="1"/>
  <c r="L159" i="1"/>
  <c r="M112" i="1"/>
  <c r="L138" i="1"/>
  <c r="O158" i="1"/>
  <c r="P158" i="1" s="1"/>
  <c r="Q158" i="1" s="1"/>
  <c r="M98" i="1"/>
  <c r="R86" i="1"/>
  <c r="T86" i="1" s="1"/>
  <c r="R142" i="1"/>
  <c r="T142" i="1" s="1"/>
  <c r="K105" i="1"/>
  <c r="M100" i="1"/>
  <c r="M124" i="1"/>
  <c r="L89" i="1"/>
  <c r="K152" i="1"/>
  <c r="M90" i="1"/>
  <c r="M157" i="1"/>
  <c r="M128" i="1"/>
  <c r="S122" i="1"/>
  <c r="R136" i="1"/>
  <c r="T136" i="1" s="1"/>
  <c r="K138" i="1"/>
  <c r="M129" i="1"/>
  <c r="K86" i="1"/>
  <c r="AA86" i="1" s="1"/>
  <c r="L147" i="1"/>
  <c r="K140" i="1"/>
  <c r="K126" i="1"/>
  <c r="O133" i="1"/>
  <c r="P133" i="1" s="1"/>
  <c r="Q133" i="1" s="1"/>
  <c r="R107" i="1"/>
  <c r="T107" i="1" s="1"/>
  <c r="L125" i="1"/>
  <c r="L127" i="1"/>
  <c r="R144" i="1"/>
  <c r="T144" i="1" s="1"/>
  <c r="L100" i="1"/>
  <c r="M122" i="1"/>
  <c r="O155" i="1"/>
  <c r="P155" i="1" s="1"/>
  <c r="Q155" i="1" s="1"/>
  <c r="R126" i="1"/>
  <c r="T126" i="1" s="1"/>
  <c r="R139" i="1"/>
  <c r="T139" i="1" s="1"/>
  <c r="K141" i="1"/>
  <c r="R151" i="1"/>
  <c r="T151" i="1" s="1"/>
  <c r="K157" i="1"/>
  <c r="K154" i="1"/>
  <c r="M86" i="1"/>
  <c r="S152" i="1"/>
  <c r="L135" i="1"/>
  <c r="R112" i="1"/>
  <c r="T112" i="1" s="1"/>
  <c r="S126" i="1"/>
  <c r="O154" i="1"/>
  <c r="P154" i="1" s="1"/>
  <c r="Q154" i="1" s="1"/>
  <c r="C160" i="2"/>
  <c r="O56" i="1"/>
  <c r="P56" i="1" s="1"/>
  <c r="Q56" i="1" s="1"/>
  <c r="S56" i="1"/>
  <c r="M56" i="1"/>
  <c r="R56" i="1"/>
  <c r="T56" i="1" s="1"/>
  <c r="L56" i="1"/>
  <c r="K56" i="1"/>
  <c r="AA56" i="1" s="1"/>
  <c r="S83" i="1"/>
  <c r="M81" i="1"/>
  <c r="M67" i="1"/>
  <c r="O67" i="1"/>
  <c r="P67" i="1" s="1"/>
  <c r="Q67" i="1" s="1"/>
  <c r="S72" i="1"/>
  <c r="K64" i="1"/>
  <c r="AA64" i="1" s="1"/>
  <c r="S61" i="1"/>
  <c r="M60" i="1"/>
  <c r="L19" i="1"/>
  <c r="R55" i="1"/>
  <c r="T55" i="1" s="1"/>
  <c r="M45" i="1"/>
  <c r="K46" i="1"/>
  <c r="AA46" i="1" s="1"/>
  <c r="O40" i="1"/>
  <c r="P40" i="1" s="1"/>
  <c r="Q40" i="1" s="1"/>
  <c r="R46" i="1"/>
  <c r="T46" i="1" s="1"/>
  <c r="S49" i="1"/>
  <c r="L41" i="1"/>
  <c r="R44" i="1"/>
  <c r="T44" i="1" s="1"/>
  <c r="L40" i="1"/>
  <c r="L27" i="1"/>
  <c r="R25" i="1"/>
  <c r="T25" i="1" s="1"/>
  <c r="O21" i="1"/>
  <c r="P21" i="1" s="1"/>
  <c r="Q21" i="1" s="1"/>
  <c r="S18" i="1"/>
  <c r="S20" i="1"/>
  <c r="L14" i="1"/>
  <c r="M15" i="1"/>
  <c r="R14" i="1"/>
  <c r="T14" i="1" s="1"/>
  <c r="L9" i="1"/>
  <c r="M3" i="1"/>
  <c r="R5" i="1"/>
  <c r="T5" i="1" s="1"/>
  <c r="M5" i="1"/>
  <c r="S25" i="1"/>
  <c r="K9" i="1"/>
  <c r="AA9" i="1" s="1"/>
  <c r="S13" i="1"/>
  <c r="L4" i="1"/>
  <c r="R9" i="1"/>
  <c r="T9" i="1" s="1"/>
  <c r="O22" i="1"/>
  <c r="P22" i="1" s="1"/>
  <c r="Q22" i="1" s="1"/>
  <c r="O83" i="1"/>
  <c r="P83" i="1" s="1"/>
  <c r="Q83" i="1" s="1"/>
  <c r="R81" i="1"/>
  <c r="T81" i="1" s="1"/>
  <c r="L66" i="1"/>
  <c r="K69" i="1"/>
  <c r="AA69" i="1" s="1"/>
  <c r="O69" i="1"/>
  <c r="P69" i="1" s="1"/>
  <c r="Q69" i="1" s="1"/>
  <c r="R65" i="1"/>
  <c r="T65" i="1" s="1"/>
  <c r="M63" i="1"/>
  <c r="M59" i="1"/>
  <c r="R19" i="1"/>
  <c r="T19" i="1" s="1"/>
  <c r="M54" i="1"/>
  <c r="S36" i="1"/>
  <c r="O48" i="1"/>
  <c r="P48" i="1" s="1"/>
  <c r="Q48" i="1" s="1"/>
  <c r="O30" i="1"/>
  <c r="P30" i="1" s="1"/>
  <c r="Q30" i="1" s="1"/>
  <c r="S50" i="1"/>
  <c r="K28" i="1"/>
  <c r="AA28" i="1" s="1"/>
  <c r="M28" i="1"/>
  <c r="R48" i="1"/>
  <c r="T48" i="1" s="1"/>
  <c r="M35" i="1"/>
  <c r="K27" i="1"/>
  <c r="AA27" i="1" s="1"/>
  <c r="L23" i="1"/>
  <c r="O23" i="1"/>
  <c r="P23" i="1" s="1"/>
  <c r="Q23" i="1" s="1"/>
  <c r="M16" i="1"/>
  <c r="R18" i="1"/>
  <c r="T18" i="1" s="1"/>
  <c r="M14" i="1"/>
  <c r="S12" i="1"/>
  <c r="M10" i="1"/>
  <c r="O5" i="1"/>
  <c r="P5" i="1" s="1"/>
  <c r="Q5" i="1" s="1"/>
  <c r="K26" i="1"/>
  <c r="AA26" i="1" s="1"/>
  <c r="O15" i="1"/>
  <c r="P15" i="1" s="1"/>
  <c r="Q15" i="1" s="1"/>
  <c r="L13" i="1"/>
  <c r="S3" i="1"/>
  <c r="L21" i="1"/>
  <c r="L83" i="1"/>
  <c r="M69" i="1"/>
  <c r="R68" i="1"/>
  <c r="T68" i="1" s="1"/>
  <c r="R72" i="1"/>
  <c r="T72" i="1" s="1"/>
  <c r="M65" i="1"/>
  <c r="S63" i="1"/>
  <c r="S59" i="1"/>
  <c r="M19" i="1"/>
  <c r="S54" i="1"/>
  <c r="M29" i="1"/>
  <c r="O28" i="1"/>
  <c r="P28" i="1" s="1"/>
  <c r="Q28" i="1" s="1"/>
  <c r="O50" i="1"/>
  <c r="P50" i="1" s="1"/>
  <c r="Q50" i="1" s="1"/>
  <c r="M46" i="1"/>
  <c r="L46" i="1"/>
  <c r="M50" i="1"/>
  <c r="O42" i="1"/>
  <c r="P42" i="1" s="1"/>
  <c r="Q42" i="1" s="1"/>
  <c r="S45" i="1"/>
  <c r="K40" i="1"/>
  <c r="AA40" i="1" s="1"/>
  <c r="R27" i="1"/>
  <c r="T27" i="1" s="1"/>
  <c r="M25" i="1"/>
  <c r="S21" i="1"/>
  <c r="K18" i="1"/>
  <c r="AA18" i="1" s="1"/>
  <c r="S16" i="1"/>
  <c r="L15" i="1"/>
  <c r="K14" i="1"/>
  <c r="AA14" i="1" s="1"/>
  <c r="M12" i="1"/>
  <c r="R10" i="1"/>
  <c r="T10" i="1" s="1"/>
  <c r="K8" i="1"/>
  <c r="AA8" i="1" s="1"/>
  <c r="K4" i="1"/>
  <c r="AA4" i="1" s="1"/>
  <c r="M8" i="1"/>
  <c r="R16" i="1"/>
  <c r="T16" i="1" s="1"/>
  <c r="M18" i="1"/>
  <c r="S17" i="1"/>
  <c r="L22" i="1"/>
  <c r="L20" i="1"/>
  <c r="M7" i="1"/>
  <c r="R13" i="1"/>
  <c r="T13" i="1" s="1"/>
  <c r="K83" i="1"/>
  <c r="AA83" i="1" s="1"/>
  <c r="K81" i="1"/>
  <c r="AA81" i="1" s="1"/>
  <c r="K68" i="1"/>
  <c r="AA68" i="1" s="1"/>
  <c r="L72" i="1"/>
  <c r="L69" i="1"/>
  <c r="S64" i="1"/>
  <c r="L63" i="1"/>
  <c r="K60" i="1"/>
  <c r="AA60" i="1" s="1"/>
  <c r="S19" i="1"/>
  <c r="R53" i="1"/>
  <c r="T53" i="1" s="1"/>
  <c r="S30" i="1"/>
  <c r="R42" i="1"/>
  <c r="T42" i="1" s="1"/>
  <c r="S28" i="1"/>
  <c r="K30" i="1"/>
  <c r="AA30" i="1" s="1"/>
  <c r="K29" i="1"/>
  <c r="AA29" i="1" s="1"/>
  <c r="M36" i="1"/>
  <c r="R28" i="1"/>
  <c r="T28" i="1" s="1"/>
  <c r="S48" i="1"/>
  <c r="L49" i="1"/>
  <c r="M26" i="1"/>
  <c r="K24" i="1"/>
  <c r="AA24" i="1" s="1"/>
  <c r="M23" i="1"/>
  <c r="K16" i="1"/>
  <c r="AA16" i="1" s="1"/>
  <c r="O17" i="1"/>
  <c r="P17" i="1" s="1"/>
  <c r="Q17" i="1" s="1"/>
  <c r="M13" i="1"/>
  <c r="S15" i="1"/>
  <c r="O14" i="1"/>
  <c r="P14" i="1" s="1"/>
  <c r="Q14" i="1" s="1"/>
  <c r="K10" i="1"/>
  <c r="AA10" i="1" s="1"/>
  <c r="S7" i="1"/>
  <c r="R4" i="1"/>
  <c r="T4" i="1" s="1"/>
  <c r="R17" i="1"/>
  <c r="T17" i="1" s="1"/>
  <c r="S8" i="1"/>
  <c r="O8" i="1"/>
  <c r="P8" i="1" s="1"/>
  <c r="Q8" i="1" s="1"/>
  <c r="M21" i="1"/>
  <c r="K50" i="1"/>
  <c r="AA50" i="1" s="1"/>
  <c r="R83" i="1"/>
  <c r="T83" i="1" s="1"/>
  <c r="S81" i="1"/>
  <c r="K73" i="1"/>
  <c r="AA73" i="1" s="1"/>
  <c r="M66" i="1"/>
  <c r="O66" i="1"/>
  <c r="P66" i="1" s="1"/>
  <c r="Q66" i="1" s="1"/>
  <c r="K65" i="1"/>
  <c r="AA65" i="1" s="1"/>
  <c r="K63" i="1"/>
  <c r="AA63" i="1" s="1"/>
  <c r="L59" i="1"/>
  <c r="O55" i="1"/>
  <c r="P55" i="1" s="1"/>
  <c r="Q55" i="1" s="1"/>
  <c r="S55" i="1"/>
  <c r="L29" i="1"/>
  <c r="L45" i="1"/>
  <c r="O33" i="1"/>
  <c r="P33" i="1" s="1"/>
  <c r="Q33" i="1" s="1"/>
  <c r="M41" i="1"/>
  <c r="R30" i="1"/>
  <c r="T30" i="1" s="1"/>
  <c r="L36" i="1"/>
  <c r="L48" i="1"/>
  <c r="S35" i="1"/>
  <c r="S26" i="1"/>
  <c r="L25" i="1"/>
  <c r="R24" i="1"/>
  <c r="T24" i="1" s="1"/>
  <c r="L18" i="1"/>
  <c r="M17" i="1"/>
  <c r="O18" i="1"/>
  <c r="P18" i="1" s="1"/>
  <c r="Q18" i="1" s="1"/>
  <c r="R12" i="1"/>
  <c r="T12" i="1" s="1"/>
  <c r="L12" i="1"/>
  <c r="S9" i="1"/>
  <c r="O4" i="1"/>
  <c r="P4" i="1" s="1"/>
  <c r="Q4" i="1" s="1"/>
  <c r="S5" i="1"/>
  <c r="K15" i="1"/>
  <c r="AA15" i="1" s="1"/>
  <c r="R20" i="1"/>
  <c r="T20" i="1" s="1"/>
  <c r="O16" i="1"/>
  <c r="P16" i="1" s="1"/>
  <c r="Q16" i="1" s="1"/>
  <c r="O20" i="1"/>
  <c r="P20" i="1" s="1"/>
  <c r="Q20" i="1" s="1"/>
  <c r="K25" i="1"/>
  <c r="AA25" i="1" s="1"/>
  <c r="L44" i="1"/>
  <c r="R3" i="1"/>
  <c r="T3" i="1" s="1"/>
  <c r="M83" i="1"/>
  <c r="S73" i="1"/>
  <c r="O73" i="1"/>
  <c r="P73" i="1" s="1"/>
  <c r="Q73" i="1" s="1"/>
  <c r="R67" i="1"/>
  <c r="T67" i="1" s="1"/>
  <c r="L64" i="1"/>
  <c r="O63" i="1"/>
  <c r="P63" i="1" s="1"/>
  <c r="Q63" i="1" s="1"/>
  <c r="S60" i="1"/>
  <c r="O54" i="1"/>
  <c r="P54" i="1" s="1"/>
  <c r="Q54" i="1" s="1"/>
  <c r="K54" i="1"/>
  <c r="AA54" i="1" s="1"/>
  <c r="M30" i="1"/>
  <c r="L35" i="1"/>
  <c r="M49" i="1"/>
  <c r="O49" i="1"/>
  <c r="P49" i="1" s="1"/>
  <c r="Q49" i="1" s="1"/>
  <c r="M40" i="1"/>
  <c r="R40" i="1"/>
  <c r="T40" i="1" s="1"/>
  <c r="O29" i="1"/>
  <c r="P29" i="1" s="1"/>
  <c r="Q29" i="1" s="1"/>
  <c r="R26" i="1"/>
  <c r="T26" i="1" s="1"/>
  <c r="L24" i="1"/>
  <c r="K21" i="1"/>
  <c r="AA21" i="1" s="1"/>
  <c r="L17" i="1"/>
  <c r="K17" i="1"/>
  <c r="AA17" i="1" s="1"/>
  <c r="M20" i="1"/>
  <c r="R15" i="1"/>
  <c r="T15" i="1" s="1"/>
  <c r="M9" i="1"/>
  <c r="K3" i="1"/>
  <c r="AA3" i="1" s="1"/>
  <c r="K5" i="1"/>
  <c r="AA5" i="1" s="1"/>
  <c r="L3" i="1"/>
  <c r="S22" i="1"/>
  <c r="L8" i="1"/>
  <c r="O7" i="1"/>
  <c r="P7" i="1" s="1"/>
  <c r="Q7" i="1" s="1"/>
  <c r="S10" i="1"/>
  <c r="K12" i="1"/>
  <c r="AA12" i="1" s="1"/>
  <c r="K13" i="1"/>
  <c r="AA13" i="1" s="1"/>
  <c r="K36" i="1"/>
  <c r="AA36" i="1" s="1"/>
  <c r="R8" i="1"/>
  <c r="T8" i="1" s="1"/>
  <c r="L67" i="1"/>
  <c r="M68" i="1"/>
  <c r="S69" i="1"/>
  <c r="L57" i="1"/>
  <c r="O64" i="1"/>
  <c r="P64" i="1" s="1"/>
  <c r="Q64" i="1" s="1"/>
  <c r="O61" i="1"/>
  <c r="P61" i="1" s="1"/>
  <c r="Q61" i="1" s="1"/>
  <c r="O59" i="1"/>
  <c r="P59" i="1" s="1"/>
  <c r="Q59" i="1" s="1"/>
  <c r="S53" i="1"/>
  <c r="M55" i="1"/>
  <c r="R45" i="1"/>
  <c r="T45" i="1" s="1"/>
  <c r="R29" i="1"/>
  <c r="T29" i="1" s="1"/>
  <c r="O32" i="1"/>
  <c r="P32" i="1" s="1"/>
  <c r="Q32" i="1" s="1"/>
  <c r="R41" i="1"/>
  <c r="T41" i="1" s="1"/>
  <c r="S40" i="1"/>
  <c r="K41" i="1"/>
  <c r="AA41" i="1" s="1"/>
  <c r="L50" i="1"/>
  <c r="M24" i="1"/>
  <c r="R7" i="1"/>
  <c r="T7" i="1" s="1"/>
  <c r="O10" i="1"/>
  <c r="P10" i="1" s="1"/>
  <c r="Q10" i="1" s="1"/>
  <c r="L7" i="1"/>
  <c r="L10" i="1"/>
  <c r="R22" i="1"/>
  <c r="T22" i="1" s="1"/>
  <c r="R35" i="1"/>
  <c r="T35" i="1" s="1"/>
  <c r="K7" i="1"/>
  <c r="AA7" i="1" s="1"/>
  <c r="L73" i="1"/>
  <c r="R66" i="1"/>
  <c r="T66" i="1" s="1"/>
  <c r="O72" i="1"/>
  <c r="P72" i="1" s="1"/>
  <c r="Q72" i="1" s="1"/>
  <c r="M57" i="1"/>
  <c r="R64" i="1"/>
  <c r="T64" i="1" s="1"/>
  <c r="R63" i="1"/>
  <c r="T63" i="1" s="1"/>
  <c r="K59" i="1"/>
  <c r="AA59" i="1" s="1"/>
  <c r="L53" i="1"/>
  <c r="K53" i="1"/>
  <c r="AA53" i="1" s="1"/>
  <c r="K32" i="1"/>
  <c r="AA32" i="1" s="1"/>
  <c r="K48" i="1"/>
  <c r="AA48" i="1" s="1"/>
  <c r="R50" i="1"/>
  <c r="T50" i="1" s="1"/>
  <c r="K49" i="1"/>
  <c r="AA49" i="1" s="1"/>
  <c r="M32" i="1"/>
  <c r="K44" i="1"/>
  <c r="AA44" i="1" s="1"/>
  <c r="K33" i="1"/>
  <c r="AA33" i="1" s="1"/>
  <c r="K42" i="1"/>
  <c r="AA42" i="1" s="1"/>
  <c r="O26" i="1"/>
  <c r="P26" i="1" s="1"/>
  <c r="Q26" i="1" s="1"/>
  <c r="S24" i="1"/>
  <c r="O25" i="1"/>
  <c r="P25" i="1" s="1"/>
  <c r="Q25" i="1" s="1"/>
  <c r="L16" i="1"/>
  <c r="L5" i="1"/>
  <c r="S4" i="1"/>
  <c r="R33" i="1"/>
  <c r="T33" i="1" s="1"/>
  <c r="O9" i="1"/>
  <c r="P9" i="1" s="1"/>
  <c r="Q9" i="1" s="1"/>
  <c r="O81" i="1"/>
  <c r="P81" i="1" s="1"/>
  <c r="Q81" i="1" s="1"/>
  <c r="L68" i="1"/>
  <c r="M73" i="1"/>
  <c r="S67" i="1"/>
  <c r="O57" i="1"/>
  <c r="P57" i="1" s="1"/>
  <c r="Q57" i="1" s="1"/>
  <c r="L65" i="1"/>
  <c r="M61" i="1"/>
  <c r="R60" i="1"/>
  <c r="T60" i="1" s="1"/>
  <c r="O53" i="1"/>
  <c r="P53" i="1" s="1"/>
  <c r="Q53" i="1" s="1"/>
  <c r="R54" i="1"/>
  <c r="T54" i="1" s="1"/>
  <c r="S44" i="1"/>
  <c r="M33" i="1"/>
  <c r="R49" i="1"/>
  <c r="T49" i="1" s="1"/>
  <c r="O41" i="1"/>
  <c r="P41" i="1" s="1"/>
  <c r="Q41" i="1" s="1"/>
  <c r="L28" i="1"/>
  <c r="O46" i="1"/>
  <c r="P46" i="1" s="1"/>
  <c r="Q46" i="1" s="1"/>
  <c r="R32" i="1"/>
  <c r="T32" i="1" s="1"/>
  <c r="S46" i="1"/>
  <c r="L26" i="1"/>
  <c r="R23" i="1"/>
  <c r="T23" i="1" s="1"/>
  <c r="O24" i="1"/>
  <c r="P24" i="1" s="1"/>
  <c r="Q24" i="1" s="1"/>
  <c r="M22" i="1"/>
  <c r="K22" i="1"/>
  <c r="AA22" i="1" s="1"/>
  <c r="S14" i="1"/>
  <c r="O27" i="1"/>
  <c r="P27" i="1" s="1"/>
  <c r="Q27" i="1" s="1"/>
  <c r="L81" i="1"/>
  <c r="S66" i="1"/>
  <c r="R73" i="1"/>
  <c r="T73" i="1" s="1"/>
  <c r="M72" i="1"/>
  <c r="S57" i="1"/>
  <c r="O65" i="1"/>
  <c r="P65" i="1" s="1"/>
  <c r="Q65" i="1" s="1"/>
  <c r="L61" i="1"/>
  <c r="L60" i="1"/>
  <c r="L55" i="1"/>
  <c r="K55" i="1"/>
  <c r="AA55" i="1" s="1"/>
  <c r="L30" i="1"/>
  <c r="M44" i="1"/>
  <c r="K45" i="1"/>
  <c r="AA45" i="1" s="1"/>
  <c r="R36" i="1"/>
  <c r="T36" i="1" s="1"/>
  <c r="S42" i="1"/>
  <c r="L33" i="1"/>
  <c r="L32" i="1"/>
  <c r="M27" i="1"/>
  <c r="S23" i="1"/>
  <c r="K23" i="1"/>
  <c r="AA23" i="1" s="1"/>
  <c r="O12" i="1"/>
  <c r="P12" i="1" s="1"/>
  <c r="Q12" i="1" s="1"/>
  <c r="O3" i="1"/>
  <c r="P3" i="1" s="1"/>
  <c r="Q3" i="1" s="1"/>
  <c r="R21" i="1"/>
  <c r="T21" i="1" s="1"/>
  <c r="K66" i="1"/>
  <c r="AA66" i="1" s="1"/>
  <c r="K67" i="1"/>
  <c r="AA67" i="1" s="1"/>
  <c r="R69" i="1"/>
  <c r="T69" i="1" s="1"/>
  <c r="R57" i="1"/>
  <c r="T57" i="1" s="1"/>
  <c r="M64" i="1"/>
  <c r="R61" i="1"/>
  <c r="T61" i="1" s="1"/>
  <c r="R59" i="1"/>
  <c r="T59" i="1" s="1"/>
  <c r="O19" i="1"/>
  <c r="P19" i="1" s="1"/>
  <c r="Q19" i="1" s="1"/>
  <c r="L54" i="1"/>
  <c r="L42" i="1"/>
  <c r="S41" i="1"/>
  <c r="O44" i="1"/>
  <c r="P44" i="1" s="1"/>
  <c r="Q44" i="1" s="1"/>
  <c r="S33" i="1"/>
  <c r="O35" i="1"/>
  <c r="P35" i="1" s="1"/>
  <c r="Q35" i="1" s="1"/>
  <c r="S29" i="1"/>
  <c r="O36" i="1"/>
  <c r="P36" i="1" s="1"/>
  <c r="Q36" i="1" s="1"/>
  <c r="M48" i="1"/>
  <c r="O45" i="1"/>
  <c r="P45" i="1" s="1"/>
  <c r="Q45" i="1" s="1"/>
  <c r="S27" i="1"/>
  <c r="M4" i="1"/>
  <c r="K20" i="1"/>
  <c r="AA20" i="1" s="1"/>
  <c r="K72" i="1"/>
  <c r="AA72" i="1" s="1"/>
  <c r="O68" i="1"/>
  <c r="P68" i="1" s="1"/>
  <c r="Q68" i="1" s="1"/>
  <c r="S68" i="1"/>
  <c r="K57" i="1"/>
  <c r="AA57" i="1" s="1"/>
  <c r="S65" i="1"/>
  <c r="K61" i="1"/>
  <c r="AA61" i="1" s="1"/>
  <c r="O60" i="1"/>
  <c r="P60" i="1" s="1"/>
  <c r="Q60" i="1" s="1"/>
  <c r="K19" i="1"/>
  <c r="AA19" i="1" s="1"/>
  <c r="M53" i="1"/>
  <c r="S32" i="1"/>
  <c r="M42" i="1"/>
  <c r="K35" i="1"/>
  <c r="AA35" i="1" s="1"/>
  <c r="O13" i="1"/>
  <c r="P13" i="1" s="1"/>
  <c r="Q13" i="1" s="1"/>
  <c r="G5" i="10"/>
  <c r="F3" i="10"/>
  <c r="O5" i="10"/>
  <c r="L5" i="10" s="1"/>
  <c r="G3" i="10"/>
  <c r="O3" i="10"/>
  <c r="L3" i="10" s="1"/>
  <c r="N11" i="10"/>
  <c r="H3" i="10"/>
  <c r="S11" i="10"/>
  <c r="S3" i="10"/>
  <c r="N5" i="10"/>
  <c r="M3" i="10"/>
  <c r="Z3" i="10" s="1"/>
  <c r="S5" i="10"/>
  <c r="F5" i="10"/>
  <c r="F11" i="10"/>
  <c r="G11" i="10"/>
  <c r="O11" i="10"/>
  <c r="L11" i="10" s="1"/>
  <c r="M5" i="10"/>
  <c r="Z5" i="10" s="1"/>
  <c r="H11" i="10"/>
  <c r="M11" i="10"/>
  <c r="Z11" i="10" s="1"/>
  <c r="N3" i="10"/>
  <c r="I3" i="10"/>
  <c r="I11" i="10"/>
  <c r="I5" i="10"/>
  <c r="C114" i="2"/>
  <c r="G13" i="10"/>
  <c r="H13" i="10"/>
  <c r="M13" i="10"/>
  <c r="Z13" i="10" s="1"/>
  <c r="M12" i="10"/>
  <c r="Z12" i="10" s="1"/>
  <c r="N12" i="10"/>
  <c r="F13" i="10"/>
  <c r="F12" i="10"/>
  <c r="G12" i="10"/>
  <c r="S13" i="10"/>
  <c r="O12" i="10"/>
  <c r="L12" i="10" s="1"/>
  <c r="N13" i="10"/>
  <c r="H12" i="10"/>
  <c r="S12" i="10"/>
  <c r="O13" i="10"/>
  <c r="L13" i="10" s="1"/>
  <c r="I13" i="10"/>
  <c r="I12" i="10"/>
  <c r="O84" i="1"/>
  <c r="P84" i="1" s="1"/>
  <c r="Q84" i="1" s="1"/>
  <c r="M84" i="1"/>
  <c r="K84" i="1"/>
  <c r="AA84" i="1" s="1"/>
  <c r="L84" i="1"/>
  <c r="S84" i="1"/>
  <c r="R84" i="1"/>
  <c r="T84" i="1" s="1"/>
  <c r="K70" i="1"/>
  <c r="AA70" i="1" s="1"/>
  <c r="O39" i="1"/>
  <c r="P39" i="1" s="1"/>
  <c r="Q39" i="1" s="1"/>
  <c r="R39" i="1"/>
  <c r="T39" i="1" s="1"/>
  <c r="S70" i="1"/>
  <c r="S39" i="1"/>
  <c r="L39" i="1"/>
  <c r="O70" i="1"/>
  <c r="P70" i="1" s="1"/>
  <c r="Q70" i="1" s="1"/>
  <c r="K39" i="1"/>
  <c r="AA39" i="1" s="1"/>
  <c r="R70" i="1"/>
  <c r="T70" i="1" s="1"/>
  <c r="M39" i="1"/>
  <c r="M70" i="1"/>
  <c r="L70" i="1"/>
  <c r="R82" i="1"/>
  <c r="T82" i="1" s="1"/>
  <c r="M82" i="1"/>
  <c r="L82" i="1"/>
  <c r="S82" i="1"/>
  <c r="O82" i="1"/>
  <c r="P82" i="1" s="1"/>
  <c r="Q82" i="1" s="1"/>
  <c r="K82" i="1"/>
  <c r="AA82" i="1" s="1"/>
  <c r="M71" i="1"/>
  <c r="L71" i="1"/>
  <c r="S71" i="1"/>
  <c r="R71" i="1"/>
  <c r="T71" i="1" s="1"/>
  <c r="O71" i="1"/>
  <c r="P71" i="1" s="1"/>
  <c r="Q71" i="1" s="1"/>
  <c r="K71" i="1"/>
  <c r="AA71" i="1" s="1"/>
  <c r="G14" i="10"/>
  <c r="G23" i="10"/>
  <c r="M22" i="10"/>
  <c r="Z22" i="10" s="1"/>
  <c r="M29" i="10"/>
  <c r="Z29" i="10" s="1"/>
  <c r="N4" i="10"/>
  <c r="S8" i="10"/>
  <c r="F22" i="10"/>
  <c r="M9" i="10"/>
  <c r="Z9" i="10" s="1"/>
  <c r="S6" i="10"/>
  <c r="M24" i="10"/>
  <c r="Z24" i="10" s="1"/>
  <c r="F19" i="10"/>
  <c r="F23" i="10"/>
  <c r="O7" i="10"/>
  <c r="L7" i="10" s="1"/>
  <c r="S28" i="10"/>
  <c r="O15" i="10"/>
  <c r="L15" i="10" s="1"/>
  <c r="M27" i="10"/>
  <c r="Z27" i="10" s="1"/>
  <c r="F6" i="10"/>
  <c r="H14" i="10"/>
  <c r="O8" i="10"/>
  <c r="L8" i="10" s="1"/>
  <c r="S10" i="10"/>
  <c r="H21" i="10"/>
  <c r="N18" i="10"/>
  <c r="G6" i="10"/>
  <c r="G10" i="10"/>
  <c r="G22" i="10"/>
  <c r="G17" i="10"/>
  <c r="H29" i="10"/>
  <c r="F4" i="10"/>
  <c r="F10" i="10"/>
  <c r="H16" i="10"/>
  <c r="N22" i="10"/>
  <c r="S9" i="10"/>
  <c r="F25" i="10"/>
  <c r="S19" i="10"/>
  <c r="N23" i="10"/>
  <c r="M7" i="10"/>
  <c r="Z7" i="10" s="1"/>
  <c r="M28" i="10"/>
  <c r="Z28" i="10" s="1"/>
  <c r="O27" i="10"/>
  <c r="L27" i="10" s="1"/>
  <c r="M6" i="10"/>
  <c r="Z6" i="10" s="1"/>
  <c r="N14" i="10"/>
  <c r="F8" i="10"/>
  <c r="F21" i="10"/>
  <c r="F18" i="10"/>
  <c r="M20" i="10"/>
  <c r="Z20" i="10" s="1"/>
  <c r="S17" i="10"/>
  <c r="M17" i="10"/>
  <c r="Z17" i="10" s="1"/>
  <c r="F20" i="10"/>
  <c r="H18" i="10"/>
  <c r="O20" i="10"/>
  <c r="L20" i="10" s="1"/>
  <c r="G4" i="10"/>
  <c r="O29" i="10"/>
  <c r="L29" i="10" s="1"/>
  <c r="O19" i="10"/>
  <c r="L19" i="10" s="1"/>
  <c r="F15" i="10"/>
  <c r="G19" i="10"/>
  <c r="O25" i="10"/>
  <c r="L25" i="10" s="1"/>
  <c r="H7" i="10"/>
  <c r="M4" i="10"/>
  <c r="Z4" i="10" s="1"/>
  <c r="N10" i="10"/>
  <c r="O16" i="10"/>
  <c r="L16" i="10" s="1"/>
  <c r="H25" i="10"/>
  <c r="N24" i="10"/>
  <c r="S7" i="10"/>
  <c r="M19" i="10"/>
  <c r="Z19" i="10" s="1"/>
  <c r="H15" i="10"/>
  <c r="S27" i="10"/>
  <c r="O6" i="10"/>
  <c r="L6" i="10" s="1"/>
  <c r="F14" i="10"/>
  <c r="N8" i="10"/>
  <c r="H4" i="10"/>
  <c r="N21" i="10"/>
  <c r="M21" i="10"/>
  <c r="Z21" i="10" s="1"/>
  <c r="O17" i="10"/>
  <c r="L17" i="10" s="1"/>
  <c r="G28" i="10"/>
  <c r="O4" i="10"/>
  <c r="L4" i="10" s="1"/>
  <c r="O9" i="10"/>
  <c r="L9" i="10" s="1"/>
  <c r="F7" i="10"/>
  <c r="S30" i="10"/>
  <c r="M10" i="10"/>
  <c r="Z10" i="10" s="1"/>
  <c r="G15" i="10"/>
  <c r="G27" i="10"/>
  <c r="G25" i="10"/>
  <c r="G16" i="10"/>
  <c r="M15" i="10"/>
  <c r="Z15" i="10" s="1"/>
  <c r="F29" i="10"/>
  <c r="S4" i="10"/>
  <c r="O10" i="10"/>
  <c r="L10" i="10" s="1"/>
  <c r="M16" i="10"/>
  <c r="Z16" i="10" s="1"/>
  <c r="F24" i="10"/>
  <c r="M23" i="10"/>
  <c r="Z23" i="10" s="1"/>
  <c r="H28" i="10"/>
  <c r="O30" i="10"/>
  <c r="L30" i="10" s="1"/>
  <c r="O14" i="10"/>
  <c r="L14" i="10" s="1"/>
  <c r="M8" i="10"/>
  <c r="Z8" i="10" s="1"/>
  <c r="O18" i="10"/>
  <c r="L18" i="10" s="1"/>
  <c r="M18" i="10"/>
  <c r="Z18" i="10" s="1"/>
  <c r="S15" i="10"/>
  <c r="O24" i="10"/>
  <c r="L24" i="10" s="1"/>
  <c r="F27" i="10"/>
  <c r="H17" i="10"/>
  <c r="G29" i="10"/>
  <c r="G7" i="10"/>
  <c r="S20" i="10"/>
  <c r="N29" i="10"/>
  <c r="S22" i="10"/>
  <c r="M30" i="10"/>
  <c r="Z30" i="10" s="1"/>
  <c r="N25" i="10"/>
  <c r="S16" i="10"/>
  <c r="O23" i="10"/>
  <c r="L23" i="10" s="1"/>
  <c r="O28" i="10"/>
  <c r="L28" i="10" s="1"/>
  <c r="N30" i="10"/>
  <c r="H27" i="10"/>
  <c r="S14" i="10"/>
  <c r="S18" i="10"/>
  <c r="N20" i="10"/>
  <c r="G8" i="10"/>
  <c r="G18" i="10"/>
  <c r="N16" i="10"/>
  <c r="S23" i="10"/>
  <c r="G21" i="10"/>
  <c r="G30" i="10"/>
  <c r="G20" i="10"/>
  <c r="H19" i="10"/>
  <c r="S29" i="10"/>
  <c r="H22" i="10"/>
  <c r="N9" i="10"/>
  <c r="S25" i="10"/>
  <c r="H23" i="10"/>
  <c r="F28" i="10"/>
  <c r="F30" i="10"/>
  <c r="H10" i="10"/>
  <c r="M14" i="10"/>
  <c r="Z14" i="10" s="1"/>
  <c r="O21" i="10"/>
  <c r="L21" i="10" s="1"/>
  <c r="N17" i="10"/>
  <c r="H20" i="10"/>
  <c r="H6" i="10"/>
  <c r="O22" i="10"/>
  <c r="L22" i="10" s="1"/>
  <c r="G9" i="10"/>
  <c r="H24" i="10"/>
  <c r="F16" i="10"/>
  <c r="F9" i="10"/>
  <c r="M25" i="10"/>
  <c r="Z25" i="10" s="1"/>
  <c r="S24" i="10"/>
  <c r="N19" i="10"/>
  <c r="N7" i="10"/>
  <c r="N28" i="10"/>
  <c r="N15" i="10"/>
  <c r="N27" i="10"/>
  <c r="S21" i="10"/>
  <c r="F17" i="10"/>
  <c r="G24" i="10"/>
  <c r="H9" i="10"/>
  <c r="N6" i="10"/>
  <c r="I30" i="10"/>
  <c r="I18" i="10"/>
  <c r="I21" i="10"/>
  <c r="I25" i="10"/>
  <c r="I28" i="10"/>
  <c r="I23" i="10"/>
  <c r="I4" i="10"/>
  <c r="I24" i="10"/>
  <c r="I14" i="10"/>
  <c r="I17" i="10"/>
  <c r="I22" i="10"/>
  <c r="I10" i="10"/>
  <c r="I20" i="10"/>
  <c r="I29" i="10"/>
  <c r="I6" i="10"/>
  <c r="I19" i="10"/>
  <c r="I27" i="10"/>
  <c r="I8" i="10"/>
  <c r="I7" i="10"/>
  <c r="I16" i="10"/>
  <c r="I15" i="10"/>
  <c r="I9" i="10"/>
  <c r="M75" i="1"/>
  <c r="K79" i="1"/>
  <c r="AA79" i="1" s="1"/>
  <c r="R77" i="1"/>
  <c r="T77" i="1" s="1"/>
  <c r="M77" i="1"/>
  <c r="R62" i="1"/>
  <c r="T62" i="1" s="1"/>
  <c r="R52" i="1"/>
  <c r="T52" i="1" s="1"/>
  <c r="M43" i="1"/>
  <c r="K38" i="1"/>
  <c r="AA38" i="1" s="1"/>
  <c r="R43" i="1"/>
  <c r="T43" i="1" s="1"/>
  <c r="R38" i="1"/>
  <c r="T38" i="1" s="1"/>
  <c r="O51" i="1"/>
  <c r="P51" i="1" s="1"/>
  <c r="Q51" i="1" s="1"/>
  <c r="S34" i="1"/>
  <c r="O58" i="1"/>
  <c r="P58" i="1" s="1"/>
  <c r="Q58" i="1" s="1"/>
  <c r="K75" i="1"/>
  <c r="AA75" i="1" s="1"/>
  <c r="R79" i="1"/>
  <c r="T79" i="1" s="1"/>
  <c r="K78" i="1"/>
  <c r="AA78" i="1" s="1"/>
  <c r="R78" i="1"/>
  <c r="T78" i="1" s="1"/>
  <c r="S62" i="1"/>
  <c r="M58" i="1"/>
  <c r="K52" i="1"/>
  <c r="AA52" i="1" s="1"/>
  <c r="S51" i="1"/>
  <c r="L47" i="1"/>
  <c r="M62" i="1"/>
  <c r="L76" i="1"/>
  <c r="L52" i="1"/>
  <c r="S76" i="1"/>
  <c r="R75" i="1"/>
  <c r="T75" i="1" s="1"/>
  <c r="M79" i="1"/>
  <c r="S78" i="1"/>
  <c r="O52" i="1"/>
  <c r="P52" i="1" s="1"/>
  <c r="Q52" i="1" s="1"/>
  <c r="S43" i="1"/>
  <c r="L43" i="1"/>
  <c r="O34" i="1"/>
  <c r="P34" i="1" s="1"/>
  <c r="Q34" i="1" s="1"/>
  <c r="K76" i="1"/>
  <c r="AA76" i="1" s="1"/>
  <c r="M76" i="1"/>
  <c r="O77" i="1"/>
  <c r="P77" i="1" s="1"/>
  <c r="Q77" i="1" s="1"/>
  <c r="O78" i="1"/>
  <c r="P78" i="1" s="1"/>
  <c r="Q78" i="1" s="1"/>
  <c r="K62" i="1"/>
  <c r="AA62" i="1" s="1"/>
  <c r="R47" i="1"/>
  <c r="T47" i="1" s="1"/>
  <c r="L34" i="1"/>
  <c r="R51" i="1"/>
  <c r="T51" i="1" s="1"/>
  <c r="M38" i="1"/>
  <c r="R34" i="1"/>
  <c r="O75" i="1"/>
  <c r="P75" i="1" s="1"/>
  <c r="Q75" i="1" s="1"/>
  <c r="L75" i="1"/>
  <c r="M78" i="1"/>
  <c r="S77" i="1"/>
  <c r="L58" i="1"/>
  <c r="O38" i="1"/>
  <c r="P38" i="1" s="1"/>
  <c r="Q38" i="1" s="1"/>
  <c r="S47" i="1"/>
  <c r="O43" i="1"/>
  <c r="P43" i="1" s="1"/>
  <c r="Q43" i="1" s="1"/>
  <c r="S38" i="1"/>
  <c r="M47" i="1"/>
  <c r="K37" i="1"/>
  <c r="AA37" i="1" s="1"/>
  <c r="R37" i="1"/>
  <c r="T37" i="1" s="1"/>
  <c r="M37" i="1"/>
  <c r="M34" i="1"/>
  <c r="R76" i="1"/>
  <c r="T76" i="1" s="1"/>
  <c r="S79" i="1"/>
  <c r="O79" i="1"/>
  <c r="P79" i="1" s="1"/>
  <c r="Q79" i="1" s="1"/>
  <c r="L77" i="1"/>
  <c r="L62" i="1"/>
  <c r="K58" i="1"/>
  <c r="AA58" i="1" s="1"/>
  <c r="R58" i="1"/>
  <c r="T58" i="1" s="1"/>
  <c r="M52" i="1"/>
  <c r="K43" i="1"/>
  <c r="AA43" i="1" s="1"/>
  <c r="S37" i="1"/>
  <c r="O47" i="1"/>
  <c r="P47" i="1" s="1"/>
  <c r="Q47" i="1" s="1"/>
  <c r="M51" i="1"/>
  <c r="O37" i="1"/>
  <c r="P37" i="1" s="1"/>
  <c r="Q37" i="1" s="1"/>
  <c r="K47" i="1"/>
  <c r="AA47" i="1" s="1"/>
  <c r="L51" i="1"/>
  <c r="S75" i="1"/>
  <c r="O76" i="1"/>
  <c r="P76" i="1" s="1"/>
  <c r="Q76" i="1" s="1"/>
  <c r="K77" i="1"/>
  <c r="AA77" i="1" s="1"/>
  <c r="L78" i="1"/>
  <c r="L79" i="1"/>
  <c r="O62" i="1"/>
  <c r="P62" i="1" s="1"/>
  <c r="Q62" i="1" s="1"/>
  <c r="S58" i="1"/>
  <c r="S52" i="1"/>
  <c r="L37" i="1"/>
  <c r="L38" i="1"/>
  <c r="K51" i="1"/>
  <c r="AA51" i="1" s="1"/>
  <c r="K34" i="1"/>
  <c r="AA34" i="1" s="1"/>
  <c r="M74" i="1"/>
  <c r="R74" i="1"/>
  <c r="T74" i="1" s="1"/>
  <c r="L74" i="1"/>
  <c r="K74" i="1"/>
  <c r="AA74" i="1" s="1"/>
  <c r="O74" i="1"/>
  <c r="P74" i="1" s="1"/>
  <c r="Q74" i="1" s="1"/>
  <c r="S74" i="1"/>
  <c r="J425" i="1" l="1"/>
  <c r="X425" i="1"/>
  <c r="Z425" i="1"/>
  <c r="AB425" i="1"/>
  <c r="V425" i="1"/>
  <c r="AA425" i="1"/>
  <c r="W425" i="1"/>
  <c r="V424" i="1"/>
  <c r="AB424" i="1"/>
  <c r="Z424" i="1"/>
  <c r="W424" i="1"/>
  <c r="X424" i="1"/>
  <c r="AA424" i="1"/>
  <c r="J424" i="1"/>
  <c r="V426" i="1"/>
  <c r="AA426" i="1"/>
  <c r="Z426" i="1"/>
  <c r="X426" i="1"/>
  <c r="J426" i="1"/>
  <c r="W426" i="1"/>
  <c r="AB426" i="1"/>
  <c r="J422" i="1"/>
  <c r="AA422" i="1"/>
  <c r="W422" i="1"/>
  <c r="Z422" i="1"/>
  <c r="V422" i="1"/>
  <c r="X422" i="1"/>
  <c r="AB422" i="1"/>
  <c r="X427" i="1"/>
  <c r="W427" i="1"/>
  <c r="Z427" i="1"/>
  <c r="AB427" i="1"/>
  <c r="AA427" i="1"/>
  <c r="J427" i="1"/>
  <c r="V427" i="1"/>
  <c r="X423" i="1"/>
  <c r="AA423" i="1"/>
  <c r="Z423" i="1"/>
  <c r="V423" i="1"/>
  <c r="AB423" i="1"/>
  <c r="J423" i="1"/>
  <c r="W423" i="1"/>
  <c r="J421" i="1"/>
  <c r="V421" i="1"/>
  <c r="AB421" i="1"/>
  <c r="AA421" i="1"/>
  <c r="W421" i="1"/>
  <c r="Z421" i="1"/>
  <c r="X421" i="1"/>
  <c r="AB402" i="1"/>
  <c r="AA419" i="1"/>
  <c r="V419" i="1"/>
  <c r="W419" i="1"/>
  <c r="Z419" i="1"/>
  <c r="J419" i="1"/>
  <c r="AB419" i="1"/>
  <c r="X419" i="1"/>
  <c r="J420" i="1"/>
  <c r="X420" i="1"/>
  <c r="W420" i="1"/>
  <c r="V420" i="1"/>
  <c r="AB420" i="1"/>
  <c r="AA420" i="1"/>
  <c r="Z420" i="1"/>
  <c r="AA410" i="1"/>
  <c r="Z418" i="1"/>
  <c r="V418" i="1"/>
  <c r="AB418" i="1"/>
  <c r="J418" i="1"/>
  <c r="W418" i="1"/>
  <c r="X418" i="1"/>
  <c r="AA418" i="1"/>
  <c r="J417" i="1"/>
  <c r="V417" i="1"/>
  <c r="AA417" i="1"/>
  <c r="W417" i="1"/>
  <c r="AB417" i="1"/>
  <c r="Z417" i="1"/>
  <c r="X417" i="1"/>
  <c r="J416" i="1"/>
  <c r="AA416" i="1"/>
  <c r="W416" i="1"/>
  <c r="AB416" i="1"/>
  <c r="X416" i="1"/>
  <c r="Z416" i="1"/>
  <c r="V416" i="1"/>
  <c r="J415" i="1"/>
  <c r="V415" i="1"/>
  <c r="X415" i="1"/>
  <c r="AA415" i="1"/>
  <c r="Z415" i="1"/>
  <c r="W415" i="1"/>
  <c r="AB415" i="1"/>
  <c r="W412" i="1"/>
  <c r="AB412" i="1"/>
  <c r="J412" i="1"/>
  <c r="Z412" i="1"/>
  <c r="X412" i="1"/>
  <c r="V412" i="1"/>
  <c r="AA412" i="1"/>
  <c r="J414" i="1"/>
  <c r="W414" i="1"/>
  <c r="AB414" i="1"/>
  <c r="Z414" i="1"/>
  <c r="X414" i="1"/>
  <c r="V414" i="1"/>
  <c r="AA414" i="1"/>
  <c r="J413" i="1"/>
  <c r="Z413" i="1"/>
  <c r="AA413" i="1"/>
  <c r="W413" i="1"/>
  <c r="X413" i="1"/>
  <c r="AB413" i="1"/>
  <c r="V413" i="1"/>
  <c r="W410" i="1"/>
  <c r="Z410" i="1"/>
  <c r="V410" i="1"/>
  <c r="AB410" i="1"/>
  <c r="J410" i="1"/>
  <c r="X410" i="1"/>
  <c r="X411" i="1"/>
  <c r="AA411" i="1"/>
  <c r="V411" i="1"/>
  <c r="AB411" i="1"/>
  <c r="J411" i="1"/>
  <c r="W411" i="1"/>
  <c r="Z411" i="1"/>
  <c r="J409" i="1"/>
  <c r="Z409" i="1"/>
  <c r="AB409" i="1"/>
  <c r="X409" i="1"/>
  <c r="W409" i="1"/>
  <c r="V409" i="1"/>
  <c r="AA409" i="1"/>
  <c r="J407" i="1"/>
  <c r="V407" i="1"/>
  <c r="W407" i="1"/>
  <c r="X407" i="1"/>
  <c r="Z407" i="1"/>
  <c r="AA407" i="1"/>
  <c r="AB407" i="1"/>
  <c r="J405" i="1"/>
  <c r="V405" i="1"/>
  <c r="W405" i="1"/>
  <c r="X405" i="1"/>
  <c r="Z405" i="1"/>
  <c r="AA405" i="1"/>
  <c r="AB405" i="1"/>
  <c r="J403" i="1"/>
  <c r="V403" i="1"/>
  <c r="W403" i="1"/>
  <c r="X403" i="1"/>
  <c r="Z403" i="1"/>
  <c r="AA403" i="1"/>
  <c r="AB403" i="1"/>
  <c r="J404" i="1"/>
  <c r="V404" i="1"/>
  <c r="W404" i="1"/>
  <c r="X404" i="1"/>
  <c r="Z404" i="1"/>
  <c r="AA404" i="1"/>
  <c r="AB404" i="1"/>
  <c r="J408" i="1"/>
  <c r="V408" i="1"/>
  <c r="W408" i="1"/>
  <c r="X408" i="1"/>
  <c r="Z408" i="1"/>
  <c r="AA408" i="1"/>
  <c r="AB408" i="1"/>
  <c r="J406" i="1"/>
  <c r="V406" i="1"/>
  <c r="W406" i="1"/>
  <c r="X406" i="1"/>
  <c r="Z406" i="1"/>
  <c r="AA406" i="1"/>
  <c r="AB406" i="1"/>
  <c r="J398" i="1"/>
  <c r="V398" i="1"/>
  <c r="W398" i="1"/>
  <c r="X398" i="1"/>
  <c r="Z398" i="1"/>
  <c r="AA398" i="1"/>
  <c r="AB398" i="1"/>
  <c r="J401" i="1"/>
  <c r="V401" i="1"/>
  <c r="W401" i="1"/>
  <c r="X401" i="1"/>
  <c r="Z401" i="1"/>
  <c r="AA401" i="1"/>
  <c r="AB401" i="1"/>
  <c r="J399" i="1"/>
  <c r="V399" i="1"/>
  <c r="W399" i="1"/>
  <c r="X399" i="1"/>
  <c r="Z399" i="1"/>
  <c r="AA399" i="1"/>
  <c r="AB399" i="1"/>
  <c r="J396" i="1"/>
  <c r="V396" i="1"/>
  <c r="W396" i="1"/>
  <c r="X396" i="1"/>
  <c r="Z396" i="1"/>
  <c r="AA396" i="1"/>
  <c r="AB396" i="1"/>
  <c r="J402" i="1"/>
  <c r="V402" i="1"/>
  <c r="W402" i="1"/>
  <c r="X402" i="1"/>
  <c r="Z402" i="1"/>
  <c r="AA402" i="1"/>
  <c r="J400" i="1"/>
  <c r="V400" i="1"/>
  <c r="W400" i="1"/>
  <c r="X400" i="1"/>
  <c r="Z400" i="1"/>
  <c r="AA400" i="1"/>
  <c r="AB400" i="1"/>
  <c r="J397" i="1"/>
  <c r="V397" i="1"/>
  <c r="W397" i="1"/>
  <c r="X397" i="1"/>
  <c r="Z397" i="1"/>
  <c r="AA397" i="1"/>
  <c r="AB397" i="1"/>
  <c r="J394" i="1"/>
  <c r="V394" i="1"/>
  <c r="W394" i="1"/>
  <c r="X394" i="1"/>
  <c r="Z394" i="1"/>
  <c r="AA394" i="1"/>
  <c r="AB394" i="1"/>
  <c r="J395" i="1"/>
  <c r="V395" i="1"/>
  <c r="W395" i="1"/>
  <c r="X395" i="1"/>
  <c r="Z395" i="1"/>
  <c r="AA395" i="1"/>
  <c r="AB395" i="1"/>
  <c r="V391" i="1"/>
  <c r="V392" i="1"/>
  <c r="V393" i="1"/>
  <c r="J390" i="1"/>
  <c r="V390" i="1"/>
  <c r="W390" i="1"/>
  <c r="X390" i="1"/>
  <c r="Z390" i="1"/>
  <c r="AA390" i="1"/>
  <c r="AB390" i="1"/>
  <c r="J391" i="1"/>
  <c r="W391" i="1"/>
  <c r="X391" i="1"/>
  <c r="Z391" i="1"/>
  <c r="AA391" i="1"/>
  <c r="AB391" i="1"/>
  <c r="J392" i="1"/>
  <c r="W392" i="1"/>
  <c r="X392" i="1"/>
  <c r="Z392" i="1"/>
  <c r="AA392" i="1"/>
  <c r="AB392" i="1"/>
  <c r="J393" i="1"/>
  <c r="W393" i="1"/>
  <c r="X393" i="1"/>
  <c r="Z393" i="1"/>
  <c r="AA393" i="1"/>
  <c r="AB393" i="1"/>
  <c r="J388" i="1"/>
  <c r="V388" i="1"/>
  <c r="W388" i="1"/>
  <c r="X388" i="1"/>
  <c r="Z388" i="1"/>
  <c r="AA388" i="1"/>
  <c r="AB388" i="1"/>
  <c r="J389" i="1"/>
  <c r="V389" i="1"/>
  <c r="W389" i="1"/>
  <c r="X389" i="1"/>
  <c r="Z389" i="1"/>
  <c r="AA389" i="1"/>
  <c r="AB389" i="1"/>
  <c r="J385" i="1"/>
  <c r="V385" i="1"/>
  <c r="W385" i="1"/>
  <c r="X385" i="1"/>
  <c r="Z385" i="1"/>
  <c r="AA385" i="1"/>
  <c r="AB385" i="1"/>
  <c r="J387" i="1"/>
  <c r="V387" i="1"/>
  <c r="W387" i="1"/>
  <c r="X387" i="1"/>
  <c r="Z387" i="1"/>
  <c r="AA387" i="1"/>
  <c r="AB387" i="1"/>
  <c r="J384" i="1"/>
  <c r="V384" i="1"/>
  <c r="W384" i="1"/>
  <c r="X384" i="1"/>
  <c r="Z384" i="1"/>
  <c r="AA384" i="1"/>
  <c r="AB384" i="1"/>
  <c r="J382" i="1"/>
  <c r="V382" i="1"/>
  <c r="W382" i="1"/>
  <c r="X382" i="1"/>
  <c r="Z382" i="1"/>
  <c r="AA382" i="1"/>
  <c r="AB382" i="1"/>
  <c r="J386" i="1"/>
  <c r="V386" i="1"/>
  <c r="W386" i="1"/>
  <c r="X386" i="1"/>
  <c r="Z386" i="1"/>
  <c r="AA386" i="1"/>
  <c r="AB386" i="1"/>
  <c r="J383" i="1"/>
  <c r="V383" i="1"/>
  <c r="W383" i="1"/>
  <c r="X383" i="1"/>
  <c r="Z383" i="1"/>
  <c r="AA383" i="1"/>
  <c r="AB383" i="1"/>
  <c r="J380" i="1"/>
  <c r="W380" i="1"/>
  <c r="Z380" i="1"/>
  <c r="X380" i="1"/>
  <c r="V380" i="1"/>
  <c r="AA380" i="1"/>
  <c r="AB380" i="1"/>
  <c r="J379" i="1"/>
  <c r="V379" i="1"/>
  <c r="X379" i="1"/>
  <c r="W379" i="1"/>
  <c r="AB379" i="1"/>
  <c r="AA379" i="1"/>
  <c r="Z379" i="1"/>
  <c r="J377" i="1"/>
  <c r="AB377" i="1"/>
  <c r="X377" i="1"/>
  <c r="AA377" i="1"/>
  <c r="Z377" i="1"/>
  <c r="W377" i="1"/>
  <c r="V377" i="1"/>
  <c r="J378" i="1"/>
  <c r="V378" i="1"/>
  <c r="AA378" i="1"/>
  <c r="Z378" i="1"/>
  <c r="AB378" i="1"/>
  <c r="W378" i="1"/>
  <c r="X378" i="1"/>
  <c r="J376" i="1"/>
  <c r="AB376" i="1"/>
  <c r="V376" i="1"/>
  <c r="X376" i="1"/>
  <c r="AA376" i="1"/>
  <c r="Z376" i="1"/>
  <c r="W376" i="1"/>
  <c r="J381" i="1"/>
  <c r="X381" i="1"/>
  <c r="AA381" i="1"/>
  <c r="W381" i="1"/>
  <c r="Z381" i="1"/>
  <c r="V381" i="1"/>
  <c r="AB381" i="1"/>
  <c r="J374" i="1"/>
  <c r="AB374" i="1"/>
  <c r="V374" i="1"/>
  <c r="Z374" i="1"/>
  <c r="X374" i="1"/>
  <c r="AA374" i="1"/>
  <c r="W374" i="1"/>
  <c r="J372" i="1"/>
  <c r="V372" i="1"/>
  <c r="X372" i="1"/>
  <c r="AB372" i="1"/>
  <c r="Z372" i="1"/>
  <c r="W372" i="1"/>
  <c r="AA372" i="1"/>
  <c r="V375" i="1"/>
  <c r="AB375" i="1"/>
  <c r="X375" i="1"/>
  <c r="W375" i="1"/>
  <c r="AA375" i="1"/>
  <c r="Z375" i="1"/>
  <c r="J375" i="1"/>
  <c r="Z371" i="1"/>
  <c r="X371" i="1"/>
  <c r="AA371" i="1"/>
  <c r="AB371" i="1"/>
  <c r="J371" i="1"/>
  <c r="V371" i="1"/>
  <c r="W371" i="1"/>
  <c r="J373" i="1"/>
  <c r="Z373" i="1"/>
  <c r="X373" i="1"/>
  <c r="V373" i="1"/>
  <c r="W373" i="1"/>
  <c r="AA373" i="1"/>
  <c r="AB373" i="1"/>
  <c r="X368" i="1"/>
  <c r="AA368" i="1"/>
  <c r="Z368" i="1"/>
  <c r="W368" i="1"/>
  <c r="V368" i="1"/>
  <c r="AB368" i="1"/>
  <c r="J368" i="1"/>
  <c r="J370" i="1"/>
  <c r="AA370" i="1"/>
  <c r="V370" i="1"/>
  <c r="X370" i="1"/>
  <c r="AB370" i="1"/>
  <c r="W370" i="1"/>
  <c r="Z370" i="1"/>
  <c r="V369" i="1"/>
  <c r="AA369" i="1"/>
  <c r="AB369" i="1"/>
  <c r="X369" i="1"/>
  <c r="Z369" i="1"/>
  <c r="W369" i="1"/>
  <c r="J369" i="1"/>
  <c r="AB357" i="1"/>
  <c r="Z357" i="1"/>
  <c r="J357" i="1"/>
  <c r="X357" i="1"/>
  <c r="W357" i="1"/>
  <c r="V357" i="1"/>
  <c r="AA357" i="1"/>
  <c r="J367" i="1"/>
  <c r="W367" i="1"/>
  <c r="X367" i="1"/>
  <c r="AA367" i="1"/>
  <c r="AB367" i="1"/>
  <c r="V367" i="1"/>
  <c r="Z367" i="1"/>
  <c r="AB364" i="1"/>
  <c r="X364" i="1"/>
  <c r="Z364" i="1"/>
  <c r="J364" i="1"/>
  <c r="V364" i="1"/>
  <c r="AA364" i="1"/>
  <c r="W364" i="1"/>
  <c r="V362" i="1"/>
  <c r="W362" i="1"/>
  <c r="AA362" i="1"/>
  <c r="Z362" i="1"/>
  <c r="AB362" i="1"/>
  <c r="X362" i="1"/>
  <c r="J362" i="1"/>
  <c r="J365" i="1"/>
  <c r="AB365" i="1"/>
  <c r="W365" i="1"/>
  <c r="V365" i="1"/>
  <c r="AA365" i="1"/>
  <c r="X365" i="1"/>
  <c r="Z365" i="1"/>
  <c r="V366" i="1"/>
  <c r="J366" i="1"/>
  <c r="Z366" i="1"/>
  <c r="AB366" i="1"/>
  <c r="AA366" i="1"/>
  <c r="W366" i="1"/>
  <c r="X366" i="1"/>
  <c r="AB363" i="1"/>
  <c r="W363" i="1"/>
  <c r="Z363" i="1"/>
  <c r="J363" i="1"/>
  <c r="V363" i="1"/>
  <c r="AA363" i="1"/>
  <c r="X363" i="1"/>
  <c r="J358" i="1"/>
  <c r="V358" i="1"/>
  <c r="W358" i="1"/>
  <c r="X358" i="1"/>
  <c r="Z358" i="1"/>
  <c r="AA358" i="1"/>
  <c r="AB358" i="1"/>
  <c r="J359" i="1"/>
  <c r="V359" i="1"/>
  <c r="W359" i="1"/>
  <c r="X359" i="1"/>
  <c r="Z359" i="1"/>
  <c r="AA359" i="1"/>
  <c r="AB359" i="1"/>
  <c r="J360" i="1"/>
  <c r="V360" i="1"/>
  <c r="W360" i="1"/>
  <c r="X360" i="1"/>
  <c r="Z360" i="1"/>
  <c r="AA360" i="1"/>
  <c r="AB360" i="1"/>
  <c r="J361" i="1"/>
  <c r="V361" i="1"/>
  <c r="W361" i="1"/>
  <c r="X361" i="1"/>
  <c r="Z361" i="1"/>
  <c r="AA361" i="1"/>
  <c r="AB361" i="1"/>
  <c r="J353" i="1"/>
  <c r="V353" i="1"/>
  <c r="W353" i="1"/>
  <c r="X353" i="1"/>
  <c r="Z353" i="1"/>
  <c r="AA353" i="1"/>
  <c r="AB353" i="1"/>
  <c r="J354" i="1"/>
  <c r="V354" i="1"/>
  <c r="W354" i="1"/>
  <c r="X354" i="1"/>
  <c r="Z354" i="1"/>
  <c r="AA354" i="1"/>
  <c r="AB354" i="1"/>
  <c r="J355" i="1"/>
  <c r="V355" i="1"/>
  <c r="W355" i="1"/>
  <c r="X355" i="1"/>
  <c r="Z355" i="1"/>
  <c r="AA355" i="1"/>
  <c r="AB355" i="1"/>
  <c r="J356" i="1"/>
  <c r="V356" i="1"/>
  <c r="W356" i="1"/>
  <c r="X356" i="1"/>
  <c r="Z356" i="1"/>
  <c r="AA356" i="1"/>
  <c r="AB356" i="1"/>
  <c r="J338" i="1"/>
  <c r="V338" i="1"/>
  <c r="W338" i="1"/>
  <c r="X338" i="1"/>
  <c r="Z338" i="1"/>
  <c r="AA338" i="1"/>
  <c r="AB338" i="1"/>
  <c r="J325" i="1"/>
  <c r="V325" i="1"/>
  <c r="W325" i="1"/>
  <c r="X325" i="1"/>
  <c r="Z325" i="1"/>
  <c r="AA325" i="1"/>
  <c r="AB325" i="1"/>
  <c r="J351" i="1"/>
  <c r="V351" i="1"/>
  <c r="W351" i="1"/>
  <c r="X351" i="1"/>
  <c r="Z351" i="1"/>
  <c r="AA351" i="1"/>
  <c r="AB351" i="1"/>
  <c r="J352" i="1"/>
  <c r="V352" i="1"/>
  <c r="W352" i="1"/>
  <c r="X352" i="1"/>
  <c r="Z352" i="1"/>
  <c r="AA352" i="1"/>
  <c r="AB352" i="1"/>
  <c r="J348" i="1"/>
  <c r="V348" i="1"/>
  <c r="W348" i="1"/>
  <c r="X348" i="1"/>
  <c r="Z348" i="1"/>
  <c r="AA348" i="1"/>
  <c r="AB348" i="1"/>
  <c r="J349" i="1"/>
  <c r="V349" i="1"/>
  <c r="W349" i="1"/>
  <c r="X349" i="1"/>
  <c r="Z349" i="1"/>
  <c r="AA349" i="1"/>
  <c r="AB349" i="1"/>
  <c r="J350" i="1"/>
  <c r="V350" i="1"/>
  <c r="W350" i="1"/>
  <c r="X350" i="1"/>
  <c r="Z350" i="1"/>
  <c r="AA350" i="1"/>
  <c r="AB350" i="1"/>
  <c r="J346" i="1"/>
  <c r="V346" i="1"/>
  <c r="W346" i="1"/>
  <c r="X346" i="1"/>
  <c r="Z346" i="1"/>
  <c r="AA346" i="1"/>
  <c r="AB346" i="1"/>
  <c r="J347" i="1"/>
  <c r="V347" i="1"/>
  <c r="W347" i="1"/>
  <c r="X347" i="1"/>
  <c r="Z347" i="1"/>
  <c r="AA347" i="1"/>
  <c r="AB347" i="1"/>
  <c r="J344" i="1"/>
  <c r="V344" i="1"/>
  <c r="AA344" i="1"/>
  <c r="AB344" i="1"/>
  <c r="X344" i="1"/>
  <c r="W344" i="1"/>
  <c r="Z344" i="1"/>
  <c r="J345" i="1"/>
  <c r="AB345" i="1"/>
  <c r="AA345" i="1"/>
  <c r="X345" i="1"/>
  <c r="W345" i="1"/>
  <c r="V345" i="1"/>
  <c r="Z345" i="1"/>
  <c r="W343" i="1"/>
  <c r="AA343" i="1"/>
  <c r="J343" i="1"/>
  <c r="V343" i="1"/>
  <c r="AB343" i="1"/>
  <c r="Z343" i="1"/>
  <c r="X343" i="1"/>
  <c r="J329" i="1"/>
  <c r="V329" i="1"/>
  <c r="W329" i="1"/>
  <c r="X329" i="1"/>
  <c r="Z329" i="1"/>
  <c r="AA329" i="1"/>
  <c r="AB329" i="1"/>
  <c r="J326" i="1"/>
  <c r="V326" i="1"/>
  <c r="W326" i="1"/>
  <c r="X326" i="1"/>
  <c r="AA326" i="1"/>
  <c r="AB326" i="1"/>
  <c r="Z326" i="1"/>
  <c r="J324" i="1"/>
  <c r="V324" i="1"/>
  <c r="W324" i="1"/>
  <c r="X324" i="1"/>
  <c r="AA324" i="1"/>
  <c r="AB324" i="1"/>
  <c r="Z324" i="1"/>
  <c r="J328" i="1"/>
  <c r="V328" i="1"/>
  <c r="W328" i="1"/>
  <c r="X328" i="1"/>
  <c r="AA328" i="1"/>
  <c r="AB328" i="1"/>
  <c r="Z328" i="1"/>
  <c r="J327" i="1"/>
  <c r="V327" i="1"/>
  <c r="W327" i="1"/>
  <c r="X327" i="1"/>
  <c r="AA327" i="1"/>
  <c r="AB327" i="1"/>
  <c r="Z327" i="1"/>
  <c r="J340" i="1"/>
  <c r="W340" i="1"/>
  <c r="X340" i="1"/>
  <c r="V340" i="1"/>
  <c r="AB340" i="1"/>
  <c r="Z340" i="1"/>
  <c r="AA340" i="1"/>
  <c r="AA342" i="1"/>
  <c r="X342" i="1"/>
  <c r="Z342" i="1"/>
  <c r="AB342" i="1"/>
  <c r="W342" i="1"/>
  <c r="V342" i="1"/>
  <c r="J342" i="1"/>
  <c r="V331" i="1"/>
  <c r="J331" i="1"/>
  <c r="AB331" i="1"/>
  <c r="AA331" i="1"/>
  <c r="W331" i="1"/>
  <c r="Z331" i="1"/>
  <c r="X331" i="1"/>
  <c r="J339" i="1"/>
  <c r="W339" i="1"/>
  <c r="X339" i="1"/>
  <c r="V339" i="1"/>
  <c r="Z339" i="1"/>
  <c r="AA339" i="1"/>
  <c r="AB339" i="1"/>
  <c r="J335" i="1"/>
  <c r="AB335" i="1"/>
  <c r="AA335" i="1"/>
  <c r="Z335" i="1"/>
  <c r="X335" i="1"/>
  <c r="W335" i="1"/>
  <c r="V335" i="1"/>
  <c r="J334" i="1"/>
  <c r="W334" i="1"/>
  <c r="X334" i="1"/>
  <c r="AA334" i="1"/>
  <c r="Z334" i="1"/>
  <c r="V334" i="1"/>
  <c r="AB334" i="1"/>
  <c r="J332" i="1"/>
  <c r="Z332" i="1"/>
  <c r="AB332" i="1"/>
  <c r="W332" i="1"/>
  <c r="V332" i="1"/>
  <c r="X332" i="1"/>
  <c r="AA332" i="1"/>
  <c r="W333" i="1"/>
  <c r="Z333" i="1"/>
  <c r="V333" i="1"/>
  <c r="J333" i="1"/>
  <c r="AA333" i="1"/>
  <c r="X333" i="1"/>
  <c r="AB333" i="1"/>
  <c r="J341" i="1"/>
  <c r="W341" i="1"/>
  <c r="AB341" i="1"/>
  <c r="Z341" i="1"/>
  <c r="AA341" i="1"/>
  <c r="V341" i="1"/>
  <c r="X341" i="1"/>
  <c r="V336" i="1"/>
  <c r="Z336" i="1"/>
  <c r="AB336" i="1"/>
  <c r="X336" i="1"/>
  <c r="AA336" i="1"/>
  <c r="J336" i="1"/>
  <c r="W336" i="1"/>
  <c r="J337" i="1"/>
  <c r="Z337" i="1"/>
  <c r="AB337" i="1"/>
  <c r="AA337" i="1"/>
  <c r="X337" i="1"/>
  <c r="V337" i="1"/>
  <c r="W337" i="1"/>
  <c r="Z290" i="1"/>
  <c r="AB290" i="1"/>
  <c r="J290" i="1"/>
  <c r="X290" i="1"/>
  <c r="AA290" i="1"/>
  <c r="W290" i="1"/>
  <c r="V290" i="1"/>
  <c r="J286" i="1"/>
  <c r="Z286" i="1"/>
  <c r="X286" i="1"/>
  <c r="W286" i="1"/>
  <c r="V286" i="1"/>
  <c r="AB286" i="1"/>
  <c r="AA286" i="1"/>
  <c r="J320" i="1"/>
  <c r="AB320" i="1"/>
  <c r="X320" i="1"/>
  <c r="Z320" i="1"/>
  <c r="AA320" i="1"/>
  <c r="V320" i="1"/>
  <c r="W320" i="1"/>
  <c r="J319" i="1"/>
  <c r="W319" i="1"/>
  <c r="Z319" i="1"/>
  <c r="AB319" i="1"/>
  <c r="X319" i="1"/>
  <c r="V319" i="1"/>
  <c r="AA319" i="1"/>
  <c r="AB321" i="1"/>
  <c r="X321" i="1"/>
  <c r="J321" i="1"/>
  <c r="W321" i="1"/>
  <c r="V321" i="1"/>
  <c r="Z321" i="1"/>
  <c r="AA321" i="1"/>
  <c r="J323" i="1"/>
  <c r="V323" i="1"/>
  <c r="W323" i="1"/>
  <c r="X323" i="1"/>
  <c r="AB323" i="1"/>
  <c r="AA323" i="1"/>
  <c r="Z323" i="1"/>
  <c r="J322" i="1"/>
  <c r="X322" i="1"/>
  <c r="AB322" i="1"/>
  <c r="AA322" i="1"/>
  <c r="Z322" i="1"/>
  <c r="W322" i="1"/>
  <c r="V322" i="1"/>
  <c r="X318" i="1"/>
  <c r="V318" i="1"/>
  <c r="Z318" i="1"/>
  <c r="J318" i="1"/>
  <c r="W318" i="1"/>
  <c r="AA318" i="1"/>
  <c r="AB318" i="1"/>
  <c r="Z300" i="1"/>
  <c r="AB300" i="1"/>
  <c r="AA300" i="1"/>
  <c r="X300" i="1"/>
  <c r="W300" i="1"/>
  <c r="V300" i="1"/>
  <c r="J300" i="1"/>
  <c r="J330" i="1"/>
  <c r="AA330" i="1"/>
  <c r="X330" i="1"/>
  <c r="AB330" i="1"/>
  <c r="W330" i="1"/>
  <c r="V330" i="1"/>
  <c r="Z330" i="1"/>
  <c r="J316" i="1"/>
  <c r="W316" i="1"/>
  <c r="AB316" i="1"/>
  <c r="AA316" i="1"/>
  <c r="X316" i="1"/>
  <c r="V316" i="1"/>
  <c r="Z316" i="1"/>
  <c r="J317" i="1"/>
  <c r="AA317" i="1"/>
  <c r="X317" i="1"/>
  <c r="W317" i="1"/>
  <c r="AB317" i="1"/>
  <c r="V317" i="1"/>
  <c r="Z317" i="1"/>
  <c r="J314" i="1"/>
  <c r="V314" i="1"/>
  <c r="W314" i="1"/>
  <c r="X314" i="1"/>
  <c r="Z314" i="1"/>
  <c r="AA314" i="1"/>
  <c r="AB314" i="1"/>
  <c r="J315" i="1"/>
  <c r="V315" i="1"/>
  <c r="W315" i="1"/>
  <c r="X315" i="1"/>
  <c r="Z315" i="1"/>
  <c r="AA315" i="1"/>
  <c r="AB315" i="1"/>
  <c r="J313" i="1"/>
  <c r="V313" i="1"/>
  <c r="W313" i="1"/>
  <c r="X313" i="1"/>
  <c r="Z313" i="1"/>
  <c r="AA313" i="1"/>
  <c r="AB313" i="1"/>
  <c r="J312" i="1"/>
  <c r="V312" i="1"/>
  <c r="W312" i="1"/>
  <c r="X312" i="1"/>
  <c r="Z312" i="1"/>
  <c r="AA312" i="1"/>
  <c r="AB312" i="1"/>
  <c r="J311" i="1"/>
  <c r="V311" i="1"/>
  <c r="W311" i="1"/>
  <c r="X311" i="1"/>
  <c r="Z311" i="1"/>
  <c r="AA311" i="1"/>
  <c r="AB311" i="1"/>
  <c r="J309" i="1"/>
  <c r="V309" i="1"/>
  <c r="W309" i="1"/>
  <c r="X309" i="1"/>
  <c r="AA309" i="1"/>
  <c r="AB309" i="1"/>
  <c r="Z309" i="1"/>
  <c r="J308" i="1"/>
  <c r="V308" i="1"/>
  <c r="W308" i="1"/>
  <c r="X308" i="1"/>
  <c r="AA308" i="1"/>
  <c r="AB308" i="1"/>
  <c r="Z308" i="1"/>
  <c r="J310" i="1"/>
  <c r="V310" i="1"/>
  <c r="W310" i="1"/>
  <c r="X310" i="1"/>
  <c r="AA310" i="1"/>
  <c r="AB310" i="1"/>
  <c r="Z310" i="1"/>
  <c r="J307" i="1"/>
  <c r="V307" i="1"/>
  <c r="W307" i="1"/>
  <c r="X307" i="1"/>
  <c r="Z307" i="1"/>
  <c r="AA307" i="1"/>
  <c r="AB307" i="1"/>
  <c r="J301" i="1"/>
  <c r="AB301" i="1"/>
  <c r="AA301" i="1"/>
  <c r="X301" i="1"/>
  <c r="W301" i="1"/>
  <c r="V301" i="1"/>
  <c r="Z301" i="1"/>
  <c r="J302" i="1"/>
  <c r="AB302" i="1"/>
  <c r="AA302" i="1"/>
  <c r="X302" i="1"/>
  <c r="W302" i="1"/>
  <c r="V302" i="1"/>
  <c r="Z302" i="1"/>
  <c r="J303" i="1"/>
  <c r="AB303" i="1"/>
  <c r="AA303" i="1"/>
  <c r="Z303" i="1"/>
  <c r="X303" i="1"/>
  <c r="W303" i="1"/>
  <c r="V303" i="1"/>
  <c r="J304" i="1"/>
  <c r="AB304" i="1"/>
  <c r="AA304" i="1"/>
  <c r="Z304" i="1"/>
  <c r="X304" i="1"/>
  <c r="W304" i="1"/>
  <c r="V304" i="1"/>
  <c r="J305" i="1"/>
  <c r="AB305" i="1"/>
  <c r="AA305" i="1"/>
  <c r="X305" i="1"/>
  <c r="W305" i="1"/>
  <c r="V305" i="1"/>
  <c r="Z305" i="1"/>
  <c r="J306" i="1"/>
  <c r="AB306" i="1"/>
  <c r="AA306" i="1"/>
  <c r="X306" i="1"/>
  <c r="W306" i="1"/>
  <c r="V306" i="1"/>
  <c r="Z306" i="1"/>
  <c r="X298" i="1"/>
  <c r="W298" i="1"/>
  <c r="V298" i="1"/>
  <c r="AB298" i="1"/>
  <c r="J298" i="1"/>
  <c r="AA298" i="1"/>
  <c r="Z298" i="1"/>
  <c r="J299" i="1"/>
  <c r="W299" i="1"/>
  <c r="AB299" i="1"/>
  <c r="AA299" i="1"/>
  <c r="X299" i="1"/>
  <c r="V299" i="1"/>
  <c r="Z299" i="1"/>
  <c r="J296" i="1"/>
  <c r="AB296" i="1"/>
  <c r="V296" i="1"/>
  <c r="Z296" i="1"/>
  <c r="X296" i="1"/>
  <c r="AA296" i="1"/>
  <c r="W296" i="1"/>
  <c r="J295" i="1"/>
  <c r="AA295" i="1"/>
  <c r="X295" i="1"/>
  <c r="AB295" i="1"/>
  <c r="V295" i="1"/>
  <c r="Z295" i="1"/>
  <c r="W295" i="1"/>
  <c r="J297" i="1"/>
  <c r="X297" i="1"/>
  <c r="AA297" i="1"/>
  <c r="V297" i="1"/>
  <c r="AB297" i="1"/>
  <c r="W297" i="1"/>
  <c r="Z297" i="1"/>
  <c r="J294" i="1"/>
  <c r="W294" i="1"/>
  <c r="X294" i="1"/>
  <c r="AA294" i="1"/>
  <c r="V294" i="1"/>
  <c r="Z294" i="1"/>
  <c r="AB294" i="1"/>
  <c r="J292" i="1"/>
  <c r="Z292" i="1"/>
  <c r="AB292" i="1"/>
  <c r="V292" i="1"/>
  <c r="X292" i="1"/>
  <c r="AA292" i="1"/>
  <c r="W292" i="1"/>
  <c r="J293" i="1"/>
  <c r="W293" i="1"/>
  <c r="Z293" i="1"/>
  <c r="AB293" i="1"/>
  <c r="V293" i="1"/>
  <c r="X293" i="1"/>
  <c r="AA293" i="1"/>
  <c r="J291" i="1"/>
  <c r="AA291" i="1"/>
  <c r="W291" i="1"/>
  <c r="V291" i="1"/>
  <c r="X291" i="1"/>
  <c r="Z291" i="1"/>
  <c r="AB291" i="1"/>
  <c r="W281" i="1"/>
  <c r="Z281" i="1"/>
  <c r="AA281" i="1"/>
  <c r="AB281" i="1"/>
  <c r="X281" i="1"/>
  <c r="J281" i="1"/>
  <c r="V281" i="1"/>
  <c r="W289" i="1"/>
  <c r="AA289" i="1"/>
  <c r="AB289" i="1"/>
  <c r="Z289" i="1"/>
  <c r="X289" i="1"/>
  <c r="V289" i="1"/>
  <c r="J289" i="1"/>
  <c r="AB288" i="1"/>
  <c r="W288" i="1"/>
  <c r="X288" i="1"/>
  <c r="V288" i="1"/>
  <c r="Z288" i="1"/>
  <c r="AA288" i="1"/>
  <c r="J288" i="1"/>
  <c r="J282" i="1"/>
  <c r="Z282" i="1"/>
  <c r="X282" i="1"/>
  <c r="V282" i="1"/>
  <c r="AA282" i="1"/>
  <c r="AB282" i="1"/>
  <c r="W282" i="1"/>
  <c r="AB279" i="1"/>
  <c r="AA279" i="1"/>
  <c r="X279" i="1"/>
  <c r="W279" i="1"/>
  <c r="V279" i="1"/>
  <c r="Z279" i="1"/>
  <c r="J279" i="1"/>
  <c r="AB287" i="1"/>
  <c r="W287" i="1"/>
  <c r="V287" i="1"/>
  <c r="J287" i="1"/>
  <c r="X287" i="1"/>
  <c r="Z287" i="1"/>
  <c r="AA287" i="1"/>
  <c r="Z284" i="1"/>
  <c r="J284" i="1"/>
  <c r="AB284" i="1"/>
  <c r="W284" i="1"/>
  <c r="X284" i="1"/>
  <c r="V284" i="1"/>
  <c r="AA284" i="1"/>
  <c r="AA280" i="1"/>
  <c r="AB280" i="1"/>
  <c r="W280" i="1"/>
  <c r="V280" i="1"/>
  <c r="X280" i="1"/>
  <c r="Z280" i="1"/>
  <c r="J280" i="1"/>
  <c r="V283" i="1"/>
  <c r="Z283" i="1"/>
  <c r="X283" i="1"/>
  <c r="J283" i="1"/>
  <c r="AA283" i="1"/>
  <c r="AB283" i="1"/>
  <c r="W283" i="1"/>
  <c r="J285" i="1"/>
  <c r="X285" i="1"/>
  <c r="V285" i="1"/>
  <c r="AA285" i="1"/>
  <c r="AB285" i="1"/>
  <c r="W285" i="1"/>
  <c r="Z285" i="1"/>
  <c r="J278" i="1"/>
  <c r="AA278" i="1"/>
  <c r="W278" i="1"/>
  <c r="V278" i="1"/>
  <c r="Z278" i="1"/>
  <c r="X278" i="1"/>
  <c r="Z277" i="1"/>
  <c r="V277" i="1"/>
  <c r="X277" i="1"/>
  <c r="AA277" i="1"/>
  <c r="W277" i="1"/>
  <c r="J277" i="1"/>
  <c r="Z276" i="1"/>
  <c r="V276" i="1"/>
  <c r="AA276" i="1"/>
  <c r="W276" i="1"/>
  <c r="J276" i="1"/>
  <c r="X276" i="1"/>
  <c r="J273" i="1"/>
  <c r="V273" i="1"/>
  <c r="AB273" i="1"/>
  <c r="X273" i="1"/>
  <c r="AA273" i="1"/>
  <c r="W273" i="1"/>
  <c r="Z273" i="1"/>
  <c r="J274" i="1"/>
  <c r="X274" i="1"/>
  <c r="AA274" i="1"/>
  <c r="V274" i="1"/>
  <c r="Z274" i="1"/>
  <c r="AB274" i="1"/>
  <c r="W274" i="1"/>
  <c r="J275" i="1"/>
  <c r="X275" i="1"/>
  <c r="AB275" i="1"/>
  <c r="AA275" i="1"/>
  <c r="V275" i="1"/>
  <c r="W275" i="1"/>
  <c r="Z275" i="1"/>
  <c r="V272" i="1"/>
  <c r="J272" i="1"/>
  <c r="AA272" i="1"/>
  <c r="W272" i="1"/>
  <c r="X272" i="1"/>
  <c r="AB272" i="1"/>
  <c r="Z272" i="1"/>
  <c r="X270" i="1"/>
  <c r="J270" i="1"/>
  <c r="AB270" i="1"/>
  <c r="Z270" i="1"/>
  <c r="W270" i="1"/>
  <c r="AA270" i="1"/>
  <c r="V270" i="1"/>
  <c r="J271" i="1"/>
  <c r="AA271" i="1"/>
  <c r="W271" i="1"/>
  <c r="AB271" i="1"/>
  <c r="Z271" i="1"/>
  <c r="V271" i="1"/>
  <c r="X271" i="1"/>
  <c r="J267" i="1"/>
  <c r="Z267" i="1"/>
  <c r="AB267" i="1"/>
  <c r="X267" i="1"/>
  <c r="AA267" i="1"/>
  <c r="W267" i="1"/>
  <c r="J266" i="1"/>
  <c r="AA266" i="1"/>
  <c r="W266" i="1"/>
  <c r="AB266" i="1"/>
  <c r="Z266" i="1"/>
  <c r="X266" i="1"/>
  <c r="V266" i="1"/>
  <c r="J268" i="1"/>
  <c r="V268" i="1"/>
  <c r="AB268" i="1"/>
  <c r="Z268" i="1"/>
  <c r="W268" i="1"/>
  <c r="AA268" i="1"/>
  <c r="X268" i="1"/>
  <c r="Z269" i="1"/>
  <c r="V269" i="1"/>
  <c r="X269" i="1"/>
  <c r="AB269" i="1"/>
  <c r="AA269" i="1"/>
  <c r="W269" i="1"/>
  <c r="J269" i="1"/>
  <c r="AA128" i="1"/>
  <c r="AB128" i="1"/>
  <c r="AA201" i="1"/>
  <c r="AB201" i="1"/>
  <c r="AB215" i="1"/>
  <c r="AA215" i="1"/>
  <c r="AA249" i="1"/>
  <c r="AB249" i="1"/>
  <c r="AF249" i="1" s="1"/>
  <c r="AA141" i="1"/>
  <c r="AB141" i="1"/>
  <c r="AA138" i="1"/>
  <c r="AB138" i="1"/>
  <c r="AA144" i="1"/>
  <c r="AB144" i="1"/>
  <c r="AA116" i="1"/>
  <c r="AB116" i="1"/>
  <c r="AB151" i="1"/>
  <c r="AA151" i="1"/>
  <c r="AB107" i="1"/>
  <c r="AA107" i="1"/>
  <c r="AA102" i="1"/>
  <c r="AB102" i="1"/>
  <c r="AB119" i="1"/>
  <c r="AA119" i="1"/>
  <c r="AA148" i="1"/>
  <c r="AB148" i="1"/>
  <c r="AA162" i="1"/>
  <c r="AB162" i="1"/>
  <c r="AB175" i="1"/>
  <c r="AA175" i="1"/>
  <c r="AA194" i="1"/>
  <c r="AB194" i="1"/>
  <c r="AB191" i="1"/>
  <c r="AA191" i="1"/>
  <c r="AA216" i="1"/>
  <c r="AB216" i="1"/>
  <c r="AB219" i="1"/>
  <c r="AA219" i="1"/>
  <c r="AA222" i="1"/>
  <c r="AB222" i="1"/>
  <c r="AA234" i="1"/>
  <c r="AB234" i="1"/>
  <c r="AF234" i="1" s="1"/>
  <c r="AA245" i="1"/>
  <c r="AB245" i="1"/>
  <c r="AF245" i="1" s="1"/>
  <c r="AB252" i="1"/>
  <c r="AF252" i="1" s="1"/>
  <c r="AA252" i="1"/>
  <c r="AA247" i="1"/>
  <c r="AB247" i="1"/>
  <c r="AF247" i="1" s="1"/>
  <c r="AA257" i="1"/>
  <c r="AB257" i="1"/>
  <c r="AF257" i="1" s="1"/>
  <c r="AA206" i="1"/>
  <c r="AB206" i="1"/>
  <c r="AF206" i="1" s="1"/>
  <c r="AA129" i="1"/>
  <c r="AB129" i="1"/>
  <c r="AA130" i="1"/>
  <c r="AB130" i="1"/>
  <c r="AB168" i="1"/>
  <c r="AA168" i="1"/>
  <c r="AA170" i="1"/>
  <c r="AB170" i="1"/>
  <c r="AA210" i="1"/>
  <c r="AB210" i="1"/>
  <c r="AA221" i="1"/>
  <c r="AB221" i="1"/>
  <c r="AB232" i="1"/>
  <c r="AA232" i="1"/>
  <c r="AA254" i="1"/>
  <c r="AB254" i="1"/>
  <c r="AF254" i="1" s="1"/>
  <c r="AA156" i="1"/>
  <c r="AB156" i="1"/>
  <c r="AA121" i="1"/>
  <c r="AB121" i="1"/>
  <c r="AA165" i="1"/>
  <c r="AB165" i="1"/>
  <c r="AA166" i="1"/>
  <c r="AB166" i="1"/>
  <c r="AA169" i="1"/>
  <c r="AB169" i="1"/>
  <c r="AB176" i="1"/>
  <c r="AA176" i="1"/>
  <c r="AB179" i="1"/>
  <c r="AA179" i="1"/>
  <c r="AA182" i="1"/>
  <c r="AB182" i="1"/>
  <c r="AA186" i="1"/>
  <c r="AB186" i="1"/>
  <c r="AA189" i="1"/>
  <c r="AB189" i="1"/>
  <c r="AA188" i="1"/>
  <c r="AB188" i="1"/>
  <c r="AB199" i="1"/>
  <c r="AA199" i="1"/>
  <c r="AA214" i="1"/>
  <c r="AB214" i="1"/>
  <c r="AB208" i="1"/>
  <c r="AA208" i="1"/>
  <c r="AA213" i="1"/>
  <c r="AB213" i="1"/>
  <c r="AA226" i="1"/>
  <c r="AB226" i="1"/>
  <c r="AA228" i="1"/>
  <c r="AB228" i="1"/>
  <c r="AA238" i="1"/>
  <c r="AB238" i="1"/>
  <c r="AF238" i="1" s="1"/>
  <c r="AB251" i="1"/>
  <c r="AF251" i="1" s="1"/>
  <c r="AA251" i="1"/>
  <c r="AB248" i="1"/>
  <c r="AF248" i="1" s="1"/>
  <c r="AA248" i="1"/>
  <c r="AA262" i="1"/>
  <c r="AB262" i="1"/>
  <c r="AF262" i="1" s="1"/>
  <c r="AA122" i="1"/>
  <c r="AB122" i="1"/>
  <c r="AB187" i="1"/>
  <c r="AA187" i="1"/>
  <c r="AA105" i="1"/>
  <c r="AB105" i="1"/>
  <c r="AB131" i="1"/>
  <c r="AA131" i="1"/>
  <c r="AB112" i="1"/>
  <c r="AA112" i="1"/>
  <c r="AA120" i="1"/>
  <c r="AB120" i="1"/>
  <c r="AA137" i="1"/>
  <c r="AB137" i="1"/>
  <c r="AB115" i="1"/>
  <c r="AA115" i="1"/>
  <c r="AB171" i="1"/>
  <c r="AA171" i="1"/>
  <c r="AA184" i="1"/>
  <c r="AB184" i="1"/>
  <c r="AA205" i="1"/>
  <c r="AB205" i="1"/>
  <c r="AB227" i="1"/>
  <c r="AA227" i="1"/>
  <c r="AB243" i="1"/>
  <c r="AF243" i="1" s="1"/>
  <c r="AA243" i="1"/>
  <c r="AB259" i="1"/>
  <c r="AF259" i="1" s="1"/>
  <c r="AA259" i="1"/>
  <c r="AA260" i="1"/>
  <c r="AB260" i="1"/>
  <c r="AF260" i="1" s="1"/>
  <c r="AB264" i="1"/>
  <c r="AF264" i="1" s="1"/>
  <c r="AA264" i="1"/>
  <c r="AA133" i="1"/>
  <c r="AB133" i="1"/>
  <c r="AA158" i="1"/>
  <c r="AB158" i="1"/>
  <c r="AA132" i="1"/>
  <c r="AB132" i="1"/>
  <c r="AA126" i="1"/>
  <c r="AB126" i="1"/>
  <c r="AB147" i="1"/>
  <c r="AA147" i="1"/>
  <c r="AA97" i="1"/>
  <c r="AB97" i="1"/>
  <c r="AB155" i="1"/>
  <c r="AA155" i="1"/>
  <c r="AB98" i="1"/>
  <c r="AA98" i="1"/>
  <c r="AA160" i="1"/>
  <c r="AB160" i="1"/>
  <c r="AA109" i="1"/>
  <c r="AB109" i="1"/>
  <c r="AA178" i="1"/>
  <c r="AB178" i="1"/>
  <c r="AA177" i="1"/>
  <c r="AB177" i="1"/>
  <c r="AA190" i="1"/>
  <c r="AB190" i="1"/>
  <c r="AA204" i="1"/>
  <c r="AB204" i="1"/>
  <c r="AB200" i="1"/>
  <c r="AA200" i="1"/>
  <c r="AB203" i="1"/>
  <c r="AA203" i="1"/>
  <c r="AA209" i="1"/>
  <c r="AB209" i="1"/>
  <c r="AB220" i="1"/>
  <c r="AA220" i="1"/>
  <c r="AA229" i="1"/>
  <c r="AB229" i="1"/>
  <c r="AA253" i="1"/>
  <c r="AB253" i="1"/>
  <c r="AF253" i="1" s="1"/>
  <c r="AA246" i="1"/>
  <c r="AB246" i="1"/>
  <c r="AF246" i="1" s="1"/>
  <c r="AA261" i="1"/>
  <c r="AB261" i="1"/>
  <c r="AF261" i="1" s="1"/>
  <c r="AA265" i="1"/>
  <c r="AB265" i="1"/>
  <c r="AF265" i="1" s="1"/>
  <c r="AB99" i="1"/>
  <c r="AA99" i="1"/>
  <c r="AA172" i="1"/>
  <c r="AB172" i="1"/>
  <c r="AA140" i="1"/>
  <c r="AB140" i="1"/>
  <c r="AA146" i="1"/>
  <c r="AB146" i="1"/>
  <c r="AA142" i="1"/>
  <c r="AB142" i="1"/>
  <c r="AA134" i="1"/>
  <c r="AB134" i="1"/>
  <c r="AB136" i="1"/>
  <c r="AA136" i="1"/>
  <c r="AA153" i="1"/>
  <c r="AB153" i="1"/>
  <c r="AA150" i="1"/>
  <c r="AB150" i="1"/>
  <c r="AA117" i="1"/>
  <c r="AB117" i="1"/>
  <c r="AB163" i="1"/>
  <c r="AA163" i="1"/>
  <c r="AA161" i="1"/>
  <c r="AB161" i="1"/>
  <c r="AA181" i="1"/>
  <c r="AB181" i="1"/>
  <c r="AA192" i="1"/>
  <c r="AB192" i="1"/>
  <c r="AA193" i="1"/>
  <c r="AB193" i="1"/>
  <c r="AB195" i="1"/>
  <c r="AA195" i="1"/>
  <c r="AA198" i="1"/>
  <c r="AB198" i="1"/>
  <c r="AB207" i="1"/>
  <c r="AA207" i="1"/>
  <c r="AA196" i="1"/>
  <c r="AB196" i="1"/>
  <c r="AA225" i="1"/>
  <c r="AB225" i="1"/>
  <c r="AA230" i="1"/>
  <c r="AB230" i="1"/>
  <c r="AA236" i="1"/>
  <c r="AB236" i="1"/>
  <c r="AF236" i="1" s="1"/>
  <c r="AB244" i="1"/>
  <c r="AF244" i="1" s="1"/>
  <c r="AA244" i="1"/>
  <c r="AA250" i="1"/>
  <c r="AB250" i="1"/>
  <c r="AF250" i="1" s="1"/>
  <c r="AA258" i="1"/>
  <c r="AB258" i="1"/>
  <c r="AF258" i="1" s="1"/>
  <c r="AA256" i="1"/>
  <c r="AB256" i="1"/>
  <c r="AF256" i="1" s="1"/>
  <c r="AA114" i="1"/>
  <c r="AB114" i="1"/>
  <c r="AA154" i="1"/>
  <c r="AB154" i="1"/>
  <c r="AA125" i="1"/>
  <c r="AB125" i="1"/>
  <c r="AB127" i="1"/>
  <c r="AA127" i="1"/>
  <c r="AA124" i="1"/>
  <c r="AB124" i="1"/>
  <c r="AA100" i="1"/>
  <c r="AB100" i="1"/>
  <c r="AB123" i="1"/>
  <c r="AA123" i="1"/>
  <c r="AB139" i="1"/>
  <c r="AA139" i="1"/>
  <c r="AA145" i="1"/>
  <c r="AB145" i="1"/>
  <c r="AA174" i="1"/>
  <c r="AB174" i="1"/>
  <c r="AA197" i="1"/>
  <c r="AB197" i="1"/>
  <c r="AA218" i="1"/>
  <c r="AB218" i="1"/>
  <c r="AB223" i="1"/>
  <c r="AA223" i="1"/>
  <c r="AA240" i="1"/>
  <c r="AB240" i="1"/>
  <c r="AF240" i="1" s="1"/>
  <c r="AB239" i="1"/>
  <c r="AF239" i="1" s="1"/>
  <c r="AA239" i="1"/>
  <c r="AB255" i="1"/>
  <c r="AF255" i="1" s="1"/>
  <c r="AA255" i="1"/>
  <c r="AA157" i="1"/>
  <c r="AB157" i="1"/>
  <c r="AA152" i="1"/>
  <c r="AB152" i="1"/>
  <c r="AB111" i="1"/>
  <c r="AA111" i="1"/>
  <c r="AB143" i="1"/>
  <c r="AA143" i="1"/>
  <c r="AB159" i="1"/>
  <c r="AA159" i="1"/>
  <c r="AB135" i="1"/>
  <c r="AA135" i="1"/>
  <c r="AA118" i="1"/>
  <c r="AB118" i="1"/>
  <c r="AA96" i="1"/>
  <c r="AB96" i="1"/>
  <c r="AA149" i="1"/>
  <c r="AB149" i="1"/>
  <c r="AA164" i="1"/>
  <c r="AB164" i="1"/>
  <c r="AB167" i="1"/>
  <c r="AA167" i="1"/>
  <c r="AA173" i="1"/>
  <c r="AB173" i="1"/>
  <c r="AA180" i="1"/>
  <c r="AB180" i="1"/>
  <c r="AA185" i="1"/>
  <c r="AB185" i="1"/>
  <c r="AB183" i="1"/>
  <c r="AA183" i="1"/>
  <c r="AA202" i="1"/>
  <c r="AB202" i="1"/>
  <c r="AA212" i="1"/>
  <c r="AB212" i="1"/>
  <c r="AB211" i="1"/>
  <c r="AA211" i="1"/>
  <c r="AA217" i="1"/>
  <c r="AB217" i="1"/>
  <c r="AB224" i="1"/>
  <c r="AA224" i="1"/>
  <c r="AA233" i="1"/>
  <c r="AB233" i="1"/>
  <c r="AB231" i="1"/>
  <c r="AA231" i="1"/>
  <c r="AA241" i="1"/>
  <c r="AB241" i="1"/>
  <c r="AF241" i="1" s="1"/>
  <c r="AA237" i="1"/>
  <c r="AB237" i="1"/>
  <c r="AF237" i="1" s="1"/>
  <c r="AB235" i="1"/>
  <c r="AF235" i="1" s="1"/>
  <c r="AA235" i="1"/>
  <c r="AA242" i="1"/>
  <c r="AB242" i="1"/>
  <c r="AF242" i="1" s="1"/>
  <c r="AA263" i="1"/>
  <c r="AB263" i="1"/>
  <c r="AF263" i="1" s="1"/>
  <c r="J264" i="1"/>
  <c r="Z264" i="1"/>
  <c r="W264" i="1"/>
  <c r="X264" i="1"/>
  <c r="V264" i="1"/>
  <c r="W265" i="1"/>
  <c r="X265" i="1"/>
  <c r="Z265" i="1"/>
  <c r="J265" i="1"/>
  <c r="V265" i="1"/>
  <c r="J263" i="1"/>
  <c r="W263" i="1"/>
  <c r="V263" i="1"/>
  <c r="X263" i="1"/>
  <c r="Z263" i="1"/>
  <c r="V206" i="1"/>
  <c r="Z206" i="1"/>
  <c r="X206" i="1"/>
  <c r="W206" i="1"/>
  <c r="J206" i="1"/>
  <c r="J249" i="1"/>
  <c r="J245" i="1"/>
  <c r="J252" i="1"/>
  <c r="J247" i="1"/>
  <c r="J251" i="1"/>
  <c r="J248" i="1"/>
  <c r="J253" i="1"/>
  <c r="J246" i="1"/>
  <c r="J244" i="1"/>
  <c r="J250" i="1"/>
  <c r="J262" i="1"/>
  <c r="V262" i="1"/>
  <c r="X262" i="1"/>
  <c r="W262" i="1"/>
  <c r="Z262" i="1"/>
  <c r="J261" i="1"/>
  <c r="X261" i="1"/>
  <c r="W261" i="1"/>
  <c r="V261" i="1"/>
  <c r="Z261" i="1"/>
  <c r="Z255" i="1"/>
  <c r="W255" i="1"/>
  <c r="X255" i="1"/>
  <c r="V255" i="1"/>
  <c r="J255" i="1"/>
  <c r="V260" i="1"/>
  <c r="Z260" i="1"/>
  <c r="AH260" i="1" s="1"/>
  <c r="J260" i="1"/>
  <c r="X260" i="1"/>
  <c r="W260" i="1"/>
  <c r="J254" i="1"/>
  <c r="W254" i="1"/>
  <c r="V254" i="1"/>
  <c r="X254" i="1"/>
  <c r="Z254" i="1"/>
  <c r="W257" i="1"/>
  <c r="V257" i="1"/>
  <c r="J257" i="1"/>
  <c r="Z257" i="1"/>
  <c r="X257" i="1"/>
  <c r="J259" i="1"/>
  <c r="W259" i="1"/>
  <c r="Z259" i="1"/>
  <c r="X259" i="1"/>
  <c r="V259" i="1"/>
  <c r="V258" i="1"/>
  <c r="J258" i="1"/>
  <c r="W258" i="1"/>
  <c r="Z258" i="1"/>
  <c r="X258" i="1"/>
  <c r="W256" i="1"/>
  <c r="V256" i="1"/>
  <c r="J256" i="1"/>
  <c r="X256" i="1"/>
  <c r="Z256" i="1"/>
  <c r="V251" i="1"/>
  <c r="W251" i="1"/>
  <c r="Z251" i="1"/>
  <c r="X251" i="1"/>
  <c r="W244" i="1"/>
  <c r="V244" i="1"/>
  <c r="Z244" i="1"/>
  <c r="X244" i="1"/>
  <c r="Z243" i="1"/>
  <c r="X243" i="1"/>
  <c r="V243" i="1"/>
  <c r="J243" i="1"/>
  <c r="W243" i="1"/>
  <c r="W253" i="1"/>
  <c r="Z253" i="1"/>
  <c r="V253" i="1"/>
  <c r="X253" i="1"/>
  <c r="Z246" i="1"/>
  <c r="V246" i="1"/>
  <c r="X246" i="1"/>
  <c r="W246" i="1"/>
  <c r="Z245" i="1"/>
  <c r="W245" i="1"/>
  <c r="V245" i="1"/>
  <c r="X245" i="1"/>
  <c r="X249" i="1"/>
  <c r="Z249" i="1"/>
  <c r="W249" i="1"/>
  <c r="V249" i="1"/>
  <c r="X252" i="1"/>
  <c r="W252" i="1"/>
  <c r="Z252" i="1"/>
  <c r="V252" i="1"/>
  <c r="V248" i="1"/>
  <c r="Z248" i="1"/>
  <c r="X248" i="1"/>
  <c r="W248" i="1"/>
  <c r="X242" i="1"/>
  <c r="W242" i="1"/>
  <c r="J242" i="1"/>
  <c r="Z242" i="1"/>
  <c r="V242" i="1"/>
  <c r="X250" i="1"/>
  <c r="V250" i="1"/>
  <c r="Z250" i="1"/>
  <c r="W250" i="1"/>
  <c r="W247" i="1"/>
  <c r="X247" i="1"/>
  <c r="Z247" i="1"/>
  <c r="V247" i="1"/>
  <c r="J233" i="1"/>
  <c r="AN233" i="1" s="1"/>
  <c r="J231" i="1"/>
  <c r="AN231" i="1" s="1"/>
  <c r="J232" i="1"/>
  <c r="AN232" i="1" s="1"/>
  <c r="X238" i="1"/>
  <c r="J238" i="1"/>
  <c r="W238" i="1"/>
  <c r="V238" i="1"/>
  <c r="Z238" i="1"/>
  <c r="J236" i="1"/>
  <c r="W236" i="1"/>
  <c r="X236" i="1"/>
  <c r="V236" i="1"/>
  <c r="Z236" i="1"/>
  <c r="J240" i="1"/>
  <c r="V240" i="1"/>
  <c r="Z240" i="1"/>
  <c r="X240" i="1"/>
  <c r="W240" i="1"/>
  <c r="X239" i="1"/>
  <c r="V239" i="1"/>
  <c r="Z239" i="1"/>
  <c r="J239" i="1"/>
  <c r="W239" i="1"/>
  <c r="J241" i="1"/>
  <c r="V241" i="1"/>
  <c r="W241" i="1"/>
  <c r="Z241" i="1"/>
  <c r="X241" i="1"/>
  <c r="J237" i="1"/>
  <c r="V237" i="1"/>
  <c r="X237" i="1"/>
  <c r="Z237" i="1"/>
  <c r="W237" i="1"/>
  <c r="X235" i="1"/>
  <c r="V235" i="1"/>
  <c r="J235" i="1"/>
  <c r="W235" i="1"/>
  <c r="Z235" i="1"/>
  <c r="W234" i="1"/>
  <c r="J234" i="1"/>
  <c r="Z234" i="1"/>
  <c r="X234" i="1"/>
  <c r="V234" i="1"/>
  <c r="Z54" i="10"/>
  <c r="Y54" i="10"/>
  <c r="Z48" i="10"/>
  <c r="Y48" i="10"/>
  <c r="Z39" i="10"/>
  <c r="Y39" i="10"/>
  <c r="Z41" i="10"/>
  <c r="Y41" i="10"/>
  <c r="Z49" i="10"/>
  <c r="Y49" i="10"/>
  <c r="Z50" i="10"/>
  <c r="Y50" i="10"/>
  <c r="Z53" i="10"/>
  <c r="Y53" i="10"/>
  <c r="Z42" i="10"/>
  <c r="Y42" i="10"/>
  <c r="Z52" i="10"/>
  <c r="Y52" i="10"/>
  <c r="Z45" i="10"/>
  <c r="Y45" i="10"/>
  <c r="Z51" i="10"/>
  <c r="Y51" i="10"/>
  <c r="Z44" i="10"/>
  <c r="Y44" i="10"/>
  <c r="Z40" i="10"/>
  <c r="Y40" i="10"/>
  <c r="Z46" i="10"/>
  <c r="Y46" i="10"/>
  <c r="Z43" i="10"/>
  <c r="Y43" i="10"/>
  <c r="Z47" i="10"/>
  <c r="Y47" i="10"/>
  <c r="J226" i="1"/>
  <c r="J228" i="1"/>
  <c r="J227" i="1"/>
  <c r="J230" i="1"/>
  <c r="J229" i="1"/>
  <c r="J224" i="1"/>
  <c r="J225" i="1"/>
  <c r="J223" i="1"/>
  <c r="J222" i="1"/>
  <c r="J220" i="1"/>
  <c r="J221" i="1"/>
  <c r="J219" i="1"/>
  <c r="J215" i="1"/>
  <c r="J218" i="1"/>
  <c r="J217" i="1"/>
  <c r="J216" i="1"/>
  <c r="J212" i="1"/>
  <c r="J210" i="1"/>
  <c r="J211" i="1"/>
  <c r="J214" i="1"/>
  <c r="J208" i="1"/>
  <c r="J213" i="1"/>
  <c r="J209" i="1"/>
  <c r="J207" i="1"/>
  <c r="J197" i="1"/>
  <c r="J198" i="1"/>
  <c r="J196" i="1"/>
  <c r="J202" i="1"/>
  <c r="J201" i="1"/>
  <c r="J199" i="1"/>
  <c r="J204" i="1"/>
  <c r="J200" i="1"/>
  <c r="J205" i="1"/>
  <c r="J203" i="1"/>
  <c r="J195" i="1"/>
  <c r="J174" i="1"/>
  <c r="J190" i="1"/>
  <c r="J191" i="1"/>
  <c r="J188" i="1"/>
  <c r="J192" i="1"/>
  <c r="J194" i="1"/>
  <c r="J189" i="1"/>
  <c r="J193" i="1"/>
  <c r="J183" i="1"/>
  <c r="J187" i="1"/>
  <c r="J186" i="1"/>
  <c r="J185" i="1"/>
  <c r="J184" i="1"/>
  <c r="J170" i="1"/>
  <c r="J182" i="1"/>
  <c r="J181" i="1"/>
  <c r="J176" i="1"/>
  <c r="J180" i="1"/>
  <c r="J177" i="1"/>
  <c r="J178" i="1"/>
  <c r="J179" i="1"/>
  <c r="J175" i="1"/>
  <c r="J173" i="1"/>
  <c r="J172" i="1"/>
  <c r="J171" i="1"/>
  <c r="J167" i="1"/>
  <c r="J168" i="1"/>
  <c r="J169" i="1"/>
  <c r="J38" i="10"/>
  <c r="Y26" i="10"/>
  <c r="J164" i="1"/>
  <c r="J32" i="10"/>
  <c r="Y38" i="10"/>
  <c r="J26" i="10"/>
  <c r="Y31" i="10"/>
  <c r="J35" i="10"/>
  <c r="J165" i="1"/>
  <c r="Y34" i="10"/>
  <c r="Y33" i="10"/>
  <c r="Y32" i="10"/>
  <c r="J166" i="1"/>
  <c r="J33" i="10"/>
  <c r="J34" i="10"/>
  <c r="J37" i="10"/>
  <c r="Y35" i="10"/>
  <c r="J31" i="10"/>
  <c r="Y37" i="10"/>
  <c r="J36" i="10"/>
  <c r="Y36" i="10"/>
  <c r="J161" i="1"/>
  <c r="J163" i="1"/>
  <c r="J162" i="1"/>
  <c r="J148" i="1"/>
  <c r="J117" i="1"/>
  <c r="J145" i="1"/>
  <c r="J149" i="1"/>
  <c r="J114" i="1"/>
  <c r="J130" i="1"/>
  <c r="J119" i="1"/>
  <c r="J115" i="1"/>
  <c r="J153" i="1"/>
  <c r="J156" i="1"/>
  <c r="J87" i="1"/>
  <c r="J121" i="1"/>
  <c r="J105" i="1"/>
  <c r="J94" i="1"/>
  <c r="J95" i="1"/>
  <c r="J131" i="1"/>
  <c r="J112" i="1"/>
  <c r="J120" i="1"/>
  <c r="J137" i="1"/>
  <c r="J140" i="1"/>
  <c r="J142" i="1"/>
  <c r="J126" i="1"/>
  <c r="J147" i="1"/>
  <c r="J97" i="1"/>
  <c r="J155" i="1"/>
  <c r="J85" i="1"/>
  <c r="J93" i="1"/>
  <c r="J98" i="1"/>
  <c r="J89" i="1"/>
  <c r="J160" i="1"/>
  <c r="J109" i="1"/>
  <c r="J150" i="1"/>
  <c r="J154" i="1"/>
  <c r="J90" i="1"/>
  <c r="J125" i="1"/>
  <c r="J127" i="1"/>
  <c r="J124" i="1"/>
  <c r="J100" i="1"/>
  <c r="J123" i="1"/>
  <c r="J139" i="1"/>
  <c r="J157" i="1"/>
  <c r="J86" i="1"/>
  <c r="J152" i="1"/>
  <c r="J111" i="1"/>
  <c r="J143" i="1"/>
  <c r="J159" i="1"/>
  <c r="J135" i="1"/>
  <c r="J118" i="1"/>
  <c r="J96" i="1"/>
  <c r="J88" i="1"/>
  <c r="J133" i="1"/>
  <c r="J122" i="1"/>
  <c r="J158" i="1"/>
  <c r="J99" i="1"/>
  <c r="J128" i="1"/>
  <c r="J129" i="1"/>
  <c r="J132" i="1"/>
  <c r="J146" i="1"/>
  <c r="J134" i="1"/>
  <c r="J136" i="1"/>
  <c r="J141" i="1"/>
  <c r="J138" i="1"/>
  <c r="J144" i="1"/>
  <c r="J116" i="1"/>
  <c r="J151" i="1"/>
  <c r="J107" i="1"/>
  <c r="J102" i="1"/>
  <c r="J61" i="1"/>
  <c r="J55" i="1"/>
  <c r="J7" i="1"/>
  <c r="J15" i="1"/>
  <c r="J65" i="1"/>
  <c r="J60" i="1"/>
  <c r="J59" i="1"/>
  <c r="J5" i="1"/>
  <c r="J57" i="1"/>
  <c r="J23" i="1"/>
  <c r="J3" i="1"/>
  <c r="J18" i="1"/>
  <c r="J46" i="1"/>
  <c r="J42" i="1"/>
  <c r="J73" i="1"/>
  <c r="J22" i="1"/>
  <c r="J33" i="1"/>
  <c r="J10" i="1"/>
  <c r="J27" i="1"/>
  <c r="J72" i="1"/>
  <c r="J67" i="1"/>
  <c r="J44" i="1"/>
  <c r="J36" i="1"/>
  <c r="J29" i="1"/>
  <c r="J68" i="1"/>
  <c r="J56" i="1"/>
  <c r="J35" i="1"/>
  <c r="J66" i="1"/>
  <c r="J13" i="1"/>
  <c r="J17" i="1"/>
  <c r="J54" i="1"/>
  <c r="J30" i="1"/>
  <c r="J81" i="1"/>
  <c r="J40" i="1"/>
  <c r="J9" i="1"/>
  <c r="J49" i="1"/>
  <c r="J12" i="1"/>
  <c r="J83" i="1"/>
  <c r="J4" i="1"/>
  <c r="J26" i="1"/>
  <c r="J69" i="1"/>
  <c r="J21" i="1"/>
  <c r="J25" i="1"/>
  <c r="J8" i="1"/>
  <c r="J28" i="1"/>
  <c r="J64" i="1"/>
  <c r="J45" i="1"/>
  <c r="J48" i="1"/>
  <c r="J41" i="1"/>
  <c r="J50" i="1"/>
  <c r="J16" i="1"/>
  <c r="J19" i="1"/>
  <c r="J20" i="1"/>
  <c r="J32" i="1"/>
  <c r="J53" i="1"/>
  <c r="J63" i="1"/>
  <c r="J24" i="1"/>
  <c r="J14" i="1"/>
  <c r="Y3" i="10"/>
  <c r="Y11" i="10"/>
  <c r="J11" i="10"/>
  <c r="J3" i="10"/>
  <c r="Y5" i="10"/>
  <c r="T34" i="1"/>
  <c r="J12" i="10"/>
  <c r="Y12" i="10"/>
  <c r="Y13" i="10"/>
  <c r="J13" i="10"/>
  <c r="J84" i="1"/>
  <c r="J39" i="1"/>
  <c r="J70" i="1"/>
  <c r="J82" i="1"/>
  <c r="J71" i="1"/>
  <c r="J22" i="10"/>
  <c r="Y23" i="10"/>
  <c r="Y21" i="10"/>
  <c r="Y4" i="10"/>
  <c r="J21" i="10"/>
  <c r="Y29" i="10"/>
  <c r="J28" i="10"/>
  <c r="Y25" i="10"/>
  <c r="J24" i="10"/>
  <c r="J6" i="10"/>
  <c r="J23" i="10"/>
  <c r="Y30" i="10"/>
  <c r="J15" i="10"/>
  <c r="J7" i="10"/>
  <c r="Y24" i="10"/>
  <c r="Y8" i="10"/>
  <c r="J18" i="10"/>
  <c r="Y14" i="10"/>
  <c r="J25" i="10"/>
  <c r="Y17" i="10"/>
  <c r="J29" i="10"/>
  <c r="Y22" i="10"/>
  <c r="Y16" i="10"/>
  <c r="Y27" i="10"/>
  <c r="Y18" i="10"/>
  <c r="Y19" i="10"/>
  <c r="Y9" i="10"/>
  <c r="J20" i="10"/>
  <c r="J10" i="10"/>
  <c r="J30" i="10"/>
  <c r="J17" i="10"/>
  <c r="J4" i="10"/>
  <c r="Y28" i="10"/>
  <c r="J9" i="10"/>
  <c r="J19" i="10"/>
  <c r="J27" i="10"/>
  <c r="Y15" i="10"/>
  <c r="Y6" i="10"/>
  <c r="Y7" i="10"/>
  <c r="J16" i="10"/>
  <c r="J14" i="10"/>
  <c r="Y10" i="10"/>
  <c r="Y20" i="10"/>
  <c r="J43" i="1"/>
  <c r="J52" i="1"/>
  <c r="J75" i="1"/>
  <c r="J76" i="1"/>
  <c r="J47" i="1"/>
  <c r="J58" i="1"/>
  <c r="J34" i="1"/>
  <c r="J37" i="1"/>
  <c r="J78" i="1"/>
  <c r="J79" i="1"/>
  <c r="J51" i="1"/>
  <c r="J77" i="1"/>
  <c r="J62" i="1"/>
  <c r="J38" i="1"/>
  <c r="J74" i="1"/>
  <c r="AR424" i="1" l="1"/>
  <c r="AT421" i="1"/>
  <c r="AR422" i="1"/>
  <c r="AT426" i="1"/>
  <c r="AI427" i="1"/>
  <c r="AK427" i="1" s="1"/>
  <c r="AG427" i="1"/>
  <c r="AO427" i="1" s="1"/>
  <c r="AR427" i="1"/>
  <c r="Y427" i="1"/>
  <c r="AI422" i="1"/>
  <c r="AK422" i="1" s="1"/>
  <c r="AS422" i="1"/>
  <c r="AE422" i="1"/>
  <c r="AF422" i="1"/>
  <c r="AH422" i="1" s="1"/>
  <c r="AL422" i="1" s="1"/>
  <c r="AE426" i="1"/>
  <c r="AF426" i="1"/>
  <c r="AH426" i="1" s="1"/>
  <c r="AL426" i="1" s="1"/>
  <c r="AS426" i="1"/>
  <c r="AN424" i="1"/>
  <c r="AJ424" i="1"/>
  <c r="AR421" i="1"/>
  <c r="AN423" i="1"/>
  <c r="AJ423" i="1"/>
  <c r="AJ427" i="1"/>
  <c r="AN427" i="1"/>
  <c r="AT422" i="1"/>
  <c r="AS424" i="1"/>
  <c r="AS423" i="1"/>
  <c r="AE423" i="1"/>
  <c r="AF423" i="1"/>
  <c r="AH423" i="1" s="1"/>
  <c r="AL423" i="1" s="1"/>
  <c r="Y422" i="1"/>
  <c r="AG422" i="1"/>
  <c r="AO422" i="1" s="1"/>
  <c r="Y423" i="1"/>
  <c r="AR423" i="1"/>
  <c r="AG423" i="1"/>
  <c r="AO423" i="1" s="1"/>
  <c r="AI423" i="1"/>
  <c r="AK423" i="1" s="1"/>
  <c r="AN426" i="1"/>
  <c r="AJ426" i="1"/>
  <c r="AT424" i="1"/>
  <c r="AR425" i="1"/>
  <c r="Y425" i="1"/>
  <c r="AG425" i="1"/>
  <c r="AO425" i="1" s="1"/>
  <c r="AI425" i="1"/>
  <c r="AK425" i="1" s="1"/>
  <c r="AE427" i="1"/>
  <c r="AF427" i="1"/>
  <c r="AH427" i="1" s="1"/>
  <c r="AL427" i="1" s="1"/>
  <c r="AS427" i="1"/>
  <c r="AE425" i="1"/>
  <c r="AS425" i="1"/>
  <c r="AF425" i="1"/>
  <c r="AH425" i="1" s="1"/>
  <c r="AL425" i="1" s="1"/>
  <c r="AI421" i="1"/>
  <c r="AK421" i="1" s="1"/>
  <c r="AS421" i="1"/>
  <c r="AF421" i="1"/>
  <c r="AH421" i="1" s="1"/>
  <c r="AL421" i="1" s="1"/>
  <c r="AE421" i="1"/>
  <c r="Y421" i="1"/>
  <c r="AG421" i="1"/>
  <c r="AO421" i="1" s="1"/>
  <c r="AE424" i="1"/>
  <c r="AF424" i="1"/>
  <c r="AH424" i="1" s="1"/>
  <c r="AL424" i="1" s="1"/>
  <c r="AT425" i="1"/>
  <c r="AJ421" i="1"/>
  <c r="AN421" i="1"/>
  <c r="AT423" i="1"/>
  <c r="AT427" i="1"/>
  <c r="AJ422" i="1"/>
  <c r="AN422" i="1"/>
  <c r="Y426" i="1"/>
  <c r="AI426" i="1"/>
  <c r="AK426" i="1" s="1"/>
  <c r="AR426" i="1"/>
  <c r="AG426" i="1"/>
  <c r="AO426" i="1" s="1"/>
  <c r="AI424" i="1"/>
  <c r="AK424" i="1" s="1"/>
  <c r="Y424" i="1"/>
  <c r="AG424" i="1"/>
  <c r="AO424" i="1" s="1"/>
  <c r="AJ425" i="1"/>
  <c r="AN425" i="1"/>
  <c r="AT419" i="1"/>
  <c r="AS419" i="1"/>
  <c r="AF419" i="1"/>
  <c r="AH419" i="1" s="1"/>
  <c r="AL419" i="1" s="1"/>
  <c r="AE419" i="1"/>
  <c r="AE420" i="1"/>
  <c r="AF420" i="1"/>
  <c r="AH420" i="1" s="1"/>
  <c r="AL420" i="1" s="1"/>
  <c r="AS420" i="1"/>
  <c r="AJ419" i="1"/>
  <c r="AN419" i="1"/>
  <c r="AG420" i="1"/>
  <c r="AO420" i="1" s="1"/>
  <c r="Y420" i="1"/>
  <c r="AI420" i="1"/>
  <c r="AK420" i="1" s="1"/>
  <c r="AR420" i="1"/>
  <c r="AR419" i="1"/>
  <c r="AI419" i="1"/>
  <c r="AK419" i="1" s="1"/>
  <c r="Y419" i="1"/>
  <c r="AG419" i="1"/>
  <c r="AO419" i="1" s="1"/>
  <c r="AT420" i="1"/>
  <c r="AN420" i="1"/>
  <c r="AJ420" i="1"/>
  <c r="AT417" i="1"/>
  <c r="AT416" i="1"/>
  <c r="AT418" i="1"/>
  <c r="AG416" i="1"/>
  <c r="AO416" i="1" s="1"/>
  <c r="AR416" i="1"/>
  <c r="AI416" i="1"/>
  <c r="AK416" i="1" s="1"/>
  <c r="Y416" i="1"/>
  <c r="AR418" i="1"/>
  <c r="AS418" i="1"/>
  <c r="AE417" i="1"/>
  <c r="AF417" i="1"/>
  <c r="AH417" i="1" s="1"/>
  <c r="AL417" i="1" s="1"/>
  <c r="AF416" i="1"/>
  <c r="AH416" i="1" s="1"/>
  <c r="AL416" i="1" s="1"/>
  <c r="AE416" i="1"/>
  <c r="AJ418" i="1"/>
  <c r="AN418" i="1"/>
  <c r="AS417" i="1"/>
  <c r="AE418" i="1"/>
  <c r="AF418" i="1"/>
  <c r="AH418" i="1" s="1"/>
  <c r="AL418" i="1" s="1"/>
  <c r="AS416" i="1"/>
  <c r="Y417" i="1"/>
  <c r="AI417" i="1"/>
  <c r="AK417" i="1" s="1"/>
  <c r="AR417" i="1"/>
  <c r="AG417" i="1"/>
  <c r="AO417" i="1" s="1"/>
  <c r="Y418" i="1"/>
  <c r="AI418" i="1"/>
  <c r="AK418" i="1" s="1"/>
  <c r="AG418" i="1"/>
  <c r="AO418" i="1" s="1"/>
  <c r="AJ416" i="1"/>
  <c r="AN416" i="1"/>
  <c r="AN417" i="1"/>
  <c r="AJ417" i="1"/>
  <c r="AT415" i="1"/>
  <c r="AR415" i="1"/>
  <c r="AS415" i="1"/>
  <c r="AE415" i="1"/>
  <c r="AF415" i="1"/>
  <c r="AH415" i="1" s="1"/>
  <c r="AL415" i="1" s="1"/>
  <c r="Y415" i="1"/>
  <c r="AG415" i="1"/>
  <c r="AO415" i="1" s="1"/>
  <c r="AI415" i="1"/>
  <c r="AK415" i="1" s="1"/>
  <c r="AN415" i="1"/>
  <c r="AJ415" i="1"/>
  <c r="AT413" i="1"/>
  <c r="AS414" i="1"/>
  <c r="AS412" i="1"/>
  <c r="AG413" i="1"/>
  <c r="AO413" i="1" s="1"/>
  <c r="AR413" i="1"/>
  <c r="AI413" i="1"/>
  <c r="AK413" i="1" s="1"/>
  <c r="Y413" i="1"/>
  <c r="Y414" i="1"/>
  <c r="AG414" i="1"/>
  <c r="AO414" i="1" s="1"/>
  <c r="AR414" i="1"/>
  <c r="AG412" i="1"/>
  <c r="AO412" i="1" s="1"/>
  <c r="AI412" i="1"/>
  <c r="AK412" i="1" s="1"/>
  <c r="AR412" i="1"/>
  <c r="Y412" i="1"/>
  <c r="AF413" i="1"/>
  <c r="AH413" i="1" s="1"/>
  <c r="AL413" i="1" s="1"/>
  <c r="AE413" i="1"/>
  <c r="AT412" i="1"/>
  <c r="AT414" i="1"/>
  <c r="AN412" i="1"/>
  <c r="AJ412" i="1"/>
  <c r="AS413" i="1"/>
  <c r="AI414" i="1"/>
  <c r="AK414" i="1" s="1"/>
  <c r="AE414" i="1"/>
  <c r="AF414" i="1"/>
  <c r="AH414" i="1" s="1"/>
  <c r="AL414" i="1" s="1"/>
  <c r="AE412" i="1"/>
  <c r="AF412" i="1"/>
  <c r="AH412" i="1" s="1"/>
  <c r="AL412" i="1" s="1"/>
  <c r="AN413" i="1"/>
  <c r="AJ413" i="1"/>
  <c r="AN414" i="1"/>
  <c r="AJ414" i="1"/>
  <c r="AT411" i="1"/>
  <c r="AT410" i="1"/>
  <c r="AT409" i="1"/>
  <c r="AI409" i="1"/>
  <c r="AK409" i="1" s="1"/>
  <c r="Y409" i="1"/>
  <c r="AR409" i="1"/>
  <c r="AG409" i="1"/>
  <c r="AO409" i="1" s="1"/>
  <c r="AN410" i="1"/>
  <c r="AJ410" i="1"/>
  <c r="AN411" i="1"/>
  <c r="AJ411" i="1"/>
  <c r="AI410" i="1"/>
  <c r="AK410" i="1" s="1"/>
  <c r="AE410" i="1"/>
  <c r="AF410" i="1"/>
  <c r="AH410" i="1" s="1"/>
  <c r="AL410" i="1" s="1"/>
  <c r="AS410" i="1"/>
  <c r="AE411" i="1"/>
  <c r="AF411" i="1"/>
  <c r="AH411" i="1" s="1"/>
  <c r="AL411" i="1" s="1"/>
  <c r="AF409" i="1"/>
  <c r="AH409" i="1" s="1"/>
  <c r="AL409" i="1" s="1"/>
  <c r="AS409" i="1"/>
  <c r="AE409" i="1"/>
  <c r="AI411" i="1"/>
  <c r="AK411" i="1" s="1"/>
  <c r="AR411" i="1"/>
  <c r="AG411" i="1"/>
  <c r="AO411" i="1" s="1"/>
  <c r="Y411" i="1"/>
  <c r="Y410" i="1"/>
  <c r="AR410" i="1"/>
  <c r="AG410" i="1"/>
  <c r="AO410" i="1" s="1"/>
  <c r="AS411" i="1"/>
  <c r="AN409" i="1"/>
  <c r="AJ409" i="1"/>
  <c r="AT407" i="1"/>
  <c r="AT404" i="1"/>
  <c r="AE406" i="1"/>
  <c r="AF406" i="1"/>
  <c r="AH406" i="1" s="1"/>
  <c r="AL406" i="1" s="1"/>
  <c r="AS406" i="1"/>
  <c r="AT406" i="1"/>
  <c r="AJ408" i="1"/>
  <c r="AN408" i="1"/>
  <c r="Y404" i="1"/>
  <c r="AG404" i="1"/>
  <c r="AO404" i="1" s="1"/>
  <c r="AI404" i="1"/>
  <c r="AK404" i="1" s="1"/>
  <c r="AR404" i="1"/>
  <c r="AE403" i="1"/>
  <c r="AF403" i="1"/>
  <c r="AH403" i="1" s="1"/>
  <c r="AL403" i="1" s="1"/>
  <c r="AS403" i="1"/>
  <c r="AT403" i="1"/>
  <c r="AJ405" i="1"/>
  <c r="AN405" i="1"/>
  <c r="Y407" i="1"/>
  <c r="AG407" i="1"/>
  <c r="AO407" i="1" s="1"/>
  <c r="AI407" i="1"/>
  <c r="AK407" i="1" s="1"/>
  <c r="AR407" i="1"/>
  <c r="AJ406" i="1"/>
  <c r="AN406" i="1"/>
  <c r="Y408" i="1"/>
  <c r="AG408" i="1"/>
  <c r="AO408" i="1" s="1"/>
  <c r="AI408" i="1"/>
  <c r="AK408" i="1" s="1"/>
  <c r="AR408" i="1"/>
  <c r="AE404" i="1"/>
  <c r="AF404" i="1"/>
  <c r="AH404" i="1" s="1"/>
  <c r="AL404" i="1" s="1"/>
  <c r="AS404" i="1"/>
  <c r="AJ403" i="1"/>
  <c r="AN403" i="1"/>
  <c r="Y405" i="1"/>
  <c r="AG405" i="1"/>
  <c r="AO405" i="1" s="1"/>
  <c r="AI405" i="1"/>
  <c r="AK405" i="1" s="1"/>
  <c r="AR405" i="1"/>
  <c r="AE407" i="1"/>
  <c r="AF407" i="1"/>
  <c r="AH407" i="1" s="1"/>
  <c r="AL407" i="1" s="1"/>
  <c r="AS407" i="1"/>
  <c r="Y406" i="1"/>
  <c r="AG406" i="1"/>
  <c r="AO406" i="1" s="1"/>
  <c r="AI406" i="1"/>
  <c r="AK406" i="1" s="1"/>
  <c r="AR406" i="1"/>
  <c r="AE408" i="1"/>
  <c r="AF408" i="1"/>
  <c r="AH408" i="1" s="1"/>
  <c r="AL408" i="1" s="1"/>
  <c r="AS408" i="1"/>
  <c r="AT408" i="1"/>
  <c r="AJ404" i="1"/>
  <c r="AN404" i="1"/>
  <c r="Y403" i="1"/>
  <c r="AG403" i="1"/>
  <c r="AO403" i="1" s="1"/>
  <c r="AI403" i="1"/>
  <c r="AK403" i="1" s="1"/>
  <c r="AR403" i="1"/>
  <c r="AE405" i="1"/>
  <c r="AF405" i="1"/>
  <c r="AH405" i="1" s="1"/>
  <c r="AL405" i="1" s="1"/>
  <c r="AS405" i="1"/>
  <c r="AT405" i="1"/>
  <c r="AJ407" i="1"/>
  <c r="AN407" i="1"/>
  <c r="AT397" i="1"/>
  <c r="AT396" i="1"/>
  <c r="AT398" i="1"/>
  <c r="AT399" i="1"/>
  <c r="AT400" i="1"/>
  <c r="Y397" i="1"/>
  <c r="AG397" i="1"/>
  <c r="AO397" i="1" s="1"/>
  <c r="AI397" i="1"/>
  <c r="AK397" i="1" s="1"/>
  <c r="AR397" i="1"/>
  <c r="AE400" i="1"/>
  <c r="AF400" i="1"/>
  <c r="AH400" i="1" s="1"/>
  <c r="AL400" i="1" s="1"/>
  <c r="AS400" i="1"/>
  <c r="AJ402" i="1"/>
  <c r="AN402" i="1"/>
  <c r="Y396" i="1"/>
  <c r="AG396" i="1"/>
  <c r="AO396" i="1" s="1"/>
  <c r="AI396" i="1"/>
  <c r="AK396" i="1" s="1"/>
  <c r="AR396" i="1"/>
  <c r="AE399" i="1"/>
  <c r="AF399" i="1"/>
  <c r="AH399" i="1" s="1"/>
  <c r="AL399" i="1" s="1"/>
  <c r="AS399" i="1"/>
  <c r="AJ401" i="1"/>
  <c r="AN401" i="1"/>
  <c r="Y398" i="1"/>
  <c r="AG398" i="1"/>
  <c r="AO398" i="1" s="1"/>
  <c r="AI398" i="1"/>
  <c r="AK398" i="1" s="1"/>
  <c r="AR398" i="1"/>
  <c r="AE397" i="1"/>
  <c r="AF397" i="1"/>
  <c r="AH397" i="1" s="1"/>
  <c r="AL397" i="1" s="1"/>
  <c r="AS397" i="1"/>
  <c r="AJ400" i="1"/>
  <c r="AN400" i="1"/>
  <c r="Y402" i="1"/>
  <c r="AG402" i="1"/>
  <c r="AO402" i="1" s="1"/>
  <c r="AI402" i="1"/>
  <c r="AK402" i="1" s="1"/>
  <c r="AR402" i="1"/>
  <c r="AE396" i="1"/>
  <c r="AF396" i="1"/>
  <c r="AH396" i="1" s="1"/>
  <c r="AL396" i="1" s="1"/>
  <c r="AS396" i="1"/>
  <c r="AJ399" i="1"/>
  <c r="AN399" i="1"/>
  <c r="Y401" i="1"/>
  <c r="AG401" i="1"/>
  <c r="AO401" i="1" s="1"/>
  <c r="AI401" i="1"/>
  <c r="AK401" i="1" s="1"/>
  <c r="AR401" i="1"/>
  <c r="AE398" i="1"/>
  <c r="AF398" i="1"/>
  <c r="AH398" i="1" s="1"/>
  <c r="AL398" i="1" s="1"/>
  <c r="AS398" i="1"/>
  <c r="AJ397" i="1"/>
  <c r="AN397" i="1"/>
  <c r="Y400" i="1"/>
  <c r="AG400" i="1"/>
  <c r="AO400" i="1" s="1"/>
  <c r="AI400" i="1"/>
  <c r="AK400" i="1" s="1"/>
  <c r="AR400" i="1"/>
  <c r="AE402" i="1"/>
  <c r="AF402" i="1"/>
  <c r="AH402" i="1" s="1"/>
  <c r="AL402" i="1" s="1"/>
  <c r="AS402" i="1"/>
  <c r="AT402" i="1"/>
  <c r="AJ396" i="1"/>
  <c r="AN396" i="1"/>
  <c r="Y399" i="1"/>
  <c r="AG399" i="1"/>
  <c r="AO399" i="1" s="1"/>
  <c r="AI399" i="1"/>
  <c r="AK399" i="1" s="1"/>
  <c r="AR399" i="1"/>
  <c r="AE401" i="1"/>
  <c r="AF401" i="1"/>
  <c r="AH401" i="1" s="1"/>
  <c r="AL401" i="1" s="1"/>
  <c r="AS401" i="1"/>
  <c r="AT401" i="1"/>
  <c r="AJ398" i="1"/>
  <c r="AN398" i="1"/>
  <c r="AT394" i="1"/>
  <c r="AT395" i="1"/>
  <c r="AE395" i="1"/>
  <c r="AF395" i="1"/>
  <c r="AH395" i="1" s="1"/>
  <c r="AL395" i="1" s="1"/>
  <c r="AS395" i="1"/>
  <c r="AJ395" i="1"/>
  <c r="AN395" i="1"/>
  <c r="Y394" i="1"/>
  <c r="AG394" i="1"/>
  <c r="AO394" i="1" s="1"/>
  <c r="AI394" i="1"/>
  <c r="AK394" i="1" s="1"/>
  <c r="AR394" i="1"/>
  <c r="Y395" i="1"/>
  <c r="AG395" i="1"/>
  <c r="AO395" i="1" s="1"/>
  <c r="AI395" i="1"/>
  <c r="AK395" i="1" s="1"/>
  <c r="AR395" i="1"/>
  <c r="AE394" i="1"/>
  <c r="AF394" i="1"/>
  <c r="AH394" i="1" s="1"/>
  <c r="AL394" i="1" s="1"/>
  <c r="AS394" i="1"/>
  <c r="AJ394" i="1"/>
  <c r="AN394" i="1"/>
  <c r="AT393" i="1"/>
  <c r="AT390" i="1"/>
  <c r="AT392" i="1"/>
  <c r="Y393" i="1"/>
  <c r="AG393" i="1"/>
  <c r="AO393" i="1" s="1"/>
  <c r="AI393" i="1"/>
  <c r="AK393" i="1" s="1"/>
  <c r="AR393" i="1"/>
  <c r="AE392" i="1"/>
  <c r="AF392" i="1"/>
  <c r="AH392" i="1" s="1"/>
  <c r="AL392" i="1" s="1"/>
  <c r="AS392" i="1"/>
  <c r="AJ391" i="1"/>
  <c r="AN391" i="1"/>
  <c r="Y390" i="1"/>
  <c r="AG390" i="1"/>
  <c r="AO390" i="1" s="1"/>
  <c r="AI390" i="1"/>
  <c r="AK390" i="1" s="1"/>
  <c r="AR390" i="1"/>
  <c r="AE393" i="1"/>
  <c r="AF393" i="1"/>
  <c r="AH393" i="1" s="1"/>
  <c r="AL393" i="1" s="1"/>
  <c r="AS393" i="1"/>
  <c r="AJ392" i="1"/>
  <c r="AN392" i="1"/>
  <c r="Y391" i="1"/>
  <c r="AG391" i="1"/>
  <c r="AO391" i="1" s="1"/>
  <c r="AI391" i="1"/>
  <c r="AK391" i="1" s="1"/>
  <c r="AR391" i="1"/>
  <c r="AE390" i="1"/>
  <c r="AF390" i="1"/>
  <c r="AH390" i="1" s="1"/>
  <c r="AL390" i="1" s="1"/>
  <c r="AS390" i="1"/>
  <c r="AJ393" i="1"/>
  <c r="AN393" i="1"/>
  <c r="Y392" i="1"/>
  <c r="AG392" i="1"/>
  <c r="AO392" i="1" s="1"/>
  <c r="AI392" i="1"/>
  <c r="AK392" i="1" s="1"/>
  <c r="AR392" i="1"/>
  <c r="AE391" i="1"/>
  <c r="AF391" i="1"/>
  <c r="AH391" i="1" s="1"/>
  <c r="AL391" i="1" s="1"/>
  <c r="AS391" i="1"/>
  <c r="AT391" i="1"/>
  <c r="AJ390" i="1"/>
  <c r="AN390" i="1"/>
  <c r="AT388" i="1"/>
  <c r="AT389" i="1"/>
  <c r="AJ389" i="1"/>
  <c r="AN389" i="1"/>
  <c r="Y388" i="1"/>
  <c r="AG388" i="1"/>
  <c r="AO388" i="1" s="1"/>
  <c r="AI388" i="1"/>
  <c r="AK388" i="1" s="1"/>
  <c r="AR388" i="1"/>
  <c r="Y389" i="1"/>
  <c r="AG389" i="1"/>
  <c r="AO389" i="1" s="1"/>
  <c r="AI389" i="1"/>
  <c r="AK389" i="1" s="1"/>
  <c r="AR389" i="1"/>
  <c r="AE388" i="1"/>
  <c r="AF388" i="1"/>
  <c r="AH388" i="1" s="1"/>
  <c r="AL388" i="1" s="1"/>
  <c r="AS388" i="1"/>
  <c r="AE389" i="1"/>
  <c r="AF389" i="1"/>
  <c r="AH389" i="1" s="1"/>
  <c r="AS389" i="1"/>
  <c r="AJ388" i="1"/>
  <c r="AN388" i="1"/>
  <c r="AT383" i="1"/>
  <c r="AT384" i="1"/>
  <c r="AT382" i="1"/>
  <c r="AT385" i="1"/>
  <c r="AT386" i="1"/>
  <c r="AT387" i="1"/>
  <c r="AE383" i="1"/>
  <c r="AF383" i="1"/>
  <c r="AH383" i="1" s="1"/>
  <c r="AL383" i="1" s="1"/>
  <c r="AS383" i="1"/>
  <c r="AJ386" i="1"/>
  <c r="AN386" i="1"/>
  <c r="Y382" i="1"/>
  <c r="AG382" i="1"/>
  <c r="AO382" i="1" s="1"/>
  <c r="AI382" i="1"/>
  <c r="AK382" i="1" s="1"/>
  <c r="AR382" i="1"/>
  <c r="AE384" i="1"/>
  <c r="AF384" i="1"/>
  <c r="AH384" i="1" s="1"/>
  <c r="AL384" i="1" s="1"/>
  <c r="AS384" i="1"/>
  <c r="AJ387" i="1"/>
  <c r="AN387" i="1"/>
  <c r="Y385" i="1"/>
  <c r="AG385" i="1"/>
  <c r="AO385" i="1" s="1"/>
  <c r="AI385" i="1"/>
  <c r="AK385" i="1" s="1"/>
  <c r="AR385" i="1"/>
  <c r="AJ383" i="1"/>
  <c r="AN383" i="1"/>
  <c r="Y386" i="1"/>
  <c r="AG386" i="1"/>
  <c r="AO386" i="1" s="1"/>
  <c r="AI386" i="1"/>
  <c r="AK386" i="1" s="1"/>
  <c r="AR386" i="1"/>
  <c r="AE382" i="1"/>
  <c r="AF382" i="1"/>
  <c r="AH382" i="1" s="1"/>
  <c r="AL382" i="1" s="1"/>
  <c r="AS382" i="1"/>
  <c r="AJ384" i="1"/>
  <c r="AN384" i="1"/>
  <c r="Y387" i="1"/>
  <c r="AG387" i="1"/>
  <c r="AO387" i="1" s="1"/>
  <c r="AI387" i="1"/>
  <c r="AK387" i="1" s="1"/>
  <c r="AR387" i="1"/>
  <c r="AE385" i="1"/>
  <c r="AF385" i="1"/>
  <c r="AH385" i="1" s="1"/>
  <c r="AL385" i="1" s="1"/>
  <c r="AS385" i="1"/>
  <c r="Y383" i="1"/>
  <c r="AG383" i="1"/>
  <c r="AO383" i="1" s="1"/>
  <c r="AI383" i="1"/>
  <c r="AK383" i="1" s="1"/>
  <c r="AR383" i="1"/>
  <c r="AE386" i="1"/>
  <c r="AF386" i="1"/>
  <c r="AH386" i="1" s="1"/>
  <c r="AL386" i="1" s="1"/>
  <c r="AS386" i="1"/>
  <c r="AJ382" i="1"/>
  <c r="AN382" i="1"/>
  <c r="Y384" i="1"/>
  <c r="AG384" i="1"/>
  <c r="AO384" i="1" s="1"/>
  <c r="AI384" i="1"/>
  <c r="AK384" i="1" s="1"/>
  <c r="AR384" i="1"/>
  <c r="AE387" i="1"/>
  <c r="AF387" i="1"/>
  <c r="AH387" i="1" s="1"/>
  <c r="AL387" i="1" s="1"/>
  <c r="AS387" i="1"/>
  <c r="AJ385" i="1"/>
  <c r="AN385" i="1"/>
  <c r="AT379" i="1"/>
  <c r="AR381" i="1"/>
  <c r="AR378" i="1"/>
  <c r="AT380" i="1"/>
  <c r="AT378" i="1"/>
  <c r="Y377" i="1"/>
  <c r="AG377" i="1"/>
  <c r="AO377" i="1" s="1"/>
  <c r="AI377" i="1"/>
  <c r="AK377" i="1" s="1"/>
  <c r="AR377" i="1"/>
  <c r="AE380" i="1"/>
  <c r="AF380" i="1"/>
  <c r="AH380" i="1" s="1"/>
  <c r="AL380" i="1" s="1"/>
  <c r="AS380" i="1"/>
  <c r="AE381" i="1"/>
  <c r="AF381" i="1"/>
  <c r="AH381" i="1" s="1"/>
  <c r="AL381" i="1" s="1"/>
  <c r="AS381" i="1"/>
  <c r="Y381" i="1"/>
  <c r="AI381" i="1"/>
  <c r="AK381" i="1" s="1"/>
  <c r="AG381" i="1"/>
  <c r="AO381" i="1" s="1"/>
  <c r="AE379" i="1"/>
  <c r="AS379" i="1"/>
  <c r="AF379" i="1"/>
  <c r="AH379" i="1" s="1"/>
  <c r="AL379" i="1" s="1"/>
  <c r="AT376" i="1"/>
  <c r="AI378" i="1"/>
  <c r="AK378" i="1" s="1"/>
  <c r="AE378" i="1"/>
  <c r="AS378" i="1"/>
  <c r="AF378" i="1"/>
  <c r="AH378" i="1" s="1"/>
  <c r="AL378" i="1" s="1"/>
  <c r="Y380" i="1"/>
  <c r="AG380" i="1"/>
  <c r="AO380" i="1" s="1"/>
  <c r="AI380" i="1"/>
  <c r="AK380" i="1" s="1"/>
  <c r="AR380" i="1"/>
  <c r="Y376" i="1"/>
  <c r="AR376" i="1"/>
  <c r="AG376" i="1"/>
  <c r="AO376" i="1" s="1"/>
  <c r="AI376" i="1"/>
  <c r="AK376" i="1" s="1"/>
  <c r="AT377" i="1"/>
  <c r="AE377" i="1"/>
  <c r="AS377" i="1"/>
  <c r="AF377" i="1"/>
  <c r="AH377" i="1" s="1"/>
  <c r="AL377" i="1" s="1"/>
  <c r="AT381" i="1"/>
  <c r="AE376" i="1"/>
  <c r="AS376" i="1"/>
  <c r="AF376" i="1"/>
  <c r="AH376" i="1" s="1"/>
  <c r="AL376" i="1" s="1"/>
  <c r="Y378" i="1"/>
  <c r="AG378" i="1"/>
  <c r="AO378" i="1" s="1"/>
  <c r="Y379" i="1"/>
  <c r="AR379" i="1"/>
  <c r="AI379" i="1"/>
  <c r="AK379" i="1" s="1"/>
  <c r="AG379" i="1"/>
  <c r="AO379" i="1" s="1"/>
  <c r="AJ381" i="1"/>
  <c r="AN381" i="1"/>
  <c r="AJ376" i="1"/>
  <c r="AN376" i="1"/>
  <c r="AJ378" i="1"/>
  <c r="AN378" i="1"/>
  <c r="AJ377" i="1"/>
  <c r="AN377" i="1"/>
  <c r="AN379" i="1"/>
  <c r="AJ379" i="1"/>
  <c r="AN380" i="1"/>
  <c r="AJ380" i="1"/>
  <c r="AR375" i="1"/>
  <c r="AT373" i="1"/>
  <c r="AT375" i="1"/>
  <c r="AS374" i="1"/>
  <c r="AS375" i="1"/>
  <c r="AT374" i="1"/>
  <c r="AS373" i="1"/>
  <c r="AE373" i="1"/>
  <c r="AF373" i="1"/>
  <c r="AH373" i="1" s="1"/>
  <c r="AL373" i="1" s="1"/>
  <c r="AT371" i="1"/>
  <c r="AN375" i="1"/>
  <c r="AJ375" i="1"/>
  <c r="AR371" i="1"/>
  <c r="AI371" i="1"/>
  <c r="AK371" i="1" s="1"/>
  <c r="Y371" i="1"/>
  <c r="AG371" i="1"/>
  <c r="AO371" i="1" s="1"/>
  <c r="AN371" i="1"/>
  <c r="AJ371" i="1"/>
  <c r="AI373" i="1"/>
  <c r="AK373" i="1" s="1"/>
  <c r="AR373" i="1"/>
  <c r="AG373" i="1"/>
  <c r="AO373" i="1" s="1"/>
  <c r="Y373" i="1"/>
  <c r="AE371" i="1"/>
  <c r="AF371" i="1"/>
  <c r="AH371" i="1" s="1"/>
  <c r="AL371" i="1" s="1"/>
  <c r="AS371" i="1"/>
  <c r="AS372" i="1"/>
  <c r="AF372" i="1"/>
  <c r="AH372" i="1" s="1"/>
  <c r="AL372" i="1" s="1"/>
  <c r="AE372" i="1"/>
  <c r="AG374" i="1"/>
  <c r="AO374" i="1" s="1"/>
  <c r="AR374" i="1"/>
  <c r="AI374" i="1"/>
  <c r="AK374" i="1" s="1"/>
  <c r="Y374" i="1"/>
  <c r="AT372" i="1"/>
  <c r="AE374" i="1"/>
  <c r="AF374" i="1"/>
  <c r="AH374" i="1" s="1"/>
  <c r="AL374" i="1" s="1"/>
  <c r="AE375" i="1"/>
  <c r="AF375" i="1"/>
  <c r="AH375" i="1" s="1"/>
  <c r="AL375" i="1" s="1"/>
  <c r="Y372" i="1"/>
  <c r="AI372" i="1"/>
  <c r="AK372" i="1" s="1"/>
  <c r="AR372" i="1"/>
  <c r="AG372" i="1"/>
  <c r="AO372" i="1" s="1"/>
  <c r="AN373" i="1"/>
  <c r="AJ373" i="1"/>
  <c r="Y375" i="1"/>
  <c r="AG375" i="1"/>
  <c r="AO375" i="1" s="1"/>
  <c r="AI375" i="1"/>
  <c r="AK375" i="1" s="1"/>
  <c r="AN372" i="1"/>
  <c r="AJ372" i="1"/>
  <c r="AJ374" i="1"/>
  <c r="AN374" i="1"/>
  <c r="AT370" i="1"/>
  <c r="AT369" i="1"/>
  <c r="AN369" i="1"/>
  <c r="AJ369" i="1"/>
  <c r="AR370" i="1"/>
  <c r="AN368" i="1"/>
  <c r="AJ368" i="1"/>
  <c r="AE368" i="1"/>
  <c r="AF368" i="1"/>
  <c r="AH368" i="1" s="1"/>
  <c r="AL368" i="1" s="1"/>
  <c r="AS368" i="1"/>
  <c r="Y368" i="1"/>
  <c r="AI368" i="1"/>
  <c r="AK368" i="1" s="1"/>
  <c r="AR368" i="1"/>
  <c r="AG368" i="1"/>
  <c r="AO368" i="1" s="1"/>
  <c r="AS370" i="1"/>
  <c r="AE370" i="1"/>
  <c r="AF370" i="1"/>
  <c r="AH370" i="1" s="1"/>
  <c r="AL370" i="1" s="1"/>
  <c r="AG369" i="1"/>
  <c r="AO369" i="1" s="1"/>
  <c r="AS369" i="1"/>
  <c r="AF369" i="1"/>
  <c r="AH369" i="1" s="1"/>
  <c r="AL369" i="1" s="1"/>
  <c r="AE369" i="1"/>
  <c r="AT368" i="1"/>
  <c r="AG370" i="1"/>
  <c r="AO370" i="1" s="1"/>
  <c r="AI370" i="1"/>
  <c r="AK370" i="1" s="1"/>
  <c r="Y370" i="1"/>
  <c r="Y369" i="1"/>
  <c r="AI369" i="1"/>
  <c r="AK369" i="1" s="1"/>
  <c r="AR369" i="1"/>
  <c r="AN370" i="1"/>
  <c r="AJ370" i="1"/>
  <c r="AS357" i="1"/>
  <c r="AT357" i="1"/>
  <c r="Y357" i="1"/>
  <c r="AI357" i="1"/>
  <c r="AK357" i="1" s="1"/>
  <c r="AG357" i="1"/>
  <c r="AO357" i="1" s="1"/>
  <c r="AR357" i="1"/>
  <c r="AN357" i="1"/>
  <c r="AJ357" i="1"/>
  <c r="AE357" i="1"/>
  <c r="AF357" i="1"/>
  <c r="AH357" i="1" s="1"/>
  <c r="AL357" i="1" s="1"/>
  <c r="AG367" i="1"/>
  <c r="AO367" i="1" s="1"/>
  <c r="Y367" i="1"/>
  <c r="AI367" i="1"/>
  <c r="AK367" i="1" s="1"/>
  <c r="AR367" i="1"/>
  <c r="AF367" i="1"/>
  <c r="AH367" i="1" s="1"/>
  <c r="AL367" i="1" s="1"/>
  <c r="AE367" i="1"/>
  <c r="AS367" i="1"/>
  <c r="AT367" i="1"/>
  <c r="AJ367" i="1"/>
  <c r="AN367" i="1"/>
  <c r="AT365" i="1"/>
  <c r="AS363" i="1"/>
  <c r="AR366" i="1"/>
  <c r="AS366" i="1"/>
  <c r="AR362" i="1"/>
  <c r="AS364" i="1"/>
  <c r="AT364" i="1"/>
  <c r="AT363" i="1"/>
  <c r="AT366" i="1"/>
  <c r="AJ362" i="1"/>
  <c r="AN362" i="1"/>
  <c r="AT362" i="1"/>
  <c r="AI363" i="1"/>
  <c r="AK363" i="1" s="1"/>
  <c r="Y363" i="1"/>
  <c r="AR363" i="1"/>
  <c r="AG363" i="1"/>
  <c r="AO363" i="1" s="1"/>
  <c r="AE366" i="1"/>
  <c r="AF366" i="1"/>
  <c r="AH366" i="1" s="1"/>
  <c r="AL366" i="1" s="1"/>
  <c r="AS365" i="1"/>
  <c r="AS362" i="1"/>
  <c r="AF362" i="1"/>
  <c r="AH362" i="1" s="1"/>
  <c r="AL362" i="1" s="1"/>
  <c r="AE362" i="1"/>
  <c r="AI364" i="1"/>
  <c r="AK364" i="1" s="1"/>
  <c r="Y364" i="1"/>
  <c r="AR364" i="1"/>
  <c r="AG364" i="1"/>
  <c r="AO364" i="1" s="1"/>
  <c r="AJ363" i="1"/>
  <c r="AN363" i="1"/>
  <c r="AG365" i="1"/>
  <c r="AO365" i="1" s="1"/>
  <c r="AR365" i="1"/>
  <c r="AI365" i="1"/>
  <c r="AK365" i="1" s="1"/>
  <c r="Y365" i="1"/>
  <c r="AJ364" i="1"/>
  <c r="AN364" i="1"/>
  <c r="AN366" i="1"/>
  <c r="AJ366" i="1"/>
  <c r="AE365" i="1"/>
  <c r="AF365" i="1"/>
  <c r="AH365" i="1" s="1"/>
  <c r="AL365" i="1" s="1"/>
  <c r="AF363" i="1"/>
  <c r="AH363" i="1" s="1"/>
  <c r="AL363" i="1" s="1"/>
  <c r="AE363" i="1"/>
  <c r="Y366" i="1"/>
  <c r="AG366" i="1"/>
  <c r="AO366" i="1" s="1"/>
  <c r="AI366" i="1"/>
  <c r="AK366" i="1" s="1"/>
  <c r="AN365" i="1"/>
  <c r="AJ365" i="1"/>
  <c r="AG362" i="1"/>
  <c r="AO362" i="1" s="1"/>
  <c r="AI362" i="1"/>
  <c r="AK362" i="1" s="1"/>
  <c r="Y362" i="1"/>
  <c r="AE364" i="1"/>
  <c r="AF364" i="1"/>
  <c r="AH364" i="1" s="1"/>
  <c r="AL364" i="1" s="1"/>
  <c r="AR287" i="1"/>
  <c r="AR298" i="1"/>
  <c r="AT359" i="1"/>
  <c r="AT360" i="1"/>
  <c r="AT358" i="1"/>
  <c r="Y361" i="1"/>
  <c r="AG361" i="1"/>
  <c r="AO361" i="1" s="1"/>
  <c r="AI361" i="1"/>
  <c r="AK361" i="1" s="1"/>
  <c r="AR361" i="1"/>
  <c r="AE360" i="1"/>
  <c r="AF360" i="1"/>
  <c r="AH360" i="1" s="1"/>
  <c r="AL360" i="1" s="1"/>
  <c r="AS360" i="1"/>
  <c r="AJ359" i="1"/>
  <c r="AN359" i="1"/>
  <c r="Y358" i="1"/>
  <c r="AG358" i="1"/>
  <c r="AO358" i="1" s="1"/>
  <c r="AI358" i="1"/>
  <c r="AK358" i="1" s="1"/>
  <c r="AR358" i="1"/>
  <c r="AE361" i="1"/>
  <c r="AF361" i="1"/>
  <c r="AH361" i="1" s="1"/>
  <c r="AL361" i="1" s="1"/>
  <c r="AS361" i="1"/>
  <c r="AT361" i="1"/>
  <c r="AJ360" i="1"/>
  <c r="AN360" i="1"/>
  <c r="Y359" i="1"/>
  <c r="AG359" i="1"/>
  <c r="AO359" i="1" s="1"/>
  <c r="AI359" i="1"/>
  <c r="AK359" i="1" s="1"/>
  <c r="AR359" i="1"/>
  <c r="AE358" i="1"/>
  <c r="AF358" i="1"/>
  <c r="AH358" i="1" s="1"/>
  <c r="AL358" i="1" s="1"/>
  <c r="AS358" i="1"/>
  <c r="AJ361" i="1"/>
  <c r="AN361" i="1"/>
  <c r="Y360" i="1"/>
  <c r="AG360" i="1"/>
  <c r="AO360" i="1" s="1"/>
  <c r="AI360" i="1"/>
  <c r="AK360" i="1" s="1"/>
  <c r="AR360" i="1"/>
  <c r="AE359" i="1"/>
  <c r="AF359" i="1"/>
  <c r="AH359" i="1" s="1"/>
  <c r="AL359" i="1" s="1"/>
  <c r="AS359" i="1"/>
  <c r="AJ358" i="1"/>
  <c r="AN358" i="1"/>
  <c r="AT353" i="1"/>
  <c r="Y353" i="1"/>
  <c r="AG353" i="1"/>
  <c r="AO353" i="1" s="1"/>
  <c r="AI353" i="1"/>
  <c r="AK353" i="1" s="1"/>
  <c r="AR353" i="1"/>
  <c r="AE353" i="1"/>
  <c r="AF353" i="1"/>
  <c r="AH353" i="1" s="1"/>
  <c r="AL353" i="1" s="1"/>
  <c r="AS353" i="1"/>
  <c r="AJ353" i="1"/>
  <c r="AN353" i="1"/>
  <c r="AS342" i="1"/>
  <c r="AT354" i="1"/>
  <c r="AT355" i="1"/>
  <c r="AE356" i="1"/>
  <c r="AF356" i="1"/>
  <c r="AH356" i="1" s="1"/>
  <c r="AL356" i="1" s="1"/>
  <c r="AS356" i="1"/>
  <c r="AT356" i="1"/>
  <c r="AJ355" i="1"/>
  <c r="AN355" i="1"/>
  <c r="Y354" i="1"/>
  <c r="AG354" i="1"/>
  <c r="AO354" i="1" s="1"/>
  <c r="AI354" i="1"/>
  <c r="AK354" i="1" s="1"/>
  <c r="AR354" i="1"/>
  <c r="AJ356" i="1"/>
  <c r="AN356" i="1"/>
  <c r="Y355" i="1"/>
  <c r="AG355" i="1"/>
  <c r="AO355" i="1" s="1"/>
  <c r="AI355" i="1"/>
  <c r="AK355" i="1" s="1"/>
  <c r="AR355" i="1"/>
  <c r="AE354" i="1"/>
  <c r="AF354" i="1"/>
  <c r="AH354" i="1" s="1"/>
  <c r="AL354" i="1" s="1"/>
  <c r="AS354" i="1"/>
  <c r="Y356" i="1"/>
  <c r="AG356" i="1"/>
  <c r="AO356" i="1" s="1"/>
  <c r="AI356" i="1"/>
  <c r="AK356" i="1" s="1"/>
  <c r="AR356" i="1"/>
  <c r="AE355" i="1"/>
  <c r="AF355" i="1"/>
  <c r="AH355" i="1" s="1"/>
  <c r="AL355" i="1" s="1"/>
  <c r="AS355" i="1"/>
  <c r="AJ354" i="1"/>
  <c r="AN354" i="1"/>
  <c r="AT338" i="1"/>
  <c r="Y338" i="1"/>
  <c r="AG338" i="1"/>
  <c r="AO338" i="1" s="1"/>
  <c r="AI338" i="1"/>
  <c r="AK338" i="1" s="1"/>
  <c r="AR338" i="1"/>
  <c r="AE338" i="1"/>
  <c r="AF338" i="1"/>
  <c r="AH338" i="1" s="1"/>
  <c r="AL338" i="1" s="1"/>
  <c r="AS338" i="1"/>
  <c r="AJ338" i="1"/>
  <c r="AN338" i="1"/>
  <c r="AT325" i="1"/>
  <c r="Y325" i="1"/>
  <c r="AG325" i="1"/>
  <c r="AO325" i="1" s="1"/>
  <c r="AI325" i="1"/>
  <c r="AK325" i="1" s="1"/>
  <c r="AR325" i="1"/>
  <c r="AE325" i="1"/>
  <c r="AF325" i="1"/>
  <c r="AH325" i="1" s="1"/>
  <c r="AL325" i="1" s="1"/>
  <c r="AS325" i="1"/>
  <c r="AJ325" i="1"/>
  <c r="AN325" i="1"/>
  <c r="AS317" i="1"/>
  <c r="AS333" i="1"/>
  <c r="AT351" i="1"/>
  <c r="AJ352" i="1"/>
  <c r="AN352" i="1"/>
  <c r="Y351" i="1"/>
  <c r="AG351" i="1"/>
  <c r="AO351" i="1" s="1"/>
  <c r="AI351" i="1"/>
  <c r="AK351" i="1" s="1"/>
  <c r="AR351" i="1"/>
  <c r="Y352" i="1"/>
  <c r="AG352" i="1"/>
  <c r="AO352" i="1" s="1"/>
  <c r="AI352" i="1"/>
  <c r="AK352" i="1" s="1"/>
  <c r="AR352" i="1"/>
  <c r="AE351" i="1"/>
  <c r="AF351" i="1"/>
  <c r="AH351" i="1" s="1"/>
  <c r="AL351" i="1" s="1"/>
  <c r="AS351" i="1"/>
  <c r="AE352" i="1"/>
  <c r="AF352" i="1"/>
  <c r="AH352" i="1" s="1"/>
  <c r="AL352" i="1" s="1"/>
  <c r="AS352" i="1"/>
  <c r="AT352" i="1"/>
  <c r="AJ351" i="1"/>
  <c r="AN351" i="1"/>
  <c r="AS344" i="1"/>
  <c r="AR346" i="1"/>
  <c r="AR343" i="1"/>
  <c r="AS345" i="1"/>
  <c r="AR326" i="1"/>
  <c r="AS329" i="1"/>
  <c r="AR293" i="1"/>
  <c r="AR310" i="1"/>
  <c r="AS309" i="1"/>
  <c r="AR311" i="1"/>
  <c r="AS312" i="1"/>
  <c r="AR315" i="1"/>
  <c r="AS314" i="1"/>
  <c r="AR317" i="1"/>
  <c r="AR300" i="1"/>
  <c r="AR322" i="1"/>
  <c r="AR286" i="1"/>
  <c r="AS336" i="1"/>
  <c r="AS334" i="1"/>
  <c r="AR324" i="1"/>
  <c r="AS343" i="1"/>
  <c r="AR347" i="1"/>
  <c r="AS346" i="1"/>
  <c r="AS350" i="1"/>
  <c r="AS335" i="1"/>
  <c r="AR339" i="1"/>
  <c r="AS331" i="1"/>
  <c r="AR340" i="1"/>
  <c r="AR327" i="1"/>
  <c r="AS324" i="1"/>
  <c r="AR348" i="1"/>
  <c r="AR289" i="1"/>
  <c r="AR305" i="1"/>
  <c r="AR303" i="1"/>
  <c r="AR302" i="1"/>
  <c r="AS316" i="1"/>
  <c r="AS330" i="1"/>
  <c r="AR320" i="1"/>
  <c r="AR290" i="1"/>
  <c r="AR332" i="1"/>
  <c r="AR349" i="1"/>
  <c r="AS348" i="1"/>
  <c r="AR294" i="1"/>
  <c r="AR296" i="1"/>
  <c r="AR307" i="1"/>
  <c r="AS308" i="1"/>
  <c r="AR309" i="1"/>
  <c r="AS311" i="1"/>
  <c r="AR313" i="1"/>
  <c r="AS315" i="1"/>
  <c r="AR318" i="1"/>
  <c r="AR321" i="1"/>
  <c r="AR319" i="1"/>
  <c r="AR337" i="1"/>
  <c r="AR341" i="1"/>
  <c r="AR334" i="1"/>
  <c r="AR345" i="1"/>
  <c r="AR335" i="1"/>
  <c r="AS339" i="1"/>
  <c r="AS319" i="1"/>
  <c r="AS332" i="1"/>
  <c r="AR342" i="1"/>
  <c r="AS340" i="1"/>
  <c r="AS328" i="1"/>
  <c r="AR292" i="1"/>
  <c r="AR306" i="1"/>
  <c r="AR304" i="1"/>
  <c r="AR330" i="1"/>
  <c r="AS318" i="1"/>
  <c r="AS323" i="1"/>
  <c r="AS320" i="1"/>
  <c r="AS337" i="1"/>
  <c r="AR333" i="1"/>
  <c r="AR331" i="1"/>
  <c r="AS327" i="1"/>
  <c r="AR328" i="1"/>
  <c r="AS326" i="1"/>
  <c r="AR329" i="1"/>
  <c r="AR344" i="1"/>
  <c r="AS347" i="1"/>
  <c r="AR285" i="1"/>
  <c r="AR284" i="1"/>
  <c r="AR288" i="1"/>
  <c r="AR291" i="1"/>
  <c r="AR297" i="1"/>
  <c r="AR295" i="1"/>
  <c r="AR299" i="1"/>
  <c r="AS306" i="1"/>
  <c r="AR301" i="1"/>
  <c r="AS307" i="1"/>
  <c r="AS310" i="1"/>
  <c r="AR308" i="1"/>
  <c r="AR312" i="1"/>
  <c r="AS313" i="1"/>
  <c r="AR314" i="1"/>
  <c r="AR316" i="1"/>
  <c r="AS322" i="1"/>
  <c r="AR323" i="1"/>
  <c r="AS321" i="1"/>
  <c r="AR336" i="1"/>
  <c r="AS341" i="1"/>
  <c r="AR350" i="1"/>
  <c r="AS349" i="1"/>
  <c r="AT348" i="1"/>
  <c r="AT349" i="1"/>
  <c r="AE350" i="1"/>
  <c r="AF350" i="1"/>
  <c r="AH350" i="1" s="1"/>
  <c r="AL350" i="1" s="1"/>
  <c r="AT350" i="1"/>
  <c r="AJ349" i="1"/>
  <c r="AN349" i="1"/>
  <c r="Y348" i="1"/>
  <c r="AG348" i="1"/>
  <c r="AO348" i="1" s="1"/>
  <c r="AI348" i="1"/>
  <c r="AK348" i="1" s="1"/>
  <c r="AJ350" i="1"/>
  <c r="AN350" i="1"/>
  <c r="Y349" i="1"/>
  <c r="AG349" i="1"/>
  <c r="AO349" i="1" s="1"/>
  <c r="AI349" i="1"/>
  <c r="AK349" i="1" s="1"/>
  <c r="AE348" i="1"/>
  <c r="AF348" i="1"/>
  <c r="AH348" i="1" s="1"/>
  <c r="AL348" i="1" s="1"/>
  <c r="Y350" i="1"/>
  <c r="AG350" i="1"/>
  <c r="AO350" i="1" s="1"/>
  <c r="AI350" i="1"/>
  <c r="AK350" i="1" s="1"/>
  <c r="AE349" i="1"/>
  <c r="AF349" i="1"/>
  <c r="AH349" i="1" s="1"/>
  <c r="AL349" i="1" s="1"/>
  <c r="AJ348" i="1"/>
  <c r="AN348" i="1"/>
  <c r="AT346" i="1"/>
  <c r="AT347" i="1"/>
  <c r="AE347" i="1"/>
  <c r="AF347" i="1"/>
  <c r="AH347" i="1" s="1"/>
  <c r="AL347" i="1" s="1"/>
  <c r="AJ347" i="1"/>
  <c r="AN347" i="1"/>
  <c r="Y346" i="1"/>
  <c r="AG346" i="1"/>
  <c r="AO346" i="1" s="1"/>
  <c r="AI346" i="1"/>
  <c r="AK346" i="1" s="1"/>
  <c r="Y347" i="1"/>
  <c r="AG347" i="1"/>
  <c r="AO347" i="1" s="1"/>
  <c r="AI347" i="1"/>
  <c r="AK347" i="1" s="1"/>
  <c r="AE346" i="1"/>
  <c r="AF346" i="1"/>
  <c r="AH346" i="1" s="1"/>
  <c r="AL346" i="1" s="1"/>
  <c r="AJ346" i="1"/>
  <c r="AN346" i="1"/>
  <c r="AT344" i="1"/>
  <c r="AG345" i="1"/>
  <c r="AO345" i="1" s="1"/>
  <c r="Y345" i="1"/>
  <c r="AI345" i="1"/>
  <c r="AK345" i="1" s="1"/>
  <c r="AN345" i="1"/>
  <c r="AJ345" i="1"/>
  <c r="Y344" i="1"/>
  <c r="AG344" i="1"/>
  <c r="AO344" i="1" s="1"/>
  <c r="AI344" i="1"/>
  <c r="AK344" i="1" s="1"/>
  <c r="AE345" i="1"/>
  <c r="AF345" i="1"/>
  <c r="AH345" i="1" s="1"/>
  <c r="AL345" i="1" s="1"/>
  <c r="AE344" i="1"/>
  <c r="AF344" i="1"/>
  <c r="AH344" i="1" s="1"/>
  <c r="AL344" i="1" s="1"/>
  <c r="AT345" i="1"/>
  <c r="AN344" i="1"/>
  <c r="AJ344" i="1"/>
  <c r="AT343" i="1"/>
  <c r="AE343" i="1"/>
  <c r="AF343" i="1"/>
  <c r="AH343" i="1" s="1"/>
  <c r="AL343" i="1" s="1"/>
  <c r="Y343" i="1"/>
  <c r="AG343" i="1"/>
  <c r="AO343" i="1" s="1"/>
  <c r="AI343" i="1"/>
  <c r="AK343" i="1" s="1"/>
  <c r="AN343" i="1"/>
  <c r="AJ343" i="1"/>
  <c r="AT327" i="1"/>
  <c r="AT326" i="1"/>
  <c r="AT324" i="1"/>
  <c r="AT328" i="1"/>
  <c r="AT329" i="1"/>
  <c r="AE327" i="1"/>
  <c r="AF327" i="1"/>
  <c r="AH327" i="1" s="1"/>
  <c r="AL327" i="1" s="1"/>
  <c r="AJ327" i="1"/>
  <c r="AN327" i="1"/>
  <c r="Y328" i="1"/>
  <c r="AG328" i="1"/>
  <c r="AO328" i="1" s="1"/>
  <c r="AI328" i="1"/>
  <c r="AK328" i="1" s="1"/>
  <c r="AE326" i="1"/>
  <c r="AF326" i="1"/>
  <c r="AH326" i="1" s="1"/>
  <c r="AL326" i="1" s="1"/>
  <c r="AJ326" i="1"/>
  <c r="AN326" i="1"/>
  <c r="Y329" i="1"/>
  <c r="AG329" i="1"/>
  <c r="AO329" i="1" s="1"/>
  <c r="AI329" i="1"/>
  <c r="AK329" i="1" s="1"/>
  <c r="Y327" i="1"/>
  <c r="AG327" i="1"/>
  <c r="AO327" i="1" s="1"/>
  <c r="AI327" i="1"/>
  <c r="AK327" i="1" s="1"/>
  <c r="AE324" i="1"/>
  <c r="AF324" i="1"/>
  <c r="AH324" i="1" s="1"/>
  <c r="AL324" i="1" s="1"/>
  <c r="AJ324" i="1"/>
  <c r="AN324" i="1"/>
  <c r="Y326" i="1"/>
  <c r="AG326" i="1"/>
  <c r="AO326" i="1" s="1"/>
  <c r="AI326" i="1"/>
  <c r="AK326" i="1" s="1"/>
  <c r="AE329" i="1"/>
  <c r="AF329" i="1"/>
  <c r="AH329" i="1" s="1"/>
  <c r="AL329" i="1" s="1"/>
  <c r="AE328" i="1"/>
  <c r="AF328" i="1"/>
  <c r="AH328" i="1" s="1"/>
  <c r="AL328" i="1" s="1"/>
  <c r="AJ328" i="1"/>
  <c r="AN328" i="1"/>
  <c r="Y324" i="1"/>
  <c r="AG324" i="1"/>
  <c r="AO324" i="1" s="1"/>
  <c r="AI324" i="1"/>
  <c r="AK324" i="1" s="1"/>
  <c r="AJ329" i="1"/>
  <c r="AN329" i="1"/>
  <c r="AN342" i="1"/>
  <c r="AJ342" i="1"/>
  <c r="AG342" i="1"/>
  <c r="AO342" i="1" s="1"/>
  <c r="Y342" i="1"/>
  <c r="AI342" i="1"/>
  <c r="AK342" i="1" s="1"/>
  <c r="AE340" i="1"/>
  <c r="AF340" i="1"/>
  <c r="AH340" i="1" s="1"/>
  <c r="AL340" i="1" s="1"/>
  <c r="AT342" i="1"/>
  <c r="AE342" i="1"/>
  <c r="AF342" i="1"/>
  <c r="AH342" i="1" s="1"/>
  <c r="AL342" i="1" s="1"/>
  <c r="AG340" i="1"/>
  <c r="AO340" i="1" s="1"/>
  <c r="Y340" i="1"/>
  <c r="AI340" i="1"/>
  <c r="AK340" i="1" s="1"/>
  <c r="AT340" i="1"/>
  <c r="AN340" i="1"/>
  <c r="AJ340" i="1"/>
  <c r="AT331" i="1"/>
  <c r="AE331" i="1"/>
  <c r="AF331" i="1"/>
  <c r="AH331" i="1" s="1"/>
  <c r="AL331" i="1" s="1"/>
  <c r="AN331" i="1"/>
  <c r="AJ331" i="1"/>
  <c r="AI331" i="1"/>
  <c r="AK331" i="1" s="1"/>
  <c r="Y331" i="1"/>
  <c r="AG331" i="1"/>
  <c r="AO331" i="1" s="1"/>
  <c r="AT333" i="1"/>
  <c r="AT337" i="1"/>
  <c r="AT332" i="1"/>
  <c r="AT341" i="1"/>
  <c r="AT335" i="1"/>
  <c r="AT334" i="1"/>
  <c r="AT339" i="1"/>
  <c r="AE333" i="1"/>
  <c r="AF333" i="1"/>
  <c r="AH333" i="1" s="1"/>
  <c r="AL333" i="1" s="1"/>
  <c r="AE334" i="1"/>
  <c r="AF334" i="1"/>
  <c r="AH334" i="1" s="1"/>
  <c r="AL334" i="1" s="1"/>
  <c r="Y335" i="1"/>
  <c r="AG335" i="1"/>
  <c r="AO335" i="1" s="1"/>
  <c r="AI335" i="1"/>
  <c r="AK335" i="1" s="1"/>
  <c r="AI341" i="1"/>
  <c r="AK341" i="1" s="1"/>
  <c r="AG341" i="1"/>
  <c r="AO341" i="1" s="1"/>
  <c r="Y341" i="1"/>
  <c r="Y334" i="1"/>
  <c r="AI334" i="1"/>
  <c r="AK334" i="1" s="1"/>
  <c r="AG334" i="1"/>
  <c r="AO334" i="1" s="1"/>
  <c r="AE339" i="1"/>
  <c r="AF339" i="1"/>
  <c r="AH339" i="1" s="1"/>
  <c r="AL339" i="1" s="1"/>
  <c r="Y337" i="1"/>
  <c r="AG337" i="1"/>
  <c r="AO337" i="1" s="1"/>
  <c r="AI337" i="1"/>
  <c r="AK337" i="1" s="1"/>
  <c r="AJ336" i="1"/>
  <c r="AN336" i="1"/>
  <c r="Y332" i="1"/>
  <c r="AG332" i="1"/>
  <c r="AO332" i="1" s="1"/>
  <c r="AI332" i="1"/>
  <c r="AK332" i="1" s="1"/>
  <c r="AT336" i="1"/>
  <c r="AN333" i="1"/>
  <c r="AJ333" i="1"/>
  <c r="Y339" i="1"/>
  <c r="AI339" i="1"/>
  <c r="AK339" i="1" s="1"/>
  <c r="AG339" i="1"/>
  <c r="AO339" i="1" s="1"/>
  <c r="AE337" i="1"/>
  <c r="AF337" i="1"/>
  <c r="AH337" i="1" s="1"/>
  <c r="AL337" i="1" s="1"/>
  <c r="AF336" i="1"/>
  <c r="AH336" i="1" s="1"/>
  <c r="AL336" i="1" s="1"/>
  <c r="AE336" i="1"/>
  <c r="AF341" i="1"/>
  <c r="AH341" i="1" s="1"/>
  <c r="AL341" i="1" s="1"/>
  <c r="AE341" i="1"/>
  <c r="AI333" i="1"/>
  <c r="AK333" i="1" s="1"/>
  <c r="Y333" i="1"/>
  <c r="AG333" i="1"/>
  <c r="AO333" i="1" s="1"/>
  <c r="AE332" i="1"/>
  <c r="AF332" i="1"/>
  <c r="AH332" i="1" s="1"/>
  <c r="AL332" i="1" s="1"/>
  <c r="AE335" i="1"/>
  <c r="AF335" i="1"/>
  <c r="AH335" i="1" s="1"/>
  <c r="AL335" i="1" s="1"/>
  <c r="AN337" i="1"/>
  <c r="AJ337" i="1"/>
  <c r="Y336" i="1"/>
  <c r="AI336" i="1"/>
  <c r="AK336" i="1" s="1"/>
  <c r="AG336" i="1"/>
  <c r="AO336" i="1" s="1"/>
  <c r="AJ341" i="1"/>
  <c r="AN341" i="1"/>
  <c r="AJ332" i="1"/>
  <c r="AN332" i="1"/>
  <c r="AJ334" i="1"/>
  <c r="AN334" i="1"/>
  <c r="AJ335" i="1"/>
  <c r="AN335" i="1"/>
  <c r="AN339" i="1"/>
  <c r="AJ339" i="1"/>
  <c r="AS290" i="1"/>
  <c r="AT290" i="1"/>
  <c r="Y290" i="1"/>
  <c r="AI290" i="1"/>
  <c r="AK290" i="1" s="1"/>
  <c r="AG290" i="1"/>
  <c r="AO290" i="1" s="1"/>
  <c r="AN290" i="1"/>
  <c r="AJ290" i="1"/>
  <c r="AF290" i="1"/>
  <c r="AH290" i="1" s="1"/>
  <c r="AL290" i="1" s="1"/>
  <c r="AE290" i="1"/>
  <c r="AF286" i="1"/>
  <c r="AH286" i="1" s="1"/>
  <c r="AL286" i="1" s="1"/>
  <c r="AE286" i="1"/>
  <c r="AS286" i="1"/>
  <c r="Y286" i="1"/>
  <c r="AG286" i="1"/>
  <c r="AO286" i="1" s="1"/>
  <c r="AI286" i="1"/>
  <c r="AK286" i="1" s="1"/>
  <c r="AT286" i="1"/>
  <c r="AN286" i="1"/>
  <c r="AJ286" i="1"/>
  <c r="AT320" i="1"/>
  <c r="AT319" i="1"/>
  <c r="AT323" i="1"/>
  <c r="AG322" i="1"/>
  <c r="AO322" i="1" s="1"/>
  <c r="Y322" i="1"/>
  <c r="AI322" i="1"/>
  <c r="AK322" i="1" s="1"/>
  <c r="AG319" i="1"/>
  <c r="AO319" i="1" s="1"/>
  <c r="Y319" i="1"/>
  <c r="AI319" i="1"/>
  <c r="AK319" i="1" s="1"/>
  <c r="Y320" i="1"/>
  <c r="AG320" i="1"/>
  <c r="AO320" i="1" s="1"/>
  <c r="AI320" i="1"/>
  <c r="AK320" i="1" s="1"/>
  <c r="AT322" i="1"/>
  <c r="AE323" i="1"/>
  <c r="AF323" i="1"/>
  <c r="AH323" i="1" s="1"/>
  <c r="AL323" i="1" s="1"/>
  <c r="AG321" i="1"/>
  <c r="AO321" i="1" s="1"/>
  <c r="AI321" i="1"/>
  <c r="AK321" i="1" s="1"/>
  <c r="Y321" i="1"/>
  <c r="AF319" i="1"/>
  <c r="AH319" i="1" s="1"/>
  <c r="AL319" i="1" s="1"/>
  <c r="AE319" i="1"/>
  <c r="AT321" i="1"/>
  <c r="AF322" i="1"/>
  <c r="AH322" i="1" s="1"/>
  <c r="AL322" i="1" s="1"/>
  <c r="AE322" i="1"/>
  <c r="AN321" i="1"/>
  <c r="AJ321" i="1"/>
  <c r="AE320" i="1"/>
  <c r="AF320" i="1"/>
  <c r="AH320" i="1" s="1"/>
  <c r="AL320" i="1" s="1"/>
  <c r="Y323" i="1"/>
  <c r="AI323" i="1"/>
  <c r="AK323" i="1" s="1"/>
  <c r="AG323" i="1"/>
  <c r="AO323" i="1" s="1"/>
  <c r="AJ322" i="1"/>
  <c r="AN322" i="1"/>
  <c r="AN323" i="1"/>
  <c r="AJ323" i="1"/>
  <c r="AF321" i="1"/>
  <c r="AH321" i="1" s="1"/>
  <c r="AL321" i="1" s="1"/>
  <c r="AE321" i="1"/>
  <c r="AN319" i="1"/>
  <c r="AJ319" i="1"/>
  <c r="AJ320" i="1"/>
  <c r="AN320" i="1"/>
  <c r="AT316" i="1"/>
  <c r="AT318" i="1"/>
  <c r="AE318" i="1"/>
  <c r="AF318" i="1"/>
  <c r="AH318" i="1" s="1"/>
  <c r="AL318" i="1" s="1"/>
  <c r="AT330" i="1"/>
  <c r="AN318" i="1"/>
  <c r="AJ318" i="1"/>
  <c r="AI318" i="1"/>
  <c r="AK318" i="1" s="1"/>
  <c r="AG318" i="1"/>
  <c r="AO318" i="1" s="1"/>
  <c r="Y318" i="1"/>
  <c r="AN300" i="1"/>
  <c r="AJ300" i="1"/>
  <c r="AI317" i="1"/>
  <c r="AK317" i="1" s="1"/>
  <c r="Y317" i="1"/>
  <c r="AG317" i="1"/>
  <c r="AO317" i="1" s="1"/>
  <c r="AI316" i="1"/>
  <c r="AK316" i="1" s="1"/>
  <c r="Y316" i="1"/>
  <c r="AG316" i="1"/>
  <c r="AO316" i="1" s="1"/>
  <c r="AI330" i="1"/>
  <c r="AK330" i="1" s="1"/>
  <c r="Y330" i="1"/>
  <c r="AG330" i="1"/>
  <c r="AO330" i="1" s="1"/>
  <c r="Y300" i="1"/>
  <c r="AI300" i="1"/>
  <c r="AK300" i="1" s="1"/>
  <c r="AG300" i="1"/>
  <c r="AO300" i="1" s="1"/>
  <c r="AF317" i="1"/>
  <c r="AH317" i="1" s="1"/>
  <c r="AL317" i="1" s="1"/>
  <c r="AE317" i="1"/>
  <c r="AF330" i="1"/>
  <c r="AH330" i="1" s="1"/>
  <c r="AL330" i="1" s="1"/>
  <c r="AE330" i="1"/>
  <c r="AT300" i="1"/>
  <c r="AT317" i="1"/>
  <c r="AF316" i="1"/>
  <c r="AH316" i="1" s="1"/>
  <c r="AL316" i="1" s="1"/>
  <c r="AE316" i="1"/>
  <c r="AS300" i="1"/>
  <c r="AE300" i="1"/>
  <c r="AF300" i="1"/>
  <c r="AH300" i="1" s="1"/>
  <c r="AL300" i="1" s="1"/>
  <c r="AJ317" i="1"/>
  <c r="AN317" i="1"/>
  <c r="AN316" i="1"/>
  <c r="AJ316" i="1"/>
  <c r="AJ330" i="1"/>
  <c r="AN330" i="1"/>
  <c r="AT315" i="1"/>
  <c r="AE315" i="1"/>
  <c r="AF315" i="1"/>
  <c r="AH315" i="1" s="1"/>
  <c r="AL315" i="1" s="1"/>
  <c r="AJ315" i="1"/>
  <c r="AN315" i="1"/>
  <c r="Y314" i="1"/>
  <c r="AG314" i="1"/>
  <c r="AO314" i="1" s="1"/>
  <c r="AI314" i="1"/>
  <c r="AK314" i="1" s="1"/>
  <c r="Y315" i="1"/>
  <c r="AG315" i="1"/>
  <c r="AO315" i="1" s="1"/>
  <c r="AI315" i="1"/>
  <c r="AK315" i="1" s="1"/>
  <c r="AE314" i="1"/>
  <c r="AF314" i="1"/>
  <c r="AH314" i="1" s="1"/>
  <c r="AL314" i="1" s="1"/>
  <c r="AT314" i="1"/>
  <c r="AJ314" i="1"/>
  <c r="AN314" i="1"/>
  <c r="AT313" i="1"/>
  <c r="AT311" i="1"/>
  <c r="AE311" i="1"/>
  <c r="AF311" i="1"/>
  <c r="AH311" i="1" s="1"/>
  <c r="AL311" i="1" s="1"/>
  <c r="AJ312" i="1"/>
  <c r="AN312" i="1"/>
  <c r="Y313" i="1"/>
  <c r="AG313" i="1"/>
  <c r="AO313" i="1" s="1"/>
  <c r="AI313" i="1"/>
  <c r="AK313" i="1" s="1"/>
  <c r="AJ311" i="1"/>
  <c r="AN311" i="1"/>
  <c r="Y312" i="1"/>
  <c r="AG312" i="1"/>
  <c r="AO312" i="1" s="1"/>
  <c r="AI312" i="1"/>
  <c r="AK312" i="1" s="1"/>
  <c r="AE313" i="1"/>
  <c r="AF313" i="1"/>
  <c r="AH313" i="1" s="1"/>
  <c r="AL313" i="1" s="1"/>
  <c r="Y311" i="1"/>
  <c r="AG311" i="1"/>
  <c r="AO311" i="1" s="1"/>
  <c r="AI311" i="1"/>
  <c r="AK311" i="1" s="1"/>
  <c r="AE312" i="1"/>
  <c r="AF312" i="1"/>
  <c r="AH312" i="1" s="1"/>
  <c r="AL312" i="1" s="1"/>
  <c r="AT312" i="1"/>
  <c r="AJ313" i="1"/>
  <c r="AN313" i="1"/>
  <c r="AT308" i="1"/>
  <c r="AT310" i="1"/>
  <c r="Y310" i="1"/>
  <c r="AG310" i="1"/>
  <c r="AO310" i="1" s="1"/>
  <c r="AI310" i="1"/>
  <c r="AK310" i="1" s="1"/>
  <c r="AE308" i="1"/>
  <c r="AF308" i="1"/>
  <c r="AH308" i="1" s="1"/>
  <c r="AL308" i="1" s="1"/>
  <c r="AJ308" i="1"/>
  <c r="AN308" i="1"/>
  <c r="Y309" i="1"/>
  <c r="AG309" i="1"/>
  <c r="AO309" i="1" s="1"/>
  <c r="AI309" i="1"/>
  <c r="AK309" i="1" s="1"/>
  <c r="AE310" i="1"/>
  <c r="AF310" i="1"/>
  <c r="AH310" i="1" s="1"/>
  <c r="AL310" i="1" s="1"/>
  <c r="AJ310" i="1"/>
  <c r="AN310" i="1"/>
  <c r="Y308" i="1"/>
  <c r="AG308" i="1"/>
  <c r="AO308" i="1" s="1"/>
  <c r="AI308" i="1"/>
  <c r="AK308" i="1" s="1"/>
  <c r="AT309" i="1"/>
  <c r="AE309" i="1"/>
  <c r="AF309" i="1"/>
  <c r="AH309" i="1" s="1"/>
  <c r="AL309" i="1" s="1"/>
  <c r="AJ309" i="1"/>
  <c r="AN309" i="1"/>
  <c r="AT307" i="1"/>
  <c r="Y307" i="1"/>
  <c r="AG307" i="1"/>
  <c r="AO307" i="1" s="1"/>
  <c r="AI307" i="1"/>
  <c r="AK307" i="1" s="1"/>
  <c r="AE307" i="1"/>
  <c r="AF307" i="1"/>
  <c r="AH307" i="1" s="1"/>
  <c r="AL307" i="1" s="1"/>
  <c r="AJ307" i="1"/>
  <c r="AN307" i="1"/>
  <c r="AF306" i="1"/>
  <c r="AH306" i="1" s="1"/>
  <c r="AL306" i="1" s="1"/>
  <c r="AE306" i="1"/>
  <c r="AT305" i="1"/>
  <c r="AN305" i="1"/>
  <c r="AJ305" i="1"/>
  <c r="AT303" i="1"/>
  <c r="AS303" i="1"/>
  <c r="AF303" i="1"/>
  <c r="AH303" i="1" s="1"/>
  <c r="AL303" i="1" s="1"/>
  <c r="AE303" i="1"/>
  <c r="AT302" i="1"/>
  <c r="AN302" i="1"/>
  <c r="AJ302" i="1"/>
  <c r="AI301" i="1"/>
  <c r="AK301" i="1" s="1"/>
  <c r="AG301" i="1"/>
  <c r="AO301" i="1" s="1"/>
  <c r="Y301" i="1"/>
  <c r="AT306" i="1"/>
  <c r="AN306" i="1"/>
  <c r="AJ306" i="1"/>
  <c r="AI305" i="1"/>
  <c r="AK305" i="1" s="1"/>
  <c r="AG305" i="1"/>
  <c r="AO305" i="1" s="1"/>
  <c r="Y305" i="1"/>
  <c r="AT304" i="1"/>
  <c r="AS304" i="1"/>
  <c r="AF304" i="1"/>
  <c r="AH304" i="1" s="1"/>
  <c r="AL304" i="1" s="1"/>
  <c r="AE304" i="1"/>
  <c r="AI303" i="1"/>
  <c r="AK303" i="1" s="1"/>
  <c r="AG303" i="1"/>
  <c r="AO303" i="1" s="1"/>
  <c r="Y303" i="1"/>
  <c r="AN303" i="1"/>
  <c r="AJ303" i="1"/>
  <c r="AI302" i="1"/>
  <c r="AK302" i="1" s="1"/>
  <c r="AG302" i="1"/>
  <c r="AO302" i="1" s="1"/>
  <c r="Y302" i="1"/>
  <c r="AS301" i="1"/>
  <c r="AF301" i="1"/>
  <c r="AH301" i="1" s="1"/>
  <c r="AL301" i="1" s="1"/>
  <c r="AE301" i="1"/>
  <c r="AI306" i="1"/>
  <c r="AK306" i="1" s="1"/>
  <c r="AG306" i="1"/>
  <c r="AO306" i="1" s="1"/>
  <c r="Y306" i="1"/>
  <c r="AS305" i="1"/>
  <c r="AF305" i="1"/>
  <c r="AH305" i="1" s="1"/>
  <c r="AL305" i="1" s="1"/>
  <c r="AE305" i="1"/>
  <c r="AI304" i="1"/>
  <c r="AK304" i="1" s="1"/>
  <c r="AG304" i="1"/>
  <c r="AO304" i="1" s="1"/>
  <c r="Y304" i="1"/>
  <c r="AN304" i="1"/>
  <c r="AJ304" i="1"/>
  <c r="AS302" i="1"/>
  <c r="AF302" i="1"/>
  <c r="AH302" i="1" s="1"/>
  <c r="AL302" i="1" s="1"/>
  <c r="AE302" i="1"/>
  <c r="AT301" i="1"/>
  <c r="AN301" i="1"/>
  <c r="AJ301" i="1"/>
  <c r="AS298" i="1"/>
  <c r="AE298" i="1"/>
  <c r="AF298" i="1"/>
  <c r="AH298" i="1" s="1"/>
  <c r="AL298" i="1" s="1"/>
  <c r="AT298" i="1"/>
  <c r="Y298" i="1"/>
  <c r="AG298" i="1"/>
  <c r="AO298" i="1" s="1"/>
  <c r="AI298" i="1"/>
  <c r="AK298" i="1" s="1"/>
  <c r="AN298" i="1"/>
  <c r="AJ298" i="1"/>
  <c r="AS296" i="1"/>
  <c r="AT299" i="1"/>
  <c r="AT296" i="1"/>
  <c r="Y299" i="1"/>
  <c r="AI299" i="1"/>
  <c r="AK299" i="1" s="1"/>
  <c r="AG299" i="1"/>
  <c r="AO299" i="1" s="1"/>
  <c r="Y295" i="1"/>
  <c r="AI295" i="1"/>
  <c r="AK295" i="1" s="1"/>
  <c r="AG295" i="1"/>
  <c r="AO295" i="1" s="1"/>
  <c r="AE297" i="1"/>
  <c r="AF297" i="1"/>
  <c r="AH297" i="1" s="1"/>
  <c r="AL297" i="1" s="1"/>
  <c r="AS297" i="1"/>
  <c r="AE295" i="1"/>
  <c r="AS295" i="1"/>
  <c r="AF295" i="1"/>
  <c r="AH295" i="1" s="1"/>
  <c r="AL295" i="1" s="1"/>
  <c r="AG297" i="1"/>
  <c r="AO297" i="1" s="1"/>
  <c r="AI297" i="1"/>
  <c r="AK297" i="1" s="1"/>
  <c r="Y297" i="1"/>
  <c r="AE299" i="1"/>
  <c r="AF299" i="1"/>
  <c r="AH299" i="1" s="1"/>
  <c r="AL299" i="1" s="1"/>
  <c r="AS299" i="1"/>
  <c r="AT295" i="1"/>
  <c r="Y296" i="1"/>
  <c r="AI296" i="1"/>
  <c r="AK296" i="1" s="1"/>
  <c r="AG296" i="1"/>
  <c r="AO296" i="1" s="1"/>
  <c r="AT297" i="1"/>
  <c r="AE296" i="1"/>
  <c r="AF296" i="1"/>
  <c r="AH296" i="1" s="1"/>
  <c r="AL296" i="1" s="1"/>
  <c r="AN297" i="1"/>
  <c r="AJ297" i="1"/>
  <c r="AN295" i="1"/>
  <c r="AJ295" i="1"/>
  <c r="AN296" i="1"/>
  <c r="AJ296" i="1"/>
  <c r="AN299" i="1"/>
  <c r="AJ299" i="1"/>
  <c r="AT292" i="1"/>
  <c r="AE291" i="1"/>
  <c r="AS291" i="1"/>
  <c r="AF291" i="1"/>
  <c r="AH291" i="1" s="1"/>
  <c r="AL291" i="1" s="1"/>
  <c r="AF294" i="1"/>
  <c r="AH294" i="1" s="1"/>
  <c r="AL294" i="1" s="1"/>
  <c r="AE294" i="1"/>
  <c r="AS294" i="1"/>
  <c r="AT293" i="1"/>
  <c r="AT291" i="1"/>
  <c r="Y293" i="1"/>
  <c r="AG293" i="1"/>
  <c r="AO293" i="1" s="1"/>
  <c r="AI293" i="1"/>
  <c r="AK293" i="1" s="1"/>
  <c r="Y294" i="1"/>
  <c r="AI294" i="1"/>
  <c r="AK294" i="1" s="1"/>
  <c r="AG294" i="1"/>
  <c r="AO294" i="1" s="1"/>
  <c r="AG291" i="1"/>
  <c r="AO291" i="1" s="1"/>
  <c r="Y291" i="1"/>
  <c r="AI291" i="1"/>
  <c r="AK291" i="1" s="1"/>
  <c r="AE293" i="1"/>
  <c r="AF293" i="1"/>
  <c r="AH293" i="1" s="1"/>
  <c r="AL293" i="1" s="1"/>
  <c r="AS293" i="1"/>
  <c r="Y292" i="1"/>
  <c r="AI292" i="1"/>
  <c r="AK292" i="1" s="1"/>
  <c r="AG292" i="1"/>
  <c r="AO292" i="1" s="1"/>
  <c r="AT294" i="1"/>
  <c r="AS292" i="1"/>
  <c r="AF292" i="1"/>
  <c r="AH292" i="1" s="1"/>
  <c r="AL292" i="1" s="1"/>
  <c r="AE292" i="1"/>
  <c r="AJ291" i="1"/>
  <c r="AN291" i="1"/>
  <c r="AN293" i="1"/>
  <c r="AJ293" i="1"/>
  <c r="AJ292" i="1"/>
  <c r="AN292" i="1"/>
  <c r="AN294" i="1"/>
  <c r="AJ294" i="1"/>
  <c r="AT279" i="1"/>
  <c r="AS287" i="1"/>
  <c r="AS282" i="1"/>
  <c r="AT288" i="1"/>
  <c r="AN280" i="1"/>
  <c r="AJ280" i="1"/>
  <c r="AN279" i="1"/>
  <c r="AJ279" i="1"/>
  <c r="AN288" i="1"/>
  <c r="AJ288" i="1"/>
  <c r="AN289" i="1"/>
  <c r="AJ289" i="1"/>
  <c r="AG283" i="1"/>
  <c r="AO283" i="1" s="1"/>
  <c r="AS283" i="1"/>
  <c r="AE283" i="1"/>
  <c r="AF283" i="1"/>
  <c r="AH283" i="1" s="1"/>
  <c r="AL283" i="1" s="1"/>
  <c r="AE282" i="1"/>
  <c r="AF282" i="1"/>
  <c r="AH282" i="1" s="1"/>
  <c r="AL282" i="1" s="1"/>
  <c r="AI281" i="1"/>
  <c r="AK281" i="1" s="1"/>
  <c r="AG281" i="1"/>
  <c r="AO281" i="1" s="1"/>
  <c r="AR281" i="1"/>
  <c r="Y281" i="1"/>
  <c r="AT280" i="1"/>
  <c r="Y284" i="1"/>
  <c r="AI284" i="1"/>
  <c r="AK284" i="1" s="1"/>
  <c r="AG284" i="1"/>
  <c r="AO284" i="1" s="1"/>
  <c r="AT287" i="1"/>
  <c r="Y279" i="1"/>
  <c r="AI279" i="1"/>
  <c r="AK279" i="1" s="1"/>
  <c r="AR279" i="1"/>
  <c r="AG289" i="1"/>
  <c r="AO289" i="1" s="1"/>
  <c r="AI289" i="1"/>
  <c r="AK289" i="1" s="1"/>
  <c r="Y289" i="1"/>
  <c r="AJ281" i="1"/>
  <c r="AN281" i="1"/>
  <c r="AI285" i="1"/>
  <c r="AK285" i="1" s="1"/>
  <c r="AS285" i="1"/>
  <c r="AE285" i="1"/>
  <c r="AF285" i="1"/>
  <c r="AH285" i="1" s="1"/>
  <c r="AL285" i="1" s="1"/>
  <c r="Y280" i="1"/>
  <c r="AR280" i="1"/>
  <c r="AI280" i="1"/>
  <c r="AK280" i="1" s="1"/>
  <c r="AG280" i="1"/>
  <c r="AO280" i="1" s="1"/>
  <c r="AT284" i="1"/>
  <c r="AN287" i="1"/>
  <c r="AJ287" i="1"/>
  <c r="Y282" i="1"/>
  <c r="AI282" i="1"/>
  <c r="AK282" i="1" s="1"/>
  <c r="AR282" i="1"/>
  <c r="AG282" i="1"/>
  <c r="AO282" i="1" s="1"/>
  <c r="Y288" i="1"/>
  <c r="AI288" i="1"/>
  <c r="AK288" i="1" s="1"/>
  <c r="AG288" i="1"/>
  <c r="AO288" i="1" s="1"/>
  <c r="AT289" i="1"/>
  <c r="AT281" i="1"/>
  <c r="AN283" i="1"/>
  <c r="AJ283" i="1"/>
  <c r="AI287" i="1"/>
  <c r="AK287" i="1" s="1"/>
  <c r="Y287" i="1"/>
  <c r="AG287" i="1"/>
  <c r="AO287" i="1" s="1"/>
  <c r="AT282" i="1"/>
  <c r="AE281" i="1"/>
  <c r="AF281" i="1"/>
  <c r="AH281" i="1" s="1"/>
  <c r="AL281" i="1" s="1"/>
  <c r="AS281" i="1"/>
  <c r="Y285" i="1"/>
  <c r="AG285" i="1"/>
  <c r="AO285" i="1" s="1"/>
  <c r="AT283" i="1"/>
  <c r="AS280" i="1"/>
  <c r="AF280" i="1"/>
  <c r="AH280" i="1" s="1"/>
  <c r="AL280" i="1" s="1"/>
  <c r="AE280" i="1"/>
  <c r="AS284" i="1"/>
  <c r="AF284" i="1"/>
  <c r="AH284" i="1" s="1"/>
  <c r="AL284" i="1" s="1"/>
  <c r="AE284" i="1"/>
  <c r="AE289" i="1"/>
  <c r="AF289" i="1"/>
  <c r="AH289" i="1" s="1"/>
  <c r="AL289" i="1" s="1"/>
  <c r="AS289" i="1"/>
  <c r="AT285" i="1"/>
  <c r="AJ284" i="1"/>
  <c r="AN284" i="1"/>
  <c r="AF287" i="1"/>
  <c r="AH287" i="1" s="1"/>
  <c r="AL287" i="1" s="1"/>
  <c r="AE287" i="1"/>
  <c r="AG279" i="1"/>
  <c r="AO279" i="1" s="1"/>
  <c r="AE279" i="1"/>
  <c r="AS279" i="1"/>
  <c r="AF279" i="1"/>
  <c r="AH279" i="1" s="1"/>
  <c r="AL279" i="1" s="1"/>
  <c r="AS288" i="1"/>
  <c r="AE288" i="1"/>
  <c r="AF288" i="1"/>
  <c r="AH288" i="1" s="1"/>
  <c r="AL288" i="1" s="1"/>
  <c r="AN285" i="1"/>
  <c r="AJ285" i="1"/>
  <c r="Y283" i="1"/>
  <c r="AI283" i="1"/>
  <c r="AK283" i="1" s="1"/>
  <c r="AR283" i="1"/>
  <c r="AN282" i="1"/>
  <c r="AJ282" i="1"/>
  <c r="AT277" i="1"/>
  <c r="AT276" i="1"/>
  <c r="AN277" i="1"/>
  <c r="AJ277" i="1"/>
  <c r="AT278" i="1"/>
  <c r="AF276" i="1"/>
  <c r="AH276" i="1" s="1"/>
  <c r="AL276" i="1" s="1"/>
  <c r="AE276" i="1"/>
  <c r="AS276" i="1"/>
  <c r="AN276" i="1"/>
  <c r="AJ276" i="1"/>
  <c r="Y278" i="1"/>
  <c r="AI278" i="1"/>
  <c r="AK278" i="1" s="1"/>
  <c r="AG278" i="1"/>
  <c r="AO278" i="1" s="1"/>
  <c r="AR278" i="1"/>
  <c r="Y277" i="1"/>
  <c r="AR277" i="1"/>
  <c r="AG277" i="1"/>
  <c r="AO277" i="1" s="1"/>
  <c r="AI277" i="1"/>
  <c r="AK277" i="1" s="1"/>
  <c r="AE278" i="1"/>
  <c r="AF278" i="1"/>
  <c r="AH278" i="1" s="1"/>
  <c r="AL278" i="1" s="1"/>
  <c r="AS278" i="1"/>
  <c r="AG276" i="1"/>
  <c r="AO276" i="1" s="1"/>
  <c r="AR276" i="1"/>
  <c r="Y276" i="1"/>
  <c r="AI276" i="1"/>
  <c r="AK276" i="1" s="1"/>
  <c r="AF277" i="1"/>
  <c r="AH277" i="1" s="1"/>
  <c r="AL277" i="1" s="1"/>
  <c r="AE277" i="1"/>
  <c r="AS277" i="1"/>
  <c r="AJ278" i="1"/>
  <c r="AN278" i="1"/>
  <c r="AT274" i="1"/>
  <c r="AR272" i="1"/>
  <c r="AT270" i="1"/>
  <c r="AT271" i="1"/>
  <c r="AT273" i="1"/>
  <c r="AT275" i="1"/>
  <c r="AG270" i="1"/>
  <c r="AO270" i="1" s="1"/>
  <c r="Y270" i="1"/>
  <c r="AR270" i="1"/>
  <c r="AI270" i="1"/>
  <c r="AK270" i="1" s="1"/>
  <c r="AR275" i="1"/>
  <c r="AI271" i="1"/>
  <c r="AK271" i="1" s="1"/>
  <c r="Y271" i="1"/>
  <c r="AG271" i="1"/>
  <c r="AO271" i="1" s="1"/>
  <c r="AR271" i="1"/>
  <c r="AE274" i="1"/>
  <c r="AF274" i="1"/>
  <c r="AH274" i="1" s="1"/>
  <c r="AL274" i="1" s="1"/>
  <c r="AF272" i="1"/>
  <c r="AH272" i="1" s="1"/>
  <c r="AL272" i="1" s="1"/>
  <c r="AE272" i="1"/>
  <c r="AS272" i="1"/>
  <c r="AR274" i="1"/>
  <c r="AF271" i="1"/>
  <c r="AH271" i="1" s="1"/>
  <c r="AL271" i="1" s="1"/>
  <c r="AS271" i="1"/>
  <c r="AE271" i="1"/>
  <c r="AT272" i="1"/>
  <c r="Y275" i="1"/>
  <c r="AI275" i="1"/>
  <c r="AK275" i="1" s="1"/>
  <c r="AG275" i="1"/>
  <c r="AO275" i="1" s="1"/>
  <c r="AI274" i="1"/>
  <c r="AK274" i="1" s="1"/>
  <c r="Y274" i="1"/>
  <c r="AG274" i="1"/>
  <c r="AO274" i="1" s="1"/>
  <c r="AS273" i="1"/>
  <c r="AF273" i="1"/>
  <c r="AH273" i="1" s="1"/>
  <c r="AL273" i="1" s="1"/>
  <c r="AE273" i="1"/>
  <c r="AE270" i="1"/>
  <c r="AS270" i="1"/>
  <c r="AF270" i="1"/>
  <c r="AH270" i="1" s="1"/>
  <c r="AL270" i="1" s="1"/>
  <c r="AE275" i="1"/>
  <c r="AF275" i="1"/>
  <c r="AH275" i="1" s="1"/>
  <c r="AL275" i="1" s="1"/>
  <c r="AS275" i="1"/>
  <c r="AS274" i="1"/>
  <c r="Y273" i="1"/>
  <c r="AG273" i="1"/>
  <c r="AO273" i="1" s="1"/>
  <c r="AI273" i="1"/>
  <c r="AK273" i="1" s="1"/>
  <c r="AN270" i="1"/>
  <c r="AJ270" i="1"/>
  <c r="AN272" i="1"/>
  <c r="AJ272" i="1"/>
  <c r="AN273" i="1"/>
  <c r="AJ273" i="1"/>
  <c r="AN271" i="1"/>
  <c r="AJ271" i="1"/>
  <c r="Y272" i="1"/>
  <c r="AI272" i="1"/>
  <c r="AK272" i="1" s="1"/>
  <c r="AG272" i="1"/>
  <c r="AO272" i="1" s="1"/>
  <c r="AN275" i="1"/>
  <c r="AJ275" i="1"/>
  <c r="AN274" i="1"/>
  <c r="AJ274" i="1"/>
  <c r="AR273" i="1"/>
  <c r="AT268" i="1"/>
  <c r="AR268" i="1"/>
  <c r="AS267" i="1"/>
  <c r="AT267" i="1"/>
  <c r="AT269" i="1"/>
  <c r="AT266" i="1"/>
  <c r="AN269" i="1"/>
  <c r="AJ269" i="1"/>
  <c r="Y266" i="1"/>
  <c r="AI266" i="1"/>
  <c r="AK266" i="1" s="1"/>
  <c r="AR266" i="1"/>
  <c r="AG266" i="1"/>
  <c r="AO266" i="1" s="1"/>
  <c r="AS269" i="1"/>
  <c r="AS268" i="1"/>
  <c r="AR267" i="1"/>
  <c r="AE269" i="1"/>
  <c r="AF269" i="1"/>
  <c r="AH269" i="1" s="1"/>
  <c r="AL269" i="1" s="1"/>
  <c r="AE266" i="1"/>
  <c r="AS266" i="1"/>
  <c r="AF266" i="1"/>
  <c r="AH266" i="1" s="1"/>
  <c r="AL266" i="1" s="1"/>
  <c r="Y267" i="1"/>
  <c r="AI267" i="1"/>
  <c r="AK267" i="1" s="1"/>
  <c r="AG267" i="1"/>
  <c r="AO267" i="1" s="1"/>
  <c r="Y269" i="1"/>
  <c r="AG269" i="1"/>
  <c r="AO269" i="1" s="1"/>
  <c r="AI269" i="1"/>
  <c r="AK269" i="1" s="1"/>
  <c r="AR269" i="1"/>
  <c r="AE268" i="1"/>
  <c r="AF268" i="1"/>
  <c r="AH268" i="1" s="1"/>
  <c r="AL268" i="1" s="1"/>
  <c r="AE267" i="1"/>
  <c r="AF267" i="1"/>
  <c r="AH267" i="1" s="1"/>
  <c r="AL267" i="1" s="1"/>
  <c r="Y268" i="1"/>
  <c r="AI268" i="1"/>
  <c r="AK268" i="1" s="1"/>
  <c r="AG268" i="1"/>
  <c r="AO268" i="1" s="1"/>
  <c r="AN268" i="1"/>
  <c r="AJ268" i="1"/>
  <c r="AN266" i="1"/>
  <c r="AJ266" i="1"/>
  <c r="AN267" i="1"/>
  <c r="AJ267" i="1"/>
  <c r="AF99" i="1"/>
  <c r="AE99" i="1"/>
  <c r="AT265" i="1"/>
  <c r="Y265" i="1"/>
  <c r="AI265" i="1"/>
  <c r="AK265" i="1" s="1"/>
  <c r="AG265" i="1"/>
  <c r="AO265" i="1" s="1"/>
  <c r="AR265" i="1"/>
  <c r="Y264" i="1"/>
  <c r="AR264" i="1"/>
  <c r="AI264" i="1"/>
  <c r="AK264" i="1" s="1"/>
  <c r="AG264" i="1"/>
  <c r="AO264" i="1" s="1"/>
  <c r="AT263" i="1"/>
  <c r="AN265" i="1"/>
  <c r="AJ265" i="1"/>
  <c r="AT264" i="1"/>
  <c r="Y263" i="1"/>
  <c r="AR263" i="1"/>
  <c r="AI263" i="1"/>
  <c r="AK263" i="1" s="1"/>
  <c r="AE264" i="1"/>
  <c r="AS264" i="1"/>
  <c r="AH264" i="1"/>
  <c r="AL264" i="1" s="1"/>
  <c r="AG263" i="1"/>
  <c r="AO263" i="1" s="1"/>
  <c r="AS263" i="1"/>
  <c r="AE263" i="1"/>
  <c r="AH263" i="1"/>
  <c r="AL263" i="1" s="1"/>
  <c r="AJ263" i="1"/>
  <c r="AN263" i="1"/>
  <c r="AE265" i="1"/>
  <c r="AS265" i="1"/>
  <c r="AH265" i="1"/>
  <c r="AL265" i="1" s="1"/>
  <c r="AN264" i="1"/>
  <c r="AJ264" i="1"/>
  <c r="AT206" i="1"/>
  <c r="AJ206" i="1"/>
  <c r="AN206" i="1"/>
  <c r="AE206" i="1"/>
  <c r="AS206" i="1"/>
  <c r="AH206" i="1"/>
  <c r="AL206" i="1" s="1"/>
  <c r="AR206" i="1"/>
  <c r="Y206" i="1"/>
  <c r="AG206" i="1"/>
  <c r="AO206" i="1" s="1"/>
  <c r="AI206" i="1"/>
  <c r="AK206" i="1" s="1"/>
  <c r="AT262" i="1"/>
  <c r="AT255" i="1"/>
  <c r="AN255" i="1"/>
  <c r="AJ255" i="1"/>
  <c r="Y255" i="1"/>
  <c r="AR255" i="1"/>
  <c r="AG255" i="1"/>
  <c r="AO255" i="1" s="1"/>
  <c r="AI255" i="1"/>
  <c r="AK255" i="1" s="1"/>
  <c r="Y261" i="1"/>
  <c r="AR261" i="1"/>
  <c r="AG261" i="1"/>
  <c r="AO261" i="1" s="1"/>
  <c r="AI261" i="1"/>
  <c r="AK261" i="1" s="1"/>
  <c r="AT261" i="1"/>
  <c r="AS262" i="1"/>
  <c r="AE262" i="1"/>
  <c r="AH262" i="1"/>
  <c r="AL262" i="1" s="1"/>
  <c r="AE255" i="1"/>
  <c r="AS255" i="1"/>
  <c r="AH255" i="1"/>
  <c r="AL255" i="1" s="1"/>
  <c r="AE261" i="1"/>
  <c r="AS261" i="1"/>
  <c r="AH261" i="1"/>
  <c r="AL261" i="1" s="1"/>
  <c r="Y262" i="1"/>
  <c r="AR262" i="1"/>
  <c r="AI262" i="1"/>
  <c r="AK262" i="1" s="1"/>
  <c r="AG262" i="1"/>
  <c r="AO262" i="1" s="1"/>
  <c r="AJ261" i="1"/>
  <c r="AN261" i="1"/>
  <c r="AN262" i="1"/>
  <c r="AJ262" i="1"/>
  <c r="AT260" i="1"/>
  <c r="AJ260" i="1"/>
  <c r="AN260" i="1"/>
  <c r="AS260" i="1"/>
  <c r="AL260" i="1"/>
  <c r="AE260" i="1"/>
  <c r="AI260" i="1"/>
  <c r="AK260" i="1" s="1"/>
  <c r="AR260" i="1"/>
  <c r="Y260" i="1"/>
  <c r="AG260" i="1"/>
  <c r="AO260" i="1" s="1"/>
  <c r="AT259" i="1"/>
  <c r="AT257" i="1"/>
  <c r="AT256" i="1"/>
  <c r="AR258" i="1"/>
  <c r="AT258" i="1"/>
  <c r="AS259" i="1"/>
  <c r="AH256" i="1"/>
  <c r="AL256" i="1" s="1"/>
  <c r="AE256" i="1"/>
  <c r="AS256" i="1"/>
  <c r="AR259" i="1"/>
  <c r="AI259" i="1"/>
  <c r="AK259" i="1" s="1"/>
  <c r="Y259" i="1"/>
  <c r="AG259" i="1"/>
  <c r="AO259" i="1" s="1"/>
  <c r="AT254" i="1"/>
  <c r="AJ256" i="1"/>
  <c r="AN256" i="1"/>
  <c r="AN257" i="1"/>
  <c r="AJ257" i="1"/>
  <c r="Y254" i="1"/>
  <c r="AG254" i="1"/>
  <c r="AO254" i="1" s="1"/>
  <c r="AR254" i="1"/>
  <c r="AI254" i="1"/>
  <c r="AK254" i="1" s="1"/>
  <c r="AR256" i="1"/>
  <c r="AG256" i="1"/>
  <c r="AO256" i="1" s="1"/>
  <c r="Y256" i="1"/>
  <c r="AI256" i="1"/>
  <c r="AK256" i="1" s="1"/>
  <c r="AJ258" i="1"/>
  <c r="AN258" i="1"/>
  <c r="AE259" i="1"/>
  <c r="AH259" i="1"/>
  <c r="AL259" i="1" s="1"/>
  <c r="AG257" i="1"/>
  <c r="AO257" i="1" s="1"/>
  <c r="AI257" i="1"/>
  <c r="AK257" i="1" s="1"/>
  <c r="Y257" i="1"/>
  <c r="AR257" i="1"/>
  <c r="AH254" i="1"/>
  <c r="AL254" i="1" s="1"/>
  <c r="AS254" i="1"/>
  <c r="AE254" i="1"/>
  <c r="AH258" i="1"/>
  <c r="AL258" i="1" s="1"/>
  <c r="AE258" i="1"/>
  <c r="AS258" i="1"/>
  <c r="AS257" i="1"/>
  <c r="AH257" i="1"/>
  <c r="AL257" i="1" s="1"/>
  <c r="AE257" i="1"/>
  <c r="Y258" i="1"/>
  <c r="AG258" i="1"/>
  <c r="AO258" i="1" s="1"/>
  <c r="AI258" i="1"/>
  <c r="AK258" i="1" s="1"/>
  <c r="AN259" i="1"/>
  <c r="AJ259" i="1"/>
  <c r="AN254" i="1"/>
  <c r="AJ254" i="1"/>
  <c r="AT242" i="1"/>
  <c r="AT244" i="1"/>
  <c r="AR244" i="1"/>
  <c r="AR246" i="1"/>
  <c r="AS244" i="1"/>
  <c r="AT252" i="1"/>
  <c r="AR251" i="1"/>
  <c r="AT243" i="1"/>
  <c r="AT253" i="1"/>
  <c r="AS252" i="1"/>
  <c r="AR249" i="1"/>
  <c r="AG249" i="1"/>
  <c r="AO249" i="1" s="1"/>
  <c r="AI249" i="1"/>
  <c r="AK249" i="1" s="1"/>
  <c r="Y249" i="1"/>
  <c r="AN245" i="1"/>
  <c r="AJ245" i="1"/>
  <c r="AN244" i="1"/>
  <c r="AJ244" i="1"/>
  <c r="AH251" i="1"/>
  <c r="AL251" i="1" s="1"/>
  <c r="AE251" i="1"/>
  <c r="AS251" i="1"/>
  <c r="AE247" i="1"/>
  <c r="AS247" i="1"/>
  <c r="AH247" i="1"/>
  <c r="AL247" i="1" s="1"/>
  <c r="AE250" i="1"/>
  <c r="AH250" i="1"/>
  <c r="AL250" i="1" s="1"/>
  <c r="AS250" i="1"/>
  <c r="AH242" i="1"/>
  <c r="AL242" i="1" s="1"/>
  <c r="AE242" i="1"/>
  <c r="AS242" i="1"/>
  <c r="AS248" i="1"/>
  <c r="AI252" i="1"/>
  <c r="AK252" i="1" s="1"/>
  <c r="Y252" i="1"/>
  <c r="AG252" i="1"/>
  <c r="AO252" i="1" s="1"/>
  <c r="AR252" i="1"/>
  <c r="AT249" i="1"/>
  <c r="AT245" i="1"/>
  <c r="AN243" i="1"/>
  <c r="AJ243" i="1"/>
  <c r="AT251" i="1"/>
  <c r="AG247" i="1"/>
  <c r="AO247" i="1" s="1"/>
  <c r="AR247" i="1"/>
  <c r="Y247" i="1"/>
  <c r="AI247" i="1"/>
  <c r="AK247" i="1" s="1"/>
  <c r="AT248" i="1"/>
  <c r="AG253" i="1"/>
  <c r="AO253" i="1" s="1"/>
  <c r="AH253" i="1"/>
  <c r="AL253" i="1" s="1"/>
  <c r="AE253" i="1"/>
  <c r="AS253" i="1"/>
  <c r="Y245" i="1"/>
  <c r="AG245" i="1"/>
  <c r="AO245" i="1" s="1"/>
  <c r="AR245" i="1"/>
  <c r="AI245" i="1"/>
  <c r="AK245" i="1" s="1"/>
  <c r="AT246" i="1"/>
  <c r="Y243" i="1"/>
  <c r="AG243" i="1"/>
  <c r="AO243" i="1" s="1"/>
  <c r="AR243" i="1"/>
  <c r="AI243" i="1"/>
  <c r="AK243" i="1" s="1"/>
  <c r="Y242" i="1"/>
  <c r="AR242" i="1"/>
  <c r="AG242" i="1"/>
  <c r="AO242" i="1" s="1"/>
  <c r="AI242" i="1"/>
  <c r="AK242" i="1" s="1"/>
  <c r="AT247" i="1"/>
  <c r="Y250" i="1"/>
  <c r="AR250" i="1"/>
  <c r="AI250" i="1"/>
  <c r="AK250" i="1" s="1"/>
  <c r="AG250" i="1"/>
  <c r="AO250" i="1" s="1"/>
  <c r="AN242" i="1"/>
  <c r="AJ242" i="1"/>
  <c r="AG248" i="1"/>
  <c r="AO248" i="1" s="1"/>
  <c r="Y248" i="1"/>
  <c r="AI248" i="1"/>
  <c r="AK248" i="1" s="1"/>
  <c r="AR248" i="1"/>
  <c r="AH249" i="1"/>
  <c r="AL249" i="1" s="1"/>
  <c r="AE249" i="1"/>
  <c r="AE246" i="1"/>
  <c r="AH246" i="1"/>
  <c r="AL246" i="1" s="1"/>
  <c r="AS246" i="1"/>
  <c r="Y253" i="1"/>
  <c r="AR253" i="1"/>
  <c r="AI253" i="1"/>
  <c r="AK253" i="1" s="1"/>
  <c r="AT250" i="1"/>
  <c r="AS249" i="1"/>
  <c r="AE245" i="1"/>
  <c r="AH245" i="1"/>
  <c r="AL245" i="1" s="1"/>
  <c r="AS245" i="1"/>
  <c r="AG246" i="1"/>
  <c r="AO246" i="1" s="1"/>
  <c r="Y246" i="1"/>
  <c r="AI246" i="1"/>
  <c r="AK246" i="1" s="1"/>
  <c r="Y244" i="1"/>
  <c r="AI244" i="1"/>
  <c r="AK244" i="1" s="1"/>
  <c r="AG244" i="1"/>
  <c r="AO244" i="1" s="1"/>
  <c r="AE252" i="1"/>
  <c r="AH252" i="1"/>
  <c r="AL252" i="1" s="1"/>
  <c r="AE243" i="1"/>
  <c r="AS243" i="1"/>
  <c r="AH243" i="1"/>
  <c r="AL243" i="1" s="1"/>
  <c r="AE244" i="1"/>
  <c r="AH244" i="1"/>
  <c r="AL244" i="1" s="1"/>
  <c r="Y251" i="1"/>
  <c r="AI251" i="1"/>
  <c r="AK251" i="1" s="1"/>
  <c r="AG251" i="1"/>
  <c r="AO251" i="1" s="1"/>
  <c r="AE248" i="1"/>
  <c r="AH248" i="1"/>
  <c r="AL248" i="1" s="1"/>
  <c r="AN247" i="1"/>
  <c r="AJ247" i="1"/>
  <c r="AN250" i="1"/>
  <c r="AJ250" i="1"/>
  <c r="AN248" i="1"/>
  <c r="AJ248" i="1"/>
  <c r="AN252" i="1"/>
  <c r="AJ252" i="1"/>
  <c r="AN249" i="1"/>
  <c r="AJ249" i="1"/>
  <c r="AJ246" i="1"/>
  <c r="AN246" i="1"/>
  <c r="AN253" i="1"/>
  <c r="AJ253" i="1"/>
  <c r="AN251" i="1"/>
  <c r="AJ251" i="1"/>
  <c r="AT236" i="1"/>
  <c r="AT234" i="1"/>
  <c r="AT241" i="1"/>
  <c r="AS237" i="1"/>
  <c r="AT239" i="1"/>
  <c r="AR236" i="1"/>
  <c r="AT240" i="1"/>
  <c r="AT235" i="1"/>
  <c r="AR234" i="1"/>
  <c r="AI234" i="1"/>
  <c r="AK234" i="1" s="1"/>
  <c r="AG234" i="1"/>
  <c r="AO234" i="1" s="1"/>
  <c r="Y234" i="1"/>
  <c r="AS239" i="1"/>
  <c r="AE239" i="1"/>
  <c r="AH239" i="1"/>
  <c r="AL239" i="1" s="1"/>
  <c r="AE238" i="1"/>
  <c r="AH238" i="1"/>
  <c r="AL238" i="1" s="1"/>
  <c r="AS238" i="1"/>
  <c r="AE235" i="1"/>
  <c r="AS235" i="1"/>
  <c r="AH235" i="1"/>
  <c r="AL235" i="1" s="1"/>
  <c r="AN239" i="1"/>
  <c r="AJ239" i="1"/>
  <c r="AE236" i="1"/>
  <c r="AH236" i="1"/>
  <c r="AL236" i="1" s="1"/>
  <c r="AS236" i="1"/>
  <c r="AT237" i="1"/>
  <c r="Y236" i="1"/>
  <c r="AI236" i="1"/>
  <c r="AK236" i="1" s="1"/>
  <c r="AG236" i="1"/>
  <c r="AO236" i="1" s="1"/>
  <c r="AG238" i="1"/>
  <c r="AO238" i="1" s="1"/>
  <c r="AI238" i="1"/>
  <c r="AK238" i="1" s="1"/>
  <c r="Y238" i="1"/>
  <c r="AR238" i="1"/>
  <c r="AJ235" i="1"/>
  <c r="AN235" i="1"/>
  <c r="Y237" i="1"/>
  <c r="AG237" i="1"/>
  <c r="AO237" i="1" s="1"/>
  <c r="AI237" i="1"/>
  <c r="AK237" i="1" s="1"/>
  <c r="AR237" i="1"/>
  <c r="AI240" i="1"/>
  <c r="AK240" i="1" s="1"/>
  <c r="AR240" i="1"/>
  <c r="Y240" i="1"/>
  <c r="AG240" i="1"/>
  <c r="AO240" i="1" s="1"/>
  <c r="Y235" i="1"/>
  <c r="AR235" i="1"/>
  <c r="AG235" i="1"/>
  <c r="AO235" i="1" s="1"/>
  <c r="AI235" i="1"/>
  <c r="AK235" i="1" s="1"/>
  <c r="AI241" i="1"/>
  <c r="AK241" i="1" s="1"/>
  <c r="AG241" i="1"/>
  <c r="AO241" i="1" s="1"/>
  <c r="Y241" i="1"/>
  <c r="AR241" i="1"/>
  <c r="Y239" i="1"/>
  <c r="AG239" i="1"/>
  <c r="AO239" i="1" s="1"/>
  <c r="AR239" i="1"/>
  <c r="AI239" i="1"/>
  <c r="AK239" i="1" s="1"/>
  <c r="AS240" i="1"/>
  <c r="AH240" i="1"/>
  <c r="AL240" i="1" s="1"/>
  <c r="AE240" i="1"/>
  <c r="AT238" i="1"/>
  <c r="AH237" i="1"/>
  <c r="AL237" i="1" s="1"/>
  <c r="AE237" i="1"/>
  <c r="AH241" i="1"/>
  <c r="AL241" i="1" s="1"/>
  <c r="AS241" i="1"/>
  <c r="AE241" i="1"/>
  <c r="AJ238" i="1"/>
  <c r="AN238" i="1"/>
  <c r="AE234" i="1"/>
  <c r="AS234" i="1"/>
  <c r="AH234" i="1"/>
  <c r="AL234" i="1" s="1"/>
  <c r="AJ234" i="1"/>
  <c r="AN234" i="1"/>
  <c r="AN237" i="1"/>
  <c r="AJ237" i="1"/>
  <c r="AJ241" i="1"/>
  <c r="AN241" i="1"/>
  <c r="AJ240" i="1"/>
  <c r="AN240" i="1"/>
  <c r="AJ236" i="1"/>
  <c r="AN236" i="1"/>
  <c r="X48" i="10"/>
  <c r="W48" i="10" s="1"/>
  <c r="R48" i="10" s="1"/>
  <c r="Q48" i="10" s="1"/>
  <c r="X46" i="10"/>
  <c r="W46" i="10" s="1"/>
  <c r="R46" i="10" s="1"/>
  <c r="Q46" i="10" s="1"/>
  <c r="X45" i="10"/>
  <c r="W45" i="10" s="1"/>
  <c r="R45" i="10" s="1"/>
  <c r="Q45" i="10" s="1"/>
  <c r="X50" i="10"/>
  <c r="X40" i="10"/>
  <c r="W40" i="10" s="1"/>
  <c r="R40" i="10" s="1"/>
  <c r="Q40" i="10" s="1"/>
  <c r="X42" i="10"/>
  <c r="W42" i="10" s="1"/>
  <c r="R42" i="10" s="1"/>
  <c r="Q42" i="10" s="1"/>
  <c r="X39" i="10"/>
  <c r="W39" i="10" s="1"/>
  <c r="R39" i="10" s="1"/>
  <c r="Q39" i="10" s="1"/>
  <c r="X41" i="10"/>
  <c r="W41" i="10" s="1"/>
  <c r="R41" i="10" s="1"/>
  <c r="Q41" i="10" s="1"/>
  <c r="X43" i="10"/>
  <c r="W43" i="10" s="1"/>
  <c r="R43" i="10" s="1"/>
  <c r="Q43" i="10" s="1"/>
  <c r="X51" i="10"/>
  <c r="X53" i="10"/>
  <c r="X52" i="10"/>
  <c r="X49" i="10"/>
  <c r="W49" i="10" s="1"/>
  <c r="R49" i="10" s="1"/>
  <c r="Q49" i="10" s="1"/>
  <c r="X47" i="10"/>
  <c r="W47" i="10" s="1"/>
  <c r="R47" i="10" s="1"/>
  <c r="Q47" i="10" s="1"/>
  <c r="X44" i="10"/>
  <c r="W44" i="10" s="1"/>
  <c r="R44" i="10" s="1"/>
  <c r="Q44" i="10" s="1"/>
  <c r="X54" i="10"/>
  <c r="AN226" i="1"/>
  <c r="AN229" i="1"/>
  <c r="AN230" i="1"/>
  <c r="AN227" i="1"/>
  <c r="AN228" i="1"/>
  <c r="AN225" i="1"/>
  <c r="AN223" i="1"/>
  <c r="AN224" i="1"/>
  <c r="AN222" i="1"/>
  <c r="AN221" i="1"/>
  <c r="AN220" i="1"/>
  <c r="AN219" i="1"/>
  <c r="AN215" i="1"/>
  <c r="AN217" i="1"/>
  <c r="AN218" i="1"/>
  <c r="AN216" i="1"/>
  <c r="AN207" i="1"/>
  <c r="AN209" i="1"/>
  <c r="AN213" i="1"/>
  <c r="AN208" i="1"/>
  <c r="AN214" i="1"/>
  <c r="AN211" i="1"/>
  <c r="AN210" i="1"/>
  <c r="AN212" i="1"/>
  <c r="AN203" i="1"/>
  <c r="AN205" i="1"/>
  <c r="AN202" i="1"/>
  <c r="AN196" i="1"/>
  <c r="AN204" i="1"/>
  <c r="AN200" i="1"/>
  <c r="AN199" i="1"/>
  <c r="AN201" i="1"/>
  <c r="AN198" i="1"/>
  <c r="AN197" i="1"/>
  <c r="AN195" i="1"/>
  <c r="AN174" i="1"/>
  <c r="AN192" i="1"/>
  <c r="AN191" i="1"/>
  <c r="AN190" i="1"/>
  <c r="AN193" i="1"/>
  <c r="AN189" i="1"/>
  <c r="AN194" i="1"/>
  <c r="AN188" i="1"/>
  <c r="AN183" i="1"/>
  <c r="AN187" i="1"/>
  <c r="AN186" i="1"/>
  <c r="AN185" i="1"/>
  <c r="AN184" i="1"/>
  <c r="AN170" i="1"/>
  <c r="AN182" i="1"/>
  <c r="AN181" i="1"/>
  <c r="AN180" i="1"/>
  <c r="AN177" i="1"/>
  <c r="AN179" i="1"/>
  <c r="AN176" i="1"/>
  <c r="AN178" i="1"/>
  <c r="AN175" i="1"/>
  <c r="AN173" i="1"/>
  <c r="AN172" i="1"/>
  <c r="AN171" i="1"/>
  <c r="X35" i="10"/>
  <c r="W35" i="10" s="1"/>
  <c r="R35" i="10" s="1"/>
  <c r="Q35" i="10" s="1"/>
  <c r="X38" i="10"/>
  <c r="W38" i="10" s="1"/>
  <c r="R38" i="10" s="1"/>
  <c r="Q38" i="10" s="1"/>
  <c r="X26" i="10"/>
  <c r="W26" i="10" s="1"/>
  <c r="R26" i="10" s="1"/>
  <c r="Q26" i="10" s="1"/>
  <c r="K26" i="10" s="1"/>
  <c r="AN169" i="1"/>
  <c r="AN168" i="1"/>
  <c r="AN167" i="1"/>
  <c r="X34" i="10"/>
  <c r="W34" i="10" s="1"/>
  <c r="R34" i="10" s="1"/>
  <c r="Q34" i="10" s="1"/>
  <c r="X36" i="10"/>
  <c r="W36" i="10" s="1"/>
  <c r="R36" i="10" s="1"/>
  <c r="Q36" i="10" s="1"/>
  <c r="X31" i="10"/>
  <c r="W31" i="10" s="1"/>
  <c r="R31" i="10" s="1"/>
  <c r="Q31" i="10" s="1"/>
  <c r="K31" i="10" s="1"/>
  <c r="X37" i="10"/>
  <c r="W37" i="10" s="1"/>
  <c r="R37" i="10" s="1"/>
  <c r="Q37" i="10" s="1"/>
  <c r="X32" i="10"/>
  <c r="W32" i="10" s="1"/>
  <c r="R32" i="10" s="1"/>
  <c r="Q32" i="10" s="1"/>
  <c r="X33" i="10"/>
  <c r="W33" i="10" s="1"/>
  <c r="R33" i="10" s="1"/>
  <c r="Q33" i="10" s="1"/>
  <c r="K33" i="10" s="1"/>
  <c r="AN166" i="1"/>
  <c r="AN164" i="1"/>
  <c r="AN165" i="1"/>
  <c r="AN161" i="1"/>
  <c r="AN162" i="1"/>
  <c r="AN163" i="1"/>
  <c r="AN148" i="1"/>
  <c r="AN130" i="1"/>
  <c r="AN145" i="1"/>
  <c r="AN119" i="1"/>
  <c r="AN115" i="1"/>
  <c r="AN149" i="1"/>
  <c r="AN117" i="1"/>
  <c r="AN114" i="1"/>
  <c r="AN102" i="1"/>
  <c r="AN128" i="1"/>
  <c r="AN158" i="1"/>
  <c r="AN123" i="1"/>
  <c r="AN100" i="1"/>
  <c r="AN85" i="1"/>
  <c r="AN141" i="1"/>
  <c r="AN134" i="1"/>
  <c r="AN109" i="1"/>
  <c r="AN120" i="1"/>
  <c r="AN153" i="1"/>
  <c r="AN144" i="1"/>
  <c r="AN136" i="1"/>
  <c r="AN99" i="1"/>
  <c r="AN133" i="1"/>
  <c r="AN93" i="1"/>
  <c r="AN97" i="1"/>
  <c r="AN156" i="1"/>
  <c r="AN151" i="1"/>
  <c r="AN138" i="1"/>
  <c r="AN122" i="1"/>
  <c r="AN152" i="1"/>
  <c r="AN139" i="1"/>
  <c r="AN160" i="1"/>
  <c r="AN146" i="1"/>
  <c r="AN132" i="1"/>
  <c r="AN159" i="1"/>
  <c r="AN98" i="1"/>
  <c r="AN137" i="1"/>
  <c r="AN112" i="1"/>
  <c r="AN107" i="1"/>
  <c r="AN118" i="1"/>
  <c r="AN111" i="1"/>
  <c r="AN157" i="1"/>
  <c r="AN124" i="1"/>
  <c r="AN127" i="1"/>
  <c r="AN90" i="1"/>
  <c r="AN154" i="1"/>
  <c r="AN147" i="1"/>
  <c r="AN140" i="1"/>
  <c r="AN87" i="1"/>
  <c r="AN116" i="1"/>
  <c r="AN129" i="1"/>
  <c r="AN88" i="1"/>
  <c r="AN96" i="1"/>
  <c r="AN135" i="1"/>
  <c r="AN143" i="1"/>
  <c r="AN86" i="1"/>
  <c r="AN150" i="1"/>
  <c r="AN89" i="1"/>
  <c r="AN155" i="1"/>
  <c r="AN126" i="1"/>
  <c r="AN142" i="1"/>
  <c r="AN131" i="1"/>
  <c r="AN95" i="1"/>
  <c r="AN94" i="1"/>
  <c r="AN105" i="1"/>
  <c r="AN125" i="1"/>
  <c r="AN121" i="1"/>
  <c r="AN63" i="1"/>
  <c r="AN36" i="1"/>
  <c r="AN42" i="1"/>
  <c r="AN57" i="1"/>
  <c r="AN5" i="1"/>
  <c r="AN50" i="1"/>
  <c r="AN28" i="1"/>
  <c r="AN26" i="1"/>
  <c r="AN68" i="1"/>
  <c r="AN10" i="1"/>
  <c r="AN3" i="1"/>
  <c r="AN59" i="1"/>
  <c r="AN15" i="1"/>
  <c r="AN55" i="1"/>
  <c r="AN21" i="1"/>
  <c r="AN8" i="1"/>
  <c r="AN49" i="1"/>
  <c r="AN17" i="1"/>
  <c r="AN18" i="1"/>
  <c r="AN7" i="1"/>
  <c r="AN48" i="1"/>
  <c r="AN60" i="1"/>
  <c r="AN41" i="1"/>
  <c r="AN40" i="1"/>
  <c r="AN73" i="1"/>
  <c r="AN65" i="1"/>
  <c r="AN32" i="1"/>
  <c r="AN16" i="1"/>
  <c r="AN25" i="1"/>
  <c r="AN12" i="1"/>
  <c r="AN72" i="1"/>
  <c r="AN22" i="1"/>
  <c r="AN54" i="1"/>
  <c r="AN13" i="1"/>
  <c r="AN56" i="1"/>
  <c r="AN27" i="1"/>
  <c r="AN53" i="1"/>
  <c r="AN45" i="1"/>
  <c r="AN4" i="1"/>
  <c r="AN66" i="1"/>
  <c r="AN29" i="1"/>
  <c r="AN14" i="1"/>
  <c r="AN64" i="1"/>
  <c r="AN9" i="1"/>
  <c r="AN33" i="1"/>
  <c r="AN24" i="1"/>
  <c r="AN20" i="1"/>
  <c r="AN69" i="1"/>
  <c r="AN83" i="1"/>
  <c r="AN81" i="1"/>
  <c r="AN30" i="1"/>
  <c r="AN35" i="1"/>
  <c r="AN44" i="1"/>
  <c r="AN23" i="1"/>
  <c r="AN19" i="1"/>
  <c r="AN67" i="1"/>
  <c r="AN46" i="1"/>
  <c r="AN61" i="1"/>
  <c r="X3" i="10"/>
  <c r="W3" i="10" s="1"/>
  <c r="R3" i="10" s="1"/>
  <c r="Q3" i="10" s="1"/>
  <c r="K3" i="10" s="1"/>
  <c r="X11" i="10"/>
  <c r="W11" i="10" s="1"/>
  <c r="R11" i="10" s="1"/>
  <c r="Q11" i="10" s="1"/>
  <c r="K11" i="10" s="1"/>
  <c r="X5" i="10"/>
  <c r="W5" i="10" s="1"/>
  <c r="R5" i="10" s="1"/>
  <c r="Q5" i="10" s="1"/>
  <c r="K5" i="10" s="1"/>
  <c r="X13" i="10"/>
  <c r="W13" i="10" s="1"/>
  <c r="R13" i="10" s="1"/>
  <c r="Q13" i="10" s="1"/>
  <c r="K13" i="10" s="1"/>
  <c r="X12" i="10"/>
  <c r="W12" i="10" s="1"/>
  <c r="R12" i="10" s="1"/>
  <c r="Q12" i="10" s="1"/>
  <c r="K12" i="10" s="1"/>
  <c r="X29" i="10"/>
  <c r="W29" i="10" s="1"/>
  <c r="R29" i="10" s="1"/>
  <c r="Q29" i="10" s="1"/>
  <c r="K29" i="10" s="1"/>
  <c r="X4" i="10"/>
  <c r="W4" i="10" s="1"/>
  <c r="R4" i="10" s="1"/>
  <c r="Q4" i="10" s="1"/>
  <c r="K4" i="10" s="1"/>
  <c r="AN84" i="1"/>
  <c r="AN70" i="1"/>
  <c r="AN39" i="1"/>
  <c r="X8" i="10"/>
  <c r="W8" i="10" s="1"/>
  <c r="R8" i="10" s="1"/>
  <c r="Q8" i="10" s="1"/>
  <c r="K8" i="10" s="1"/>
  <c r="AN82" i="1"/>
  <c r="AN71" i="1"/>
  <c r="X25" i="10"/>
  <c r="W25" i="10" s="1"/>
  <c r="R25" i="10" s="1"/>
  <c r="Q25" i="10" s="1"/>
  <c r="K25" i="10" s="1"/>
  <c r="X21" i="10"/>
  <c r="W21" i="10" s="1"/>
  <c r="R21" i="10" s="1"/>
  <c r="Q21" i="10" s="1"/>
  <c r="K21" i="10" s="1"/>
  <c r="X23" i="10"/>
  <c r="W23" i="10" s="1"/>
  <c r="R23" i="10" s="1"/>
  <c r="Q23" i="10" s="1"/>
  <c r="K23" i="10" s="1"/>
  <c r="X15" i="10"/>
  <c r="W15" i="10" s="1"/>
  <c r="R15" i="10" s="1"/>
  <c r="Q15" i="10" s="1"/>
  <c r="K15" i="10" s="1"/>
  <c r="X7" i="10"/>
  <c r="W7" i="10" s="1"/>
  <c r="R7" i="10" s="1"/>
  <c r="Q7" i="10" s="1"/>
  <c r="K7" i="10" s="1"/>
  <c r="X9" i="10"/>
  <c r="W9" i="10" s="1"/>
  <c r="R9" i="10" s="1"/>
  <c r="Q9" i="10" s="1"/>
  <c r="K9" i="10" s="1"/>
  <c r="X17" i="10"/>
  <c r="W17" i="10" s="1"/>
  <c r="R17" i="10" s="1"/>
  <c r="Q17" i="10" s="1"/>
  <c r="K17" i="10" s="1"/>
  <c r="X22" i="10"/>
  <c r="W22" i="10" s="1"/>
  <c r="R22" i="10" s="1"/>
  <c r="Q22" i="10" s="1"/>
  <c r="K22" i="10" s="1"/>
  <c r="X16" i="10"/>
  <c r="W16" i="10" s="1"/>
  <c r="R16" i="10" s="1"/>
  <c r="Q16" i="10" s="1"/>
  <c r="K16" i="10" s="1"/>
  <c r="X6" i="10"/>
  <c r="W6" i="10" s="1"/>
  <c r="R6" i="10" s="1"/>
  <c r="Q6" i="10" s="1"/>
  <c r="K6" i="10" s="1"/>
  <c r="X14" i="10"/>
  <c r="W14" i="10" s="1"/>
  <c r="R14" i="10" s="1"/>
  <c r="Q14" i="10" s="1"/>
  <c r="K14" i="10" s="1"/>
  <c r="X20" i="10"/>
  <c r="W20" i="10" s="1"/>
  <c r="R20" i="10" s="1"/>
  <c r="Q20" i="10" s="1"/>
  <c r="K20" i="10" s="1"/>
  <c r="X28" i="10"/>
  <c r="W28" i="10" s="1"/>
  <c r="R28" i="10" s="1"/>
  <c r="Q28" i="10" s="1"/>
  <c r="K28" i="10" s="1"/>
  <c r="X18" i="10"/>
  <c r="W18" i="10" s="1"/>
  <c r="R18" i="10" s="1"/>
  <c r="Q18" i="10" s="1"/>
  <c r="K18" i="10" s="1"/>
  <c r="X19" i="10"/>
  <c r="W19" i="10" s="1"/>
  <c r="R19" i="10" s="1"/>
  <c r="Q19" i="10" s="1"/>
  <c r="K19" i="10" s="1"/>
  <c r="X27" i="10"/>
  <c r="W27" i="10" s="1"/>
  <c r="R27" i="10" s="1"/>
  <c r="Q27" i="10" s="1"/>
  <c r="K27" i="10" s="1"/>
  <c r="X24" i="10"/>
  <c r="W24" i="10" s="1"/>
  <c r="R24" i="10" s="1"/>
  <c r="Q24" i="10" s="1"/>
  <c r="K24" i="10" s="1"/>
  <c r="X10" i="10"/>
  <c r="W10" i="10" s="1"/>
  <c r="R10" i="10" s="1"/>
  <c r="Q10" i="10" s="1"/>
  <c r="K10" i="10" s="1"/>
  <c r="X30" i="10"/>
  <c r="W30" i="10" s="1"/>
  <c r="R30" i="10" s="1"/>
  <c r="Q30" i="10" s="1"/>
  <c r="K30" i="10" s="1"/>
  <c r="AN77" i="1"/>
  <c r="AN51" i="1"/>
  <c r="AN79" i="1"/>
  <c r="AN78" i="1"/>
  <c r="AN37" i="1"/>
  <c r="AN34" i="1"/>
  <c r="AN58" i="1"/>
  <c r="AN47" i="1"/>
  <c r="AN52" i="1"/>
  <c r="AN62" i="1"/>
  <c r="AN75" i="1"/>
  <c r="AN43" i="1"/>
  <c r="AN38" i="1"/>
  <c r="AN76" i="1"/>
  <c r="AN74" i="1"/>
  <c r="AL389" i="1" l="1"/>
  <c r="W55" i="1"/>
  <c r="W47" i="1"/>
  <c r="W132" i="1"/>
  <c r="W86" i="1"/>
  <c r="W110" i="1"/>
  <c r="W15" i="1"/>
  <c r="W210" i="1"/>
  <c r="W114" i="1"/>
  <c r="W27" i="1"/>
  <c r="W157" i="1"/>
  <c r="W176" i="1"/>
  <c r="W56" i="1"/>
  <c r="W175" i="1"/>
  <c r="W170" i="1"/>
  <c r="W202" i="1"/>
  <c r="W148" i="1"/>
  <c r="W213" i="1"/>
  <c r="W77" i="1"/>
  <c r="W165" i="1"/>
  <c r="W21" i="1"/>
  <c r="W123" i="1"/>
  <c r="W112" i="1"/>
  <c r="W223" i="1"/>
  <c r="W20" i="1"/>
  <c r="W103" i="1"/>
  <c r="W128" i="1"/>
  <c r="W45" i="1"/>
  <c r="W152" i="1"/>
  <c r="W190" i="1"/>
  <c r="W172" i="1"/>
  <c r="W14" i="1"/>
  <c r="W153" i="1"/>
  <c r="W173" i="1"/>
  <c r="W102" i="1"/>
  <c r="W231" i="1"/>
  <c r="W124" i="1"/>
  <c r="W150" i="1"/>
  <c r="W134" i="1"/>
  <c r="W40" i="1"/>
  <c r="W188" i="1"/>
  <c r="W92" i="1"/>
  <c r="W167" i="1"/>
  <c r="W38" i="1"/>
  <c r="W207" i="1"/>
  <c r="W159" i="1"/>
  <c r="W208" i="1"/>
  <c r="W219" i="1"/>
  <c r="W192" i="1"/>
  <c r="W139" i="1"/>
  <c r="W104" i="1"/>
  <c r="W48" i="1"/>
  <c r="W218" i="1"/>
  <c r="W30" i="1"/>
  <c r="W161" i="1"/>
  <c r="W23" i="1"/>
  <c r="W49" i="1"/>
  <c r="W186" i="1"/>
  <c r="W10" i="1"/>
  <c r="W160" i="1"/>
  <c r="W3" i="1"/>
  <c r="W151" i="1"/>
  <c r="W178" i="1"/>
  <c r="W166" i="1"/>
  <c r="W32" i="1"/>
  <c r="W19" i="1"/>
  <c r="W191" i="1"/>
  <c r="W66" i="1"/>
  <c r="W217" i="1"/>
  <c r="W100" i="1"/>
  <c r="W121" i="1"/>
  <c r="W81" i="1"/>
  <c r="W63" i="1"/>
  <c r="W120" i="1"/>
  <c r="W144" i="1"/>
  <c r="W53" i="1"/>
  <c r="W118" i="1"/>
  <c r="W11" i="1"/>
  <c r="W135" i="1"/>
  <c r="W140" i="1"/>
  <c r="W107" i="1"/>
  <c r="W230" i="1"/>
  <c r="W169" i="1"/>
  <c r="W54" i="1"/>
  <c r="W52" i="1"/>
  <c r="W58" i="1"/>
  <c r="W61" i="1"/>
  <c r="W233" i="1"/>
  <c r="W18" i="1"/>
  <c r="W193" i="1"/>
  <c r="W180" i="1"/>
  <c r="W72" i="1"/>
  <c r="W130" i="1"/>
  <c r="W158" i="1"/>
  <c r="W34" i="1"/>
  <c r="W214" i="1"/>
  <c r="W117" i="1"/>
  <c r="W232" i="1"/>
  <c r="W185" i="1"/>
  <c r="W99" i="1"/>
  <c r="W12" i="1"/>
  <c r="W57" i="1"/>
  <c r="W184" i="1"/>
  <c r="W203" i="1"/>
  <c r="W154" i="1"/>
  <c r="W127" i="1"/>
  <c r="W79" i="1"/>
  <c r="W29" i="1"/>
  <c r="W95" i="1"/>
  <c r="W209" i="1"/>
  <c r="W195" i="1"/>
  <c r="W33" i="1"/>
  <c r="W50" i="1"/>
  <c r="W35" i="1"/>
  <c r="W113" i="1"/>
  <c r="W76" i="1"/>
  <c r="W6" i="1"/>
  <c r="W196" i="1"/>
  <c r="W78" i="1"/>
  <c r="W138" i="1"/>
  <c r="W174" i="1"/>
  <c r="W129" i="1"/>
  <c r="W187" i="1"/>
  <c r="W90" i="1"/>
  <c r="W36" i="1"/>
  <c r="W73" i="1"/>
  <c r="W125" i="1"/>
  <c r="W204" i="1"/>
  <c r="W229" i="1"/>
  <c r="W116" i="1"/>
  <c r="W94" i="1"/>
  <c r="W133" i="1"/>
  <c r="W82" i="1"/>
  <c r="W84" i="1"/>
  <c r="W41" i="1"/>
  <c r="W211" i="1"/>
  <c r="W181" i="1"/>
  <c r="W59" i="1"/>
  <c r="W142" i="1"/>
  <c r="W109" i="1"/>
  <c r="W68" i="1"/>
  <c r="W65" i="1"/>
  <c r="W199" i="1"/>
  <c r="W5" i="1"/>
  <c r="W221" i="1"/>
  <c r="W70" i="1"/>
  <c r="W89" i="1"/>
  <c r="W91" i="1"/>
  <c r="W119" i="1"/>
  <c r="W98" i="1"/>
  <c r="W122" i="1"/>
  <c r="W225" i="1"/>
  <c r="W13" i="1"/>
  <c r="W147" i="1"/>
  <c r="W137" i="1"/>
  <c r="W64" i="1"/>
  <c r="W42" i="1"/>
  <c r="W163" i="1"/>
  <c r="W26" i="1"/>
  <c r="W51" i="1"/>
  <c r="W67" i="1"/>
  <c r="W111" i="1"/>
  <c r="W43" i="1"/>
  <c r="W168" i="1"/>
  <c r="W197" i="1"/>
  <c r="W177" i="1"/>
  <c r="W44" i="1"/>
  <c r="W17" i="1"/>
  <c r="W228" i="1"/>
  <c r="W24" i="1"/>
  <c r="W4" i="1"/>
  <c r="W215" i="1"/>
  <c r="W126" i="1"/>
  <c r="W155" i="1"/>
  <c r="W216" i="1"/>
  <c r="W145" i="1"/>
  <c r="W60" i="1"/>
  <c r="W96" i="1"/>
  <c r="W97" i="1"/>
  <c r="W189" i="1"/>
  <c r="W88" i="1"/>
  <c r="W141" i="1"/>
  <c r="W164" i="1"/>
  <c r="W227" i="1"/>
  <c r="W171" i="1"/>
  <c r="W9" i="1"/>
  <c r="W7" i="1"/>
  <c r="W25" i="1"/>
  <c r="W75" i="1"/>
  <c r="W46" i="1"/>
  <c r="W108" i="1"/>
  <c r="W201" i="1"/>
  <c r="W149" i="1"/>
  <c r="W83" i="1"/>
  <c r="W146" i="1"/>
  <c r="W39" i="1"/>
  <c r="W143" i="1"/>
  <c r="W115" i="1"/>
  <c r="W80" i="1"/>
  <c r="W212" i="1"/>
  <c r="W101" i="1"/>
  <c r="W198" i="1"/>
  <c r="W22" i="1"/>
  <c r="W85" i="1"/>
  <c r="W136" i="1"/>
  <c r="W224" i="1"/>
  <c r="W93" i="1"/>
  <c r="W220" i="1"/>
  <c r="W162" i="1"/>
  <c r="W182" i="1"/>
  <c r="W179" i="1"/>
  <c r="W200" i="1"/>
  <c r="W106" i="1"/>
  <c r="W131" i="1"/>
  <c r="W226" i="1"/>
  <c r="W28" i="1"/>
  <c r="W87" i="1"/>
  <c r="W31" i="1"/>
  <c r="W8" i="1"/>
  <c r="W74" i="1"/>
  <c r="W69" i="1"/>
  <c r="W105" i="1"/>
  <c r="W37" i="1"/>
  <c r="W62" i="1"/>
  <c r="W156" i="1"/>
  <c r="W16" i="1"/>
  <c r="W222" i="1"/>
  <c r="W194" i="1"/>
  <c r="W71" i="1"/>
  <c r="W205" i="1"/>
  <c r="W183" i="1"/>
  <c r="I1978" i="3"/>
  <c r="I1985" i="3"/>
  <c r="I1981" i="3"/>
  <c r="I1973" i="3"/>
  <c r="I1976" i="3"/>
  <c r="I1986" i="3"/>
  <c r="I1977" i="3"/>
  <c r="I1980" i="3"/>
  <c r="I1987" i="3"/>
  <c r="I1974" i="3"/>
  <c r="I1983" i="3"/>
  <c r="I1979" i="3"/>
  <c r="X76" i="1"/>
  <c r="AB23" i="1"/>
  <c r="X137" i="1"/>
  <c r="AE190" i="1"/>
  <c r="X50" i="1"/>
  <c r="AB68" i="1"/>
  <c r="AB45" i="1"/>
  <c r="AE168" i="1"/>
  <c r="X153" i="1"/>
  <c r="AE96" i="1"/>
  <c r="X217" i="1"/>
  <c r="X18" i="1"/>
  <c r="AE210" i="1"/>
  <c r="AB73" i="1"/>
  <c r="AB69" i="1"/>
  <c r="AB18" i="1"/>
  <c r="X9" i="1"/>
  <c r="X109" i="1"/>
  <c r="AB61" i="1"/>
  <c r="AB90" i="1"/>
  <c r="X60" i="1"/>
  <c r="X91" i="1"/>
  <c r="AB7" i="1"/>
  <c r="AB16" i="1"/>
  <c r="AB63" i="1"/>
  <c r="X39" i="1"/>
  <c r="AB33" i="1"/>
  <c r="X173" i="1"/>
  <c r="X53" i="1"/>
  <c r="AB64" i="1"/>
  <c r="X10" i="1"/>
  <c r="AE211" i="1"/>
  <c r="AE201" i="1"/>
  <c r="X174" i="1"/>
  <c r="X211" i="1"/>
  <c r="AE108" i="1"/>
  <c r="AB89" i="1"/>
  <c r="AB47" i="1"/>
  <c r="AB15" i="1"/>
  <c r="AE134" i="1"/>
  <c r="AB38" i="1"/>
  <c r="AB40" i="1"/>
  <c r="AE132" i="1"/>
  <c r="X169" i="1"/>
  <c r="AB58" i="1"/>
  <c r="X33" i="1"/>
  <c r="X195" i="1"/>
  <c r="X104" i="1"/>
  <c r="X144" i="1"/>
  <c r="AB35" i="1"/>
  <c r="AB14" i="1"/>
  <c r="X71" i="1"/>
  <c r="X177" i="1"/>
  <c r="X61" i="1"/>
  <c r="X49" i="1"/>
  <c r="X3" i="1"/>
  <c r="X151" i="1"/>
  <c r="X203" i="1"/>
  <c r="X158" i="1"/>
  <c r="X63" i="1"/>
  <c r="AT63" i="1" s="1"/>
  <c r="AB44" i="1"/>
  <c r="X131" i="1"/>
  <c r="AB81" i="1"/>
  <c r="AB67" i="1"/>
  <c r="AB20" i="1"/>
  <c r="AE180" i="1"/>
  <c r="Z40" i="1"/>
  <c r="AE203" i="1"/>
  <c r="AB28" i="1"/>
  <c r="AB9" i="1"/>
  <c r="X167" i="1"/>
  <c r="X101" i="1"/>
  <c r="X35" i="1"/>
  <c r="X78" i="1"/>
  <c r="AB70" i="1"/>
  <c r="AB94" i="1"/>
  <c r="Z168" i="1"/>
  <c r="X11" i="1"/>
  <c r="X6" i="1"/>
  <c r="X178" i="1"/>
  <c r="X5" i="1"/>
  <c r="X130" i="1"/>
  <c r="X96" i="1"/>
  <c r="X157" i="1"/>
  <c r="AT157" i="1" s="1"/>
  <c r="X220" i="1"/>
  <c r="X79" i="1"/>
  <c r="X43" i="1"/>
  <c r="X70" i="1"/>
  <c r="X94" i="1"/>
  <c r="X22" i="1"/>
  <c r="X27" i="1"/>
  <c r="X231" i="1"/>
  <c r="X87" i="1"/>
  <c r="X92" i="1"/>
  <c r="X120" i="1"/>
  <c r="X215" i="1"/>
  <c r="X230" i="1"/>
  <c r="X218" i="1"/>
  <c r="X110" i="1"/>
  <c r="X221" i="1"/>
  <c r="X42" i="1"/>
  <c r="X106" i="1"/>
  <c r="X223" i="1"/>
  <c r="AT223" i="1" s="1"/>
  <c r="X54" i="1"/>
  <c r="X229" i="1"/>
  <c r="X105" i="1"/>
  <c r="X212" i="1"/>
  <c r="X202" i="1"/>
  <c r="AB17" i="1"/>
  <c r="AS217" i="1"/>
  <c r="AB75" i="1"/>
  <c r="X175" i="1"/>
  <c r="X141" i="1"/>
  <c r="X160" i="1"/>
  <c r="X108" i="1"/>
  <c r="X7" i="1"/>
  <c r="X133" i="1"/>
  <c r="AB85" i="1"/>
  <c r="AE113" i="1"/>
  <c r="X73" i="1"/>
  <c r="AE164" i="1"/>
  <c r="X182" i="1"/>
  <c r="X34" i="1"/>
  <c r="X17" i="1"/>
  <c r="AS196" i="1"/>
  <c r="X113" i="1"/>
  <c r="X210" i="1"/>
  <c r="X145" i="1"/>
  <c r="X111" i="1"/>
  <c r="X213" i="1"/>
  <c r="X26" i="1"/>
  <c r="X119" i="1"/>
  <c r="AB95" i="1"/>
  <c r="AE228" i="1"/>
  <c r="AB32" i="1"/>
  <c r="AB24" i="1"/>
  <c r="AB49" i="1"/>
  <c r="AB48" i="1"/>
  <c r="X154" i="1"/>
  <c r="AB36" i="1"/>
  <c r="AS117" i="1"/>
  <c r="X44" i="1"/>
  <c r="AE103" i="1"/>
  <c r="X142" i="1"/>
  <c r="X207" i="1"/>
  <c r="X112" i="1"/>
  <c r="X123" i="1"/>
  <c r="X225" i="1"/>
  <c r="X161" i="1"/>
  <c r="X226" i="1"/>
  <c r="X128" i="1"/>
  <c r="X59" i="1"/>
  <c r="X135" i="1"/>
  <c r="X208" i="1"/>
  <c r="X31" i="1"/>
  <c r="X168" i="1"/>
  <c r="X134" i="1"/>
  <c r="X46" i="1"/>
  <c r="X139" i="1"/>
  <c r="X164" i="1"/>
  <c r="AE198" i="1"/>
  <c r="X89" i="1"/>
  <c r="X38" i="1"/>
  <c r="AB79" i="1"/>
  <c r="V100" i="1"/>
  <c r="AB42" i="1"/>
  <c r="X228" i="1"/>
  <c r="V15" i="1"/>
  <c r="X107" i="1"/>
  <c r="AB78" i="1"/>
  <c r="X30" i="1"/>
  <c r="AE192" i="1"/>
  <c r="X149" i="1"/>
  <c r="X86" i="1"/>
  <c r="X224" i="1"/>
  <c r="V109" i="1"/>
  <c r="Z159" i="1"/>
  <c r="V233" i="1"/>
  <c r="X222" i="1"/>
  <c r="X204" i="1"/>
  <c r="X13" i="1"/>
  <c r="X148" i="1"/>
  <c r="AT148" i="1" s="1"/>
  <c r="X56" i="1"/>
  <c r="X82" i="1"/>
  <c r="AS212" i="1"/>
  <c r="AE220" i="1"/>
  <c r="AB59" i="1"/>
  <c r="X209" i="1"/>
  <c r="X197" i="1"/>
  <c r="X84" i="1"/>
  <c r="X36" i="1"/>
  <c r="X179" i="1"/>
  <c r="X97" i="1"/>
  <c r="AB13" i="1"/>
  <c r="X187" i="1"/>
  <c r="X67" i="1"/>
  <c r="X122" i="1"/>
  <c r="X166" i="1"/>
  <c r="X116" i="1"/>
  <c r="X52" i="1"/>
  <c r="X8" i="1"/>
  <c r="X37" i="1"/>
  <c r="X219" i="1"/>
  <c r="X138" i="1"/>
  <c r="X205" i="1"/>
  <c r="Z184" i="1"/>
  <c r="Z132" i="1"/>
  <c r="X72" i="1"/>
  <c r="X80" i="1"/>
  <c r="X40" i="1"/>
  <c r="X181" i="1"/>
  <c r="X45" i="1"/>
  <c r="X75" i="1"/>
  <c r="X172" i="1"/>
  <c r="X121" i="1"/>
  <c r="X193" i="1"/>
  <c r="V186" i="1"/>
  <c r="X19" i="1"/>
  <c r="X159" i="1"/>
  <c r="AS112" i="1"/>
  <c r="V162" i="1"/>
  <c r="X24" i="1"/>
  <c r="AE207" i="1"/>
  <c r="AB26" i="1"/>
  <c r="V95" i="1"/>
  <c r="X115" i="1"/>
  <c r="Z96" i="1"/>
  <c r="V128" i="1"/>
  <c r="AE178" i="1"/>
  <c r="AB21" i="1"/>
  <c r="X32" i="1"/>
  <c r="AE225" i="1"/>
  <c r="X156" i="1"/>
  <c r="V142" i="1"/>
  <c r="V193" i="1"/>
  <c r="AE161" i="1"/>
  <c r="V45" i="1"/>
  <c r="AB4" i="1"/>
  <c r="AE104" i="1"/>
  <c r="AB5" i="1"/>
  <c r="AS202" i="1"/>
  <c r="AB30" i="1"/>
  <c r="AB84" i="1"/>
  <c r="X68" i="1"/>
  <c r="X201" i="1"/>
  <c r="AB80" i="1"/>
  <c r="AB8" i="1"/>
  <c r="X184" i="1"/>
  <c r="AE133" i="1"/>
  <c r="AB65" i="1"/>
  <c r="V196" i="1"/>
  <c r="X28" i="1"/>
  <c r="X4" i="1"/>
  <c r="X21" i="1"/>
  <c r="Z97" i="1"/>
  <c r="Z174" i="1"/>
  <c r="X189" i="1"/>
  <c r="Z14" i="1"/>
  <c r="X64" i="1"/>
  <c r="Z136" i="1"/>
  <c r="AE186" i="1"/>
  <c r="AB60" i="1"/>
  <c r="AE129" i="1"/>
  <c r="X16" i="1"/>
  <c r="AS197" i="1"/>
  <c r="X147" i="1"/>
  <c r="X171" i="1"/>
  <c r="X93" i="1"/>
  <c r="Z201" i="1"/>
  <c r="V167" i="1"/>
  <c r="X74" i="1"/>
  <c r="AE193" i="1"/>
  <c r="AB41" i="1"/>
  <c r="AE194" i="1"/>
  <c r="X20" i="1"/>
  <c r="AB93" i="1"/>
  <c r="Z68" i="1"/>
  <c r="X14" i="1"/>
  <c r="Z148" i="1"/>
  <c r="X66" i="1"/>
  <c r="X98" i="1"/>
  <c r="AB12" i="1"/>
  <c r="X146" i="1"/>
  <c r="X188" i="1"/>
  <c r="X114" i="1"/>
  <c r="AB76" i="1"/>
  <c r="AB54" i="1"/>
  <c r="Z145" i="1"/>
  <c r="V152" i="1"/>
  <c r="V173" i="1"/>
  <c r="AB37" i="1"/>
  <c r="X140" i="1"/>
  <c r="X196" i="1"/>
  <c r="V169" i="1"/>
  <c r="Z61" i="1"/>
  <c r="X48" i="1"/>
  <c r="AT48" i="1" s="1"/>
  <c r="V61" i="1"/>
  <c r="X90" i="1"/>
  <c r="AB91" i="1"/>
  <c r="X47" i="1"/>
  <c r="AB82" i="1"/>
  <c r="V44" i="1"/>
  <c r="Z45" i="1"/>
  <c r="AS142" i="1"/>
  <c r="AB72" i="1"/>
  <c r="V49" i="1"/>
  <c r="Z47" i="1"/>
  <c r="X199" i="1"/>
  <c r="X83" i="1"/>
  <c r="V30" i="1"/>
  <c r="X185" i="1"/>
  <c r="X99" i="1"/>
  <c r="Z108" i="1"/>
  <c r="V232" i="1"/>
  <c r="X95" i="1"/>
  <c r="X129" i="1"/>
  <c r="V34" i="1"/>
  <c r="X41" i="1"/>
  <c r="V229" i="1"/>
  <c r="V189" i="1"/>
  <c r="Z119" i="1"/>
  <c r="X183" i="1"/>
  <c r="X180" i="1"/>
  <c r="Z218" i="1"/>
  <c r="X88" i="1"/>
  <c r="X163" i="1"/>
  <c r="V59" i="1"/>
  <c r="X51" i="1"/>
  <c r="V43" i="1"/>
  <c r="V56" i="1"/>
  <c r="Z7" i="1"/>
  <c r="Z18" i="1"/>
  <c r="V72" i="1"/>
  <c r="X155" i="1"/>
  <c r="V177" i="1"/>
  <c r="V86" i="1"/>
  <c r="V25" i="1"/>
  <c r="AB3" i="1"/>
  <c r="Z63" i="1"/>
  <c r="X124" i="1"/>
  <c r="AB27" i="1"/>
  <c r="AE114" i="1"/>
  <c r="V190" i="1"/>
  <c r="V24" i="1"/>
  <c r="Z64" i="1"/>
  <c r="X65" i="1"/>
  <c r="X125" i="1"/>
  <c r="AE173" i="1"/>
  <c r="Z48" i="1"/>
  <c r="AE163" i="1"/>
  <c r="AE177" i="1"/>
  <c r="AE139" i="1"/>
  <c r="AE155" i="1"/>
  <c r="AE213" i="1"/>
  <c r="V137" i="1"/>
  <c r="V176" i="1"/>
  <c r="AB22" i="1"/>
  <c r="X152" i="1"/>
  <c r="AB83" i="1"/>
  <c r="X186" i="1"/>
  <c r="V119" i="1"/>
  <c r="X216" i="1"/>
  <c r="AB51" i="1"/>
  <c r="X136" i="1"/>
  <c r="Z15" i="1"/>
  <c r="AE154" i="1"/>
  <c r="X29" i="1"/>
  <c r="Z112" i="1"/>
  <c r="X117" i="1"/>
  <c r="V117" i="1"/>
  <c r="AB25" i="1"/>
  <c r="V130" i="1"/>
  <c r="V216" i="1"/>
  <c r="X126" i="1"/>
  <c r="AE98" i="1"/>
  <c r="AB57" i="1"/>
  <c r="AE152" i="1"/>
  <c r="AB52" i="1"/>
  <c r="Z12" i="1"/>
  <c r="X55" i="1"/>
  <c r="X15" i="1"/>
  <c r="X233" i="1"/>
  <c r="I1984" i="3"/>
  <c r="L1984" i="3" s="1"/>
  <c r="O1984" i="3" s="1"/>
  <c r="Z23" i="1"/>
  <c r="V179" i="1"/>
  <c r="X200" i="1"/>
  <c r="X170" i="1"/>
  <c r="X214" i="1"/>
  <c r="V9" i="1"/>
  <c r="Z91" i="1"/>
  <c r="V205" i="1"/>
  <c r="X69" i="1"/>
  <c r="AB11" i="1"/>
  <c r="V215" i="1"/>
  <c r="Z212" i="1"/>
  <c r="V63" i="1"/>
  <c r="AB62" i="1"/>
  <c r="Z210" i="1"/>
  <c r="I1975" i="3"/>
  <c r="V32" i="1"/>
  <c r="AB77" i="1"/>
  <c r="V202" i="1"/>
  <c r="V160" i="1"/>
  <c r="V199" i="1"/>
  <c r="Z167" i="1"/>
  <c r="AB29" i="1"/>
  <c r="AB92" i="1"/>
  <c r="X57" i="1"/>
  <c r="AB6" i="1"/>
  <c r="AB31" i="1"/>
  <c r="AB39" i="1"/>
  <c r="V213" i="1"/>
  <c r="Z33" i="1"/>
  <c r="AB86" i="1"/>
  <c r="Z95" i="1"/>
  <c r="Z16" i="1"/>
  <c r="V82" i="1"/>
  <c r="Z90" i="1"/>
  <c r="Z32" i="1"/>
  <c r="V103" i="1"/>
  <c r="V226" i="1"/>
  <c r="AE158" i="1"/>
  <c r="Z38" i="1"/>
  <c r="V4" i="1"/>
  <c r="AE233" i="1"/>
  <c r="V155" i="1"/>
  <c r="X176" i="1"/>
  <c r="AT176" i="1" s="1"/>
  <c r="X198" i="1"/>
  <c r="V5" i="1"/>
  <c r="Z69" i="1"/>
  <c r="X127" i="1"/>
  <c r="V161" i="1"/>
  <c r="V209" i="1"/>
  <c r="V217" i="1"/>
  <c r="X58" i="1"/>
  <c r="Z198" i="1"/>
  <c r="Z78" i="1"/>
  <c r="V204" i="1"/>
  <c r="Z35" i="1"/>
  <c r="V46" i="1"/>
  <c r="V19" i="1"/>
  <c r="V150" i="1"/>
  <c r="V157" i="1"/>
  <c r="AB88" i="1"/>
  <c r="AE209" i="1"/>
  <c r="V111" i="1"/>
  <c r="Z70" i="1"/>
  <c r="AB43" i="1"/>
  <c r="AE147" i="1"/>
  <c r="AE195" i="1"/>
  <c r="Z135" i="1"/>
  <c r="AE219" i="1"/>
  <c r="AB66" i="1"/>
  <c r="AE204" i="1"/>
  <c r="Z225" i="1"/>
  <c r="AE214" i="1"/>
  <c r="V42" i="1"/>
  <c r="V35" i="1"/>
  <c r="Z17" i="1"/>
  <c r="V118" i="1"/>
  <c r="Z193" i="1"/>
  <c r="AE102" i="1"/>
  <c r="V153" i="1"/>
  <c r="AB53" i="1"/>
  <c r="V175" i="1"/>
  <c r="X194" i="1"/>
  <c r="V194" i="1"/>
  <c r="Z41" i="1"/>
  <c r="V6" i="1"/>
  <c r="Z79" i="1"/>
  <c r="Z217" i="1"/>
  <c r="V3" i="1"/>
  <c r="Z44" i="1"/>
  <c r="V68" i="1"/>
  <c r="X62" i="1"/>
  <c r="X227" i="1"/>
  <c r="Z73" i="1"/>
  <c r="Z216" i="1"/>
  <c r="V156" i="1"/>
  <c r="X150" i="1"/>
  <c r="Z150" i="1"/>
  <c r="V132" i="1"/>
  <c r="Z192" i="1"/>
  <c r="X25" i="1"/>
  <c r="V200" i="1"/>
  <c r="Z230" i="1"/>
  <c r="Z26" i="1"/>
  <c r="Z28" i="1"/>
  <c r="V88" i="1"/>
  <c r="V165" i="1"/>
  <c r="X100" i="1"/>
  <c r="AT100" i="1" s="1"/>
  <c r="V145" i="1"/>
  <c r="V57" i="1"/>
  <c r="AE200" i="1"/>
  <c r="Z49" i="1"/>
  <c r="X165" i="1"/>
  <c r="V87" i="1"/>
  <c r="AB50" i="1"/>
  <c r="X232" i="1"/>
  <c r="Z24" i="1"/>
  <c r="Z228" i="1"/>
  <c r="V115" i="1"/>
  <c r="AB74" i="1"/>
  <c r="V66" i="1"/>
  <c r="Z140" i="1"/>
  <c r="V187" i="1"/>
  <c r="X118" i="1"/>
  <c r="V203" i="1"/>
  <c r="V91" i="1"/>
  <c r="V65" i="1"/>
  <c r="Z13" i="1"/>
  <c r="Z232" i="1"/>
  <c r="V140" i="1"/>
  <c r="Z59" i="1"/>
  <c r="Z156" i="1"/>
  <c r="V17" i="1"/>
  <c r="X12" i="1"/>
  <c r="V181" i="1"/>
  <c r="Z42" i="1"/>
  <c r="V219" i="1"/>
  <c r="V231" i="1"/>
  <c r="Z128" i="1"/>
  <c r="V22" i="1"/>
  <c r="Z80" i="1"/>
  <c r="V21" i="1"/>
  <c r="V12" i="1"/>
  <c r="V122" i="1"/>
  <c r="Z36" i="1"/>
  <c r="V192" i="1"/>
  <c r="V7" i="1"/>
  <c r="V96" i="1"/>
  <c r="V26" i="1"/>
  <c r="V79" i="1"/>
  <c r="Z211" i="1"/>
  <c r="Z149" i="1"/>
  <c r="X143" i="1"/>
  <c r="V10" i="1"/>
  <c r="Z203" i="1"/>
  <c r="Z134" i="1"/>
  <c r="V71" i="1"/>
  <c r="V8" i="1"/>
  <c r="X85" i="1"/>
  <c r="V69" i="1"/>
  <c r="Z20" i="1"/>
  <c r="V144" i="1"/>
  <c r="V106" i="1"/>
  <c r="X191" i="1"/>
  <c r="V114" i="1"/>
  <c r="V36" i="1"/>
  <c r="V58" i="1"/>
  <c r="V104" i="1"/>
  <c r="V99" i="1"/>
  <c r="V146" i="1"/>
  <c r="V70" i="1"/>
  <c r="AB87" i="1"/>
  <c r="AE121" i="1"/>
  <c r="AS131" i="1"/>
  <c r="AE125" i="1"/>
  <c r="AB34" i="1"/>
  <c r="V135" i="1"/>
  <c r="AE182" i="1"/>
  <c r="Z99" i="1"/>
  <c r="Z214" i="1"/>
  <c r="AE106" i="1"/>
  <c r="V225" i="1"/>
  <c r="AB56" i="1"/>
  <c r="AS122" i="1"/>
  <c r="AB71" i="1"/>
  <c r="V14" i="1"/>
  <c r="AB55" i="1"/>
  <c r="V112" i="1"/>
  <c r="Z197" i="1"/>
  <c r="AB19" i="1"/>
  <c r="AE227" i="1"/>
  <c r="V28" i="1"/>
  <c r="V182" i="1"/>
  <c r="Z202" i="1"/>
  <c r="V67" i="1"/>
  <c r="X102" i="1"/>
  <c r="Z138" i="1"/>
  <c r="AB46" i="1"/>
  <c r="Z190" i="1"/>
  <c r="Z100" i="1"/>
  <c r="V166" i="1"/>
  <c r="V131" i="1"/>
  <c r="Z39" i="1"/>
  <c r="Z222" i="1"/>
  <c r="V154" i="1"/>
  <c r="Z109" i="1"/>
  <c r="Z158" i="1"/>
  <c r="Z189" i="1"/>
  <c r="Z207" i="1"/>
  <c r="Z89" i="1"/>
  <c r="AE107" i="1"/>
  <c r="AE226" i="1"/>
  <c r="AE144" i="1"/>
  <c r="AB10" i="1"/>
  <c r="V168" i="1"/>
  <c r="Z3" i="1"/>
  <c r="V97" i="1"/>
  <c r="Z58" i="1"/>
  <c r="Z199" i="1"/>
  <c r="Z113" i="1"/>
  <c r="V102" i="1"/>
  <c r="X190" i="1"/>
  <c r="AE141" i="1"/>
  <c r="V171" i="1"/>
  <c r="Z163" i="1"/>
  <c r="V75" i="1"/>
  <c r="Z104" i="1"/>
  <c r="X77" i="1"/>
  <c r="Z157" i="1"/>
  <c r="Z8" i="1"/>
  <c r="V124" i="1"/>
  <c r="AE215" i="1"/>
  <c r="Z9" i="1"/>
  <c r="V50" i="1"/>
  <c r="Z200" i="1"/>
  <c r="V198" i="1"/>
  <c r="V139" i="1"/>
  <c r="Z101" i="1"/>
  <c r="V220" i="1"/>
  <c r="V31" i="1"/>
  <c r="V101" i="1"/>
  <c r="V218" i="1"/>
  <c r="V47" i="1"/>
  <c r="Z50" i="1"/>
  <c r="Z84" i="1"/>
  <c r="Z124" i="1"/>
  <c r="V195" i="1"/>
  <c r="V163" i="1"/>
  <c r="Z220" i="1"/>
  <c r="Z22" i="1"/>
  <c r="V127" i="1"/>
  <c r="Z186" i="1"/>
  <c r="V151" i="1"/>
  <c r="V134" i="1"/>
  <c r="V227" i="1"/>
  <c r="Y227" i="1" s="1"/>
  <c r="Z209" i="1"/>
  <c r="V80" i="1"/>
  <c r="V223" i="1"/>
  <c r="Z129" i="1"/>
  <c r="V170" i="1"/>
  <c r="X192" i="1"/>
  <c r="AT192" i="1" s="1"/>
  <c r="I1982" i="3"/>
  <c r="L1982" i="3" s="1"/>
  <c r="V183" i="1"/>
  <c r="V180" i="1"/>
  <c r="Z205" i="1"/>
  <c r="V141" i="1"/>
  <c r="Z208" i="1"/>
  <c r="V120" i="1"/>
  <c r="Z82" i="1"/>
  <c r="Z224" i="1"/>
  <c r="Z21" i="1"/>
  <c r="Z11" i="1"/>
  <c r="V108" i="1"/>
  <c r="Z116" i="1"/>
  <c r="X81" i="1"/>
  <c r="V211" i="1"/>
  <c r="Z177" i="1"/>
  <c r="Z231" i="1"/>
  <c r="X23" i="1"/>
  <c r="V53" i="1"/>
  <c r="V158" i="1"/>
  <c r="Z169" i="1"/>
  <c r="V83" i="1"/>
  <c r="V13" i="1"/>
  <c r="X103" i="1"/>
  <c r="Z117" i="1"/>
  <c r="V148" i="1"/>
  <c r="V224" i="1"/>
  <c r="V52" i="1"/>
  <c r="V41" i="1"/>
  <c r="V92" i="1"/>
  <c r="V210" i="1"/>
  <c r="Z30" i="1"/>
  <c r="V174" i="1"/>
  <c r="V93" i="1"/>
  <c r="V18" i="1"/>
  <c r="V147" i="1"/>
  <c r="V159" i="1"/>
  <c r="V110" i="1"/>
  <c r="AG110" i="1" s="1"/>
  <c r="AO110" i="1" s="1"/>
  <c r="Z175" i="1"/>
  <c r="Z114" i="1"/>
  <c r="V113" i="1"/>
  <c r="V16" i="1"/>
  <c r="Z118" i="1"/>
  <c r="V212" i="1"/>
  <c r="Z85" i="1"/>
  <c r="Z133" i="1"/>
  <c r="V116" i="1"/>
  <c r="V23" i="1"/>
  <c r="V138" i="1"/>
  <c r="V143" i="1"/>
  <c r="Z165" i="1"/>
  <c r="Z178" i="1"/>
  <c r="Z60" i="1"/>
  <c r="Z81" i="1"/>
  <c r="V54" i="1"/>
  <c r="X162" i="1"/>
  <c r="V105" i="1"/>
  <c r="Z121" i="1"/>
  <c r="Z137" i="1"/>
  <c r="Z6" i="1"/>
  <c r="V184" i="1"/>
  <c r="Z52" i="1"/>
  <c r="Z102" i="1"/>
  <c r="Z77" i="1"/>
  <c r="Z10" i="1"/>
  <c r="Z93" i="1"/>
  <c r="Z51" i="1"/>
  <c r="Z182" i="1"/>
  <c r="V55" i="1"/>
  <c r="V27" i="1"/>
  <c r="V98" i="1"/>
  <c r="V85" i="1"/>
  <c r="Z62" i="1"/>
  <c r="Z86" i="1"/>
  <c r="Z170" i="1"/>
  <c r="Z19" i="1"/>
  <c r="Z181" i="1"/>
  <c r="V77" i="1"/>
  <c r="Z152" i="1"/>
  <c r="V126" i="1"/>
  <c r="Z196" i="1"/>
  <c r="V201" i="1"/>
  <c r="Z72" i="1"/>
  <c r="V123" i="1"/>
  <c r="V29" i="1"/>
  <c r="X132" i="1"/>
  <c r="AT132" i="1" s="1"/>
  <c r="Z233" i="1"/>
  <c r="Z43" i="1"/>
  <c r="Z56" i="1"/>
  <c r="V121" i="1"/>
  <c r="V84" i="1"/>
  <c r="Z76" i="1"/>
  <c r="Z126" i="1"/>
  <c r="Z107" i="1"/>
  <c r="Z229" i="1"/>
  <c r="V208" i="1"/>
  <c r="V37" i="1"/>
  <c r="V172" i="1"/>
  <c r="Z155" i="1"/>
  <c r="V64" i="1"/>
  <c r="V20" i="1"/>
  <c r="Z4" i="1"/>
  <c r="Z115" i="1"/>
  <c r="Z172" i="1"/>
  <c r="Z53" i="1"/>
  <c r="Z57" i="1"/>
  <c r="Z74" i="1"/>
  <c r="Z29" i="1"/>
  <c r="Z183" i="1"/>
  <c r="Z141" i="1"/>
  <c r="Z5" i="1"/>
  <c r="Z110" i="1"/>
  <c r="Z111" i="1"/>
  <c r="Z139" i="1"/>
  <c r="V94" i="1"/>
  <c r="V73" i="1"/>
  <c r="Z120" i="1"/>
  <c r="Z185" i="1"/>
  <c r="Z147" i="1"/>
  <c r="Z151" i="1"/>
  <c r="Z87" i="1"/>
  <c r="Z143" i="1"/>
  <c r="V48" i="1"/>
  <c r="Z125" i="1"/>
  <c r="V230" i="1"/>
  <c r="V40" i="1"/>
  <c r="V188" i="1"/>
  <c r="V38" i="1"/>
  <c r="Z37" i="1"/>
  <c r="Z25" i="1"/>
  <c r="Z188" i="1"/>
  <c r="Z223" i="1"/>
  <c r="V107" i="1"/>
  <c r="Z164" i="1"/>
  <c r="V60" i="1"/>
  <c r="Z106" i="1"/>
  <c r="Z213" i="1"/>
  <c r="V78" i="1"/>
  <c r="Z187" i="1"/>
  <c r="V221" i="1"/>
  <c r="Z226" i="1"/>
  <c r="Z227" i="1"/>
  <c r="Z146" i="1"/>
  <c r="Z105" i="1"/>
  <c r="V228" i="1"/>
  <c r="V125" i="1"/>
  <c r="V90" i="1"/>
  <c r="Z204" i="1"/>
  <c r="Z130" i="1"/>
  <c r="Z67" i="1"/>
  <c r="V197" i="1"/>
  <c r="Z65" i="1"/>
  <c r="Z180" i="1"/>
  <c r="Z221" i="1"/>
  <c r="Z161" i="1"/>
  <c r="V207" i="1"/>
  <c r="Z191" i="1"/>
  <c r="V178" i="1"/>
  <c r="V62" i="1"/>
  <c r="V76" i="1"/>
  <c r="Z171" i="1"/>
  <c r="Z103" i="1"/>
  <c r="V129" i="1"/>
  <c r="Z142" i="1"/>
  <c r="Z173" i="1"/>
  <c r="Z131" i="1"/>
  <c r="V39" i="1"/>
  <c r="Z144" i="1"/>
  <c r="V81" i="1"/>
  <c r="Z127" i="1"/>
  <c r="Z166" i="1"/>
  <c r="Z122" i="1"/>
  <c r="Z31" i="1"/>
  <c r="V74" i="1"/>
  <c r="Z34" i="1"/>
  <c r="Z194" i="1"/>
  <c r="Z92" i="1"/>
  <c r="Z123" i="1"/>
  <c r="V89" i="1"/>
  <c r="Z83" i="1"/>
  <c r="Z75" i="1"/>
  <c r="Z94" i="1"/>
  <c r="V51" i="1"/>
  <c r="V214" i="1"/>
  <c r="V133" i="1"/>
  <c r="V185" i="1"/>
  <c r="Z27" i="1"/>
  <c r="Z179" i="1"/>
  <c r="Z55" i="1"/>
  <c r="Z162" i="1"/>
  <c r="Z154" i="1"/>
  <c r="V136" i="1"/>
  <c r="Z98" i="1"/>
  <c r="Z195" i="1"/>
  <c r="V149" i="1"/>
  <c r="AG149" i="1" s="1"/>
  <c r="AO149" i="1" s="1"/>
  <c r="V164" i="1"/>
  <c r="Z71" i="1"/>
  <c r="V222" i="1"/>
  <c r="Z88" i="1"/>
  <c r="Z46" i="1"/>
  <c r="Z153" i="1"/>
  <c r="Z66" i="1"/>
  <c r="Z176" i="1"/>
  <c r="Z54" i="1"/>
  <c r="V191" i="1"/>
  <c r="Z215" i="1"/>
  <c r="Z160" i="1"/>
  <c r="Z219" i="1"/>
  <c r="V11" i="1"/>
  <c r="V33" i="1"/>
  <c r="AT57" i="1" l="1"/>
  <c r="AT117" i="1"/>
  <c r="AT159" i="1"/>
  <c r="AT193" i="1"/>
  <c r="AT77" i="1"/>
  <c r="AT55" i="1"/>
  <c r="AT210" i="1"/>
  <c r="AT186" i="1"/>
  <c r="AT123" i="1"/>
  <c r="AG33" i="1"/>
  <c r="AO33" i="1" s="1"/>
  <c r="AT14" i="1"/>
  <c r="AT112" i="1"/>
  <c r="AT178" i="1"/>
  <c r="AT3" i="1"/>
  <c r="AT233" i="1"/>
  <c r="AT213" i="1"/>
  <c r="AR109" i="1"/>
  <c r="AT151" i="1"/>
  <c r="AT72" i="1"/>
  <c r="AT18" i="1"/>
  <c r="AG27" i="1"/>
  <c r="AO27" i="1" s="1"/>
  <c r="AT217" i="1"/>
  <c r="AT104" i="1"/>
  <c r="AG95" i="1"/>
  <c r="AO95" i="1" s="1"/>
  <c r="AE74" i="1"/>
  <c r="AE92" i="1"/>
  <c r="AE32" i="1"/>
  <c r="AE75" i="1"/>
  <c r="AE81" i="1"/>
  <c r="AE15" i="1"/>
  <c r="AE45" i="1"/>
  <c r="AI56" i="1"/>
  <c r="AK56" i="1" s="1"/>
  <c r="AE80" i="1"/>
  <c r="AE21" i="1"/>
  <c r="AE42" i="1"/>
  <c r="AE85" i="1"/>
  <c r="AE10" i="1"/>
  <c r="AE19" i="1"/>
  <c r="AE62" i="1"/>
  <c r="AE27" i="1"/>
  <c r="AE82" i="1"/>
  <c r="AE88" i="1"/>
  <c r="AE79" i="1"/>
  <c r="AS90" i="1"/>
  <c r="AE25" i="1"/>
  <c r="AE84" i="1"/>
  <c r="AE70" i="1"/>
  <c r="AE52" i="1"/>
  <c r="AE3" i="1"/>
  <c r="AE12" i="1"/>
  <c r="AE65" i="1"/>
  <c r="AE30" i="1"/>
  <c r="AE35" i="1"/>
  <c r="AE40" i="1"/>
  <c r="AE77" i="1"/>
  <c r="AE41" i="1"/>
  <c r="AE38" i="1"/>
  <c r="AE53" i="1"/>
  <c r="AT81" i="1"/>
  <c r="AT209" i="1"/>
  <c r="AT168" i="1"/>
  <c r="AS100" i="1"/>
  <c r="AT127" i="1"/>
  <c r="AI208" i="1"/>
  <c r="AK208" i="1" s="1"/>
  <c r="AI178" i="1"/>
  <c r="AK178" i="1" s="1"/>
  <c r="AT150" i="1"/>
  <c r="AT73" i="1"/>
  <c r="AT49" i="1"/>
  <c r="AT99" i="1"/>
  <c r="AT208" i="1"/>
  <c r="AT225" i="1"/>
  <c r="AT69" i="1"/>
  <c r="AG26" i="1"/>
  <c r="AO26" i="1" s="1"/>
  <c r="AG203" i="1"/>
  <c r="AO203" i="1" s="1"/>
  <c r="AT41" i="1"/>
  <c r="AG73" i="1"/>
  <c r="AO73" i="1" s="1"/>
  <c r="AI8" i="1"/>
  <c r="AK8" i="1" s="1"/>
  <c r="AT79" i="1"/>
  <c r="AT166" i="1"/>
  <c r="AI89" i="1"/>
  <c r="AK89" i="1" s="1"/>
  <c r="AT89" i="1"/>
  <c r="AS76" i="1"/>
  <c r="AS185" i="1"/>
  <c r="AT67" i="1"/>
  <c r="AT54" i="1"/>
  <c r="AI137" i="1"/>
  <c r="AK137" i="1" s="1"/>
  <c r="AT17" i="1"/>
  <c r="AT94" i="1"/>
  <c r="AT140" i="1"/>
  <c r="AT86" i="1"/>
  <c r="AT202" i="1"/>
  <c r="AG82" i="1"/>
  <c r="AO82" i="1" s="1"/>
  <c r="AT191" i="1"/>
  <c r="AT65" i="1"/>
  <c r="AT155" i="1"/>
  <c r="AS17" i="1"/>
  <c r="AT40" i="1"/>
  <c r="AS183" i="1"/>
  <c r="AS31" i="1"/>
  <c r="AT118" i="1"/>
  <c r="AS97" i="1"/>
  <c r="AG37" i="1"/>
  <c r="AO37" i="1" s="1"/>
  <c r="AT215" i="1"/>
  <c r="AI228" i="1"/>
  <c r="AK228" i="1" s="1"/>
  <c r="AI108" i="1"/>
  <c r="AK108" i="1" s="1"/>
  <c r="AT19" i="1"/>
  <c r="AI119" i="1"/>
  <c r="AK119" i="1" s="1"/>
  <c r="AT98" i="1"/>
  <c r="AS126" i="1"/>
  <c r="AG148" i="1"/>
  <c r="AO148" i="1" s="1"/>
  <c r="AS71" i="1"/>
  <c r="AT82" i="1"/>
  <c r="AS36" i="1"/>
  <c r="AT129" i="1"/>
  <c r="AS72" i="1"/>
  <c r="AT13" i="1"/>
  <c r="AG185" i="1"/>
  <c r="AO185" i="1" s="1"/>
  <c r="AS171" i="1"/>
  <c r="AT167" i="1"/>
  <c r="AT196" i="1"/>
  <c r="AI134" i="1"/>
  <c r="AK134" i="1" s="1"/>
  <c r="AG47" i="1"/>
  <c r="AO47" i="1" s="1"/>
  <c r="AT110" i="1"/>
  <c r="AT107" i="1"/>
  <c r="AG90" i="1"/>
  <c r="AO90" i="1" s="1"/>
  <c r="AG60" i="1"/>
  <c r="AO60" i="1" s="1"/>
  <c r="AI14" i="1"/>
  <c r="AK14" i="1" s="1"/>
  <c r="AS57" i="1"/>
  <c r="AT218" i="1"/>
  <c r="AG202" i="1"/>
  <c r="AO202" i="1" s="1"/>
  <c r="AT133" i="1"/>
  <c r="AT38" i="1"/>
  <c r="AT34" i="1"/>
  <c r="AT42" i="1"/>
  <c r="AT23" i="1"/>
  <c r="AT161" i="1"/>
  <c r="AG180" i="1"/>
  <c r="AO180" i="1" s="1"/>
  <c r="AS160" i="1"/>
  <c r="AT185" i="1"/>
  <c r="AS156" i="1"/>
  <c r="AT181" i="1"/>
  <c r="AT230" i="1"/>
  <c r="AT165" i="1"/>
  <c r="AT20" i="1"/>
  <c r="AT56" i="1"/>
  <c r="AT30" i="1"/>
  <c r="AT130" i="1"/>
  <c r="AG129" i="1"/>
  <c r="AO129" i="1" s="1"/>
  <c r="AI197" i="1"/>
  <c r="AK197" i="1" s="1"/>
  <c r="AT190" i="1"/>
  <c r="AT152" i="1"/>
  <c r="AT160" i="1"/>
  <c r="AT6" i="1"/>
  <c r="AT144" i="1"/>
  <c r="AT173" i="1"/>
  <c r="AG38" i="1"/>
  <c r="AO38" i="1" s="1"/>
  <c r="AT29" i="1"/>
  <c r="AT121" i="1"/>
  <c r="AT219" i="1"/>
  <c r="AT36" i="1"/>
  <c r="AT134" i="1"/>
  <c r="AG194" i="1"/>
  <c r="AO194" i="1" s="1"/>
  <c r="AT203" i="1"/>
  <c r="AT195" i="1"/>
  <c r="AG36" i="1"/>
  <c r="AO36" i="1" s="1"/>
  <c r="AT103" i="1"/>
  <c r="AI48" i="1"/>
  <c r="AK48" i="1" s="1"/>
  <c r="AT102" i="1"/>
  <c r="AT125" i="1"/>
  <c r="AS26" i="1"/>
  <c r="AT61" i="1"/>
  <c r="AG18" i="1"/>
  <c r="AO18" i="1" s="1"/>
  <c r="AG93" i="1"/>
  <c r="AO93" i="1" s="1"/>
  <c r="AI9" i="1"/>
  <c r="AK9" i="1" s="1"/>
  <c r="AI190" i="1"/>
  <c r="AK190" i="1" s="1"/>
  <c r="AT199" i="1"/>
  <c r="AG61" i="1"/>
  <c r="AO61" i="1" s="1"/>
  <c r="AT21" i="1"/>
  <c r="AT128" i="1"/>
  <c r="AT78" i="1"/>
  <c r="AI201" i="1"/>
  <c r="AK201" i="1" s="1"/>
  <c r="AG3" i="1"/>
  <c r="AO3" i="1" s="1"/>
  <c r="AT15" i="1"/>
  <c r="AT4" i="1"/>
  <c r="AT32" i="1"/>
  <c r="AT92" i="1"/>
  <c r="AT10" i="1"/>
  <c r="AG207" i="1"/>
  <c r="AO207" i="1" s="1"/>
  <c r="AT5" i="1"/>
  <c r="AI159" i="1"/>
  <c r="AK159" i="1" s="1"/>
  <c r="AT35" i="1"/>
  <c r="AT124" i="1"/>
  <c r="AT114" i="1"/>
  <c r="AT139" i="1"/>
  <c r="AT53" i="1"/>
  <c r="AT153" i="1"/>
  <c r="AI150" i="1"/>
  <c r="AK150" i="1" s="1"/>
  <c r="AG17" i="1"/>
  <c r="AO17" i="1" s="1"/>
  <c r="AT95" i="1"/>
  <c r="AT188" i="1"/>
  <c r="AS60" i="1"/>
  <c r="AS5" i="1"/>
  <c r="AT138" i="1"/>
  <c r="AT204" i="1"/>
  <c r="AT27" i="1"/>
  <c r="AT58" i="1"/>
  <c r="AT184" i="1"/>
  <c r="AT172" i="1"/>
  <c r="AT84" i="1"/>
  <c r="AT175" i="1"/>
  <c r="AS69" i="1"/>
  <c r="AS119" i="1"/>
  <c r="AG16" i="1"/>
  <c r="AO16" i="1" s="1"/>
  <c r="AT170" i="1"/>
  <c r="AT142" i="1"/>
  <c r="AG20" i="1"/>
  <c r="AO20" i="1" s="1"/>
  <c r="AT47" i="1"/>
  <c r="AT66" i="1"/>
  <c r="AT45" i="1"/>
  <c r="AT119" i="1"/>
  <c r="AS58" i="1"/>
  <c r="AS184" i="1"/>
  <c r="AS83" i="1"/>
  <c r="AT189" i="1"/>
  <c r="AT44" i="1"/>
  <c r="AT141" i="1"/>
  <c r="AT143" i="1"/>
  <c r="AT68" i="1"/>
  <c r="AT115" i="1"/>
  <c r="AT179" i="1"/>
  <c r="AG39" i="1"/>
  <c r="AO39" i="1" s="1"/>
  <c r="AG231" i="1"/>
  <c r="AO231" i="1" s="1"/>
  <c r="AT231" i="1"/>
  <c r="AR12" i="1"/>
  <c r="AT51" i="1"/>
  <c r="AT70" i="1"/>
  <c r="AT12" i="1"/>
  <c r="AT135" i="1"/>
  <c r="AT154" i="1"/>
  <c r="AT74" i="1"/>
  <c r="AT113" i="1"/>
  <c r="AT232" i="1"/>
  <c r="AT59" i="1"/>
  <c r="AT221" i="1"/>
  <c r="AT187" i="1"/>
  <c r="AT229" i="1"/>
  <c r="AT147" i="1"/>
  <c r="AT169" i="1"/>
  <c r="AT46" i="1"/>
  <c r="AG103" i="1"/>
  <c r="AO103" i="1" s="1"/>
  <c r="AS86" i="1"/>
  <c r="AI54" i="1"/>
  <c r="AK54" i="1" s="1"/>
  <c r="AI96" i="1"/>
  <c r="AK96" i="1" s="1"/>
  <c r="AI222" i="1"/>
  <c r="AK222" i="1" s="1"/>
  <c r="AG7" i="1"/>
  <c r="AO7" i="1" s="1"/>
  <c r="AG64" i="1"/>
  <c r="AO64" i="1" s="1"/>
  <c r="AI192" i="1"/>
  <c r="AK192" i="1" s="1"/>
  <c r="AG132" i="1"/>
  <c r="AO132" i="1" s="1"/>
  <c r="AS166" i="1"/>
  <c r="AG69" i="1"/>
  <c r="AO69" i="1" s="1"/>
  <c r="AI42" i="1"/>
  <c r="AK42" i="1" s="1"/>
  <c r="AS138" i="1"/>
  <c r="AI97" i="1"/>
  <c r="AK97" i="1" s="1"/>
  <c r="AI112" i="1"/>
  <c r="AK112" i="1" s="1"/>
  <c r="AG166" i="1"/>
  <c r="AO166" i="1" s="1"/>
  <c r="AI189" i="1"/>
  <c r="AK189" i="1" s="1"/>
  <c r="AT60" i="1"/>
  <c r="AG113" i="1"/>
  <c r="AO113" i="1" s="1"/>
  <c r="AG51" i="1"/>
  <c r="AO51" i="1" s="1"/>
  <c r="AI184" i="1"/>
  <c r="AK184" i="1" s="1"/>
  <c r="AI94" i="1"/>
  <c r="AK94" i="1" s="1"/>
  <c r="AI230" i="1"/>
  <c r="AK230" i="1" s="1"/>
  <c r="AS165" i="1"/>
  <c r="AS181" i="1"/>
  <c r="AR182" i="1"/>
  <c r="AS120" i="1"/>
  <c r="AS4" i="1"/>
  <c r="AT90" i="1"/>
  <c r="AT97" i="1"/>
  <c r="AT214" i="1"/>
  <c r="AT52" i="1"/>
  <c r="AT120" i="1"/>
  <c r="AT163" i="1"/>
  <c r="AT116" i="1"/>
  <c r="AT228" i="1"/>
  <c r="AT111" i="1"/>
  <c r="AT201" i="1"/>
  <c r="AT71" i="1"/>
  <c r="AT162" i="1"/>
  <c r="AT227" i="1"/>
  <c r="AT8" i="1"/>
  <c r="AT216" i="1"/>
  <c r="AT106" i="1"/>
  <c r="AT25" i="1"/>
  <c r="AT88" i="1"/>
  <c r="AT31" i="1"/>
  <c r="AG85" i="1"/>
  <c r="AO85" i="1" s="1"/>
  <c r="AI116" i="1"/>
  <c r="AK116" i="1" s="1"/>
  <c r="AS135" i="1"/>
  <c r="AG70" i="1"/>
  <c r="AO70" i="1" s="1"/>
  <c r="AS48" i="1"/>
  <c r="AS208" i="1"/>
  <c r="AG218" i="1"/>
  <c r="AO218" i="1" s="1"/>
  <c r="AI75" i="1"/>
  <c r="AK75" i="1" s="1"/>
  <c r="AS64" i="1"/>
  <c r="AG221" i="1"/>
  <c r="AO221" i="1" s="1"/>
  <c r="AS59" i="1"/>
  <c r="AS13" i="1"/>
  <c r="AG220" i="1"/>
  <c r="AO220" i="1" s="1"/>
  <c r="AI79" i="1"/>
  <c r="AK79" i="1" s="1"/>
  <c r="AS8" i="1"/>
  <c r="AT174" i="1"/>
  <c r="AT76" i="1"/>
  <c r="AT50" i="1"/>
  <c r="AG139" i="1"/>
  <c r="AO139" i="1" s="1"/>
  <c r="AS14" i="1"/>
  <c r="AT96" i="1"/>
  <c r="AG157" i="1"/>
  <c r="AO157" i="1" s="1"/>
  <c r="AI232" i="1"/>
  <c r="AK232" i="1" s="1"/>
  <c r="AG49" i="1"/>
  <c r="AO49" i="1" s="1"/>
  <c r="AG80" i="1"/>
  <c r="AO80" i="1" s="1"/>
  <c r="AT149" i="1"/>
  <c r="AI163" i="1"/>
  <c r="AK163" i="1" s="1"/>
  <c r="AT80" i="1"/>
  <c r="AT91" i="1"/>
  <c r="AT26" i="1"/>
  <c r="AT145" i="1"/>
  <c r="AG50" i="1"/>
  <c r="AO50" i="1" s="1"/>
  <c r="AG198" i="1"/>
  <c r="AO198" i="1" s="1"/>
  <c r="AG76" i="1"/>
  <c r="AO76" i="1" s="1"/>
  <c r="AG62" i="1"/>
  <c r="AO62" i="1" s="1"/>
  <c r="AI23" i="1"/>
  <c r="AK23" i="1" s="1"/>
  <c r="AI40" i="1"/>
  <c r="AK40" i="1" s="1"/>
  <c r="AG191" i="1"/>
  <c r="AO191" i="1" s="1"/>
  <c r="AG223" i="1"/>
  <c r="AO223" i="1" s="1"/>
  <c r="AG216" i="1"/>
  <c r="AO216" i="1" s="1"/>
  <c r="AG84" i="1"/>
  <c r="AO84" i="1" s="1"/>
  <c r="AG158" i="1"/>
  <c r="AO158" i="1" s="1"/>
  <c r="AS222" i="1"/>
  <c r="AS148" i="1"/>
  <c r="AT164" i="1"/>
  <c r="AT16" i="1"/>
  <c r="AI11" i="1"/>
  <c r="AK11" i="1" s="1"/>
  <c r="AG105" i="1"/>
  <c r="AO105" i="1" s="1"/>
  <c r="AT43" i="1"/>
  <c r="AI15" i="1"/>
  <c r="AK15" i="1" s="1"/>
  <c r="AG130" i="1"/>
  <c r="AO130" i="1" s="1"/>
  <c r="AI104" i="1"/>
  <c r="AK104" i="1" s="1"/>
  <c r="AT226" i="1"/>
  <c r="AT211" i="1"/>
  <c r="AI92" i="1"/>
  <c r="AK92" i="1" s="1"/>
  <c r="AT28" i="1"/>
  <c r="AT7" i="1"/>
  <c r="AT158" i="1"/>
  <c r="AI172" i="1"/>
  <c r="AK172" i="1" s="1"/>
  <c r="AT220" i="1"/>
  <c r="AT39" i="1"/>
  <c r="AI154" i="1"/>
  <c r="AK154" i="1" s="1"/>
  <c r="AI118" i="1"/>
  <c r="AK118" i="1" s="1"/>
  <c r="AI66" i="1"/>
  <c r="AK66" i="1" s="1"/>
  <c r="AI214" i="1"/>
  <c r="AK214" i="1" s="1"/>
  <c r="AI126" i="1"/>
  <c r="AK126" i="1" s="1"/>
  <c r="AI124" i="1"/>
  <c r="AK124" i="1" s="1"/>
  <c r="AI74" i="1"/>
  <c r="AK74" i="1" s="1"/>
  <c r="AG170" i="1"/>
  <c r="AO170" i="1" s="1"/>
  <c r="AG43" i="1"/>
  <c r="AO43" i="1" s="1"/>
  <c r="AT177" i="1"/>
  <c r="AS68" i="1"/>
  <c r="AG52" i="1"/>
  <c r="AO52" i="1" s="1"/>
  <c r="AI161" i="1"/>
  <c r="AK161" i="1" s="1"/>
  <c r="AT182" i="1"/>
  <c r="AT22" i="1"/>
  <c r="AI31" i="1"/>
  <c r="AK31" i="1" s="1"/>
  <c r="AT37" i="1"/>
  <c r="AT131" i="1"/>
  <c r="AI146" i="1"/>
  <c r="AK146" i="1" s="1"/>
  <c r="AG153" i="1"/>
  <c r="AO153" i="1" s="1"/>
  <c r="AS34" i="1"/>
  <c r="AR131" i="1"/>
  <c r="AI55" i="1"/>
  <c r="AK55" i="1" s="1"/>
  <c r="AI147" i="1"/>
  <c r="AK147" i="1" s="1"/>
  <c r="AI175" i="1"/>
  <c r="AK175" i="1" s="1"/>
  <c r="AI5" i="1"/>
  <c r="AK5" i="1" s="1"/>
  <c r="AG45" i="1"/>
  <c r="AO45" i="1" s="1"/>
  <c r="AI171" i="1"/>
  <c r="AK171" i="1" s="1"/>
  <c r="AG6" i="1"/>
  <c r="AO6" i="1" s="1"/>
  <c r="AT156" i="1"/>
  <c r="AT62" i="1"/>
  <c r="AT126" i="1"/>
  <c r="AT146" i="1"/>
  <c r="AT93" i="1"/>
  <c r="AT224" i="1"/>
  <c r="AT194" i="1"/>
  <c r="AT83" i="1"/>
  <c r="AT171" i="1"/>
  <c r="AT24" i="1"/>
  <c r="AT207" i="1"/>
  <c r="AT87" i="1"/>
  <c r="AT11" i="1"/>
  <c r="AT33" i="1"/>
  <c r="AT109" i="1"/>
  <c r="AT200" i="1"/>
  <c r="AT136" i="1"/>
  <c r="AT180" i="1"/>
  <c r="AT64" i="1"/>
  <c r="AT75" i="1"/>
  <c r="AT205" i="1"/>
  <c r="AT122" i="1"/>
  <c r="AT197" i="1"/>
  <c r="AT108" i="1"/>
  <c r="AT212" i="1"/>
  <c r="AT9" i="1"/>
  <c r="AT198" i="1"/>
  <c r="AT183" i="1"/>
  <c r="AT105" i="1"/>
  <c r="AT101" i="1"/>
  <c r="AT85" i="1"/>
  <c r="AT222" i="1"/>
  <c r="AT137" i="1"/>
  <c r="AI121" i="1"/>
  <c r="AK121" i="1" s="1"/>
  <c r="AE135" i="1"/>
  <c r="AS79" i="1"/>
  <c r="AS42" i="1"/>
  <c r="AS23" i="1"/>
  <c r="AE5" i="1"/>
  <c r="AG131" i="1"/>
  <c r="AO131" i="1" s="1"/>
  <c r="AE34" i="1"/>
  <c r="AG25" i="1"/>
  <c r="AO25" i="1" s="1"/>
  <c r="AG176" i="1"/>
  <c r="AO176" i="1" s="1"/>
  <c r="AS24" i="1"/>
  <c r="AI213" i="1"/>
  <c r="AK213" i="1" s="1"/>
  <c r="AI169" i="1"/>
  <c r="AK169" i="1" s="1"/>
  <c r="AG183" i="1"/>
  <c r="AO183" i="1" s="1"/>
  <c r="AS107" i="1"/>
  <c r="AE183" i="1"/>
  <c r="AI179" i="1"/>
  <c r="AK179" i="1" s="1"/>
  <c r="AS178" i="1"/>
  <c r="AG127" i="1"/>
  <c r="AO127" i="1" s="1"/>
  <c r="AE86" i="1"/>
  <c r="AS152" i="1"/>
  <c r="AE83" i="1"/>
  <c r="AI58" i="1"/>
  <c r="AK58" i="1" s="1"/>
  <c r="AI155" i="1"/>
  <c r="AK155" i="1" s="1"/>
  <c r="AI117" i="1"/>
  <c r="AK117" i="1" s="1"/>
  <c r="AS144" i="1"/>
  <c r="AG155" i="1"/>
  <c r="AO155" i="1" s="1"/>
  <c r="AE160" i="1"/>
  <c r="AE100" i="1"/>
  <c r="AG167" i="1"/>
  <c r="AO167" i="1" s="1"/>
  <c r="AI227" i="1"/>
  <c r="AK227" i="1" s="1"/>
  <c r="AI114" i="1"/>
  <c r="AK114" i="1" s="1"/>
  <c r="AI65" i="1"/>
  <c r="AK65" i="1" s="1"/>
  <c r="AI191" i="1"/>
  <c r="AK191" i="1" s="1"/>
  <c r="AG112" i="1"/>
  <c r="AO112" i="1" s="1"/>
  <c r="AG87" i="1"/>
  <c r="AO87" i="1" s="1"/>
  <c r="AS74" i="1"/>
  <c r="AG205" i="1"/>
  <c r="AO205" i="1" s="1"/>
  <c r="AS194" i="1"/>
  <c r="AG44" i="1"/>
  <c r="AO44" i="1" s="1"/>
  <c r="AS108" i="1"/>
  <c r="AS195" i="1"/>
  <c r="AS218" i="1"/>
  <c r="AS227" i="1"/>
  <c r="AS37" i="1"/>
  <c r="AI196" i="1"/>
  <c r="AK196" i="1" s="1"/>
  <c r="AE58" i="1"/>
  <c r="AG89" i="1"/>
  <c r="AO89" i="1" s="1"/>
  <c r="AG224" i="1"/>
  <c r="AO224" i="1" s="1"/>
  <c r="AS19" i="1"/>
  <c r="AS106" i="1"/>
  <c r="AS158" i="1"/>
  <c r="AI59" i="1"/>
  <c r="AK59" i="1" s="1"/>
  <c r="AS101" i="1"/>
  <c r="AI98" i="1"/>
  <c r="AK98" i="1" s="1"/>
  <c r="AG138" i="1"/>
  <c r="AO138" i="1" s="1"/>
  <c r="AI141" i="1"/>
  <c r="AK141" i="1" s="1"/>
  <c r="AE137" i="1"/>
  <c r="AS56" i="1"/>
  <c r="AG71" i="1"/>
  <c r="AO71" i="1" s="1"/>
  <c r="AG88" i="1"/>
  <c r="AO88" i="1" s="1"/>
  <c r="AS66" i="1"/>
  <c r="AG217" i="1"/>
  <c r="AO217" i="1" s="1"/>
  <c r="AS139" i="1"/>
  <c r="AS123" i="1"/>
  <c r="AS193" i="1"/>
  <c r="AS84" i="1"/>
  <c r="AS21" i="1"/>
  <c r="AS210" i="1"/>
  <c r="AS96" i="1"/>
  <c r="AI62" i="1"/>
  <c r="AK62" i="1" s="1"/>
  <c r="AE87" i="1"/>
  <c r="AS27" i="1"/>
  <c r="AE197" i="1"/>
  <c r="AE13" i="1"/>
  <c r="AE48" i="1"/>
  <c r="AS130" i="1"/>
  <c r="AS75" i="1"/>
  <c r="AS134" i="1"/>
  <c r="AE23" i="1"/>
  <c r="AG28" i="1"/>
  <c r="AO28" i="1" s="1"/>
  <c r="AE71" i="1"/>
  <c r="AG162" i="1"/>
  <c r="AO162" i="1" s="1"/>
  <c r="AS77" i="1"/>
  <c r="AE138" i="1"/>
  <c r="AE37" i="1"/>
  <c r="AE112" i="1"/>
  <c r="AE64" i="1"/>
  <c r="AS143" i="1"/>
  <c r="AS231" i="1"/>
  <c r="AS125" i="1"/>
  <c r="AS41" i="1"/>
  <c r="AE101" i="1"/>
  <c r="AE148" i="1"/>
  <c r="AG125" i="1"/>
  <c r="AO125" i="1" s="1"/>
  <c r="AI107" i="1"/>
  <c r="AK107" i="1" s="1"/>
  <c r="AG29" i="1"/>
  <c r="AO29" i="1" s="1"/>
  <c r="AG77" i="1"/>
  <c r="AO77" i="1" s="1"/>
  <c r="AG143" i="1"/>
  <c r="AO143" i="1" s="1"/>
  <c r="AG195" i="1"/>
  <c r="AO195" i="1" s="1"/>
  <c r="AI101" i="1"/>
  <c r="AK101" i="1" s="1"/>
  <c r="AG144" i="1"/>
  <c r="AO144" i="1" s="1"/>
  <c r="AE181" i="1"/>
  <c r="AS163" i="1"/>
  <c r="AI24" i="1"/>
  <c r="AK24" i="1" s="1"/>
  <c r="AS3" i="1"/>
  <c r="AI44" i="1"/>
  <c r="AK44" i="1" s="1"/>
  <c r="AS65" i="1"/>
  <c r="AS145" i="1"/>
  <c r="AS40" i="1"/>
  <c r="AS189" i="1"/>
  <c r="AG197" i="1"/>
  <c r="AO197" i="1" s="1"/>
  <c r="AG102" i="1"/>
  <c r="AO102" i="1" s="1"/>
  <c r="AI57" i="1"/>
  <c r="AK57" i="1" s="1"/>
  <c r="AG156" i="1"/>
  <c r="AO156" i="1" s="1"/>
  <c r="AS53" i="1"/>
  <c r="AE126" i="1"/>
  <c r="AS92" i="1"/>
  <c r="AS98" i="1"/>
  <c r="AE166" i="1"/>
  <c r="AG190" i="1"/>
  <c r="AO190" i="1" s="1"/>
  <c r="AG59" i="1"/>
  <c r="AO59" i="1" s="1"/>
  <c r="AE142" i="1"/>
  <c r="AI61" i="1"/>
  <c r="AK61" i="1" s="1"/>
  <c r="AS30" i="1"/>
  <c r="AE24" i="1"/>
  <c r="AE196" i="1"/>
  <c r="AS164" i="1"/>
  <c r="AS70" i="1"/>
  <c r="AS35" i="1"/>
  <c r="AE184" i="1"/>
  <c r="AE90" i="1"/>
  <c r="AE69" i="1"/>
  <c r="AS190" i="1"/>
  <c r="AI27" i="1"/>
  <c r="AK27" i="1" s="1"/>
  <c r="AI72" i="1"/>
  <c r="AK72" i="1" s="1"/>
  <c r="AE146" i="1"/>
  <c r="AE165" i="1"/>
  <c r="AS118" i="1"/>
  <c r="AE56" i="1"/>
  <c r="AS121" i="1"/>
  <c r="AG200" i="1"/>
  <c r="AO200" i="1" s="1"/>
  <c r="AI209" i="1"/>
  <c r="AK209" i="1" s="1"/>
  <c r="AE171" i="1"/>
  <c r="AG173" i="1"/>
  <c r="AO173" i="1" s="1"/>
  <c r="AE156" i="1"/>
  <c r="AS103" i="1"/>
  <c r="AG48" i="1"/>
  <c r="AO48" i="1" s="1"/>
  <c r="AI80" i="1"/>
  <c r="AK80" i="1" s="1"/>
  <c r="AI139" i="1"/>
  <c r="AK139" i="1" s="1"/>
  <c r="AG154" i="1"/>
  <c r="AO154" i="1" s="1"/>
  <c r="AG182" i="1"/>
  <c r="AO182" i="1" s="1"/>
  <c r="AS87" i="1"/>
  <c r="AG175" i="1"/>
  <c r="AO175" i="1" s="1"/>
  <c r="AS204" i="1"/>
  <c r="AS52" i="1"/>
  <c r="AS114" i="1"/>
  <c r="AS12" i="1"/>
  <c r="AI39" i="1"/>
  <c r="AK39" i="1" s="1"/>
  <c r="AS99" i="1"/>
  <c r="AS162" i="1"/>
  <c r="AS102" i="1"/>
  <c r="AS214" i="1"/>
  <c r="AS43" i="1"/>
  <c r="AS62" i="1"/>
  <c r="AE72" i="1"/>
  <c r="AE8" i="1"/>
  <c r="AE185" i="1"/>
  <c r="AE97" i="1"/>
  <c r="AS211" i="1"/>
  <c r="AI221" i="1"/>
  <c r="AK221" i="1" s="1"/>
  <c r="AS182" i="1"/>
  <c r="AG106" i="1"/>
  <c r="AO106" i="1" s="1"/>
  <c r="AS200" i="1"/>
  <c r="AE162" i="1"/>
  <c r="AS219" i="1"/>
  <c r="AS225" i="1"/>
  <c r="AC162" i="1"/>
  <c r="AC92" i="1"/>
  <c r="AC87" i="1"/>
  <c r="AC157" i="1"/>
  <c r="AC88" i="1"/>
  <c r="AC216" i="1"/>
  <c r="AC110" i="1"/>
  <c r="AC123" i="1"/>
  <c r="AC59" i="1"/>
  <c r="AC80" i="1"/>
  <c r="AC177" i="1"/>
  <c r="AC91" i="1"/>
  <c r="AC60" i="1"/>
  <c r="AC111" i="1"/>
  <c r="AC21" i="1"/>
  <c r="AC12" i="1"/>
  <c r="AC197" i="1"/>
  <c r="AC4" i="1"/>
  <c r="AC125" i="1"/>
  <c r="AC51" i="1"/>
  <c r="AC207" i="1"/>
  <c r="AC221" i="1"/>
  <c r="AC136" i="1"/>
  <c r="AC225" i="1"/>
  <c r="AC83" i="1"/>
  <c r="U15" i="10"/>
  <c r="T15" i="10" s="1"/>
  <c r="AC226" i="1"/>
  <c r="AC112" i="1"/>
  <c r="AC9" i="1"/>
  <c r="AC186" i="1"/>
  <c r="AC174" i="1"/>
  <c r="AC161" i="1"/>
  <c r="AC16" i="1"/>
  <c r="AC66" i="1"/>
  <c r="AC5" i="1"/>
  <c r="AC135" i="1"/>
  <c r="AC34" i="1"/>
  <c r="AC165" i="1"/>
  <c r="AC218" i="1"/>
  <c r="AC179" i="1"/>
  <c r="AC126" i="1"/>
  <c r="AC52" i="1"/>
  <c r="AC155" i="1"/>
  <c r="AC3" i="1"/>
  <c r="AC43" i="1"/>
  <c r="AC210" i="1"/>
  <c r="AC149" i="1"/>
  <c r="AC58" i="1"/>
  <c r="AC33" i="1"/>
  <c r="AC26" i="1"/>
  <c r="AC70" i="1"/>
  <c r="AC194" i="1"/>
  <c r="AC151" i="1"/>
  <c r="AC109" i="1"/>
  <c r="AC68" i="1"/>
  <c r="AC53" i="1"/>
  <c r="AC28" i="1"/>
  <c r="AC172" i="1"/>
  <c r="AC213" i="1"/>
  <c r="AC97" i="1"/>
  <c r="AC25" i="1"/>
  <c r="AC202" i="1"/>
  <c r="AC119" i="1"/>
  <c r="AC215" i="1"/>
  <c r="AC141" i="1"/>
  <c r="AC170" i="1"/>
  <c r="AC76" i="1"/>
  <c r="AC229" i="1"/>
  <c r="AC212" i="1"/>
  <c r="AC27" i="1"/>
  <c r="AC167" i="1"/>
  <c r="AC190" i="1"/>
  <c r="AC84" i="1"/>
  <c r="AC147" i="1"/>
  <c r="AC69" i="1"/>
  <c r="AC143" i="1"/>
  <c r="AC144" i="1"/>
  <c r="AC105" i="1"/>
  <c r="AC71" i="1"/>
  <c r="AC203" i="1"/>
  <c r="AC47" i="1"/>
  <c r="AC171" i="1"/>
  <c r="AC127" i="1"/>
  <c r="AC19" i="1"/>
  <c r="AC140" i="1"/>
  <c r="AC38" i="1"/>
  <c r="AC41" i="1"/>
  <c r="AC20" i="1"/>
  <c r="AC145" i="1"/>
  <c r="AC74" i="1"/>
  <c r="AC223" i="1"/>
  <c r="AC39" i="1"/>
  <c r="AC166" i="1"/>
  <c r="AC108" i="1"/>
  <c r="AC121" i="1"/>
  <c r="AC22" i="1"/>
  <c r="AC168" i="1"/>
  <c r="AC134" i="1"/>
  <c r="AC192" i="1"/>
  <c r="AC198" i="1"/>
  <c r="AC139" i="1"/>
  <c r="AC49" i="1"/>
  <c r="AC6" i="1"/>
  <c r="AC64" i="1"/>
  <c r="AC29" i="1"/>
  <c r="AC32" i="1"/>
  <c r="AC163" i="1"/>
  <c r="AC81" i="1"/>
  <c r="AC50" i="1"/>
  <c r="AC191" i="1"/>
  <c r="AC18" i="1"/>
  <c r="AC132" i="1"/>
  <c r="AC208" i="1"/>
  <c r="AC169" i="1"/>
  <c r="AC30" i="1"/>
  <c r="AC98" i="1"/>
  <c r="AC95" i="1"/>
  <c r="AC138" i="1"/>
  <c r="AC189" i="1"/>
  <c r="AC73" i="1"/>
  <c r="AC130" i="1"/>
  <c r="AC200" i="1"/>
  <c r="AC128" i="1"/>
  <c r="AC205" i="1"/>
  <c r="AC176" i="1"/>
  <c r="AC65" i="1"/>
  <c r="AC152" i="1"/>
  <c r="AC13" i="1"/>
  <c r="AC178" i="1"/>
  <c r="AC46" i="1"/>
  <c r="AC124" i="1"/>
  <c r="AC118" i="1"/>
  <c r="AC101" i="1"/>
  <c r="U43" i="10"/>
  <c r="T43" i="10" s="1"/>
  <c r="AC90" i="1"/>
  <c r="AC117" i="1"/>
  <c r="AC62" i="1"/>
  <c r="AC146" i="1"/>
  <c r="AC113" i="1"/>
  <c r="AC44" i="1"/>
  <c r="AC222" i="1"/>
  <c r="AC61" i="1"/>
  <c r="AC78" i="1"/>
  <c r="AC199" i="1"/>
  <c r="AC211" i="1"/>
  <c r="AC231" i="1"/>
  <c r="AC233" i="1"/>
  <c r="AC106" i="1"/>
  <c r="AC37" i="1"/>
  <c r="AC154" i="1"/>
  <c r="AC67" i="1"/>
  <c r="AC228" i="1"/>
  <c r="AC103" i="1"/>
  <c r="AC150" i="1"/>
  <c r="AC54" i="1"/>
  <c r="AC232" i="1"/>
  <c r="AC158" i="1"/>
  <c r="AC42" i="1"/>
  <c r="AC173" i="1"/>
  <c r="AC142" i="1"/>
  <c r="AC24" i="1"/>
  <c r="AC15" i="1"/>
  <c r="AC23" i="1"/>
  <c r="AC45" i="1"/>
  <c r="AC204" i="1"/>
  <c r="U50" i="10"/>
  <c r="T50" i="10" s="1"/>
  <c r="AC7" i="1"/>
  <c r="AC10" i="1"/>
  <c r="AC36" i="1"/>
  <c r="AC160" i="1"/>
  <c r="AC89" i="1"/>
  <c r="AC120" i="1"/>
  <c r="AC230" i="1"/>
  <c r="AC96" i="1"/>
  <c r="AC180" i="1"/>
  <c r="AC94" i="1"/>
  <c r="AC182" i="1"/>
  <c r="AC185" i="1"/>
  <c r="AC227" i="1"/>
  <c r="AC11" i="1"/>
  <c r="AC181" i="1"/>
  <c r="AC193" i="1"/>
  <c r="AC201" i="1"/>
  <c r="AC175" i="1"/>
  <c r="AC57" i="1"/>
  <c r="AC122" i="1"/>
  <c r="AC77" i="1"/>
  <c r="AC209" i="1"/>
  <c r="AC104" i="1"/>
  <c r="AC159" i="1"/>
  <c r="AC164" i="1"/>
  <c r="AC31" i="1"/>
  <c r="AC93" i="1"/>
  <c r="AC63" i="1"/>
  <c r="AC85" i="1"/>
  <c r="AC137" i="1"/>
  <c r="AC214" i="1"/>
  <c r="AC195" i="1"/>
  <c r="AC35" i="1"/>
  <c r="AC219" i="1"/>
  <c r="U7" i="10"/>
  <c r="T7" i="10" s="1"/>
  <c r="AC131" i="1"/>
  <c r="AC129" i="1"/>
  <c r="AC86" i="1"/>
  <c r="AC188" i="1"/>
  <c r="AC116" i="1"/>
  <c r="AC196" i="1"/>
  <c r="AC187" i="1"/>
  <c r="AC184" i="1"/>
  <c r="AC224" i="1"/>
  <c r="AC100" i="1"/>
  <c r="AC17" i="1"/>
  <c r="AC115" i="1"/>
  <c r="AC183" i="1"/>
  <c r="AC75" i="1"/>
  <c r="AC55" i="1"/>
  <c r="AC217" i="1"/>
  <c r="AC14" i="1"/>
  <c r="AC220" i="1"/>
  <c r="AC148" i="1"/>
  <c r="AC72" i="1"/>
  <c r="AC56" i="1"/>
  <c r="AC107" i="1"/>
  <c r="AC102" i="1"/>
  <c r="AC8" i="1"/>
  <c r="AC79" i="1"/>
  <c r="AC114" i="1"/>
  <c r="AC133" i="1"/>
  <c r="AC153" i="1"/>
  <c r="AC156" i="1"/>
  <c r="AC48" i="1"/>
  <c r="AC82" i="1"/>
  <c r="AC40" i="1"/>
  <c r="U12" i="10"/>
  <c r="T12" i="10" s="1"/>
  <c r="U49" i="10"/>
  <c r="T49" i="10" s="1"/>
  <c r="U31" i="10"/>
  <c r="T31" i="10" s="1"/>
  <c r="U51" i="10"/>
  <c r="T51" i="10" s="1"/>
  <c r="U48" i="10"/>
  <c r="T48" i="10" s="1"/>
  <c r="U29" i="10"/>
  <c r="T29" i="10" s="1"/>
  <c r="U30" i="10"/>
  <c r="T30" i="10" s="1"/>
  <c r="U20" i="10"/>
  <c r="T20" i="10" s="1"/>
  <c r="U45" i="10"/>
  <c r="T45" i="10" s="1"/>
  <c r="U22" i="10"/>
  <c r="T22" i="10" s="1"/>
  <c r="U25" i="10"/>
  <c r="T25" i="10" s="1"/>
  <c r="U40" i="10"/>
  <c r="T40" i="10" s="1"/>
  <c r="U10" i="10"/>
  <c r="T10" i="10" s="1"/>
  <c r="U19" i="10"/>
  <c r="T19" i="10" s="1"/>
  <c r="U14" i="10"/>
  <c r="T14" i="10" s="1"/>
  <c r="U42" i="10"/>
  <c r="T42" i="10" s="1"/>
  <c r="U13" i="10"/>
  <c r="T13" i="10" s="1"/>
  <c r="U46" i="10"/>
  <c r="T46" i="10" s="1"/>
  <c r="U23" i="10"/>
  <c r="T23" i="10" s="1"/>
  <c r="U21" i="10"/>
  <c r="T21" i="10" s="1"/>
  <c r="U9" i="10"/>
  <c r="T9" i="10" s="1"/>
  <c r="U52" i="10"/>
  <c r="T52" i="10" s="1"/>
  <c r="U32" i="10"/>
  <c r="T32" i="10" s="1"/>
  <c r="U8" i="10"/>
  <c r="T8" i="10" s="1"/>
  <c r="U4" i="10"/>
  <c r="T4" i="10" s="1"/>
  <c r="U41" i="10"/>
  <c r="T41" i="10" s="1"/>
  <c r="U33" i="10"/>
  <c r="T33" i="10" s="1"/>
  <c r="U38" i="10"/>
  <c r="T38" i="10" s="1"/>
  <c r="U5" i="10"/>
  <c r="T5" i="10" s="1"/>
  <c r="U39" i="10"/>
  <c r="T39" i="10" s="1"/>
  <c r="U26" i="10"/>
  <c r="T26" i="10" s="1"/>
  <c r="AD26" i="1"/>
  <c r="AF26" i="1" s="1"/>
  <c r="U6" i="10"/>
  <c r="T6" i="10" s="1"/>
  <c r="U11" i="10"/>
  <c r="T11" i="10" s="1"/>
  <c r="U3" i="10"/>
  <c r="T3" i="10" s="1"/>
  <c r="AD102" i="1"/>
  <c r="U27" i="10"/>
  <c r="T27" i="10" s="1"/>
  <c r="U47" i="10"/>
  <c r="T47" i="10" s="1"/>
  <c r="U28" i="10"/>
  <c r="T28" i="10" s="1"/>
  <c r="U17" i="10"/>
  <c r="T17" i="10" s="1"/>
  <c r="U54" i="10"/>
  <c r="T54" i="10" s="1"/>
  <c r="U36" i="10"/>
  <c r="T36" i="10" s="1"/>
  <c r="U37" i="10"/>
  <c r="T37" i="10" s="1"/>
  <c r="AD173" i="1"/>
  <c r="U53" i="10"/>
  <c r="T53" i="10" s="1"/>
  <c r="AD223" i="1"/>
  <c r="AD117" i="1"/>
  <c r="AF117" i="1" s="1"/>
  <c r="AD211" i="1"/>
  <c r="AF211" i="1" s="1"/>
  <c r="AD122" i="1"/>
  <c r="AF122" i="1" s="1"/>
  <c r="U44" i="10"/>
  <c r="T44" i="10" s="1"/>
  <c r="AD104" i="1"/>
  <c r="AD110" i="1"/>
  <c r="AD190" i="1"/>
  <c r="AF190" i="1" s="1"/>
  <c r="U18" i="10"/>
  <c r="T18" i="10" s="1"/>
  <c r="U16" i="10"/>
  <c r="T16" i="10" s="1"/>
  <c r="AD7" i="1"/>
  <c r="AD156" i="1"/>
  <c r="U34" i="10"/>
  <c r="T34" i="10" s="1"/>
  <c r="U24" i="10"/>
  <c r="T24" i="10" s="1"/>
  <c r="AD129" i="1"/>
  <c r="AD185" i="1"/>
  <c r="AD77" i="1"/>
  <c r="AF77" i="1" s="1"/>
  <c r="AD32" i="1"/>
  <c r="AD31" i="1"/>
  <c r="AF31" i="1" s="1"/>
  <c r="AD136" i="1"/>
  <c r="AD37" i="1"/>
  <c r="AD59" i="1"/>
  <c r="AD69" i="1"/>
  <c r="AF69" i="1" s="1"/>
  <c r="AD143" i="1"/>
  <c r="AD194" i="1"/>
  <c r="AF194" i="1" s="1"/>
  <c r="U35" i="10"/>
  <c r="T35" i="10" s="1"/>
  <c r="AD115" i="1"/>
  <c r="AD64" i="1"/>
  <c r="AF64" i="1" s="1"/>
  <c r="AD218" i="1"/>
  <c r="AD146" i="1"/>
  <c r="AD28" i="1"/>
  <c r="AF28" i="1" s="1"/>
  <c r="AD231" i="1"/>
  <c r="AD219" i="1"/>
  <c r="AD48" i="1"/>
  <c r="AD152" i="1"/>
  <c r="AF152" i="1" s="1"/>
  <c r="AD68" i="1"/>
  <c r="AF68" i="1" s="1"/>
  <c r="AD203" i="1"/>
  <c r="AD207" i="1"/>
  <c r="AF207" i="1" s="1"/>
  <c r="AD108" i="1"/>
  <c r="AD128" i="1"/>
  <c r="AD229" i="1"/>
  <c r="AD155" i="1"/>
  <c r="AF155" i="1" s="1"/>
  <c r="AD100" i="1"/>
  <c r="AD232" i="1"/>
  <c r="AD105" i="1"/>
  <c r="AD151" i="1"/>
  <c r="AD3" i="1"/>
  <c r="AF3" i="1" s="1"/>
  <c r="AD132" i="1"/>
  <c r="AD12" i="1"/>
  <c r="AF12" i="1" s="1"/>
  <c r="AD210" i="1"/>
  <c r="AF210" i="1" s="1"/>
  <c r="AD141" i="1"/>
  <c r="AD20" i="1"/>
  <c r="AD85" i="1"/>
  <c r="AD131" i="1"/>
  <c r="AD92" i="1"/>
  <c r="AF92" i="1" s="1"/>
  <c r="AD70" i="1"/>
  <c r="AD11" i="1"/>
  <c r="AF11" i="1" s="1"/>
  <c r="AD201" i="1"/>
  <c r="AD157" i="1"/>
  <c r="AD82" i="1"/>
  <c r="AD47" i="1"/>
  <c r="AD196" i="1"/>
  <c r="AF196" i="1" s="1"/>
  <c r="AD153" i="1"/>
  <c r="AD71" i="1"/>
  <c r="AF71" i="1" s="1"/>
  <c r="AD162" i="1"/>
  <c r="AF162" i="1" s="1"/>
  <c r="AD226" i="1"/>
  <c r="AD192" i="1"/>
  <c r="AD142" i="1"/>
  <c r="AD222" i="1"/>
  <c r="AD38" i="1"/>
  <c r="AD56" i="1"/>
  <c r="AF56" i="1" s="1"/>
  <c r="AD227" i="1"/>
  <c r="AF227" i="1" s="1"/>
  <c r="AD103" i="1"/>
  <c r="AD22" i="1"/>
  <c r="AD170" i="1"/>
  <c r="AF170" i="1" s="1"/>
  <c r="AD198" i="1"/>
  <c r="AH99" i="1"/>
  <c r="AL99" i="1" s="1"/>
  <c r="AD123" i="1"/>
  <c r="AD118" i="1"/>
  <c r="AD50" i="1"/>
  <c r="AF50" i="1" s="1"/>
  <c r="AD112" i="1"/>
  <c r="AD60" i="1"/>
  <c r="AD135" i="1"/>
  <c r="AD96" i="1"/>
  <c r="AF96" i="1" s="1"/>
  <c r="AD76" i="1"/>
  <c r="AD49" i="1"/>
  <c r="AD98" i="1"/>
  <c r="AF98" i="1" s="1"/>
  <c r="AD111" i="1"/>
  <c r="AF111" i="1" s="1"/>
  <c r="AD125" i="1"/>
  <c r="AF125" i="1" s="1"/>
  <c r="AD164" i="1"/>
  <c r="AF164" i="1" s="1"/>
  <c r="AD224" i="1"/>
  <c r="AF224" i="1" s="1"/>
  <c r="AD205" i="1"/>
  <c r="AD172" i="1"/>
  <c r="AD148" i="1"/>
  <c r="AD150" i="1"/>
  <c r="AD184" i="1"/>
  <c r="AF184" i="1" s="1"/>
  <c r="AD202" i="1"/>
  <c r="AD55" i="1"/>
  <c r="AF55" i="1" s="1"/>
  <c r="AD177" i="1"/>
  <c r="AD52" i="1"/>
  <c r="AD121" i="1"/>
  <c r="AF121" i="1" s="1"/>
  <c r="AD66" i="1"/>
  <c r="AF66" i="1" s="1"/>
  <c r="AD220" i="1"/>
  <c r="AD91" i="1"/>
  <c r="AF91" i="1" s="1"/>
  <c r="AD119" i="1"/>
  <c r="AD225" i="1"/>
  <c r="AD67" i="1"/>
  <c r="AD113" i="1"/>
  <c r="AF113" i="1" s="1"/>
  <c r="AD126" i="1"/>
  <c r="AF126" i="1" s="1"/>
  <c r="AD144" i="1"/>
  <c r="AD94" i="1"/>
  <c r="AF94" i="1" s="1"/>
  <c r="AD35" i="1"/>
  <c r="AF35" i="1" s="1"/>
  <c r="AD200" i="1"/>
  <c r="AD61" i="1"/>
  <c r="AF61" i="1" s="1"/>
  <c r="AD213" i="1"/>
  <c r="AD174" i="1"/>
  <c r="AD14" i="1"/>
  <c r="AD53" i="1"/>
  <c r="AF53" i="1" s="1"/>
  <c r="AD15" i="1"/>
  <c r="AF15" i="1" s="1"/>
  <c r="AD228" i="1"/>
  <c r="AF228" i="1" s="1"/>
  <c r="AD106" i="1"/>
  <c r="AF106" i="1" s="1"/>
  <c r="AD191" i="1"/>
  <c r="AD214" i="1"/>
  <c r="AF214" i="1" s="1"/>
  <c r="AD181" i="1"/>
  <c r="AF181" i="1" s="1"/>
  <c r="AD13" i="1"/>
  <c r="AD9" i="1"/>
  <c r="AD109" i="1"/>
  <c r="AF109" i="1" s="1"/>
  <c r="AD63" i="1"/>
  <c r="AD4" i="1"/>
  <c r="AD74" i="1"/>
  <c r="AF74" i="1" s="1"/>
  <c r="AD138" i="1"/>
  <c r="AF138" i="1" s="1"/>
  <c r="AD183" i="1"/>
  <c r="AD33" i="1"/>
  <c r="AD41" i="1"/>
  <c r="AD179" i="1"/>
  <c r="AF179" i="1" s="1"/>
  <c r="AD95" i="1"/>
  <c r="AF95" i="1" s="1"/>
  <c r="AD44" i="1"/>
  <c r="AF44" i="1" s="1"/>
  <c r="AD73" i="1"/>
  <c r="AF73" i="1" s="1"/>
  <c r="AD169" i="1"/>
  <c r="AD86" i="1"/>
  <c r="AF86" i="1" s="1"/>
  <c r="AD72" i="1"/>
  <c r="AF72" i="1" s="1"/>
  <c r="AD168" i="1"/>
  <c r="AD133" i="1"/>
  <c r="AD154" i="1"/>
  <c r="AD57" i="1"/>
  <c r="AF57" i="1" s="1"/>
  <c r="AD187" i="1"/>
  <c r="AD75" i="1"/>
  <c r="AF75" i="1" s="1"/>
  <c r="AD204" i="1"/>
  <c r="AD89" i="1"/>
  <c r="AD23" i="1"/>
  <c r="AF23" i="1" s="1"/>
  <c r="AD217" i="1"/>
  <c r="AD178" i="1"/>
  <c r="AF178" i="1" s="1"/>
  <c r="AD221" i="1"/>
  <c r="AD51" i="1"/>
  <c r="AF51" i="1" s="1"/>
  <c r="AD25" i="1"/>
  <c r="AD209" i="1"/>
  <c r="AF209" i="1" s="1"/>
  <c r="AD29" i="1"/>
  <c r="AF29" i="1" s="1"/>
  <c r="AD54" i="1"/>
  <c r="AD171" i="1"/>
  <c r="AF171" i="1" s="1"/>
  <c r="AD163" i="1"/>
  <c r="AF163" i="1" s="1"/>
  <c r="AD83" i="1"/>
  <c r="AD189" i="1"/>
  <c r="AD159" i="1"/>
  <c r="AD149" i="1"/>
  <c r="AD165" i="1"/>
  <c r="AF165" i="1" s="1"/>
  <c r="AD116" i="1"/>
  <c r="AD124" i="1"/>
  <c r="AD88" i="1"/>
  <c r="AF88" i="1" s="1"/>
  <c r="AD147" i="1"/>
  <c r="AF147" i="1" s="1"/>
  <c r="AD188" i="1"/>
  <c r="AD40" i="1"/>
  <c r="AF40" i="1" s="1"/>
  <c r="AD127" i="1"/>
  <c r="AD140" i="1"/>
  <c r="AR136" i="1"/>
  <c r="Y136" i="1"/>
  <c r="Y78" i="1"/>
  <c r="AR78" i="1"/>
  <c r="AI78" i="1"/>
  <c r="AK78" i="1" s="1"/>
  <c r="AR164" i="1"/>
  <c r="Y164" i="1"/>
  <c r="AR81" i="1"/>
  <c r="Y81" i="1"/>
  <c r="AR188" i="1"/>
  <c r="Y188" i="1"/>
  <c r="AG188" i="1"/>
  <c r="AO188" i="1" s="1"/>
  <c r="AD167" i="1"/>
  <c r="AR123" i="1"/>
  <c r="Y123" i="1"/>
  <c r="AI123" i="1"/>
  <c r="AK123" i="1" s="1"/>
  <c r="AD84" i="1"/>
  <c r="AF84" i="1" s="1"/>
  <c r="AI81" i="1"/>
  <c r="AK81" i="1" s="1"/>
  <c r="AD145" i="1"/>
  <c r="AI64" i="1"/>
  <c r="AK64" i="1" s="1"/>
  <c r="AD230" i="1"/>
  <c r="AD65" i="1"/>
  <c r="AF65" i="1" s="1"/>
  <c r="AD193" i="1"/>
  <c r="AD130" i="1"/>
  <c r="AD199" i="1"/>
  <c r="AD120" i="1"/>
  <c r="AI210" i="1"/>
  <c r="AK210" i="1" s="1"/>
  <c r="Y210" i="1"/>
  <c r="AR210" i="1"/>
  <c r="AG210" i="1"/>
  <c r="AO210" i="1" s="1"/>
  <c r="AR13" i="1"/>
  <c r="Y13" i="1"/>
  <c r="AI13" i="1"/>
  <c r="AK13" i="1" s="1"/>
  <c r="AG13" i="1"/>
  <c r="AO13" i="1" s="1"/>
  <c r="Y11" i="1"/>
  <c r="AR11" i="1"/>
  <c r="AG11" i="1"/>
  <c r="AO11" i="1" s="1"/>
  <c r="AR133" i="1"/>
  <c r="Y133" i="1"/>
  <c r="Y33" i="1"/>
  <c r="AR33" i="1"/>
  <c r="AR62" i="1"/>
  <c r="Y62" i="1"/>
  <c r="AG228" i="1"/>
  <c r="AO228" i="1" s="1"/>
  <c r="Y228" i="1"/>
  <c r="AR228" i="1"/>
  <c r="Y230" i="1"/>
  <c r="AR230" i="1"/>
  <c r="AG230" i="1"/>
  <c r="AO230" i="1" s="1"/>
  <c r="AD80" i="1"/>
  <c r="AF80" i="1" s="1"/>
  <c r="AR126" i="1"/>
  <c r="Y126" i="1"/>
  <c r="AG126" i="1"/>
  <c r="AO126" i="1" s="1"/>
  <c r="Y27" i="1"/>
  <c r="AR27" i="1"/>
  <c r="Y116" i="1"/>
  <c r="AR116" i="1"/>
  <c r="AG116" i="1"/>
  <c r="AO116" i="1" s="1"/>
  <c r="AD233" i="1"/>
  <c r="AD107" i="1"/>
  <c r="AF107" i="1" s="1"/>
  <c r="Y74" i="1"/>
  <c r="AR74" i="1"/>
  <c r="AR207" i="1"/>
  <c r="Y207" i="1"/>
  <c r="AI207" i="1"/>
  <c r="AK207" i="1" s="1"/>
  <c r="AG78" i="1"/>
  <c r="AO78" i="1" s="1"/>
  <c r="AR107" i="1"/>
  <c r="Y107" i="1"/>
  <c r="AD17" i="1"/>
  <c r="AF17" i="1" s="1"/>
  <c r="Y208" i="1"/>
  <c r="AR208" i="1"/>
  <c r="AD175" i="1"/>
  <c r="AG121" i="1"/>
  <c r="AO121" i="1" s="1"/>
  <c r="AR77" i="1"/>
  <c r="Y77" i="1"/>
  <c r="AI77" i="1"/>
  <c r="AK77" i="1" s="1"/>
  <c r="AD46" i="1"/>
  <c r="AD212" i="1"/>
  <c r="AD216" i="1"/>
  <c r="AR105" i="1"/>
  <c r="Y105" i="1"/>
  <c r="AI105" i="1"/>
  <c r="AK105" i="1" s="1"/>
  <c r="AD180" i="1"/>
  <c r="AD30" i="1"/>
  <c r="AI33" i="1"/>
  <c r="AK33" i="1" s="1"/>
  <c r="Y174" i="1"/>
  <c r="AR174" i="1"/>
  <c r="AI174" i="1"/>
  <c r="AK174" i="1" s="1"/>
  <c r="AG174" i="1"/>
  <c r="AO174" i="1" s="1"/>
  <c r="AG208" i="1"/>
  <c r="AO208" i="1" s="1"/>
  <c r="AR120" i="1"/>
  <c r="Y120" i="1"/>
  <c r="AG120" i="1"/>
  <c r="AO120" i="1" s="1"/>
  <c r="AI120" i="1"/>
  <c r="AK120" i="1" s="1"/>
  <c r="AR151" i="1"/>
  <c r="Y151" i="1"/>
  <c r="AG151" i="1"/>
  <c r="AO151" i="1" s="1"/>
  <c r="AI151" i="1"/>
  <c r="AK151" i="1" s="1"/>
  <c r="Y222" i="1"/>
  <c r="AR222" i="1"/>
  <c r="AR90" i="1"/>
  <c r="Y90" i="1"/>
  <c r="Y60" i="1"/>
  <c r="AR60" i="1"/>
  <c r="AD81" i="1"/>
  <c r="AR38" i="1"/>
  <c r="Y38" i="1"/>
  <c r="AI38" i="1"/>
  <c r="AK38" i="1" s="1"/>
  <c r="Y40" i="1"/>
  <c r="AR40" i="1"/>
  <c r="AG40" i="1"/>
  <c r="AO40" i="1" s="1"/>
  <c r="AD42" i="1"/>
  <c r="AF42" i="1" s="1"/>
  <c r="Y20" i="1"/>
  <c r="AR20" i="1"/>
  <c r="AI20" i="1"/>
  <c r="AK20" i="1" s="1"/>
  <c r="Y121" i="1"/>
  <c r="AR121" i="1"/>
  <c r="AD160" i="1"/>
  <c r="AD161" i="1"/>
  <c r="AF161" i="1" s="1"/>
  <c r="AR98" i="1"/>
  <c r="Y98" i="1"/>
  <c r="AD195" i="1"/>
  <c r="AD208" i="1"/>
  <c r="AF208" i="1" s="1"/>
  <c r="AR54" i="1"/>
  <c r="Y54" i="1"/>
  <c r="AG54" i="1"/>
  <c r="AO54" i="1" s="1"/>
  <c r="AD16" i="1"/>
  <c r="AR138" i="1"/>
  <c r="Y138" i="1"/>
  <c r="AI138" i="1"/>
  <c r="AK138" i="1" s="1"/>
  <c r="AD93" i="1"/>
  <c r="AR92" i="1"/>
  <c r="Y92" i="1"/>
  <c r="AG92" i="1"/>
  <c r="AO92" i="1" s="1"/>
  <c r="AD134" i="1"/>
  <c r="AF134" i="1" s="1"/>
  <c r="AR83" i="1"/>
  <c r="Y83" i="1"/>
  <c r="AG83" i="1"/>
  <c r="AO83" i="1" s="1"/>
  <c r="AI83" i="1"/>
  <c r="AK83" i="1" s="1"/>
  <c r="AD36" i="1"/>
  <c r="AR214" i="1"/>
  <c r="Y214" i="1"/>
  <c r="AR178" i="1"/>
  <c r="Y178" i="1"/>
  <c r="AG178" i="1"/>
  <c r="AO178" i="1" s="1"/>
  <c r="AR172" i="1"/>
  <c r="Y172" i="1"/>
  <c r="AG172" i="1"/>
  <c r="AO172" i="1" s="1"/>
  <c r="AG164" i="1"/>
  <c r="AO164" i="1" s="1"/>
  <c r="AD27" i="1"/>
  <c r="AF27" i="1" s="1"/>
  <c r="AD5" i="1"/>
  <c r="AF5" i="1" s="1"/>
  <c r="AD39" i="1"/>
  <c r="AR85" i="1"/>
  <c r="Y85" i="1"/>
  <c r="AI85" i="1"/>
  <c r="AK85" i="1" s="1"/>
  <c r="Y55" i="1"/>
  <c r="AR55" i="1"/>
  <c r="AG55" i="1"/>
  <c r="AO55" i="1" s="1"/>
  <c r="Y184" i="1"/>
  <c r="AR184" i="1"/>
  <c r="AG184" i="1"/>
  <c r="AO184" i="1" s="1"/>
  <c r="AD90" i="1"/>
  <c r="AF90" i="1" s="1"/>
  <c r="AD137" i="1"/>
  <c r="AI143" i="1"/>
  <c r="AK143" i="1" s="1"/>
  <c r="AR143" i="1"/>
  <c r="Y143" i="1"/>
  <c r="AI60" i="1"/>
  <c r="AK60" i="1" s="1"/>
  <c r="AR16" i="1"/>
  <c r="Y16" i="1"/>
  <c r="AI16" i="1"/>
  <c r="AK16" i="1" s="1"/>
  <c r="Y41" i="1"/>
  <c r="AR41" i="1"/>
  <c r="AI41" i="1"/>
  <c r="AK41" i="1" s="1"/>
  <c r="AG41" i="1"/>
  <c r="AO41" i="1" s="1"/>
  <c r="L1988" i="3"/>
  <c r="O1982" i="3"/>
  <c r="O1988" i="3" s="1"/>
  <c r="AD21" i="1"/>
  <c r="AF21" i="1" s="1"/>
  <c r="AG222" i="1"/>
  <c r="AO222" i="1" s="1"/>
  <c r="AG136" i="1"/>
  <c r="AO136" i="1" s="1"/>
  <c r="AI185" i="1"/>
  <c r="AK185" i="1" s="1"/>
  <c r="Y185" i="1"/>
  <c r="AR185" i="1"/>
  <c r="Y39" i="1"/>
  <c r="AR39" i="1"/>
  <c r="AG214" i="1"/>
  <c r="AO214" i="1" s="1"/>
  <c r="AR221" i="1"/>
  <c r="Y221" i="1"/>
  <c r="AD114" i="1"/>
  <c r="AF114" i="1" s="1"/>
  <c r="AG107" i="1"/>
  <c r="AO107" i="1" s="1"/>
  <c r="AD43" i="1"/>
  <c r="AF43" i="1" s="1"/>
  <c r="AR73" i="1"/>
  <c r="AI73" i="1"/>
  <c r="AK73" i="1" s="1"/>
  <c r="Y73" i="1"/>
  <c r="AI90" i="1"/>
  <c r="AK90" i="1" s="1"/>
  <c r="Y84" i="1"/>
  <c r="AR84" i="1"/>
  <c r="AI84" i="1"/>
  <c r="AK84" i="1" s="1"/>
  <c r="AD182" i="1"/>
  <c r="AF182" i="1" s="1"/>
  <c r="AR29" i="1"/>
  <c r="Y29" i="1"/>
  <c r="AI29" i="1"/>
  <c r="AK29" i="1" s="1"/>
  <c r="AD78" i="1"/>
  <c r="AD186" i="1"/>
  <c r="AD10" i="1"/>
  <c r="AF10" i="1" s="1"/>
  <c r="AD158" i="1"/>
  <c r="AF158" i="1" s="1"/>
  <c r="AD197" i="1"/>
  <c r="AF197" i="1" s="1"/>
  <c r="AD6" i="1"/>
  <c r="AD79" i="1"/>
  <c r="AF79" i="1" s="1"/>
  <c r="AR51" i="1"/>
  <c r="Y51" i="1"/>
  <c r="AI51" i="1"/>
  <c r="AK51" i="1" s="1"/>
  <c r="AR125" i="1"/>
  <c r="Y125" i="1"/>
  <c r="AI125" i="1"/>
  <c r="AK125" i="1" s="1"/>
  <c r="AD176" i="1"/>
  <c r="AF176" i="1" s="1"/>
  <c r="AG133" i="1"/>
  <c r="AO133" i="1" s="1"/>
  <c r="Y94" i="1"/>
  <c r="AR94" i="1"/>
  <c r="AG94" i="1"/>
  <c r="AO94" i="1" s="1"/>
  <c r="AR64" i="1"/>
  <c r="Y64" i="1"/>
  <c r="AD101" i="1"/>
  <c r="AF101" i="1" s="1"/>
  <c r="Y201" i="1"/>
  <c r="AR201" i="1"/>
  <c r="AG201" i="1"/>
  <c r="AO201" i="1" s="1"/>
  <c r="AS146" i="1"/>
  <c r="AD87" i="1"/>
  <c r="AF87" i="1" s="1"/>
  <c r="AD45" i="1"/>
  <c r="AF45" i="1" s="1"/>
  <c r="AD215" i="1"/>
  <c r="AF215" i="1" s="1"/>
  <c r="AD8" i="1"/>
  <c r="AF8" i="1" s="1"/>
  <c r="AR23" i="1"/>
  <c r="Y23" i="1"/>
  <c r="AG23" i="1"/>
  <c r="AO23" i="1" s="1"/>
  <c r="AD24" i="1"/>
  <c r="AD18" i="1"/>
  <c r="Y212" i="1"/>
  <c r="AR212" i="1"/>
  <c r="AG212" i="1"/>
  <c r="AO212" i="1" s="1"/>
  <c r="AI212" i="1"/>
  <c r="AK212" i="1" s="1"/>
  <c r="Y110" i="1"/>
  <c r="AR110" i="1"/>
  <c r="AI110" i="1"/>
  <c r="AK110" i="1" s="1"/>
  <c r="Y18" i="1"/>
  <c r="AR18" i="1"/>
  <c r="AI18" i="1"/>
  <c r="AK18" i="1" s="1"/>
  <c r="AG98" i="1"/>
  <c r="AO98" i="1" s="1"/>
  <c r="AR53" i="1"/>
  <c r="Y53" i="1"/>
  <c r="AG53" i="1"/>
  <c r="AO53" i="1" s="1"/>
  <c r="AI53" i="1"/>
  <c r="AK53" i="1" s="1"/>
  <c r="AR149" i="1"/>
  <c r="Y149" i="1"/>
  <c r="AI149" i="1"/>
  <c r="AK149" i="1" s="1"/>
  <c r="AR76" i="1"/>
  <c r="Y76" i="1"/>
  <c r="AI76" i="1"/>
  <c r="AK76" i="1" s="1"/>
  <c r="AR191" i="1"/>
  <c r="Y191" i="1"/>
  <c r="AI164" i="1"/>
  <c r="AK164" i="1" s="1"/>
  <c r="AI136" i="1"/>
  <c r="AK136" i="1" s="1"/>
  <c r="AI133" i="1"/>
  <c r="AK133" i="1" s="1"/>
  <c r="Y89" i="1"/>
  <c r="AR89" i="1"/>
  <c r="AG81" i="1"/>
  <c r="AO81" i="1" s="1"/>
  <c r="AR129" i="1"/>
  <c r="Y129" i="1"/>
  <c r="AI129" i="1"/>
  <c r="AK129" i="1" s="1"/>
  <c r="AR197" i="1"/>
  <c r="Y197" i="1"/>
  <c r="AI188" i="1"/>
  <c r="AK188" i="1" s="1"/>
  <c r="AR48" i="1"/>
  <c r="Y48" i="1"/>
  <c r="AD58" i="1"/>
  <c r="AF58" i="1" s="1"/>
  <c r="AR37" i="1"/>
  <c r="AI37" i="1"/>
  <c r="AK37" i="1" s="1"/>
  <c r="Y37" i="1"/>
  <c r="AD34" i="1"/>
  <c r="AF34" i="1" s="1"/>
  <c r="AG123" i="1"/>
  <c r="AO123" i="1" s="1"/>
  <c r="AD19" i="1"/>
  <c r="AF19" i="1" s="1"/>
  <c r="AD97" i="1"/>
  <c r="AF97" i="1" s="1"/>
  <c r="AG74" i="1"/>
  <c r="AO74" i="1" s="1"/>
  <c r="AD166" i="1"/>
  <c r="AF166" i="1" s="1"/>
  <c r="AD62" i="1"/>
  <c r="AF62" i="1" s="1"/>
  <c r="AD139" i="1"/>
  <c r="AR211" i="1"/>
  <c r="Y211" i="1"/>
  <c r="AI211" i="1"/>
  <c r="AK211" i="1" s="1"/>
  <c r="AR127" i="1"/>
  <c r="Y127" i="1"/>
  <c r="AI127" i="1"/>
  <c r="AK127" i="1" s="1"/>
  <c r="AS137" i="1"/>
  <c r="AR168" i="1"/>
  <c r="Y168" i="1"/>
  <c r="AI168" i="1"/>
  <c r="AK168" i="1" s="1"/>
  <c r="AE55" i="1"/>
  <c r="AS55" i="1"/>
  <c r="AR147" i="1"/>
  <c r="Y147" i="1"/>
  <c r="AG147" i="1"/>
  <c r="AO147" i="1" s="1"/>
  <c r="AR148" i="1"/>
  <c r="Y148" i="1"/>
  <c r="AI148" i="1"/>
  <c r="AK148" i="1" s="1"/>
  <c r="AR134" i="1"/>
  <c r="Y134" i="1"/>
  <c r="AG134" i="1"/>
  <c r="AO134" i="1" s="1"/>
  <c r="Y220" i="1"/>
  <c r="AR220" i="1"/>
  <c r="AI220" i="1"/>
  <c r="AK220" i="1" s="1"/>
  <c r="Y198" i="1"/>
  <c r="AR198" i="1"/>
  <c r="AI198" i="1"/>
  <c r="AK198" i="1" s="1"/>
  <c r="AI28" i="1"/>
  <c r="AK28" i="1" s="1"/>
  <c r="Y28" i="1"/>
  <c r="AR28" i="1"/>
  <c r="AG165" i="1"/>
  <c r="AO165" i="1" s="1"/>
  <c r="AR223" i="1"/>
  <c r="Y223" i="1"/>
  <c r="AI223" i="1"/>
  <c r="AK223" i="1" s="1"/>
  <c r="AR124" i="1"/>
  <c r="Y124" i="1"/>
  <c r="AG124" i="1"/>
  <c r="AO124" i="1" s="1"/>
  <c r="Y171" i="1"/>
  <c r="AR171" i="1"/>
  <c r="AG171" i="1"/>
  <c r="AO171" i="1" s="1"/>
  <c r="AS10" i="1"/>
  <c r="AS188" i="1"/>
  <c r="AE188" i="1"/>
  <c r="AR52" i="1"/>
  <c r="Y52" i="1"/>
  <c r="AI52" i="1"/>
  <c r="AK52" i="1" s="1"/>
  <c r="AR108" i="1"/>
  <c r="Y108" i="1"/>
  <c r="AG108" i="1"/>
  <c r="AO108" i="1" s="1"/>
  <c r="AR180" i="1"/>
  <c r="AI180" i="1"/>
  <c r="AK180" i="1" s="1"/>
  <c r="Y180" i="1"/>
  <c r="Y101" i="1"/>
  <c r="AG101" i="1"/>
  <c r="AO101" i="1" s="1"/>
  <c r="AR101" i="1"/>
  <c r="AS141" i="1"/>
  <c r="AI102" i="1"/>
  <c r="AK102" i="1" s="1"/>
  <c r="AR102" i="1"/>
  <c r="Y102" i="1"/>
  <c r="AG227" i="1"/>
  <c r="AO227" i="1" s="1"/>
  <c r="AI158" i="1"/>
  <c r="AK158" i="1" s="1"/>
  <c r="AR67" i="1"/>
  <c r="AI67" i="1"/>
  <c r="AK67" i="1" s="1"/>
  <c r="Y67" i="1"/>
  <c r="AG67" i="1"/>
  <c r="AO67" i="1" s="1"/>
  <c r="Y163" i="1"/>
  <c r="AR163" i="1"/>
  <c r="AG163" i="1"/>
  <c r="AO163" i="1" s="1"/>
  <c r="AR218" i="1"/>
  <c r="Y218" i="1"/>
  <c r="AI218" i="1"/>
  <c r="AK218" i="1" s="1"/>
  <c r="AR75" i="1"/>
  <c r="Y75" i="1"/>
  <c r="AG75" i="1"/>
  <c r="AO75" i="1" s="1"/>
  <c r="AR227" i="1"/>
  <c r="AR97" i="1"/>
  <c r="Y97" i="1"/>
  <c r="AG97" i="1"/>
  <c r="AO97" i="1" s="1"/>
  <c r="AR166" i="1"/>
  <c r="Y166" i="1"/>
  <c r="AI166" i="1"/>
  <c r="AK166" i="1" s="1"/>
  <c r="AS46" i="1"/>
  <c r="AE127" i="1"/>
  <c r="AS127" i="1"/>
  <c r="Y141" i="1"/>
  <c r="AR141" i="1"/>
  <c r="AG141" i="1"/>
  <c r="AO141" i="1" s="1"/>
  <c r="AR170" i="1"/>
  <c r="Y170" i="1"/>
  <c r="AI170" i="1"/>
  <c r="AK170" i="1" s="1"/>
  <c r="AR80" i="1"/>
  <c r="Y80" i="1"/>
  <c r="AS215" i="1"/>
  <c r="AS226" i="1"/>
  <c r="AE46" i="1"/>
  <c r="AS111" i="1"/>
  <c r="AE111" i="1"/>
  <c r="Y159" i="1"/>
  <c r="AR159" i="1"/>
  <c r="AG159" i="1"/>
  <c r="AO159" i="1" s="1"/>
  <c r="AR224" i="1"/>
  <c r="Y224" i="1"/>
  <c r="AI224" i="1"/>
  <c r="AK224" i="1" s="1"/>
  <c r="AI183" i="1"/>
  <c r="AK183" i="1" s="1"/>
  <c r="AR183" i="1"/>
  <c r="Y183" i="1"/>
  <c r="Y47" i="1"/>
  <c r="AR47" i="1"/>
  <c r="AI47" i="1"/>
  <c r="AK47" i="1" s="1"/>
  <c r="AG31" i="1"/>
  <c r="AO31" i="1" s="1"/>
  <c r="Y31" i="1"/>
  <c r="AR31" i="1"/>
  <c r="AR139" i="1"/>
  <c r="Y139" i="1"/>
  <c r="AR50" i="1"/>
  <c r="AI50" i="1"/>
  <c r="AK50" i="1" s="1"/>
  <c r="Y50" i="1"/>
  <c r="AE118" i="1"/>
  <c r="Y225" i="1"/>
  <c r="AR225" i="1"/>
  <c r="AG225" i="1"/>
  <c r="AO225" i="1" s="1"/>
  <c r="AI225" i="1"/>
  <c r="AK225" i="1" s="1"/>
  <c r="AR113" i="1"/>
  <c r="Y113" i="1"/>
  <c r="AI113" i="1"/>
  <c r="AK113" i="1" s="1"/>
  <c r="AR93" i="1"/>
  <c r="Y93" i="1"/>
  <c r="AI93" i="1"/>
  <c r="AK93" i="1" s="1"/>
  <c r="AR158" i="1"/>
  <c r="Y158" i="1"/>
  <c r="AG211" i="1"/>
  <c r="AO211" i="1" s="1"/>
  <c r="Y195" i="1"/>
  <c r="AR195" i="1"/>
  <c r="AI195" i="1"/>
  <c r="AK195" i="1" s="1"/>
  <c r="AG168" i="1"/>
  <c r="AO168" i="1" s="1"/>
  <c r="AR135" i="1"/>
  <c r="Y135" i="1"/>
  <c r="AR99" i="1"/>
  <c r="Y99" i="1"/>
  <c r="AR10" i="1"/>
  <c r="Y10" i="1"/>
  <c r="AI10" i="1"/>
  <c r="AK10" i="1" s="1"/>
  <c r="AI122" i="1"/>
  <c r="AK122" i="1" s="1"/>
  <c r="AR22" i="1"/>
  <c r="Y22" i="1"/>
  <c r="AI22" i="1"/>
  <c r="AK22" i="1" s="1"/>
  <c r="AG22" i="1"/>
  <c r="AO22" i="1" s="1"/>
  <c r="Y140" i="1"/>
  <c r="AR140" i="1"/>
  <c r="AG140" i="1"/>
  <c r="AO140" i="1" s="1"/>
  <c r="AR91" i="1"/>
  <c r="Y91" i="1"/>
  <c r="AI91" i="1"/>
  <c r="AK91" i="1" s="1"/>
  <c r="AR203" i="1"/>
  <c r="Y203" i="1"/>
  <c r="AI203" i="1"/>
  <c r="AK203" i="1" s="1"/>
  <c r="Y187" i="1"/>
  <c r="AR187" i="1"/>
  <c r="AI187" i="1"/>
  <c r="AK187" i="1" s="1"/>
  <c r="AG187" i="1"/>
  <c r="AO187" i="1" s="1"/>
  <c r="Y66" i="1"/>
  <c r="AR66" i="1"/>
  <c r="AG66" i="1"/>
  <c r="AO66" i="1" s="1"/>
  <c r="AI87" i="1"/>
  <c r="AK87" i="1" s="1"/>
  <c r="Y35" i="1"/>
  <c r="AR35" i="1"/>
  <c r="AI35" i="1"/>
  <c r="AK35" i="1" s="1"/>
  <c r="AG35" i="1"/>
  <c r="AO35" i="1" s="1"/>
  <c r="AR19" i="1"/>
  <c r="Y19" i="1"/>
  <c r="AI19" i="1"/>
  <c r="AK19" i="1" s="1"/>
  <c r="AG19" i="1"/>
  <c r="AO19" i="1" s="1"/>
  <c r="Y146" i="1"/>
  <c r="AR146" i="1"/>
  <c r="AG146" i="1"/>
  <c r="AO146" i="1" s="1"/>
  <c r="Y114" i="1"/>
  <c r="AR114" i="1"/>
  <c r="AG114" i="1"/>
  <c r="AO114" i="1" s="1"/>
  <c r="Y144" i="1"/>
  <c r="AR144" i="1"/>
  <c r="Y192" i="1"/>
  <c r="AR192" i="1"/>
  <c r="AG192" i="1"/>
  <c r="AO192" i="1" s="1"/>
  <c r="AR122" i="1"/>
  <c r="Y122" i="1"/>
  <c r="AG122" i="1"/>
  <c r="AO122" i="1" s="1"/>
  <c r="Y21" i="1"/>
  <c r="AR21" i="1"/>
  <c r="AG21" i="1"/>
  <c r="AO21" i="1" s="1"/>
  <c r="AI21" i="1"/>
  <c r="AK21" i="1" s="1"/>
  <c r="AI36" i="1"/>
  <c r="AK36" i="1" s="1"/>
  <c r="AE115" i="1"/>
  <c r="AI144" i="1"/>
  <c r="AK144" i="1" s="1"/>
  <c r="Y131" i="1"/>
  <c r="AI165" i="1"/>
  <c r="AK165" i="1" s="1"/>
  <c r="AG104" i="1"/>
  <c r="AO104" i="1" s="1"/>
  <c r="AR96" i="1"/>
  <c r="Y96" i="1"/>
  <c r="AG12" i="1"/>
  <c r="AO12" i="1" s="1"/>
  <c r="AS115" i="1"/>
  <c r="AI12" i="1"/>
  <c r="AK12" i="1" s="1"/>
  <c r="AE50" i="1"/>
  <c r="AI71" i="1"/>
  <c r="AK71" i="1" s="1"/>
  <c r="Y182" i="1"/>
  <c r="AR46" i="1"/>
  <c r="Y46" i="1"/>
  <c r="AG46" i="1"/>
  <c r="AO46" i="1" s="1"/>
  <c r="AI46" i="1"/>
  <c r="AK46" i="1" s="1"/>
  <c r="AG226" i="1"/>
  <c r="AO226" i="1" s="1"/>
  <c r="Y104" i="1"/>
  <c r="AR104" i="1"/>
  <c r="AR58" i="1"/>
  <c r="AG58" i="1"/>
  <c r="AO58" i="1" s="1"/>
  <c r="Y58" i="1"/>
  <c r="AR8" i="1"/>
  <c r="Y8" i="1"/>
  <c r="AI182" i="1"/>
  <c r="AK182" i="1" s="1"/>
  <c r="AR17" i="1"/>
  <c r="Y17" i="1"/>
  <c r="AI17" i="1"/>
  <c r="AK17" i="1" s="1"/>
  <c r="AI115" i="1"/>
  <c r="AK115" i="1" s="1"/>
  <c r="AR200" i="1"/>
  <c r="Y200" i="1"/>
  <c r="AI200" i="1"/>
  <c r="AK200" i="1" s="1"/>
  <c r="AR156" i="1"/>
  <c r="Y156" i="1"/>
  <c r="AI156" i="1"/>
  <c r="AK156" i="1" s="1"/>
  <c r="AS229" i="1"/>
  <c r="AE229" i="1"/>
  <c r="Y112" i="1"/>
  <c r="AR112" i="1"/>
  <c r="AR14" i="1"/>
  <c r="Y14" i="1"/>
  <c r="AG14" i="1"/>
  <c r="AO14" i="1" s="1"/>
  <c r="AG34" i="1"/>
  <c r="AO34" i="1" s="1"/>
  <c r="AI34" i="1"/>
  <c r="AK34" i="1" s="1"/>
  <c r="AS50" i="1"/>
  <c r="Y68" i="1"/>
  <c r="AG68" i="1"/>
  <c r="AO68" i="1" s="1"/>
  <c r="AR68" i="1"/>
  <c r="AI68" i="1"/>
  <c r="AK68" i="1" s="1"/>
  <c r="Y3" i="1"/>
  <c r="AR3" i="1"/>
  <c r="AI3" i="1"/>
  <c r="AK3" i="1" s="1"/>
  <c r="Y12" i="1"/>
  <c r="AR154" i="1"/>
  <c r="Y154" i="1"/>
  <c r="AE122" i="1"/>
  <c r="AE131" i="1"/>
  <c r="AI131" i="1"/>
  <c r="AK131" i="1" s="1"/>
  <c r="AI7" i="1"/>
  <c r="AK7" i="1" s="1"/>
  <c r="AI231" i="1"/>
  <c r="AK231" i="1" s="1"/>
  <c r="Y231" i="1"/>
  <c r="AR231" i="1"/>
  <c r="Y132" i="1"/>
  <c r="AR132" i="1"/>
  <c r="AI132" i="1"/>
  <c r="AK132" i="1" s="1"/>
  <c r="AS224" i="1"/>
  <c r="AE224" i="1"/>
  <c r="AR70" i="1"/>
  <c r="Y70" i="1"/>
  <c r="AI70" i="1"/>
  <c r="AK70" i="1" s="1"/>
  <c r="AG99" i="1"/>
  <c r="AO99" i="1" s="1"/>
  <c r="Y36" i="1"/>
  <c r="AR36" i="1"/>
  <c r="AR106" i="1"/>
  <c r="Y106" i="1"/>
  <c r="AI106" i="1"/>
  <c r="AK106" i="1" s="1"/>
  <c r="Y69" i="1"/>
  <c r="AI69" i="1"/>
  <c r="AK69" i="1" s="1"/>
  <c r="AR69" i="1"/>
  <c r="AR71" i="1"/>
  <c r="Y71" i="1"/>
  <c r="AR7" i="1"/>
  <c r="Y7" i="1"/>
  <c r="AR181" i="1"/>
  <c r="Y181" i="1"/>
  <c r="AG181" i="1"/>
  <c r="AO181" i="1" s="1"/>
  <c r="AI181" i="1"/>
  <c r="AK181" i="1" s="1"/>
  <c r="Y65" i="1"/>
  <c r="AR65" i="1"/>
  <c r="AG135" i="1"/>
  <c r="AO135" i="1" s="1"/>
  <c r="Y57" i="1"/>
  <c r="AR57" i="1"/>
  <c r="AG57" i="1"/>
  <c r="AO57" i="1" s="1"/>
  <c r="AR145" i="1"/>
  <c r="Y145" i="1"/>
  <c r="AG145" i="1"/>
  <c r="AO145" i="1" s="1"/>
  <c r="AI145" i="1"/>
  <c r="AK145" i="1" s="1"/>
  <c r="AG96" i="1"/>
  <c r="AO96" i="1" s="1"/>
  <c r="AG65" i="1"/>
  <c r="AO65" i="1" s="1"/>
  <c r="AG8" i="1"/>
  <c r="AO8" i="1" s="1"/>
  <c r="AI135" i="1"/>
  <c r="AK135" i="1" s="1"/>
  <c r="AI99" i="1"/>
  <c r="AK99" i="1" s="1"/>
  <c r="AG10" i="1"/>
  <c r="AO10" i="1" s="1"/>
  <c r="AR26" i="1"/>
  <c r="AI26" i="1"/>
  <c r="AK26" i="1" s="1"/>
  <c r="Y26" i="1"/>
  <c r="Y219" i="1"/>
  <c r="AR219" i="1"/>
  <c r="AG219" i="1"/>
  <c r="AO219" i="1" s="1"/>
  <c r="AI219" i="1"/>
  <c r="AK219" i="1" s="1"/>
  <c r="AI140" i="1"/>
  <c r="AK140" i="1" s="1"/>
  <c r="AG91" i="1"/>
  <c r="AO91" i="1" s="1"/>
  <c r="Y165" i="1"/>
  <c r="AR165" i="1"/>
  <c r="AI6" i="1"/>
  <c r="AK6" i="1" s="1"/>
  <c r="AR6" i="1"/>
  <c r="Y6" i="1"/>
  <c r="AG111" i="1"/>
  <c r="AO111" i="1" s="1"/>
  <c r="AR42" i="1"/>
  <c r="Y42" i="1"/>
  <c r="AE179" i="1"/>
  <c r="AG204" i="1"/>
  <c r="AO204" i="1" s="1"/>
  <c r="Y209" i="1"/>
  <c r="AR209" i="1"/>
  <c r="AR155" i="1"/>
  <c r="Y155" i="1"/>
  <c r="AR4" i="1"/>
  <c r="Y4" i="1"/>
  <c r="AG4" i="1"/>
  <c r="AO4" i="1" s="1"/>
  <c r="AI4" i="1"/>
  <c r="AK4" i="1" s="1"/>
  <c r="AI109" i="1"/>
  <c r="AK109" i="1" s="1"/>
  <c r="AS109" i="1"/>
  <c r="AE109" i="1"/>
  <c r="AS209" i="1"/>
  <c r="Y157" i="1"/>
  <c r="AR157" i="1"/>
  <c r="AI157" i="1"/>
  <c r="AK157" i="1" s="1"/>
  <c r="AE6" i="1"/>
  <c r="Y215" i="1"/>
  <c r="AR215" i="1"/>
  <c r="AG215" i="1"/>
  <c r="AO215" i="1" s="1"/>
  <c r="AI215" i="1"/>
  <c r="AK215" i="1" s="1"/>
  <c r="AS221" i="1"/>
  <c r="AE221" i="1"/>
  <c r="AR79" i="1"/>
  <c r="AG79" i="1"/>
  <c r="AO79" i="1" s="1"/>
  <c r="Y79" i="1"/>
  <c r="AR115" i="1"/>
  <c r="Y115" i="1"/>
  <c r="AG115" i="1"/>
  <c r="AO115" i="1" s="1"/>
  <c r="AR87" i="1"/>
  <c r="Y87" i="1"/>
  <c r="AR88" i="1"/>
  <c r="Y88" i="1"/>
  <c r="AI88" i="1"/>
  <c r="AK88" i="1" s="1"/>
  <c r="AS179" i="1"/>
  <c r="Y217" i="1"/>
  <c r="AR217" i="1"/>
  <c r="AI217" i="1"/>
  <c r="AK217" i="1" s="1"/>
  <c r="AE143" i="1"/>
  <c r="Y213" i="1"/>
  <c r="AR213" i="1"/>
  <c r="AG213" i="1"/>
  <c r="AO213" i="1" s="1"/>
  <c r="AS6" i="1"/>
  <c r="AI111" i="1"/>
  <c r="AK111" i="1" s="1"/>
  <c r="AE205" i="1"/>
  <c r="AS205" i="1"/>
  <c r="AR161" i="1"/>
  <c r="Y161" i="1"/>
  <c r="AG161" i="1"/>
  <c r="AO161" i="1" s="1"/>
  <c r="Y5" i="1"/>
  <c r="AR5" i="1"/>
  <c r="AG5" i="1"/>
  <c r="AO5" i="1" s="1"/>
  <c r="AE172" i="1"/>
  <c r="AS172" i="1"/>
  <c r="AS11" i="1"/>
  <c r="AE11" i="1"/>
  <c r="AR194" i="1"/>
  <c r="AI194" i="1"/>
  <c r="AK194" i="1" s="1"/>
  <c r="Y194" i="1"/>
  <c r="AR175" i="1"/>
  <c r="Y175" i="1"/>
  <c r="AE66" i="1"/>
  <c r="AS147" i="1"/>
  <c r="Y150" i="1"/>
  <c r="AR150" i="1"/>
  <c r="AG150" i="1"/>
  <c r="AO150" i="1" s="1"/>
  <c r="AS233" i="1"/>
  <c r="Y226" i="1"/>
  <c r="AI226" i="1"/>
  <c r="AK226" i="1" s="1"/>
  <c r="AR226" i="1"/>
  <c r="AS153" i="1"/>
  <c r="AE29" i="1"/>
  <c r="AS29" i="1"/>
  <c r="AR199" i="1"/>
  <c r="Y199" i="1"/>
  <c r="AI199" i="1"/>
  <c r="AK199" i="1" s="1"/>
  <c r="AG199" i="1"/>
  <c r="AO199" i="1" s="1"/>
  <c r="AR32" i="1"/>
  <c r="Y32" i="1"/>
  <c r="AI32" i="1"/>
  <c r="AK32" i="1" s="1"/>
  <c r="AG32" i="1"/>
  <c r="AO32" i="1" s="1"/>
  <c r="AE199" i="1"/>
  <c r="AS199" i="1"/>
  <c r="AS51" i="1"/>
  <c r="AE51" i="1"/>
  <c r="AS88" i="1"/>
  <c r="AE222" i="1"/>
  <c r="AE39" i="1"/>
  <c r="AS39" i="1"/>
  <c r="AE153" i="1"/>
  <c r="AG209" i="1"/>
  <c r="AO209" i="1" s="1"/>
  <c r="Y160" i="1"/>
  <c r="AR160" i="1"/>
  <c r="AI160" i="1"/>
  <c r="AK160" i="1" s="1"/>
  <c r="AG160" i="1"/>
  <c r="AO160" i="1" s="1"/>
  <c r="I1988" i="3"/>
  <c r="AE105" i="1"/>
  <c r="AR153" i="1"/>
  <c r="Y153" i="1"/>
  <c r="AI153" i="1"/>
  <c r="AK153" i="1" s="1"/>
  <c r="Y118" i="1"/>
  <c r="AG118" i="1"/>
  <c r="AO118" i="1" s="1"/>
  <c r="AR118" i="1"/>
  <c r="AE43" i="1"/>
  <c r="Y111" i="1"/>
  <c r="AR111" i="1"/>
  <c r="AE170" i="1"/>
  <c r="AS170" i="1"/>
  <c r="AI63" i="1"/>
  <c r="AK63" i="1" s="1"/>
  <c r="Y63" i="1"/>
  <c r="AR63" i="1"/>
  <c r="AG63" i="1"/>
  <c r="AO63" i="1" s="1"/>
  <c r="AG42" i="1"/>
  <c r="AO42" i="1" s="1"/>
  <c r="AS105" i="1"/>
  <c r="AI86" i="1"/>
  <c r="AK86" i="1" s="1"/>
  <c r="AE191" i="1"/>
  <c r="AS191" i="1"/>
  <c r="AS54" i="1"/>
  <c r="Y204" i="1"/>
  <c r="AR204" i="1"/>
  <c r="AI204" i="1"/>
  <c r="AK204" i="1" s="1"/>
  <c r="AR82" i="1"/>
  <c r="Y82" i="1"/>
  <c r="AI82" i="1"/>
  <c r="AK82" i="1" s="1"/>
  <c r="AE31" i="1"/>
  <c r="AR205" i="1"/>
  <c r="Y205" i="1"/>
  <c r="AS176" i="1"/>
  <c r="AR117" i="1"/>
  <c r="Y117" i="1"/>
  <c r="AG117" i="1"/>
  <c r="AO117" i="1" s="1"/>
  <c r="AI205" i="1"/>
  <c r="AK205" i="1" s="1"/>
  <c r="Y119" i="1"/>
  <c r="AR119" i="1"/>
  <c r="AG119" i="1"/>
  <c r="AO119" i="1" s="1"/>
  <c r="Y137" i="1"/>
  <c r="AG137" i="1"/>
  <c r="AO137" i="1" s="1"/>
  <c r="AR137" i="1"/>
  <c r="AS213" i="1"/>
  <c r="AE151" i="1"/>
  <c r="AS124" i="1"/>
  <c r="AE120" i="1"/>
  <c r="AS173" i="1"/>
  <c r="AG72" i="1"/>
  <c r="AO72" i="1" s="1"/>
  <c r="AS82" i="1"/>
  <c r="AE54" i="1"/>
  <c r="AI142" i="1"/>
  <c r="AK142" i="1" s="1"/>
  <c r="AI216" i="1"/>
  <c r="AK216" i="1" s="1"/>
  <c r="AS151" i="1"/>
  <c r="AS177" i="1"/>
  <c r="AE124" i="1"/>
  <c r="Y179" i="1"/>
  <c r="AR179" i="1"/>
  <c r="AG179" i="1"/>
  <c r="AO179" i="1" s="1"/>
  <c r="AE176" i="1"/>
  <c r="AE57" i="1"/>
  <c r="AS154" i="1"/>
  <c r="AE175" i="1"/>
  <c r="AE22" i="1"/>
  <c r="AS155" i="1"/>
  <c r="AE76" i="1"/>
  <c r="Y216" i="1"/>
  <c r="AR216" i="1"/>
  <c r="AR24" i="1"/>
  <c r="Y24" i="1"/>
  <c r="AG24" i="1"/>
  <c r="AO24" i="1" s="1"/>
  <c r="Y49" i="1"/>
  <c r="AR49" i="1"/>
  <c r="AI49" i="1"/>
  <c r="AK49" i="1" s="1"/>
  <c r="AE110" i="1"/>
  <c r="AE169" i="1"/>
  <c r="AE93" i="1"/>
  <c r="AS93" i="1"/>
  <c r="AR103" i="1"/>
  <c r="Y103" i="1"/>
  <c r="AR130" i="1"/>
  <c r="Y130" i="1"/>
  <c r="AS25" i="1"/>
  <c r="AS175" i="1"/>
  <c r="AS22" i="1"/>
  <c r="AI25" i="1"/>
  <c r="AK25" i="1" s="1"/>
  <c r="AI229" i="1"/>
  <c r="AK229" i="1" s="1"/>
  <c r="Y229" i="1"/>
  <c r="AR229" i="1"/>
  <c r="AG229" i="1"/>
  <c r="AO229" i="1" s="1"/>
  <c r="Y30" i="1"/>
  <c r="AG30" i="1"/>
  <c r="AO30" i="1" s="1"/>
  <c r="AR30" i="1"/>
  <c r="AI30" i="1"/>
  <c r="AK30" i="1" s="1"/>
  <c r="AI130" i="1"/>
  <c r="AK130" i="1" s="1"/>
  <c r="AI103" i="1"/>
  <c r="AK103" i="1" s="1"/>
  <c r="AS110" i="1"/>
  <c r="AS169" i="1"/>
  <c r="AS157" i="1"/>
  <c r="AE157" i="1"/>
  <c r="Y176" i="1"/>
  <c r="AR176" i="1"/>
  <c r="AI176" i="1"/>
  <c r="AK176" i="1" s="1"/>
  <c r="AR25" i="1"/>
  <c r="Y25" i="1"/>
  <c r="AI177" i="1"/>
  <c r="AK177" i="1" s="1"/>
  <c r="AS223" i="1"/>
  <c r="AS91" i="1"/>
  <c r="AE91" i="1"/>
  <c r="AR173" i="1"/>
  <c r="Y173" i="1"/>
  <c r="AI173" i="1"/>
  <c r="AK173" i="1" s="1"/>
  <c r="AR202" i="1"/>
  <c r="AI202" i="1"/>
  <c r="AK202" i="1" s="1"/>
  <c r="Y202" i="1"/>
  <c r="Y9" i="1"/>
  <c r="AR9" i="1"/>
  <c r="AG9" i="1"/>
  <c r="AO9" i="1" s="1"/>
  <c r="Y190" i="1"/>
  <c r="AR190" i="1"/>
  <c r="Y177" i="1"/>
  <c r="AR177" i="1"/>
  <c r="AG177" i="1"/>
  <c r="AO177" i="1" s="1"/>
  <c r="AR43" i="1"/>
  <c r="Y43" i="1"/>
  <c r="AI43" i="1"/>
  <c r="AK43" i="1" s="1"/>
  <c r="AE223" i="1"/>
  <c r="AG152" i="1"/>
  <c r="AO152" i="1" s="1"/>
  <c r="AE123" i="1"/>
  <c r="Y193" i="1"/>
  <c r="AR193" i="1"/>
  <c r="Y128" i="1"/>
  <c r="AR128" i="1"/>
  <c r="AG128" i="1"/>
  <c r="AO128" i="1" s="1"/>
  <c r="Y186" i="1"/>
  <c r="AR186" i="1"/>
  <c r="AR86" i="1"/>
  <c r="Y86" i="1"/>
  <c r="AR56" i="1"/>
  <c r="Y56" i="1"/>
  <c r="AG56" i="1"/>
  <c r="AO56" i="1" s="1"/>
  <c r="Y59" i="1"/>
  <c r="AR59" i="1"/>
  <c r="AR34" i="1"/>
  <c r="Y34" i="1"/>
  <c r="AR232" i="1"/>
  <c r="Y232" i="1"/>
  <c r="AS129" i="1"/>
  <c r="AS80" i="1"/>
  <c r="AS104" i="1"/>
  <c r="Y45" i="1"/>
  <c r="AR45" i="1"/>
  <c r="AI45" i="1"/>
  <c r="AK45" i="1" s="1"/>
  <c r="AR44" i="1"/>
  <c r="AI186" i="1"/>
  <c r="AK186" i="1" s="1"/>
  <c r="AG232" i="1"/>
  <c r="AO232" i="1" s="1"/>
  <c r="AE78" i="1"/>
  <c r="Y167" i="1"/>
  <c r="AR167" i="1"/>
  <c r="AI167" i="1"/>
  <c r="AK167" i="1" s="1"/>
  <c r="AS186" i="1"/>
  <c r="AE4" i="1"/>
  <c r="AI95" i="1"/>
  <c r="AK95" i="1" s="1"/>
  <c r="Y44" i="1"/>
  <c r="AE59" i="1"/>
  <c r="Y142" i="1"/>
  <c r="AR142" i="1"/>
  <c r="Y95" i="1"/>
  <c r="AR95" i="1"/>
  <c r="AG233" i="1"/>
  <c r="AO233" i="1" s="1"/>
  <c r="Y100" i="1"/>
  <c r="AR100" i="1"/>
  <c r="AI100" i="1"/>
  <c r="AK100" i="1" s="1"/>
  <c r="AG100" i="1"/>
  <c r="AO100" i="1" s="1"/>
  <c r="AR72" i="1"/>
  <c r="Y72" i="1"/>
  <c r="AG189" i="1"/>
  <c r="AO189" i="1" s="1"/>
  <c r="Y189" i="1"/>
  <c r="AR189" i="1"/>
  <c r="Y61" i="1"/>
  <c r="AR61" i="1"/>
  <c r="Y169" i="1"/>
  <c r="AR169" i="1"/>
  <c r="AE60" i="1"/>
  <c r="AR196" i="1"/>
  <c r="Y196" i="1"/>
  <c r="AG196" i="1"/>
  <c r="AO196" i="1" s="1"/>
  <c r="AS133" i="1"/>
  <c r="AS187" i="1"/>
  <c r="AG169" i="1"/>
  <c r="AO169" i="1" s="1"/>
  <c r="AS161" i="1"/>
  <c r="AS207" i="1"/>
  <c r="AI152" i="1"/>
  <c r="AK152" i="1" s="1"/>
  <c r="AS230" i="1"/>
  <c r="AG86" i="1"/>
  <c r="AO86" i="1" s="1"/>
  <c r="AE187" i="1"/>
  <c r="AG193" i="1"/>
  <c r="AO193" i="1" s="1"/>
  <c r="AE230" i="1"/>
  <c r="Y152" i="1"/>
  <c r="AR152" i="1"/>
  <c r="AE202" i="1"/>
  <c r="AI193" i="1"/>
  <c r="AK193" i="1" s="1"/>
  <c r="AI128" i="1"/>
  <c r="AK128" i="1" s="1"/>
  <c r="AG142" i="1"/>
  <c r="AO142" i="1" s="1"/>
  <c r="AE26" i="1"/>
  <c r="AR162" i="1"/>
  <c r="AI162" i="1"/>
  <c r="AK162" i="1" s="1"/>
  <c r="Y162" i="1"/>
  <c r="AG186" i="1"/>
  <c r="AO186" i="1" s="1"/>
  <c r="AE212" i="1"/>
  <c r="AS78" i="1"/>
  <c r="AG109" i="1"/>
  <c r="AO109" i="1" s="1"/>
  <c r="AE208" i="1"/>
  <c r="AE117" i="1"/>
  <c r="AE36" i="1"/>
  <c r="AS228" i="1"/>
  <c r="AE149" i="1"/>
  <c r="Y233" i="1"/>
  <c r="Y15" i="1"/>
  <c r="AE63" i="1"/>
  <c r="AS63" i="1"/>
  <c r="AS18" i="1"/>
  <c r="AS150" i="1"/>
  <c r="AE150" i="1"/>
  <c r="AE116" i="1"/>
  <c r="AS49" i="1"/>
  <c r="AS95" i="1"/>
  <c r="AS85" i="1"/>
  <c r="AE17" i="1"/>
  <c r="Y109" i="1"/>
  <c r="AE140" i="1"/>
  <c r="AE20" i="1"/>
  <c r="AE232" i="1"/>
  <c r="AE231" i="1"/>
  <c r="AE47" i="1"/>
  <c r="AS47" i="1"/>
  <c r="AS159" i="1"/>
  <c r="AE159" i="1"/>
  <c r="AE16" i="1"/>
  <c r="AS16" i="1"/>
  <c r="AE18" i="1"/>
  <c r="AS192" i="1"/>
  <c r="AS149" i="1"/>
  <c r="AS113" i="1"/>
  <c r="AE130" i="1"/>
  <c r="AS140" i="1"/>
  <c r="AE9" i="1"/>
  <c r="AS9" i="1"/>
  <c r="AS20" i="1"/>
  <c r="AS232" i="1"/>
  <c r="AS201" i="1"/>
  <c r="AS220" i="1"/>
  <c r="AI233" i="1"/>
  <c r="AK233" i="1" s="1"/>
  <c r="AR233" i="1"/>
  <c r="AR15" i="1"/>
  <c r="AG15" i="1"/>
  <c r="AO15" i="1" s="1"/>
  <c r="AS116" i="1"/>
  <c r="AE49" i="1"/>
  <c r="AS32" i="1"/>
  <c r="AE95" i="1"/>
  <c r="AS216" i="1"/>
  <c r="AE67" i="1"/>
  <c r="AE44" i="1"/>
  <c r="AS44" i="1"/>
  <c r="AS89" i="1"/>
  <c r="AE33" i="1"/>
  <c r="AS7" i="1"/>
  <c r="AE7" i="1"/>
  <c r="AE61" i="1"/>
  <c r="AS61" i="1"/>
  <c r="AS198" i="1"/>
  <c r="AE216" i="1"/>
  <c r="AS28" i="1"/>
  <c r="AE28" i="1"/>
  <c r="AS67" i="1"/>
  <c r="AE89" i="1"/>
  <c r="AS33" i="1"/>
  <c r="AE217" i="1"/>
  <c r="AE218" i="1"/>
  <c r="AE94" i="1"/>
  <c r="AS94" i="1"/>
  <c r="AS81" i="1"/>
  <c r="AE167" i="1"/>
  <c r="AS167" i="1"/>
  <c r="AS136" i="1"/>
  <c r="AS73" i="1"/>
  <c r="AE73" i="1"/>
  <c r="AE145" i="1"/>
  <c r="AE128" i="1"/>
  <c r="AS128" i="1"/>
  <c r="AS203" i="1"/>
  <c r="AS180" i="1"/>
  <c r="AS38" i="1"/>
  <c r="AS15" i="1"/>
  <c r="AE136" i="1"/>
  <c r="AE14" i="1"/>
  <c r="AS174" i="1"/>
  <c r="AE119" i="1"/>
  <c r="AS132" i="1"/>
  <c r="AE174" i="1"/>
  <c r="AS168" i="1"/>
  <c r="AE68" i="1"/>
  <c r="AE189" i="1"/>
  <c r="AS45" i="1"/>
  <c r="AF199" i="1" l="1"/>
  <c r="AH199" i="1" s="1"/>
  <c r="AL199" i="1" s="1"/>
  <c r="AF116" i="1"/>
  <c r="AH116" i="1" s="1"/>
  <c r="AL116" i="1" s="1"/>
  <c r="AF168" i="1"/>
  <c r="AH168" i="1" s="1"/>
  <c r="AL168" i="1" s="1"/>
  <c r="AF144" i="1"/>
  <c r="AH144" i="1" s="1"/>
  <c r="AL144" i="1" s="1"/>
  <c r="AF148" i="1"/>
  <c r="AH148" i="1" s="1"/>
  <c r="AL148" i="1" s="1"/>
  <c r="AF123" i="1"/>
  <c r="AH123" i="1" s="1"/>
  <c r="AL123" i="1" s="1"/>
  <c r="AF131" i="1"/>
  <c r="AH131" i="1" s="1"/>
  <c r="AL131" i="1" s="1"/>
  <c r="AF151" i="1"/>
  <c r="AH151" i="1" s="1"/>
  <c r="AL151" i="1" s="1"/>
  <c r="AF146" i="1"/>
  <c r="AH146" i="1" s="1"/>
  <c r="AL146" i="1" s="1"/>
  <c r="AF104" i="1"/>
  <c r="AH104" i="1" s="1"/>
  <c r="AL104" i="1" s="1"/>
  <c r="AF24" i="1"/>
  <c r="AH24" i="1" s="1"/>
  <c r="AL24" i="1" s="1"/>
  <c r="AF49" i="1"/>
  <c r="AH49" i="1" s="1"/>
  <c r="AL49" i="1" s="1"/>
  <c r="AF139" i="1"/>
  <c r="AH139" i="1" s="1"/>
  <c r="AL139" i="1" s="1"/>
  <c r="AF175" i="1"/>
  <c r="AH175" i="1" s="1"/>
  <c r="AL175" i="1" s="1"/>
  <c r="AF130" i="1"/>
  <c r="AH130" i="1" s="1"/>
  <c r="AL130" i="1" s="1"/>
  <c r="AF140" i="1"/>
  <c r="AH140" i="1" s="1"/>
  <c r="AL140" i="1" s="1"/>
  <c r="AH29" i="1"/>
  <c r="AL29" i="1" s="1"/>
  <c r="AF172" i="1"/>
  <c r="AH172" i="1" s="1"/>
  <c r="AL172" i="1" s="1"/>
  <c r="AF222" i="1"/>
  <c r="AH222" i="1" s="1"/>
  <c r="AL222" i="1" s="1"/>
  <c r="AF105" i="1"/>
  <c r="AH105" i="1" s="1"/>
  <c r="AL105" i="1" s="1"/>
  <c r="AF203" i="1"/>
  <c r="AH203" i="1" s="1"/>
  <c r="AL203" i="1" s="1"/>
  <c r="AF218" i="1"/>
  <c r="AH218" i="1" s="1"/>
  <c r="AL218" i="1" s="1"/>
  <c r="AF173" i="1"/>
  <c r="AH173" i="1" s="1"/>
  <c r="AL173" i="1" s="1"/>
  <c r="AF102" i="1"/>
  <c r="AH102" i="1" s="1"/>
  <c r="AL102" i="1" s="1"/>
  <c r="AF216" i="1"/>
  <c r="AH216" i="1" s="1"/>
  <c r="AL216" i="1" s="1"/>
  <c r="AF193" i="1"/>
  <c r="AH193" i="1" s="1"/>
  <c r="AL193" i="1" s="1"/>
  <c r="AF127" i="1"/>
  <c r="AH127" i="1" s="1"/>
  <c r="AL127" i="1" s="1"/>
  <c r="AF149" i="1"/>
  <c r="AH149" i="1" s="1"/>
  <c r="AL149" i="1" s="1"/>
  <c r="AF204" i="1"/>
  <c r="AH204" i="1" s="1"/>
  <c r="AL204" i="1" s="1"/>
  <c r="AH86" i="1"/>
  <c r="AL86" i="1" s="1"/>
  <c r="AF183" i="1"/>
  <c r="AH183" i="1" s="1"/>
  <c r="AL183" i="1" s="1"/>
  <c r="AF174" i="1"/>
  <c r="AH174" i="1" s="1"/>
  <c r="AL174" i="1" s="1"/>
  <c r="AF205" i="1"/>
  <c r="AH205" i="1" s="1"/>
  <c r="AL205" i="1" s="1"/>
  <c r="AF198" i="1"/>
  <c r="AH198" i="1" s="1"/>
  <c r="AL198" i="1" s="1"/>
  <c r="AF142" i="1"/>
  <c r="AH142" i="1" s="1"/>
  <c r="AL142" i="1" s="1"/>
  <c r="AF232" i="1"/>
  <c r="AH232" i="1" s="1"/>
  <c r="AL232" i="1" s="1"/>
  <c r="AH68" i="1"/>
  <c r="AL68" i="1" s="1"/>
  <c r="AF136" i="1"/>
  <c r="AH136" i="1" s="1"/>
  <c r="AL136" i="1" s="1"/>
  <c r="AF156" i="1"/>
  <c r="AH156" i="1" s="1"/>
  <c r="AL156" i="1" s="1"/>
  <c r="AF39" i="1"/>
  <c r="AH39" i="1" s="1"/>
  <c r="AL39" i="1" s="1"/>
  <c r="AF160" i="1"/>
  <c r="AH160" i="1" s="1"/>
  <c r="AL160" i="1" s="1"/>
  <c r="AF212" i="1"/>
  <c r="AH212" i="1" s="1"/>
  <c r="AL212" i="1" s="1"/>
  <c r="AF159" i="1"/>
  <c r="AH159" i="1" s="1"/>
  <c r="AL159" i="1" s="1"/>
  <c r="AF169" i="1"/>
  <c r="AH169" i="1" s="1"/>
  <c r="AL169" i="1" s="1"/>
  <c r="AF213" i="1"/>
  <c r="AH213" i="1" s="1"/>
  <c r="AL213" i="1" s="1"/>
  <c r="AF177" i="1"/>
  <c r="AH177" i="1" s="1"/>
  <c r="AL177" i="1" s="1"/>
  <c r="AF135" i="1"/>
  <c r="AH135" i="1" s="1"/>
  <c r="AL135" i="1" s="1"/>
  <c r="AF192" i="1"/>
  <c r="AH192" i="1" s="1"/>
  <c r="AL192" i="1" s="1"/>
  <c r="AF157" i="1"/>
  <c r="AH157" i="1" s="1"/>
  <c r="AL157" i="1" s="1"/>
  <c r="AF141" i="1"/>
  <c r="AH141" i="1" s="1"/>
  <c r="AL141" i="1" s="1"/>
  <c r="AF100" i="1"/>
  <c r="AH100" i="1" s="1"/>
  <c r="AL100" i="1" s="1"/>
  <c r="AF115" i="1"/>
  <c r="AH115" i="1" s="1"/>
  <c r="AL115" i="1" s="1"/>
  <c r="AF38" i="1"/>
  <c r="AH38" i="1" s="1"/>
  <c r="AL38" i="1" s="1"/>
  <c r="AF25" i="1"/>
  <c r="AH25" i="1" s="1"/>
  <c r="AL25" i="1" s="1"/>
  <c r="AF82" i="1"/>
  <c r="AH82" i="1" s="1"/>
  <c r="AL82" i="1" s="1"/>
  <c r="AF81" i="1"/>
  <c r="AH81" i="1" s="1"/>
  <c r="AL81" i="1" s="1"/>
  <c r="AF6" i="1"/>
  <c r="AH6" i="1" s="1"/>
  <c r="AL6" i="1" s="1"/>
  <c r="AF47" i="1"/>
  <c r="AH47" i="1" s="1"/>
  <c r="AL47" i="1" s="1"/>
  <c r="AF7" i="1"/>
  <c r="AH7" i="1" s="1"/>
  <c r="AL7" i="1" s="1"/>
  <c r="AH17" i="1"/>
  <c r="AL17" i="1" s="1"/>
  <c r="AF230" i="1"/>
  <c r="AH230" i="1" s="1"/>
  <c r="AL230" i="1" s="1"/>
  <c r="AF167" i="1"/>
  <c r="AH167" i="1" s="1"/>
  <c r="AL167" i="1" s="1"/>
  <c r="AF188" i="1"/>
  <c r="AH188" i="1" s="1"/>
  <c r="AL188" i="1" s="1"/>
  <c r="AF189" i="1"/>
  <c r="AH189" i="1" s="1"/>
  <c r="AL189" i="1" s="1"/>
  <c r="AH51" i="1"/>
  <c r="AL51" i="1" s="1"/>
  <c r="AF187" i="1"/>
  <c r="AH187" i="1" s="1"/>
  <c r="AL187" i="1" s="1"/>
  <c r="AH73" i="1"/>
  <c r="AL73" i="1" s="1"/>
  <c r="AH74" i="1"/>
  <c r="AL74" i="1" s="1"/>
  <c r="AF191" i="1"/>
  <c r="AH191" i="1" s="1"/>
  <c r="AL191" i="1" s="1"/>
  <c r="AH61" i="1"/>
  <c r="AL61" i="1" s="1"/>
  <c r="AF225" i="1"/>
  <c r="AH225" i="1" s="1"/>
  <c r="AL225" i="1" s="1"/>
  <c r="AH55" i="1"/>
  <c r="AL55" i="1" s="1"/>
  <c r="AF226" i="1"/>
  <c r="AH226" i="1" s="1"/>
  <c r="AL226" i="1" s="1"/>
  <c r="AF201" i="1"/>
  <c r="AH201" i="1" s="1"/>
  <c r="AL201" i="1" s="1"/>
  <c r="AF33" i="1"/>
  <c r="AH33" i="1" s="1"/>
  <c r="AL33" i="1" s="1"/>
  <c r="AF9" i="1"/>
  <c r="AH9" i="1" s="1"/>
  <c r="AL9" i="1" s="1"/>
  <c r="AH10" i="1"/>
  <c r="AL10" i="1" s="1"/>
  <c r="AF221" i="1"/>
  <c r="AH221" i="1" s="1"/>
  <c r="AL221" i="1" s="1"/>
  <c r="AH57" i="1"/>
  <c r="AL57" i="1" s="1"/>
  <c r="AH44" i="1"/>
  <c r="AL44" i="1" s="1"/>
  <c r="AF200" i="1"/>
  <c r="AH200" i="1" s="1"/>
  <c r="AL200" i="1" s="1"/>
  <c r="AF119" i="1"/>
  <c r="AH119" i="1" s="1"/>
  <c r="AL119" i="1" s="1"/>
  <c r="AF202" i="1"/>
  <c r="AH202" i="1" s="1"/>
  <c r="AL202" i="1" s="1"/>
  <c r="AF112" i="1"/>
  <c r="AH112" i="1" s="1"/>
  <c r="AL112" i="1" s="1"/>
  <c r="AF103" i="1"/>
  <c r="AH103" i="1" s="1"/>
  <c r="AL103" i="1" s="1"/>
  <c r="AH11" i="1"/>
  <c r="AL11" i="1" s="1"/>
  <c r="AF229" i="1"/>
  <c r="AH229" i="1" s="1"/>
  <c r="AL229" i="1" s="1"/>
  <c r="AF219" i="1"/>
  <c r="AH219" i="1" s="1"/>
  <c r="AL219" i="1" s="1"/>
  <c r="AF223" i="1"/>
  <c r="AH223" i="1" s="1"/>
  <c r="AL223" i="1" s="1"/>
  <c r="AF41" i="1"/>
  <c r="AH41" i="1" s="1"/>
  <c r="AL41" i="1" s="1"/>
  <c r="AF30" i="1"/>
  <c r="AH30" i="1" s="1"/>
  <c r="AL30" i="1" s="1"/>
  <c r="AF52" i="1"/>
  <c r="AH52" i="1" s="1"/>
  <c r="AL52" i="1" s="1"/>
  <c r="AF85" i="1"/>
  <c r="AH85" i="1" s="1"/>
  <c r="AL85" i="1" s="1"/>
  <c r="AF18" i="1"/>
  <c r="AH18" i="1" s="1"/>
  <c r="AL18" i="1" s="1"/>
  <c r="AF48" i="1"/>
  <c r="AH48" i="1" s="1"/>
  <c r="AL48" i="1" s="1"/>
  <c r="AF14" i="1"/>
  <c r="AH14" i="1" s="1"/>
  <c r="AL14" i="1" s="1"/>
  <c r="AF36" i="1"/>
  <c r="AH36" i="1" s="1"/>
  <c r="AL36" i="1" s="1"/>
  <c r="AF22" i="1"/>
  <c r="AH22" i="1" s="1"/>
  <c r="AL22" i="1" s="1"/>
  <c r="AF4" i="1"/>
  <c r="AH4" i="1" s="1"/>
  <c r="AL4" i="1" s="1"/>
  <c r="AF54" i="1"/>
  <c r="AH54" i="1" s="1"/>
  <c r="AL54" i="1" s="1"/>
  <c r="AH8" i="1"/>
  <c r="AL8" i="1" s="1"/>
  <c r="AF186" i="1"/>
  <c r="AH186" i="1" s="1"/>
  <c r="AL186" i="1" s="1"/>
  <c r="AF137" i="1"/>
  <c r="AH137" i="1" s="1"/>
  <c r="AL137" i="1" s="1"/>
  <c r="AF180" i="1"/>
  <c r="AH180" i="1" s="1"/>
  <c r="AL180" i="1" s="1"/>
  <c r="AF233" i="1"/>
  <c r="AH233" i="1" s="1"/>
  <c r="AL233" i="1" s="1"/>
  <c r="AF145" i="1"/>
  <c r="AH145" i="1" s="1"/>
  <c r="AL145" i="1" s="1"/>
  <c r="AH88" i="1"/>
  <c r="AL88" i="1" s="1"/>
  <c r="AF154" i="1"/>
  <c r="AH154" i="1" s="1"/>
  <c r="AL154" i="1" s="1"/>
  <c r="AH95" i="1"/>
  <c r="AL95" i="1" s="1"/>
  <c r="AH91" i="1"/>
  <c r="AL91" i="1" s="1"/>
  <c r="AH50" i="1"/>
  <c r="AL50" i="1" s="1"/>
  <c r="AF132" i="1"/>
  <c r="AH132" i="1" s="1"/>
  <c r="AL132" i="1" s="1"/>
  <c r="AF128" i="1"/>
  <c r="AH128" i="1" s="1"/>
  <c r="AL128" i="1" s="1"/>
  <c r="AF231" i="1"/>
  <c r="AH231" i="1" s="1"/>
  <c r="AL231" i="1" s="1"/>
  <c r="AF143" i="1"/>
  <c r="AH143" i="1" s="1"/>
  <c r="AL143" i="1" s="1"/>
  <c r="AF185" i="1"/>
  <c r="AH185" i="1" s="1"/>
  <c r="AL185" i="1" s="1"/>
  <c r="AF16" i="1"/>
  <c r="AH16" i="1" s="1"/>
  <c r="AL16" i="1" s="1"/>
  <c r="AF63" i="1"/>
  <c r="AH63" i="1" s="1"/>
  <c r="AL63" i="1" s="1"/>
  <c r="AF78" i="1"/>
  <c r="AH78" i="1" s="1"/>
  <c r="AL78" i="1" s="1"/>
  <c r="AF59" i="1"/>
  <c r="AH59" i="1" s="1"/>
  <c r="AL59" i="1" s="1"/>
  <c r="AF93" i="1"/>
  <c r="AH93" i="1" s="1"/>
  <c r="AL93" i="1" s="1"/>
  <c r="AF60" i="1"/>
  <c r="AH60" i="1" s="1"/>
  <c r="AL60" i="1" s="1"/>
  <c r="AF83" i="1"/>
  <c r="AH83" i="1" s="1"/>
  <c r="AL83" i="1" s="1"/>
  <c r="AF195" i="1"/>
  <c r="AH195" i="1" s="1"/>
  <c r="AL195" i="1" s="1"/>
  <c r="AH80" i="1"/>
  <c r="AL80" i="1" s="1"/>
  <c r="AF120" i="1"/>
  <c r="AH120" i="1" s="1"/>
  <c r="AL120" i="1" s="1"/>
  <c r="AF124" i="1"/>
  <c r="AH124" i="1" s="1"/>
  <c r="AL124" i="1" s="1"/>
  <c r="AF217" i="1"/>
  <c r="AH217" i="1" s="1"/>
  <c r="AL217" i="1" s="1"/>
  <c r="AF133" i="1"/>
  <c r="AH133" i="1" s="1"/>
  <c r="AL133" i="1" s="1"/>
  <c r="AH15" i="1"/>
  <c r="AL15" i="1" s="1"/>
  <c r="AF220" i="1"/>
  <c r="AH220" i="1" s="1"/>
  <c r="AL220" i="1" s="1"/>
  <c r="AF150" i="1"/>
  <c r="AH150" i="1" s="1"/>
  <c r="AL150" i="1" s="1"/>
  <c r="AF118" i="1"/>
  <c r="AH118" i="1" s="1"/>
  <c r="AL118" i="1" s="1"/>
  <c r="AH56" i="1"/>
  <c r="AL56" i="1" s="1"/>
  <c r="AF153" i="1"/>
  <c r="AH153" i="1" s="1"/>
  <c r="AL153" i="1" s="1"/>
  <c r="AH3" i="1"/>
  <c r="AL3" i="1" s="1"/>
  <c r="AF108" i="1"/>
  <c r="AH108" i="1" s="1"/>
  <c r="AL108" i="1" s="1"/>
  <c r="AH28" i="1"/>
  <c r="AL28" i="1" s="1"/>
  <c r="AF129" i="1"/>
  <c r="AH129" i="1" s="1"/>
  <c r="AL129" i="1" s="1"/>
  <c r="AF110" i="1"/>
  <c r="AH110" i="1" s="1"/>
  <c r="AL110" i="1" s="1"/>
  <c r="AF70" i="1"/>
  <c r="AH70" i="1" s="1"/>
  <c r="AL70" i="1" s="1"/>
  <c r="AF32" i="1"/>
  <c r="AH32" i="1" s="1"/>
  <c r="AL32" i="1" s="1"/>
  <c r="AF67" i="1"/>
  <c r="AH67" i="1" s="1"/>
  <c r="AL67" i="1" s="1"/>
  <c r="AF20" i="1"/>
  <c r="AH20" i="1" s="1"/>
  <c r="AL20" i="1" s="1"/>
  <c r="AF13" i="1"/>
  <c r="AH13" i="1" s="1"/>
  <c r="AL13" i="1" s="1"/>
  <c r="AF37" i="1"/>
  <c r="AH37" i="1" s="1"/>
  <c r="AL37" i="1" s="1"/>
  <c r="AF89" i="1"/>
  <c r="AH89" i="1" s="1"/>
  <c r="AL89" i="1" s="1"/>
  <c r="AF46" i="1"/>
  <c r="AH46" i="1" s="1"/>
  <c r="AL46" i="1" s="1"/>
  <c r="AF76" i="1"/>
  <c r="AH76" i="1" s="1"/>
  <c r="AL76" i="1" s="1"/>
  <c r="AH58" i="1"/>
  <c r="AL58" i="1" s="1"/>
  <c r="AU58" i="1"/>
  <c r="AJ58" i="1"/>
  <c r="AJ45" i="1"/>
  <c r="AU45" i="1"/>
  <c r="AH158" i="1"/>
  <c r="AL158" i="1" s="1"/>
  <c r="AJ158" i="1"/>
  <c r="AU158" i="1"/>
  <c r="AH182" i="1"/>
  <c r="AL182" i="1" s="1"/>
  <c r="AU182" i="1"/>
  <c r="AJ182" i="1"/>
  <c r="AH43" i="1"/>
  <c r="AL43" i="1" s="1"/>
  <c r="AU43" i="1"/>
  <c r="AJ43" i="1"/>
  <c r="AU93" i="1"/>
  <c r="AJ93" i="1"/>
  <c r="AH208" i="1"/>
  <c r="AL208" i="1" s="1"/>
  <c r="AJ208" i="1"/>
  <c r="AU208" i="1"/>
  <c r="AG1" i="1"/>
  <c r="AU80" i="1"/>
  <c r="AJ80" i="1"/>
  <c r="AH147" i="1"/>
  <c r="AL147" i="1" s="1"/>
  <c r="AJ147" i="1"/>
  <c r="AU147" i="1"/>
  <c r="AU83" i="1"/>
  <c r="AJ83" i="1"/>
  <c r="AJ221" i="1"/>
  <c r="AU221" i="1"/>
  <c r="AU57" i="1"/>
  <c r="AJ57" i="1"/>
  <c r="AU44" i="1"/>
  <c r="AJ44" i="1"/>
  <c r="AJ4" i="1"/>
  <c r="AU4" i="1"/>
  <c r="AH106" i="1"/>
  <c r="AL106" i="1" s="1"/>
  <c r="AJ106" i="1"/>
  <c r="AU106" i="1"/>
  <c r="AJ200" i="1"/>
  <c r="AU200" i="1"/>
  <c r="AU119" i="1"/>
  <c r="AJ119" i="1"/>
  <c r="AU202" i="1"/>
  <c r="AJ202" i="1"/>
  <c r="AH125" i="1"/>
  <c r="AL125" i="1" s="1"/>
  <c r="AU125" i="1"/>
  <c r="AJ125" i="1"/>
  <c r="AU112" i="1"/>
  <c r="AJ112" i="1"/>
  <c r="AJ103" i="1"/>
  <c r="AU103" i="1"/>
  <c r="AH162" i="1"/>
  <c r="AL162" i="1" s="1"/>
  <c r="AJ162" i="1"/>
  <c r="AU162" i="1"/>
  <c r="AJ11" i="1"/>
  <c r="AU11" i="1"/>
  <c r="AH12" i="1"/>
  <c r="AL12" i="1" s="1"/>
  <c r="AU12" i="1"/>
  <c r="AJ12" i="1"/>
  <c r="AJ229" i="1"/>
  <c r="AU229" i="1"/>
  <c r="AJ219" i="1"/>
  <c r="AU219" i="1"/>
  <c r="AH194" i="1"/>
  <c r="AL194" i="1" s="1"/>
  <c r="AJ194" i="1"/>
  <c r="AU194" i="1"/>
  <c r="AH77" i="1"/>
  <c r="AL77" i="1" s="1"/>
  <c r="AU77" i="1"/>
  <c r="AJ77" i="1"/>
  <c r="AJ223" i="1"/>
  <c r="AU223" i="1"/>
  <c r="AH26" i="1"/>
  <c r="AL26" i="1" s="1"/>
  <c r="AU26" i="1"/>
  <c r="AJ26" i="1"/>
  <c r="AH176" i="1"/>
  <c r="AL176" i="1" s="1"/>
  <c r="AJ176" i="1"/>
  <c r="AU176" i="1"/>
  <c r="AH97" i="1"/>
  <c r="AL97" i="1" s="1"/>
  <c r="AU97" i="1"/>
  <c r="AJ97" i="1"/>
  <c r="AJ87" i="1"/>
  <c r="AU87" i="1"/>
  <c r="AU10" i="1"/>
  <c r="AJ10" i="1"/>
  <c r="AH21" i="1"/>
  <c r="AL21" i="1" s="1"/>
  <c r="AJ21" i="1"/>
  <c r="AU21" i="1"/>
  <c r="AU195" i="1"/>
  <c r="AJ195" i="1"/>
  <c r="AJ212" i="1"/>
  <c r="AU212" i="1"/>
  <c r="AJ145" i="1"/>
  <c r="AU145" i="1"/>
  <c r="AU88" i="1"/>
  <c r="AJ88" i="1"/>
  <c r="AH163" i="1"/>
  <c r="AL163" i="1" s="1"/>
  <c r="AJ163" i="1"/>
  <c r="AU163" i="1"/>
  <c r="AH178" i="1"/>
  <c r="AL178" i="1" s="1"/>
  <c r="AJ178" i="1"/>
  <c r="AU178" i="1"/>
  <c r="AU154" i="1"/>
  <c r="AJ154" i="1"/>
  <c r="AJ95" i="1"/>
  <c r="AU95" i="1"/>
  <c r="AJ63" i="1"/>
  <c r="AU63" i="1"/>
  <c r="AH228" i="1"/>
  <c r="AL228" i="1" s="1"/>
  <c r="AJ228" i="1"/>
  <c r="AU228" i="1"/>
  <c r="AH35" i="1"/>
  <c r="AL35" i="1" s="1"/>
  <c r="AJ35" i="1"/>
  <c r="AU35" i="1"/>
  <c r="AU91" i="1"/>
  <c r="AJ91" i="1"/>
  <c r="AH184" i="1"/>
  <c r="AL184" i="1" s="1"/>
  <c r="AJ184" i="1"/>
  <c r="AU184" i="1"/>
  <c r="AH111" i="1"/>
  <c r="AL111" i="1" s="1"/>
  <c r="AU111" i="1"/>
  <c r="AJ111" i="1"/>
  <c r="AJ50" i="1"/>
  <c r="AU50" i="1"/>
  <c r="AU227" i="1"/>
  <c r="AJ227" i="1"/>
  <c r="AH227" i="1"/>
  <c r="AL227" i="1" s="1"/>
  <c r="AJ71" i="1"/>
  <c r="AU71" i="1"/>
  <c r="AH71" i="1"/>
  <c r="AL71" i="1" s="1"/>
  <c r="AJ70" i="1"/>
  <c r="AU70" i="1"/>
  <c r="AU132" i="1"/>
  <c r="AJ132" i="1"/>
  <c r="AJ128" i="1"/>
  <c r="AU128" i="1"/>
  <c r="AJ231" i="1"/>
  <c r="AU231" i="1"/>
  <c r="AJ143" i="1"/>
  <c r="AU143" i="1"/>
  <c r="AU185" i="1"/>
  <c r="AJ185" i="1"/>
  <c r="AH190" i="1"/>
  <c r="AL190" i="1" s="1"/>
  <c r="AU190" i="1"/>
  <c r="AJ190" i="1"/>
  <c r="AJ215" i="1"/>
  <c r="AU215" i="1"/>
  <c r="AU24" i="1"/>
  <c r="AJ24" i="1"/>
  <c r="AU30" i="1"/>
  <c r="AJ30" i="1"/>
  <c r="AJ120" i="1"/>
  <c r="AU120" i="1"/>
  <c r="AJ124" i="1"/>
  <c r="AU124" i="1"/>
  <c r="AH171" i="1"/>
  <c r="AL171" i="1" s="1"/>
  <c r="AJ171" i="1"/>
  <c r="AU171" i="1"/>
  <c r="AJ217" i="1"/>
  <c r="AU217" i="1"/>
  <c r="AU133" i="1"/>
  <c r="AJ133" i="1"/>
  <c r="AU179" i="1"/>
  <c r="AJ179" i="1"/>
  <c r="AH179" i="1"/>
  <c r="AL179" i="1" s="1"/>
  <c r="AH109" i="1"/>
  <c r="AL109" i="1" s="1"/>
  <c r="AJ109" i="1"/>
  <c r="AU109" i="1"/>
  <c r="AU15" i="1"/>
  <c r="AJ15" i="1"/>
  <c r="AH94" i="1"/>
  <c r="AL94" i="1" s="1"/>
  <c r="AJ94" i="1"/>
  <c r="AU94" i="1"/>
  <c r="AJ220" i="1"/>
  <c r="AU220" i="1"/>
  <c r="AU150" i="1"/>
  <c r="AJ150" i="1"/>
  <c r="AH98" i="1"/>
  <c r="AL98" i="1" s="1"/>
  <c r="AU98" i="1"/>
  <c r="AJ98" i="1"/>
  <c r="AJ118" i="1"/>
  <c r="AU118" i="1"/>
  <c r="AU56" i="1"/>
  <c r="AJ56" i="1"/>
  <c r="AU153" i="1"/>
  <c r="AJ153" i="1"/>
  <c r="AH92" i="1"/>
  <c r="AL92" i="1" s="1"/>
  <c r="AJ92" i="1"/>
  <c r="AU92" i="1"/>
  <c r="AU3" i="1"/>
  <c r="AJ3" i="1"/>
  <c r="AJ108" i="1"/>
  <c r="AU108" i="1"/>
  <c r="AU28" i="1"/>
  <c r="AJ28" i="1"/>
  <c r="AH69" i="1"/>
  <c r="AL69" i="1" s="1"/>
  <c r="AJ69" i="1"/>
  <c r="AU69" i="1"/>
  <c r="AU129" i="1"/>
  <c r="AJ129" i="1"/>
  <c r="AJ110" i="1"/>
  <c r="AU110" i="1"/>
  <c r="AH166" i="1"/>
  <c r="AL166" i="1" s="1"/>
  <c r="AU166" i="1"/>
  <c r="AJ166" i="1"/>
  <c r="AH19" i="1"/>
  <c r="AL19" i="1" s="1"/>
  <c r="AJ19" i="1"/>
  <c r="AU19" i="1"/>
  <c r="AH114" i="1"/>
  <c r="AL114" i="1" s="1"/>
  <c r="AU114" i="1"/>
  <c r="AJ114" i="1"/>
  <c r="AU81" i="1"/>
  <c r="AJ81" i="1"/>
  <c r="AJ17" i="1"/>
  <c r="AU17" i="1"/>
  <c r="AJ78" i="1"/>
  <c r="AU78" i="1"/>
  <c r="AH90" i="1"/>
  <c r="AL90" i="1" s="1"/>
  <c r="AJ90" i="1"/>
  <c r="AU90" i="1"/>
  <c r="AH42" i="1"/>
  <c r="AL42" i="1" s="1"/>
  <c r="AJ42" i="1"/>
  <c r="AU42" i="1"/>
  <c r="AU180" i="1"/>
  <c r="AJ180" i="1"/>
  <c r="AJ199" i="1"/>
  <c r="AU199" i="1"/>
  <c r="AH84" i="1"/>
  <c r="AL84" i="1" s="1"/>
  <c r="AU84" i="1"/>
  <c r="AJ84" i="1"/>
  <c r="AU116" i="1"/>
  <c r="AJ116" i="1"/>
  <c r="AJ54" i="1"/>
  <c r="AU54" i="1"/>
  <c r="AH23" i="1"/>
  <c r="AL23" i="1" s="1"/>
  <c r="AU23" i="1"/>
  <c r="AJ23" i="1"/>
  <c r="AU168" i="1"/>
  <c r="AJ168" i="1"/>
  <c r="AJ41" i="1"/>
  <c r="AU41" i="1"/>
  <c r="AJ9" i="1"/>
  <c r="AU9" i="1"/>
  <c r="AH53" i="1"/>
  <c r="AL53" i="1" s="1"/>
  <c r="AJ53" i="1"/>
  <c r="AU53" i="1"/>
  <c r="AU144" i="1"/>
  <c r="AJ144" i="1"/>
  <c r="AU66" i="1"/>
  <c r="AH66" i="1"/>
  <c r="AL66" i="1" s="1"/>
  <c r="AJ66" i="1"/>
  <c r="AJ148" i="1"/>
  <c r="AU148" i="1"/>
  <c r="AU49" i="1"/>
  <c r="AJ49" i="1"/>
  <c r="AU123" i="1"/>
  <c r="AJ123" i="1"/>
  <c r="AU38" i="1"/>
  <c r="AJ38" i="1"/>
  <c r="AH196" i="1"/>
  <c r="AL196" i="1" s="1"/>
  <c r="AJ196" i="1"/>
  <c r="AU196" i="1"/>
  <c r="AJ131" i="1"/>
  <c r="AU131" i="1"/>
  <c r="AJ151" i="1"/>
  <c r="AU151" i="1"/>
  <c r="AH207" i="1"/>
  <c r="AL207" i="1" s="1"/>
  <c r="AJ207" i="1"/>
  <c r="AU207" i="1"/>
  <c r="AJ146" i="1"/>
  <c r="AU146" i="1"/>
  <c r="AU59" i="1"/>
  <c r="AJ59" i="1"/>
  <c r="AU104" i="1"/>
  <c r="AJ104" i="1"/>
  <c r="AH62" i="1"/>
  <c r="AL62" i="1" s="1"/>
  <c r="AU62" i="1"/>
  <c r="AJ62" i="1"/>
  <c r="AU18" i="1"/>
  <c r="AJ18" i="1"/>
  <c r="AH45" i="1"/>
  <c r="AL45" i="1" s="1"/>
  <c r="AH87" i="1"/>
  <c r="AL87" i="1" s="1"/>
  <c r="AJ186" i="1"/>
  <c r="AU186" i="1"/>
  <c r="AJ137" i="1"/>
  <c r="AU137" i="1"/>
  <c r="AJ46" i="1"/>
  <c r="AU46" i="1"/>
  <c r="AH215" i="1"/>
  <c r="AL215" i="1" s="1"/>
  <c r="AH34" i="1"/>
  <c r="AL34" i="1" s="1"/>
  <c r="AJ34" i="1"/>
  <c r="AU34" i="1"/>
  <c r="AH134" i="1"/>
  <c r="AL134" i="1" s="1"/>
  <c r="AJ134" i="1"/>
  <c r="AU134" i="1"/>
  <c r="AU16" i="1"/>
  <c r="AJ16" i="1"/>
  <c r="AH161" i="1"/>
  <c r="AL161" i="1" s="1"/>
  <c r="AU161" i="1"/>
  <c r="AJ161" i="1"/>
  <c r="AU130" i="1"/>
  <c r="AJ130" i="1"/>
  <c r="AJ140" i="1"/>
  <c r="AU140" i="1"/>
  <c r="AU165" i="1"/>
  <c r="AH165" i="1"/>
  <c r="AL165" i="1" s="1"/>
  <c r="AJ165" i="1"/>
  <c r="AU29" i="1"/>
  <c r="AJ29" i="1"/>
  <c r="AJ89" i="1"/>
  <c r="AU89" i="1"/>
  <c r="AH72" i="1"/>
  <c r="AL72" i="1" s="1"/>
  <c r="AJ72" i="1"/>
  <c r="AU72" i="1"/>
  <c r="AU33" i="1"/>
  <c r="AJ33" i="1"/>
  <c r="AJ13" i="1"/>
  <c r="AU13" i="1"/>
  <c r="AU14" i="1"/>
  <c r="AJ14" i="1"/>
  <c r="AH126" i="1"/>
  <c r="AL126" i="1" s="1"/>
  <c r="AU126" i="1"/>
  <c r="AJ126" i="1"/>
  <c r="AH121" i="1"/>
  <c r="AL121" i="1" s="1"/>
  <c r="AU121" i="1"/>
  <c r="AJ121" i="1"/>
  <c r="AU172" i="1"/>
  <c r="AJ172" i="1"/>
  <c r="AJ76" i="1"/>
  <c r="AU76" i="1"/>
  <c r="AJ99" i="1"/>
  <c r="AU99" i="1"/>
  <c r="AU222" i="1"/>
  <c r="AJ222" i="1"/>
  <c r="AU47" i="1"/>
  <c r="AJ47" i="1"/>
  <c r="AU85" i="1"/>
  <c r="AJ85" i="1"/>
  <c r="AU105" i="1"/>
  <c r="AJ105" i="1"/>
  <c r="AU203" i="1"/>
  <c r="AJ203" i="1"/>
  <c r="AU218" i="1"/>
  <c r="AJ218" i="1"/>
  <c r="AU37" i="1"/>
  <c r="AJ37" i="1"/>
  <c r="AU173" i="1"/>
  <c r="AJ173" i="1"/>
  <c r="AJ102" i="1"/>
  <c r="AU102" i="1"/>
  <c r="AH79" i="1"/>
  <c r="AL79" i="1" s="1"/>
  <c r="AU79" i="1"/>
  <c r="AJ79" i="1"/>
  <c r="AU39" i="1"/>
  <c r="AJ39" i="1"/>
  <c r="AJ160" i="1"/>
  <c r="AU160" i="1"/>
  <c r="AU193" i="1"/>
  <c r="AJ193" i="1"/>
  <c r="AJ127" i="1"/>
  <c r="AU127" i="1"/>
  <c r="AJ149" i="1"/>
  <c r="AU149" i="1"/>
  <c r="AH209" i="1"/>
  <c r="AL209" i="1" s="1"/>
  <c r="AU209" i="1"/>
  <c r="AJ209" i="1"/>
  <c r="AJ204" i="1"/>
  <c r="AU204" i="1"/>
  <c r="AU86" i="1"/>
  <c r="AJ86" i="1"/>
  <c r="AU183" i="1"/>
  <c r="AJ183" i="1"/>
  <c r="AU181" i="1"/>
  <c r="AH181" i="1"/>
  <c r="AL181" i="1" s="1"/>
  <c r="AJ181" i="1"/>
  <c r="AJ174" i="1"/>
  <c r="AU174" i="1"/>
  <c r="AH113" i="1"/>
  <c r="AL113" i="1" s="1"/>
  <c r="AJ113" i="1"/>
  <c r="AU113" i="1"/>
  <c r="AJ52" i="1"/>
  <c r="AU52" i="1"/>
  <c r="AJ205" i="1"/>
  <c r="AU205" i="1"/>
  <c r="AH96" i="1"/>
  <c r="AL96" i="1" s="1"/>
  <c r="AJ96" i="1"/>
  <c r="AU96" i="1"/>
  <c r="AU198" i="1"/>
  <c r="AJ198" i="1"/>
  <c r="AU142" i="1"/>
  <c r="AJ142" i="1"/>
  <c r="AU82" i="1"/>
  <c r="AJ82" i="1"/>
  <c r="AJ20" i="1"/>
  <c r="AU20" i="1"/>
  <c r="AU232" i="1"/>
  <c r="AJ232" i="1"/>
  <c r="AU68" i="1"/>
  <c r="AJ68" i="1"/>
  <c r="AH64" i="1"/>
  <c r="AL64" i="1" s="1"/>
  <c r="AU64" i="1"/>
  <c r="AJ64" i="1"/>
  <c r="AJ136" i="1"/>
  <c r="AU136" i="1"/>
  <c r="AJ156" i="1"/>
  <c r="AU156" i="1"/>
  <c r="AJ122" i="1"/>
  <c r="AU122" i="1"/>
  <c r="AH122" i="1"/>
  <c r="AL122" i="1" s="1"/>
  <c r="AJ8" i="1"/>
  <c r="AU8" i="1"/>
  <c r="AH101" i="1"/>
  <c r="AL101" i="1" s="1"/>
  <c r="AU101" i="1"/>
  <c r="AJ101" i="1"/>
  <c r="AJ6" i="1"/>
  <c r="AU6" i="1"/>
  <c r="AH5" i="1"/>
  <c r="AL5" i="1" s="1"/>
  <c r="AU5" i="1"/>
  <c r="AJ5" i="1"/>
  <c r="AJ107" i="1"/>
  <c r="AH107" i="1"/>
  <c r="AL107" i="1" s="1"/>
  <c r="AU107" i="1"/>
  <c r="AH65" i="1"/>
  <c r="AL65" i="1" s="1"/>
  <c r="AU65" i="1"/>
  <c r="AJ65" i="1"/>
  <c r="AH40" i="1"/>
  <c r="AL40" i="1" s="1"/>
  <c r="AJ40" i="1"/>
  <c r="AU40" i="1"/>
  <c r="AJ159" i="1"/>
  <c r="AU159" i="1"/>
  <c r="AU25" i="1"/>
  <c r="AJ25" i="1"/>
  <c r="AH75" i="1"/>
  <c r="AL75" i="1" s="1"/>
  <c r="AJ75" i="1"/>
  <c r="AU75" i="1"/>
  <c r="AJ169" i="1"/>
  <c r="AU169" i="1"/>
  <c r="AH138" i="1"/>
  <c r="AL138" i="1" s="1"/>
  <c r="AJ138" i="1"/>
  <c r="AU138" i="1"/>
  <c r="AH214" i="1"/>
  <c r="AL214" i="1" s="1"/>
  <c r="AJ214" i="1"/>
  <c r="AU214" i="1"/>
  <c r="AU213" i="1"/>
  <c r="AJ213" i="1"/>
  <c r="AU67" i="1"/>
  <c r="AJ67" i="1"/>
  <c r="AU177" i="1"/>
  <c r="AJ177" i="1"/>
  <c r="AU224" i="1"/>
  <c r="AH224" i="1"/>
  <c r="AL224" i="1" s="1"/>
  <c r="AJ224" i="1"/>
  <c r="AJ135" i="1"/>
  <c r="AU135" i="1"/>
  <c r="AH170" i="1"/>
  <c r="AL170" i="1" s="1"/>
  <c r="AU170" i="1"/>
  <c r="AJ170" i="1"/>
  <c r="AJ192" i="1"/>
  <c r="AU192" i="1"/>
  <c r="AJ157" i="1"/>
  <c r="AU157" i="1"/>
  <c r="AU141" i="1"/>
  <c r="AJ141" i="1"/>
  <c r="AU100" i="1"/>
  <c r="AJ100" i="1"/>
  <c r="AH152" i="1"/>
  <c r="AL152" i="1" s="1"/>
  <c r="AU152" i="1"/>
  <c r="AJ152" i="1"/>
  <c r="AJ115" i="1"/>
  <c r="AU115" i="1"/>
  <c r="AH31" i="1"/>
  <c r="AL31" i="1" s="1"/>
  <c r="AJ31" i="1"/>
  <c r="AU31" i="1"/>
  <c r="AJ7" i="1"/>
  <c r="AU7" i="1"/>
  <c r="AH211" i="1"/>
  <c r="AL211" i="1" s="1"/>
  <c r="AJ211" i="1"/>
  <c r="AU211" i="1"/>
  <c r="AU139" i="1"/>
  <c r="AJ139" i="1"/>
  <c r="AH197" i="1"/>
  <c r="AL197" i="1" s="1"/>
  <c r="AU197" i="1"/>
  <c r="AJ197" i="1"/>
  <c r="AH27" i="1"/>
  <c r="AL27" i="1" s="1"/>
  <c r="AJ27" i="1"/>
  <c r="AU27" i="1"/>
  <c r="AJ36" i="1"/>
  <c r="AU36" i="1"/>
  <c r="AJ216" i="1"/>
  <c r="AU216" i="1"/>
  <c r="AU175" i="1"/>
  <c r="AJ175" i="1"/>
  <c r="AU233" i="1"/>
  <c r="AJ233" i="1"/>
  <c r="AJ230" i="1"/>
  <c r="AU230" i="1"/>
  <c r="AU167" i="1"/>
  <c r="AJ167" i="1"/>
  <c r="AU188" i="1"/>
  <c r="AJ188" i="1"/>
  <c r="AJ189" i="1"/>
  <c r="AU189" i="1"/>
  <c r="AJ51" i="1"/>
  <c r="AU51" i="1"/>
  <c r="AU187" i="1"/>
  <c r="AJ187" i="1"/>
  <c r="AJ73" i="1"/>
  <c r="AU73" i="1"/>
  <c r="AJ74" i="1"/>
  <c r="AU74" i="1"/>
  <c r="AU191" i="1"/>
  <c r="AJ191" i="1"/>
  <c r="AU61" i="1"/>
  <c r="AJ61" i="1"/>
  <c r="AU225" i="1"/>
  <c r="AJ225" i="1"/>
  <c r="AJ55" i="1"/>
  <c r="AU55" i="1"/>
  <c r="AH164" i="1"/>
  <c r="AL164" i="1" s="1"/>
  <c r="AJ164" i="1"/>
  <c r="AU164" i="1"/>
  <c r="AJ60" i="1"/>
  <c r="AU60" i="1"/>
  <c r="AU22" i="1"/>
  <c r="AJ22" i="1"/>
  <c r="AU226" i="1"/>
  <c r="AJ226" i="1"/>
  <c r="AU201" i="1"/>
  <c r="AJ201" i="1"/>
  <c r="AH210" i="1"/>
  <c r="AL210" i="1" s="1"/>
  <c r="AJ210" i="1"/>
  <c r="AU210" i="1"/>
  <c r="AH155" i="1"/>
  <c r="AL155" i="1" s="1"/>
  <c r="AJ155" i="1"/>
  <c r="AU155" i="1"/>
  <c r="AJ48" i="1"/>
  <c r="AU48" i="1"/>
  <c r="AU32" i="1"/>
  <c r="AJ32" i="1"/>
  <c r="AH117" i="1"/>
  <c r="AL117" i="1" s="1"/>
  <c r="AU117" i="1"/>
  <c r="AJ1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Franco - Analista de Cuentas por Pagar</author>
    <author>LuisTorres - Asistente Administrativo</author>
    <author>kmendezg</author>
    <author>Pedro Alava - Asistente Administrativo</author>
    <author>tc={32DE3C71-A70A-4602-BB4E-97D13CD23672}</author>
    <author>tc={21720087-D16E-49A7-97B5-164D6AF56A4C}</author>
    <author>tc={343762F3-796E-44DD-92FF-B9D897BE315B}</author>
    <author>tc={9BCF1C2C-9A55-4560-8F80-DAEF410A2751}</author>
    <author>tc={E0CD845D-208E-4FA0-80E3-8489A8B0E249}</author>
    <author>tc={C5AF810F-6480-4C12-9609-ED66F74C27FC}</author>
    <author>tc={5E918534-8926-427F-A367-DF0091784FDC}</author>
    <author>tc={6483E2EE-1346-4953-9576-54D8CC40D0E2}</author>
    <author>tc={465633AA-9678-4541-8442-4C0EFDD33670}</author>
    <author>tc={44BB1327-5B4B-4EF0-BF34-DDD62DFBF6DA}</author>
    <author>tc={9D182A58-6B84-4455-96AB-960D2CAD3016}</author>
    <author>tc={FDAF2131-66ED-4E29-98F7-6A20021C3C3B}</author>
    <author>tc={5C3063F3-3CF5-4585-8D58-826564A5D293}</author>
    <author>tc={5779BB76-77E9-4653-B3B4-B7FD144436F5}</author>
    <author>tc={CBE9A9AC-73F7-4392-BEED-52535CECC9B7}</author>
    <author>tc={D7296EA3-FA4B-4989-93CD-D304042C98E1}</author>
    <author>tc={746FA9C2-ADD7-4C58-8F68-AA51AE986C15}</author>
    <author>tc={97FE88C3-A365-4522-BF6E-2BDBE3FE65A6}</author>
    <author>tc={F95EA5FA-EF28-4F27-B790-D45DEA50AFEA}</author>
    <author>tc={B1D9C60E-F54D-4D43-925C-E9507183DAB6}</author>
    <author>tc={5230B838-1B2B-4277-B8C9-F6EC1D72A2BC}</author>
    <author>tc={4C5990C4-02E5-41FD-8268-3E6DA899C59C}</author>
  </authors>
  <commentList>
    <comment ref="E18" authorId="0" shapeId="0" xr:uid="{3821F7AD-9578-4ED5-B5EF-779C5C5944CC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L18" authorId="0" shapeId="0" xr:uid="{F80E5407-72E1-490D-BEB7-FAA9206607AF}">
      <text>
        <r>
          <rPr>
            <b/>
            <sz val="9"/>
            <color indexed="81"/>
            <rFont val="Tahoma"/>
            <family val="2"/>
          </rPr>
          <t xml:space="preserve">PESCA PARCIAL, SE SUSPENDE POR MUDA
</t>
        </r>
      </text>
    </comment>
    <comment ref="E21" authorId="0" shapeId="0" xr:uid="{2F18E5D9-E4FD-4274-8F1A-CC269FD17FF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1" authorId="0" shapeId="0" xr:uid="{9EEA5415-9875-4AB8-8CD5-643D0C6D14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3" authorId="0" shapeId="0" xr:uid="{50D6B521-FE56-4790-B2C9-5A2F3DAEE9FE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L23" authorId="0" shapeId="0" xr:uid="{AB3115A0-3427-417E-B001-B17548D05679}">
      <text>
        <r>
          <rPr>
            <b/>
            <sz val="9"/>
            <color indexed="81"/>
            <rFont val="Tahoma"/>
            <family val="2"/>
          </rPr>
          <t>PESCA PARCIAL SE REALIZA EN 2 DIAS</t>
        </r>
      </text>
    </comment>
    <comment ref="E29" authorId="1" shapeId="0" xr:uid="{B076FBEA-A590-42FB-A7B2-77C9539D5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9" authorId="1" shapeId="0" xr:uid="{A63F92C0-4B1D-4CBA-8528-F07C6560915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" authorId="1" shapeId="0" xr:uid="{081D5247-B098-43DF-B8DE-6D26E4A6561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1" shapeId="0" xr:uid="{64881A00-CB2B-4CF6-9B3F-4C67D610A68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6" authorId="1" shapeId="0" xr:uid="{EB5242A8-6BFB-42D0-8982-12F9D04E30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6" authorId="1" shapeId="0" xr:uid="{1B61AAE1-BB12-4C94-B9B6-51BA1F75FCD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9" authorId="1" shapeId="0" xr:uid="{7CFC33AE-003C-49F0-91F6-44D8F8CB143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9" authorId="1" shapeId="0" xr:uid="{CC93DA42-07F9-4FB9-865C-EC0D1B3E97B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" authorId="0" shapeId="0" xr:uid="{1955D611-6194-49BC-B829-FBF25F7D6904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3" authorId="0" shapeId="0" xr:uid="{5D2E770D-66D7-45D9-9409-00A60A3EFEDF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77" authorId="0" shapeId="0" xr:uid="{EB145C31-EFFF-4E57-B47E-6FD0AAB98EAE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L77" authorId="0" shapeId="0" xr:uid="{F8B4E749-25BD-4641-BFB0-3610BC1F1547}">
      <text>
        <r>
          <rPr>
            <b/>
            <sz val="9"/>
            <color indexed="81"/>
            <rFont val="Tahoma"/>
            <family val="2"/>
          </rPr>
          <t>PESCA PARCIAL SUSPENDIDA POR MUDA</t>
        </r>
      </text>
    </comment>
    <comment ref="E87" authorId="0" shapeId="0" xr:uid="{9F605481-7172-4C77-B9DB-2EEADCF0EECB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L87" authorId="0" shapeId="0" xr:uid="{931498A4-164F-4232-9CEF-6A8A7880CB07}">
      <text>
        <r>
          <rPr>
            <b/>
            <sz val="9"/>
            <color indexed="81"/>
            <rFont val="Tahoma"/>
            <family val="2"/>
          </rPr>
          <t>PESCA PARCIAL: SUSPENDIDA POR MUDA</t>
        </r>
      </text>
    </comment>
    <comment ref="E90" authorId="0" shapeId="0" xr:uid="{10F2FF3F-AF1E-4B1F-8594-D59739AEDA61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93" authorId="0" shapeId="0" xr:uid="{6CD51495-D380-426B-86F8-8935529EAE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93" authorId="0" shapeId="0" xr:uid="{82FD9707-48E2-49FF-AEBB-3F1E2DE818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6" authorId="0" shapeId="0" xr:uid="{91B6E983-A34F-4AC2-B60A-A8F176E6636E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L96" authorId="0" shapeId="0" xr:uid="{5AA7EE36-7EFF-48E3-9E0D-2CDE4DC59479}">
      <text>
        <r>
          <rPr>
            <b/>
            <sz val="9"/>
            <color indexed="81"/>
            <rFont val="Tahoma"/>
            <family val="2"/>
          </rPr>
          <t>PESCA PARCIAL, SE REALIZA EN DOS DIAS</t>
        </r>
      </text>
    </comment>
    <comment ref="E115" authorId="0" shapeId="0" xr:uid="{63021B51-EC2F-461C-9465-8764D800FE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15" authorId="0" shapeId="0" xr:uid="{7CF05101-1F74-4EB5-A7CC-B0426943807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23" authorId="1" shapeId="0" xr:uid="{EA8CA5BC-94CC-4B6B-A8DC-B70E1F63AFFB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3" authorId="1" shapeId="0" xr:uid="{0EFBFE1D-0381-4DBB-A39A-6552AF90BC45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34" authorId="1" shapeId="0" xr:uid="{F65FFF2D-43EE-4EED-BE11-4F65F9C2ECB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34" authorId="1" shapeId="0" xr:uid="{0554ADA0-CA27-4657-B4F3-6D324CB40CA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35" authorId="1" shapeId="0" xr:uid="{C89C53CD-F0A7-4B9E-8534-D12747AC62A8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35" authorId="1" shapeId="0" xr:uid="{3F25E399-E78E-4678-9533-A90D5DB1B8E1}">
      <text>
        <r>
          <rPr>
            <b/>
            <sz val="9"/>
            <color indexed="81"/>
            <rFont val="Tahoma"/>
            <family val="2"/>
          </rPr>
          <t>CON REPAÑA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51" authorId="1" shapeId="0" xr:uid="{5F94D4AF-726D-4A42-8B97-85C8F2209A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1" authorId="1" shapeId="0" xr:uid="{D8C0FD12-0454-4387-B57B-FD450144B89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58" authorId="0" shapeId="0" xr:uid="{7DF05745-3094-4502-B180-E43EFCFC91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58" authorId="0" shapeId="0" xr:uid="{9211B832-576D-470C-AB2E-BA808AC14B1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69" authorId="1" shapeId="0" xr:uid="{7AF352BB-778E-4E6A-A670-AEBA01DAAE6A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L169" authorId="1" shapeId="0" xr:uid="{D64F2989-7B84-4ADE-8304-3DA5716E5876}">
      <text>
        <r>
          <rPr>
            <b/>
            <sz val="9"/>
            <color indexed="81"/>
            <rFont val="Tahoma"/>
            <family val="2"/>
          </rPr>
          <t xml:space="preserve">CON REPAÑA </t>
        </r>
      </text>
    </comment>
    <comment ref="E170" authorId="0" shapeId="0" xr:uid="{C07771F9-15D0-49ED-AA04-BD4F363032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70" authorId="0" shapeId="0" xr:uid="{8E3870E9-C31F-4E54-B376-F74FD5C9689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90" authorId="1" shapeId="0" xr:uid="{B7DFF0E9-DB8D-4035-BFE6-DFDFED565CA0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L190" authorId="1" shapeId="0" xr:uid="{71A01F41-320A-4522-AD72-AAA022F702CE}">
      <text>
        <r>
          <rPr>
            <b/>
            <sz val="9"/>
            <color indexed="81"/>
            <rFont val="Tahoma"/>
            <family val="2"/>
          </rPr>
          <t>PESCA PARCIAL POR MUDA</t>
        </r>
      </text>
    </comment>
    <comment ref="E200" authorId="1" shapeId="0" xr:uid="{43701A54-3B7C-4E62-BA47-45564909710F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0" authorId="1" shapeId="0" xr:uid="{59A15E89-BF35-4F47-A847-04ED732946E4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05" authorId="1" shapeId="0" xr:uid="{C2A5156E-3D55-4A0C-80B3-BC274E56960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205" authorId="1" shapeId="0" xr:uid="{F09DB877-E589-4101-BFE5-5D54492DB626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223" authorId="0" shapeId="0" xr:uid="{9643A856-C4E0-4206-B069-197B47D2AAF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23" authorId="0" shapeId="0" xr:uid="{5569E7DE-7352-4DB0-8826-6A4AAD0A6B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37" authorId="0" shapeId="0" xr:uid="{BFFFCEA2-8273-4B2C-B607-58E8610E228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37" authorId="0" shapeId="0" xr:uid="{AFBA1CD1-27A1-4FF3-846B-2D8CC1B02F4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8" authorId="0" shapeId="0" xr:uid="{19340EB7-98B8-4091-9AB7-79C886C7FB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8" authorId="0" shapeId="0" xr:uid="{4BB231DD-D2CA-4C49-A2E9-677080D290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49" authorId="0" shapeId="0" xr:uid="{4EA9B705-6467-426C-85D3-B919E06C77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49" authorId="0" shapeId="0" xr:uid="{AB1440FF-0D78-46D0-8823-494295F57D5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279" authorId="1" shapeId="0" xr:uid="{CA165D4C-1396-44C3-A2D4-2503FD97FDB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279" authorId="1" shapeId="0" xr:uid="{BE9DC9B1-1AEF-4FF5-85D8-7FA39A95807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2" authorId="0" shapeId="0" xr:uid="{645B9C94-E9B0-4234-816F-09F46E9C50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12" authorId="0" shapeId="0" xr:uid="{08DE38B4-A210-40BD-B2E4-B356F87E943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14" authorId="0" shapeId="0" xr:uid="{65811A27-4672-464F-9490-E583D1E9FDA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14" authorId="0" shapeId="0" xr:uid="{ACF92C3E-8419-4EA7-84D9-9220EA1B46B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22" authorId="1" shapeId="0" xr:uid="{0968580B-4522-48A4-B0EF-012DD0E811E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22" authorId="1" shapeId="0" xr:uid="{E0E6F2A3-902D-460E-BC24-7A0A47B7578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44" authorId="1" shapeId="0" xr:uid="{C16BAAFC-F6CA-4F44-A5C4-D84F96610F9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44" authorId="1" shapeId="0" xr:uid="{1CB37973-100B-4C7C-BD2A-571310D67D1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59" authorId="0" shapeId="0" xr:uid="{00CE286E-DF9A-4863-9547-524DA03A1A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59" authorId="0" shapeId="0" xr:uid="{32706919-BEEE-4454-9CF9-6ABC9BA9E82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65" authorId="0" shapeId="0" xr:uid="{4E3D3C72-BB37-4836-929C-6FB0F02BC1FC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365" authorId="0" shapeId="0" xr:uid="{FC13FA32-74E6-4353-A7E9-02B2221AB4D2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371" authorId="0" shapeId="0" xr:uid="{D2C9D346-1A71-4B42-843C-C4626BE23BE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71" authorId="0" shapeId="0" xr:uid="{C32B998A-A762-4818-885E-8B6C5D89EE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84" authorId="0" shapeId="0" xr:uid="{1CC9ACC4-F4E8-4E3C-A0A6-5EACAD0A9E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84" authorId="0" shapeId="0" xr:uid="{2DAB6A84-7A25-4092-BFBF-4F7DBF39D05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397" authorId="0" shapeId="0" xr:uid="{8A9D9B38-ADD3-4AA9-ABA5-1D0DE782AD9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397" authorId="0" shapeId="0" xr:uid="{A87D92CF-60E6-4F7E-B3A8-B4634D828FC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19" authorId="1" shapeId="0" xr:uid="{A6A00CFE-49FA-428B-B5DB-4DF19E3B4A3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19" authorId="0" shapeId="0" xr:uid="{4B91DE67-F195-4913-AA39-28FC760AE13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45" authorId="0" shapeId="0" xr:uid="{63889A40-3630-4133-B2E4-3512848F9B1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45" authorId="0" shapeId="0" xr:uid="{54DDC1C8-445B-493B-9790-6A07422DE4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473" authorId="0" shapeId="0" xr:uid="{1B7FB3EB-5E3E-4B0E-901E-B1BBB774775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473" authorId="0" shapeId="0" xr:uid="{819482DF-99CA-4C8F-AD6E-9A7671C274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03" authorId="1" shapeId="0" xr:uid="{BF5F1119-A29A-4E55-A315-6F25FEB92BF2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L503" authorId="1" shapeId="0" xr:uid="{E02759AD-06CF-489B-A1B7-A32C3682B370}">
      <text>
        <r>
          <rPr>
            <b/>
            <sz val="9"/>
            <color indexed="81"/>
            <rFont val="Tahoma"/>
            <family val="2"/>
          </rPr>
          <t>SUSPENDIDO POR MUDA</t>
        </r>
      </text>
    </comment>
    <comment ref="E521" authorId="1" shapeId="0" xr:uid="{56F6A870-6E75-4B47-B37B-E4ADA634BFD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21" authorId="1" shapeId="0" xr:uid="{AD182B1E-4316-4624-BF90-04931CF0331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29" authorId="1" shapeId="0" xr:uid="{5A862DA0-AE72-43EB-836E-9A7FF363871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29" authorId="1" shapeId="0" xr:uid="{C0AA9B31-0280-4876-826B-2BCCC200FD4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36" authorId="0" shapeId="0" xr:uid="{F6D4A2F7-8ED2-4BC1-8CC1-85C3AAF036C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36" authorId="0" shapeId="0" xr:uid="{BEF02D99-2E90-40AD-B29D-A96C5101CF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45" authorId="0" shapeId="0" xr:uid="{23C9B8EB-76C4-4212-93D4-73F88D31AD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45" authorId="0" shapeId="0" xr:uid="{7BA15C56-781D-4DDD-BD67-BBE9B5A22BA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51" authorId="0" shapeId="0" xr:uid="{EB00FE93-328D-4B12-9F38-0C4792277E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51" authorId="0" shapeId="0" xr:uid="{E656A469-BDD4-415E-ADC3-DF25B451B1E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66" authorId="0" shapeId="0" xr:uid="{CBB280F7-BEC9-49EC-AF39-D5099C5DDE4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66" authorId="0" shapeId="0" xr:uid="{D491B9FD-7AF9-4333-AC78-DC785F5612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69" authorId="0" shapeId="0" xr:uid="{9EBB7D0E-F075-4E86-9ECB-9981A7FFF5B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78" authorId="0" shapeId="0" xr:uid="{0683D070-B070-4BF0-B728-152DAB625D7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78" authorId="0" shapeId="0" xr:uid="{403CBC6A-9DE4-4C7E-8FA2-209AEEAB1B3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83" authorId="0" shapeId="0" xr:uid="{E9CD9413-DBF2-4602-8148-201AEB99BDD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83" authorId="0" shapeId="0" xr:uid="{1A40106D-DCF3-4CE4-9F9D-D3AA231E8CB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586" authorId="0" shapeId="0" xr:uid="{28418AC2-3647-4798-BF00-816D5FBD3C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586" authorId="0" shapeId="0" xr:uid="{BC3A1588-F036-4B74-8FD4-66D0AAAD81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17" authorId="1" shapeId="0" xr:uid="{3E04181B-5099-4964-AC3C-7B0059C1D9B7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L617" authorId="1" shapeId="0" xr:uid="{6718C266-40F9-476B-8034-7329BDCA85D4}">
      <text>
        <r>
          <rPr>
            <b/>
            <sz val="9"/>
            <color indexed="81"/>
            <rFont val="Tahoma"/>
            <family val="2"/>
          </rPr>
          <t>PESCA PARCIAL SE 
REALIZADA EN 2 DIAS</t>
        </r>
      </text>
    </comment>
    <comment ref="E630" authorId="0" shapeId="0" xr:uid="{1C164FD2-D069-400E-9272-7917721B6C1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30" authorId="0" shapeId="0" xr:uid="{B04FE005-705B-4455-9C4F-27A2A63858F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32" authorId="0" shapeId="0" xr:uid="{67E56811-B8D2-428F-95D0-90B5EADF9B4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32" authorId="0" shapeId="0" xr:uid="{50C940ED-140A-4EE6-92D7-59DCCE9AB5C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40" authorId="0" shapeId="0" xr:uid="{792D5843-F08F-4A9B-B76A-82A595B277C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40" authorId="0" shapeId="0" xr:uid="{03DAFF18-45E8-4300-A1C3-20E3FB49142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67" authorId="0" shapeId="0" xr:uid="{69CC5F97-F951-46FE-9DA0-DF9B1C793865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67" authorId="0" shapeId="0" xr:uid="{373947EC-1E64-4FB7-92EA-E58215B29A99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72" authorId="0" shapeId="0" xr:uid="{449C35C1-72CB-4154-8A9D-0F47D07D30A7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L672" authorId="0" shapeId="0" xr:uid="{4630478D-F321-494E-AAA8-E96D4B9197E3}">
      <text>
        <r>
          <rPr>
            <b/>
            <sz val="9"/>
            <color indexed="81"/>
            <rFont val="Tahoma"/>
            <family val="2"/>
          </rPr>
          <t>PESCA SUSPENDIDA POR MUDA</t>
        </r>
      </text>
    </comment>
    <comment ref="E673" authorId="0" shapeId="0" xr:uid="{13AD0A8B-EF64-4379-8395-7228E5084B2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73" authorId="0" shapeId="0" xr:uid="{598C09EC-C7BE-43CA-BC82-A60B302863E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77" authorId="0" shapeId="0" xr:uid="{160055DA-F783-43AB-886E-0E93D18D332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677" authorId="0" shapeId="0" xr:uid="{4BB94EAA-85E6-41C5-A17A-E77556EF1C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8" authorId="0" shapeId="0" xr:uid="{171A9C4D-7CC8-4553-B645-68EABBDF75D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689" authorId="0" shapeId="0" xr:uid="{3D5198D5-63FC-48EE-9B32-AF94C16DE3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07" authorId="0" shapeId="0" xr:uid="{4811C304-E73E-4753-AE28-E883396146AD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L707" authorId="0" shapeId="0" xr:uid="{310A2AB3-D4EA-4A55-9B03-6E230F847C1C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10" authorId="0" shapeId="0" xr:uid="{119EC5AA-07E5-46F1-A174-AD5167ADEF4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10" authorId="0" shapeId="0" xr:uid="{50731CD2-98AE-4F3C-A003-BF7F1301BD1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19" authorId="0" shapeId="0" xr:uid="{E614E532-3B79-40EB-A520-AB2D51EB25D4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6" authorId="0" shapeId="0" xr:uid="{7267DFF2-24FE-44ED-BB43-4D957482E7F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26" authorId="0" shapeId="0" xr:uid="{72C3A6F8-6CBD-44DF-9F31-28AED5352CC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27" authorId="0" shapeId="0" xr:uid="{B08755F3-2C7B-4360-B8B9-6C3551E0CB60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28" authorId="0" shapeId="0" xr:uid="{5E0E24D4-D57F-4BB7-97FA-C7F68D77287E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735" authorId="0" shapeId="0" xr:uid="{079F50CB-C83A-4B9C-BB49-EA489E9DBBC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5" authorId="0" shapeId="0" xr:uid="{EB97A03D-AA62-4012-B12C-F6C1E5F1033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7" authorId="0" shapeId="0" xr:uid="{BAE49134-EAD4-4A1A-84A8-67299DE83364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7" authorId="0" shapeId="0" xr:uid="{86231C7F-0672-4768-A4C9-CF15438EB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8" authorId="0" shapeId="0" xr:uid="{32C040D5-DCD9-4DD1-95F2-FCEB3C96B21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8" authorId="0" shapeId="0" xr:uid="{FC4A045E-DE7C-468F-B24F-E042682B85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39" authorId="0" shapeId="0" xr:uid="{6227EDD9-B21D-4B3A-A017-4D229F46084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39" authorId="0" shapeId="0" xr:uid="{437A4206-8ABA-4819-A8EC-FBD899E11A3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45" authorId="0" shapeId="0" xr:uid="{F17E794F-A31F-40AF-B8E0-AB1F59CA839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50" authorId="0" shapeId="0" xr:uid="{B3E1E610-130B-47CA-A40C-EFFA5AE7642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50" authorId="0" shapeId="0" xr:uid="{39EAA99E-02D8-4C64-97C5-AA2D4469998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52" authorId="0" shapeId="0" xr:uid="{190B7B95-21C8-411A-ACD5-45968E1ADB8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52" authorId="0" shapeId="0" xr:uid="{7215F01C-9642-4F4A-8155-C7E643056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68" authorId="0" shapeId="0" xr:uid="{542AFBBF-E334-4AE2-99F2-B257CA7F07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68" authorId="0" shapeId="0" xr:uid="{ECFB43BB-99BB-481C-9E1C-AD30B58F54E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74" authorId="0" shapeId="0" xr:uid="{1C1717D1-2852-4897-81D1-935BF7726A6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74" authorId="0" shapeId="0" xr:uid="{130D122E-9795-44B0-8769-E4D3D04B1E51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0" authorId="0" shapeId="0" xr:uid="{AB0851B4-FE38-4B02-B1FB-F7A325F824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0" authorId="0" shapeId="0" xr:uid="{772231A3-BB9C-4982-BB47-BC8830C1E0F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794" authorId="0" shapeId="0" xr:uid="{BCA721FA-2DD1-41C0-B9C7-68F7CC854ADD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794" authorId="0" shapeId="0" xr:uid="{F0C5FC6F-3783-4360-B5AD-8E1969C7D77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01" authorId="0" shapeId="0" xr:uid="{8D6315CA-6F26-457B-8E5A-E0D447BA7789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01" authorId="0" shapeId="0" xr:uid="{F909BBD9-9637-4372-A160-FF105F8A6E67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07" authorId="0" shapeId="0" xr:uid="{CB48E75A-B7D3-4FB7-91D3-81E8C94688D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07" authorId="0" shapeId="0" xr:uid="{942251C5-FD35-4468-9997-FBC5DBBF3F5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63" authorId="0" shapeId="0" xr:uid="{EF5CBAD2-AF70-4BF3-90A4-30F4302256E6}">
      <text>
        <r>
          <rPr>
            <b/>
            <sz val="9"/>
            <color indexed="81"/>
            <rFont val="Tahoma"/>
            <family val="2"/>
          </rPr>
          <t>PESCA PARCIAL</t>
        </r>
      </text>
    </comment>
    <comment ref="E864" authorId="0" shapeId="0" xr:uid="{4C427253-7DDC-4669-9F65-8F79FEAF4A45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64" authorId="0" shapeId="0" xr:uid="{72700DCB-FD0F-4AFF-91EC-3CBBD3D12888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2" authorId="0" shapeId="0" xr:uid="{0790D59F-9F71-4D0C-B7F5-F2C06528067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2" authorId="0" shapeId="0" xr:uid="{CB871500-52D8-4BDC-B127-EB6E6A9D4123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73" authorId="0" shapeId="0" xr:uid="{F0D64AC5-AFC7-425B-8476-55426EEE49D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73" authorId="0" shapeId="0" xr:uid="{7B37777D-64BD-4F36-B3C8-CD1C0D47E1ED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78" authorId="0" shapeId="0" xr:uid="{5DC5C731-C86C-402B-9D62-264206E6624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78" authorId="0" shapeId="0" xr:uid="{D298A155-1F58-4A1D-A50F-8057F73FBF6E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3" authorId="0" shapeId="0" xr:uid="{D02B8BA7-90A1-48A5-8E57-F28A212EBBCA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3" authorId="0" shapeId="0" xr:uid="{2FEBADB2-BD94-4C2F-B8BB-6E95F70BB15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5" authorId="0" shapeId="0" xr:uid="{9ED2D95D-4784-4516-9203-D994FA3F4CBB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5" authorId="0" shapeId="0" xr:uid="{47A054D0-57A8-4B54-898C-90C27EBB9EB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87" authorId="0" shapeId="0" xr:uid="{A5191865-F1F8-447E-A791-914884B4C4B3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887" authorId="0" shapeId="0" xr:uid="{B03C1D8F-CEF3-4653-BAC1-CE9A7CF390F1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888" authorId="0" shapeId="0" xr:uid="{84F85C04-7DA2-422F-BB91-6E054D725F0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88" authorId="0" shapeId="0" xr:uid="{E1D7C5D2-C94C-477C-A0BC-D15727740F6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896" authorId="0" shapeId="0" xr:uid="{FD21DDA1-1B9E-40C0-8ACA-B8D54CBAFB6F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896" authorId="0" shapeId="0" xr:uid="{A205DA51-6225-4ECA-8B91-BA7340EC9346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905" authorId="0" shapeId="0" xr:uid="{D91E2E96-A2C9-4FCC-BDB9-2F692D639A2C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05" authorId="0" shapeId="0" xr:uid="{B0469F91-3CBE-4DB4-871A-93CC27C1C9C7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918" authorId="0" shapeId="0" xr:uid="{CD2DD364-CF85-4D7B-B5F2-6FA06C6413DF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L918" authorId="0" shapeId="0" xr:uid="{C0E46091-29D4-4C78-B041-090450802519}">
      <text>
        <r>
          <rPr>
            <b/>
            <sz val="9"/>
            <color indexed="81"/>
            <rFont val="Tahoma"/>
            <family val="2"/>
          </rPr>
          <t>REPAÑA</t>
        </r>
      </text>
    </comment>
    <comment ref="E1005" authorId="0" shapeId="0" xr:uid="{64E32F9E-B30C-4F45-B339-CEAC08D79270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05" authorId="0" shapeId="0" xr:uid="{E7373D63-E9EC-4E5E-B24F-08EDFAA8448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1" authorId="0" shapeId="0" xr:uid="{46F40D74-40DA-490B-8B1C-D5BF722FE7E2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L1031" authorId="0" shapeId="0" xr:uid="{253A999A-0FD8-41AA-9179-7D96747C0A0C}">
      <text>
        <r>
          <rPr>
            <b/>
            <sz val="9"/>
            <color indexed="81"/>
            <rFont val="Tahoma"/>
            <family val="2"/>
          </rPr>
          <t>CON REPAÑA</t>
        </r>
      </text>
    </comment>
    <comment ref="E1039" authorId="0" shapeId="0" xr:uid="{BFE09335-793A-4B85-8DDD-E7F215255B62}">
      <text>
        <r>
          <rPr>
            <b/>
            <sz val="9"/>
            <color indexed="81"/>
            <rFont val="Tahoma"/>
            <family val="2"/>
          </rPr>
          <t xml:space="preserve">PISCINA LIQUIDADA </t>
        </r>
      </text>
    </comment>
    <comment ref="E1054" authorId="0" shapeId="0" xr:uid="{C3D1A0A3-5D47-48CE-8E49-592A438EB887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D1081" authorId="0" shapeId="0" xr:uid="{98E94B1D-E1AD-424A-95D6-D1B9454D644E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E1082" authorId="0" shapeId="0" xr:uid="{9C20FE7F-58C6-4493-8825-DF359AB7E22C}">
      <text>
        <r>
          <rPr>
            <b/>
            <sz val="9"/>
            <color indexed="81"/>
            <rFont val="Tahoma"/>
            <family val="2"/>
          </rPr>
          <t xml:space="preserve">PESCA SUSPENDIDA POR MUDA
</t>
        </r>
      </text>
    </comment>
    <comment ref="E1090" authorId="0" shapeId="0" xr:uid="{30755C8F-2F8E-44A0-B7EE-A62A827F8B33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L1090" authorId="0" shapeId="0" xr:uid="{FBC965AD-3488-45BA-9318-6E51EE3EBEF8}">
      <text>
        <r>
          <rPr>
            <b/>
            <sz val="9"/>
            <color indexed="81"/>
            <rFont val="Tahoma"/>
            <family val="2"/>
          </rPr>
          <t xml:space="preserve">con repaña
</t>
        </r>
      </text>
    </comment>
    <comment ref="E1092" authorId="0" shapeId="0" xr:uid="{577E2877-9C21-43E4-97A1-54459C783349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POR TEXTURA
</t>
        </r>
      </text>
    </comment>
    <comment ref="E1105" authorId="0" shapeId="0" xr:uid="{DD2E842D-7C34-4F9D-A298-38D8A08F459B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05" authorId="0" shapeId="0" xr:uid="{D0611D3E-E490-4184-84E0-3548895E4168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E1109" authorId="0" shapeId="0" xr:uid="{A082879E-01B4-401F-BFE9-2DA381C04A25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L1109" authorId="0" shapeId="0" xr:uid="{23069A84-FDE2-4141-9D63-A3E4F8CCABD6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E1131" authorId="2" shapeId="0" xr:uid="{5174BE6B-F00A-4180-A94F-058B984EA0B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SE SUSPENDE POR MUDA, SE CAMBIA A RALEO</t>
        </r>
      </text>
    </comment>
    <comment ref="F1131" authorId="0" shapeId="0" xr:uid="{72DF280A-C5AE-4F6B-A550-9CFE0560123A}">
      <text>
        <r>
          <rPr>
            <b/>
            <sz val="9"/>
            <color indexed="81"/>
            <rFont val="Tahoma"/>
            <family val="2"/>
          </rPr>
          <t xml:space="preserve">se suspende pesca por muda
</t>
        </r>
      </text>
    </comment>
    <comment ref="D1133" authorId="0" shapeId="0" xr:uid="{2FA29742-0F53-4E83-BE24-BF66D06B085A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D1138" authorId="0" shapeId="0" xr:uid="{BB602367-F504-4619-A952-4187A5E56943}">
      <text>
        <r>
          <rPr>
            <b/>
            <sz val="9"/>
            <color indexed="81"/>
            <rFont val="Tahoma"/>
            <family val="2"/>
          </rPr>
          <t>REPAÑA, PISCINA LIQUIDADA EN EL DIA 2000 LBS</t>
        </r>
      </text>
    </comment>
    <comment ref="D1140" authorId="0" shapeId="0" xr:uid="{B29DE82B-F199-4C03-8600-9628FA0766A7}">
      <text>
        <r>
          <rPr>
            <b/>
            <sz val="9"/>
            <color indexed="81"/>
            <rFont val="Tahoma"/>
            <family val="2"/>
          </rPr>
          <t>REPAÑA PISCINA LIQUIDADA 13/02/2026 500LBS</t>
        </r>
      </text>
    </comment>
    <comment ref="D1144" authorId="0" shapeId="0" xr:uid="{CBF62689-F82F-4CA8-AE57-94A0237BEBED}">
      <text>
        <r>
          <rPr>
            <b/>
            <sz val="9"/>
            <color indexed="81"/>
            <rFont val="Tahoma"/>
            <family val="2"/>
          </rPr>
          <t>PESCA VIVA+ PESCA CONVENCIONAL</t>
        </r>
      </text>
    </comment>
    <comment ref="E1149" authorId="0" shapeId="0" xr:uid="{36979740-9DF0-4D1E-B70C-900F21920914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L1149" authorId="0" shapeId="0" xr:uid="{EDAE4E94-C634-4489-BF8C-BD2849A76080}">
      <text>
        <r>
          <rPr>
            <b/>
            <sz val="9"/>
            <color indexed="81"/>
            <rFont val="Tahoma"/>
            <family val="2"/>
          </rPr>
          <t>se suspende raleo por muda</t>
        </r>
      </text>
    </comment>
    <comment ref="D1153" authorId="0" shapeId="0" xr:uid="{A990A5C3-22F6-447B-ADE2-CB53FAF0D57F}">
      <text>
        <r>
          <rPr>
            <b/>
            <sz val="9"/>
            <color indexed="81"/>
            <rFont val="Tahoma"/>
            <family val="2"/>
          </rPr>
          <t xml:space="preserve">PESCA VIVA
</t>
        </r>
      </text>
    </comment>
    <comment ref="D1164" authorId="0" shapeId="0" xr:uid="{14950289-3FD6-45EE-B30F-A335C101B431}">
      <text>
        <r>
          <rPr>
            <b/>
            <sz val="9"/>
            <color indexed="81"/>
            <rFont val="Tahoma"/>
            <family val="2"/>
          </rPr>
          <t>PESCA VIVA</t>
        </r>
      </text>
    </comment>
    <comment ref="D1179" authorId="0" shapeId="0" xr:uid="{B927C96A-9A11-4C75-9F52-2987A842ACDF}">
      <text>
        <r>
          <rPr>
            <b/>
            <sz val="9"/>
            <color indexed="81"/>
            <rFont val="Tahoma"/>
            <family val="2"/>
          </rPr>
          <t xml:space="preserve">PLTAFORMAS SE LADEARON Y RALEO 6PM
7PM TERMINARON
</t>
        </r>
      </text>
    </comment>
    <comment ref="E1184" authorId="0" shapeId="0" xr:uid="{60DBE02A-EE5E-4C48-B2FB-331EEAE0627D}">
      <text>
        <r>
          <rPr>
            <b/>
            <sz val="9"/>
            <color indexed="81"/>
            <rFont val="Tahoma"/>
            <family val="2"/>
          </rPr>
          <t xml:space="preserve">REPAÑA 900LBS OISCINA LIQUIDADA EN LA TARDE
</t>
        </r>
      </text>
    </comment>
    <comment ref="D1188" authorId="0" shapeId="0" xr:uid="{C13DFFCE-2AAE-4678-A108-3AAA106C7820}">
      <text>
        <r>
          <rPr>
            <b/>
            <sz val="9"/>
            <color indexed="81"/>
            <rFont val="Tahoma"/>
            <family val="2"/>
          </rPr>
          <t>PESCA PENDIENTE POR TERMINAR</t>
        </r>
      </text>
    </comment>
    <comment ref="E1207" authorId="0" shapeId="0" xr:uid="{EA9F3D08-FF48-4931-9936-89125309D582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ES UNA PESCA SUSPENDIDA X MUDA CAMBIA A RALEO</t>
        </r>
      </text>
    </comment>
    <comment ref="L1207" authorId="0" shapeId="0" xr:uid="{FB66A816-6041-4D7E-8A39-BDDE2FBB69CE}">
      <text>
        <r>
          <rPr>
            <b/>
            <sz val="9"/>
            <color indexed="81"/>
            <rFont val="Tahoma"/>
            <family val="2"/>
          </rPr>
          <t>Luis Franco - Analista de Cuentas por Pagar:</t>
        </r>
        <r>
          <rPr>
            <sz val="9"/>
            <color indexed="81"/>
            <rFont val="Tahoma"/>
            <family val="2"/>
          </rPr>
          <t xml:space="preserve">
SUSPENDIDA X MUDA</t>
        </r>
      </text>
    </comment>
    <comment ref="D1229" authorId="2" shapeId="0" xr:uid="{C2E71678-ECC7-438D-85D8-ECE221848A2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265" authorId="2" shapeId="0" xr:uid="{80ACCA91-5E15-4D33-A2E0-97FE3A5D7CD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
</t>
        </r>
      </text>
    </comment>
    <comment ref="E1290" authorId="3" shapeId="0" xr:uid="{2E3D7748-62BA-4F4F-BF98-7D6B8FBD149B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302" authorId="3" shapeId="0" xr:uid="{2A75D938-C2E6-4F5F-BF62-1270134EA5B7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2 REPAÑAS
 </t>
        </r>
      </text>
    </comment>
    <comment ref="L1302" authorId="3" shapeId="0" xr:uid="{0A580A15-21E8-4958-B401-93243DF1F441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08" authorId="3" shapeId="0" xr:uid="{DD225FD2-992E-456A-B75C-95AB77FC6FA5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08" authorId="3" shapeId="0" xr:uid="{14A81318-DC8C-4308-B00D-97B9773A000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12" authorId="3" shapeId="0" xr:uid="{DDE00378-0FB1-4A28-8E4B-61A5026F148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L1312" authorId="3" shapeId="0" xr:uid="{0F495805-DED0-47EC-82FC-2F2FC5A32038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E1320" authorId="2" shapeId="0" xr:uid="{A41E1F54-9EDA-4044-B5E5-CA5593FA8B9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337" authorId="2" shapeId="0" xr:uid="{2589699A-A0D3-4A4B-8F9F-ED7283019D5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CON REPAÑA 3600 LB 16/03/2026
</t>
        </r>
      </text>
    </comment>
    <comment ref="D1350" authorId="2" shapeId="0" xr:uid="{6229D09D-68DA-448B-BBBD-D56EF8AE0E73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+ repaña sacad el mismo dia en la tarde
</t>
        </r>
      </text>
    </comment>
    <comment ref="E1353" authorId="2" shapeId="0" xr:uid="{064DFF67-0CB2-48B1-8A86-E0671638CFB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 5000 16/03/2026
</t>
        </r>
      </text>
    </comment>
    <comment ref="D1365" authorId="2" shapeId="0" xr:uid="{CC95F37D-8B44-4723-B155-867BC6B23D9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convencional + REPAÑA
</t>
        </r>
      </text>
    </comment>
    <comment ref="D1381" authorId="2" shapeId="0" xr:uid="{DB4BCCD6-FBC7-44C8-8EBA-881444E4AAE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</t>
        </r>
      </text>
    </comment>
    <comment ref="D1427" authorId="2" shapeId="0" xr:uid="{BCEF279E-2B47-42EF-AD68-5DF351BD998D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no termina por marea</t>
        </r>
      </text>
    </comment>
    <comment ref="E1427" authorId="3" shapeId="0" xr:uid="{ADCE18D4-4DE2-4881-B7A0-97B2D1FDAD90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L1427" authorId="3" shapeId="0" xr:uid="{CEC440F7-23AE-45DF-A8B8-31E07B35633A}">
      <text>
        <r>
          <rPr>
            <b/>
            <sz val="9"/>
            <color indexed="81"/>
            <rFont val="Tahoma"/>
            <family val="2"/>
          </rPr>
          <t>Pedro Alava - Asistente Administrativo:</t>
        </r>
        <r>
          <rPr>
            <sz val="9"/>
            <color indexed="81"/>
            <rFont val="Tahoma"/>
            <family val="2"/>
          </rPr>
          <t xml:space="preserve">
PESCA + REPAÑA</t>
        </r>
      </text>
    </comment>
    <comment ref="D1431" authorId="2" shapeId="0" xr:uid="{C155E33A-32EF-455B-97B5-8BD00793D5B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PENDIENTE REPAÑA</t>
        </r>
      </text>
    </comment>
    <comment ref="E1440" authorId="2" shapeId="0" xr:uid="{34BBED2D-7C98-45BB-8ACF-10EECCEB663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MAS REPAÑA</t>
        </r>
      </text>
    </comment>
    <comment ref="E1452" authorId="2" shapeId="0" xr:uid="{49186D74-C290-4400-910B-7A0C5FBDD5A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</t>
        </r>
      </text>
    </comment>
    <comment ref="E1470" authorId="2" shapeId="0" xr:uid="{363881B2-B5EC-4271-A9AB-CE175ED4D3B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L1470" authorId="2" shapeId="0" xr:uid="{ABD2111B-F89A-4949-9A1A-E76A413C6DF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SUSPENDIO POR MUDA</t>
        </r>
      </text>
    </comment>
    <comment ref="D1473" authorId="2" shapeId="0" xr:uid="{C4B04DC1-BC7D-44A4-A160-C51BF760343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C1475" authorId="2" shapeId="0" xr:uid="{6879132D-6159-4F29-975E-B3D9B858E9E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475" authorId="2" shapeId="0" xr:uid="{4665C2A5-212D-4C0D-BD80-20D846D341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+ PESCA MUERTA 1 BIN</t>
        </r>
      </text>
    </comment>
    <comment ref="D1481" authorId="2" shapeId="0" xr:uid="{B61C8484-624D-4416-9826-6D347C51BA0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PESCA POR MUDA</t>
        </r>
      </text>
    </comment>
    <comment ref="D1490" authorId="2" shapeId="0" xr:uid="{AEAC251A-9A9F-4DE9-A8D8-713FF2961E35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491" authorId="2" shapeId="0" xr:uid="{D866B3D8-3D83-46E3-AC2A-D478DA43765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PENDIENTE</t>
        </r>
      </text>
    </comment>
    <comment ref="D1494" authorId="2" shapeId="0" xr:uid="{96DA53B3-5D55-47E2-9163-A4C011DB328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511" authorId="2" shapeId="0" xr:uid="{B45B79EE-0624-4016-8285-994CC96B39D8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CON REPAÑA </t>
        </r>
      </text>
    </comment>
    <comment ref="D1562" authorId="2" shapeId="0" xr:uid="{303A35D8-145E-4B44-AF17-DCF213274687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 Y CINVENCIONAL
</t>
        </r>
      </text>
    </comment>
    <comment ref="D1572" authorId="2" shapeId="0" xr:uid="{74CF9298-F587-4247-9315-93CC1EF6894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mas repaña</t>
        </r>
      </text>
    </comment>
    <comment ref="D1602" authorId="2" shapeId="0" xr:uid="{6A340C89-4603-4680-A7BB-32F280DCABF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
</t>
        </r>
      </text>
    </comment>
    <comment ref="D1613" authorId="2" shapeId="0" xr:uid="{54150BA7-EE9B-4121-A170-EDB2DE4BD25F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640" authorId="4" shapeId="0" xr:uid="{32DE3C71-A70A-4602-BB4E-97D13CD2367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L1640" authorId="5" shapeId="0" xr:uid="{21720087-D16E-49A7-97B5-164D6AF56A4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 REPAÑA</t>
        </r>
      </text>
    </comment>
    <comment ref="E1642" authorId="6" shapeId="0" xr:uid="{343762F3-796E-44DD-92FF-B9D897BE315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L1642" authorId="7" shapeId="0" xr:uid="{9BCF1C2C-9A55-4560-8F80-DAEF410A2751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+ REPAÑA</t>
        </r>
      </text>
    </comment>
    <comment ref="E1649" authorId="8" shapeId="0" xr:uid="{E0CD845D-208E-4FA0-80E3-8489A8B0E24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L1649" authorId="9" shapeId="0" xr:uid="{C5AF810F-6480-4C12-9609-ED66F74C27F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D1656" authorId="2" shapeId="0" xr:uid="{35574A18-E63A-445B-BB84-4120701523DE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ERA PESCA Y SE SUSPENDIO POR MUDA</t>
        </r>
      </text>
    </comment>
    <comment ref="E1656" authorId="10" shapeId="0" xr:uid="{5E918534-8926-427F-A367-DF0091784FD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SUSPENDIDA POR MUDA</t>
        </r>
      </text>
    </comment>
    <comment ref="E1671" authorId="11" shapeId="0" xr:uid="{6483E2EE-1346-4953-9576-54D8CC40D0E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CAMARON VIVO</t>
        </r>
      </text>
    </comment>
    <comment ref="E1673" authorId="12" shapeId="0" xr:uid="{465633AA-9678-4541-8442-4C0EFDD3367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SUSPENDIDA POR MUDA</t>
        </r>
      </text>
    </comment>
    <comment ref="D1675" authorId="2" shapeId="0" xr:uid="{49562696-B23C-4344-8375-58523C7AC81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repaña 23/04/2026
</t>
        </r>
      </text>
    </comment>
    <comment ref="D1683" authorId="2" shapeId="0" xr:uid="{D2A87665-238C-49F2-8550-EF0B0A9E227B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D1685" authorId="2" shapeId="0" xr:uid="{304CDD87-DCD6-433E-93B5-74DEC05B19D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SUSPENDE POR MUDA
</t>
        </r>
      </text>
    </comment>
    <comment ref="D1699" authorId="2" shapeId="0" xr:uid="{22BEAC73-7975-4090-8363-7CA72EB8A0B1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CON REPAÑA</t>
        </r>
      </text>
    </comment>
    <comment ref="D1703" authorId="2" shapeId="0" xr:uid="{95E7C2C6-2170-4127-A55A-402C89B2DFCA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PESCA VIVA</t>
        </r>
      </text>
    </comment>
    <comment ref="E1714" authorId="2" shapeId="0" xr:uid="{AC66B1FC-C3A6-4D1F-A359-E04517ED83CC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SE PESCO EL 26/04 Y SE PARO POR MUDA Y SE LIQUIDA CON REPAÑA EL 28</t>
        </r>
      </text>
    </comment>
    <comment ref="E1726" authorId="2" shapeId="0" xr:uid="{66175058-9151-49DB-9BD8-D7D1F1525884}">
      <text>
        <r>
          <rPr>
            <b/>
            <sz val="9"/>
            <color indexed="81"/>
            <rFont val="Tahoma"/>
            <family val="2"/>
          </rPr>
          <t>kmendezg:</t>
        </r>
        <r>
          <rPr>
            <sz val="9"/>
            <color indexed="81"/>
            <rFont val="Tahoma"/>
            <family val="2"/>
          </rPr>
          <t xml:space="preserve">
SUSPENDIDA POR MUDA</t>
        </r>
      </text>
    </comment>
    <comment ref="E1747" authorId="13" shapeId="0" xr:uid="{44BB1327-5B4B-4EF0-BF34-DDD62DFBF6DA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L1747" authorId="14" shapeId="0" xr:uid="{9D182A58-6B84-4455-96AB-960D2CAD3016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E1757" authorId="15" shapeId="0" xr:uid="{FDAF2131-66ED-4E29-98F7-6A20021C3C3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RALEO SUSPENDIDO POR MUDA</t>
        </r>
      </text>
    </comment>
    <comment ref="E1759" authorId="16" shapeId="0" xr:uid="{5C3063F3-3CF5-4585-8D58-826564A5D293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POR PESCAR REPAÑA</t>
        </r>
      </text>
    </comment>
    <comment ref="E1760" authorId="17" shapeId="0" xr:uid="{5779BB76-77E9-4653-B3B4-B7FD144436F5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LIQUIDACIÓN DE LA PISCINA
</t>
        </r>
      </text>
    </comment>
    <comment ref="E1794" authorId="18" shapeId="0" xr:uid="{CBE9A9AC-73F7-4392-BEED-52535CECC9B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POR LIQUIDAR</t>
        </r>
      </text>
    </comment>
    <comment ref="E1812" authorId="2" shapeId="0" xr:uid="{A1CBEE63-D4A9-4C88-AC6D-254456EAC89D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PENDIENTE REPAÑA
</t>
        </r>
      </text>
    </comment>
    <comment ref="E1842" authorId="2" shapeId="0" xr:uid="{DFCC9B2D-0EFF-4030-A864-62B1FC41E389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SUSPENDIDA POR MUDA
</t>
        </r>
      </text>
    </comment>
    <comment ref="E1863" authorId="19" shapeId="0" xr:uid="{D7296EA3-FA4B-4989-93CD-D304042C98E1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PESCA SUSPENDIDA POR MUDA
</t>
        </r>
      </text>
    </comment>
    <comment ref="E1870" authorId="20" shapeId="0" xr:uid="{746FA9C2-ADD7-4C58-8F68-AA51AE986C15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SUSPENDIDO POR BAJA ACTIVIDAD
</t>
        </r>
      </text>
    </comment>
    <comment ref="L1870" authorId="21" shapeId="0" xr:uid="{97FE88C3-A365-4522-BF6E-2BDBE3FE65A6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SUSPENDIDO POR BAJA ACTIVIDAD
</t>
        </r>
      </text>
    </comment>
    <comment ref="E1871" authorId="22" shapeId="0" xr:uid="{F95EA5FA-EF28-4F27-B790-D45DEA50AFEA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</t>
        </r>
      </text>
    </comment>
    <comment ref="L1871" authorId="23" shapeId="0" xr:uid="{B1D9C60E-F54D-4D43-925C-E9507183DAB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PESCA VIVA + PESCA CONVENCIONAL</t>
        </r>
      </text>
    </comment>
    <comment ref="E1875" authorId="24" shapeId="0" xr:uid="{5230B838-1B2B-4277-B8C9-F6EC1D72A2B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SUSPENDIDO POR MUDA</t>
        </r>
      </text>
    </comment>
    <comment ref="L1875" authorId="25" shapeId="0" xr:uid="{4C5990C4-02E5-41FD-8268-3E6DA899C59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SUSPENDIDO POR MUDA</t>
        </r>
      </text>
    </comment>
    <comment ref="D1912" authorId="2" shapeId="0" xr:uid="{398A82EF-4286-452B-AC5B-CF210CADE6E9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pesca viva</t>
        </r>
      </text>
    </comment>
    <comment ref="D1918" authorId="2" shapeId="0" xr:uid="{03C28D24-D36B-418F-B57D-BB330B884F03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PESCA VIVA + PESCA CONVENCIONAL
</t>
        </r>
      </text>
    </comment>
    <comment ref="D1932" authorId="2" shapeId="0" xr:uid="{ECB1A676-51F3-4673-A4B9-8619A9451CBF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REPAÑA PENDIENTE</t>
        </r>
      </text>
    </comment>
    <comment ref="D1941" authorId="2" shapeId="0" xr:uid="{2EA13826-C4E6-4F90-9E99-35A8538D80B0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RALEO VIVO</t>
        </r>
      </text>
    </comment>
    <comment ref="D1951" authorId="2" shapeId="0" xr:uid="{06F5F73A-6965-4FF5-A142-B34DEE3F5E33}">
      <text>
        <r>
          <rPr>
            <b/>
            <sz val="9"/>
            <color indexed="81"/>
            <rFont val="Tahoma"/>
            <charset val="1"/>
          </rPr>
          <t>kmendezg:</t>
        </r>
        <r>
          <rPr>
            <sz val="9"/>
            <color indexed="81"/>
            <rFont val="Tahoma"/>
            <charset val="1"/>
          </rPr>
          <t xml:space="preserve">
PESCA VIVA</t>
        </r>
      </text>
    </comment>
  </commentList>
</comments>
</file>

<file path=xl/sharedStrings.xml><?xml version="1.0" encoding="utf-8"?>
<sst xmlns="http://schemas.openxmlformats.org/spreadsheetml/2006/main" count="10331" uniqueCount="1182">
  <si>
    <t>Certificación</t>
  </si>
  <si>
    <t>ASC</t>
  </si>
  <si>
    <t>CODIGO</t>
  </si>
  <si>
    <t>Promedio de DENSIDAD</t>
  </si>
  <si>
    <t>Promedio de DIAS</t>
  </si>
  <si>
    <t>Promedio de SOBREVIVENCIA</t>
  </si>
  <si>
    <t>Promedio de GRAMOS PLANTA</t>
  </si>
  <si>
    <t>CH 01</t>
  </si>
  <si>
    <t>CH 02</t>
  </si>
  <si>
    <t>CH 03</t>
  </si>
  <si>
    <t>CH 04</t>
  </si>
  <si>
    <t>CH 05</t>
  </si>
  <si>
    <t>CH 06</t>
  </si>
  <si>
    <t>CH 07</t>
  </si>
  <si>
    <t>CH 08</t>
  </si>
  <si>
    <t>CH 09</t>
  </si>
  <si>
    <t>CH 10</t>
  </si>
  <si>
    <t>CH 11</t>
  </si>
  <si>
    <t>CH 12</t>
  </si>
  <si>
    <t>CH 13</t>
  </si>
  <si>
    <t>CH 14</t>
  </si>
  <si>
    <t>CH 15</t>
  </si>
  <si>
    <t>CH 16</t>
  </si>
  <si>
    <t>CH 18</t>
  </si>
  <si>
    <t>CH 20</t>
  </si>
  <si>
    <t>CH 21</t>
  </si>
  <si>
    <t>CH 23</t>
  </si>
  <si>
    <t>CH 24</t>
  </si>
  <si>
    <t>CH 22</t>
  </si>
  <si>
    <t>CH 25</t>
  </si>
  <si>
    <t>CH 19</t>
  </si>
  <si>
    <t>Total general</t>
  </si>
  <si>
    <t>SECTOR</t>
  </si>
  <si>
    <t>Promedio de LBS/HA</t>
  </si>
  <si>
    <t>Promedio de FCA</t>
  </si>
  <si>
    <t>BARRACUDA</t>
  </si>
  <si>
    <t>CATANUDA</t>
  </si>
  <si>
    <t>CHERNA</t>
  </si>
  <si>
    <t>DELFIN</t>
  </si>
  <si>
    <t>DORADO</t>
  </si>
  <si>
    <t>GUATO</t>
  </si>
  <si>
    <t>MANTARRAYA</t>
  </si>
  <si>
    <t>MERO</t>
  </si>
  <si>
    <t>PAMPANO</t>
  </si>
  <si>
    <t>PARGO ROJO</t>
  </si>
  <si>
    <t>ROBALO</t>
  </si>
  <si>
    <t>TAMBULERO</t>
  </si>
  <si>
    <t>TIBURON</t>
  </si>
  <si>
    <t>TUNA</t>
  </si>
  <si>
    <t>WAHOO</t>
  </si>
  <si>
    <t>W</t>
  </si>
  <si>
    <t>INFORMACIÓN DE LA PISCINA</t>
  </si>
  <si>
    <t>SECCIÓN RALEOS</t>
  </si>
  <si>
    <t>SECCIÓN LIQUIDACIÓN</t>
  </si>
  <si>
    <t>RESULTADOS</t>
  </si>
  <si>
    <t>DIFERENCIAS</t>
  </si>
  <si>
    <t>FECHA</t>
  </si>
  <si>
    <t>ID</t>
  </si>
  <si>
    <t>AÑO</t>
  </si>
  <si>
    <t xml:space="preserve">AGUAJE </t>
  </si>
  <si>
    <t>MES</t>
  </si>
  <si>
    <t>PISCINA</t>
  </si>
  <si>
    <t>HAS</t>
  </si>
  <si>
    <t>DIAS</t>
  </si>
  <si>
    <t>FECHA DE SIEMBRA</t>
  </si>
  <si>
    <t>PRE</t>
  </si>
  <si>
    <t>PESO DE SIEMBRA</t>
  </si>
  <si>
    <t>DIAS SECOS</t>
  </si>
  <si>
    <t>ANIM SEMBRADOS</t>
  </si>
  <si>
    <t>DENSIDAD</t>
  </si>
  <si>
    <t>DENSIDAD M2</t>
  </si>
  <si>
    <t>LABORATORIO</t>
  </si>
  <si>
    <t>NAUPLIO</t>
  </si>
  <si>
    <t>TIPO DE SIEMBRA</t>
  </si>
  <si>
    <t>LIBRAS RALEO CAMARONERA</t>
  </si>
  <si>
    <t>LIBRAS RALEO PLANTA</t>
  </si>
  <si>
    <t>GRAMAJE RALEO CAMARONERA</t>
  </si>
  <si>
    <t>GRAMAJE RALEO PLANTA</t>
  </si>
  <si>
    <t>LBS/HA RALEO</t>
  </si>
  <si>
    <t>CAM COSECHADOS RALEO</t>
  </si>
  <si>
    <t>LIBRAS CAMARONERA</t>
  </si>
  <si>
    <t>LIBRAS PLANTA</t>
  </si>
  <si>
    <t>GRAMAJE CAMARONERA</t>
  </si>
  <si>
    <t>GRAMOS PLANTA</t>
  </si>
  <si>
    <t>LBS/HA COSECHA</t>
  </si>
  <si>
    <t>CAM COSECHADOS</t>
  </si>
  <si>
    <t>LIBRAS TOTALES</t>
  </si>
  <si>
    <t>CAM COSECHADOS TOTALES</t>
  </si>
  <si>
    <t>LBS/HA</t>
  </si>
  <si>
    <t>INCREM</t>
  </si>
  <si>
    <t>LBS/HA/DIA</t>
  </si>
  <si>
    <t>SOBREVIVENCIA</t>
  </si>
  <si>
    <t>BALANCEADO ACUMULADO (LBS)</t>
  </si>
  <si>
    <t>KG/HA</t>
  </si>
  <si>
    <t>FCA</t>
  </si>
  <si>
    <t>PROVEEDOR BALANCEADO</t>
  </si>
  <si>
    <t>MODO ALIMENTACION</t>
  </si>
  <si>
    <t>DIF RALEO</t>
  </si>
  <si>
    <t>DIF LIQUID</t>
  </si>
  <si>
    <t>DIF RALEO GR</t>
  </si>
  <si>
    <t>DIF LIQUID GR</t>
  </si>
  <si>
    <t>JEFE DE SECTOR</t>
  </si>
  <si>
    <t>JEFE SECTOR</t>
  </si>
  <si>
    <t>AGUAJE 1</t>
  </si>
  <si>
    <t>SK</t>
  </si>
  <si>
    <t>AUTOMATICA</t>
  </si>
  <si>
    <t>PR 28</t>
  </si>
  <si>
    <t>PR 14</t>
  </si>
  <si>
    <t>NC</t>
  </si>
  <si>
    <t>TI 19</t>
  </si>
  <si>
    <t>CA 17</t>
  </si>
  <si>
    <t>PR 16</t>
  </si>
  <si>
    <t>TI 17</t>
  </si>
  <si>
    <t>PR 03</t>
  </si>
  <si>
    <t>CA 18</t>
  </si>
  <si>
    <t>DE 19</t>
  </si>
  <si>
    <t>NUEVO</t>
  </si>
  <si>
    <t>PR 05</t>
  </si>
  <si>
    <t>TI 06</t>
  </si>
  <si>
    <t>ME 13</t>
  </si>
  <si>
    <t>ME 19</t>
  </si>
  <si>
    <t>PR 15</t>
  </si>
  <si>
    <t>TI 07</t>
  </si>
  <si>
    <t>BOLEO</t>
  </si>
  <si>
    <t>WA 14</t>
  </si>
  <si>
    <t>DE 15</t>
  </si>
  <si>
    <t>DO 06</t>
  </si>
  <si>
    <t>DO 07</t>
  </si>
  <si>
    <t>PA 14</t>
  </si>
  <si>
    <t>RO 11</t>
  </si>
  <si>
    <t>DE 27</t>
  </si>
  <si>
    <t>RO 13</t>
  </si>
  <si>
    <t>DO 28</t>
  </si>
  <si>
    <t>CG</t>
  </si>
  <si>
    <t>GT 21</t>
  </si>
  <si>
    <t>RO 12</t>
  </si>
  <si>
    <t>CA 10</t>
  </si>
  <si>
    <t>DO 20</t>
  </si>
  <si>
    <t>GT 04</t>
  </si>
  <si>
    <t>PR 17</t>
  </si>
  <si>
    <t>GT 18</t>
  </si>
  <si>
    <t>PR 21</t>
  </si>
  <si>
    <t>PR 22</t>
  </si>
  <si>
    <t>TA 08</t>
  </si>
  <si>
    <t>DO 09</t>
  </si>
  <si>
    <t>GT 15</t>
  </si>
  <si>
    <t>PR 29</t>
  </si>
  <si>
    <t>DO 08</t>
  </si>
  <si>
    <t>GT 07</t>
  </si>
  <si>
    <t>PR 31</t>
  </si>
  <si>
    <t>RO 07</t>
  </si>
  <si>
    <t>AGUAJE 2</t>
  </si>
  <si>
    <t>DO 30</t>
  </si>
  <si>
    <t>GT 05</t>
  </si>
  <si>
    <t>PR 02</t>
  </si>
  <si>
    <t>PR 24</t>
  </si>
  <si>
    <t>TI 11</t>
  </si>
  <si>
    <t>WA 04</t>
  </si>
  <si>
    <t>WA PC 04</t>
  </si>
  <si>
    <t>DO 23</t>
  </si>
  <si>
    <t>TI 14</t>
  </si>
  <si>
    <t>PR 27</t>
  </si>
  <si>
    <t>TA 06</t>
  </si>
  <si>
    <t>WA 37</t>
  </si>
  <si>
    <t>PA 11</t>
  </si>
  <si>
    <t>PR 32</t>
  </si>
  <si>
    <t>TA 01</t>
  </si>
  <si>
    <t>PA 10</t>
  </si>
  <si>
    <t>TA 27</t>
  </si>
  <si>
    <t>DO 12</t>
  </si>
  <si>
    <t>PA 08</t>
  </si>
  <si>
    <t>TA 13</t>
  </si>
  <si>
    <t>TA 24</t>
  </si>
  <si>
    <t>TI 01</t>
  </si>
  <si>
    <t>DE 07</t>
  </si>
  <si>
    <t>PA 09</t>
  </si>
  <si>
    <t>TA 15</t>
  </si>
  <si>
    <t>DE 09</t>
  </si>
  <si>
    <t>PR 09</t>
  </si>
  <si>
    <t>TI 13</t>
  </si>
  <si>
    <t>TA 03</t>
  </si>
  <si>
    <t>TA 10</t>
  </si>
  <si>
    <t>DE 24</t>
  </si>
  <si>
    <t>DO 05</t>
  </si>
  <si>
    <t>DO 19</t>
  </si>
  <si>
    <t>TU 4A</t>
  </si>
  <si>
    <t>AGUAJE 3</t>
  </si>
  <si>
    <t>DE 22</t>
  </si>
  <si>
    <t>TI 03</t>
  </si>
  <si>
    <t>TU 03</t>
  </si>
  <si>
    <t>WA 25</t>
  </si>
  <si>
    <t>WA 26</t>
  </si>
  <si>
    <t>TU 02</t>
  </si>
  <si>
    <t>DE 21</t>
  </si>
  <si>
    <t>DE 20</t>
  </si>
  <si>
    <t>TU 01</t>
  </si>
  <si>
    <t>DE 03</t>
  </si>
  <si>
    <t>PA 05</t>
  </si>
  <si>
    <t>RO 14</t>
  </si>
  <si>
    <t>RO 08</t>
  </si>
  <si>
    <t>CA 03</t>
  </si>
  <si>
    <t>TA 11</t>
  </si>
  <si>
    <t>BA 04</t>
  </si>
  <si>
    <t>CA 04</t>
  </si>
  <si>
    <t>TA PC 17</t>
  </si>
  <si>
    <t>BA 03</t>
  </si>
  <si>
    <t>DO 27</t>
  </si>
  <si>
    <t>BA 02</t>
  </si>
  <si>
    <t>DO 04</t>
  </si>
  <si>
    <t>BA 05</t>
  </si>
  <si>
    <t>ME 09</t>
  </si>
  <si>
    <t>WA 13</t>
  </si>
  <si>
    <t>CA 09</t>
  </si>
  <si>
    <t>CA 07</t>
  </si>
  <si>
    <t>WA 30</t>
  </si>
  <si>
    <t>RO 03</t>
  </si>
  <si>
    <t>DO 21</t>
  </si>
  <si>
    <t>PR 06</t>
  </si>
  <si>
    <t>TU 06</t>
  </si>
  <si>
    <t>DO 11</t>
  </si>
  <si>
    <t>DO 13</t>
  </si>
  <si>
    <t>MA 11</t>
  </si>
  <si>
    <t>GT 17</t>
  </si>
  <si>
    <t>ME 17</t>
  </si>
  <si>
    <t>TI 02</t>
  </si>
  <si>
    <t>AGUAJE 4</t>
  </si>
  <si>
    <t>BA 01</t>
  </si>
  <si>
    <t>ME 03</t>
  </si>
  <si>
    <t>ME 14</t>
  </si>
  <si>
    <t>PR 11</t>
  </si>
  <si>
    <t>TA 26</t>
  </si>
  <si>
    <t>GT 16</t>
  </si>
  <si>
    <t>TI 09</t>
  </si>
  <si>
    <t>GT 14</t>
  </si>
  <si>
    <t>ME 15</t>
  </si>
  <si>
    <t>ME 18</t>
  </si>
  <si>
    <t>WA 32</t>
  </si>
  <si>
    <t>TI 08</t>
  </si>
  <si>
    <t>GT 06</t>
  </si>
  <si>
    <t>TA 7A</t>
  </si>
  <si>
    <t>GT 19</t>
  </si>
  <si>
    <t>BA 06</t>
  </si>
  <si>
    <t>DE 06</t>
  </si>
  <si>
    <t>GT 20</t>
  </si>
  <si>
    <t>PA 03</t>
  </si>
  <si>
    <t>CA 16</t>
  </si>
  <si>
    <t>MA 09</t>
  </si>
  <si>
    <t>PA 18</t>
  </si>
  <si>
    <t>TA 16</t>
  </si>
  <si>
    <t>DO 14</t>
  </si>
  <si>
    <t>DO 10</t>
  </si>
  <si>
    <t>PR 01</t>
  </si>
  <si>
    <t>DE 13</t>
  </si>
  <si>
    <t>DO 16</t>
  </si>
  <si>
    <t>DE 12</t>
  </si>
  <si>
    <t>RO 10</t>
  </si>
  <si>
    <t>AGUAJE 5</t>
  </si>
  <si>
    <t>WA 21</t>
  </si>
  <si>
    <t>TI 10</t>
  </si>
  <si>
    <t>PA 19</t>
  </si>
  <si>
    <t>DO 03</t>
  </si>
  <si>
    <t>PR 12</t>
  </si>
  <si>
    <t>ME 16</t>
  </si>
  <si>
    <t>PA 02</t>
  </si>
  <si>
    <t>RO 04</t>
  </si>
  <si>
    <t>DE 04</t>
  </si>
  <si>
    <t>ME 11</t>
  </si>
  <si>
    <t>DO 17</t>
  </si>
  <si>
    <t>MA 10</t>
  </si>
  <si>
    <t>DE 18</t>
  </si>
  <si>
    <t>DO 01</t>
  </si>
  <si>
    <t>MA 01</t>
  </si>
  <si>
    <t>PR 07</t>
  </si>
  <si>
    <t>DE 16</t>
  </si>
  <si>
    <t>ME 04</t>
  </si>
  <si>
    <t>PR 20</t>
  </si>
  <si>
    <t>DE 08</t>
  </si>
  <si>
    <t>CA 05</t>
  </si>
  <si>
    <t>ME 02</t>
  </si>
  <si>
    <t>PR 30</t>
  </si>
  <si>
    <t>GT 01</t>
  </si>
  <si>
    <t>ME 01</t>
  </si>
  <si>
    <t>ME 10</t>
  </si>
  <si>
    <t>DE 10</t>
  </si>
  <si>
    <t>PR 18</t>
  </si>
  <si>
    <t>RO 05</t>
  </si>
  <si>
    <t>DO 29</t>
  </si>
  <si>
    <t>PA 13</t>
  </si>
  <si>
    <t>PR 10</t>
  </si>
  <si>
    <t>TI 04</t>
  </si>
  <si>
    <t>ME 05</t>
  </si>
  <si>
    <t>AGUAJE 6</t>
  </si>
  <si>
    <t>ME 07</t>
  </si>
  <si>
    <t>TA 12</t>
  </si>
  <si>
    <t>RO 15</t>
  </si>
  <si>
    <t>CA 14</t>
  </si>
  <si>
    <t>DE 01</t>
  </si>
  <si>
    <t>DO 18</t>
  </si>
  <si>
    <t>PR 19</t>
  </si>
  <si>
    <t>PR 13</t>
  </si>
  <si>
    <t>TI 15</t>
  </si>
  <si>
    <t>DE 02</t>
  </si>
  <si>
    <t>DE 23</t>
  </si>
  <si>
    <t>TI 16</t>
  </si>
  <si>
    <t>PA 06</t>
  </si>
  <si>
    <t>TA 18</t>
  </si>
  <si>
    <t>PA 17</t>
  </si>
  <si>
    <t>DO 24</t>
  </si>
  <si>
    <t>DO 26</t>
  </si>
  <si>
    <t>DE 05</t>
  </si>
  <si>
    <t>GT 13</t>
  </si>
  <si>
    <t>WA 01</t>
  </si>
  <si>
    <t>GT 12</t>
  </si>
  <si>
    <t>TI 20</t>
  </si>
  <si>
    <t>GT 10</t>
  </si>
  <si>
    <t>TI 05</t>
  </si>
  <si>
    <t>CA 12</t>
  </si>
  <si>
    <t>CA 13</t>
  </si>
  <si>
    <t>GT 11</t>
  </si>
  <si>
    <t>AGUAJE 7</t>
  </si>
  <si>
    <t>CA 21</t>
  </si>
  <si>
    <t>GT 02</t>
  </si>
  <si>
    <t>TI 12</t>
  </si>
  <si>
    <t>DO 22</t>
  </si>
  <si>
    <t>WA 11</t>
  </si>
  <si>
    <t>PA 15</t>
  </si>
  <si>
    <t>GT 03</t>
  </si>
  <si>
    <t>GT 08</t>
  </si>
  <si>
    <t>WA 36</t>
  </si>
  <si>
    <t>GT 09</t>
  </si>
  <si>
    <t>WA 38</t>
  </si>
  <si>
    <t>DO 25</t>
  </si>
  <si>
    <t>PA 12</t>
  </si>
  <si>
    <t>WA 02</t>
  </si>
  <si>
    <t>AGUAJE 8</t>
  </si>
  <si>
    <t>WA 19</t>
  </si>
  <si>
    <t>WA 12</t>
  </si>
  <si>
    <t>WA 03</t>
  </si>
  <si>
    <t>WA 07</t>
  </si>
  <si>
    <t>WA 16</t>
  </si>
  <si>
    <t>WA 29</t>
  </si>
  <si>
    <t>WA 05</t>
  </si>
  <si>
    <t>WA 24</t>
  </si>
  <si>
    <t>WA 08</t>
  </si>
  <si>
    <t>WA 20</t>
  </si>
  <si>
    <t>WA 35</t>
  </si>
  <si>
    <t>AGUAJE 9</t>
  </si>
  <si>
    <t>AGUAJE 10</t>
  </si>
  <si>
    <t>WA 10</t>
  </si>
  <si>
    <t>WA 28</t>
  </si>
  <si>
    <t>DO 02</t>
  </si>
  <si>
    <t>WA 31</t>
  </si>
  <si>
    <t>WA 33</t>
  </si>
  <si>
    <t>SECTOR/PISCINA</t>
  </si>
  <si>
    <t>COD</t>
  </si>
  <si>
    <t>ACTIVIDAD</t>
  </si>
  <si>
    <t>libras</t>
  </si>
  <si>
    <t>w</t>
  </si>
  <si>
    <t>COSECHA</t>
  </si>
  <si>
    <t>ANIMALES</t>
  </si>
  <si>
    <t>libras planta</t>
  </si>
  <si>
    <t>W planta</t>
  </si>
  <si>
    <t>CERTIFICADO</t>
  </si>
  <si>
    <t>DIF LBRS</t>
  </si>
  <si>
    <t>DIF W</t>
  </si>
  <si>
    <t>BALANCEADO</t>
  </si>
  <si>
    <t>PESCA</t>
  </si>
  <si>
    <t>RALEO</t>
  </si>
  <si>
    <t>DE 26</t>
  </si>
  <si>
    <t>WA PC 10</t>
  </si>
  <si>
    <t>WA 27</t>
  </si>
  <si>
    <t>WA 17</t>
  </si>
  <si>
    <t>WA PC 15</t>
  </si>
  <si>
    <t>WA 22</t>
  </si>
  <si>
    <t>WA PC 03</t>
  </si>
  <si>
    <t>WA PC 14</t>
  </si>
  <si>
    <t>WA 06</t>
  </si>
  <si>
    <t>WA 34</t>
  </si>
  <si>
    <t>WA 15</t>
  </si>
  <si>
    <t>WA 18</t>
  </si>
  <si>
    <t>CH  04</t>
  </si>
  <si>
    <t>PI 06</t>
  </si>
  <si>
    <t>PI 05</t>
  </si>
  <si>
    <t>PI 02</t>
  </si>
  <si>
    <t>PI 01</t>
  </si>
  <si>
    <t>12</t>
  </si>
  <si>
    <t>08</t>
  </si>
  <si>
    <t>18</t>
  </si>
  <si>
    <t>10</t>
  </si>
  <si>
    <t>14</t>
  </si>
  <si>
    <t>01</t>
  </si>
  <si>
    <t>21</t>
  </si>
  <si>
    <t>PEDIDO</t>
  </si>
  <si>
    <t>GRAMAJE</t>
  </si>
  <si>
    <t>ENERO</t>
  </si>
  <si>
    <t>FEBRERO</t>
  </si>
  <si>
    <t>MARZO</t>
  </si>
  <si>
    <t>ABRIL</t>
  </si>
  <si>
    <t>MAYO</t>
  </si>
  <si>
    <t>JUNIO</t>
  </si>
  <si>
    <t>JULIO</t>
  </si>
  <si>
    <t>CONVENCIONAL</t>
  </si>
  <si>
    <t>Columna1</t>
  </si>
  <si>
    <t>Columna3</t>
  </si>
  <si>
    <t>transferencia</t>
  </si>
  <si>
    <t>LARVA</t>
  </si>
  <si>
    <t>ABLACION</t>
  </si>
  <si>
    <t>NAUPLIo</t>
  </si>
  <si>
    <t>COD LABORATORIO</t>
  </si>
  <si>
    <t>sobrevivencia</t>
  </si>
  <si>
    <t>DIAS RW/PC</t>
  </si>
  <si>
    <t>siembra</t>
  </si>
  <si>
    <t>Dias PRo</t>
  </si>
  <si>
    <t>PRECRIADERO</t>
  </si>
  <si>
    <t>mes</t>
  </si>
  <si>
    <t>AGUAJE</t>
  </si>
  <si>
    <t>Columna2</t>
  </si>
  <si>
    <t>SIN ABLACION</t>
  </si>
  <si>
    <t>EMPAGRAN</t>
  </si>
  <si>
    <t>TECSERV</t>
  </si>
  <si>
    <t xml:space="preserve">PA 1 </t>
  </si>
  <si>
    <t>AGUAJE 24</t>
  </si>
  <si>
    <t>TEXCUMAR</t>
  </si>
  <si>
    <t>GABSO</t>
  </si>
  <si>
    <t>DE PC 25</t>
  </si>
  <si>
    <t>OCEANLAB</t>
  </si>
  <si>
    <t>TI PC 33 - 34</t>
  </si>
  <si>
    <t>TI PC 34</t>
  </si>
  <si>
    <t>PRONAUPLIO</t>
  </si>
  <si>
    <t>ME PC 12</t>
  </si>
  <si>
    <t>CA PC 6</t>
  </si>
  <si>
    <t>BIOLACAM</t>
  </si>
  <si>
    <t>DO PC 0</t>
  </si>
  <si>
    <t>ACUATECSA</t>
  </si>
  <si>
    <t>DE PC 17</t>
  </si>
  <si>
    <t>WA PC 6</t>
  </si>
  <si>
    <t>CH PC 7</t>
  </si>
  <si>
    <t>ACUATECSA/MEGALATINA</t>
  </si>
  <si>
    <t>CA PC 2 - 1A - 20</t>
  </si>
  <si>
    <t>DO PC 1</t>
  </si>
  <si>
    <t>RO PC 16</t>
  </si>
  <si>
    <t>DO PC 7</t>
  </si>
  <si>
    <t>DO PC 6</t>
  </si>
  <si>
    <t>DO PC 2</t>
  </si>
  <si>
    <t>DEONES</t>
  </si>
  <si>
    <t>GT PC 7</t>
  </si>
  <si>
    <t>CA PC 1A</t>
  </si>
  <si>
    <t>MEGALATINA</t>
  </si>
  <si>
    <t>CA PC 20</t>
  </si>
  <si>
    <t>DO PS 15</t>
  </si>
  <si>
    <t>AMBARTEK</t>
  </si>
  <si>
    <t>PR PC 5</t>
  </si>
  <si>
    <t>DO PC 3</t>
  </si>
  <si>
    <t>TI PC 18</t>
  </si>
  <si>
    <t>GENESIS</t>
  </si>
  <si>
    <t>DO PC 4</t>
  </si>
  <si>
    <t>TI PC 31</t>
  </si>
  <si>
    <t>PA PC 7</t>
  </si>
  <si>
    <t>TEXCUMAR/EMPAGRAN</t>
  </si>
  <si>
    <t>MEGALATINA/EMPAGRAN/TIBALLOSA</t>
  </si>
  <si>
    <t>PA PC 4 - 7 - 26</t>
  </si>
  <si>
    <t>TI PC 30</t>
  </si>
  <si>
    <t>GENESIS/TECSERV</t>
  </si>
  <si>
    <t>GT PC 5 - 6</t>
  </si>
  <si>
    <t>GT PC 6</t>
  </si>
  <si>
    <t>PR PC 3</t>
  </si>
  <si>
    <t>PA PS 13</t>
  </si>
  <si>
    <t>PR PC 1</t>
  </si>
  <si>
    <t>GT PC 5</t>
  </si>
  <si>
    <t>MAXILARVA</t>
  </si>
  <si>
    <t>CH PS 17</t>
  </si>
  <si>
    <t>DE PC 3</t>
  </si>
  <si>
    <t>GT PC 9</t>
  </si>
  <si>
    <t>TA PC 5</t>
  </si>
  <si>
    <t>WA PC 7 - 8 - PS 9</t>
  </si>
  <si>
    <t>WA PS 9</t>
  </si>
  <si>
    <t>TECSERV/GENESIS</t>
  </si>
  <si>
    <t>WA PS 9 - 23</t>
  </si>
  <si>
    <t>DE PS 11</t>
  </si>
  <si>
    <t>DE PS 14</t>
  </si>
  <si>
    <t>TA PC 4</t>
  </si>
  <si>
    <t>PA PC 26 - MA PC 8</t>
  </si>
  <si>
    <t>PA PC 26</t>
  </si>
  <si>
    <t>CH PC 6</t>
  </si>
  <si>
    <t>TA PC 14</t>
  </si>
  <si>
    <t>TA PC 2</t>
  </si>
  <si>
    <t>TA PC 1</t>
  </si>
  <si>
    <t>CH PC 3</t>
  </si>
  <si>
    <t>GENESIS/MAXILARVA</t>
  </si>
  <si>
    <t>CH PC 3 - PS 17</t>
  </si>
  <si>
    <t>PRICMARSA</t>
  </si>
  <si>
    <t>DE PC 2</t>
  </si>
  <si>
    <t>MA PC 8</t>
  </si>
  <si>
    <t>EMPAGRAN - SEMACUA</t>
  </si>
  <si>
    <t>DO PC 13</t>
  </si>
  <si>
    <t>TIBALLOSA</t>
  </si>
  <si>
    <t>PA PC 4</t>
  </si>
  <si>
    <t>RO PC 9</t>
  </si>
  <si>
    <t>aguaje 3</t>
  </si>
  <si>
    <t>EMPAGRAN-SEMACUA</t>
  </si>
  <si>
    <t>PA PC 20</t>
  </si>
  <si>
    <t>RO PC 2</t>
  </si>
  <si>
    <t>TA PC 9</t>
  </si>
  <si>
    <t>AQUAGEN</t>
  </si>
  <si>
    <t>GRILSAN</t>
  </si>
  <si>
    <t>PR PC 23</t>
  </si>
  <si>
    <t>NEMEN</t>
  </si>
  <si>
    <t>CA 15 - 1B</t>
  </si>
  <si>
    <t>LARVASLAB/MEGALATINA</t>
  </si>
  <si>
    <t>TI PC 18 - 32</t>
  </si>
  <si>
    <t>TEXCUMAR/AQUAGEN</t>
  </si>
  <si>
    <t>ACUATECSA/GRILSAN</t>
  </si>
  <si>
    <t>CA PC 1A - 6 /RO PC 16</t>
  </si>
  <si>
    <t>CH PC 2</t>
  </si>
  <si>
    <t>CH PC 5</t>
  </si>
  <si>
    <t>DO PC 2 - PS 15</t>
  </si>
  <si>
    <t>PR PS 2</t>
  </si>
  <si>
    <t>RO PC 16 /CA PC 20</t>
  </si>
  <si>
    <t>PA PC 21</t>
  </si>
  <si>
    <t>WA PS 23</t>
  </si>
  <si>
    <t>ARPON</t>
  </si>
  <si>
    <t>PR PC 26</t>
  </si>
  <si>
    <t>PR PC 25</t>
  </si>
  <si>
    <t>DO PS 2</t>
  </si>
  <si>
    <t>PR PC 6</t>
  </si>
  <si>
    <t>EMPAGRAN/TEXCUMAR</t>
  </si>
  <si>
    <t>EMPAGRAN/TECSERV</t>
  </si>
  <si>
    <t>WA PC 9 - 13</t>
  </si>
  <si>
    <t>LARVASLAB</t>
  </si>
  <si>
    <t>BIOLACAM/EMPAGRAN</t>
  </si>
  <si>
    <t>MA PC 12/PA PC 7</t>
  </si>
  <si>
    <t>MA PC 12</t>
  </si>
  <si>
    <t>TI 39</t>
  </si>
  <si>
    <t>TA 17</t>
  </si>
  <si>
    <t>TI PC 39</t>
  </si>
  <si>
    <t>TU PC 7</t>
  </si>
  <si>
    <t>CH PC 1</t>
  </si>
  <si>
    <t>PA PC 16</t>
  </si>
  <si>
    <t>TI PC 31 - 32</t>
  </si>
  <si>
    <t>WA PS 27</t>
  </si>
  <si>
    <t>PA PC 1 - 7</t>
  </si>
  <si>
    <t>CA PC 8/RO PC 1</t>
  </si>
  <si>
    <t>TECSERV/GABSO</t>
  </si>
  <si>
    <t>MA PC 3 - 7</t>
  </si>
  <si>
    <t>MA PC 3</t>
  </si>
  <si>
    <t>GENESIS/MAKROLAB</t>
  </si>
  <si>
    <t>DO PS 15 - TU PC 7</t>
  </si>
  <si>
    <t>EMPAGRAN - SEMACUA/TEXCUMAR</t>
  </si>
  <si>
    <t>TECSERV/MAKROLAB</t>
  </si>
  <si>
    <t>DO PC 0 - TU PC 7</t>
  </si>
  <si>
    <t>EMPAGRAN/SEMACUA</t>
  </si>
  <si>
    <t>GT 6</t>
  </si>
  <si>
    <t>GT 7</t>
  </si>
  <si>
    <t>PR PC 1 - 8</t>
  </si>
  <si>
    <t>PR PC 2 - 8</t>
  </si>
  <si>
    <t>ME 12 - 8</t>
  </si>
  <si>
    <t>TEXCUMAR/SEMACUA</t>
  </si>
  <si>
    <t>AMBARTEK/PRONAUPLIO</t>
  </si>
  <si>
    <t>TI PC 36/TA PC 14</t>
  </si>
  <si>
    <t>GT PC 4</t>
  </si>
  <si>
    <t>GT 8</t>
  </si>
  <si>
    <t>LARVASLAB/TECSERV</t>
  </si>
  <si>
    <t>WA PC 5 - 6</t>
  </si>
  <si>
    <t>CH 4 - 6</t>
  </si>
  <si>
    <t>CH 6</t>
  </si>
  <si>
    <t>ME 8</t>
  </si>
  <si>
    <t>SEMACUA</t>
  </si>
  <si>
    <t>TA PC14</t>
  </si>
  <si>
    <t>ACUATECSA / DEONES</t>
  </si>
  <si>
    <t>PA 1</t>
  </si>
  <si>
    <t>PA PS13</t>
  </si>
  <si>
    <t>MAKROLAB</t>
  </si>
  <si>
    <t>TI 30 - TA 1</t>
  </si>
  <si>
    <t>CA 1B</t>
  </si>
  <si>
    <t>CH 5</t>
  </si>
  <si>
    <t>PR PS 4</t>
  </si>
  <si>
    <t>CA 6 - 1A</t>
  </si>
  <si>
    <t>CH 7</t>
  </si>
  <si>
    <t>CA PC 15</t>
  </si>
  <si>
    <t>ME PS 6</t>
  </si>
  <si>
    <t>DE 14</t>
  </si>
  <si>
    <t>DE 17</t>
  </si>
  <si>
    <t>RO PC 2 - 16</t>
  </si>
  <si>
    <t>DO</t>
  </si>
  <si>
    <t>MAKROLAB/ACUATECSA</t>
  </si>
  <si>
    <t>DO PC 2 - TU PC 7</t>
  </si>
  <si>
    <t>DE 4</t>
  </si>
  <si>
    <t>TI 34 - 33</t>
  </si>
  <si>
    <t>PR PS 01 CORRAL</t>
  </si>
  <si>
    <t>PR PS 12</t>
  </si>
  <si>
    <t>ME PC 3</t>
  </si>
  <si>
    <t>TECSER/NEMEN</t>
  </si>
  <si>
    <t>MA 12/ PA 7</t>
  </si>
  <si>
    <t>ME PS12</t>
  </si>
  <si>
    <t>CH 3</t>
  </si>
  <si>
    <t>DE 1</t>
  </si>
  <si>
    <t>DO PS2</t>
  </si>
  <si>
    <t>TI 38 - 36</t>
  </si>
  <si>
    <t>PA 26</t>
  </si>
  <si>
    <t>RO PC 1 - CA 20</t>
  </si>
  <si>
    <t>DO 2</t>
  </si>
  <si>
    <t>TI 31 - 32</t>
  </si>
  <si>
    <t>DO 6</t>
  </si>
  <si>
    <t>WA PC 18</t>
  </si>
  <si>
    <t>PR 3</t>
  </si>
  <si>
    <t>TI PC 35 - 37</t>
  </si>
  <si>
    <t>WA PS 10</t>
  </si>
  <si>
    <t>PR 1</t>
  </si>
  <si>
    <t>PR 4</t>
  </si>
  <si>
    <t>TA 5</t>
  </si>
  <si>
    <t>ACUATECSA/GENESIS</t>
  </si>
  <si>
    <t>MA 3 - PA 4</t>
  </si>
  <si>
    <t>PA 4</t>
  </si>
  <si>
    <t>PA 16</t>
  </si>
  <si>
    <t>GT PC 2</t>
  </si>
  <si>
    <t>AQUANOVA</t>
  </si>
  <si>
    <t>NARIHUALA</t>
  </si>
  <si>
    <t>TA 1</t>
  </si>
  <si>
    <t>ACUATECSA/NARIHUALA</t>
  </si>
  <si>
    <t>CH PC 4 - 1</t>
  </si>
  <si>
    <t>TI 30</t>
  </si>
  <si>
    <t>GT 5</t>
  </si>
  <si>
    <t>DO 5</t>
  </si>
  <si>
    <t>CA 15</t>
  </si>
  <si>
    <t>GT PC 3</t>
  </si>
  <si>
    <t>MEGALATINA/DEONES</t>
  </si>
  <si>
    <t>WA PS 9 - 5</t>
  </si>
  <si>
    <t>GT PC 1</t>
  </si>
  <si>
    <t>DE 25</t>
  </si>
  <si>
    <t>ME PC 6</t>
  </si>
  <si>
    <t>GENESIS/DEONES</t>
  </si>
  <si>
    <t>CA PC 8 - 6</t>
  </si>
  <si>
    <t>WA PC 3</t>
  </si>
  <si>
    <t>RO 16</t>
  </si>
  <si>
    <t>WA PC 5 - 7 - 8 - PS 23</t>
  </si>
  <si>
    <t>BIOLACAM/GRILSAN</t>
  </si>
  <si>
    <t>WA PS 23 - PC 09</t>
  </si>
  <si>
    <t>WA PS 6</t>
  </si>
  <si>
    <t>WA PS 18</t>
  </si>
  <si>
    <t>WA 14 - 13</t>
  </si>
  <si>
    <t>DO 4</t>
  </si>
  <si>
    <t>DE 3</t>
  </si>
  <si>
    <t>CH 4</t>
  </si>
  <si>
    <t>DO PC 9 - 8</t>
  </si>
  <si>
    <t>PR PC2</t>
  </si>
  <si>
    <t>DO PC0</t>
  </si>
  <si>
    <t>TI 33 - 34</t>
  </si>
  <si>
    <t>DO PS15</t>
  </si>
  <si>
    <t>TI 34</t>
  </si>
  <si>
    <t>DE PC02</t>
  </si>
  <si>
    <t>genesis /DEONES</t>
  </si>
  <si>
    <t>PR11</t>
  </si>
  <si>
    <t>SEMACUA / EMPAGRAN</t>
  </si>
  <si>
    <t>TECSERV - PRONAUPLIO</t>
  </si>
  <si>
    <t>DO PS 15 - DO PC 6</t>
  </si>
  <si>
    <t>CA PS 20</t>
  </si>
  <si>
    <t>CA PS 1A</t>
  </si>
  <si>
    <t>GT PC 08</t>
  </si>
  <si>
    <t>GT PC 05</t>
  </si>
  <si>
    <t>PR 5</t>
  </si>
  <si>
    <t>TI 35 - 37</t>
  </si>
  <si>
    <t>TI 36 - 38</t>
  </si>
  <si>
    <t>TI PC 31- 32</t>
  </si>
  <si>
    <t>GT PC 07</t>
  </si>
  <si>
    <t>ME PC 8</t>
  </si>
  <si>
    <t>DO PC 02</t>
  </si>
  <si>
    <t>GT PC 04</t>
  </si>
  <si>
    <t>ME 12</t>
  </si>
  <si>
    <t>TI 32 - 33</t>
  </si>
  <si>
    <t>CA 1B - PC15</t>
  </si>
  <si>
    <t>MA 12</t>
  </si>
  <si>
    <t>LARDEMA</t>
  </si>
  <si>
    <t>PA PS 9</t>
  </si>
  <si>
    <t>PA 16 / MA PC 07</t>
  </si>
  <si>
    <t>DO PC1</t>
  </si>
  <si>
    <t>DO PC2</t>
  </si>
  <si>
    <t>DO PC 05</t>
  </si>
  <si>
    <t>PR PC 01</t>
  </si>
  <si>
    <t>PR PC 8</t>
  </si>
  <si>
    <t xml:space="preserve">NEMEN </t>
  </si>
  <si>
    <t>GT PC 06</t>
  </si>
  <si>
    <t>ME PC 06</t>
  </si>
  <si>
    <t>ME PS 06</t>
  </si>
  <si>
    <t xml:space="preserve">EMPAGRAN </t>
  </si>
  <si>
    <t>CA PC06 - 1A</t>
  </si>
  <si>
    <t>TI 18</t>
  </si>
  <si>
    <t>PR 26</t>
  </si>
  <si>
    <t>EMPAGRAM</t>
  </si>
  <si>
    <t>PR 25</t>
  </si>
  <si>
    <t>TI 32 - 37</t>
  </si>
  <si>
    <t>GT 4</t>
  </si>
  <si>
    <t>TA 14</t>
  </si>
  <si>
    <t>RO 9</t>
  </si>
  <si>
    <t>DE 2</t>
  </si>
  <si>
    <t>DE  4</t>
  </si>
  <si>
    <t>TA 4</t>
  </si>
  <si>
    <t>PS 2</t>
  </si>
  <si>
    <t>MA 8</t>
  </si>
  <si>
    <t>TA 2</t>
  </si>
  <si>
    <t>RO PC02</t>
  </si>
  <si>
    <t>PA 7</t>
  </si>
  <si>
    <t>PA 07</t>
  </si>
  <si>
    <t>PA PS 09</t>
  </si>
  <si>
    <t>RO PC01 - CA PC 08</t>
  </si>
  <si>
    <t>TI PC 31-32</t>
  </si>
  <si>
    <t>PC 03</t>
  </si>
  <si>
    <t>WA PC 05</t>
  </si>
  <si>
    <t>PA PC1</t>
  </si>
  <si>
    <t>TI PC 09</t>
  </si>
  <si>
    <t>WA PC 17</t>
  </si>
  <si>
    <t>PA 21</t>
  </si>
  <si>
    <t>CA 1A -6</t>
  </si>
  <si>
    <t>DE 11</t>
  </si>
  <si>
    <t>TECSERV/GRILSAN</t>
  </si>
  <si>
    <t>WA PC12 - PS27</t>
  </si>
  <si>
    <t>TA PC 09</t>
  </si>
  <si>
    <t>MEGALATINA/LARVASLAB</t>
  </si>
  <si>
    <t>WA PS 23 - WA PC 11</t>
  </si>
  <si>
    <t>MEGALATINA /LARVASLAB</t>
  </si>
  <si>
    <t>WA PS 23 - PC 18</t>
  </si>
  <si>
    <t>ME 3</t>
  </si>
  <si>
    <t>GRILSAN/LARVASLAB</t>
  </si>
  <si>
    <t>WA PS 27 - 9</t>
  </si>
  <si>
    <t>MA 03</t>
  </si>
  <si>
    <t>LABREICIS</t>
  </si>
  <si>
    <t>TI 36-38</t>
  </si>
  <si>
    <t>PA PS09</t>
  </si>
  <si>
    <t>MA 03 - PA PS 26</t>
  </si>
  <si>
    <t>WA PS9</t>
  </si>
  <si>
    <t>RO PC 09</t>
  </si>
  <si>
    <t>PI PS 07</t>
  </si>
  <si>
    <t>TEXCUMAR - SEMACUA</t>
  </si>
  <si>
    <t>ACUATECSA - TECSERV</t>
  </si>
  <si>
    <t>RO PC 1 - PC 2 - PC 16</t>
  </si>
  <si>
    <t>DO PS 26</t>
  </si>
  <si>
    <t>CA PS 14</t>
  </si>
  <si>
    <t>PR 2</t>
  </si>
  <si>
    <t xml:space="preserve">CA 1B </t>
  </si>
  <si>
    <t>CABAMINSUR</t>
  </si>
  <si>
    <t>LIBRAS</t>
  </si>
  <si>
    <t>CAM</t>
  </si>
  <si>
    <t>ANIM COSECHADOS</t>
  </si>
  <si>
    <t xml:space="preserve"> </t>
  </si>
  <si>
    <t>COSECHAS</t>
  </si>
  <si>
    <t>CERTIFICACION</t>
  </si>
  <si>
    <t>PIS</t>
  </si>
  <si>
    <t>SECT&amp;PIS</t>
  </si>
  <si>
    <t xml:space="preserve">FASE </t>
  </si>
  <si>
    <t>PESO TRANSF</t>
  </si>
  <si>
    <t>TRANSFERENCIA</t>
  </si>
  <si>
    <t>PRODUCTO SIN ABLACION</t>
  </si>
  <si>
    <t>SIEMBRA PRECRIA</t>
  </si>
  <si>
    <t>LBS /HA</t>
  </si>
  <si>
    <t>FECHA EMISION LABORATORIO</t>
  </si>
  <si>
    <t>FECHA CEUCIDE LABORATORIO</t>
  </si>
  <si>
    <t>CHERNA 15</t>
  </si>
  <si>
    <t>CHERNA 10</t>
  </si>
  <si>
    <t>DORADO 23</t>
  </si>
  <si>
    <t>GUATO 09</t>
  </si>
  <si>
    <t>GUATO 03</t>
  </si>
  <si>
    <t>GUATO 04</t>
  </si>
  <si>
    <t>GUATO 18</t>
  </si>
  <si>
    <t>GUATO 05</t>
  </si>
  <si>
    <t>GUATO 15</t>
  </si>
  <si>
    <t>MERO 09</t>
  </si>
  <si>
    <t>MERO 05</t>
  </si>
  <si>
    <t>MERO 07</t>
  </si>
  <si>
    <t>MERO 14</t>
  </si>
  <si>
    <t>MERO 15</t>
  </si>
  <si>
    <t>MERO 18</t>
  </si>
  <si>
    <t>WAHOO 36</t>
  </si>
  <si>
    <t>WAHOO 11</t>
  </si>
  <si>
    <t>WAHOO 03</t>
  </si>
  <si>
    <t>WAHOO 05</t>
  </si>
  <si>
    <t>WAHOO 24</t>
  </si>
  <si>
    <t>TA</t>
  </si>
  <si>
    <t>WAHOO 38</t>
  </si>
  <si>
    <t>TAMBULERO PC</t>
  </si>
  <si>
    <t>TA PC</t>
  </si>
  <si>
    <t>WAHOO 20</t>
  </si>
  <si>
    <t>WAHOO PC</t>
  </si>
  <si>
    <t>WA PC</t>
  </si>
  <si>
    <t>WAHOO 07</t>
  </si>
  <si>
    <t>TI</t>
  </si>
  <si>
    <t>WAHOO 19</t>
  </si>
  <si>
    <t>WAHOO 02</t>
  </si>
  <si>
    <t>BA</t>
  </si>
  <si>
    <t>WAHOO 08</t>
  </si>
  <si>
    <t>MA</t>
  </si>
  <si>
    <t>WAHOO 29</t>
  </si>
  <si>
    <t>PA</t>
  </si>
  <si>
    <t>WAHOO 14</t>
  </si>
  <si>
    <t>TU</t>
  </si>
  <si>
    <t>WAHOO 16</t>
  </si>
  <si>
    <t>DE</t>
  </si>
  <si>
    <t>ME</t>
  </si>
  <si>
    <t>CH</t>
  </si>
  <si>
    <t>PARGO ROJO 15</t>
  </si>
  <si>
    <t>PARGO ROJO 16</t>
  </si>
  <si>
    <t>GT</t>
  </si>
  <si>
    <t>PARGO ROJO 17</t>
  </si>
  <si>
    <t>PR</t>
  </si>
  <si>
    <t>PARGO ROJO 02</t>
  </si>
  <si>
    <t>CA</t>
  </si>
  <si>
    <t>PARGO ROJO 03</t>
  </si>
  <si>
    <t>RO</t>
  </si>
  <si>
    <t>PARGO ROJO 05</t>
  </si>
  <si>
    <t>WA</t>
  </si>
  <si>
    <t>PARGO ROJO 14</t>
  </si>
  <si>
    <t>PARGO ROJO 21</t>
  </si>
  <si>
    <t>PARGO ROJO 22</t>
  </si>
  <si>
    <t>sector/pisc</t>
  </si>
  <si>
    <t>has</t>
  </si>
  <si>
    <t>CERTIFICADA</t>
  </si>
  <si>
    <t>inicio</t>
  </si>
  <si>
    <t>fin</t>
  </si>
  <si>
    <t>aguaje</t>
  </si>
  <si>
    <t>FIN</t>
  </si>
  <si>
    <t>1-aguaje</t>
  </si>
  <si>
    <t>ALFONSO GRUNAUER</t>
  </si>
  <si>
    <t xml:space="preserve">GREGORIO CUELLAR </t>
  </si>
  <si>
    <t>HASTA 15-5</t>
  </si>
  <si>
    <t>CARLOS FLORES</t>
  </si>
  <si>
    <t>JOSE CEDEÑO</t>
  </si>
  <si>
    <t>DESDE 15-5</t>
  </si>
  <si>
    <t>K1</t>
  </si>
  <si>
    <t>KRISMAR 1</t>
  </si>
  <si>
    <t>VICTOR WOLF</t>
  </si>
  <si>
    <t>VICTOR WOLF DESDE 25-9</t>
  </si>
  <si>
    <t>K2</t>
  </si>
  <si>
    <t>KRISMAR 2</t>
  </si>
  <si>
    <t>JORGE PEREZ</t>
  </si>
  <si>
    <t>HASTA EL 24-9</t>
  </si>
  <si>
    <t>ASC-BAP</t>
  </si>
  <si>
    <t>K3</t>
  </si>
  <si>
    <t>KRISMAR 3</t>
  </si>
  <si>
    <t>LUIS CAGUANA</t>
  </si>
  <si>
    <t>NESTOR MOGOLLON</t>
  </si>
  <si>
    <t>PT</t>
  </si>
  <si>
    <t>PAMPANITO</t>
  </si>
  <si>
    <t>R1</t>
  </si>
  <si>
    <t>RK 1</t>
  </si>
  <si>
    <t>CA 08</t>
  </si>
  <si>
    <t>R2</t>
  </si>
  <si>
    <t>RK 2</t>
  </si>
  <si>
    <t>WILMER TORRES</t>
  </si>
  <si>
    <t>VICTOR QUINTANA</t>
  </si>
  <si>
    <t>GUSTAVO CARRASCO</t>
  </si>
  <si>
    <t>CA 19</t>
  </si>
  <si>
    <t>CA 1A</t>
  </si>
  <si>
    <t>SANTIAGO OBRIEN</t>
  </si>
  <si>
    <t>CA 22</t>
  </si>
  <si>
    <t>OR</t>
  </si>
  <si>
    <t>ORCA</t>
  </si>
  <si>
    <t>CA 23</t>
  </si>
  <si>
    <t>JUNIOR ESQUIVEL</t>
  </si>
  <si>
    <t>CA 24</t>
  </si>
  <si>
    <t>JULIO SANTOS</t>
  </si>
  <si>
    <t>CA PC 08</t>
  </si>
  <si>
    <t>PI</t>
  </si>
  <si>
    <t>PICUDO</t>
  </si>
  <si>
    <t>FECHA CADUCIDAD</t>
  </si>
  <si>
    <t>FECHA DE EMISION</t>
  </si>
  <si>
    <t>JSD</t>
  </si>
  <si>
    <t>BRIANAMAR</t>
  </si>
  <si>
    <t>CH 17</t>
  </si>
  <si>
    <t>IRMART</t>
  </si>
  <si>
    <t>IMART</t>
  </si>
  <si>
    <t>INCAMAREC</t>
  </si>
  <si>
    <t>GREGORIO CUELLAR</t>
  </si>
  <si>
    <t>JHONNY HOLGUIN</t>
  </si>
  <si>
    <t>RONNIE REYES</t>
  </si>
  <si>
    <t>SEGUNDO BERRUN</t>
  </si>
  <si>
    <t>DO 15</t>
  </si>
  <si>
    <t>VICENTE MEDINA</t>
  </si>
  <si>
    <t>VICTOR ACEVEDO</t>
  </si>
  <si>
    <t>BAP</t>
  </si>
  <si>
    <t>H10586</t>
  </si>
  <si>
    <t>ACUATECSA/LARDEMA</t>
  </si>
  <si>
    <t>H10586/0</t>
  </si>
  <si>
    <t>ACUATECSA/TIBALLOSA</t>
  </si>
  <si>
    <t>H10581B</t>
  </si>
  <si>
    <t>H10534B</t>
  </si>
  <si>
    <t>H10534B/H10234</t>
  </si>
  <si>
    <t>H10234</t>
  </si>
  <si>
    <t>SANLAB EVA/EMPAGRAN</t>
  </si>
  <si>
    <t>0/H10234</t>
  </si>
  <si>
    <t>EMPAGRAN/LARVASLAB</t>
  </si>
  <si>
    <t>H10234/10534A</t>
  </si>
  <si>
    <t>GENESIS/BIOLACAM</t>
  </si>
  <si>
    <t>0/H10534B</t>
  </si>
  <si>
    <t>GT PC 01</t>
  </si>
  <si>
    <t>GENESIS/EMPAGRAN</t>
  </si>
  <si>
    <t>GT PC 02</t>
  </si>
  <si>
    <t>GENESIS/LARVASLAB</t>
  </si>
  <si>
    <t>0/H10534A</t>
  </si>
  <si>
    <t>GT PC 03</t>
  </si>
  <si>
    <t>INCAMAREC/EMPAGRAN</t>
  </si>
  <si>
    <t>INCAMAREC/JSD/NEMEN</t>
  </si>
  <si>
    <t>0/H10581A/H10533F</t>
  </si>
  <si>
    <t>K1 01</t>
  </si>
  <si>
    <t>H10581A</t>
  </si>
  <si>
    <t>K1 02</t>
  </si>
  <si>
    <t>JSD/BIOLACAM</t>
  </si>
  <si>
    <t>H10581A/10534B</t>
  </si>
  <si>
    <t>K1 03</t>
  </si>
  <si>
    <t>JSD/LARVASLAB</t>
  </si>
  <si>
    <t>H10581A/H10534A</t>
  </si>
  <si>
    <t>K1 04</t>
  </si>
  <si>
    <t>JSD/NEMEN</t>
  </si>
  <si>
    <t>H10581A/H10533F</t>
  </si>
  <si>
    <t>K1 05</t>
  </si>
  <si>
    <t>JSD/NEMEN/PRICMARSA</t>
  </si>
  <si>
    <t>H10581A/H10533F/0</t>
  </si>
  <si>
    <t>K1 06</t>
  </si>
  <si>
    <t>JSD/TECSERV</t>
  </si>
  <si>
    <t>H10581A/H10603</t>
  </si>
  <si>
    <t>K1 07</t>
  </si>
  <si>
    <t>K1 08</t>
  </si>
  <si>
    <t>H10534A</t>
  </si>
  <si>
    <t>K1 09</t>
  </si>
  <si>
    <t>LARVASLAB/ACUATECSA</t>
  </si>
  <si>
    <t>H10534A/H10586</t>
  </si>
  <si>
    <t>K1 10</t>
  </si>
  <si>
    <t>LARVASLAB/GENESIS</t>
  </si>
  <si>
    <t>H10534A/0</t>
  </si>
  <si>
    <t>K1 11</t>
  </si>
  <si>
    <t>K1 12</t>
  </si>
  <si>
    <t>K1 13</t>
  </si>
  <si>
    <t>MEGALATINA/EMPAGRAN</t>
  </si>
  <si>
    <t>K1 14</t>
  </si>
  <si>
    <t>H10598D</t>
  </si>
  <si>
    <t>K1 15</t>
  </si>
  <si>
    <t>H10533F</t>
  </si>
  <si>
    <t>K1 16</t>
  </si>
  <si>
    <t>NEMEN/BIOLACAM</t>
  </si>
  <si>
    <t>H10533F/H10534B</t>
  </si>
  <si>
    <t>K1 17</t>
  </si>
  <si>
    <t>K1 18</t>
  </si>
  <si>
    <t>SANLAB EVA</t>
  </si>
  <si>
    <t>K1 19</t>
  </si>
  <si>
    <t>H10603</t>
  </si>
  <si>
    <t>K1 PC 01</t>
  </si>
  <si>
    <t>H10603/0</t>
  </si>
  <si>
    <t>K1 PC 02</t>
  </si>
  <si>
    <t>TECSERV/IRMART</t>
  </si>
  <si>
    <t>TECSERV/EMPAGRAN</t>
  </si>
  <si>
    <t>H10603/H10234</t>
  </si>
  <si>
    <t>K1 PC 04</t>
  </si>
  <si>
    <t>K1 PC 05</t>
  </si>
  <si>
    <t>H10611</t>
  </si>
  <si>
    <t>K1 PC 06</t>
  </si>
  <si>
    <t>H10603/H10611</t>
  </si>
  <si>
    <t>K1 PC 07</t>
  </si>
  <si>
    <t>GABSO/TECSERV</t>
  </si>
  <si>
    <t>H10611/H10603</t>
  </si>
  <si>
    <t>K1 PC 08</t>
  </si>
  <si>
    <t>GRILSAN/TECSERV</t>
  </si>
  <si>
    <t>0/H10603</t>
  </si>
  <si>
    <t>K1 PC 09</t>
  </si>
  <si>
    <t>EMPAGRAN/NARIHUALA</t>
  </si>
  <si>
    <t>H10234/H10598D</t>
  </si>
  <si>
    <t>K1 PC 10</t>
  </si>
  <si>
    <t>H10598B</t>
  </si>
  <si>
    <t>K1 PC 11</t>
  </si>
  <si>
    <t>K2 01</t>
  </si>
  <si>
    <t>K2 02</t>
  </si>
  <si>
    <t>K2 03</t>
  </si>
  <si>
    <t>K2 04</t>
  </si>
  <si>
    <t>K2 05</t>
  </si>
  <si>
    <t>K2 06</t>
  </si>
  <si>
    <t>K2 07</t>
  </si>
  <si>
    <t>K2 08</t>
  </si>
  <si>
    <t>K2 09</t>
  </si>
  <si>
    <t>K2 10</t>
  </si>
  <si>
    <t>K2 11</t>
  </si>
  <si>
    <t>K2 12</t>
  </si>
  <si>
    <t>K2 13</t>
  </si>
  <si>
    <t>K2 14</t>
  </si>
  <si>
    <t>K2 15</t>
  </si>
  <si>
    <t>K2 16</t>
  </si>
  <si>
    <t>K2 PC 02</t>
  </si>
  <si>
    <t>K2 PC 04</t>
  </si>
  <si>
    <t>K2 PC 05</t>
  </si>
  <si>
    <t>K2 PC 06</t>
  </si>
  <si>
    <t>K3 01</t>
  </si>
  <si>
    <t>K3 02</t>
  </si>
  <si>
    <t>K3 03</t>
  </si>
  <si>
    <t>K3 04</t>
  </si>
  <si>
    <t>K3 05</t>
  </si>
  <si>
    <t>K3 06</t>
  </si>
  <si>
    <t>K3 07</t>
  </si>
  <si>
    <t>K3 08</t>
  </si>
  <si>
    <t>K3 09</t>
  </si>
  <si>
    <t>K3 10</t>
  </si>
  <si>
    <t>K3 11</t>
  </si>
  <si>
    <t>K3 12</t>
  </si>
  <si>
    <t>K3 13</t>
  </si>
  <si>
    <t>K3 14</t>
  </si>
  <si>
    <t>K3 15</t>
  </si>
  <si>
    <t>K3 16</t>
  </si>
  <si>
    <t>K3 17</t>
  </si>
  <si>
    <t>K3 18</t>
  </si>
  <si>
    <t>K3 19</t>
  </si>
  <si>
    <t>K3 20</t>
  </si>
  <si>
    <t>K3 21</t>
  </si>
  <si>
    <t>K3 22</t>
  </si>
  <si>
    <t>K3 23</t>
  </si>
  <si>
    <t>K3 24</t>
  </si>
  <si>
    <t>K3 25</t>
  </si>
  <si>
    <t>K3 26</t>
  </si>
  <si>
    <t>K3 27</t>
  </si>
  <si>
    <t>K3 28</t>
  </si>
  <si>
    <t>K3 29</t>
  </si>
  <si>
    <t>K3 30</t>
  </si>
  <si>
    <t>K3 31</t>
  </si>
  <si>
    <t>K3 32</t>
  </si>
  <si>
    <t>K3 PC 04</t>
  </si>
  <si>
    <t>MA 04</t>
  </si>
  <si>
    <t>MA 05</t>
  </si>
  <si>
    <t>MA 06</t>
  </si>
  <si>
    <t>ME 06</t>
  </si>
  <si>
    <t>ME 08</t>
  </si>
  <si>
    <t>OR 01</t>
  </si>
  <si>
    <t>OR 02</t>
  </si>
  <si>
    <t>OR 03</t>
  </si>
  <si>
    <t>OR 04</t>
  </si>
  <si>
    <t>OR 05</t>
  </si>
  <si>
    <t>OR 06</t>
  </si>
  <si>
    <t>OR 07</t>
  </si>
  <si>
    <t>OR 08</t>
  </si>
  <si>
    <t>OR 09</t>
  </si>
  <si>
    <t>OR 10</t>
  </si>
  <si>
    <t>OR 11</t>
  </si>
  <si>
    <t>OR 12</t>
  </si>
  <si>
    <t>OR 13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</si>
  <si>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</si>
  <si>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</si>
  <si>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</si>
  <si>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</si>
  <si>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</si>
  <si>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</si>
  <si>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</si>
  <si>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</si>
  <si>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</si>
  <si>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</si>
  <si>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</si>
  <si>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PA 04</t>
  </si>
  <si>
    <t>PA 20</t>
  </si>
  <si>
    <t>PR 04</t>
  </si>
  <si>
    <t>PR 23</t>
  </si>
  <si>
    <t>PT 06</t>
  </si>
  <si>
    <t>PT 07</t>
  </si>
  <si>
    <t>PT 08</t>
  </si>
  <si>
    <t>PT 11</t>
  </si>
  <si>
    <t>R1 20</t>
  </si>
  <si>
    <t>R1 21</t>
  </si>
  <si>
    <t>R1 22</t>
  </si>
  <si>
    <t>R1 23</t>
  </si>
  <si>
    <t>R1 24</t>
  </si>
  <si>
    <t>R2 15</t>
  </si>
  <si>
    <t>R2 16</t>
  </si>
  <si>
    <t>R2 17</t>
  </si>
  <si>
    <t>R2 18</t>
  </si>
  <si>
    <t>R2 19</t>
  </si>
  <si>
    <t>R2 20</t>
  </si>
  <si>
    <t>R2 21</t>
  </si>
  <si>
    <t>R2 22</t>
  </si>
  <si>
    <t>R2 23</t>
  </si>
  <si>
    <t>R2 24</t>
  </si>
  <si>
    <t>RO PC 01</t>
  </si>
  <si>
    <t>TA 09</t>
  </si>
  <si>
    <t>TA 19</t>
  </si>
  <si>
    <t>TA 20</t>
  </si>
  <si>
    <t>TA 21</t>
  </si>
  <si>
    <t>TA 22</t>
  </si>
  <si>
    <t>TA 23</t>
  </si>
  <si>
    <t>TA 25</t>
  </si>
  <si>
    <t>WA 09</t>
  </si>
  <si>
    <t>WA 23</t>
  </si>
  <si>
    <t>PI 03</t>
  </si>
  <si>
    <t>PI 04</t>
  </si>
  <si>
    <t>PI 07</t>
  </si>
  <si>
    <t>PI PC 01</t>
  </si>
  <si>
    <t>PI PC 02</t>
  </si>
  <si>
    <t># PS</t>
  </si>
  <si>
    <t>SIEMBRA</t>
  </si>
  <si>
    <t>PESO COSECHA</t>
  </si>
  <si>
    <t>PESO PLANTA</t>
  </si>
  <si>
    <t>LBS PROY</t>
  </si>
  <si>
    <t>LBS COSE</t>
  </si>
  <si>
    <t>LBS RECIBIDO EN PLANTA</t>
  </si>
  <si>
    <t>REPAÑA</t>
  </si>
  <si>
    <t>TOTAL LIQUIDACIÓN</t>
  </si>
  <si>
    <t>% SOB</t>
  </si>
  <si>
    <t>TOTAL ALIM</t>
  </si>
  <si>
    <t>FCR</t>
  </si>
  <si>
    <t>SOBREVIVENCIA PRECRIA</t>
  </si>
  <si>
    <t>16</t>
  </si>
  <si>
    <t>EMPAGRAN (✓)</t>
  </si>
  <si>
    <t>02</t>
  </si>
  <si>
    <t>17</t>
  </si>
  <si>
    <t>EMPAGRAN  (✓)</t>
  </si>
  <si>
    <t>25</t>
  </si>
  <si>
    <t>DO PC 5 /DO PC 6/DO PC7</t>
  </si>
  <si>
    <t>DO PC 00</t>
  </si>
  <si>
    <t>05</t>
  </si>
  <si>
    <t>SEMACUA (✓)</t>
  </si>
  <si>
    <t>06</t>
  </si>
  <si>
    <t>EMPAGRAN (✓) -SEMACUA (✓)</t>
  </si>
  <si>
    <t>11</t>
  </si>
  <si>
    <t>PA PC 1/PA PC 23/PA PC 22/PA PC 24/PA PC 25</t>
  </si>
  <si>
    <t>DO 3</t>
  </si>
  <si>
    <t>DO PC 0/DO PC 1</t>
  </si>
  <si>
    <t>09</t>
  </si>
  <si>
    <t>13</t>
  </si>
  <si>
    <t>PA PC 1</t>
  </si>
  <si>
    <t>29</t>
  </si>
  <si>
    <t>04</t>
  </si>
  <si>
    <t>EMPAGRAN - SEMACUA (✓)</t>
  </si>
  <si>
    <t>03</t>
  </si>
  <si>
    <t>07</t>
  </si>
  <si>
    <t>15</t>
  </si>
  <si>
    <t>RO PC 16/RO PC 1</t>
  </si>
  <si>
    <t>DE PC 1</t>
  </si>
  <si>
    <t>TI PC 35</t>
  </si>
  <si>
    <t>TI PC 33/TI PC 34</t>
  </si>
  <si>
    <t>22</t>
  </si>
  <si>
    <t>EMPAGRAN -SEMACUA  (✓)</t>
  </si>
  <si>
    <t>24</t>
  </si>
  <si>
    <t>DE PC 4</t>
  </si>
  <si>
    <t>DO PC 5</t>
  </si>
  <si>
    <t>RO PC 1</t>
  </si>
  <si>
    <t xml:space="preserve">CA PC 1A - CA PC 15 </t>
  </si>
  <si>
    <t>TI PC 32</t>
  </si>
  <si>
    <t>SOBREVIVENCIA EN PRECRIA</t>
  </si>
  <si>
    <t>CA 6/CA 2</t>
  </si>
  <si>
    <t>CA8/RO 1/CA 1A</t>
  </si>
  <si>
    <t>DO 7</t>
  </si>
  <si>
    <t>DO PC 5/DO PC 6</t>
  </si>
  <si>
    <t>28</t>
  </si>
  <si>
    <t>DO 0</t>
  </si>
  <si>
    <t>23</t>
  </si>
  <si>
    <t>CH PC 1/CH PC 4</t>
  </si>
  <si>
    <t>TI PC 36</t>
  </si>
  <si>
    <t>CH PC 01</t>
  </si>
  <si>
    <t>27</t>
  </si>
  <si>
    <t>DO PC 04</t>
  </si>
  <si>
    <t>26</t>
  </si>
  <si>
    <t>CA PC 20/RO PC 2</t>
  </si>
  <si>
    <t>30</t>
  </si>
  <si>
    <t>19</t>
  </si>
  <si>
    <t>DO PC 03</t>
  </si>
  <si>
    <t>20</t>
  </si>
  <si>
    <t>EMPAGRAN/SEMACUA (✓)</t>
  </si>
  <si>
    <t>PA PC 22</t>
  </si>
  <si>
    <t>PA 5</t>
  </si>
  <si>
    <t>PA PC 23 - 24 - 25</t>
  </si>
  <si>
    <t>CA 20</t>
  </si>
  <si>
    <t>acTIvidad</t>
  </si>
  <si>
    <t>talla</t>
  </si>
  <si>
    <t>caja</t>
  </si>
  <si>
    <t>presentacion (kg)</t>
  </si>
  <si>
    <t>empagran</t>
  </si>
  <si>
    <t>41 - 50</t>
  </si>
  <si>
    <t>tecserv</t>
  </si>
  <si>
    <t>51 - 60</t>
  </si>
  <si>
    <t>grilsan</t>
  </si>
  <si>
    <t>36 - 40</t>
  </si>
  <si>
    <t>semacua</t>
  </si>
  <si>
    <t>CHERNA 19</t>
  </si>
  <si>
    <t>CH 2</t>
  </si>
  <si>
    <t>PARGO ROJO 18</t>
  </si>
  <si>
    <t>WAHOO 17</t>
  </si>
  <si>
    <t>WAHOO 18</t>
  </si>
  <si>
    <t>DELFIN 23</t>
  </si>
  <si>
    <t>DORADO 30</t>
  </si>
  <si>
    <t>PAMPANO 06</t>
  </si>
  <si>
    <t>DORADO 18</t>
  </si>
  <si>
    <t>ROBALO 14</t>
  </si>
  <si>
    <t>PR PC 4</t>
  </si>
  <si>
    <t>WA 7- 8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</si>
</sst>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\ _€_-;\-* #,##0.00\ _€_-;_-* &quot;-&quot;??\ _€_-;_-@_-"/>
    <numFmt numFmtId="164" formatCode="_-* #,##0.00_-;\-* #,##0.00_-;_-* &quot;-&quot;??_-;_-@_-"/>
    <numFmt numFmtId="165" formatCode="_-* #,##0.00\ _$_-;\-* #,##0.00\ _$_-;_-* &quot;-&quot;??\ _$_-;_-@_-"/>
    <numFmt numFmtId="166" formatCode="_-* #,##0\ _€_-;\-* #,##0\ _€_-;_-* &quot;-&quot;??\ _€_-;_-@_-"/>
    <numFmt numFmtId="167" formatCode="_-* #,##0.0\ _€_-;\-* #,##0.0\ _€_-;_-* &quot;-&quot;??\ _€_-;_-@_-"/>
    <numFmt numFmtId="168" formatCode="0.000"/>
    <numFmt numFmtId="169" formatCode="_-* #,##0_-;\-* #,##0_-;_-* &quot;-&quot;??_-;_-@_-"/>
    <numFmt numFmtId="170" formatCode="_-* #,##0.0_-;\-* #,##0.0_-;_-* &quot;-&quot;??_-;_-@_-"/>
    <numFmt numFmtId="171" formatCode="#,##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rgb="FF444444"/>
      <name val="Calibri"/>
      <family val="2"/>
      <charset val="1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444444"/>
      <name val="Consolas"/>
      <family val="3"/>
    </font>
    <font>
      <sz val="11"/>
      <color theme="0"/>
      <name val="Calibri"/>
      <family val="2"/>
      <scheme val="minor"/>
    </font>
    <font>
      <sz val="10"/>
      <color theme="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 Light"/>
      <family val="2"/>
      <scheme val="major"/>
    </font>
    <font>
      <sz val="10"/>
      <color rgb="FF000000"/>
      <name val="Tahoma"/>
      <family val="2"/>
    </font>
    <font>
      <sz val="11"/>
      <color rgb="FF000000"/>
      <name val="Calibri"/>
      <scheme val="minor"/>
    </font>
    <font>
      <sz val="10"/>
      <color theme="1"/>
      <name val="Calibri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 style="thin">
        <color theme="9" tint="0.59999389629810485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20">
    <xf numFmtId="0" fontId="0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5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16">
    <xf numFmtId="0" fontId="0" fillId="0" borderId="0" xfId="0"/>
    <xf numFmtId="0" fontId="0" fillId="0" borderId="0" xfId="0" applyAlignment="1">
      <alignment horizontal="center"/>
    </xf>
    <xf numFmtId="43" fontId="0" fillId="0" borderId="2" xfId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/>
    <xf numFmtId="0" fontId="14" fillId="0" borderId="0" xfId="0" applyFont="1"/>
    <xf numFmtId="3" fontId="14" fillId="0" borderId="0" xfId="0" applyNumberFormat="1" applyFont="1"/>
    <xf numFmtId="0" fontId="0" fillId="0" borderId="0" xfId="0" applyAlignment="1">
      <alignment vertical="center"/>
    </xf>
    <xf numFmtId="0" fontId="0" fillId="0" borderId="0" xfId="0" pivotButton="1"/>
    <xf numFmtId="164" fontId="0" fillId="0" borderId="0" xfId="0" applyNumberFormat="1"/>
    <xf numFmtId="166" fontId="0" fillId="0" borderId="0" xfId="1" applyNumberFormat="1" applyFont="1" applyFill="1" applyBorder="1"/>
    <xf numFmtId="167" fontId="0" fillId="0" borderId="0" xfId="1" applyNumberFormat="1" applyFont="1" applyFill="1" applyBorder="1" applyAlignment="1">
      <alignment horizontal="center" vertical="center"/>
    </xf>
    <xf numFmtId="43" fontId="12" fillId="9" borderId="5" xfId="0" applyNumberFormat="1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0" fillId="0" borderId="4" xfId="0" applyBorder="1"/>
    <xf numFmtId="0" fontId="13" fillId="0" borderId="0" xfId="0" applyFont="1"/>
    <xf numFmtId="14" fontId="13" fillId="0" borderId="0" xfId="0" applyNumberFormat="1" applyFont="1"/>
    <xf numFmtId="2" fontId="0" fillId="0" borderId="0" xfId="0" applyNumberFormat="1" applyAlignment="1">
      <alignment vertical="center"/>
    </xf>
    <xf numFmtId="0" fontId="0" fillId="0" borderId="0" xfId="0" applyAlignment="1">
      <alignment horizontal="left" vertical="top"/>
    </xf>
    <xf numFmtId="0" fontId="12" fillId="0" borderId="0" xfId="0" applyFont="1" applyAlignment="1">
      <alignment vertical="center"/>
    </xf>
    <xf numFmtId="2" fontId="0" fillId="10" borderId="0" xfId="0" applyNumberFormat="1" applyFill="1"/>
    <xf numFmtId="2" fontId="0" fillId="10" borderId="0" xfId="0" applyNumberFormat="1" applyFill="1" applyAlignment="1">
      <alignment vertical="center"/>
    </xf>
    <xf numFmtId="2" fontId="0" fillId="11" borderId="0" xfId="0" applyNumberFormat="1" applyFill="1"/>
    <xf numFmtId="2" fontId="0" fillId="11" borderId="0" xfId="0" applyNumberFormat="1" applyFill="1" applyAlignment="1">
      <alignment vertical="center"/>
    </xf>
    <xf numFmtId="2" fontId="0" fillId="12" borderId="0" xfId="0" applyNumberFormat="1" applyFill="1"/>
    <xf numFmtId="2" fontId="0" fillId="12" borderId="0" xfId="0" applyNumberFormat="1" applyFill="1" applyAlignment="1">
      <alignment vertical="center"/>
    </xf>
    <xf numFmtId="2" fontId="0" fillId="13" borderId="0" xfId="0" applyNumberFormat="1" applyFill="1"/>
    <xf numFmtId="2" fontId="0" fillId="13" borderId="0" xfId="0" applyNumberFormat="1" applyFill="1" applyAlignment="1">
      <alignment vertical="center"/>
    </xf>
    <xf numFmtId="0" fontId="12" fillId="0" borderId="0" xfId="0" applyFont="1" applyAlignment="1">
      <alignment horizontal="center"/>
    </xf>
    <xf numFmtId="2" fontId="0" fillId="10" borderId="0" xfId="0" applyNumberFormat="1" applyFill="1" applyAlignment="1">
      <alignment horizontal="left" vertical="top"/>
    </xf>
    <xf numFmtId="166" fontId="0" fillId="10" borderId="0" xfId="1" applyNumberFormat="1" applyFont="1" applyFill="1" applyBorder="1" applyAlignment="1">
      <alignment horizontal="center"/>
    </xf>
    <xf numFmtId="169" fontId="0" fillId="0" borderId="0" xfId="1" applyNumberFormat="1" applyFont="1" applyBorder="1"/>
    <xf numFmtId="169" fontId="0" fillId="0" borderId="0" xfId="1" applyNumberFormat="1" applyFont="1" applyFill="1" applyBorder="1"/>
    <xf numFmtId="2" fontId="0" fillId="11" borderId="0" xfId="0" applyNumberFormat="1" applyFill="1" applyAlignment="1">
      <alignment horizontal="left" vertical="top"/>
    </xf>
    <xf numFmtId="166" fontId="0" fillId="11" borderId="0" xfId="1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left" vertical="top"/>
    </xf>
    <xf numFmtId="166" fontId="0" fillId="12" borderId="0" xfId="1" applyNumberFormat="1" applyFont="1" applyFill="1" applyBorder="1" applyAlignment="1">
      <alignment horizontal="center"/>
    </xf>
    <xf numFmtId="2" fontId="0" fillId="0" borderId="0" xfId="0" applyNumberFormat="1" applyAlignment="1">
      <alignment horizontal="left" vertical="top"/>
    </xf>
    <xf numFmtId="166" fontId="0" fillId="0" borderId="0" xfId="1" applyNumberFormat="1" applyFont="1" applyBorder="1" applyAlignment="1">
      <alignment horizontal="center"/>
    </xf>
    <xf numFmtId="2" fontId="0" fillId="13" borderId="0" xfId="0" applyNumberFormat="1" applyFill="1" applyAlignment="1">
      <alignment horizontal="left" vertical="top"/>
    </xf>
    <xf numFmtId="166" fontId="0" fillId="13" borderId="0" xfId="1" applyNumberFormat="1" applyFont="1" applyFill="1" applyBorder="1" applyAlignment="1">
      <alignment horizontal="center"/>
    </xf>
    <xf numFmtId="166" fontId="12" fillId="0" borderId="0" xfId="1" applyNumberFormat="1" applyFont="1" applyBorder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20" fillId="0" borderId="0" xfId="0" applyNumberFormat="1" applyFont="1"/>
    <xf numFmtId="164" fontId="0" fillId="0" borderId="7" xfId="0" applyNumberFormat="1" applyBorder="1"/>
    <xf numFmtId="1" fontId="0" fillId="0" borderId="6" xfId="0" applyNumberFormat="1" applyBorder="1" applyAlignment="1">
      <alignment vertical="center"/>
    </xf>
    <xf numFmtId="0" fontId="17" fillId="8" borderId="9" xfId="0" applyFont="1" applyFill="1" applyBorder="1" applyAlignment="1">
      <alignment horizontal="center" vertical="center"/>
    </xf>
    <xf numFmtId="0" fontId="17" fillId="8" borderId="10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0" fontId="0" fillId="15" borderId="18" xfId="0" applyFill="1" applyBorder="1" applyAlignment="1">
      <alignment vertical="center"/>
    </xf>
    <xf numFmtId="0" fontId="0" fillId="0" borderId="18" xfId="0" applyBorder="1" applyAlignment="1">
      <alignment vertical="center"/>
    </xf>
    <xf numFmtId="14" fontId="0" fillId="15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15" borderId="1" xfId="0" applyFill="1" applyBorder="1" applyAlignment="1">
      <alignment vertical="center"/>
    </xf>
    <xf numFmtId="3" fontId="14" fillId="15" borderId="1" xfId="0" applyNumberFormat="1" applyFont="1" applyFill="1" applyBorder="1" applyAlignment="1">
      <alignment vertical="center"/>
    </xf>
    <xf numFmtId="2" fontId="0" fillId="15" borderId="1" xfId="0" applyNumberFormat="1" applyFill="1" applyBorder="1" applyAlignment="1">
      <alignment vertical="center"/>
    </xf>
    <xf numFmtId="167" fontId="0" fillId="15" borderId="1" xfId="1" applyNumberFormat="1" applyFont="1" applyFill="1" applyBorder="1" applyAlignment="1">
      <alignment vertical="center"/>
    </xf>
    <xf numFmtId="0" fontId="17" fillId="8" borderId="19" xfId="0" applyFont="1" applyFill="1" applyBorder="1" applyAlignment="1">
      <alignment horizontal="center" vertical="center"/>
    </xf>
    <xf numFmtId="0" fontId="17" fillId="8" borderId="10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0" fillId="16" borderId="0" xfId="0" applyFill="1"/>
    <xf numFmtId="0" fontId="0" fillId="0" borderId="0" xfId="0" applyAlignment="1">
      <alignment horizontal="left"/>
    </xf>
    <xf numFmtId="43" fontId="0" fillId="0" borderId="3" xfId="1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16" fillId="0" borderId="0" xfId="0" applyFont="1" applyAlignment="1">
      <alignment horizontal="left"/>
    </xf>
    <xf numFmtId="2" fontId="10" fillId="0" borderId="2" xfId="0" applyNumberFormat="1" applyFont="1" applyBorder="1" applyAlignment="1">
      <alignment horizontal="center" vertical="center"/>
    </xf>
    <xf numFmtId="2" fontId="0" fillId="0" borderId="2" xfId="1" applyNumberFormat="1" applyFont="1" applyFill="1" applyBorder="1" applyAlignment="1">
      <alignment horizontal="center"/>
    </xf>
    <xf numFmtId="43" fontId="0" fillId="0" borderId="4" xfId="1" applyFont="1" applyFill="1" applyBorder="1" applyAlignment="1">
      <alignment horizontal="center"/>
    </xf>
    <xf numFmtId="14" fontId="13" fillId="13" borderId="0" xfId="0" applyNumberFormat="1" applyFont="1" applyFill="1"/>
    <xf numFmtId="0" fontId="0" fillId="0" borderId="7" xfId="0" applyBorder="1"/>
    <xf numFmtId="0" fontId="21" fillId="0" borderId="0" xfId="0" applyFont="1"/>
    <xf numFmtId="9" fontId="0" fillId="0" borderId="0" xfId="0" applyNumberFormat="1"/>
    <xf numFmtId="0" fontId="0" fillId="15" borderId="1" xfId="1" applyNumberFormat="1" applyFont="1" applyFill="1" applyBorder="1" applyAlignment="1">
      <alignment vertical="center"/>
    </xf>
    <xf numFmtId="166" fontId="0" fillId="15" borderId="1" xfId="1" applyNumberFormat="1" applyFont="1" applyFill="1" applyBorder="1" applyAlignment="1">
      <alignment vertical="center"/>
    </xf>
    <xf numFmtId="3" fontId="0" fillId="15" borderId="1" xfId="1" applyNumberFormat="1" applyFont="1" applyFill="1" applyBorder="1" applyAlignment="1">
      <alignment vertical="center"/>
    </xf>
    <xf numFmtId="3" fontId="0" fillId="15" borderId="1" xfId="0" applyNumberFormat="1" applyFill="1" applyBorder="1" applyAlignment="1">
      <alignment vertical="center"/>
    </xf>
    <xf numFmtId="1" fontId="0" fillId="15" borderId="6" xfId="0" applyNumberFormat="1" applyFill="1" applyBorder="1" applyAlignment="1">
      <alignment vertical="center"/>
    </xf>
    <xf numFmtId="0" fontId="0" fillId="0" borderId="1" xfId="0" applyBorder="1" applyAlignment="1">
      <alignment vertical="center"/>
    </xf>
    <xf numFmtId="167" fontId="0" fillId="0" borderId="1" xfId="1" applyNumberFormat="1" applyFont="1" applyBorder="1" applyAlignment="1">
      <alignment vertical="center"/>
    </xf>
    <xf numFmtId="3" fontId="14" fillId="0" borderId="1" xfId="0" applyNumberFormat="1" applyFont="1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166" fontId="0" fillId="0" borderId="1" xfId="1" applyNumberFormat="1" applyFont="1" applyBorder="1" applyAlignment="1">
      <alignment vertical="center"/>
    </xf>
    <xf numFmtId="3" fontId="0" fillId="0" borderId="1" xfId="0" applyNumberFormat="1" applyBorder="1" applyAlignment="1">
      <alignment vertical="center"/>
    </xf>
    <xf numFmtId="0" fontId="7" fillId="0" borderId="0" xfId="0" applyFont="1"/>
    <xf numFmtId="0" fontId="0" fillId="0" borderId="16" xfId="0" applyBorder="1"/>
    <xf numFmtId="164" fontId="25" fillId="0" borderId="0" xfId="0" applyNumberFormat="1" applyFont="1" applyAlignment="1">
      <alignment horizontal="center"/>
    </xf>
    <xf numFmtId="169" fontId="0" fillId="0" borderId="0" xfId="1" applyNumberFormat="1" applyFont="1"/>
    <xf numFmtId="169" fontId="26" fillId="0" borderId="0" xfId="0" applyNumberFormat="1" applyFont="1"/>
    <xf numFmtId="164" fontId="26" fillId="0" borderId="0" xfId="0" applyNumberFormat="1" applyFont="1"/>
    <xf numFmtId="169" fontId="27" fillId="0" borderId="0" xfId="0" applyNumberFormat="1" applyFont="1"/>
    <xf numFmtId="164" fontId="27" fillId="0" borderId="0" xfId="0" applyNumberFormat="1" applyFont="1"/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169" fontId="0" fillId="0" borderId="0" xfId="0" applyNumberFormat="1" applyAlignment="1">
      <alignment vertical="center"/>
    </xf>
    <xf numFmtId="0" fontId="22" fillId="0" borderId="0" xfId="0" applyFont="1"/>
    <xf numFmtId="14" fontId="22" fillId="0" borderId="0" xfId="0" applyNumberFormat="1" applyFont="1"/>
    <xf numFmtId="3" fontId="22" fillId="0" borderId="0" xfId="0" applyNumberFormat="1" applyFont="1"/>
    <xf numFmtId="168" fontId="22" fillId="0" borderId="0" xfId="0" applyNumberFormat="1" applyFont="1"/>
    <xf numFmtId="1" fontId="22" fillId="0" borderId="0" xfId="0" applyNumberFormat="1" applyFont="1"/>
    <xf numFmtId="9" fontId="22" fillId="0" borderId="0" xfId="0" applyNumberFormat="1" applyFont="1"/>
    <xf numFmtId="1" fontId="23" fillId="0" borderId="0" xfId="0" applyNumberFormat="1" applyFont="1"/>
    <xf numFmtId="0" fontId="11" fillId="0" borderId="0" xfId="0" applyFont="1"/>
    <xf numFmtId="14" fontId="7" fillId="0" borderId="0" xfId="0" applyNumberFormat="1" applyFont="1"/>
    <xf numFmtId="0" fontId="14" fillId="17" borderId="0" xfId="0" applyFont="1" applyFill="1"/>
    <xf numFmtId="15" fontId="19" fillId="8" borderId="0" xfId="0" applyNumberFormat="1" applyFont="1" applyFill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  <xf numFmtId="2" fontId="19" fillId="8" borderId="0" xfId="0" applyNumberFormat="1" applyFont="1" applyFill="1" applyAlignment="1">
      <alignment horizontal="center" vertical="center" wrapText="1"/>
    </xf>
    <xf numFmtId="1" fontId="19" fillId="8" borderId="0" xfId="0" applyNumberFormat="1" applyFont="1" applyFill="1" applyAlignment="1">
      <alignment horizontal="center" vertical="center" wrapText="1"/>
    </xf>
    <xf numFmtId="3" fontId="19" fillId="8" borderId="0" xfId="0" applyNumberFormat="1" applyFont="1" applyFill="1" applyAlignment="1">
      <alignment horizontal="center" vertical="center" wrapText="1"/>
    </xf>
    <xf numFmtId="169" fontId="19" fillId="8" borderId="0" xfId="0" applyNumberFormat="1" applyFont="1" applyFill="1" applyAlignment="1">
      <alignment horizontal="center" vertical="center" wrapText="1"/>
    </xf>
    <xf numFmtId="164" fontId="19" fillId="8" borderId="0" xfId="0" applyNumberFormat="1" applyFont="1" applyFill="1" applyAlignment="1">
      <alignment horizontal="center" vertical="center" wrapText="1"/>
    </xf>
    <xf numFmtId="3" fontId="0" fillId="0" borderId="0" xfId="1" applyNumberFormat="1" applyFont="1" applyBorder="1" applyAlignment="1">
      <alignment horizontal="right"/>
    </xf>
    <xf numFmtId="43" fontId="13" fillId="0" borderId="0" xfId="1" applyFont="1" applyFill="1"/>
    <xf numFmtId="166" fontId="13" fillId="0" borderId="0" xfId="1" applyNumberFormat="1" applyFont="1" applyFill="1"/>
    <xf numFmtId="166" fontId="0" fillId="0" borderId="0" xfId="1" applyNumberFormat="1" applyFont="1" applyFill="1"/>
    <xf numFmtId="0" fontId="0" fillId="0" borderId="21" xfId="0" applyBorder="1"/>
    <xf numFmtId="0" fontId="17" fillId="8" borderId="23" xfId="0" applyFont="1" applyFill="1" applyBorder="1" applyAlignment="1">
      <alignment horizontal="center" vertical="center"/>
    </xf>
    <xf numFmtId="0" fontId="12" fillId="0" borderId="0" xfId="0" applyFont="1" applyAlignment="1">
      <alignment vertical="center" wrapText="1"/>
    </xf>
    <xf numFmtId="14" fontId="0" fillId="18" borderId="0" xfId="0" applyNumberFormat="1" applyFill="1"/>
    <xf numFmtId="0" fontId="0" fillId="18" borderId="0" xfId="0" applyFill="1"/>
    <xf numFmtId="9" fontId="0" fillId="18" borderId="0" xfId="0" applyNumberFormat="1" applyFill="1"/>
    <xf numFmtId="171" fontId="0" fillId="0" borderId="0" xfId="0" applyNumberFormat="1"/>
    <xf numFmtId="3" fontId="0" fillId="0" borderId="0" xfId="0" applyNumberFormat="1"/>
    <xf numFmtId="4" fontId="0" fillId="0" borderId="0" xfId="0" applyNumberFormat="1"/>
    <xf numFmtId="14" fontId="12" fillId="0" borderId="21" xfId="0" applyNumberFormat="1" applyFont="1" applyBorder="1" applyAlignment="1">
      <alignment vertical="center" wrapText="1"/>
    </xf>
    <xf numFmtId="0" fontId="12" fillId="0" borderId="21" xfId="0" applyFont="1" applyBorder="1" applyAlignment="1">
      <alignment vertical="center" wrapText="1"/>
    </xf>
    <xf numFmtId="14" fontId="12" fillId="18" borderId="21" xfId="0" applyNumberFormat="1" applyFont="1" applyFill="1" applyBorder="1" applyAlignment="1">
      <alignment vertical="center" wrapText="1"/>
    </xf>
    <xf numFmtId="0" fontId="12" fillId="18" borderId="21" xfId="0" applyFont="1" applyFill="1" applyBorder="1" applyAlignment="1">
      <alignment vertical="center" wrapText="1"/>
    </xf>
    <xf numFmtId="3" fontId="12" fillId="0" borderId="21" xfId="0" applyNumberFormat="1" applyFont="1" applyBorder="1" applyAlignment="1">
      <alignment vertical="center" wrapText="1"/>
    </xf>
    <xf numFmtId="171" fontId="12" fillId="0" borderId="21" xfId="0" applyNumberFormat="1" applyFont="1" applyBorder="1" applyAlignment="1">
      <alignment vertical="center" wrapText="1"/>
    </xf>
    <xf numFmtId="164" fontId="12" fillId="0" borderId="21" xfId="0" applyNumberFormat="1" applyFont="1" applyBorder="1" applyAlignment="1">
      <alignment vertical="center" wrapText="1"/>
    </xf>
    <xf numFmtId="2" fontId="12" fillId="0" borderId="21" xfId="0" applyNumberFormat="1" applyFont="1" applyBorder="1" applyAlignment="1">
      <alignment vertical="center" wrapText="1"/>
    </xf>
    <xf numFmtId="14" fontId="0" fillId="0" borderId="21" xfId="0" applyNumberFormat="1" applyBorder="1"/>
    <xf numFmtId="14" fontId="0" fillId="18" borderId="21" xfId="0" applyNumberFormat="1" applyFill="1" applyBorder="1"/>
    <xf numFmtId="0" fontId="0" fillId="18" borderId="21" xfId="0" applyFill="1" applyBorder="1"/>
    <xf numFmtId="9" fontId="0" fillId="18" borderId="21" xfId="0" applyNumberFormat="1" applyFill="1" applyBorder="1"/>
    <xf numFmtId="3" fontId="0" fillId="0" borderId="21" xfId="0" applyNumberFormat="1" applyBorder="1"/>
    <xf numFmtId="171" fontId="0" fillId="0" borderId="21" xfId="0" applyNumberFormat="1" applyBorder="1"/>
    <xf numFmtId="164" fontId="0" fillId="0" borderId="21" xfId="0" applyNumberFormat="1" applyBorder="1"/>
    <xf numFmtId="2" fontId="0" fillId="0" borderId="21" xfId="0" applyNumberFormat="1" applyBorder="1"/>
    <xf numFmtId="4" fontId="0" fillId="0" borderId="21" xfId="0" applyNumberFormat="1" applyBorder="1"/>
    <xf numFmtId="0" fontId="5" fillId="0" borderId="0" xfId="0" applyFont="1"/>
    <xf numFmtId="14" fontId="14" fillId="0" borderId="0" xfId="0" applyNumberFormat="1" applyFont="1"/>
    <xf numFmtId="0" fontId="17" fillId="8" borderId="25" xfId="0" applyFont="1" applyFill="1" applyBorder="1" applyAlignment="1">
      <alignment horizontal="center" vertical="center"/>
    </xf>
    <xf numFmtId="16" fontId="12" fillId="0" borderId="0" xfId="0" applyNumberFormat="1" applyFont="1" applyAlignment="1">
      <alignment horizontal="center"/>
    </xf>
    <xf numFmtId="166" fontId="0" fillId="0" borderId="0" xfId="1" applyNumberFormat="1" applyFont="1" applyFill="1" applyAlignment="1">
      <alignment horizontal="center"/>
    </xf>
    <xf numFmtId="10" fontId="12" fillId="0" borderId="0" xfId="0" applyNumberFormat="1" applyFont="1"/>
    <xf numFmtId="0" fontId="25" fillId="14" borderId="26" xfId="0" applyFont="1" applyFill="1" applyBorder="1"/>
    <xf numFmtId="0" fontId="25" fillId="14" borderId="27" xfId="0" applyFont="1" applyFill="1" applyBorder="1"/>
    <xf numFmtId="0" fontId="25" fillId="14" borderId="28" xfId="0" applyFont="1" applyFill="1" applyBorder="1"/>
    <xf numFmtId="16" fontId="0" fillId="0" borderId="0" xfId="0" applyNumberFormat="1"/>
    <xf numFmtId="0" fontId="30" fillId="8" borderId="18" xfId="0" applyFont="1" applyFill="1" applyBorder="1"/>
    <xf numFmtId="0" fontId="14" fillId="15" borderId="18" xfId="0" applyFont="1" applyFill="1" applyBorder="1"/>
    <xf numFmtId="0" fontId="25" fillId="14" borderId="0" xfId="0" applyFont="1" applyFill="1"/>
    <xf numFmtId="1" fontId="22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43" fontId="0" fillId="0" borderId="0" xfId="1" applyFont="1" applyFill="1" applyBorder="1" applyAlignment="1">
      <alignment vertical="center"/>
    </xf>
    <xf numFmtId="43" fontId="0" fillId="0" borderId="0" xfId="1" applyFont="1"/>
    <xf numFmtId="3" fontId="10" fillId="0" borderId="0" xfId="1" applyNumberFormat="1" applyFont="1" applyFill="1" applyBorder="1" applyAlignment="1">
      <alignment horizontal="right" vertical="center"/>
    </xf>
    <xf numFmtId="14" fontId="14" fillId="17" borderId="0" xfId="0" applyNumberFormat="1" applyFont="1" applyFill="1"/>
    <xf numFmtId="3" fontId="11" fillId="0" borderId="0" xfId="1" applyNumberFormat="1" applyFont="1" applyFill="1" applyBorder="1" applyAlignment="1"/>
    <xf numFmtId="0" fontId="17" fillId="8" borderId="24" xfId="0" applyFont="1" applyFill="1" applyBorder="1" applyAlignment="1">
      <alignment horizontal="center" vertical="center"/>
    </xf>
    <xf numFmtId="43" fontId="14" fillId="0" borderId="0" xfId="1" applyFont="1" applyFill="1" applyBorder="1" applyAlignment="1">
      <alignment vertical="center"/>
    </xf>
    <xf numFmtId="0" fontId="19" fillId="8" borderId="20" xfId="0" applyFont="1" applyFill="1" applyBorder="1" applyAlignment="1">
      <alignment horizontal="center" vertical="center" wrapText="1"/>
    </xf>
    <xf numFmtId="43" fontId="11" fillId="0" borderId="0" xfId="1" applyFont="1" applyFill="1"/>
    <xf numFmtId="0" fontId="12" fillId="0" borderId="0" xfId="0" applyFont="1"/>
    <xf numFmtId="3" fontId="14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1" fontId="0" fillId="0" borderId="8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0" fontId="10" fillId="0" borderId="0" xfId="0" applyFont="1" applyAlignment="1">
      <alignment horizontal="center"/>
    </xf>
    <xf numFmtId="2" fontId="10" fillId="0" borderId="0" xfId="0" applyNumberFormat="1" applyFont="1" applyAlignment="1">
      <alignment horizontal="center"/>
    </xf>
    <xf numFmtId="169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3" fontId="10" fillId="0" borderId="17" xfId="0" applyNumberFormat="1" applyFont="1" applyBorder="1" applyAlignment="1">
      <alignment horizontal="center"/>
    </xf>
    <xf numFmtId="1" fontId="11" fillId="0" borderId="0" xfId="0" applyNumberFormat="1" applyFont="1"/>
    <xf numFmtId="168" fontId="11" fillId="0" borderId="0" xfId="0" applyNumberFormat="1" applyFont="1"/>
    <xf numFmtId="9" fontId="11" fillId="0" borderId="0" xfId="0" applyNumberFormat="1" applyFont="1"/>
    <xf numFmtId="1" fontId="18" fillId="0" borderId="0" xfId="0" applyNumberFormat="1" applyFont="1"/>
    <xf numFmtId="0" fontId="12" fillId="14" borderId="0" xfId="0" applyFont="1" applyFill="1" applyAlignment="1">
      <alignment horizontal="center"/>
    </xf>
    <xf numFmtId="14" fontId="11" fillId="0" borderId="0" xfId="0" applyNumberFormat="1" applyFont="1"/>
    <xf numFmtId="14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3" fontId="11" fillId="0" borderId="1" xfId="1" applyNumberFormat="1" applyFont="1" applyBorder="1" applyAlignment="1"/>
    <xf numFmtId="0" fontId="0" fillId="0" borderId="22" xfId="0" applyBorder="1"/>
    <xf numFmtId="0" fontId="11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3" fontId="13" fillId="0" borderId="0" xfId="0" applyNumberFormat="1" applyFont="1"/>
    <xf numFmtId="14" fontId="13" fillId="0" borderId="0" xfId="0" applyNumberFormat="1" applyFont="1" applyAlignment="1">
      <alignment horizontal="center"/>
    </xf>
    <xf numFmtId="0" fontId="0" fillId="0" borderId="1" xfId="0" applyBorder="1"/>
    <xf numFmtId="0" fontId="0" fillId="0" borderId="18" xfId="0" applyBorder="1"/>
    <xf numFmtId="2" fontId="0" fillId="0" borderId="0" xfId="1" applyNumberFormat="1" applyFont="1" applyFill="1" applyBorder="1" applyAlignment="1">
      <alignment vertical="center"/>
    </xf>
    <xf numFmtId="14" fontId="0" fillId="10" borderId="0" xfId="0" applyNumberFormat="1" applyFill="1"/>
    <xf numFmtId="0" fontId="11" fillId="0" borderId="29" xfId="0" applyFont="1" applyBorder="1"/>
    <xf numFmtId="1" fontId="0" fillId="0" borderId="0" xfId="0" applyNumberFormat="1" applyAlignment="1">
      <alignment vertical="center"/>
    </xf>
    <xf numFmtId="3" fontId="10" fillId="0" borderId="0" xfId="0" applyNumberFormat="1" applyFont="1" applyAlignment="1">
      <alignment horizontal="right" vertical="center"/>
    </xf>
    <xf numFmtId="0" fontId="0" fillId="0" borderId="0" xfId="0" applyAlignment="1">
      <alignment wrapText="1"/>
    </xf>
    <xf numFmtId="0" fontId="24" fillId="0" borderId="30" xfId="0" applyFont="1" applyBorder="1" applyAlignment="1">
      <alignment horizontal="center" vertical="center"/>
    </xf>
    <xf numFmtId="0" fontId="0" fillId="0" borderId="2" xfId="0" applyBorder="1"/>
    <xf numFmtId="166" fontId="0" fillId="0" borderId="2" xfId="0" applyNumberFormat="1" applyBorder="1"/>
    <xf numFmtId="0" fontId="10" fillId="0" borderId="2" xfId="0" applyFont="1" applyBorder="1" applyAlignment="1">
      <alignment horizontal="left" vertical="top"/>
    </xf>
    <xf numFmtId="166" fontId="14" fillId="0" borderId="0" xfId="1" applyNumberFormat="1" applyFont="1" applyFill="1" applyBorder="1" applyAlignment="1">
      <alignment vertical="center"/>
    </xf>
    <xf numFmtId="0" fontId="19" fillId="3" borderId="0" xfId="0" applyFont="1" applyFill="1" applyAlignment="1">
      <alignment horizontal="center"/>
    </xf>
    <xf numFmtId="14" fontId="19" fillId="8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66" fontId="19" fillId="3" borderId="0" xfId="1" applyNumberFormat="1" applyFont="1" applyFill="1" applyBorder="1" applyAlignment="1">
      <alignment horizontal="center" vertical="center"/>
    </xf>
    <xf numFmtId="166" fontId="19" fillId="8" borderId="0" xfId="1" applyNumberFormat="1" applyFont="1" applyFill="1" applyBorder="1" applyAlignment="1">
      <alignment horizontal="center" vertical="center" wrapText="1"/>
    </xf>
    <xf numFmtId="166" fontId="10" fillId="0" borderId="0" xfId="1" applyNumberFormat="1" applyFont="1" applyFill="1" applyBorder="1" applyAlignment="1">
      <alignment horizontal="center"/>
    </xf>
    <xf numFmtId="166" fontId="10" fillId="0" borderId="0" xfId="1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70" fontId="19" fillId="6" borderId="0" xfId="0" applyNumberFormat="1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3" fontId="19" fillId="8" borderId="0" xfId="1" applyFont="1" applyFill="1" applyAlignment="1">
      <alignment horizontal="center" vertical="center" wrapText="1"/>
    </xf>
    <xf numFmtId="169" fontId="10" fillId="0" borderId="0" xfId="1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3" fontId="19" fillId="8" borderId="0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17" fillId="0" borderId="0" xfId="0" applyNumberFormat="1" applyFont="1" applyAlignment="1">
      <alignment horizontal="center"/>
    </xf>
    <xf numFmtId="14" fontId="0" fillId="10" borderId="0" xfId="1" applyNumberFormat="1" applyFont="1" applyFill="1" applyBorder="1" applyAlignment="1">
      <alignment horizontal="center"/>
    </xf>
    <xf numFmtId="14" fontId="0" fillId="11" borderId="0" xfId="1" applyNumberFormat="1" applyFont="1" applyFill="1" applyBorder="1" applyAlignment="1">
      <alignment horizontal="center"/>
    </xf>
    <xf numFmtId="14" fontId="0" fillId="12" borderId="0" xfId="1" applyNumberFormat="1" applyFont="1" applyFill="1" applyBorder="1" applyAlignment="1">
      <alignment horizontal="center"/>
    </xf>
    <xf numFmtId="14" fontId="0" fillId="0" borderId="0" xfId="1" applyNumberFormat="1" applyFont="1" applyBorder="1" applyAlignment="1">
      <alignment horizontal="center"/>
    </xf>
    <xf numFmtId="14" fontId="0" fillId="13" borderId="0" xfId="1" applyNumberFormat="1" applyFont="1" applyFill="1" applyBorder="1" applyAlignment="1">
      <alignment horizontal="center"/>
    </xf>
    <xf numFmtId="14" fontId="12" fillId="0" borderId="0" xfId="1" applyNumberFormat="1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67" fontId="0" fillId="0" borderId="32" xfId="0" applyNumberFormat="1" applyBorder="1" applyAlignment="1">
      <alignment vertical="center"/>
    </xf>
    <xf numFmtId="167" fontId="0" fillId="0" borderId="31" xfId="0" applyNumberFormat="1" applyBorder="1" applyAlignment="1">
      <alignment vertical="center"/>
    </xf>
    <xf numFmtId="43" fontId="11" fillId="0" borderId="0" xfId="1" applyFont="1" applyFill="1" applyBorder="1"/>
    <xf numFmtId="14" fontId="32" fillId="0" borderId="2" xfId="0" applyNumberFormat="1" applyFont="1" applyBorder="1"/>
    <xf numFmtId="0" fontId="33" fillId="0" borderId="0" xfId="0" applyFont="1"/>
    <xf numFmtId="2" fontId="0" fillId="0" borderId="0" xfId="1" applyNumberFormat="1" applyFont="1" applyFill="1" applyAlignment="1">
      <alignment vertical="center"/>
    </xf>
    <xf numFmtId="0" fontId="2" fillId="0" borderId="0" xfId="0" applyFont="1"/>
    <xf numFmtId="0" fontId="34" fillId="0" borderId="0" xfId="0" applyFont="1"/>
    <xf numFmtId="14" fontId="34" fillId="0" borderId="0" xfId="0" applyNumberFormat="1" applyFont="1"/>
    <xf numFmtId="3" fontId="34" fillId="0" borderId="0" xfId="1" applyNumberFormat="1" applyFont="1" applyFill="1" applyBorder="1" applyAlignment="1"/>
    <xf numFmtId="1" fontId="34" fillId="0" borderId="0" xfId="0" applyNumberFormat="1" applyFont="1"/>
    <xf numFmtId="168" fontId="34" fillId="0" borderId="0" xfId="0" applyNumberFormat="1" applyFont="1" applyAlignment="1">
      <alignment horizontal="center"/>
    </xf>
    <xf numFmtId="9" fontId="34" fillId="0" borderId="0" xfId="0" applyNumberFormat="1" applyFont="1"/>
    <xf numFmtId="1" fontId="35" fillId="0" borderId="0" xfId="0" applyNumberFormat="1" applyFont="1"/>
    <xf numFmtId="43" fontId="34" fillId="0" borderId="0" xfId="1" applyFont="1" applyFill="1"/>
    <xf numFmtId="0" fontId="2" fillId="0" borderId="0" xfId="0" applyFont="1" applyAlignment="1">
      <alignment horizontal="center"/>
    </xf>
    <xf numFmtId="14" fontId="2" fillId="0" borderId="0" xfId="0" applyNumberFormat="1" applyFont="1"/>
    <xf numFmtId="169" fontId="2" fillId="0" borderId="0" xfId="0" applyNumberFormat="1" applyFont="1"/>
    <xf numFmtId="1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0" fontId="2" fillId="0" borderId="0" xfId="0" applyNumberFormat="1" applyFont="1"/>
    <xf numFmtId="0" fontId="34" fillId="0" borderId="21" xfId="0" applyFont="1" applyBorder="1" applyAlignment="1">
      <alignment horizontal="left"/>
    </xf>
    <xf numFmtId="168" fontId="34" fillId="0" borderId="0" xfId="0" applyNumberFormat="1" applyFont="1"/>
    <xf numFmtId="0" fontId="38" fillId="0" borderId="33" xfId="0" applyFont="1" applyBorder="1" applyAlignment="1">
      <alignment horizontal="left" vertical="center"/>
    </xf>
    <xf numFmtId="0" fontId="38" fillId="0" borderId="21" xfId="0" applyFont="1" applyBorder="1" applyAlignment="1">
      <alignment horizontal="left" vertical="center"/>
    </xf>
    <xf numFmtId="0" fontId="1" fillId="0" borderId="0" xfId="0" applyFont="1"/>
    <xf numFmtId="1" fontId="0" fillId="0" borderId="6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167" fontId="0" fillId="0" borderId="0" xfId="0" applyNumberFormat="1" applyFont="1" applyFill="1" applyBorder="1" applyAlignment="1">
      <alignment vertical="center"/>
    </xf>
    <xf numFmtId="3" fontId="14" fillId="0" borderId="0" xfId="0" applyNumberFormat="1" applyFont="1" applyFill="1" applyBorder="1" applyAlignment="1">
      <alignment vertical="center"/>
    </xf>
    <xf numFmtId="2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" fontId="0" fillId="0" borderId="8" xfId="0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1" fontId="0" fillId="0" borderId="0" xfId="0" applyNumberFormat="1" applyFont="1" applyFill="1" applyBorder="1" applyAlignment="1">
      <alignment vertical="center"/>
    </xf>
    <xf numFmtId="0" fontId="10" fillId="0" borderId="0" xfId="0" applyNumberFormat="1" applyFont="1" applyFill="1" applyBorder="1" applyAlignment="1">
      <alignment horizontal="center"/>
    </xf>
    <xf numFmtId="3" fontId="10" fillId="0" borderId="1" xfId="0" applyNumberFormat="1" applyFont="1" applyFill="1" applyBorder="1" applyAlignment="1">
      <alignment horizontal="center"/>
    </xf>
    <xf numFmtId="14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9" fontId="10" fillId="0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3" fontId="10" fillId="0" borderId="0" xfId="0" applyNumberFormat="1" applyFont="1" applyFill="1" applyBorder="1" applyAlignment="1">
      <alignment horizontal="center"/>
    </xf>
    <xf numFmtId="3" fontId="10" fillId="0" borderId="17" xfId="0" applyNumberFormat="1" applyFont="1" applyFill="1" applyBorder="1" applyAlignment="1">
      <alignment horizontal="center"/>
    </xf>
    <xf numFmtId="0" fontId="0" fillId="0" borderId="0" xfId="0" applyFont="1"/>
    <xf numFmtId="0" fontId="10" fillId="0" borderId="0" xfId="0" applyFont="1" applyFill="1" applyBorder="1" applyAlignment="1">
      <alignment horizontal="center"/>
    </xf>
    <xf numFmtId="0" fontId="34" fillId="0" borderId="0" xfId="0" applyNumberFormat="1" applyFont="1" applyFill="1" applyBorder="1"/>
    <xf numFmtId="0" fontId="34" fillId="0" borderId="34" xfId="0" applyFont="1" applyFill="1" applyBorder="1"/>
    <xf numFmtId="0" fontId="1" fillId="0" borderId="0" xfId="0" applyNumberFormat="1" applyFont="1" applyFill="1" applyBorder="1"/>
    <xf numFmtId="14" fontId="34" fillId="0" borderId="0" xfId="0" applyNumberFormat="1" applyFont="1" applyFill="1" applyBorder="1"/>
    <xf numFmtId="168" fontId="34" fillId="0" borderId="0" xfId="0" applyNumberFormat="1" applyFont="1" applyFill="1" applyBorder="1"/>
    <xf numFmtId="1" fontId="34" fillId="0" borderId="0" xfId="0" applyNumberFormat="1" applyFont="1" applyFill="1" applyBorder="1"/>
    <xf numFmtId="168" fontId="34" fillId="0" borderId="0" xfId="0" applyNumberFormat="1" applyFont="1" applyBorder="1" applyAlignment="1">
      <alignment horizontal="center"/>
    </xf>
    <xf numFmtId="9" fontId="34" fillId="0" borderId="0" xfId="0" applyNumberFormat="1" applyFont="1" applyFill="1" applyBorder="1"/>
    <xf numFmtId="1" fontId="35" fillId="0" borderId="0" xfId="0" applyNumberFormat="1" applyFont="1" applyFill="1" applyBorder="1"/>
    <xf numFmtId="43" fontId="34" fillId="0" borderId="0" xfId="1" applyFont="1" applyFill="1" applyBorder="1"/>
    <xf numFmtId="0" fontId="34" fillId="0" borderId="0" xfId="0" applyFont="1" applyFill="1" applyBorder="1"/>
    <xf numFmtId="0" fontId="1" fillId="0" borderId="0" xfId="0" applyFont="1" applyFill="1" applyBorder="1"/>
    <xf numFmtId="0" fontId="11" fillId="0" borderId="0" xfId="0" applyFont="1" applyFill="1" applyBorder="1"/>
    <xf numFmtId="1" fontId="11" fillId="0" borderId="0" xfId="0" applyNumberFormat="1" applyFont="1" applyFill="1" applyBorder="1"/>
    <xf numFmtId="168" fontId="11" fillId="0" borderId="0" xfId="0" applyNumberFormat="1" applyFont="1" applyFill="1" applyBorder="1"/>
    <xf numFmtId="14" fontId="11" fillId="0" borderId="0" xfId="0" applyNumberFormat="1" applyFont="1" applyFill="1" applyBorder="1"/>
    <xf numFmtId="0" fontId="0" fillId="7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169" fontId="19" fillId="4" borderId="0" xfId="0" applyNumberFormat="1" applyFont="1" applyFill="1" applyAlignment="1">
      <alignment horizontal="center"/>
    </xf>
    <xf numFmtId="169" fontId="19" fillId="5" borderId="0" xfId="0" applyNumberFormat="1" applyFont="1" applyFill="1" applyAlignment="1">
      <alignment horizontal="center"/>
    </xf>
    <xf numFmtId="43" fontId="19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Font="1" applyFill="1" applyBorder="1"/>
  </cellXfs>
  <cellStyles count="20">
    <cellStyle name="Millares" xfId="1" builtinId="3"/>
    <cellStyle name="Millares 10" xfId="2" xr:uid="{938630E3-EE13-47D2-B1D9-058D736043AB}"/>
    <cellStyle name="Millares 10 2" xfId="10" xr:uid="{388CDFF2-6831-4D60-92DB-5C740C47B5B2}"/>
    <cellStyle name="Millares 10 3" xfId="17" xr:uid="{D3BA9012-FBAF-45ED-B691-D3E0A720F0A4}"/>
    <cellStyle name="Millares 2" xfId="5" xr:uid="{56656C38-537B-4FB0-9636-9625D70F4C29}"/>
    <cellStyle name="Millares 2 2" xfId="12" xr:uid="{645BE573-2B01-41D6-B0B3-A7B33A09D742}"/>
    <cellStyle name="Millares 2 3" xfId="19" xr:uid="{4A728A49-D89D-41DF-BF28-1E13DDD7D205}"/>
    <cellStyle name="Millares 3" xfId="7" xr:uid="{81DAD8AE-DC19-493E-AFDD-BB3CAB1A8F95}"/>
    <cellStyle name="Millares 3 2" xfId="14" xr:uid="{69F13A57-1982-4091-9678-1E5329A3D617}"/>
    <cellStyle name="Millares 4" xfId="4" xr:uid="{8E171DB8-85D9-41A5-8673-3110082ED5F5}"/>
    <cellStyle name="Millares 4 2" xfId="11" xr:uid="{6E5245E6-D74B-4E1C-9706-531E2F192956}"/>
    <cellStyle name="Millares 4 2 2" xfId="18" xr:uid="{4FDF83DC-1C96-4B40-B03B-5FDE342BCE87}"/>
    <cellStyle name="Millares 4 3" xfId="8" xr:uid="{F46FFFA7-426B-4828-AC0C-AE9F480E67B3}"/>
    <cellStyle name="Millares 4 4" xfId="15" xr:uid="{22451658-1D5E-4755-BB11-496BAC5CD737}"/>
    <cellStyle name="Millares 5" xfId="9" xr:uid="{F21EE9A2-8924-4BE7-86FE-413B62002CFC}"/>
    <cellStyle name="Millares 5 2" xfId="16" xr:uid="{8A7218C2-149C-4C8A-A35D-122374366F01}"/>
    <cellStyle name="Millares 6" xfId="6" xr:uid="{196343C7-FD77-4FA9-88CD-7948BE97EB36}"/>
    <cellStyle name="Millares 7" xfId="13" xr:uid="{70F3F99F-2BE2-4A87-9C2A-B312E78419C1}"/>
    <cellStyle name="Normal" xfId="0" builtinId="0"/>
    <cellStyle name="Normal 2" xfId="3" xr:uid="{99FBB23D-B1C5-4916-9C48-0AD34642AC5A}"/>
  </cellStyles>
  <dxfs count="613"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4" formatCode="_-* #,##0.00_-;\-* #,##0.00_-;_-* &quot;-&quot;??_-;_-@_-"/>
    </dxf>
    <dxf>
      <numFmt numFmtId="164" formatCode="_-* #,##0.00_-;\-* #,##0.00_-;_-* &quot;-&quot;??_-;_-@_-"/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\ _€_-;\-* #,##0.00\ _€_-;_-* &quot;-&quot;??\ _€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theme="0"/>
        </patternFill>
      </fill>
    </dxf>
    <dxf>
      <numFmt numFmtId="19" formatCode="dd/mm/yyyy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3" formatCode="0%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8" formatCode="0.00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sz val="11"/>
        <color theme="0"/>
        <name val="Calibri"/>
        <scheme val="minor"/>
      </font>
      <fill>
        <patternFill patternType="none">
          <fgColor indexed="64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z val="11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166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z val="11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\ _€_-;\-* #,##0.0\ _€_-;_-* &quot;-&quot;??\ _€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left/>
        <right/>
        <top/>
        <bottom/>
      </border>
    </dxf>
    <dxf>
      <font>
        <sz val="11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sz val="11"/>
      </font>
      <fill>
        <patternFill patternType="none"/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\ _€_-;\-* #,##0.0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\ _€_-;\-* #,##0\ _€_-;_-* &quot;-&quot;??\ _€_-;_-@_-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\ _€_-;\-* #,##0\ _€_-;_-* &quot;-&quot;??\ _€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9" formatCode="_-* #,##0_-;\-* #,##0_-;_-* &quot;-&quot;??_-;_-@_-"/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rgb="FFFFA3A3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59996337778862885"/>
        </patternFill>
      </fill>
    </dxf>
    <dxf>
      <font>
        <b/>
      </font>
    </dxf>
    <dxf>
      <alignment vertical="center"/>
    </dxf>
    <dxf>
      <alignment vertical="center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color rgb="FF0070C0"/>
      </font>
    </dxf>
    <dxf>
      <font>
        <color rgb="FF0070C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" formatCode="0"/>
    </dxf>
    <dxf>
      <numFmt numFmtId="164" formatCode="_-* #,##0.00_-;\-* #,##0.00_-;_-* &quot;-&quot;??_-;_-@_-"/>
    </dxf>
    <dxf>
      <numFmt numFmtId="169" formatCode="_-* #,##0_-;\-* #,##0_-;_-* &quot;-&quot;??_-;_-@_-"/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font>
        <b/>
        <i val="0"/>
        <color rgb="FF9C0006"/>
      </font>
    </dxf>
    <dxf>
      <font>
        <b/>
        <i val="0"/>
        <color theme="9" tint="-0.499984740745262"/>
      </font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" formatCode="0"/>
    </dxf>
    <dxf>
      <numFmt numFmtId="164" formatCode="_-* #,##0.00_-;\-* #,##0.00_-;_-* &quot;-&quot;??_-;_-@_-"/>
    </dxf>
    <dxf>
      <numFmt numFmtId="164" formatCode="_-* #,##0.00_-;\-* #,##0.00_-;_-* &quot;-&quot;??_-;_-@_-"/>
    </dxf>
    <dxf>
      <numFmt numFmtId="1" formatCode="0"/>
    </dxf>
    <dxf>
      <numFmt numFmtId="164" formatCode="_-* #,##0.00_-;\-* #,##0.00_-;_-* &quot;-&quot;??_-;_-@_-"/>
    </dxf>
  </dxfs>
  <tableStyles count="0" defaultTableStyle="TableStyleMedium2" defaultPivotStyle="PivotStyleLight16"/>
  <colors>
    <mruColors>
      <color rgb="FFFFA3A3"/>
      <color rgb="FFF7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D3A23982-3217-4F3B-8050-76A13114FA6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Título del gráfico</a:t>
          </a:r>
        </a:p>
      </cx:txPr>
    </cx:title>
    <cx:plotArea>
      <cx:plotAreaRegion>
        <cx:series layoutId="boxWhisker" uniqueId="{ED664DFD-C252-4869-830F-71091E8C9C1B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552450</xdr:colOff>
      <xdr:row>3</xdr:row>
      <xdr:rowOff>133350</xdr:rowOff>
    </xdr:from>
    <xdr:to>
      <xdr:col>8</xdr:col>
      <xdr:colOff>704850</xdr:colOff>
      <xdr:row>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">
              <a:extLst>
                <a:ext uri="{FF2B5EF4-FFF2-40B4-BE49-F238E27FC236}">
                  <a16:creationId xmlns:a16="http://schemas.microsoft.com/office/drawing/2014/main" i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20025" y="704850"/>
              <a:ext cx="895350" cy="81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5</xdr:col>
      <xdr:colOff>209550</xdr:colOff>
      <xdr:row>3</xdr:row>
      <xdr:rowOff>152400</xdr:rowOff>
    </xdr:from>
    <xdr:to>
      <xdr:col>7</xdr:col>
      <xdr:colOff>390525</xdr:colOff>
      <xdr:row>15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 1">
              <a:extLst>
                <a:ext uri="{FF2B5EF4-FFF2-40B4-BE49-F238E27FC236}">
                  <a16:creationId xmlns:a16="http://schemas.microsoft.com/office/drawing/2014/main" id="{8147659E-8BA2-90F2-F411-6D68213B7948}"/>
                </a:ext>
                <a:ext uri="{147F2762-F138-4A5C-976F-8EAC2B608ADB}">
                  <a16:predDERef xmlns:a16="http://schemas.microsoft.com/office/drawing/2014/main" pred="{3FA82E87-3587-98BE-D240-C5394CC817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9875" y="723900"/>
              <a:ext cx="1038225" cy="2409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1997</xdr:row>
      <xdr:rowOff>0</xdr:rowOff>
    </xdr:to>
    <xdr:sp macro="" textlink="">
      <xdr:nvSpPr>
        <xdr:cNvPr id="40781" name="AutoShape 11085">
          <a:extLst>
            <a:ext uri="{FF2B5EF4-FFF2-40B4-BE49-F238E27FC236}">
              <a16:creationId xmlns:a16="http://schemas.microsoft.com/office/drawing/2014/main" id="{38D4626E-7DE8-4507-8B57-9FE0670E52E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167</xdr:row>
      <xdr:rowOff>133350</xdr:rowOff>
    </xdr:from>
    <xdr:to>
      <xdr:col>13</xdr:col>
      <xdr:colOff>457200</xdr:colOff>
      <xdr:row>182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32518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11</xdr:col>
      <xdr:colOff>361950</xdr:colOff>
      <xdr:row>175</xdr:row>
      <xdr:rowOff>152400</xdr:rowOff>
    </xdr:from>
    <xdr:to>
      <xdr:col>19</xdr:col>
      <xdr:colOff>47625</xdr:colOff>
      <xdr:row>190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4BEAFE3F-3B4E-5484-0CF3-FAB4CBC90447}"/>
                </a:ext>
                <a:ext uri="{147F2762-F138-4A5C-976F-8EAC2B608ADB}">
                  <a16:predDERef xmlns:a16="http://schemas.microsoft.com/office/drawing/2014/main" pred="{3FF93903-2941-507B-0422-545DB0804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9000" y="34061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0</xdr:row>
      <xdr:rowOff>114300</xdr:rowOff>
    </xdr:from>
    <xdr:to>
      <xdr:col>11</xdr:col>
      <xdr:colOff>314325</xdr:colOff>
      <xdr:row>14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F0A3A287-652A-02C1-2AC8-5BE3BF4778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6100" y="114300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lexi Pluas - Asistente Administrativo" id="{FCF8ECD5-8786-41B9-B4BC-0F6D4DFA71BD}" userId="S::jpluasr@cofimar.com.ec::5ad8f382-26a8-4283-93f3-a99612592a3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67.433349999999" createdVersion="8" refreshedVersion="6" minRefreshableVersion="3" recordCount="416" xr:uid="{6A107B60-7407-4FCA-86FC-749FE860C235}">
  <cacheSource type="worksheet">
    <worksheetSource name="TablaPrincipal"/>
  </cacheSource>
  <cacheFields count="50">
    <cacheField name="FECHA" numFmtId="14">
      <sharedItems containsSemiMixedTypes="0" containsNonDate="0" containsDate="1" containsString="0" minDate="2026-01-02T00:00:00" maxDate="2026-05-25T00:00:00"/>
    </cacheField>
    <cacheField name="ID" numFmtId="0">
      <sharedItems containsSemiMixedTypes="0" containsString="0" containsNumber="1" containsInteger="1" minValue="1" maxValue="416"/>
    </cacheField>
    <cacheField name="AÑO" numFmtId="0">
      <sharedItems containsSemiMixedTypes="0" containsString="0" containsNumber="1" containsInteger="1" minValue="2026" maxValue="2026"/>
    </cacheField>
    <cacheField name="AGUAJE " numFmtId="0">
      <sharedItems/>
    </cacheField>
    <cacheField name="MES" numFmtId="0">
      <sharedItems containsBlank="1" count="10">
        <s v="ENERO"/>
        <s v="FEBRERO"/>
        <s v="MARZO"/>
        <s v="ABRIL"/>
        <s v="MAYO"/>
        <m u="1"/>
        <s v="JULIO" u="1"/>
        <s v="JUNIO" u="1"/>
        <s v="SEPTIEMBRE" u="1"/>
        <s v="AGOSTO" u="1"/>
      </sharedItems>
    </cacheField>
    <cacheField name="PISCINA" numFmtId="0">
      <sharedItems/>
    </cacheField>
    <cacheField name="SECTOR" numFmtId="0">
      <sharedItems containsBlank="1" count="24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m u="1"/>
        <s v="KRISMAR 2" u="1"/>
        <s v="RK2" u="1"/>
        <s v="KRISMAR 1" u="1"/>
        <s v="PAMPANITO" u="1"/>
        <s v="ORCA" u="1"/>
        <s v="KRISMAR 3" u="1"/>
        <s v="RK 2" u="1"/>
        <s v="RK 1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 containsBlank="1" count="6">
        <s v="CONVENCIONAL"/>
        <s v="ASC-BAP"/>
        <s v="ASC"/>
        <s v="BAP"/>
        <m u="1"/>
        <s v="-" u="1"/>
      </sharedItems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3-29T00:00:00"/>
    </cacheField>
    <cacheField name="PRE" numFmtId="0">
      <sharedItems/>
    </cacheField>
    <cacheField name="PESO DE SIEMBRA" numFmtId="2">
      <sharedItems containsSemiMixedTypes="0" containsString="0" containsNumber="1" minValue="0.15" maxValue="7.5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80000" maxValue="290000"/>
    </cacheField>
    <cacheField name="DENSIDAD M2" numFmtId="166">
      <sharedItems containsSemiMixedTypes="0" containsString="0" containsNumber="1" minValue="8" maxValue="29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920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40.5"/>
    </cacheField>
    <cacheField name="GRAMAJE RALEO PLANTA" numFmtId="164">
      <sharedItems containsSemiMixedTypes="0" containsString="0" containsNumber="1" minValue="0" maxValue="38.86"/>
    </cacheField>
    <cacheField name="LBS/HA RALEO" numFmtId="169">
      <sharedItems containsSemiMixedTypes="0" containsString="0" containsNumber="1" minValue="0" maxValue="8988.5659526493801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0" maxValue="108600"/>
    </cacheField>
    <cacheField name="LIBRAS PLANTA" numFmtId="169">
      <sharedItems containsSemiMixedTypes="0" containsString="0" containsNumber="1" minValue="0" maxValue="116887.2"/>
    </cacheField>
    <cacheField name="GRAMAJE CAMARONERA" numFmtId="164">
      <sharedItems containsSemiMixedTypes="0" containsString="0" containsNumber="1" minValue="16.5" maxValue="50"/>
    </cacheField>
    <cacheField name="GRAMOS PLANTA" numFmtId="164">
      <sharedItems containsSemiMixedTypes="0" containsString="0" containsNumber="1" minValue="16.399999999999999" maxValue="51"/>
    </cacheField>
    <cacheField name="LBS/HA COSECHA" numFmtId="169">
      <sharedItems containsSemiMixedTypes="0" containsString="0" containsNumber="1" minValue="0" maxValue="8388.1"/>
    </cacheField>
    <cacheField name="CAM COSECHADOS" numFmtId="169">
      <sharedItems containsSemiMixedTypes="0" containsString="0" containsNumber="1" minValue="0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553603.2560297833"/>
    </cacheField>
    <cacheField name="LBS/HA" numFmtId="169">
      <sharedItems containsSemiMixedTypes="0" containsString="0" containsNumber="1" minValue="1412.0628571428572" maxValue="11880.823357664236"/>
    </cacheField>
    <cacheField name="INCREM" numFmtId="164">
      <sharedItems containsSemiMixedTypes="0" containsString="0" containsNumber="1" minValue="1.6430769230769231" maxValue="4.7780645161290316"/>
    </cacheField>
    <cacheField name="LBS/HA/DIA" numFmtId="164">
      <sharedItems containsSemiMixedTypes="0" containsString="0" containsNumber="1" minValue="15.056882591093117" maxValue="214.77945652173912"/>
    </cacheField>
    <cacheField name="SOBREVIVENCIA" numFmtId="164">
      <sharedItems containsSemiMixedTypes="0" containsString="0" containsNumber="1" minValue="10.627221953830269" maxValue="100.10972989326649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436930354759383" maxValue="7.8807907126820016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5463.409999999996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6.86"/>
    </cacheField>
    <cacheField name="DIF LIQUID GR" numFmtId="3">
      <sharedItems containsSemiMixedTypes="0" containsString="0" containsNumber="1" minValue="-5.68" maxValue="6.3900000000000006"/>
    </cacheField>
    <cacheField name="JEFE DE SECTOR" numFmtId="0">
      <sharedItems/>
    </cacheField>
    <cacheField name="CODIGO" numFmtId="0">
      <sharedItems count="367">
        <s v="PR 28"/>
        <s v="PR 14"/>
        <s v="TI 19"/>
        <s v="CA 17"/>
        <s v="PR 16"/>
        <s v="TI 17"/>
        <s v="CH 18"/>
        <s v="PR 03"/>
        <s v="CA 18"/>
        <s v="CH 20"/>
        <s v="DE 19"/>
        <s v="PR 05"/>
        <s v="TI 06"/>
        <s v="ME 13"/>
        <s v="ME 19"/>
        <s v="PR 15"/>
        <s v="TI 07"/>
        <s v="WA 14"/>
        <s v="DE 15"/>
        <s v="DO 06"/>
        <s v="DO 07"/>
        <s v="PA 14"/>
        <s v="RO 11"/>
        <s v="DE 27"/>
        <s v="RO 13"/>
        <s v="DO 28"/>
        <s v="GT 21"/>
        <s v="RO 12"/>
        <s v="CA 10"/>
        <s v="DO 20"/>
        <s v="GT 04"/>
        <s v="PR 17"/>
        <s v="CH 21"/>
        <s v="GT 18"/>
        <s v="PR 21"/>
        <s v="PR 22"/>
        <s v="TA 08"/>
        <s v="CH 23"/>
        <s v="DO 09"/>
        <s v="GT 15"/>
        <s v="PR 29"/>
        <s v="CH 24"/>
        <s v="DO 08"/>
        <s v="GT 07"/>
        <s v="PR 31"/>
        <s v="RO 07"/>
        <s v="DO 30"/>
        <s v="GT 05"/>
        <s v="PR 02"/>
        <s v="PR 24"/>
        <s v="TI 11"/>
        <s v="WA 04"/>
        <s v="WA PC 04"/>
        <s v="DO 23"/>
        <s v="TI 14"/>
        <s v="PR 27"/>
        <s v="TA 06"/>
        <s v="WA 37"/>
        <s v="PA 11"/>
        <s v="PR 32"/>
        <s v="TA 01"/>
        <s v="PA 10"/>
        <s v="TA 27"/>
        <s v="DO 12"/>
        <s v="PA 08"/>
        <s v="TA 13"/>
        <s v="TA 24"/>
        <s v="TI 01"/>
        <s v="DE 07"/>
        <s v="PA 09"/>
        <s v="TA 15"/>
        <s v="CH 16"/>
        <s v="DE 09"/>
        <s v="PR 09"/>
        <s v="TI 13"/>
        <s v="TA 03"/>
        <s v="TA 10"/>
        <s v="CH 05"/>
        <s v="DE 24"/>
        <s v="DO 05"/>
        <s v="DO 19"/>
        <s v="TU 4A"/>
        <s v="DE 22"/>
        <s v="TI 03"/>
        <s v="TU 03"/>
        <s v="WA 25"/>
        <s v="WA 26"/>
        <s v="TU 02"/>
        <s v="CH 04"/>
        <s v="CH 08"/>
        <s v="DE 21"/>
        <s v="DE 20"/>
        <s v="TU 01"/>
        <s v="CH 15"/>
        <s v="DE 03"/>
        <s v="PA 05"/>
        <s v="RO 14"/>
        <s v="RO 08"/>
        <s v="CA 03"/>
        <s v="TA 11"/>
        <s v="BA 04"/>
        <s v="CA 04"/>
        <s v="TA PC 17"/>
        <s v="BA 03"/>
        <s v="DO 27"/>
        <s v="BA 02"/>
        <s v="DO 04"/>
        <s v="BA 05"/>
        <s v="ME 09"/>
        <s v="WA 13"/>
        <s v="CA 09"/>
        <s v="CA 07"/>
        <s v="CH 01"/>
        <s v="WA 30"/>
        <s v="CH 11"/>
        <s v="RO 03"/>
        <s v="CH 09"/>
        <s v="DO 21"/>
        <s v="PR 06"/>
        <s v="TU 06"/>
        <s v="CH 13"/>
        <s v="DO 11"/>
        <s v="DO 13"/>
        <s v="MA 11"/>
        <s v="GT 17"/>
        <s v="ME 17"/>
        <s v="TI 02"/>
        <s v="BA 01"/>
        <s v="ME 03"/>
        <s v="ME 14"/>
        <s v="PR 11"/>
        <s v="TA 26"/>
        <s v="GT 16"/>
        <s v="TI 09"/>
        <s v="GT 14"/>
        <s v="ME 15"/>
        <s v="ME 18"/>
        <s v="WA 32"/>
        <s v="TI 08"/>
        <s v="GT 06"/>
        <s v="TA 7A"/>
        <s v="GT 19"/>
        <s v="BA 06"/>
        <s v="DE 06"/>
        <s v="GT 20"/>
        <s v="PA 03"/>
        <s v="CA 16"/>
        <s v="MA 09"/>
        <s v="PA 18"/>
        <s v="CH 22"/>
        <s v="CH 25"/>
        <s v="TA 16"/>
        <s v="DO 14"/>
        <s v="CH 12"/>
        <s v="DO 10"/>
        <s v="PR 01"/>
        <s v="DE 13"/>
        <s v="DO 16"/>
        <s v="DE 12"/>
        <s v="RO 10"/>
        <s v="WA 21"/>
        <s v="TI 10"/>
        <s v="PA 19"/>
        <s v="DO 03"/>
        <s v="PR 12"/>
        <s v="ME 16"/>
        <s v="PA 02"/>
        <s v="RO 04"/>
        <s v="DE 04"/>
        <s v="ME 11"/>
        <s v="DO 17"/>
        <s v="MA 10"/>
        <s v="DE 18"/>
        <s v="CH 19"/>
        <s v="DO 01"/>
        <s v="MA 01"/>
        <s v="PR 07"/>
        <s v="CH 02"/>
        <s v="DE 16"/>
        <s v="ME 04"/>
        <s v="PR 20"/>
        <s v="DE 08"/>
        <s v="CA 05"/>
        <s v="ME 02"/>
        <s v="PR 30"/>
        <s v="GT 01"/>
        <s v="ME 01"/>
        <s v="ME 10"/>
        <s v="DE 10"/>
        <s v="PR 18"/>
        <s v="CH 07"/>
        <s v="RO 05"/>
        <s v="CH 03"/>
        <s v="DO 29"/>
        <s v="PA 13"/>
        <s v="PR 10"/>
        <s v="TI 04"/>
        <s v="ME 05"/>
        <s v="CH 06"/>
        <s v="ME 07"/>
        <s v="TA 12"/>
        <s v="RO 15"/>
        <s v="CA 14"/>
        <s v="DE 01"/>
        <s v="DO 18"/>
        <s v="PR 19"/>
        <s v="PR 13"/>
        <s v="TI 15"/>
        <s v="DE 02"/>
        <s v="DE 23"/>
        <s v="TI 16"/>
        <s v="PA 06"/>
        <s v="TA 18"/>
        <s v="PA 17"/>
        <s v="DO 24"/>
        <s v="DO 26"/>
        <s v="DE 05"/>
        <s v="GT 13"/>
        <s v="WA 01"/>
        <s v="GT 12"/>
        <s v="TI 20"/>
        <s v="GT 10"/>
        <s v="TI 05"/>
        <s v="CA 12"/>
        <s v="CA 13"/>
        <s v="GT 11"/>
        <s v="CA 21"/>
        <s v="GT 02"/>
        <s v="TI 12"/>
        <s v="CH 10"/>
        <s v="DO 22"/>
        <s v="WA 11"/>
        <s v="CH 14"/>
        <s v="PA 15"/>
        <s v="GT 03"/>
        <s v="GT 08"/>
        <s v="WA 36"/>
        <s v="GT 09"/>
        <s v="WA 38"/>
        <s v="DO 25"/>
        <s v="PA 12"/>
        <s v="WA 02"/>
        <s v="WA 19"/>
        <s v="WA 12"/>
        <s v="WA 03"/>
        <s v="WA 07"/>
        <s v="WA 16"/>
        <s v="WA 29"/>
        <s v="WA 05"/>
        <s v="WA 24"/>
        <s v="WA 08"/>
        <s v="WA 20"/>
        <s v="WA 35"/>
        <s v="WA 10"/>
        <s v="WA 28"/>
        <s v="DO 02"/>
        <s v="WA 31"/>
        <s v="WA 33"/>
        <s v="WA 34"/>
        <s v="R2 22" u="1"/>
        <s v="TI 18" u="1"/>
        <s v="R2 19" u="1"/>
        <s v="OR 15" u="1"/>
        <s v="K2 03" u="1"/>
        <s v="K1 06" u="1"/>
        <s v="K3 25" u="1"/>
        <s v="OR 24" u="1"/>
        <s v="PT 11" u="1"/>
        <s v="K2 12" u="1"/>
        <s v="K3 06" u="1"/>
        <s v="OR 05" u="1"/>
        <s v="K1 15" u="1"/>
        <s v="K2 09" u="1"/>
        <s v="R2 21" u="1"/>
        <s v="CA 24" u="1"/>
        <s v="R1 24" u="1"/>
        <s v="R2 18" u="1"/>
        <s v="OR 14" u="1"/>
        <s v="TA 25" u="1"/>
        <s v="K2 02" u="1"/>
        <s v="K1 05" u="1"/>
        <s v="K3 24" u="1"/>
        <s v="OR 23" u="1"/>
        <s v="MA 06" u="1"/>
        <s v="K3 05" u="1"/>
        <s v="OR 04" u="1"/>
        <s v="R2 20" u="1"/>
        <s v="CA 23" u="1"/>
        <s v="R1 23" u="1"/>
        <s v="R2 17" u="1"/>
        <s v="K3 14" u="1"/>
        <s v="OR 13" u="1"/>
        <s v="DE 26" u="1"/>
        <s v="ME 06" u="1"/>
        <s v="PR 25" u="1"/>
        <s v="K2 01" u="1"/>
        <s v="PA 07" u="1"/>
        <s v="K1 04" u="1"/>
        <s v="K3 23" u="1"/>
        <s v="OR 22" u="1"/>
        <s v="OR 19" u="1"/>
        <s v="MA 05" u="1"/>
        <s v="K3 04" u="1"/>
        <s v="OR 03" u="1"/>
        <s v="PT 06" u="1"/>
        <s v="K1 13" u="1"/>
        <s v="CA 22" u="1"/>
        <s v="K3 29" u="1"/>
        <s v="R1 22" u="1"/>
        <s v="R2 16" u="1"/>
        <s v="K3 13" u="1"/>
        <s v="TA 23" u="1"/>
        <s v="K2 16" u="1"/>
        <s v="OR 09" u="1"/>
        <s v="K1 19" u="1"/>
        <s v="OR 21" u="1"/>
        <s v="K3 19" u="1"/>
        <s v="OR 18" u="1"/>
        <s v="MA 04" u="1"/>
        <s v="OR 02" u="1"/>
        <s v="K1 12" u="1"/>
        <s v="K2 06" u="1"/>
        <s v="K3 31" u="1"/>
        <s v="K1 09" u="1"/>
        <s v="K3 28" u="1"/>
        <s v="R1 21" u="1"/>
        <s v="K3 12" u="1"/>
        <s v="OR 11" u="1"/>
        <s v="TA 22" u="1"/>
        <s v="K2 15" u="1"/>
        <s v="K3 09" u="1"/>
        <s v="OR 08" u="1"/>
        <s v="TA 19" u="1"/>
        <s v="R2 24" u="1"/>
        <s v="K1 02" u="1"/>
        <s v="OR 20" u="1"/>
        <s v="K3 18" u="1"/>
        <s v="OR 17" u="1"/>
        <s v="K1 11" u="1"/>
        <s v="K2 05" u="1"/>
        <s v="K3 30" u="1"/>
        <s v="K1 08" u="1"/>
        <s v="K3 11" u="1"/>
        <s v="OR 10" u="1"/>
        <s v="TA 21" u="1"/>
        <s v="TU 05" u="1"/>
        <s v="K3 PC 04" u="1"/>
        <s v="DO 15" u="1"/>
        <s v="K2 14" u="1"/>
        <s v="OR 07" u="1"/>
        <s v="R2 23" u="1"/>
        <s v="PA 04" u="1"/>
        <s v="K1 01" u="1"/>
        <s v="K3 20" u="1"/>
        <s v="ME 12" u="1"/>
        <s v="OR 16" u="1"/>
        <s v="K3 01" u="1"/>
        <s v="K1 10" u="1"/>
        <s v="K2 04" u="1"/>
        <s v="K3 26" u="1"/>
        <s v="K3 10" u="1"/>
        <s v="TA 20" u="1"/>
        <s v="TU 04" u="1"/>
        <s v="K2 13" u="1"/>
        <s v="K3 07" u="1"/>
        <s v="OR 06" u="1"/>
        <s v="TA 17" u="1"/>
      </sharedItems>
    </cacheField>
    <cacheField name="JEFE SECTOR" numFmtId="3">
      <sharedItems/>
    </cacheField>
  </cacheFields>
  <extLst>
    <ext xmlns:x14="http://schemas.microsoft.com/office/spreadsheetml/2009/9/main" uri="{725AE2AE-9491-48be-B2B4-4EB974FC3084}">
      <x14:pivotCacheDefinition pivotCacheId="20745333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mendezg" refreshedDate="46167.433350347223" createdVersion="8" refreshedVersion="6" minRefreshableVersion="3" recordCount="416" xr:uid="{0DCD3F84-D558-443C-9649-3FA3F28CD45B}">
  <cacheSource type="worksheet">
    <worksheetSource name="TablaPrincipal[[FECHA]:[CODIGO]]"/>
  </cacheSource>
  <cacheFields count="49">
    <cacheField name="FECHA" numFmtId="14">
      <sharedItems containsSemiMixedTypes="0" containsNonDate="0" containsDate="1" containsString="0" minDate="2026-01-02T00:00:00" maxDate="2026-05-25T00:00:00"/>
    </cacheField>
    <cacheField name="ID" numFmtId="0">
      <sharedItems containsSemiMixedTypes="0" containsString="0" containsNumber="1" containsInteger="1" minValue="1" maxValue="416"/>
    </cacheField>
    <cacheField name="AÑO" numFmtId="0">
      <sharedItems containsSemiMixedTypes="0" containsString="0" containsNumber="1" containsInteger="1" minValue="2023" maxValue="2026" count="4">
        <n v="2026"/>
        <n v="2025" u="1"/>
        <n v="2023" u="1"/>
        <n v="2024" u="1"/>
      </sharedItems>
    </cacheField>
    <cacheField name="AGUAJE " numFmtId="0">
      <sharedItems/>
    </cacheField>
    <cacheField name="MES" numFmtId="0">
      <sharedItems count="9">
        <s v="ENERO"/>
        <s v="FEBRERO"/>
        <s v="MARZO"/>
        <s v="ABRIL"/>
        <s v="MAYO"/>
        <s v="DICIEMBRE" u="1"/>
        <s v="JULIO" u="1"/>
        <s v="JUNIO" u="1"/>
        <s v="AGOSTO" u="1"/>
      </sharedItems>
    </cacheField>
    <cacheField name="PISCINA" numFmtId="0">
      <sharedItems/>
    </cacheField>
    <cacheField name="SECTOR" numFmtId="0">
      <sharedItems count="20">
        <s v="PARGO ROJO"/>
        <s v="TIBURON"/>
        <s v="CATANUDA"/>
        <s v="CHERNA"/>
        <s v="DELFIN"/>
        <s v="MERO"/>
        <s v="WAHOO"/>
        <s v="DORADO"/>
        <s v="PAMPANO"/>
        <s v="ROBALO"/>
        <s v="GUATO"/>
        <s v="TAMBULERO"/>
        <s v="TUNA"/>
        <s v="BARRACUDA"/>
        <s v="MANTARRAYA"/>
        <s v="KRISMAR 2" u="1"/>
        <s v="KRISMAR 1" u="1"/>
        <s v="PAMPANITO" u="1"/>
        <s v="ORCA" u="1"/>
        <s v="KRISMAR 3" u="1"/>
      </sharedItems>
    </cacheField>
    <cacheField name="HAS" numFmtId="2">
      <sharedItems containsSemiMixedTypes="0" containsString="0" containsNumber="1" minValue="0.63" maxValue="25.38"/>
    </cacheField>
    <cacheField name="Certificación" numFmtId="0">
      <sharedItems/>
    </cacheField>
    <cacheField name="DIAS" numFmtId="0">
      <sharedItems containsSemiMixedTypes="0" containsString="0" containsNumber="1" containsInteger="1" minValue="37" maxValue="100"/>
    </cacheField>
    <cacheField name="FECHA DE SIEMBRA" numFmtId="14">
      <sharedItems containsSemiMixedTypes="0" containsNonDate="0" containsDate="1" containsString="0" minDate="2025-10-03T00:00:00" maxDate="2026-03-29T00:00:00"/>
    </cacheField>
    <cacheField name="PRE" numFmtId="0">
      <sharedItems/>
    </cacheField>
    <cacheField name="PESO DE SIEMBRA" numFmtId="2">
      <sharedItems containsSemiMixedTypes="0" containsString="0" containsNumber="1" minValue="0.15" maxValue="7.5"/>
    </cacheField>
    <cacheField name="DIAS SECOS" numFmtId="0">
      <sharedItems containsMixedTypes="1" containsNumber="1" containsInteger="1" minValue="1" maxValue="184"/>
    </cacheField>
    <cacheField name="ANIM SEMBRADOS" numFmtId="3">
      <sharedItems containsSemiMixedTypes="0" containsString="0" containsNumber="1" containsInteger="1" minValue="81900" maxValue="4010040"/>
    </cacheField>
    <cacheField name="DENSIDAD" numFmtId="166">
      <sharedItems containsSemiMixedTypes="0" containsString="0" containsNumber="1" minValue="80000" maxValue="290000"/>
    </cacheField>
    <cacheField name="DENSIDAD M2" numFmtId="166">
      <sharedItems containsSemiMixedTypes="0" containsString="0" containsNumber="1" minValue="8" maxValue="29"/>
    </cacheField>
    <cacheField name="LABORATORIO" numFmtId="0">
      <sharedItems/>
    </cacheField>
    <cacheField name="NAUPLIO" numFmtId="0">
      <sharedItems/>
    </cacheField>
    <cacheField name="TIPO DE SIEMBRA" numFmtId="0">
      <sharedItems/>
    </cacheField>
    <cacheField name="LIBRAS RALEO CAMARONERA" numFmtId="169">
      <sharedItems containsSemiMixedTypes="0" containsString="0" containsNumber="1" containsInteger="1" minValue="0" maxValue="109200"/>
    </cacheField>
    <cacheField name="LIBRAS RALEO PLANTA" numFmtId="169">
      <sharedItems containsSemiMixedTypes="0" containsString="0" containsNumber="1" minValue="0" maxValue="110278.9"/>
    </cacheField>
    <cacheField name="GRAMAJE RALEO CAMARONERA" numFmtId="164">
      <sharedItems containsSemiMixedTypes="0" containsString="0" containsNumber="1" minValue="0" maxValue="40.5"/>
    </cacheField>
    <cacheField name="GRAMAJE RALEO PLANTA" numFmtId="164">
      <sharedItems containsSemiMixedTypes="0" containsString="0" containsNumber="1" minValue="0" maxValue="38.86"/>
    </cacheField>
    <cacheField name="LBS/HA RALEO" numFmtId="169">
      <sharedItems containsSemiMixedTypes="0" containsString="0" containsNumber="1" minValue="0" maxValue="8988.5659526493801"/>
    </cacheField>
    <cacheField name="CAM COSECHADOS RALEO" numFmtId="169">
      <sharedItems containsSemiMixedTypes="0" containsString="0" containsNumber="1" minValue="0" maxValue="2080165.4010796682"/>
    </cacheField>
    <cacheField name="LIBRAS CAMARONERA" numFmtId="169">
      <sharedItems containsSemiMixedTypes="0" containsString="0" containsNumber="1" containsInteger="1" minValue="0" maxValue="108600"/>
    </cacheField>
    <cacheField name="LIBRAS PLANTA" numFmtId="169">
      <sharedItems containsSemiMixedTypes="0" containsString="0" containsNumber="1" minValue="0" maxValue="116887.2"/>
    </cacheField>
    <cacheField name="GRAMAJE CAMARONERA" numFmtId="164">
      <sharedItems containsSemiMixedTypes="0" containsString="0" containsNumber="1" minValue="16.5" maxValue="50"/>
    </cacheField>
    <cacheField name="GRAMOS PLANTA" numFmtId="164">
      <sharedItems containsSemiMixedTypes="0" containsString="0" containsNumber="1" minValue="16.399999999999999" maxValue="51"/>
    </cacheField>
    <cacheField name="LBS/HA COSECHA" numFmtId="169">
      <sharedItems containsSemiMixedTypes="0" containsString="0" containsNumber="1" minValue="0" maxValue="8388.1"/>
    </cacheField>
    <cacheField name="CAM COSECHADOS" numFmtId="169">
      <sharedItems containsSemiMixedTypes="0" containsString="0" containsNumber="1" minValue="0" maxValue="1406761.0171496153"/>
    </cacheField>
    <cacheField name="LIBRAS TOTALES" numFmtId="169">
      <sharedItems containsSemiMixedTypes="0" containsString="0" containsNumber="1" minValue="3644.5" maxValue="140409.59"/>
    </cacheField>
    <cacheField name="CAM COSECHADOS TOTALES" numFmtId="169">
      <sharedItems containsSemiMixedTypes="0" containsString="0" containsNumber="1" minValue="40753.768472906406" maxValue="2553603.2560297833"/>
    </cacheField>
    <cacheField name="LBS/HA" numFmtId="169">
      <sharedItems containsSemiMixedTypes="0" containsString="0" containsNumber="1" minValue="1412.0628571428572" maxValue="11880.823357664236"/>
    </cacheField>
    <cacheField name="INCREM" numFmtId="164">
      <sharedItems containsSemiMixedTypes="0" containsString="0" containsNumber="1" minValue="1.6430769230769231" maxValue="4.7780645161290316"/>
    </cacheField>
    <cacheField name="LBS/HA/DIA" numFmtId="164">
      <sharedItems containsSemiMixedTypes="0" containsString="0" containsNumber="1" minValue="15.056882591093117" maxValue="214.77945652173912"/>
    </cacheField>
    <cacheField name="SOBREVIVENCIA" numFmtId="164">
      <sharedItems containsSemiMixedTypes="0" containsString="0" containsNumber="1" minValue="10.627221953830269" maxValue="100.10972989326649"/>
    </cacheField>
    <cacheField name="BALANCEADO ACUMULADO (LBS)" numFmtId="169">
      <sharedItems containsSemiMixedTypes="0" containsString="0" containsNumber="1" minValue="6937.8762000000006" maxValue="198033.7065"/>
    </cacheField>
    <cacheField name="KG/HA" numFmtId="3">
      <sharedItems containsSemiMixedTypes="0" containsString="0" containsNumber="1" minValue="17.736411842686699" maxValue="92.391304347826093"/>
    </cacheField>
    <cacheField name="FCA" numFmtId="2">
      <sharedItems containsSemiMixedTypes="0" containsString="0" containsNumber="1" minValue="0.91436930354759383" maxValue="7.8807907126820016"/>
    </cacheField>
    <cacheField name="PROVEEDOR BALANCEADO" numFmtId="2">
      <sharedItems containsBlank="1"/>
    </cacheField>
    <cacheField name="MODO ALIMENTACION" numFmtId="2">
      <sharedItems containsBlank="1"/>
    </cacheField>
    <cacheField name="DIF RALEO" numFmtId="169">
      <sharedItems containsSemiMixedTypes="0" containsString="0" containsNumber="1" minValue="-5410.6999999999971" maxValue="5463.4099999999962"/>
    </cacheField>
    <cacheField name="DIF LIQUID" numFmtId="169">
      <sharedItems containsSemiMixedTypes="0" containsString="0" containsNumber="1" minValue="-2894.8799999999974" maxValue="10794.399999999994"/>
    </cacheField>
    <cacheField name="DIF RALEO GR" numFmtId="3">
      <sharedItems containsSemiMixedTypes="0" containsString="0" containsNumber="1" minValue="-2.5199999999999996" maxValue="16.86"/>
    </cacheField>
    <cacheField name="DIF LIQUID GR" numFmtId="3">
      <sharedItems containsSemiMixedTypes="0" containsString="0" containsNumber="1" minValue="-5.68" maxValue="6.3900000000000006"/>
    </cacheField>
    <cacheField name="JEFE DE SECTOR" numFmtId="0">
      <sharedItems/>
    </cacheField>
    <cacheField name="CODIGO" numFmtId="0">
      <sharedItems/>
    </cacheField>
  </cacheFields>
  <extLst>
    <ext xmlns:x14="http://schemas.microsoft.com/office/spreadsheetml/2009/9/main" uri="{725AE2AE-9491-48be-B2B4-4EB974FC3084}">
      <x14:pivotCacheDefinition pivotCacheId="7895611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">
  <r>
    <d v="2026-01-02T00:00:00"/>
    <n v="1"/>
    <n v="2026"/>
    <s v="AGUAJE 1"/>
    <x v="0"/>
    <s v="28"/>
    <x v="0"/>
    <n v="7.3"/>
    <x v="0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x v="0"/>
    <s v="WILMER TORRES"/>
  </r>
  <r>
    <d v="2026-01-03T00:00:00"/>
    <n v="2"/>
    <n v="2026"/>
    <s v="AGUAJE 1"/>
    <x v="0"/>
    <s v="14"/>
    <x v="0"/>
    <n v="4.5999999999999996"/>
    <x v="0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x v="1"/>
    <s v="WILMER TORRES"/>
  </r>
  <r>
    <d v="2026-01-03T00:00:00"/>
    <n v="3"/>
    <n v="2026"/>
    <s v="AGUAJE 1"/>
    <x v="0"/>
    <s v="19"/>
    <x v="1"/>
    <n v="1.76"/>
    <x v="1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x v="2"/>
    <s v="ALFONSO GRUNAUER"/>
  </r>
  <r>
    <d v="2026-01-04T00:00:00"/>
    <n v="4"/>
    <n v="2026"/>
    <s v="AGUAJE 1"/>
    <x v="0"/>
    <s v="17"/>
    <x v="2"/>
    <n v="7.5"/>
    <x v="1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x v="3"/>
    <s v="VICTOR QUINTANA"/>
  </r>
  <r>
    <d v="2026-01-04T00:00:00"/>
    <n v="5"/>
    <n v="2026"/>
    <s v="AGUAJE 1"/>
    <x v="0"/>
    <s v="16"/>
    <x v="0"/>
    <n v="5"/>
    <x v="0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x v="4"/>
    <s v="WILMER TORRES"/>
  </r>
  <r>
    <d v="2026-01-04T00:00:00"/>
    <n v="6"/>
    <n v="2026"/>
    <s v="AGUAJE 1"/>
    <x v="0"/>
    <s v="17"/>
    <x v="1"/>
    <n v="2.85"/>
    <x v="1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x v="5"/>
    <s v="ALFONSO GRUNAUER"/>
  </r>
  <r>
    <d v="2026-01-05T00:00:00"/>
    <n v="7"/>
    <n v="2026"/>
    <s v="AGUAJE 1"/>
    <x v="0"/>
    <s v="18"/>
    <x v="3"/>
    <n v="10.6"/>
    <x v="2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x v="6"/>
    <s v="SANTIAGO OBRIEN"/>
  </r>
  <r>
    <d v="2026-01-05T00:00:00"/>
    <n v="8"/>
    <n v="2026"/>
    <s v="AGUAJE 1"/>
    <x v="0"/>
    <s v="03"/>
    <x v="0"/>
    <n v="2.5"/>
    <x v="0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x v="7"/>
    <s v="WILMER TORRES"/>
  </r>
  <r>
    <d v="2026-01-06T00:00:00"/>
    <n v="9"/>
    <n v="2026"/>
    <s v="AGUAJE 1"/>
    <x v="0"/>
    <s v="18"/>
    <x v="2"/>
    <n v="5.5"/>
    <x v="1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x v="8"/>
    <s v="VICTOR QUINTANA"/>
  </r>
  <r>
    <d v="2026-01-06T00:00:00"/>
    <n v="10"/>
    <n v="2026"/>
    <s v="AGUAJE 1"/>
    <x v="0"/>
    <s v="20"/>
    <x v="3"/>
    <n v="6.45"/>
    <x v="2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x v="9"/>
    <s v="SANTIAGO OBRIEN"/>
  </r>
  <r>
    <d v="2026-01-06T00:00:00"/>
    <n v="11"/>
    <n v="2026"/>
    <s v="AGUAJE 1"/>
    <x v="0"/>
    <s v="19"/>
    <x v="4"/>
    <n v="5"/>
    <x v="0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CARLOS FLORES"/>
    <x v="10"/>
    <s v="CARLOS FLORES"/>
  </r>
  <r>
    <d v="2026-01-06T00:00:00"/>
    <n v="12"/>
    <n v="2026"/>
    <s v="AGUAJE 1"/>
    <x v="0"/>
    <s v="05"/>
    <x v="0"/>
    <n v="2.56"/>
    <x v="0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x v="11"/>
    <s v="WILMER TORRES"/>
  </r>
  <r>
    <d v="2026-01-06T00:00:00"/>
    <n v="13"/>
    <n v="2026"/>
    <s v="AGUAJE 1"/>
    <x v="0"/>
    <s v="06"/>
    <x v="1"/>
    <n v="6.08"/>
    <x v="1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x v="12"/>
    <s v="ALFONSO GRUNAUER"/>
  </r>
  <r>
    <d v="2026-01-07T00:00:00"/>
    <n v="14"/>
    <n v="2026"/>
    <s v="AGUAJE 1"/>
    <x v="0"/>
    <s v="13"/>
    <x v="5"/>
    <n v="1.6"/>
    <x v="0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NESTOR MOGOLLON"/>
    <x v="13"/>
    <s v="NESTOR MOGOLLON"/>
  </r>
  <r>
    <d v="2026-01-07T00:00:00"/>
    <n v="15"/>
    <n v="2026"/>
    <s v="AGUAJE 1"/>
    <x v="0"/>
    <s v="19"/>
    <x v="5"/>
    <n v="3"/>
    <x v="0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NESTOR MOGOLLON"/>
    <x v="14"/>
    <s v="NESTOR MOGOLLON"/>
  </r>
  <r>
    <d v="2026-01-07T00:00:00"/>
    <n v="16"/>
    <n v="2026"/>
    <s v="AGUAJE 1"/>
    <x v="0"/>
    <s v="15"/>
    <x v="0"/>
    <n v="8.1"/>
    <x v="0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x v="15"/>
    <s v="WILMER TORRES"/>
  </r>
  <r>
    <d v="2026-01-07T00:00:00"/>
    <n v="17"/>
    <n v="2026"/>
    <s v="AGUAJE 1"/>
    <x v="0"/>
    <s v="07"/>
    <x v="1"/>
    <n v="2.72"/>
    <x v="1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x v="16"/>
    <s v="ALFONSO GRUNAUER"/>
  </r>
  <r>
    <d v="2026-01-07T00:00:00"/>
    <n v="18"/>
    <n v="2026"/>
    <s v="AGUAJE 1"/>
    <x v="0"/>
    <s v="14"/>
    <x v="6"/>
    <n v="6"/>
    <x v="0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x v="17"/>
    <s v="JUNIOR ESQUIVEL"/>
  </r>
  <r>
    <d v="2026-01-08T00:00:00"/>
    <n v="19"/>
    <n v="2026"/>
    <s v="AGUAJE 1"/>
    <x v="0"/>
    <s v="15"/>
    <x v="4"/>
    <n v="7.5"/>
    <x v="0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CARLOS FLORES"/>
    <x v="18"/>
    <s v="CARLOS FLORES"/>
  </r>
  <r>
    <d v="2026-01-08T00:00:00"/>
    <n v="20"/>
    <n v="2026"/>
    <s v="AGUAJE 1"/>
    <x v="0"/>
    <s v="06"/>
    <x v="7"/>
    <n v="5.23"/>
    <x v="1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x v="19"/>
    <s v="JOSE CEDEÑO"/>
  </r>
  <r>
    <d v="2026-01-08T00:00:00"/>
    <n v="21"/>
    <n v="2026"/>
    <s v="AGUAJE 1"/>
    <x v="0"/>
    <s v="07"/>
    <x v="7"/>
    <n v="6.31"/>
    <x v="1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x v="20"/>
    <s v="JOSE CEDEÑO"/>
  </r>
  <r>
    <d v="2026-01-08T00:00:00"/>
    <n v="22"/>
    <n v="2026"/>
    <s v="AGUAJE 1"/>
    <x v="0"/>
    <s v="14"/>
    <x v="8"/>
    <n v="11"/>
    <x v="1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x v="21"/>
    <s v="GUSTAVO CARRASCO"/>
  </r>
  <r>
    <d v="2026-01-08T00:00:00"/>
    <n v="23"/>
    <n v="2026"/>
    <s v="AGUAJE 1"/>
    <x v="0"/>
    <s v="11"/>
    <x v="9"/>
    <n v="2"/>
    <x v="1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x v="22"/>
    <s v="VICTOR QUINTANA"/>
  </r>
  <r>
    <d v="2026-01-09T00:00:00"/>
    <n v="24"/>
    <n v="2026"/>
    <s v="AGUAJE 1"/>
    <x v="0"/>
    <s v="27"/>
    <x v="4"/>
    <n v="13.5"/>
    <x v="0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CARLOS FLORES"/>
    <x v="23"/>
    <s v="CARLOS FLORES"/>
  </r>
  <r>
    <d v="2026-01-09T00:00:00"/>
    <n v="25"/>
    <n v="2026"/>
    <s v="AGUAJE 1"/>
    <x v="0"/>
    <s v="13"/>
    <x v="9"/>
    <n v="4.8"/>
    <x v="1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x v="24"/>
    <s v="VICTOR QUINTANA"/>
  </r>
  <r>
    <d v="2026-01-10T00:00:00"/>
    <n v="26"/>
    <n v="2026"/>
    <s v="AGUAJE 1"/>
    <x v="0"/>
    <s v="28"/>
    <x v="7"/>
    <n v="7.74"/>
    <x v="1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x v="25"/>
    <s v="JOSE CEDEÑO"/>
  </r>
  <r>
    <d v="2026-01-10T00:00:00"/>
    <n v="27"/>
    <n v="2026"/>
    <s v="AGUAJE 1"/>
    <x v="0"/>
    <s v="21"/>
    <x v="10"/>
    <n v="3.32"/>
    <x v="0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x v="26"/>
    <s v="JULIO SANTOS"/>
  </r>
  <r>
    <d v="2026-01-10T00:00:00"/>
    <n v="28"/>
    <n v="2026"/>
    <s v="AGUAJE 1"/>
    <x v="0"/>
    <s v="12"/>
    <x v="9"/>
    <n v="5.2"/>
    <x v="1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x v="27"/>
    <s v="VICTOR QUINTANA"/>
  </r>
  <r>
    <d v="2026-01-11T00:00:00"/>
    <n v="29"/>
    <n v="2026"/>
    <s v="AGUAJE 1"/>
    <x v="0"/>
    <s v="10"/>
    <x v="2"/>
    <n v="2.36"/>
    <x v="1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x v="28"/>
    <s v="VICTOR QUINTANA"/>
  </r>
  <r>
    <d v="2026-01-11T00:00:00"/>
    <n v="30"/>
    <n v="2026"/>
    <s v="AGUAJE 1"/>
    <x v="0"/>
    <s v="20"/>
    <x v="7"/>
    <n v="9.18"/>
    <x v="1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x v="29"/>
    <s v="JOSE CEDEÑO"/>
  </r>
  <r>
    <d v="2026-01-11T00:00:00"/>
    <n v="31"/>
    <n v="2026"/>
    <s v="AGUAJE 1"/>
    <x v="0"/>
    <s v="04"/>
    <x v="10"/>
    <n v="6.62"/>
    <x v="0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x v="30"/>
    <s v="JULIO SANTOS"/>
  </r>
  <r>
    <d v="2026-01-11T00:00:00"/>
    <n v="32"/>
    <n v="2026"/>
    <s v="AGUAJE 1"/>
    <x v="0"/>
    <s v="17"/>
    <x v="0"/>
    <n v="5"/>
    <x v="0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x v="31"/>
    <s v="WILMER TORRES"/>
  </r>
  <r>
    <d v="2026-01-12T00:00:00"/>
    <n v="33"/>
    <n v="2026"/>
    <s v="AGUAJE 1"/>
    <x v="0"/>
    <s v="21"/>
    <x v="3"/>
    <n v="5.15"/>
    <x v="2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x v="32"/>
    <s v="SANTIAGO OBRIEN"/>
  </r>
  <r>
    <d v="2026-01-12T00:00:00"/>
    <n v="34"/>
    <n v="2026"/>
    <s v="AGUAJE 1"/>
    <x v="0"/>
    <s v="18"/>
    <x v="10"/>
    <n v="4.47"/>
    <x v="0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x v="33"/>
    <s v="JULIO SANTOS"/>
  </r>
  <r>
    <d v="2026-01-12T00:00:00"/>
    <n v="35"/>
    <n v="2026"/>
    <s v="AGUAJE 1"/>
    <x v="0"/>
    <s v="21"/>
    <x v="0"/>
    <n v="1.7"/>
    <x v="0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x v="34"/>
    <s v="WILMER TORRES"/>
  </r>
  <r>
    <d v="2026-01-12T00:00:00"/>
    <n v="36"/>
    <n v="2026"/>
    <s v="AGUAJE 1"/>
    <x v="0"/>
    <s v="22"/>
    <x v="0"/>
    <n v="2.54"/>
    <x v="0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x v="35"/>
    <s v="WILMER TORRES"/>
  </r>
  <r>
    <d v="2026-01-12T00:00:00"/>
    <n v="37"/>
    <n v="2026"/>
    <s v="AGUAJE 1"/>
    <x v="0"/>
    <s v="08"/>
    <x v="11"/>
    <n v="8"/>
    <x v="1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x v="36"/>
    <s v="ALFONSO GRUNAUER"/>
  </r>
  <r>
    <d v="2026-01-13T00:00:00"/>
    <n v="38"/>
    <n v="2026"/>
    <s v="AGUAJE 1"/>
    <x v="0"/>
    <s v="23"/>
    <x v="3"/>
    <n v="6.1"/>
    <x v="2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x v="37"/>
    <s v="SANTIAGO OBRIEN"/>
  </r>
  <r>
    <d v="2026-01-13T00:00:00"/>
    <n v="39"/>
    <n v="2026"/>
    <s v="AGUAJE 1"/>
    <x v="0"/>
    <s v="09"/>
    <x v="7"/>
    <n v="7.95"/>
    <x v="1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x v="38"/>
    <s v="JOSE CEDEÑO"/>
  </r>
  <r>
    <d v="2026-01-13T00:00:00"/>
    <n v="40"/>
    <n v="2026"/>
    <s v="AGUAJE 1"/>
    <x v="0"/>
    <s v="15"/>
    <x v="10"/>
    <n v="2.69"/>
    <x v="0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x v="39"/>
    <s v="JULIO SANTOS"/>
  </r>
  <r>
    <d v="2026-01-13T00:00:00"/>
    <n v="41"/>
    <n v="2026"/>
    <s v="AGUAJE 1"/>
    <x v="0"/>
    <s v="29"/>
    <x v="0"/>
    <n v="6.35"/>
    <x v="0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x v="40"/>
    <s v="WILMER TORRES"/>
  </r>
  <r>
    <d v="2026-01-14T00:00:00"/>
    <n v="42"/>
    <n v="2026"/>
    <s v="AGUAJE 1"/>
    <x v="0"/>
    <s v="24"/>
    <x v="3"/>
    <n v="5.54"/>
    <x v="2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x v="41"/>
    <s v="SANTIAGO OBRIEN"/>
  </r>
  <r>
    <d v="2026-01-14T00:00:00"/>
    <n v="43"/>
    <n v="2026"/>
    <s v="AGUAJE 1"/>
    <x v="0"/>
    <s v="08"/>
    <x v="7"/>
    <n v="7.95"/>
    <x v="1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x v="42"/>
    <s v="JOSE CEDEÑO"/>
  </r>
  <r>
    <d v="2026-01-14T00:00:00"/>
    <n v="44"/>
    <n v="2026"/>
    <s v="AGUAJE 1"/>
    <x v="0"/>
    <s v="07"/>
    <x v="10"/>
    <n v="4.42"/>
    <x v="0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x v="43"/>
    <s v="JULIO SANTOS"/>
  </r>
  <r>
    <d v="2026-01-14T00:00:00"/>
    <n v="45"/>
    <n v="2026"/>
    <s v="AGUAJE 1"/>
    <x v="0"/>
    <s v="31"/>
    <x v="0"/>
    <n v="8.15"/>
    <x v="0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x v="44"/>
    <s v="WILMER TORRES"/>
  </r>
  <r>
    <d v="2026-01-14T00:00:00"/>
    <n v="46"/>
    <n v="2026"/>
    <s v="AGUAJE 1"/>
    <x v="0"/>
    <s v="07"/>
    <x v="9"/>
    <n v="8.93"/>
    <x v="1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x v="45"/>
    <s v="VICTOR QUINTANA"/>
  </r>
  <r>
    <d v="2026-01-15T00:00:00"/>
    <n v="56"/>
    <n v="2026"/>
    <s v="AGUAJE 2"/>
    <x v="0"/>
    <s v="30"/>
    <x v="7"/>
    <n v="8.5399999999999991"/>
    <x v="1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x v="46"/>
    <s v="JOSE CEDEÑO"/>
  </r>
  <r>
    <d v="2026-01-15T00:00:00"/>
    <n v="57"/>
    <n v="2026"/>
    <s v="AGUAJE 2"/>
    <x v="0"/>
    <s v="05"/>
    <x v="10"/>
    <n v="4.3"/>
    <x v="0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x v="47"/>
    <s v="JULIO SANTOS"/>
  </r>
  <r>
    <d v="2026-01-15T00:00:00"/>
    <n v="62"/>
    <n v="2026"/>
    <s v="AGUAJE 2"/>
    <x v="0"/>
    <s v="02"/>
    <x v="0"/>
    <n v="3"/>
    <x v="0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x v="48"/>
    <s v="WILMER TORRES"/>
  </r>
  <r>
    <d v="2026-01-16T00:00:00"/>
    <n v="64"/>
    <n v="2026"/>
    <s v="AGUAJE 2"/>
    <x v="0"/>
    <s v="24"/>
    <x v="0"/>
    <n v="7.3"/>
    <x v="0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x v="49"/>
    <s v="WILMER TORRES"/>
  </r>
  <r>
    <d v="2026-01-16T00:00:00"/>
    <n v="76"/>
    <n v="2026"/>
    <s v="AGUAJE 2"/>
    <x v="0"/>
    <s v="11"/>
    <x v="1"/>
    <n v="7"/>
    <x v="1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x v="50"/>
    <s v="ALFONSO GRUNAUER"/>
  </r>
  <r>
    <d v="2026-01-16T00:00:00"/>
    <n v="80"/>
    <n v="2026"/>
    <s v="AGUAJE 2"/>
    <x v="0"/>
    <s v="04"/>
    <x v="6"/>
    <n v="8"/>
    <x v="0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x v="51"/>
    <s v="JUNIOR ESQUIVEL"/>
  </r>
  <r>
    <d v="2026-01-16T00:00:00"/>
    <n v="81"/>
    <n v="2026"/>
    <s v="AGUAJE 2"/>
    <x v="0"/>
    <s v="04"/>
    <x v="6"/>
    <n v="2.4"/>
    <x v="0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x v="52"/>
    <s v="JUNIOR ESQUIVEL"/>
  </r>
  <r>
    <d v="2026-01-17T00:00:00"/>
    <n v="55"/>
    <n v="2026"/>
    <s v="AGUAJE 2"/>
    <x v="0"/>
    <s v="23"/>
    <x v="7"/>
    <n v="13.72"/>
    <x v="1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x v="53"/>
    <s v="JOSE CEDEÑO"/>
  </r>
  <r>
    <d v="2026-01-17T00:00:00"/>
    <n v="78"/>
    <n v="2026"/>
    <s v="AGUAJE 2"/>
    <x v="0"/>
    <s v="14"/>
    <x v="1"/>
    <n v="4.7"/>
    <x v="1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x v="54"/>
    <s v="ALFONSO GRUNAUER"/>
  </r>
  <r>
    <d v="2026-01-18T00:00:00"/>
    <n v="65"/>
    <n v="2026"/>
    <s v="AGUAJE 2"/>
    <x v="0"/>
    <s v="27"/>
    <x v="0"/>
    <n v="8.0500000000000007"/>
    <x v="0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x v="55"/>
    <s v="WILMER TORRES"/>
  </r>
  <r>
    <d v="2026-01-18T00:00:00"/>
    <n v="69"/>
    <n v="2026"/>
    <s v="AGUAJE 2"/>
    <x v="0"/>
    <s v="06"/>
    <x v="11"/>
    <n v="4.55"/>
    <x v="1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x v="56"/>
    <s v="ALFONSO GRUNAUER"/>
  </r>
  <r>
    <d v="2026-01-18T00:00:00"/>
    <n v="82"/>
    <n v="2026"/>
    <s v="AGUAJE 2"/>
    <x v="0"/>
    <s v="37"/>
    <x v="6"/>
    <n v="12"/>
    <x v="0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x v="57"/>
    <s v="JUNIOR ESQUIVEL"/>
  </r>
  <r>
    <d v="2026-01-19T00:00:00"/>
    <n v="61"/>
    <n v="2026"/>
    <s v="AGUAJE 2"/>
    <x v="0"/>
    <s v="11"/>
    <x v="8"/>
    <n v="5.8"/>
    <x v="1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x v="58"/>
    <s v="GUSTAVO CARRASCO"/>
  </r>
  <r>
    <d v="2026-01-19T00:00:00"/>
    <n v="66"/>
    <n v="2026"/>
    <s v="AGUAJE 2"/>
    <x v="0"/>
    <s v="32"/>
    <x v="0"/>
    <n v="8.25"/>
    <x v="0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x v="59"/>
    <s v="WILMER TORRES"/>
  </r>
  <r>
    <d v="2026-01-19T00:00:00"/>
    <n v="67"/>
    <n v="2026"/>
    <s v="AGUAJE 2"/>
    <x v="0"/>
    <s v="01"/>
    <x v="11"/>
    <n v="3"/>
    <x v="1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x v="60"/>
    <s v="ALFONSO GRUNAUER"/>
  </r>
  <r>
    <d v="2026-01-20T00:00:00"/>
    <n v="60"/>
    <n v="2026"/>
    <s v="AGUAJE 2"/>
    <x v="0"/>
    <s v="10"/>
    <x v="8"/>
    <n v="2.5"/>
    <x v="1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x v="61"/>
    <s v="GUSTAVO CARRASCO"/>
  </r>
  <r>
    <d v="2026-01-20T00:00:00"/>
    <n v="74"/>
    <n v="2026"/>
    <s v="AGUAJE 2"/>
    <x v="0"/>
    <s v="27"/>
    <x v="11"/>
    <n v="5.75"/>
    <x v="1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x v="62"/>
    <s v="ALFONSO GRUNAUER"/>
  </r>
  <r>
    <d v="2026-01-21T00:00:00"/>
    <n v="53"/>
    <n v="2026"/>
    <s v="AGUAJE 2"/>
    <x v="0"/>
    <s v="12"/>
    <x v="7"/>
    <n v="7.8"/>
    <x v="1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x v="63"/>
    <s v="JOSE CEDEÑO"/>
  </r>
  <r>
    <d v="2026-01-21T00:00:00"/>
    <n v="58"/>
    <n v="2026"/>
    <s v="AGUAJE 2"/>
    <x v="0"/>
    <s v="08"/>
    <x v="8"/>
    <n v="4.3"/>
    <x v="1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x v="64"/>
    <s v="GUSTAVO CARRASCO"/>
  </r>
  <r>
    <d v="2026-01-21T00:00:00"/>
    <n v="71"/>
    <n v="2026"/>
    <s v="AGUAJE 2"/>
    <x v="0"/>
    <s v="13"/>
    <x v="11"/>
    <n v="4.0999999999999996"/>
    <x v="1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x v="65"/>
    <s v="ALFONSO GRUNAUER"/>
  </r>
  <r>
    <d v="2026-01-22T00:00:00"/>
    <n v="73"/>
    <n v="2026"/>
    <s v="AGUAJE 2"/>
    <x v="0"/>
    <s v="24"/>
    <x v="11"/>
    <n v="7.15"/>
    <x v="1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x v="66"/>
    <s v="ALFONSO GRUNAUER"/>
  </r>
  <r>
    <d v="2026-01-22T00:00:00"/>
    <n v="75"/>
    <n v="2026"/>
    <s v="AGUAJE 2"/>
    <x v="0"/>
    <s v="01"/>
    <x v="1"/>
    <n v="7.84"/>
    <x v="1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x v="67"/>
    <s v="ALFONSO GRUNAUER"/>
  </r>
  <r>
    <d v="2026-01-23T00:00:00"/>
    <n v="49"/>
    <n v="2026"/>
    <s v="AGUAJE 2"/>
    <x v="0"/>
    <s v="07"/>
    <x v="4"/>
    <n v="10.23"/>
    <x v="0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CARLOS FLORES"/>
    <x v="68"/>
    <s v="CARLOS FLORES"/>
  </r>
  <r>
    <d v="2026-01-23T00:00:00"/>
    <n v="59"/>
    <n v="2026"/>
    <s v="AGUAJE 2"/>
    <x v="0"/>
    <s v="09"/>
    <x v="8"/>
    <n v="4.07"/>
    <x v="1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x v="69"/>
    <s v="GUSTAVO CARRASCO"/>
  </r>
  <r>
    <d v="2026-01-23T00:00:00"/>
    <n v="72"/>
    <n v="2026"/>
    <s v="AGUAJE 2"/>
    <x v="0"/>
    <s v="15"/>
    <x v="11"/>
    <n v="6"/>
    <x v="1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x v="70"/>
    <s v="ALFONSO GRUNAUER"/>
  </r>
  <r>
    <d v="2026-01-24T00:00:00"/>
    <n v="48"/>
    <n v="2026"/>
    <s v="AGUAJE 2"/>
    <x v="0"/>
    <s v="16"/>
    <x v="3"/>
    <n v="7"/>
    <x v="2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x v="71"/>
    <s v="SANTIAGO OBRIEN"/>
  </r>
  <r>
    <d v="2026-01-24T00:00:00"/>
    <n v="50"/>
    <n v="2026"/>
    <s v="AGUAJE 2"/>
    <x v="0"/>
    <s v="09"/>
    <x v="4"/>
    <n v="7.45"/>
    <x v="0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CARLOS FLORES"/>
    <x v="72"/>
    <s v="CARLOS FLORES"/>
  </r>
  <r>
    <d v="2026-01-24T00:00:00"/>
    <n v="63"/>
    <n v="2026"/>
    <s v="AGUAJE 2"/>
    <x v="0"/>
    <s v="09"/>
    <x v="0"/>
    <n v="9"/>
    <x v="0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x v="73"/>
    <s v="WILMER TORRES"/>
  </r>
  <r>
    <d v="2026-01-26T00:00:00"/>
    <n v="77"/>
    <n v="2026"/>
    <s v="AGUAJE 2"/>
    <x v="0"/>
    <s v="13"/>
    <x v="1"/>
    <n v="4.51"/>
    <x v="1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x v="74"/>
    <s v="ALFONSO GRUNAUER"/>
  </r>
  <r>
    <d v="2026-01-27T00:00:00"/>
    <n v="68"/>
    <n v="2026"/>
    <s v="AGUAJE 2"/>
    <x v="0"/>
    <s v="03"/>
    <x v="11"/>
    <n v="4.5"/>
    <x v="1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x v="75"/>
    <s v="ALFONSO GRUNAUER"/>
  </r>
  <r>
    <d v="2026-01-27T00:00:00"/>
    <n v="70"/>
    <n v="2026"/>
    <s v="AGUAJE 2"/>
    <x v="0"/>
    <s v="10"/>
    <x v="11"/>
    <n v="8"/>
    <x v="1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x v="76"/>
    <s v="ALFONSO GRUNAUER"/>
  </r>
  <r>
    <d v="2026-01-28T00:00:00"/>
    <n v="47"/>
    <n v="2026"/>
    <s v="AGUAJE 2"/>
    <x v="0"/>
    <s v="05"/>
    <x v="3"/>
    <n v="5.4"/>
    <x v="2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x v="77"/>
    <s v="SANTIAGO OBRIEN"/>
  </r>
  <r>
    <d v="2026-01-28T00:00:00"/>
    <n v="51"/>
    <n v="2026"/>
    <s v="AGUAJE 2"/>
    <x v="0"/>
    <s v="24"/>
    <x v="4"/>
    <n v="5.3"/>
    <x v="0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CARLOS FLORES"/>
    <x v="78"/>
    <s v="CARLOS FLORES"/>
  </r>
  <r>
    <d v="2026-01-28T00:00:00"/>
    <n v="52"/>
    <n v="2026"/>
    <s v="AGUAJE 2"/>
    <x v="0"/>
    <s v="05"/>
    <x v="7"/>
    <n v="3.84"/>
    <x v="1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x v="79"/>
    <s v="JOSE CEDEÑO"/>
  </r>
  <r>
    <d v="2026-01-28T00:00:00"/>
    <n v="54"/>
    <n v="2026"/>
    <s v="AGUAJE 2"/>
    <x v="0"/>
    <s v="19"/>
    <x v="7"/>
    <n v="8.8699999999999992"/>
    <x v="1"/>
    <n v="100"/>
    <d v="2025-10-20T00:00:00"/>
    <s v="DO PC 4"/>
    <n v="0.6"/>
    <n v="4"/>
    <n v="1596700"/>
    <n v="180011.27395715899"/>
    <n v="18.001127395715898"/>
    <s v="GENESIS"/>
    <s v="TEXCUMAR"/>
    <s v="UNICO"/>
    <n v="77250"/>
    <n v="79728.58"/>
    <n v="24.333333333333332"/>
    <n v="24.863333333333333"/>
    <n v="8988.5659526493801"/>
    <n v="1364388.3216429935"/>
    <n v="1200"/>
    <n v="1161.71"/>
    <n v="29"/>
    <n v="28.82"/>
    <n v="130.97068771138672"/>
    <n v="18300.358778625952"/>
    <n v="80890.290000000008"/>
    <n v="1382688.6804216194"/>
    <n v="9119.5366403607677"/>
    <n v="2.0173999999999999"/>
    <n v="91.195366403607679"/>
    <n v="86.596648113084456"/>
    <n v="122245.07"/>
    <n v="62.514092446448714"/>
    <n v="1.5112452928528257"/>
    <m/>
    <s v="AUTOMATICA"/>
    <n v="2478.5800000000017"/>
    <n v="-38.289999999999964"/>
    <n v="0.53000000000000114"/>
    <n v="-0.17999999999999972"/>
    <s v="JOSE CEDEÑO"/>
    <x v="80"/>
    <s v="JOSE CEDEÑO"/>
  </r>
  <r>
    <d v="2026-01-28T00:00:00"/>
    <n v="79"/>
    <n v="2026"/>
    <s v="AGUAJE 2"/>
    <x v="0"/>
    <s v="4A"/>
    <x v="12"/>
    <n v="6.17"/>
    <x v="1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x v="81"/>
    <s v="GUSTAVO CARRASCO"/>
  </r>
  <r>
    <d v="2026-01-29T00:00:00"/>
    <n v="83"/>
    <n v="2026"/>
    <s v="AGUAJE 3"/>
    <x v="0"/>
    <s v="22"/>
    <x v="4"/>
    <n v="5.7"/>
    <x v="0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CARLOS FLORES"/>
    <x v="82"/>
    <s v="CARLOS FLORES"/>
  </r>
  <r>
    <d v="2026-01-29T00:00:00"/>
    <n v="84"/>
    <n v="2026"/>
    <s v="AGUAJE 3"/>
    <x v="0"/>
    <s v="03"/>
    <x v="1"/>
    <n v="6.55"/>
    <x v="1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x v="83"/>
    <s v="ALFONSO GRUNAUER"/>
  </r>
  <r>
    <d v="2026-01-29T00:00:00"/>
    <n v="85"/>
    <n v="2026"/>
    <s v="AGUAJE 3"/>
    <x v="0"/>
    <s v="03"/>
    <x v="12"/>
    <n v="3.43"/>
    <x v="1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x v="84"/>
    <s v="GUSTAVO CARRASCO"/>
  </r>
  <r>
    <d v="2026-01-29T00:00:00"/>
    <n v="86"/>
    <n v="2026"/>
    <s v="AGUAJE 3"/>
    <x v="0"/>
    <s v="25"/>
    <x v="6"/>
    <n v="3.5"/>
    <x v="0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x v="85"/>
    <s v="JUNIOR ESQUIVEL"/>
  </r>
  <r>
    <d v="2026-01-29T00:00:00"/>
    <n v="87"/>
    <n v="2026"/>
    <s v="AGUAJE 3"/>
    <x v="0"/>
    <s v="26"/>
    <x v="6"/>
    <n v="3.6"/>
    <x v="0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x v="86"/>
    <s v="JUNIOR ESQUIVEL"/>
  </r>
  <r>
    <d v="2026-01-29T00:00:00"/>
    <n v="88"/>
    <n v="2026"/>
    <s v="AGUAJE 3"/>
    <x v="0"/>
    <s v="02"/>
    <x v="12"/>
    <n v="4.3"/>
    <x v="1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x v="87"/>
    <s v="GUSTAVO CARRASCO"/>
  </r>
  <r>
    <d v="2026-01-30T00:00:00"/>
    <n v="89"/>
    <n v="2026"/>
    <s v="AGUAJE 3"/>
    <x v="0"/>
    <s v="04"/>
    <x v="3"/>
    <n v="4.82"/>
    <x v="2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x v="88"/>
    <s v="SANTIAGO OBRIEN"/>
  </r>
  <r>
    <d v="2026-01-30T00:00:00"/>
    <n v="90"/>
    <n v="2026"/>
    <s v="AGUAJE 3"/>
    <x v="0"/>
    <s v="08"/>
    <x v="3"/>
    <n v="2.4"/>
    <x v="2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x v="89"/>
    <s v="SANTIAGO OBRIEN"/>
  </r>
  <r>
    <d v="2026-01-30T00:00:00"/>
    <n v="91"/>
    <n v="2026"/>
    <s v="AGUAJE 3"/>
    <x v="0"/>
    <s v="21"/>
    <x v="4"/>
    <n v="5.4"/>
    <x v="0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CARLOS FLORES"/>
    <x v="90"/>
    <s v="CARLOS FLORES"/>
  </r>
  <r>
    <d v="2026-01-31T00:00:00"/>
    <n v="92"/>
    <n v="2026"/>
    <s v="AGUAJE 3"/>
    <x v="0"/>
    <s v="20"/>
    <x v="4"/>
    <n v="3.8"/>
    <x v="0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CARLOS FLORES"/>
    <x v="91"/>
    <s v="CARLOS FLORES"/>
  </r>
  <r>
    <d v="2026-01-31T00:00:00"/>
    <n v="93"/>
    <n v="2026"/>
    <s v="AGUAJE 3"/>
    <x v="0"/>
    <s v="01"/>
    <x v="12"/>
    <n v="7.4"/>
    <x v="1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x v="92"/>
    <s v="GUSTAVO CARRASCO"/>
  </r>
  <r>
    <d v="2026-02-01T00:00:00"/>
    <n v="95"/>
    <n v="2026"/>
    <s v="AGUAJE 3"/>
    <x v="1"/>
    <s v="15"/>
    <x v="3"/>
    <n v="1.65"/>
    <x v="2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x v="93"/>
    <s v="SANTIAGO OBRIEN"/>
  </r>
  <r>
    <d v="2026-02-01T00:00:00"/>
    <n v="96"/>
    <n v="2026"/>
    <s v="AGUAJE 3"/>
    <x v="1"/>
    <s v="03"/>
    <x v="4"/>
    <n v="5.7"/>
    <x v="0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CARLOS FLORES"/>
    <x v="94"/>
    <s v="CARLOS FLORES"/>
  </r>
  <r>
    <d v="2026-02-01T00:00:00"/>
    <n v="97"/>
    <n v="2026"/>
    <s v="AGUAJE 3"/>
    <x v="1"/>
    <s v="05"/>
    <x v="8"/>
    <n v="3.3"/>
    <x v="1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x v="95"/>
    <s v="GUSTAVO CARRASCO"/>
  </r>
  <r>
    <d v="2026-02-03T00:00:00"/>
    <n v="94"/>
    <n v="2026"/>
    <s v="AGUAJE 3"/>
    <x v="1"/>
    <s v="14"/>
    <x v="9"/>
    <n v="9.3000000000000007"/>
    <x v="3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x v="96"/>
    <s v="VICTOR QUINTANA"/>
  </r>
  <r>
    <d v="2026-02-03T00:00:00"/>
    <n v="98"/>
    <n v="2026"/>
    <s v="AGUAJE 3"/>
    <x v="1"/>
    <s v="08"/>
    <x v="9"/>
    <n v="12.79"/>
    <x v="1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x v="97"/>
    <s v="VICTOR QUINTANA"/>
  </r>
  <r>
    <d v="2026-02-04T00:00:00"/>
    <n v="99"/>
    <n v="2026"/>
    <s v="AGUAJE 3"/>
    <x v="1"/>
    <s v="03"/>
    <x v="2"/>
    <n v="9.2200000000000006"/>
    <x v="1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x v="98"/>
    <s v="VICTOR QUINTANA"/>
  </r>
  <r>
    <d v="2026-02-04T00:00:00"/>
    <n v="100"/>
    <n v="2026"/>
    <s v="AGUAJE 3"/>
    <x v="1"/>
    <s v="11"/>
    <x v="11"/>
    <n v="1.7"/>
    <x v="1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x v="99"/>
    <s v="ALFONSO GRUNAUER"/>
  </r>
  <r>
    <d v="2026-02-05T00:00:00"/>
    <n v="101"/>
    <n v="2026"/>
    <s v="AGUAJE 3"/>
    <x v="1"/>
    <s v="04"/>
    <x v="13"/>
    <n v="10"/>
    <x v="0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x v="100"/>
    <s v="GUSTAVO CARRASCO"/>
  </r>
  <r>
    <d v="2026-02-05T00:00:00"/>
    <n v="102"/>
    <n v="2026"/>
    <s v="AGUAJE 3"/>
    <x v="1"/>
    <s v="04"/>
    <x v="2"/>
    <n v="10.3"/>
    <x v="1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x v="101"/>
    <s v="VICTOR QUINTANA"/>
  </r>
  <r>
    <d v="2026-02-05T00:00:00"/>
    <n v="103"/>
    <n v="2026"/>
    <s v="AGUAJE 3"/>
    <x v="1"/>
    <s v="17"/>
    <x v="11"/>
    <n v="1.5"/>
    <x v="1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x v="102"/>
    <s v="ALFONSO GRUNAUER"/>
  </r>
  <r>
    <d v="2026-02-06T00:00:00"/>
    <n v="104"/>
    <n v="2026"/>
    <s v="AGUAJE 3"/>
    <x v="1"/>
    <s v="03"/>
    <x v="13"/>
    <n v="3"/>
    <x v="0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x v="103"/>
    <s v="GUSTAVO CARRASCO"/>
  </r>
  <r>
    <d v="2026-02-06T00:00:00"/>
    <n v="105"/>
    <n v="2026"/>
    <s v="AGUAJE 3"/>
    <x v="1"/>
    <s v="27"/>
    <x v="7"/>
    <n v="5.34"/>
    <x v="1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x v="104"/>
    <s v="JOSE CEDEÑO"/>
  </r>
  <r>
    <d v="2026-02-07T00:00:00"/>
    <n v="106"/>
    <n v="2026"/>
    <s v="AGUAJE 3"/>
    <x v="1"/>
    <s v="02"/>
    <x v="13"/>
    <n v="4.2"/>
    <x v="0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x v="105"/>
    <s v="GUSTAVO CARRASCO"/>
  </r>
  <r>
    <d v="2026-02-07T00:00:00"/>
    <n v="107"/>
    <n v="2026"/>
    <s v="AGUAJE 3"/>
    <x v="1"/>
    <s v="04"/>
    <x v="7"/>
    <n v="9.81"/>
    <x v="1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x v="106"/>
    <s v="JOSE CEDEÑO"/>
  </r>
  <r>
    <d v="2026-02-08T00:00:00"/>
    <n v="108"/>
    <n v="2026"/>
    <s v="AGUAJE 3"/>
    <x v="1"/>
    <s v="05"/>
    <x v="13"/>
    <n v="4"/>
    <x v="0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x v="107"/>
    <s v="GUSTAVO CARRASCO"/>
  </r>
  <r>
    <d v="2026-02-08T00:00:00"/>
    <n v="109"/>
    <n v="2026"/>
    <s v="AGUAJE 3"/>
    <x v="1"/>
    <s v="09"/>
    <x v="5"/>
    <n v="7.6"/>
    <x v="0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NESTOR MOGOLLON"/>
    <x v="108"/>
    <s v="NESTOR MOGOLLON"/>
  </r>
  <r>
    <d v="2026-02-08T00:00:00"/>
    <n v="110"/>
    <n v="2026"/>
    <s v="AGUAJE 3"/>
    <x v="1"/>
    <s v="13"/>
    <x v="6"/>
    <n v="9"/>
    <x v="0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x v="109"/>
    <s v="JUNIOR ESQUIVEL"/>
  </r>
  <r>
    <d v="2026-02-08T00:00:00"/>
    <n v="111"/>
    <n v="2026"/>
    <s v="AGUAJE 3"/>
    <x v="1"/>
    <s v="09"/>
    <x v="2"/>
    <n v="11.4"/>
    <x v="1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x v="110"/>
    <s v="VICTOR QUINTANA"/>
  </r>
  <r>
    <d v="2026-02-09T00:00:00"/>
    <n v="112"/>
    <n v="2026"/>
    <s v="AGUAJE 3"/>
    <x v="1"/>
    <s v="07"/>
    <x v="2"/>
    <n v="7.72"/>
    <x v="1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x v="111"/>
    <s v="VICTOR QUINTANA"/>
  </r>
  <r>
    <d v="2026-02-09T00:00:00"/>
    <n v="113"/>
    <n v="2026"/>
    <s v="AGUAJE 3"/>
    <x v="1"/>
    <s v="01"/>
    <x v="3"/>
    <n v="7.54"/>
    <x v="2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x v="112"/>
    <s v="SANTIAGO OBRIEN"/>
  </r>
  <r>
    <d v="2026-02-09T00:00:00"/>
    <n v="114"/>
    <n v="2026"/>
    <s v="AGUAJE 3"/>
    <x v="1"/>
    <s v="30"/>
    <x v="6"/>
    <n v="14"/>
    <x v="0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x v="113"/>
    <s v="JUNIOR ESQUIVEL"/>
  </r>
  <r>
    <d v="2026-02-10T00:00:00"/>
    <n v="115"/>
    <n v="2026"/>
    <s v="AGUAJE 3"/>
    <x v="1"/>
    <s v="11"/>
    <x v="3"/>
    <n v="6.38"/>
    <x v="2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x v="114"/>
    <s v="SANTIAGO OBRIEN"/>
  </r>
  <r>
    <d v="2026-02-10T00:00:00"/>
    <n v="116"/>
    <n v="2026"/>
    <s v="AGUAJE 3"/>
    <x v="1"/>
    <s v="03"/>
    <x v="9"/>
    <n v="9.89"/>
    <x v="1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x v="115"/>
    <s v="VICTOR QUINTANA"/>
  </r>
  <r>
    <d v="2026-02-11T00:00:00"/>
    <n v="117"/>
    <n v="2026"/>
    <s v="AGUAJE 3"/>
    <x v="1"/>
    <s v="09"/>
    <x v="3"/>
    <n v="9.4"/>
    <x v="2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x v="116"/>
    <s v="SANTIAGO OBRIEN"/>
  </r>
  <r>
    <d v="2026-02-11T00:00:00"/>
    <n v="118"/>
    <n v="2026"/>
    <s v="AGUAJE 3"/>
    <x v="1"/>
    <s v="21"/>
    <x v="7"/>
    <n v="7.78"/>
    <x v="1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x v="117"/>
    <s v="JOSE CEDEÑO"/>
  </r>
  <r>
    <d v="2026-02-11T00:00:00"/>
    <n v="119"/>
    <n v="2026"/>
    <s v="AGUAJE 3"/>
    <x v="1"/>
    <s v="06"/>
    <x v="0"/>
    <n v="7.5"/>
    <x v="0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x v="118"/>
    <s v="WILMER TORRES"/>
  </r>
  <r>
    <d v="2026-02-11T00:00:00"/>
    <n v="120"/>
    <n v="2026"/>
    <s v="AGUAJE 3"/>
    <x v="1"/>
    <s v="06"/>
    <x v="12"/>
    <n v="5"/>
    <x v="1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x v="119"/>
    <s v="GUSTAVO CARRASCO"/>
  </r>
  <r>
    <d v="2026-02-12T00:00:00"/>
    <n v="121"/>
    <n v="2026"/>
    <s v="AGUAJE 3"/>
    <x v="1"/>
    <s v="13"/>
    <x v="3"/>
    <n v="6.3"/>
    <x v="2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x v="120"/>
    <s v="SANTIAGO OBRIEN"/>
  </r>
  <r>
    <d v="2026-02-12T00:00:00"/>
    <n v="122"/>
    <n v="2026"/>
    <s v="AGUAJE 3"/>
    <x v="1"/>
    <s v="11"/>
    <x v="7"/>
    <n v="13.43"/>
    <x v="1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x v="121"/>
    <s v="JOSE CEDEÑO"/>
  </r>
  <r>
    <d v="2026-02-12T00:00:00"/>
    <n v="123"/>
    <n v="2026"/>
    <s v="AGUAJE 3"/>
    <x v="1"/>
    <s v="13"/>
    <x v="7"/>
    <n v="5.7"/>
    <x v="1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x v="122"/>
    <s v="JOSE CEDEÑO"/>
  </r>
  <r>
    <d v="2026-02-12T00:00:00"/>
    <n v="124"/>
    <n v="2026"/>
    <s v="AGUAJE 3"/>
    <x v="1"/>
    <s v="11"/>
    <x v="14"/>
    <n v="3.4"/>
    <x v="1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x v="123"/>
    <s v="GUSTAVO CARRASCO"/>
  </r>
  <r>
    <d v="2026-02-13T00:00:00"/>
    <n v="125"/>
    <n v="2026"/>
    <s v="AGUAJE 3"/>
    <x v="1"/>
    <s v="17"/>
    <x v="10"/>
    <n v="5.9"/>
    <x v="0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x v="124"/>
    <s v="JULIO SANTOS"/>
  </r>
  <r>
    <d v="2026-02-13T00:00:00"/>
    <n v="126"/>
    <n v="2026"/>
    <s v="AGUAJE 3"/>
    <x v="1"/>
    <s v="17"/>
    <x v="5"/>
    <n v="4.5999999999999996"/>
    <x v="0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NESTOR MOGOLLON"/>
    <x v="125"/>
    <s v="NESTOR MOGOLLON"/>
  </r>
  <r>
    <d v="2026-02-13T00:00:00"/>
    <n v="127"/>
    <n v="2026"/>
    <s v="AGUAJE 3"/>
    <x v="1"/>
    <s v="02"/>
    <x v="1"/>
    <n v="8.36"/>
    <x v="1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x v="126"/>
    <s v="ALFONSO GRUNAUER"/>
  </r>
  <r>
    <d v="2026-02-14T00:00:00"/>
    <n v="128"/>
    <n v="2026"/>
    <s v="AGUAJE 4"/>
    <x v="1"/>
    <s v="01"/>
    <x v="13"/>
    <n v="5"/>
    <x v="0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x v="127"/>
    <s v="GUSTAVO CARRASCO"/>
  </r>
  <r>
    <d v="2026-02-14T00:00:00"/>
    <n v="129"/>
    <n v="2026"/>
    <s v="AGUAJE 4"/>
    <x v="1"/>
    <s v="03"/>
    <x v="5"/>
    <n v="2.5499999999999998"/>
    <x v="0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NESTOR MOGOLLON"/>
    <x v="128"/>
    <s v="NESTOR MOGOLLON"/>
  </r>
  <r>
    <d v="2026-02-14T00:00:00"/>
    <n v="130"/>
    <n v="2026"/>
    <s v="AGUAJE 4"/>
    <x v="1"/>
    <s v="14"/>
    <x v="5"/>
    <n v="1.4"/>
    <x v="0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NESTOR MOGOLLON"/>
    <x v="129"/>
    <s v="NESTOR MOGOLLON"/>
  </r>
  <r>
    <d v="2026-02-14T00:00:00"/>
    <n v="131"/>
    <n v="2026"/>
    <s v="AGUAJE 4"/>
    <x v="1"/>
    <s v="11"/>
    <x v="0"/>
    <n v="8.4"/>
    <x v="0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x v="130"/>
    <s v="WILMER TORRES"/>
  </r>
  <r>
    <d v="2026-02-14T00:00:00"/>
    <n v="132"/>
    <n v="2026"/>
    <s v="AGUAJE 4"/>
    <x v="1"/>
    <s v="26"/>
    <x v="11"/>
    <n v="4"/>
    <x v="1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x v="131"/>
    <s v="ALFONSO GRUNAUER"/>
  </r>
  <r>
    <d v="2026-02-14T00:00:00"/>
    <n v="133"/>
    <n v="2026"/>
    <s v="AGUAJE 4"/>
    <x v="1"/>
    <s v="16"/>
    <x v="10"/>
    <n v="2.4"/>
    <x v="0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x v="132"/>
    <s v="JULIO SANTOS"/>
  </r>
  <r>
    <d v="2026-02-14T00:00:00"/>
    <n v="134"/>
    <n v="2026"/>
    <s v="AGUAJE 4"/>
    <x v="1"/>
    <s v="09"/>
    <x v="1"/>
    <n v="6.7"/>
    <x v="1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x v="133"/>
    <s v="ALFONSO GRUNAUER"/>
  </r>
  <r>
    <d v="2026-02-15T00:00:00"/>
    <n v="135"/>
    <n v="2026"/>
    <s v="AGUAJE 4"/>
    <x v="1"/>
    <s v="14"/>
    <x v="10"/>
    <n v="5.26"/>
    <x v="0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x v="134"/>
    <s v="JULIO SANTOS"/>
  </r>
  <r>
    <d v="2026-02-15T00:00:00"/>
    <n v="136"/>
    <n v="2026"/>
    <s v="AGUAJE 4"/>
    <x v="1"/>
    <s v="15"/>
    <x v="5"/>
    <n v="2.6"/>
    <x v="0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NESTOR MOGOLLON"/>
    <x v="135"/>
    <s v="NESTOR MOGOLLON"/>
  </r>
  <r>
    <d v="2026-02-15T00:00:00"/>
    <n v="137"/>
    <n v="2026"/>
    <s v="AGUAJE 4"/>
    <x v="1"/>
    <s v="18"/>
    <x v="5"/>
    <n v="3.05"/>
    <x v="0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NESTOR MOGOLLON"/>
    <x v="136"/>
    <s v="NESTOR MOGOLLON"/>
  </r>
  <r>
    <d v="2026-02-15T00:00:00"/>
    <n v="138"/>
    <n v="2026"/>
    <s v="AGUAJE 4"/>
    <x v="1"/>
    <s v="32"/>
    <x v="6"/>
    <n v="10"/>
    <x v="0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x v="137"/>
    <s v="JUNIOR ESQUIVEL"/>
  </r>
  <r>
    <d v="2026-02-15T00:00:00"/>
    <n v="139"/>
    <n v="2026"/>
    <s v="AGUAJE 4"/>
    <x v="1"/>
    <s v="08"/>
    <x v="1"/>
    <n v="6.2"/>
    <x v="1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x v="138"/>
    <s v="ALFONSO GRUNAUER"/>
  </r>
  <r>
    <d v="2026-02-16T00:00:00"/>
    <n v="140"/>
    <n v="2026"/>
    <s v="AGUAJE 4"/>
    <x v="1"/>
    <s v="06"/>
    <x v="10"/>
    <n v="9.8000000000000007"/>
    <x v="0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x v="139"/>
    <s v="JULIO SANTOS"/>
  </r>
  <r>
    <d v="2026-02-16T00:00:00"/>
    <n v="141"/>
    <n v="2026"/>
    <s v="AGUAJE 4"/>
    <x v="1"/>
    <s v="7A"/>
    <x v="11"/>
    <n v="12.5"/>
    <x v="1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x v="140"/>
    <s v="ALFONSO GRUNAUER"/>
  </r>
  <r>
    <d v="2026-02-17T00:00:00"/>
    <n v="142"/>
    <n v="2026"/>
    <s v="AGUAJE 4"/>
    <x v="1"/>
    <s v="19"/>
    <x v="10"/>
    <n v="3.35"/>
    <x v="0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x v="141"/>
    <s v="JULIO SANTOS"/>
  </r>
  <r>
    <d v="2026-02-17T00:00:00"/>
    <n v="143"/>
    <n v="2026"/>
    <s v="AGUAJE 4"/>
    <x v="1"/>
    <s v="06"/>
    <x v="13"/>
    <n v="5.4"/>
    <x v="0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x v="142"/>
    <s v="GUSTAVO CARRASCO"/>
  </r>
  <r>
    <d v="2026-02-17T00:00:00"/>
    <n v="144"/>
    <n v="2026"/>
    <s v="AGUAJE 4"/>
    <x v="1"/>
    <s v="06"/>
    <x v="4"/>
    <n v="8.69"/>
    <x v="0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CARLOS FLORES"/>
    <x v="143"/>
    <s v="CARLOS FLORES"/>
  </r>
  <r>
    <d v="2026-02-18T00:00:00"/>
    <n v="145"/>
    <n v="2026"/>
    <s v="AGUAJE 4"/>
    <x v="1"/>
    <s v="20"/>
    <x v="10"/>
    <n v="2.04"/>
    <x v="0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x v="144"/>
    <s v="JULIO SANTOS"/>
  </r>
  <r>
    <d v="2026-02-18T00:00:00"/>
    <n v="146"/>
    <n v="2026"/>
    <s v="AGUAJE 4"/>
    <x v="1"/>
    <s v="03"/>
    <x v="8"/>
    <n v="8.4"/>
    <x v="1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x v="145"/>
    <s v="GUSTAVO CARRASCO"/>
  </r>
  <r>
    <d v="2026-02-19T00:00:00"/>
    <n v="147"/>
    <n v="2026"/>
    <s v="AGUAJE 4"/>
    <x v="1"/>
    <s v="16"/>
    <x v="2"/>
    <n v="8"/>
    <x v="1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x v="146"/>
    <s v="VICTOR QUINTANA"/>
  </r>
  <r>
    <d v="2026-02-20T00:00:00"/>
    <n v="148"/>
    <n v="2026"/>
    <s v="AGUAJE 4"/>
    <x v="1"/>
    <s v="09"/>
    <x v="14"/>
    <n v="4.6500000000000004"/>
    <x v="1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x v="147"/>
    <s v="GUSTAVO CARRASCO"/>
  </r>
  <r>
    <d v="2026-02-21T00:00:00"/>
    <n v="149"/>
    <n v="2026"/>
    <s v="AGUAJE 4"/>
    <x v="1"/>
    <s v="18"/>
    <x v="8"/>
    <n v="25.25"/>
    <x v="1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x v="148"/>
    <s v="GUSTAVO CARRASCO"/>
  </r>
  <r>
    <d v="2026-02-21T00:00:00"/>
    <n v="150"/>
    <n v="2026"/>
    <s v="AGUAJE 4"/>
    <x v="1"/>
    <s v="22"/>
    <x v="3"/>
    <n v="5.36"/>
    <x v="2"/>
    <n v="73"/>
    <d v="2025-12-10T00:00:00"/>
    <s v="CH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x v="149"/>
    <s v="SANTIAGO OBRIEN"/>
  </r>
  <r>
    <d v="2026-02-22T00:00:00"/>
    <n v="151"/>
    <n v="2026"/>
    <s v="AGUAJE 4"/>
    <x v="1"/>
    <s v="25"/>
    <x v="3"/>
    <n v="2.2000000000000002"/>
    <x v="2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x v="150"/>
    <s v="SANTIAGO OBRIEN"/>
  </r>
  <r>
    <d v="2026-02-22T00:00:00"/>
    <n v="152"/>
    <n v="2026"/>
    <s v="AGUAJE 4"/>
    <x v="1"/>
    <s v="16"/>
    <x v="11"/>
    <n v="11"/>
    <x v="1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x v="151"/>
    <s v="ALFONSO GRUNAUER"/>
  </r>
  <r>
    <d v="2026-02-22T00:00:00"/>
    <n v="153"/>
    <n v="2026"/>
    <s v="AGUAJE 4"/>
    <x v="1"/>
    <s v="14"/>
    <x v="7"/>
    <n v="8.61"/>
    <x v="1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x v="152"/>
    <s v="JOSE CEDEÑO"/>
  </r>
  <r>
    <d v="2026-02-23T00:00:00"/>
    <n v="154"/>
    <n v="2026"/>
    <s v="AGUAJE 4"/>
    <x v="1"/>
    <s v="12"/>
    <x v="3"/>
    <n v="6.08"/>
    <x v="2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x v="153"/>
    <s v="SANTIAGO OBRIEN"/>
  </r>
  <r>
    <d v="2026-02-23T00:00:00"/>
    <n v="155"/>
    <n v="2026"/>
    <s v="AGUAJE 4"/>
    <x v="1"/>
    <s v="10"/>
    <x v="7"/>
    <n v="4.0199999999999996"/>
    <x v="1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x v="154"/>
    <s v="JOSE CEDEÑO"/>
  </r>
  <r>
    <d v="2026-02-23T00:00:00"/>
    <n v="156"/>
    <n v="2026"/>
    <s v="AGUAJE 4"/>
    <x v="1"/>
    <s v="01"/>
    <x v="0"/>
    <n v="4.8"/>
    <x v="0"/>
    <n v="66"/>
    <d v="2025-12-19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2.3990909090909089"/>
    <n v="46.759090909090908"/>
    <n v="32.030738594674503"/>
    <n v="32892.632000000005"/>
    <n v="47.095959595959606"/>
    <n v="2.2204827020079287"/>
    <m/>
    <s v="AUTOMATICA"/>
    <n v="410.38999999999987"/>
    <n v="902.88999999999942"/>
    <n v="3.0799999999999983"/>
    <n v="1.620000000000001"/>
    <s v="WILMER TORRES"/>
    <x v="155"/>
    <s v="WILMER TORRES"/>
  </r>
  <r>
    <d v="2026-02-23T00:00:00"/>
    <n v="157"/>
    <n v="2026"/>
    <s v="AGUAJE 4"/>
    <x v="1"/>
    <s v="13"/>
    <x v="4"/>
    <n v="9.18"/>
    <x v="0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CARLOS FLORES"/>
    <x v="156"/>
    <s v="CARLOS FLORES"/>
  </r>
  <r>
    <d v="2026-02-24T00:00:00"/>
    <n v="158"/>
    <n v="2026"/>
    <s v="AGUAJE 4"/>
    <x v="1"/>
    <s v="16"/>
    <x v="7"/>
    <n v="4.74"/>
    <x v="1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x v="157"/>
    <s v="JOSE CEDEÑO"/>
  </r>
  <r>
    <d v="2026-02-25T00:00:00"/>
    <n v="159"/>
    <n v="2026"/>
    <s v="AGUAJE 4"/>
    <x v="1"/>
    <s v="12"/>
    <x v="4"/>
    <n v="8.77"/>
    <x v="0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CARLOS FLORES"/>
    <x v="158"/>
    <s v="CARLOS FLORES"/>
  </r>
  <r>
    <d v="2026-02-27T00:00:00"/>
    <n v="160"/>
    <n v="2026"/>
    <s v="AGUAJE 4"/>
    <x v="1"/>
    <s v="10"/>
    <x v="9"/>
    <n v="3.57"/>
    <x v="1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x v="159"/>
    <s v="VICTOR QUINTANA"/>
  </r>
  <r>
    <d v="2026-02-28T00:00:00"/>
    <n v="161"/>
    <n v="2026"/>
    <s v="AGUAJE 5"/>
    <x v="1"/>
    <s v="21"/>
    <x v="6"/>
    <n v="4.5"/>
    <x v="0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x v="160"/>
    <s v="JUNIOR ESQUIVEL"/>
  </r>
  <r>
    <d v="2026-03-02T00:00:00"/>
    <n v="162"/>
    <n v="2026"/>
    <s v="AGUAJE 5"/>
    <x v="2"/>
    <s v="10"/>
    <x v="1"/>
    <n v="6.71"/>
    <x v="1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x v="161"/>
    <s v="ALFONSO GRUNAUER"/>
  </r>
  <r>
    <d v="2026-03-03T00:00:00"/>
    <n v="163"/>
    <n v="2026"/>
    <s v="AGUAJE 5"/>
    <x v="2"/>
    <s v="19"/>
    <x v="8"/>
    <n v="5.5"/>
    <x v="1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x v="162"/>
    <s v="GUSTAVO CARRASCO"/>
  </r>
  <r>
    <d v="2026-03-03T00:00:00"/>
    <n v="164"/>
    <n v="2026"/>
    <s v="AGUAJE 5"/>
    <x v="2"/>
    <s v="03"/>
    <x v="7"/>
    <n v="4.24"/>
    <x v="1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x v="163"/>
    <s v="JOSE CEDEÑO"/>
  </r>
  <r>
    <d v="2026-03-03T00:00:00"/>
    <n v="165"/>
    <n v="2026"/>
    <s v="AGUAJE 5"/>
    <x v="2"/>
    <s v="12"/>
    <x v="0"/>
    <n v="3.4"/>
    <x v="0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x v="164"/>
    <s v="WILMER TORRES"/>
  </r>
  <r>
    <d v="2026-03-04T00:00:00"/>
    <n v="166"/>
    <n v="2026"/>
    <s v="AGUAJE 5"/>
    <x v="2"/>
    <s v="16"/>
    <x v="5"/>
    <n v="4.7"/>
    <x v="0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NESTOR MOGOLLON"/>
    <x v="165"/>
    <s v="NESTOR MOGOLLON"/>
  </r>
  <r>
    <d v="2026-03-04T00:00:00"/>
    <n v="167"/>
    <n v="2026"/>
    <s v="AGUAJE 5"/>
    <x v="2"/>
    <s v="02"/>
    <x v="8"/>
    <n v="2.65"/>
    <x v="1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x v="166"/>
    <s v="GUSTAVO CARRASCO"/>
  </r>
  <r>
    <d v="2026-03-05T00:00:00"/>
    <n v="168"/>
    <n v="2026"/>
    <s v="AGUAJE 5"/>
    <x v="2"/>
    <s v="04"/>
    <x v="9"/>
    <n v="25.38"/>
    <x v="1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x v="167"/>
    <s v="VICTOR QUINTANA"/>
  </r>
  <r>
    <d v="2026-03-05T00:00:00"/>
    <n v="169"/>
    <n v="2026"/>
    <s v="AGUAJE 5"/>
    <x v="2"/>
    <s v="04"/>
    <x v="4"/>
    <n v="7.76"/>
    <x v="0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CARLOS FLORES"/>
    <x v="168"/>
    <s v="CARLOS FLORES"/>
  </r>
  <r>
    <d v="2026-03-06T00:00:00"/>
    <n v="170"/>
    <n v="2026"/>
    <s v="AGUAJE 5"/>
    <x v="2"/>
    <s v="11"/>
    <x v="5"/>
    <n v="3"/>
    <x v="0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NESTOR MOGOLLON"/>
    <x v="169"/>
    <s v="NESTOR MOGOLLON"/>
  </r>
  <r>
    <d v="2026-03-06T00:00:00"/>
    <n v="171"/>
    <n v="2026"/>
    <s v="AGUAJE 5"/>
    <x v="2"/>
    <s v="17"/>
    <x v="7"/>
    <n v="5.01"/>
    <x v="1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x v="170"/>
    <s v="JOSE CEDEÑO"/>
  </r>
  <r>
    <d v="2026-03-07T00:00:00"/>
    <n v="172"/>
    <n v="2026"/>
    <s v="AGUAJE 5"/>
    <x v="2"/>
    <s v="10"/>
    <x v="14"/>
    <n v="11.52"/>
    <x v="1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x v="171"/>
    <s v="GUSTAVO CARRASCO"/>
  </r>
  <r>
    <d v="2026-03-07T00:00:00"/>
    <n v="173"/>
    <n v="2026"/>
    <s v="AGUAJE 5"/>
    <x v="2"/>
    <s v="18"/>
    <x v="4"/>
    <n v="5.94"/>
    <x v="0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CARLOS FLORES"/>
    <x v="172"/>
    <s v="CARLOS FLORES"/>
  </r>
  <r>
    <d v="2026-03-08T00:00:00"/>
    <n v="174"/>
    <n v="2026"/>
    <s v="AGUAJE 5"/>
    <x v="2"/>
    <s v="19"/>
    <x v="3"/>
    <n v="10"/>
    <x v="2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x v="173"/>
    <s v="SANTIAGO OBRIEN"/>
  </r>
  <r>
    <d v="2026-03-08T00:00:00"/>
    <n v="175"/>
    <n v="2026"/>
    <s v="AGUAJE 5"/>
    <x v="2"/>
    <s v="15"/>
    <x v="4"/>
    <n v="7.5"/>
    <x v="0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CARLOS FLORES"/>
    <x v="18"/>
    <s v="CARLOS FLORES"/>
  </r>
  <r>
    <d v="2026-03-08T00:00:00"/>
    <n v="176"/>
    <n v="2026"/>
    <s v="AGUAJE 5"/>
    <x v="2"/>
    <s v="01"/>
    <x v="7"/>
    <n v="4.5999999999999996"/>
    <x v="1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x v="174"/>
    <s v="JOSE CEDEÑO"/>
  </r>
  <r>
    <d v="2026-03-08T00:00:00"/>
    <n v="177"/>
    <n v="2026"/>
    <s v="AGUAJE 5"/>
    <x v="2"/>
    <s v="01"/>
    <x v="14"/>
    <n v="8.9"/>
    <x v="1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x v="175"/>
    <s v="GUSTAVO CARRASCO"/>
  </r>
  <r>
    <d v="2026-03-08T00:00:00"/>
    <n v="178"/>
    <n v="2026"/>
    <s v="AGUAJE 5"/>
    <x v="2"/>
    <s v="07"/>
    <x v="0"/>
    <n v="4"/>
    <x v="0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x v="176"/>
    <s v="WILMER TORRES"/>
  </r>
  <r>
    <d v="2026-03-09T00:00:00"/>
    <n v="179"/>
    <n v="2026"/>
    <s v="AGUAJE 5"/>
    <x v="2"/>
    <s v="02"/>
    <x v="3"/>
    <n v="7.5"/>
    <x v="2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.900000000009"/>
    <n v="57.534246575342479"/>
    <n v="1.3376553657788184"/>
    <m/>
    <s v="AUTOMATICA"/>
    <n v="1585.0900000000001"/>
    <n v="-69.69999999999709"/>
    <n v="-0.64999999999999858"/>
    <n v="-0.17999999999999972"/>
    <s v="SANTIAGO OBRIEN"/>
    <x v="177"/>
    <s v="SANTIAGO OBRIEN"/>
  </r>
  <r>
    <d v="2026-03-09T00:00:00"/>
    <n v="180"/>
    <n v="2026"/>
    <s v="AGUAJE 5"/>
    <x v="2"/>
    <s v="16"/>
    <x v="4"/>
    <n v="5.92"/>
    <x v="0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CARLOS FLORES"/>
    <x v="178"/>
    <s v="CARLOS FLORES"/>
  </r>
  <r>
    <d v="2026-03-09T00:00:00"/>
    <n v="181"/>
    <n v="2026"/>
    <s v="AGUAJE 5"/>
    <x v="2"/>
    <s v="04"/>
    <x v="5"/>
    <n v="4.5"/>
    <x v="0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NESTOR MOGOLLON"/>
    <x v="179"/>
    <s v="NESTOR MOGOLLON"/>
  </r>
  <r>
    <d v="2026-03-10T00:00:00"/>
    <n v="182"/>
    <n v="2026"/>
    <s v="AGUAJE 5"/>
    <x v="2"/>
    <s v="20"/>
    <x v="0"/>
    <n v="4"/>
    <x v="0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x v="180"/>
    <s v="WILMER TORRES"/>
  </r>
  <r>
    <d v="2026-03-10T00:00:00"/>
    <n v="183"/>
    <n v="2026"/>
    <s v="AGUAJE 5"/>
    <x v="2"/>
    <s v="08"/>
    <x v="4"/>
    <n v="8.15"/>
    <x v="0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CARLOS FLORES"/>
    <x v="181"/>
    <s v="CARLOS FLORES"/>
  </r>
  <r>
    <d v="2026-03-10T00:00:00"/>
    <n v="184"/>
    <n v="2026"/>
    <s v="AGUAJE 5"/>
    <x v="2"/>
    <s v="05"/>
    <x v="2"/>
    <n v="9.4"/>
    <x v="1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x v="182"/>
    <s v="VICTOR QUINTANA"/>
  </r>
  <r>
    <d v="2026-03-10T00:00:00"/>
    <n v="185"/>
    <n v="2026"/>
    <s v="AGUAJE 5"/>
    <x v="2"/>
    <s v="02"/>
    <x v="5"/>
    <n v="2.2999999999999998"/>
    <x v="0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NESTOR MOGOLLON"/>
    <x v="183"/>
    <s v="NESTOR MOGOLLON"/>
  </r>
  <r>
    <d v="2026-03-11T00:00:00"/>
    <n v="186"/>
    <n v="2026"/>
    <s v="AGUAJE 5"/>
    <x v="2"/>
    <s v="30"/>
    <x v="0"/>
    <n v="7.4"/>
    <x v="0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x v="184"/>
    <s v="WILMER TORRES"/>
  </r>
  <r>
    <d v="2026-03-11T00:00:00"/>
    <n v="187"/>
    <n v="2026"/>
    <s v="AGUAJE 5"/>
    <x v="2"/>
    <s v="01"/>
    <x v="10"/>
    <n v="4.5"/>
    <x v="0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x v="185"/>
    <s v="JULIO SANTOS"/>
  </r>
  <r>
    <d v="2026-03-11T00:00:00"/>
    <n v="188"/>
    <n v="2026"/>
    <s v="AGUAJE 5"/>
    <x v="2"/>
    <s v="01"/>
    <x v="5"/>
    <n v="1.2"/>
    <x v="0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NESTOR MOGOLLON"/>
    <x v="186"/>
    <s v="NESTOR MOGOLLON"/>
  </r>
  <r>
    <d v="2026-03-11T00:00:00"/>
    <n v="189"/>
    <n v="2026"/>
    <s v="AGUAJE 5"/>
    <x v="2"/>
    <s v="10"/>
    <x v="5"/>
    <n v="8.5"/>
    <x v="0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NESTOR MOGOLLON"/>
    <x v="187"/>
    <s v="NESTOR MOGOLLON"/>
  </r>
  <r>
    <d v="2026-03-11T00:00:00"/>
    <n v="190"/>
    <n v="2026"/>
    <s v="AGUAJE 5"/>
    <x v="2"/>
    <s v="10"/>
    <x v="4"/>
    <n v="8.8699999999999992"/>
    <x v="0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CARLOS FLORES"/>
    <x v="188"/>
    <s v="CARLOS FLORES"/>
  </r>
  <r>
    <d v="2026-03-12T00:00:00"/>
    <n v="191"/>
    <n v="2026"/>
    <s v="AGUAJE 5"/>
    <x v="2"/>
    <s v="18"/>
    <x v="0"/>
    <n v="4"/>
    <x v="0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x v="189"/>
    <s v="WILMER TORRES"/>
  </r>
  <r>
    <d v="2026-03-12T00:00:00"/>
    <n v="192"/>
    <n v="2026"/>
    <s v="AGUAJE 5"/>
    <x v="2"/>
    <s v="07"/>
    <x v="3"/>
    <n v="3.3"/>
    <x v="2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x v="190"/>
    <s v="SANTIAGO OBRIEN"/>
  </r>
  <r>
    <d v="2026-03-12T00:00:00"/>
    <n v="193"/>
    <n v="2026"/>
    <s v="AGUAJE 5"/>
    <x v="2"/>
    <s v="05"/>
    <x v="9"/>
    <n v="20.8"/>
    <x v="1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x v="191"/>
    <s v="VICTOR QUINTANA"/>
  </r>
  <r>
    <d v="2026-03-13T00:00:00"/>
    <n v="194"/>
    <n v="2026"/>
    <s v="AGUAJE 5"/>
    <x v="2"/>
    <s v="03"/>
    <x v="3"/>
    <n v="6.45"/>
    <x v="2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x v="192"/>
    <s v="SANTIAGO OBRIEN"/>
  </r>
  <r>
    <d v="2026-03-13T00:00:00"/>
    <n v="195"/>
    <n v="2026"/>
    <s v="AGUAJE 5"/>
    <x v="2"/>
    <s v="29"/>
    <x v="7"/>
    <n v="6.1"/>
    <x v="3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x v="193"/>
    <s v="JOSE CEDEÑO"/>
  </r>
  <r>
    <d v="2026-03-13T00:00:00"/>
    <n v="196"/>
    <n v="2026"/>
    <s v="AGUAJE 5"/>
    <x v="2"/>
    <s v="13"/>
    <x v="8"/>
    <n v="5.2"/>
    <x v="1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x v="194"/>
    <s v="GUSTAVO CARRASCO"/>
  </r>
  <r>
    <d v="2026-03-13T00:00:00"/>
    <n v="197"/>
    <n v="2026"/>
    <s v="AGUAJE 5"/>
    <x v="2"/>
    <s v="10"/>
    <x v="0"/>
    <n v="11.4"/>
    <x v="0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x v="195"/>
    <s v="WILMER TORRES"/>
  </r>
  <r>
    <d v="2026-03-13T00:00:00"/>
    <n v="198"/>
    <n v="2026"/>
    <s v="AGUAJE 5"/>
    <x v="2"/>
    <s v="04"/>
    <x v="1"/>
    <n v="6.55"/>
    <x v="1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x v="196"/>
    <s v="ALFONSO GRUNAUER"/>
  </r>
  <r>
    <d v="2026-03-13T00:00:00"/>
    <n v="199"/>
    <n v="2026"/>
    <s v="AGUAJE 5"/>
    <x v="2"/>
    <s v="05"/>
    <x v="5"/>
    <n v="3.47"/>
    <x v="0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NESTOR MOGOLLON"/>
    <x v="197"/>
    <s v="NESTOR MOGOLLON"/>
  </r>
  <r>
    <d v="2026-03-15T00:00:00"/>
    <n v="200"/>
    <n v="2026"/>
    <s v="AGUAJE 6"/>
    <x v="2"/>
    <s v="06"/>
    <x v="3"/>
    <n v="4.53"/>
    <x v="2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x v="198"/>
    <s v="SANTIAGO OBRIEN"/>
  </r>
  <r>
    <d v="2026-03-16T00:00:00"/>
    <n v="201"/>
    <n v="2026"/>
    <s v="AGUAJE 6"/>
    <x v="2"/>
    <s v="07"/>
    <x v="5"/>
    <n v="4.5999999999999996"/>
    <x v="0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NESTOR MOGOLLON"/>
    <x v="199"/>
    <s v="NESTOR MOGOLLON"/>
  </r>
  <r>
    <d v="2026-03-16T00:00:00"/>
    <n v="202"/>
    <n v="2026"/>
    <s v="AGUAJE 6"/>
    <x v="2"/>
    <s v="28"/>
    <x v="0"/>
    <n v="7.3"/>
    <x v="0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x v="0"/>
    <s v="WILMER TORRES"/>
  </r>
  <r>
    <d v="2026-03-16T00:00:00"/>
    <n v="203"/>
    <n v="2026"/>
    <s v="AGUAJE 6"/>
    <x v="2"/>
    <s v="12"/>
    <x v="11"/>
    <n v="6.75"/>
    <x v="1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x v="200"/>
    <s v="ALFONSO GRUNAUER"/>
  </r>
  <r>
    <d v="2026-03-16T00:00:00"/>
    <n v="204"/>
    <n v="2026"/>
    <s v="AGUAJE 6"/>
    <x v="2"/>
    <s v="15"/>
    <x v="9"/>
    <n v="14.9"/>
    <x v="1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x v="201"/>
    <s v="VICTOR QUINTANA"/>
  </r>
  <r>
    <d v="2026-03-17T00:00:00"/>
    <n v="205"/>
    <n v="2026"/>
    <s v="AGUAJE 6"/>
    <x v="2"/>
    <s v="14"/>
    <x v="2"/>
    <n v="2.2999999999999998"/>
    <x v="1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x v="202"/>
    <s v="VICTOR QUINTANA"/>
  </r>
  <r>
    <d v="2026-03-17T00:00:00"/>
    <n v="206"/>
    <n v="2026"/>
    <s v="AGUAJE 6"/>
    <x v="2"/>
    <s v="01"/>
    <x v="4"/>
    <n v="7.6"/>
    <x v="0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CARLOS FLORES"/>
    <x v="203"/>
    <s v="CARLOS FLORES"/>
  </r>
  <r>
    <d v="2026-03-17T00:00:00"/>
    <n v="207"/>
    <n v="2026"/>
    <s v="AGUAJE 6"/>
    <x v="2"/>
    <s v="18"/>
    <x v="7"/>
    <n v="9.5500000000000007"/>
    <x v="1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x v="204"/>
    <s v="JOSE CEDEÑO"/>
  </r>
  <r>
    <d v="2026-03-17T00:00:00"/>
    <n v="208"/>
    <n v="2026"/>
    <s v="AGUAJE 6"/>
    <x v="2"/>
    <s v="19"/>
    <x v="0"/>
    <n v="3"/>
    <x v="0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x v="205"/>
    <s v="WILMER TORRES"/>
  </r>
  <r>
    <d v="2026-03-18T00:00:00"/>
    <n v="209"/>
    <n v="2026"/>
    <s v="AGUAJE 6"/>
    <x v="2"/>
    <s v="19"/>
    <x v="4"/>
    <n v="5"/>
    <x v="0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CARLOS FLORES"/>
    <x v="10"/>
    <s v="CARLOS FLORES"/>
  </r>
  <r>
    <d v="2026-03-18T00:00:00"/>
    <n v="210"/>
    <n v="2026"/>
    <s v="AGUAJE 6"/>
    <x v="2"/>
    <s v="13"/>
    <x v="0"/>
    <n v="9.8000000000000007"/>
    <x v="0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x v="206"/>
    <s v="WILMER TORRES"/>
  </r>
  <r>
    <d v="2026-03-18T00:00:00"/>
    <n v="211"/>
    <n v="2026"/>
    <s v="AGUAJE 6"/>
    <x v="2"/>
    <s v="15"/>
    <x v="1"/>
    <n v="9.16"/>
    <x v="1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x v="207"/>
    <s v="ALFONSO GRUNAUER"/>
  </r>
  <r>
    <d v="2026-03-18T00:00:00"/>
    <n v="212"/>
    <n v="2026"/>
    <s v="AGUAJE 6"/>
    <x v="2"/>
    <s v="19"/>
    <x v="1"/>
    <n v="1.76"/>
    <x v="1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x v="2"/>
    <s v="ALFONSO GRUNAUER"/>
  </r>
  <r>
    <d v="2026-03-18T00:00:00"/>
    <n v="213"/>
    <n v="2026"/>
    <s v="AGUAJE 6"/>
    <x v="2"/>
    <s v="19"/>
    <x v="5"/>
    <n v="3"/>
    <x v="0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NESTOR MOGOLLON"/>
    <x v="14"/>
    <s v="NESTOR MOGOLLON"/>
  </r>
  <r>
    <d v="2026-03-19T00:00:00"/>
    <n v="214"/>
    <n v="2026"/>
    <s v="AGUAJE 6"/>
    <x v="2"/>
    <s v="02"/>
    <x v="4"/>
    <n v="6.5"/>
    <x v="0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CARLOS FLORES"/>
    <x v="208"/>
    <s v="CARLOS FLORES"/>
  </r>
  <r>
    <d v="2026-03-20T00:00:00"/>
    <n v="215"/>
    <n v="2026"/>
    <s v="AGUAJE 6"/>
    <x v="2"/>
    <s v="23"/>
    <x v="4"/>
    <n v="5.5"/>
    <x v="0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CARLOS FLORES"/>
    <x v="209"/>
    <s v="CARLOS FLORES"/>
  </r>
  <r>
    <d v="2026-03-20T00:00:00"/>
    <n v="216"/>
    <n v="2026"/>
    <s v="AGUAJE 6"/>
    <x v="2"/>
    <s v="17"/>
    <x v="1"/>
    <n v="2.85"/>
    <x v="1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x v="5"/>
    <s v="ALFONSO GRUNAUER"/>
  </r>
  <r>
    <d v="2026-03-21T00:00:00"/>
    <n v="217"/>
    <n v="2026"/>
    <s v="AGUAJE 6"/>
    <x v="2"/>
    <s v="16"/>
    <x v="1"/>
    <n v="13.44"/>
    <x v="1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x v="210"/>
    <s v="ALFONSO GRUNAUER"/>
  </r>
  <r>
    <d v="2026-03-22T00:00:00"/>
    <n v="218"/>
    <n v="2026"/>
    <s v="AGUAJE 6"/>
    <x v="2"/>
    <s v="06"/>
    <x v="8"/>
    <n v="9.3000000000000007"/>
    <x v="1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x v="211"/>
    <s v="GUSTAVO CARRASCO"/>
  </r>
  <r>
    <d v="2026-03-22T00:00:00"/>
    <n v="219"/>
    <n v="2026"/>
    <s v="AGUAJE 6"/>
    <x v="2"/>
    <s v="18"/>
    <x v="11"/>
    <n v="11.4"/>
    <x v="1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x v="212"/>
    <s v="ALFONSO GRUNAUER"/>
  </r>
  <r>
    <d v="2026-03-23T00:00:00"/>
    <n v="220"/>
    <n v="2026"/>
    <s v="AGUAJE 6"/>
    <x v="2"/>
    <s v="17"/>
    <x v="8"/>
    <n v="8.8000000000000007"/>
    <x v="1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x v="213"/>
    <s v="GUSTAVO CARRASCO"/>
  </r>
  <r>
    <d v="2026-03-24T00:00:00"/>
    <n v="221"/>
    <n v="2026"/>
    <s v="AGUAJE 6"/>
    <x v="2"/>
    <s v="24"/>
    <x v="7"/>
    <n v="14.61"/>
    <x v="1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x v="214"/>
    <s v="JOSE CEDEÑO"/>
  </r>
  <r>
    <d v="2026-03-24T00:00:00"/>
    <n v="222"/>
    <n v="2026"/>
    <s v="AGUAJE 6"/>
    <x v="2"/>
    <s v="26"/>
    <x v="7"/>
    <n v="6.91"/>
    <x v="1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x v="215"/>
    <s v="JOSE CEDEÑO"/>
  </r>
  <r>
    <d v="2026-03-24T00:00:00"/>
    <n v="223"/>
    <n v="2026"/>
    <s v="AGUAJE 6"/>
    <x v="2"/>
    <s v="08"/>
    <x v="11"/>
    <n v="8"/>
    <x v="1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x v="36"/>
    <s v="ALFONSO GRUNAUER"/>
  </r>
  <r>
    <d v="2026-03-25T00:00:00"/>
    <n v="224"/>
    <n v="2026"/>
    <s v="AGUAJE 6"/>
    <x v="2"/>
    <s v="05"/>
    <x v="4"/>
    <n v="7.67"/>
    <x v="0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CARLOS FLORES"/>
    <x v="216"/>
    <s v="CARLOS FLORES"/>
  </r>
  <r>
    <d v="2026-03-25T00:00:00"/>
    <n v="225"/>
    <n v="2026"/>
    <s v="AGUAJE 6"/>
    <x v="2"/>
    <s v="13"/>
    <x v="10"/>
    <n v="2.25"/>
    <x v="0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x v="217"/>
    <s v="JULIO SANTOS"/>
  </r>
  <r>
    <d v="2026-03-25T00:00:00"/>
    <n v="226"/>
    <n v="2026"/>
    <s v="AGUAJE 6"/>
    <x v="2"/>
    <s v="01"/>
    <x v="6"/>
    <n v="4.5"/>
    <x v="0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x v="218"/>
    <s v="JUNIOR ESQUIVEL"/>
  </r>
  <r>
    <d v="2026-03-26T00:00:00"/>
    <n v="227"/>
    <n v="2026"/>
    <s v="AGUAJE 6"/>
    <x v="2"/>
    <s v="12"/>
    <x v="10"/>
    <n v="8"/>
    <x v="0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x v="219"/>
    <s v="JULIO SANTOS"/>
  </r>
  <r>
    <d v="2026-03-26T00:00:00"/>
    <n v="228"/>
    <n v="2026"/>
    <s v="AGUAJE 6"/>
    <x v="2"/>
    <s v="20"/>
    <x v="1"/>
    <n v="3.9"/>
    <x v="1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x v="220"/>
    <s v="ALFONSO GRUNAUER"/>
  </r>
  <r>
    <d v="2026-03-27T00:00:00"/>
    <n v="229"/>
    <n v="2026"/>
    <s v="AGUAJE 6"/>
    <x v="2"/>
    <s v="10"/>
    <x v="10"/>
    <n v="5.75"/>
    <x v="0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x v="221"/>
    <s v="JULIO SANTOS"/>
  </r>
  <r>
    <d v="2026-03-27T00:00:00"/>
    <n v="230"/>
    <n v="2026"/>
    <s v="AGUAJE 6"/>
    <x v="2"/>
    <s v="13"/>
    <x v="5"/>
    <n v="1.6"/>
    <x v="0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NESTOR MOGOLLON"/>
    <x v="13"/>
    <s v="NESTOR MOGOLLON"/>
  </r>
  <r>
    <d v="2026-03-27T00:00:00"/>
    <n v="231"/>
    <n v="2026"/>
    <s v="AGUAJE 6"/>
    <x v="2"/>
    <s v="05"/>
    <x v="1"/>
    <n v="10.88"/>
    <x v="1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x v="222"/>
    <s v="ALFONSO GRUNAUER"/>
  </r>
  <r>
    <d v="2026-03-28T00:00:00"/>
    <n v="232"/>
    <n v="2026"/>
    <s v="AGUAJE 6"/>
    <x v="2"/>
    <s v="12"/>
    <x v="2"/>
    <n v="0.63"/>
    <x v="1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x v="223"/>
    <s v="VICTOR QUINTANA"/>
  </r>
  <r>
    <d v="2026-03-28T00:00:00"/>
    <n v="233"/>
    <n v="2026"/>
    <s v="AGUAJE 6"/>
    <x v="2"/>
    <s v="13"/>
    <x v="2"/>
    <n v="0.87"/>
    <x v="1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x v="224"/>
    <s v="VICTOR QUINTANA"/>
  </r>
  <r>
    <d v="2026-03-28T00:00:00"/>
    <n v="234"/>
    <n v="2026"/>
    <s v="AGUAJE 6"/>
    <x v="2"/>
    <s v="11"/>
    <x v="10"/>
    <n v="4.42"/>
    <x v="0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x v="225"/>
    <s v="JULIO SANTOS"/>
  </r>
  <r>
    <d v="2026-03-29T00:00:00"/>
    <n v="235"/>
    <n v="2026"/>
    <s v="AGUAJE 7"/>
    <x v="2"/>
    <s v="21"/>
    <x v="2"/>
    <n v="4"/>
    <x v="1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x v="226"/>
    <s v="VICTOR QUINTANA"/>
  </r>
  <r>
    <d v="2026-03-30T00:00:00"/>
    <n v="236"/>
    <n v="2026"/>
    <s v="AGUAJE 7"/>
    <x v="2"/>
    <s v="02"/>
    <x v="10"/>
    <n v="4"/>
    <x v="0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x v="227"/>
    <s v="JULIO SANTOS"/>
  </r>
  <r>
    <d v="2026-03-30T00:00:00"/>
    <n v="237"/>
    <n v="2026"/>
    <s v="AGUAJE 7"/>
    <x v="2"/>
    <s v="12"/>
    <x v="1"/>
    <n v="3.81"/>
    <x v="1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x v="228"/>
    <s v="ALFONSO GRUNAUER"/>
  </r>
  <r>
    <d v="2026-03-31T00:00:00"/>
    <n v="238"/>
    <n v="2026"/>
    <s v="AGUAJE 7"/>
    <x v="2"/>
    <s v="11"/>
    <x v="9"/>
    <n v="2"/>
    <x v="1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x v="22"/>
    <s v="VICTOR QUINTANA"/>
  </r>
  <r>
    <d v="2026-03-31T00:00:00"/>
    <n v="239"/>
    <n v="2026"/>
    <s v="AGUAJE 7"/>
    <x v="2"/>
    <s v="10"/>
    <x v="3"/>
    <n v="7.8"/>
    <x v="2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x v="229"/>
    <s v="SANTIAGO OBRIEN"/>
  </r>
  <r>
    <d v="2026-04-01T00:00:00"/>
    <n v="240"/>
    <n v="2026"/>
    <s v="AGUAJE 7"/>
    <x v="3"/>
    <s v="22"/>
    <x v="7"/>
    <n v="6.85"/>
    <x v="1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2283.43"/>
    <n v="36"/>
    <n v="36.03"/>
    <n v="6172.7635036496358"/>
    <n v="532797.03635859"/>
    <n v="81383.640000000014"/>
    <n v="1219993.4635117047"/>
    <n v="11880.823357664236"/>
    <n v="2.9326744186046509"/>
    <n v="138.14910881004926"/>
    <n v="80.955107067797258"/>
    <n v="107970.285"/>
    <n v="83.135291122050589"/>
    <n v="1.3266829180901714"/>
    <m/>
    <m/>
    <n v="1400.2100000000064"/>
    <n v="383.43000000000029"/>
    <n v="0.99333333333333229"/>
    <n v="3.0000000000001137E-2"/>
    <s v="JOSE CEDEÑO"/>
    <x v="230"/>
    <s v="JOSE CEDEÑO"/>
  </r>
  <r>
    <d v="2026-04-01T00:00:00"/>
    <n v="241"/>
    <n v="2026"/>
    <s v="AGUAJE 7"/>
    <x v="3"/>
    <s v="11"/>
    <x v="6"/>
    <n v="10.3"/>
    <x v="0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8544.33"/>
    <n v="30"/>
    <n v="31.58"/>
    <n v="2771.2941747572813"/>
    <n v="410358.63901203295"/>
    <n v="56393.919999999998"/>
    <n v="995192.19734824402"/>
    <n v="5475.1378640776693"/>
    <n v="2.3269473684210524"/>
    <n v="57.633030148185995"/>
    <n v="60.38787605268471"/>
    <n v="90646.53820000001"/>
    <n v="42.020439448134894"/>
    <n v="1.6073814021085964"/>
    <m/>
    <m/>
    <n v="1049.5900000000001"/>
    <n v="3644.3300000000017"/>
    <n v="-0.33999999999999986"/>
    <n v="1.5799999999999983"/>
    <s v="JUNIOR ESQUIVEL"/>
    <x v="231"/>
    <s v="JUNIOR ESQUIVEL"/>
  </r>
  <r>
    <d v="2026-04-02T00:00:00"/>
    <n v="242"/>
    <n v="2026"/>
    <s v="AGUAJE 7"/>
    <x v="3"/>
    <s v="10"/>
    <x v="2"/>
    <n v="2.36"/>
    <x v="1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3656.88"/>
    <n v="33"/>
    <n v="35.24"/>
    <n v="5786.8135593220341"/>
    <n v="175942.77866061291"/>
    <n v="15198.14"/>
    <n v="193949.26450724184"/>
    <n v="6439.8898305084749"/>
    <n v="3.2890666666666672"/>
    <n v="85.865197740113004"/>
    <n v="39.134234162074627"/>
    <n v="21665.7065"/>
    <n v="55.522598870056498"/>
    <n v="1.4255498699182927"/>
    <m/>
    <m/>
    <n v="41.259999999999991"/>
    <n v="1956.8799999999992"/>
    <n v="16.86"/>
    <n v="2.240000000000002"/>
    <s v="VICTOR QUINTANA"/>
    <x v="28"/>
    <s v="VICTOR QUINTANA"/>
  </r>
  <r>
    <d v="2026-04-02T00:00:00"/>
    <n v="243"/>
    <n v="2026"/>
    <s v="AGUAJE 7"/>
    <x v="3"/>
    <s v="14"/>
    <x v="3"/>
    <n v="5.0999999999999996"/>
    <x v="2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5976.04"/>
    <n v="29"/>
    <n v="32.06"/>
    <n v="5093.3411764705888"/>
    <n v="367845.35745477228"/>
    <n v="39160.93"/>
    <n v="681158.4125612264"/>
    <n v="7678.6137254901969"/>
    <n v="2.5215730337078655"/>
    <n v="86.276558713372992"/>
    <n v="74.200262806233809"/>
    <n v="61453.225000000006"/>
    <n v="61.412205331570831"/>
    <n v="1.5692483554399757"/>
    <m/>
    <m/>
    <n v="384.88999999999942"/>
    <n v="1276.0400000000009"/>
    <n v="-0.57999999999999829"/>
    <n v="3.0600000000000023"/>
    <s v="SANTIAGO OBRIEN"/>
    <x v="232"/>
    <s v="SANTIAGO OBRIEN"/>
  </r>
  <r>
    <d v="2026-04-02T00:00:00"/>
    <n v="244"/>
    <n v="2026"/>
    <s v="AGUAJE 7"/>
    <x v="3"/>
    <s v="15"/>
    <x v="8"/>
    <n v="22.5"/>
    <x v="1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7175.75"/>
    <n v="29"/>
    <n v="26.06"/>
    <n v="1207.8111111111111"/>
    <n v="473437.85495011514"/>
    <n v="137454.65"/>
    <n v="2553603.2560297833"/>
    <n v="6109.0955555555556"/>
    <n v="1.9615053763440857"/>
    <n v="65.689199522102754"/>
    <n v="74.739622076895529"/>
    <n v="188768.875"/>
    <n v="40.919952210274793"/>
    <n v="1.373317490532332"/>
    <m/>
    <m/>
    <n v="2628.8999999999942"/>
    <n v="1775.75"/>
    <n v="0.10800000000000054"/>
    <n v="-2.9400000000000013"/>
    <s v="GUSTAVO CARRASCO"/>
    <x v="233"/>
    <s v="GUSTAVO CARRASCO"/>
  </r>
  <r>
    <d v="2026-04-03T00:00:00"/>
    <n v="245"/>
    <n v="2026"/>
    <s v="AGUAJE 7"/>
    <x v="3"/>
    <s v="03"/>
    <x v="10"/>
    <n v="7.52"/>
    <x v="0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31524.12"/>
    <n v="26"/>
    <n v="26.82"/>
    <n v="4192.0372340425529"/>
    <n v="533629.77181208052"/>
    <n v="48010.92"/>
    <n v="925567.12583230401"/>
    <n v="6384.4308510638302"/>
    <n v="2.2087058823529411"/>
    <n v="75.110951188986235"/>
    <n v="82.053823212083685"/>
    <n v="81074.165000000008"/>
    <n v="57.532853566958707"/>
    <n v="1.6886609338042264"/>
    <m/>
    <m/>
    <n v="686.79999999999927"/>
    <n v="4324.119999999999"/>
    <n v="8.5000000000000853E-2"/>
    <n v="0.82000000000000028"/>
    <s v="JULIO SANTOS"/>
    <x v="234"/>
    <s v="JULIO SANTOS"/>
  </r>
  <r>
    <d v="2026-04-03T00:00:00"/>
    <n v="246"/>
    <n v="2026"/>
    <s v="AGUAJE 7"/>
    <x v="3"/>
    <s v="15"/>
    <x v="0"/>
    <n v="8.1"/>
    <x v="0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9479.160000000003"/>
    <n v="24"/>
    <n v="26.04"/>
    <n v="4873.9703703703708"/>
    <n v="688307.93548387103"/>
    <n v="39479.160000000003"/>
    <n v="688307.93548387103"/>
    <n v="4873.9703703703708"/>
    <n v="2.4632432432432432"/>
    <n v="65.864464464464476"/>
    <n v="47.209049072967836"/>
    <n v="55445.69"/>
    <n v="41.958625291958626"/>
    <n v="1.4044293242308092"/>
    <m/>
    <m/>
    <n v="0"/>
    <n v="5679.1600000000035"/>
    <n v="0"/>
    <n v="2.0399999999999991"/>
    <s v="WILMER TORRES"/>
    <x v="15"/>
    <s v="WILMER TORRES"/>
  </r>
  <r>
    <d v="2026-04-03T00:00:00"/>
    <n v="247"/>
    <n v="2026"/>
    <s v="AGUAJE 7"/>
    <x v="3"/>
    <s v="14"/>
    <x v="9"/>
    <n v="9.3000000000000007"/>
    <x v="3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30087.51"/>
    <n v="21"/>
    <n v="22.74"/>
    <n v="3235.2161290322579"/>
    <n v="600691.71240105538"/>
    <n v="42350.97"/>
    <n v="947671.77035540156"/>
    <n v="4553.8677419354835"/>
    <n v="3.2485714285714282"/>
    <n v="92.936076366030278"/>
    <n v="57.226556180881737"/>
    <n v="59358.855000000003"/>
    <n v="59.084924292297558"/>
    <n v="1.4015937533426035"/>
    <m/>
    <m/>
    <n v="1713.4600000000009"/>
    <n v="4587.5099999999984"/>
    <n v="0.48999999999999844"/>
    <n v="1.7399999999999984"/>
    <s v="VICTOR QUINTANA"/>
    <x v="96"/>
    <s v="VICTOR QUINTANA"/>
  </r>
  <r>
    <d v="2026-04-04T00:00:00"/>
    <n v="248"/>
    <n v="2026"/>
    <s v="AGUAJE 7"/>
    <x v="3"/>
    <s v="08"/>
    <x v="10"/>
    <n v="3.6"/>
    <x v="0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7430.53"/>
    <n v="35"/>
    <n v="34.97"/>
    <n v="4841.8138888888889"/>
    <n v="226292.84014869886"/>
    <n v="26041.03"/>
    <n v="385651.18325826793"/>
    <n v="7233.6194444444436"/>
    <n v="2.8798823529411766"/>
    <n v="85.101405228758153"/>
    <n v="71.416885788568138"/>
    <n v="40123.72"/>
    <n v="59.477124183006538"/>
    <n v="1.5407885171976685"/>
    <m/>
    <m/>
    <n v="610.5"/>
    <n v="1330.5299999999988"/>
    <n v="0.78999999999999915"/>
    <n v="-3.0000000000001137E-2"/>
    <s v="JULIO SANTOS"/>
    <x v="235"/>
    <s v="JULIO SANTOS"/>
  </r>
  <r>
    <d v="2026-04-04T00:00:00"/>
    <n v="249"/>
    <n v="2026"/>
    <s v="AGUAJE 7"/>
    <x v="3"/>
    <s v="02"/>
    <x v="0"/>
    <n v="3"/>
    <x v="0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4630.85"/>
    <n v="25"/>
    <n v="25.62"/>
    <n v="4876.95"/>
    <n v="259266.42857142858"/>
    <n v="14630.85"/>
    <n v="259266.42857142858"/>
    <n v="4876.95"/>
    <n v="2.3912000000000004"/>
    <n v="65.025999999999996"/>
    <n v="48.012301587301586"/>
    <n v="22674.311000000002"/>
    <n v="45.711111111111116"/>
    <n v="1.5497603351821665"/>
    <m/>
    <m/>
    <n v="0"/>
    <n v="2130.8500000000004"/>
    <n v="0"/>
    <n v="0.62000000000000099"/>
    <s v="WILMER TORRES"/>
    <x v="48"/>
    <s v="WILMER TORRES"/>
  </r>
  <r>
    <d v="2026-04-04T00:00:00"/>
    <n v="250"/>
    <n v="2026"/>
    <s v="AGUAJE 7"/>
    <x v="3"/>
    <s v="03"/>
    <x v="0"/>
    <n v="2.5"/>
    <x v="0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5089.4"/>
    <n v="26"/>
    <n v="26.22"/>
    <n v="6035.76"/>
    <n v="261273.36384439358"/>
    <n v="15089.4"/>
    <n v="261273.36384439358"/>
    <n v="6035.76"/>
    <n v="2.3530769230769231"/>
    <n v="77.381538461538469"/>
    <n v="58.060747520976349"/>
    <n v="22828.633000000002"/>
    <n v="53.102564102564102"/>
    <n v="1.5128920301668722"/>
    <m/>
    <m/>
    <n v="0"/>
    <n v="2089.3999999999996"/>
    <n v="0"/>
    <n v="0.21999999999999886"/>
    <s v="WILMER TORRES"/>
    <x v="7"/>
    <s v="WILMER TORRES"/>
  </r>
  <r>
    <d v="2026-04-04T00:00:00"/>
    <n v="251"/>
    <n v="2026"/>
    <s v="AGUAJE 7"/>
    <x v="3"/>
    <s v="36"/>
    <x v="6"/>
    <n v="10"/>
    <x v="0"/>
    <n v="99"/>
    <d v="2025-12-26T00:00:00"/>
    <s v="WA PC 18"/>
    <n v="0.63"/>
    <n v="53"/>
    <n v="1550000"/>
    <n v="155000"/>
    <n v="15.5"/>
    <s v="TECSERV"/>
    <s v="TEXCUMAR"/>
    <s v="UNICO"/>
    <n v="30321"/>
    <n v="35784.409999999996"/>
    <n v="26"/>
    <n v="25.67"/>
    <n v="3578.4409999999998"/>
    <n v="625785.12001639185"/>
    <n v="17850"/>
    <n v="21725.439999999999"/>
    <n v="31"/>
    <n v="28.96"/>
    <n v="2172.5439999999999"/>
    <n v="340585.28176795581"/>
    <n v="57509.849999999991"/>
    <n v="966370.4017843476"/>
    <n v="5750.9849999999988"/>
    <n v="2.047676767676768"/>
    <n v="58.090757575757564"/>
    <n v="62.34647753447404"/>
    <n v="88611.6924"/>
    <n v="40.6"/>
    <n v="1.5408089640296403"/>
    <m/>
    <m/>
    <n v="5463.4099999999962"/>
    <n v="3875.4399999999987"/>
    <n v="-0.32999999999999829"/>
    <n v="-2.0399999999999991"/>
    <s v="JUNIOR ESQUIVEL"/>
    <x v="236"/>
    <s v="JUNIOR ESQUIVEL"/>
  </r>
  <r>
    <d v="2026-04-04T00:00:00"/>
    <n v="257"/>
    <n v="2026"/>
    <s v="AGUAJE 7"/>
    <x v="3"/>
    <s v="17"/>
    <x v="2"/>
    <n v="7.5"/>
    <x v="1"/>
    <n v="83"/>
    <d v="2026-01-11T00:00:00"/>
    <s v="CA PC 6"/>
    <n v="0.46"/>
    <n v="6"/>
    <n v="1350000"/>
    <n v="180000"/>
    <n v="18"/>
    <s v="DEONES"/>
    <s v="TEXCUMAR"/>
    <s v="UNICO"/>
    <n v="23200"/>
    <n v="24052.02"/>
    <n v="27.333333333333332"/>
    <n v="28.78"/>
    <n v="3206.9360000000001"/>
    <n v="377001.73887248145"/>
    <n v="20800"/>
    <n v="24503.24"/>
    <n v="33"/>
    <n v="34.619999999999997"/>
    <n v="3267.0986666666668"/>
    <n v="321330.7614095899"/>
    <n v="48555.26"/>
    <n v="698332.5002820713"/>
    <n v="6474.0346666666674"/>
    <n v="2.919759036144578"/>
    <n v="78.000417670682737"/>
    <n v="51.728333354227509"/>
    <n v="75865.797500000001"/>
    <n v="55.281124497991961"/>
    <n v="1.5624630060677256"/>
    <m/>
    <m/>
    <n v="852.02000000000044"/>
    <n v="3703.2400000000016"/>
    <n v="1.446666666666669"/>
    <n v="1.6199999999999974"/>
    <s v="VICTOR QUINTANA"/>
    <x v="3"/>
    <s v="VICTOR QUINTANA"/>
  </r>
  <r>
    <d v="2026-04-04T00:00:00"/>
    <n v="252"/>
    <n v="2026"/>
    <s v="AGUAJE 7"/>
    <x v="3"/>
    <s v="09"/>
    <x v="5"/>
    <n v="7.6"/>
    <x v="0"/>
    <n v="46"/>
    <d v="2026-02-17T00:00:00"/>
    <s v="ME PC 8"/>
    <n v="4"/>
    <n v="9"/>
    <n v="1064000"/>
    <n v="140000"/>
    <n v="14"/>
    <s v="GENESIS"/>
    <s v="TEXCUMAR"/>
    <s v="UNICO"/>
    <n v="27400"/>
    <n v="27071.879999999997"/>
    <n v="25"/>
    <n v="25.515000000000001"/>
    <n v="3562.0894736842101"/>
    <n v="454598.55441506766"/>
    <n v="12400"/>
    <n v="12770.9"/>
    <n v="30"/>
    <n v="30.92"/>
    <n v="1680.3815789473686"/>
    <n v="187515.80206985769"/>
    <n v="39842.78"/>
    <n v="642114.35648492537"/>
    <n v="5242.4710526315794"/>
    <n v="4.7052173913043482"/>
    <n v="113.96676201372999"/>
    <n v="60.349093654598249"/>
    <n v="36431.014999999999"/>
    <n v="47.268306636155607"/>
    <n v="0.91436930354759383"/>
    <m/>
    <m/>
    <n v="-328.12000000000262"/>
    <n v="370.89999999999964"/>
    <n v="0.51500000000000057"/>
    <n v="0.92000000000000171"/>
    <s v="NESTOR MOGOLLON"/>
    <x v="108"/>
    <s v="NESTOR MOGOLLON"/>
  </r>
  <r>
    <d v="2026-04-05T00:00:00"/>
    <n v="253"/>
    <n v="2026"/>
    <s v="AGUAJE 7"/>
    <x v="3"/>
    <s v="18"/>
    <x v="2"/>
    <n v="5.5"/>
    <x v="1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31238.97"/>
    <n v="32.5"/>
    <n v="34.18"/>
    <n v="5679.8127272727279"/>
    <n v="414935.41193680518"/>
    <n v="37105.21"/>
    <n v="501686.97415178886"/>
    <n v="6746.4018181818183"/>
    <n v="2.8483333333333332"/>
    <n v="80.314307359307364"/>
    <n v="50.675451934524126"/>
    <n v="58256.555"/>
    <n v="57.196969696969703"/>
    <n v="1.5700370648757951"/>
    <m/>
    <m/>
    <n v="716.23999999999978"/>
    <n v="4038.9700000000012"/>
    <n v="-0.30000000000000071"/>
    <n v="1.6799999999999997"/>
    <s v="VICTOR QUINTANA"/>
    <x v="8"/>
    <s v="VICTOR QUINTANA"/>
  </r>
  <r>
    <d v="2026-04-05T00:00:00"/>
    <n v="254"/>
    <n v="2026"/>
    <s v="AGUAJE 7"/>
    <x v="3"/>
    <s v="16"/>
    <x v="0"/>
    <n v="5"/>
    <x v="0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4695.539999999999"/>
    <n v="24"/>
    <n v="22.52"/>
    <n v="2939.1079999999997"/>
    <n v="296259.99822380103"/>
    <n v="14695.539999999999"/>
    <n v="296259.99822380103"/>
    <n v="2939.1079999999997"/>
    <n v="2.0742105263157895"/>
    <n v="38.672473684210523"/>
    <n v="49.376666370633501"/>
    <n v="29684.939000000002"/>
    <n v="35.434210526315788"/>
    <n v="2.0199964751210233"/>
    <m/>
    <m/>
    <n v="0"/>
    <n v="1495.5399999999991"/>
    <n v="0"/>
    <n v="-1.4800000000000004"/>
    <s v="WILMER TORRES"/>
    <x v="4"/>
    <s v="WILMER TORRES"/>
  </r>
  <r>
    <d v="2026-04-05T00:00:00"/>
    <n v="255"/>
    <n v="2026"/>
    <s v="AGUAJE 7"/>
    <x v="3"/>
    <s v="09"/>
    <x v="10"/>
    <n v="3.8"/>
    <x v="0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8023.650000000001"/>
    <n v="33"/>
    <n v="32.18"/>
    <n v="4743.0657894736851"/>
    <n v="254280.20820385334"/>
    <n v="22609.920000000002"/>
    <n v="336384.56861394801"/>
    <n v="5949.9789473684223"/>
    <n v="2.619302325581395"/>
    <n v="69.185801713586301"/>
    <n v="63.230182070290972"/>
    <n v="38800.959999999999"/>
    <n v="53.855569155446766"/>
    <n v="1.7161033740942027"/>
    <m/>
    <m/>
    <n v="436.27000000000044"/>
    <n v="1523.6500000000015"/>
    <n v="0.35999999999999943"/>
    <n v="-0.82000000000000028"/>
    <s v="JULIO SANTOS"/>
    <x v="237"/>
    <s v="JULIO SANTOS"/>
  </r>
  <r>
    <d v="2026-04-05T00:00:00"/>
    <n v="256"/>
    <n v="2026"/>
    <s v="AGUAJE 7"/>
    <x v="3"/>
    <s v="18"/>
    <x v="3"/>
    <n v="10.6"/>
    <x v="2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3247.97"/>
    <n v="38"/>
    <n v="36.75"/>
    <n v="3136.6009433962267"/>
    <n v="410736.82666666666"/>
    <n v="42007.590000000004"/>
    <n v="584399.1620378457"/>
    <n v="3962.9801886792457"/>
    <n v="3.0993975903614457"/>
    <n v="47.746749261195731"/>
    <n v="45.943330348887237"/>
    <n v="84325.950000000012"/>
    <n v="43.475789952261877"/>
    <n v="2.0073979487992526"/>
    <m/>
    <m/>
    <n v="559.6200000000008"/>
    <n v="-1152.0299999999988"/>
    <n v="0.89999999999999858"/>
    <n v="-1.25"/>
    <s v="SANTIAGO OBRIEN"/>
    <x v="6"/>
    <s v="SANTIAGO OBRIEN"/>
  </r>
  <r>
    <d v="2026-04-05T00:00:00"/>
    <n v="258"/>
    <n v="2026"/>
    <s v="AGUAJE 7"/>
    <x v="3"/>
    <s v="14"/>
    <x v="6"/>
    <n v="6"/>
    <x v="0"/>
    <n v="79"/>
    <d v="2026-01-16T00:00:00"/>
    <s v="WA PC 5 - 7 - 8 - PS 23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7337.3"/>
    <n v="35"/>
    <n v="29.32"/>
    <n v="2889.5499999999997"/>
    <n v="268456.14597544336"/>
    <n v="23199.239999999998"/>
    <n v="382774.04803729901"/>
    <n v="3866.5399999999995"/>
    <n v="2.5979746835443036"/>
    <n v="48.943544303797459"/>
    <n v="42.530449781922115"/>
    <n v="46737.520000000004"/>
    <n v="44.725738396624472"/>
    <n v="2.0146142718468365"/>
    <m/>
    <m/>
    <n v="261.9399999999996"/>
    <n v="1837.2999999999993"/>
    <n v="1.2800000000000011"/>
    <n v="-5.68"/>
    <s v="JUNIOR ESQUIVEL"/>
    <x v="17"/>
    <s v="JUNIOR ESQUIVEL"/>
  </r>
  <r>
    <d v="2026-04-06T00:00:00"/>
    <n v="259"/>
    <n v="2026"/>
    <s v="AGUAJE 7"/>
    <x v="3"/>
    <s v="14"/>
    <x v="0"/>
    <n v="4.5999999999999996"/>
    <x v="0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9916.61"/>
    <n v="28"/>
    <n v="29.26"/>
    <n v="4329.6978260869573"/>
    <n v="309027.37320574158"/>
    <n v="19916.61"/>
    <n v="309027.37320574158"/>
    <n v="4329.6978260869573"/>
    <n v="2.66"/>
    <n v="56.229841897233214"/>
    <n v="37.322146522432561"/>
    <n v="33631.173000000003"/>
    <n v="43.068887634105025"/>
    <n v="1.688599264633891"/>
    <m/>
    <m/>
    <n v="0"/>
    <n v="3116.6100000000006"/>
    <n v="0"/>
    <n v="1.2600000000000016"/>
    <s v="WILMER TORRES"/>
    <x v="1"/>
    <s v="WILMER TORRES"/>
  </r>
  <r>
    <d v="2026-04-06T00:00:00"/>
    <n v="260"/>
    <n v="2026"/>
    <s v="AGUAJE 7"/>
    <x v="3"/>
    <s v="38"/>
    <x v="6"/>
    <n v="16.8"/>
    <x v="0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44190.73"/>
    <n v="33"/>
    <n v="31.68"/>
    <n v="2630.4005952380953"/>
    <n v="633288.87058080814"/>
    <n v="85591.53"/>
    <n v="1483150.3251851602"/>
    <n v="5094.7339285714279"/>
    <n v="2.4104347826086956"/>
    <n v="55.377542701863348"/>
    <n v="58.855171634331747"/>
    <n v="129229.24280000001"/>
    <n v="37.925724637681157"/>
    <n v="1.5098368121238166"/>
    <m/>
    <m/>
    <n v="2450.8000000000029"/>
    <n v="6840.7300000000032"/>
    <n v="1.0350000000000001"/>
    <n v="-1.3200000000000003"/>
    <s v="JUNIOR ESQUIVEL"/>
    <x v="238"/>
    <s v="JUNIOR ESQUIVEL"/>
  </r>
  <r>
    <d v="2026-04-07T00:00:00"/>
    <n v="261"/>
    <n v="2026"/>
    <s v="AGUAJE 7"/>
    <x v="3"/>
    <s v="25"/>
    <x v="7"/>
    <n v="14.77"/>
    <x v="1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24.549999999999997"/>
    <n v="3898.7332430602573"/>
    <n v="1051324.2431504331"/>
    <n v="69300"/>
    <n v="74257.13"/>
    <n v="37"/>
    <n v="35.880000000000003"/>
    <n v="5027.5646580907251"/>
    <n v="939596.90691192867"/>
    <n v="131841.42000000001"/>
    <n v="1990921.1500623617"/>
    <n v="8926.2979011509833"/>
    <n v="2.8220224719101128"/>
    <n v="100.29548203540431"/>
    <n v="74.884834150881503"/>
    <n v="189264.91"/>
    <n v="65.308513308939311"/>
    <n v="1.4355496929568869"/>
    <m/>
    <m/>
    <n v="1684.2900000000009"/>
    <n v="4957.1300000000047"/>
    <n v="0.29999999999999716"/>
    <n v="-1.1199999999999974"/>
    <s v="JOSE CEDEÑO"/>
    <x v="239"/>
    <s v="JOSE CEDEÑO"/>
  </r>
  <r>
    <d v="2026-04-07T00:00:00"/>
    <n v="262"/>
    <n v="2026"/>
    <s v="AGUAJE 7"/>
    <x v="3"/>
    <s v="17"/>
    <x v="0"/>
    <n v="5"/>
    <x v="0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20885.839999999997"/>
    <n v="26"/>
    <n v="32.39"/>
    <n v="4177.1679999999997"/>
    <n v="292749.96480395173"/>
    <n v="20885.839999999997"/>
    <n v="292749.96480395173"/>
    <n v="4177.1679999999997"/>
    <n v="3.0230666666666668"/>
    <n v="55.695573333333328"/>
    <n v="34.441172329876672"/>
    <n v="34182.323000000004"/>
    <n v="41.346666666666671"/>
    <n v="1.6366266810432335"/>
    <m/>
    <m/>
    <n v="0"/>
    <n v="1185.8399999999965"/>
    <n v="0"/>
    <n v="6.3900000000000006"/>
    <s v="WILMER TORRES"/>
    <x v="31"/>
    <s v="WILMER TORRES"/>
  </r>
  <r>
    <d v="2026-04-07T00:00:00"/>
    <n v="263"/>
    <n v="2026"/>
    <s v="AGUAJE 7"/>
    <x v="3"/>
    <s v="13"/>
    <x v="9"/>
    <n v="4.8"/>
    <x v="1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7622.46"/>
    <n v="37"/>
    <n v="36.43"/>
    <n v="5754.6791666666668"/>
    <n v="344238.17842437554"/>
    <n v="33624.979999999996"/>
    <n v="475380.81942533801"/>
    <n v="7005.2041666666664"/>
    <n v="3.1482716049382717"/>
    <n v="86.484002057613168"/>
    <n v="58.257453360948283"/>
    <n v="49223.2065"/>
    <n v="57.426697530864196"/>
    <n v="1.4638880528702176"/>
    <m/>
    <m/>
    <n v="902.52000000000044"/>
    <n v="4422.4599999999991"/>
    <n v="1.7800000000000011"/>
    <n v="-0.57000000000000028"/>
    <s v="VICTOR QUINTANA"/>
    <x v="24"/>
    <s v="VICTOR QUINTANA"/>
  </r>
  <r>
    <d v="2026-04-08T00:00:00"/>
    <n v="264"/>
    <n v="2026"/>
    <s v="AGUAJE 7"/>
    <x v="3"/>
    <s v="12"/>
    <x v="9"/>
    <n v="5.2"/>
    <x v="1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640.31"/>
    <n v="39"/>
    <n v="39.03"/>
    <n v="6276.9826923076926"/>
    <n v="379674.62823469128"/>
    <n v="37117.880000000005"/>
    <n v="468289.13477348816"/>
    <n v="7138.0538461538472"/>
    <n v="3.3318292682926831"/>
    <n v="87.049437148217649"/>
    <n v="52.973884024150244"/>
    <n v="51560.082500000004"/>
    <n v="54.848733583489675"/>
    <n v="1.3890901770251964"/>
    <m/>
    <m/>
    <n v="477.56999999999971"/>
    <n v="490.31000000000131"/>
    <n v="2.9400000000000013"/>
    <n v="3.0000000000001137E-2"/>
    <s v="VICTOR QUINTANA"/>
    <x v="27"/>
    <s v="VICTOR QUINTANA"/>
  </r>
  <r>
    <d v="2026-04-08T00:00:00"/>
    <n v="265"/>
    <n v="2026"/>
    <s v="AGUAJE 7"/>
    <x v="3"/>
    <s v="09"/>
    <x v="7"/>
    <n v="7.95"/>
    <x v="1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6692.760000000002"/>
    <n v="28"/>
    <n v="29.78"/>
    <n v="3357.5798742138368"/>
    <n v="424962.34272979025"/>
    <n v="37350"/>
    <n v="40201.81"/>
    <n v="38"/>
    <n v="37.979999999999997"/>
    <n v="5056.8314465408803"/>
    <n v="480558.76092680357"/>
    <n v="66894.570000000007"/>
    <n v="905521.10365659383"/>
    <n v="8414.411320754718"/>
    <n v="3.2822222222222219"/>
    <n v="103.88162124388541"/>
    <n v="63.276692195003235"/>
    <n v="84766.87000000001"/>
    <n v="59.709604782980044"/>
    <n v="1.2671711620240627"/>
    <m/>
    <m/>
    <n v="2892.760000000002"/>
    <n v="2851.8099999999977"/>
    <n v="1.7800000000000011"/>
    <n v="-2.0000000000003126E-2"/>
    <s v="JOSE CEDEÑO"/>
    <x v="38"/>
    <s v="JOSE CEDEÑO"/>
  </r>
  <r>
    <d v="2026-04-08T00:00:00"/>
    <n v="266"/>
    <n v="2026"/>
    <s v="AGUAJE 7"/>
    <x v="3"/>
    <s v="21"/>
    <x v="10"/>
    <n v="3.32"/>
    <x v="0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1563.14"/>
    <n v="34"/>
    <n v="35.1"/>
    <n v="3482.8734939759038"/>
    <n v="149563.12136752135"/>
    <n v="21040.18"/>
    <n v="337812.88750781573"/>
    <n v="6337.4036144578313"/>
    <n v="3.07125"/>
    <n v="79.217545180722894"/>
    <n v="63.594293582043626"/>
    <n v="33620.15"/>
    <n v="57.4171686746988"/>
    <n v="1.5979022042587088"/>
    <m/>
    <m/>
    <n v="1027.0400000000009"/>
    <n v="813.13999999999942"/>
    <n v="0.78000000000000114"/>
    <n v="1.1000000000000014"/>
    <s v="JULIO SANTOS"/>
    <x v="26"/>
    <s v="JULIO SANTOS"/>
  </r>
  <r>
    <d v="2026-04-08T00:00:00"/>
    <n v="267"/>
    <n v="2026"/>
    <s v="AGUAJE 7"/>
    <x v="3"/>
    <s v="21"/>
    <x v="0"/>
    <n v="1.7"/>
    <x v="0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8534.59"/>
    <n v="31"/>
    <n v="35.22"/>
    <n v="5020.3470588235296"/>
    <n v="110014.30607609313"/>
    <n v="8534.59"/>
    <n v="110014.30607609313"/>
    <n v="5020.3470588235296"/>
    <n v="3.2439473684210522"/>
    <n v="66.057198142414862"/>
    <n v="35.952387606566383"/>
    <n v="13745.681"/>
    <n v="48.258513931888551"/>
    <n v="1.6105848084090741"/>
    <m/>
    <m/>
    <n v="0"/>
    <n v="1534.5900000000001"/>
    <n v="0"/>
    <n v="4.2199999999999989"/>
    <s v="WILMER TORRES"/>
    <x v="34"/>
    <s v="WILMER TORRES"/>
  </r>
  <r>
    <d v="2026-04-08T00:00:00"/>
    <n v="268"/>
    <n v="2026"/>
    <s v="AGUAJE 7"/>
    <x v="3"/>
    <s v="22"/>
    <x v="0"/>
    <n v="2.54"/>
    <x v="0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11336.42"/>
    <n v="27"/>
    <n v="30.2"/>
    <n v="4463.1574803149606"/>
    <n v="170421.67814569536"/>
    <n v="11336.42"/>
    <n v="170421.67814569536"/>
    <n v="4463.1574803149606"/>
    <n v="2.7815789473684207"/>
    <n v="58.725756319933694"/>
    <n v="37.291395655513213"/>
    <n v="18221.019"/>
    <n v="42.814960629921259"/>
    <n v="1.6072992179188845"/>
    <m/>
    <m/>
    <n v="0"/>
    <n v="1986.42"/>
    <n v="0"/>
    <n v="3.1999999999999993"/>
    <s v="WILMER TORRES"/>
    <x v="35"/>
    <s v="WILMER TORRES"/>
  </r>
  <r>
    <d v="2026-04-09T00:00:00"/>
    <n v="269"/>
    <n v="2026"/>
    <s v="AGUAJE 7"/>
    <x v="3"/>
    <s v="12"/>
    <x v="8"/>
    <n v="17"/>
    <x v="1"/>
    <n v="93"/>
    <d v="2026-01-06T00:00:00"/>
    <s v="PA 7"/>
    <n v="0.65"/>
    <n v="11"/>
    <n v="2380000"/>
    <n v="140000"/>
    <n v="14"/>
    <s v="NEMEN"/>
    <s v="TEXCUMAR"/>
    <s v="UNICO"/>
    <n v="57900"/>
    <n v="56918.299999999996"/>
    <n v="26.375"/>
    <n v="28.099999999999998"/>
    <n v="3348.1352941176469"/>
    <n v="979397.63574712374"/>
    <n v="33750"/>
    <n v="37261.660000000003"/>
    <n v="33"/>
    <n v="32.630000000000003"/>
    <n v="2191.8623529411766"/>
    <n v="518442.95556236588"/>
    <n v="94179.959999999992"/>
    <n v="1497840.5913094897"/>
    <n v="5539.9976470588226"/>
    <n v="2.4560215053763441"/>
    <n v="59.569867172675515"/>
    <n v="62.934478626449142"/>
    <n v="154542.46000000002"/>
    <n v="44.339025932953831"/>
    <n v="1.6409272206104146"/>
    <m/>
    <m/>
    <n v="-981.70000000000437"/>
    <n v="3511.6600000000035"/>
    <n v="1.7249999999999979"/>
    <n v="-0.36999999999999744"/>
    <s v="GUSTAVO CARRASCO"/>
    <x v="240"/>
    <s v="GUSTAVO CARRASCO"/>
  </r>
  <r>
    <d v="2026-04-09T00:00:00"/>
    <n v="270"/>
    <n v="2026"/>
    <s v="AGUAJE 7"/>
    <x v="3"/>
    <s v="05"/>
    <x v="0"/>
    <n v="2.56"/>
    <x v="0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3716.76"/>
    <n v="21"/>
    <n v="21.76"/>
    <n v="5358.109375"/>
    <n v="286186.07720588235"/>
    <n v="13716.76"/>
    <n v="286186.07720588235"/>
    <n v="5358.109375"/>
    <n v="1.8351807228915664"/>
    <n v="64.555534638554221"/>
    <n v="62.106353560304328"/>
    <n v="25088.348000000002"/>
    <n v="53.557981927710841"/>
    <n v="1.8290287210682408"/>
    <m/>
    <m/>
    <n v="0"/>
    <n v="1616.7600000000002"/>
    <n v="0"/>
    <n v="0.76000000000000156"/>
    <s v="WILMER TORRES"/>
    <x v="11"/>
    <s v="WILMER TORRES"/>
  </r>
  <r>
    <d v="2026-04-10T00:00:00"/>
    <n v="271"/>
    <n v="2026"/>
    <s v="AGUAJE 7"/>
    <x v="3"/>
    <s v="24"/>
    <x v="3"/>
    <n v="5.54"/>
    <x v="2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7644.82"/>
    <n v="34"/>
    <n v="33.78"/>
    <n v="3184.9855595667868"/>
    <n v="237144.70929544108"/>
    <n v="24434.67"/>
    <n v="360448.38529544108"/>
    <n v="4410.5902527075805"/>
    <n v="3.111315789473684"/>
    <n v="58.034082272468162"/>
    <n v="54.219071193658408"/>
    <n v="41501.595000000001"/>
    <n v="44.710716321489649"/>
    <n v="1.6984716797894142"/>
    <m/>
    <m/>
    <n v="489.85000000000036"/>
    <n v="-1805.1800000000003"/>
    <n v="-1.8000000000000007"/>
    <n v="-0.21999999999999886"/>
    <s v="SANTIAGO OBRIEN"/>
    <x v="41"/>
    <s v="SANTIAGO OBRIEN"/>
  </r>
  <r>
    <d v="2026-04-10T00:00:00"/>
    <n v="272"/>
    <n v="2026"/>
    <s v="AGUAJE 7"/>
    <x v="3"/>
    <s v="14"/>
    <x v="8"/>
    <n v="11"/>
    <x v="1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6690.55"/>
    <n v="31"/>
    <n v="33.94"/>
    <n v="2426.4136363636362"/>
    <n v="357027.39245727757"/>
    <n v="59151.05"/>
    <n v="1074043.2556061249"/>
    <n v="5377.3681818181822"/>
    <n v="2.9697499999999999"/>
    <n v="67.217102272727274"/>
    <n v="57.435468214231278"/>
    <n v="84987.33"/>
    <n v="43.80681818181818"/>
    <n v="1.4367848077084007"/>
    <m/>
    <m/>
    <n v="2960.5"/>
    <n v="-409.45000000000073"/>
    <n v="0.95333333333333314"/>
    <n v="2.9399999999999977"/>
    <s v="GUSTAVO CARRASCO"/>
    <x v="21"/>
    <s v="GUSTAVO CARRASCO"/>
  </r>
  <r>
    <d v="2026-04-10T00:00:00"/>
    <n v="273"/>
    <n v="2026"/>
    <s v="AGUAJE 7"/>
    <x v="3"/>
    <s v="02"/>
    <x v="6"/>
    <n v="6"/>
    <x v="0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3748.720000000001"/>
    <n v="33"/>
    <n v="32.630000000000003"/>
    <n v="2291.4533333333334"/>
    <n v="191293.86699356421"/>
    <n v="35269.96"/>
    <n v="625960.04115644936"/>
    <n v="5878.3266666666668"/>
    <n v="2.4827173913043481"/>
    <n v="63.89485507246377"/>
    <n v="69.551115684049918"/>
    <n v="53686.419200000004"/>
    <n v="44.115942028985508"/>
    <n v="1.5221570764469254"/>
    <m/>
    <m/>
    <n v="2621.239999999998"/>
    <n v="-1101.2799999999988"/>
    <n v="1.2300000000000004"/>
    <n v="-0.36999999999999744"/>
    <s v="JUNIOR ESQUIVEL"/>
    <x v="241"/>
    <s v="JUNIOR ESQUIVEL"/>
  </r>
  <r>
    <d v="2026-04-11T00:00:00"/>
    <n v="274"/>
    <n v="2026"/>
    <s v="AGUAJE 7"/>
    <x v="3"/>
    <s v="21"/>
    <x v="3"/>
    <n v="5.15"/>
    <x v="2"/>
    <n v="77"/>
    <d v="2026-01-24T00:00:00"/>
    <s v="CH PS 17"/>
    <n v="0.57999999999999996"/>
    <n v="12"/>
    <n v="927000"/>
    <n v="180000"/>
    <n v="18"/>
    <s v="LARVASLAB"/>
    <s v="TEXCUMAR"/>
    <s v="UNICO"/>
    <n v="11550"/>
    <n v="12525.79"/>
    <n v="24.5"/>
    <n v="24.08"/>
    <n v="2432.1922330097086"/>
    <n v="248851.51294287166"/>
    <n v="15900"/>
    <n v="18534.240000000002"/>
    <n v="30"/>
    <n v="29.9"/>
    <n v="3598.8815533980583"/>
    <n v="281422.90836120408"/>
    <n v="31060.030000000002"/>
    <n v="530274.42130407575"/>
    <n v="6031.0737864077673"/>
    <n v="2.7181818181818183"/>
    <n v="78.325633589711259"/>
    <n v="57.203281694075059"/>
    <n v="51808.100000000006"/>
    <n v="59.261127222292266"/>
    <n v="1.6679990328405994"/>
    <m/>
    <m/>
    <n v="975.79000000000087"/>
    <n v="2634.2400000000016"/>
    <n v="-0.42000000000000171"/>
    <n v="-0.10000000000000142"/>
    <s v="SANTIAGO OBRIEN"/>
    <x v="32"/>
    <s v="SANTIAGO OBRIEN"/>
  </r>
  <r>
    <d v="2026-04-11T00:00:00"/>
    <n v="275"/>
    <n v="2026"/>
    <s v="AGUAJE 7"/>
    <x v="3"/>
    <s v="07"/>
    <x v="9"/>
    <n v="8.93"/>
    <x v="1"/>
    <n v="80"/>
    <d v="2026-01-21T00:00:00"/>
    <s v="CA PS 20"/>
    <n v="0.55000000000000004"/>
    <n v="7"/>
    <n v="1786000"/>
    <n v="200000"/>
    <n v="20"/>
    <s v="PRONAUPLIO"/>
    <s v="SEMACUA"/>
    <s v="UNICO"/>
    <n v="34000"/>
    <n v="35178.42"/>
    <n v="24"/>
    <n v="26.013333333333335"/>
    <n v="3939.3527435610304"/>
    <n v="599751.17291967873"/>
    <n v="36700"/>
    <n v="37866.86"/>
    <n v="31"/>
    <n v="32.01"/>
    <n v="4240.4098544232929"/>
    <n v="537068.24242424255"/>
    <n v="73045.279999999999"/>
    <n v="1136819.4153439212"/>
    <n v="8179.7625979843224"/>
    <n v="2.8008749999999996"/>
    <n v="102.24703247480403"/>
    <n v="63.6517029867817"/>
    <n v="94963.145000000004"/>
    <n v="60.295352743561033"/>
    <n v="1.3000586074829203"/>
    <m/>
    <m/>
    <n v="1178.4199999999983"/>
    <n v="1166.8600000000006"/>
    <n v="2.0133333333333354"/>
    <n v="1.009999999999998"/>
    <s v="VICTOR QUINTANA"/>
    <x v="45"/>
    <s v="VICTOR QUINTANA"/>
  </r>
  <r>
    <d v="2026-04-13T00:00:00"/>
    <n v="276"/>
    <n v="2026"/>
    <s v="AGUAJE 7"/>
    <x v="3"/>
    <s v="20"/>
    <x v="3"/>
    <n v="6.45"/>
    <x v="2"/>
    <n v="91"/>
    <d v="2026-01-12T00:00:00"/>
    <s v="CH 7"/>
    <n v="0.56999999999999995"/>
    <n v="6"/>
    <n v="1293259"/>
    <n v="200505.27131782947"/>
    <n v="20.050527131782946"/>
    <s v="DEONES"/>
    <s v="TEXCUMAR"/>
    <s v="UNICO"/>
    <n v="19900"/>
    <n v="20724.75"/>
    <n v="24.75"/>
    <n v="24.75"/>
    <n v="3213.1395348837209"/>
    <n v="392595.06450459542"/>
    <n v="23500"/>
    <n v="25202.79"/>
    <n v="34"/>
    <n v="35.15"/>
    <n v="3907.4093023255814"/>
    <n v="325521.0998577525"/>
    <n v="45927.54"/>
    <n v="718116.16436234792"/>
    <n v="7120.5488372093023"/>
    <n v="2.7038461538461536"/>
    <n v="78.247789419882437"/>
    <n v="55.527637106128623"/>
    <n v="77050.77"/>
    <n v="59.545106056733957"/>
    <n v="1.6776594174214425"/>
    <m/>
    <m/>
    <n v="824.75"/>
    <n v="1702.7900000000009"/>
    <n v="0"/>
    <n v="1.1499999999999986"/>
    <s v="SANTIAGO OBRIEN"/>
    <x v="9"/>
    <s v="SANTIAGO OBRIEN"/>
  </r>
  <r>
    <d v="2026-04-14T00:00:00"/>
    <n v="277"/>
    <n v="2026"/>
    <s v="AGUAJE 8"/>
    <x v="3"/>
    <s v="27"/>
    <x v="4"/>
    <n v="13.5"/>
    <x v="0"/>
    <n v="90"/>
    <d v="2026-01-14T00:00:00"/>
    <s v="DE 17"/>
    <n v="0.8"/>
    <n v="5"/>
    <n v="2160000"/>
    <n v="160000"/>
    <n v="16"/>
    <s v="BIOLACAM"/>
    <s v="TEXCUMAR"/>
    <s v="UNICO"/>
    <n v="42100"/>
    <n v="39485.589999999997"/>
    <n v="25"/>
    <n v="25.14"/>
    <n v="2924.8585185185184"/>
    <n v="751596.03821198409"/>
    <n v="44400"/>
    <n v="50151.83"/>
    <n v="38"/>
    <n v="37.99"/>
    <n v="3714.9503703703704"/>
    <n v="599340.11108186364"/>
    <n v="89637.42"/>
    <n v="1350936.1492938478"/>
    <n v="6639.8088888888888"/>
    <n v="2.9547777777777777"/>
    <n v="73.775654320987655"/>
    <n v="62.543340245085545"/>
    <n v="148645.155"/>
    <n v="55.493827160493829"/>
    <n v="1.6582935452626817"/>
    <m/>
    <m/>
    <n v="-2614.4100000000035"/>
    <n v="5751.8300000000017"/>
    <n v="0.14000000000000057"/>
    <n v="-9.9999999999980105E-3"/>
    <s v="CARLOS FLORES"/>
    <x v="23"/>
    <s v="CARLOS FLORES"/>
  </r>
  <r>
    <d v="2026-04-14T00:00:00"/>
    <n v="278"/>
    <n v="2026"/>
    <s v="AGUAJE 8"/>
    <x v="3"/>
    <s v="28"/>
    <x v="7"/>
    <n v="7.74"/>
    <x v="1"/>
    <n v="92"/>
    <d v="2026-01-12T00:00:00"/>
    <s v="DO PC0"/>
    <n v="0.6"/>
    <n v="2"/>
    <n v="1315800"/>
    <n v="170000"/>
    <n v="17"/>
    <s v="GRILSAN"/>
    <s v="AQUAGEN"/>
    <s v="UNICO"/>
    <n v="24400"/>
    <n v="25225.11"/>
    <n v="22"/>
    <n v="24.58"/>
    <n v="3259.0581395348836"/>
    <n v="484507.92165531561"/>
    <n v="28900"/>
    <n v="29516.58"/>
    <n v="36"/>
    <n v="40"/>
    <n v="3813.5116279069771"/>
    <n v="335013.18300000002"/>
    <n v="54741.69"/>
    <n v="819521.10465531563"/>
    <n v="7072.5697674418607"/>
    <n v="3.0434782608695654"/>
    <n v="76.875758341759351"/>
    <n v="62.283105688958472"/>
    <n v="102513.90000000001"/>
    <n v="65.301651499831479"/>
    <n v="1.8726842375527684"/>
    <m/>
    <m/>
    <n v="825.11000000000058"/>
    <n v="616.58000000000175"/>
    <n v="2.5799999999999983"/>
    <n v="4"/>
    <s v="JOSE CEDEÑO"/>
    <x v="25"/>
    <s v="JOSE CEDEÑO"/>
  </r>
  <r>
    <d v="2026-04-14T00:00:00"/>
    <n v="279"/>
    <n v="2026"/>
    <s v="AGUAJE 8"/>
    <x v="3"/>
    <s v="04"/>
    <x v="10"/>
    <n v="6.62"/>
    <x v="0"/>
    <n v="81"/>
    <d v="2026-01-23T00:00:00"/>
    <s v="GT PC 04"/>
    <n v="0.56999999999999995"/>
    <n v="12"/>
    <n v="1059200"/>
    <n v="160000"/>
    <n v="16"/>
    <s v="LARVASLAB"/>
    <s v="TEXCUMAR"/>
    <s v="UNICO"/>
    <n v="7200"/>
    <n v="7793.25"/>
    <n v="19"/>
    <n v="21.04"/>
    <n v="1177.2280966767371"/>
    <n v="168162.33365019012"/>
    <n v="31800"/>
    <n v="32550.02"/>
    <n v="30"/>
    <n v="30.12"/>
    <n v="4916.9214501510578"/>
    <n v="490627.79150066403"/>
    <n v="40343.270000000004"/>
    <n v="658790.12515085412"/>
    <n v="6094.1495468277953"/>
    <n v="2.6029629629629629"/>
    <n v="75.23641415836785"/>
    <n v="62.196952903215077"/>
    <n v="63547.595000000001"/>
    <n v="53.755921077169816"/>
    <n v="1.5751721414748976"/>
    <m/>
    <m/>
    <n v="593.25"/>
    <n v="750.02000000000044"/>
    <n v="2.0399999999999991"/>
    <n v="0.12000000000000099"/>
    <s v="JULIO SANTOS"/>
    <x v="30"/>
    <s v="JULIO SANTOS"/>
  </r>
  <r>
    <d v="2026-04-14T00:00:00"/>
    <n v="280"/>
    <n v="2026"/>
    <s v="AGUAJE 8"/>
    <x v="3"/>
    <s v="24"/>
    <x v="0"/>
    <n v="7.3"/>
    <x v="0"/>
    <n v="80"/>
    <d v="2026-01-24T00:00:00"/>
    <s v="PR 26"/>
    <n v="0.35"/>
    <n v="4"/>
    <n v="1050000"/>
    <n v="143835.61643835617"/>
    <n v="14.383561643835616"/>
    <s v="NEMEN"/>
    <s v="TEXCUMAR"/>
    <s v="UNICO"/>
    <n v="0"/>
    <n v="0"/>
    <n v="0"/>
    <n v="0"/>
    <n v="0"/>
    <n v="0"/>
    <n v="18800"/>
    <n v="21640.66"/>
    <n v="27"/>
    <n v="31.36"/>
    <n v="2964.4739726027397"/>
    <n v="313292.71811224491"/>
    <n v="21640.66"/>
    <n v="313292.71811224491"/>
    <n v="2964.4739726027397"/>
    <n v="2.7439999999999998"/>
    <n v="37.055924657534248"/>
    <n v="29.837401724975702"/>
    <n v="37158.533000000003"/>
    <n v="28.861301369863014"/>
    <n v="1.7170702279875014"/>
    <m/>
    <m/>
    <n v="0"/>
    <n v="2840.66"/>
    <n v="0"/>
    <n v="4.3599999999999994"/>
    <s v="WILMER TORRES"/>
    <x v="49"/>
    <s v="WILMER TORRES"/>
  </r>
  <r>
    <d v="2026-04-14T00:00:00"/>
    <n v="281"/>
    <n v="2026"/>
    <s v="AGUAJE 8"/>
    <x v="3"/>
    <s v="19"/>
    <x v="6"/>
    <n v="5.5"/>
    <x v="0"/>
    <n v="82"/>
    <d v="2026-01-22T00:00:00"/>
    <s v="WA PS 18"/>
    <n v="1.1299999999999999"/>
    <n v="38"/>
    <n v="797500"/>
    <n v="145000"/>
    <n v="14.5"/>
    <s v="TECSERV"/>
    <s v="SEMACUA"/>
    <s v="UNICO"/>
    <n v="6500"/>
    <n v="7034.4"/>
    <n v="22"/>
    <n v="23.53"/>
    <n v="1278.9818181818182"/>
    <n v="135725.35486612833"/>
    <n v="18700"/>
    <n v="21152.18"/>
    <n v="41"/>
    <n v="41.08"/>
    <n v="3845.8509090909092"/>
    <n v="233765.57254138269"/>
    <n v="28186.58"/>
    <n v="369490.92740751104"/>
    <n v="5124.8327272727274"/>
    <n v="3.5068292682926829"/>
    <n v="62.497960088691798"/>
    <n v="46.331150772101701"/>
    <n v="41750.714800000002"/>
    <n v="41.991130820399114"/>
    <n v="1.4812266972438657"/>
    <m/>
    <m/>
    <n v="534.39999999999964"/>
    <n v="2452.1800000000003"/>
    <n v="1.5300000000000011"/>
    <n v="7.9999999999998295E-2"/>
    <s v="JUNIOR ESQUIVEL"/>
    <x v="242"/>
    <s v="JUNIOR ESQUIVEL"/>
  </r>
  <r>
    <d v="2026-04-15T00:00:00"/>
    <n v="282"/>
    <n v="2026"/>
    <s v="AGUAJE 8"/>
    <x v="3"/>
    <s v="23"/>
    <x v="3"/>
    <n v="6.1"/>
    <x v="2"/>
    <n v="81"/>
    <d v="2026-01-24T00:00:00"/>
    <s v="CH PS 17"/>
    <n v="0.57999999999999996"/>
    <n v="11"/>
    <n v="1098000"/>
    <n v="180000"/>
    <n v="18"/>
    <s v="LARVASLAB"/>
    <s v="TEXCUMAR"/>
    <s v="UNICO"/>
    <n v="16100"/>
    <n v="17632.5"/>
    <n v="26.3"/>
    <n v="26.82"/>
    <n v="2890.5737704918033"/>
    <n v="301486.32098058256"/>
    <n v="23600"/>
    <n v="24156.080000000002"/>
    <n v="33"/>
    <n v="31.66"/>
    <n v="3960.0131147540988"/>
    <n v="346394.83006948832"/>
    <n v="41788.58"/>
    <n v="647881.15105007088"/>
    <n v="6850.5868852459025"/>
    <n v="2.7360493827160495"/>
    <n v="84.575146731430891"/>
    <n v="59.005569312392616"/>
    <n v="66578.92"/>
    <n v="61.121230520137615"/>
    <n v="1.5932324094286046"/>
    <m/>
    <m/>
    <n v="1532.5"/>
    <n v="556.08000000000175"/>
    <n v="0.51999999999999957"/>
    <n v="-1.3399999999999999"/>
    <s v="SANTIAGO OBRIEN"/>
    <x v="37"/>
    <s v="SANTIAGO OBRIEN"/>
  </r>
  <r>
    <d v="2026-04-15T00:00:00"/>
    <n v="283"/>
    <n v="2026"/>
    <s v="AGUAJE 8"/>
    <x v="3"/>
    <s v="27"/>
    <x v="7"/>
    <n v="5.34"/>
    <x v="1"/>
    <n v="64"/>
    <d v="2026-02-10T00:00:00"/>
    <s v="DO PC 13"/>
    <n v="1.01"/>
    <n v="1"/>
    <n v="961200"/>
    <n v="180000"/>
    <n v="18"/>
    <s v="PRICMARSA"/>
    <s v="TEXCUMAR"/>
    <s v="UNICO"/>
    <n v="17500"/>
    <n v="17458.349999999999"/>
    <n v="21"/>
    <n v="22.72"/>
    <n v="3269.3539325842694"/>
    <n v="356944.23124843009"/>
    <n v="8000"/>
    <n v="8619.83"/>
    <n v="32"/>
    <n v="34.5"/>
    <n v="1614.2003745318352"/>
    <n v="113431.96579710144"/>
    <n v="26078.18"/>
    <n v="470376.19704553153"/>
    <n v="4883.5543071161046"/>
    <n v="3.7734375"/>
    <n v="76.305536048689135"/>
    <n v="48.936350087966247"/>
    <n v="43761.310000000005"/>
    <n v="58.081694756554306"/>
    <n v="1.6780814458677715"/>
    <m/>
    <m/>
    <n v="-41.650000000001455"/>
    <n v="619.82999999999993"/>
    <n v="1.7199999999999989"/>
    <n v="2.5"/>
    <s v="JOSE CEDEÑO"/>
    <x v="104"/>
    <s v="JOSE CEDEÑO"/>
  </r>
  <r>
    <d v="2026-04-15T00:00:00"/>
    <n v="284"/>
    <n v="2026"/>
    <s v="AGUAJE 8"/>
    <x v="3"/>
    <s v="12"/>
    <x v="7"/>
    <n v="7.8"/>
    <x v="1"/>
    <n v="81"/>
    <d v="2026-01-24T00:00:00"/>
    <s v="DO PS 15 - DO PC 6"/>
    <n v="1.4550000000000001"/>
    <n v="3"/>
    <n v="1256929"/>
    <n v="161144.74358974359"/>
    <n v="16.114474358974359"/>
    <s v="TECSERV - PRONAUPLIO"/>
    <s v="SEMACUA / EMPAGRAN"/>
    <s v="UNICO"/>
    <n v="39800"/>
    <n v="40030.21"/>
    <n v="33.333333333333336"/>
    <n v="34.72"/>
    <n v="5132.0782051282049"/>
    <n v="518353.57538308634"/>
    <n v="15900"/>
    <n v="14766.36"/>
    <n v="38"/>
    <n v="39.200000000000003"/>
    <n v="1893.123076923077"/>
    <n v="171018.55714285714"/>
    <n v="54796.57"/>
    <n v="689372.13252594345"/>
    <n v="7025.2012820512819"/>
    <n v="3.3876543209876546"/>
    <n v="86.730880025324467"/>
    <n v="54.845749642656308"/>
    <n v="88459.575000000012"/>
    <n v="63.509021842355182"/>
    <n v="1.6143268638894737"/>
    <m/>
    <m/>
    <n v="230.20999999999913"/>
    <n v="-1133.6399999999994"/>
    <n v="1.3866666666666632"/>
    <n v="1.2000000000000028"/>
    <s v="JOSE CEDEÑO"/>
    <x v="63"/>
    <s v="JOSE CEDEÑO"/>
  </r>
  <r>
    <d v="2026-04-15T00:00:00"/>
    <n v="285"/>
    <n v="2026"/>
    <s v="AGUAJE 8"/>
    <x v="3"/>
    <s v="05"/>
    <x v="10"/>
    <n v="4.3"/>
    <x v="0"/>
    <n v="82"/>
    <d v="2026-01-23T00:00:00"/>
    <s v="GT 4"/>
    <n v="0.56999999999999995"/>
    <n v="7"/>
    <n v="645000"/>
    <n v="150000"/>
    <n v="15"/>
    <s v="LARVASLAB"/>
    <s v="TEXCUMAR"/>
    <s v="UNICO"/>
    <n v="4200"/>
    <n v="4483.4399999999996"/>
    <n v="21"/>
    <n v="23.4"/>
    <n v="1042.6604651162791"/>
    <n v="86986.4"/>
    <n v="18400"/>
    <n v="20455.73"/>
    <n v="35"/>
    <n v="34.86"/>
    <n v="4757.1465116279069"/>
    <n v="266405.66322432586"/>
    <n v="24939.17"/>
    <n v="353392.06322432589"/>
    <n v="5799.8069767441857"/>
    <n v="2.9758536585365856"/>
    <n v="70.72935337492909"/>
    <n v="54.789467166562154"/>
    <n v="37967.621200000001"/>
    <n v="48.842881452070337"/>
    <n v="1.5224091740021823"/>
    <m/>
    <m/>
    <n v="283.4399999999996"/>
    <n v="2055.7299999999996"/>
    <n v="2.3999999999999986"/>
    <n v="-0.14000000000000057"/>
    <s v="JULIO SANTOS"/>
    <x v="47"/>
    <s v="JULIO SANTOS"/>
  </r>
  <r>
    <d v="2026-04-15T00:00:00"/>
    <n v="286"/>
    <n v="2026"/>
    <s v="AGUAJE 8"/>
    <x v="3"/>
    <s v="27"/>
    <x v="0"/>
    <n v="8.0500000000000007"/>
    <x v="0"/>
    <n v="74"/>
    <d v="2026-01-31T00:00:00"/>
    <s v="PR PC 6"/>
    <n v="0.3"/>
    <n v="13"/>
    <n v="1207500"/>
    <n v="150000"/>
    <n v="15"/>
    <s v="EMPAGRAM"/>
    <s v="EMPAGRAM"/>
    <s v="UNICO"/>
    <n v="0"/>
    <n v="0"/>
    <n v="0"/>
    <n v="0"/>
    <n v="0"/>
    <n v="0"/>
    <n v="20800"/>
    <n v="25677.01"/>
    <n v="25"/>
    <n v="28.08"/>
    <n v="3189.6906832298132"/>
    <n v="415148.2386039886"/>
    <n v="25677.01"/>
    <n v="415148.2386039886"/>
    <n v="3189.6906832298132"/>
    <n v="2.6562162162162162"/>
    <n v="43.103928151754232"/>
    <n v="34.380806509647087"/>
    <n v="43595.965000000004"/>
    <n v="33.196239717978848"/>
    <n v="1.6978598754294214"/>
    <m/>
    <m/>
    <n v="0"/>
    <n v="4877.0099999999984"/>
    <n v="0"/>
    <n v="3.0799999999999983"/>
    <s v="WILMER TORRES"/>
    <x v="55"/>
    <s v="WILMER TORRES"/>
  </r>
  <r>
    <d v="2026-04-15T00:00:00"/>
    <n v="287"/>
    <n v="2026"/>
    <s v="AGUAJE 8"/>
    <x v="3"/>
    <s v="13"/>
    <x v="1"/>
    <n v="4.51"/>
    <x v="1"/>
    <n v="76"/>
    <d v="2026-01-29T00:00:00"/>
    <s v="TI 32 - 37"/>
    <n v="0.55000000000000004"/>
    <n v="1"/>
    <n v="766700"/>
    <n v="170000"/>
    <n v="17"/>
    <s v="EMPAGRAN"/>
    <s v="EMPAGRAN"/>
    <s v="UNICO"/>
    <n v="12800"/>
    <n v="14189.59"/>
    <n v="21"/>
    <n v="21.35"/>
    <n v="3146.2505543237253"/>
    <n v="301981.76918103453"/>
    <n v="24900"/>
    <n v="27841.95"/>
    <n v="29"/>
    <n v="29.33"/>
    <n v="6173.3813747228387"/>
    <n v="430966.42686668946"/>
    <n v="42031.54"/>
    <n v="732948.19604772399"/>
    <n v="9319.6319290465635"/>
    <n v="2.7014473684210523"/>
    <n v="122.62673590850741"/>
    <n v="95.597782189607926"/>
    <n v="52700.963000000003"/>
    <n v="69.742677091842694"/>
    <n v="1.2538432567543327"/>
    <m/>
    <m/>
    <n v="1389.5900000000001"/>
    <n v="2941.9500000000007"/>
    <n v="0.35000000000000142"/>
    <n v="0.32999999999999829"/>
    <s v="ALFONSO GRUNAUER"/>
    <x v="74"/>
    <s v="ALFONSO GRUNAUER"/>
  </r>
  <r>
    <d v="2026-04-15T00:00:00"/>
    <n v="288"/>
    <n v="2026"/>
    <s v="AGUAJE 8"/>
    <x v="3"/>
    <s v="12"/>
    <x v="6"/>
    <n v="6"/>
    <x v="0"/>
    <n v="86"/>
    <d v="2026-01-19T00:00:00"/>
    <s v="WA PS 6"/>
    <n v="1.1000000000000001"/>
    <n v="47"/>
    <n v="1050000"/>
    <n v="175000"/>
    <n v="17.5"/>
    <s v="TECSERV"/>
    <s v="SEMACUA"/>
    <s v="UNICO"/>
    <n v="8000"/>
    <n v="8784.1200000000008"/>
    <n v="22"/>
    <n v="21.1"/>
    <n v="1464.0200000000002"/>
    <n v="189004.28815165878"/>
    <n v="22500"/>
    <n v="25949.9"/>
    <n v="33"/>
    <n v="29.18"/>
    <n v="4324.9833333333336"/>
    <n v="403744.16038382461"/>
    <n v="34734.020000000004"/>
    <n v="592748.44853548333"/>
    <n v="5789.003333333334"/>
    <n v="2.3751162790697671"/>
    <n v="67.313992248062021"/>
    <n v="56.452233193855548"/>
    <n v="62910.465600000003"/>
    <n v="55.302325581395351"/>
    <n v="1.8112060049484624"/>
    <m/>
    <m/>
    <n v="784.1200000000008"/>
    <n v="3449.9000000000015"/>
    <n v="-0.89999999999999858"/>
    <n v="-3.8200000000000003"/>
    <s v="JUNIOR ESQUIVEL"/>
    <x v="243"/>
    <s v="JUNIOR ESQUIVEL"/>
  </r>
  <r>
    <d v="2026-04-16T00:00:00"/>
    <n v="289"/>
    <n v="2026"/>
    <s v="AGUAJE 8"/>
    <x v="3"/>
    <s v="07"/>
    <x v="10"/>
    <n v="4.42"/>
    <x v="0"/>
    <n v="85"/>
    <d v="2026-01-21T00:00:00"/>
    <s v="GT PC 07"/>
    <n v="0.8"/>
    <n v="7"/>
    <n v="663000"/>
    <n v="150000"/>
    <n v="15"/>
    <s v="TECSERV"/>
    <s v="SEMACUA"/>
    <s v="UNICO"/>
    <n v="4400"/>
    <n v="4549.7299999999996"/>
    <n v="17"/>
    <n v="19.48"/>
    <n v="1029.3506787330316"/>
    <n v="106035.80184804926"/>
    <n v="20500"/>
    <n v="22526.29"/>
    <n v="30"/>
    <n v="30.74"/>
    <n v="5096.4457013574665"/>
    <n v="332691.46584255045"/>
    <n v="27076.02"/>
    <n v="438727.26769059972"/>
    <n v="6125.7963800904981"/>
    <n v="2.5315294117647058"/>
    <n v="72.068192706947031"/>
    <n v="66.173041883951683"/>
    <n v="43099.93"/>
    <n v="52.036199095022624"/>
    <n v="1.5918118689526748"/>
    <m/>
    <m/>
    <n v="149.72999999999956"/>
    <n v="2026.2900000000009"/>
    <n v="2.4800000000000004"/>
    <n v="0.73999999999999844"/>
    <s v="JULIO SANTOS"/>
    <x v="43"/>
    <s v="JULIO SANTOS"/>
  </r>
  <r>
    <d v="2026-04-16T00:00:00"/>
    <n v="290"/>
    <n v="2026"/>
    <s v="AGUAJE 8"/>
    <x v="3"/>
    <s v="29"/>
    <x v="0"/>
    <n v="6.35"/>
    <x v="0"/>
    <n v="74"/>
    <d v="2026-02-01T00:00:00"/>
    <s v="PR 25"/>
    <n v="0.5"/>
    <n v="19"/>
    <n v="889000"/>
    <n v="140000"/>
    <n v="14"/>
    <s v="ACUATECSA"/>
    <s v="TEXCUMAR"/>
    <s v="UNICO"/>
    <n v="0"/>
    <n v="0"/>
    <n v="0"/>
    <n v="0"/>
    <n v="0"/>
    <n v="0"/>
    <n v="20200"/>
    <n v="22392.48"/>
    <n v="32"/>
    <n v="31"/>
    <n v="3526.3748031496066"/>
    <n v="327941.48129032255"/>
    <n v="22392.48"/>
    <n v="327941.48129032255"/>
    <n v="3526.3748031496066"/>
    <n v="2.9324324324324325"/>
    <n v="47.653713556075765"/>
    <n v="36.888805544468227"/>
    <n v="37478.200000000004"/>
    <n v="36.177910193658228"/>
    <n v="1.673695812165513"/>
    <m/>
    <m/>
    <n v="0"/>
    <n v="2192.4799999999996"/>
    <n v="0"/>
    <n v="-1"/>
    <s v="WILMER TORRES"/>
    <x v="40"/>
    <s v="WILMER TORRES"/>
  </r>
  <r>
    <d v="2026-04-16T00:00:00"/>
    <n v="291"/>
    <n v="2026"/>
    <s v="AGUAJE 8"/>
    <x v="3"/>
    <s v="10"/>
    <x v="11"/>
    <n v="8"/>
    <x v="1"/>
    <n v="75"/>
    <d v="2026-01-31T00:00:00"/>
    <s v="TI 35 - 37"/>
    <n v="0.75"/>
    <n v="4"/>
    <n v="1280000"/>
    <n v="160000"/>
    <n v="16"/>
    <s v="GENESIS"/>
    <s v="TEXCUMAR"/>
    <s v="UNICO"/>
    <n v="38500"/>
    <n v="40461.740000000005"/>
    <n v="26.333333333333332"/>
    <n v="26.813333333333333"/>
    <n v="5057.7175000000007"/>
    <n v="693780.65886106982"/>
    <n v="31150"/>
    <n v="30880.25"/>
    <n v="36"/>
    <n v="35.799999999999997"/>
    <n v="3860.03125"/>
    <n v="391609.874301676"/>
    <n v="71341.990000000005"/>
    <n v="1085390.5331627459"/>
    <n v="8917.7487500000007"/>
    <n v="3.3413333333333335"/>
    <n v="118.90331666666667"/>
    <n v="84.79613540333952"/>
    <n v="97277.975000000006"/>
    <n v="73.541666666666671"/>
    <n v="1.3635444567778388"/>
    <m/>
    <m/>
    <n v="1961.7400000000052"/>
    <n v="-269.75"/>
    <n v="0.48000000000000043"/>
    <n v="-0.20000000000000284"/>
    <s v="ALFONSO GRUNAUER"/>
    <x v="76"/>
    <s v="ALFONSO GRUNAUER"/>
  </r>
  <r>
    <d v="2026-04-16T00:00:00"/>
    <n v="292"/>
    <n v="2026"/>
    <s v="AGUAJE 8"/>
    <x v="3"/>
    <s v="03"/>
    <x v="6"/>
    <n v="3.5"/>
    <x v="0"/>
    <n v="92"/>
    <d v="2026-01-14T00:00:00"/>
    <s v="WA PC 3"/>
    <n v="0.6"/>
    <n v="29"/>
    <n v="595000"/>
    <n v="170000"/>
    <n v="17"/>
    <s v="GRILSAN"/>
    <s v="AQUAGEN"/>
    <s v="UNICO"/>
    <n v="11400"/>
    <n v="12084.41"/>
    <n v="22.5"/>
    <n v="24.45"/>
    <n v="3452.6885714285713"/>
    <n v="222184.88258677238"/>
    <n v="13200"/>
    <n v="15051.54"/>
    <n v="32"/>
    <n v="30.36"/>
    <n v="4300.4400000000005"/>
    <n v="225079.02371541504"/>
    <n v="27135.95"/>
    <n v="447263.90630218742"/>
    <n v="7753.1285714285714"/>
    <n v="2.31"/>
    <n v="84.273136645962737"/>
    <n v="75.170404420535704"/>
    <n v="44274.981800000001"/>
    <n v="62.369565217391305"/>
    <n v="1.6315987389422519"/>
    <m/>
    <m/>
    <n v="684.40999999999985"/>
    <n v="1851.5400000000009"/>
    <n v="1.9499999999999993"/>
    <n v="-1.6400000000000006"/>
    <s v="JUNIOR ESQUIVEL"/>
    <x v="244"/>
    <s v="JUNIOR ESQUIVEL"/>
  </r>
  <r>
    <d v="2026-04-17T00:00:00"/>
    <n v="293"/>
    <n v="2026"/>
    <s v="AGUAJE 8"/>
    <x v="3"/>
    <s v="30"/>
    <x v="7"/>
    <n v="8.5399999999999991"/>
    <x v="1"/>
    <n v="89"/>
    <d v="2026-01-18T00:00:00"/>
    <s v="DO 07"/>
    <n v="0.95"/>
    <n v="3"/>
    <n v="1333731"/>
    <n v="156174.59016393445"/>
    <n v="15.617459016393445"/>
    <s v="EMPAGRAN"/>
    <s v="EMPAGRAN"/>
    <s v="UNICO"/>
    <n v="22800"/>
    <n v="23938.120000000003"/>
    <n v="25"/>
    <n v="25.954999999999998"/>
    <n v="2803.0585480093682"/>
    <n v="433284.28331725625"/>
    <n v="17450"/>
    <n v="18908.96"/>
    <n v="38"/>
    <n v="38.54"/>
    <n v="2214.1639344262298"/>
    <n v="222746.9600415153"/>
    <n v="42847.08"/>
    <n v="656031.24335877155"/>
    <n v="5017.2224824355981"/>
    <n v="3.03123595505618"/>
    <n v="56.373286319501105"/>
    <n v="49.187673028427135"/>
    <n v="77987.725000000006"/>
    <n v="46.542378233297377"/>
    <n v="1.8201409524289638"/>
    <m/>
    <m/>
    <n v="1138.1200000000026"/>
    <n v="1458.9599999999991"/>
    <n v="0.95499999999999829"/>
    <n v="0.53999999999999915"/>
    <s v="JOSE CEDEÑO"/>
    <x v="46"/>
    <s v="JOSE CEDEÑO"/>
  </r>
  <r>
    <d v="2026-04-17T00:00:00"/>
    <n v="294"/>
    <n v="2026"/>
    <s v="AGUAJE 8"/>
    <x v="3"/>
    <s v="31"/>
    <x v="0"/>
    <n v="8.15"/>
    <x v="0"/>
    <n v="75"/>
    <d v="2026-02-01T00:00:00"/>
    <s v="PR 25"/>
    <n v="0.5"/>
    <n v="18"/>
    <n v="1141000"/>
    <n v="140000"/>
    <n v="14"/>
    <s v="ACUATECSA"/>
    <s v="TEXCUMAR"/>
    <s v="UNICO"/>
    <n v="0"/>
    <n v="0"/>
    <n v="0"/>
    <n v="0"/>
    <n v="0"/>
    <n v="0"/>
    <n v="25000"/>
    <n v="30371.61"/>
    <n v="25"/>
    <n v="27.4"/>
    <n v="3726.5779141104294"/>
    <n v="503237.62554744526"/>
    <n v="30371.61"/>
    <n v="503237.62554744526"/>
    <n v="3726.5779141104294"/>
    <n v="2.5573333333333332"/>
    <n v="49.687705521472395"/>
    <n v="44.10496279995138"/>
    <n v="44422.69"/>
    <n v="32.965235173824134"/>
    <n v="1.4626386286403652"/>
    <m/>
    <m/>
    <n v="0"/>
    <n v="5371.6100000000006"/>
    <n v="0"/>
    <n v="2.3999999999999986"/>
    <s v="WILMER TORRES"/>
    <x v="44"/>
    <s v="WILMER TORRES"/>
  </r>
  <r>
    <d v="2026-04-17T00:00:00"/>
    <n v="295"/>
    <n v="2026"/>
    <s v="AGUAJE 8"/>
    <x v="3"/>
    <s v="01"/>
    <x v="1"/>
    <n v="7.84"/>
    <x v="1"/>
    <n v="80"/>
    <d v="2026-01-27T00:00:00"/>
    <s v="TI 36 - 38"/>
    <n v="0.56000000000000005"/>
    <n v="5"/>
    <n v="1411200"/>
    <n v="180000"/>
    <n v="18"/>
    <s v="EMPAGRAN"/>
    <s v="EMPAGRAN"/>
    <s v="UNICO"/>
    <n v="22500"/>
    <n v="23580.129999999997"/>
    <n v="24"/>
    <n v="24.98"/>
    <n v="3007.6696428571427"/>
    <n v="432924.75728276023"/>
    <n v="37500"/>
    <n v="37761.89"/>
    <n v="30"/>
    <n v="30.38"/>
    <n v="4816.5676020408164"/>
    <n v="564315.27518104017"/>
    <n v="61342.02"/>
    <n v="997240.03246380039"/>
    <n v="7824.2372448979586"/>
    <n v="2.6582499999999998"/>
    <n v="97.802965561224482"/>
    <n v="70.666102073681998"/>
    <n v="91490.900000000009"/>
    <n v="66.167091836734699"/>
    <n v="1.4914882163971779"/>
    <m/>
    <m/>
    <n v="1080.1299999999974"/>
    <n v="261.88999999999942"/>
    <n v="0.98000000000000043"/>
    <n v="0.37999999999999901"/>
    <s v="ALFONSO GRUNAUER"/>
    <x v="67"/>
    <s v="ALFONSO GRUNAUER"/>
  </r>
  <r>
    <d v="2026-04-17T00:00:00"/>
    <n v="296"/>
    <n v="2026"/>
    <s v="AGUAJE 8"/>
    <x v="3"/>
    <s v="15"/>
    <x v="10"/>
    <n v="2.69"/>
    <x v="0"/>
    <n v="79"/>
    <d v="2026-01-28T00:00:00"/>
    <s v="GT PC 06"/>
    <n v="0.45"/>
    <n v="15"/>
    <n v="376600"/>
    <n v="140000"/>
    <n v="14"/>
    <s v="TEXCUMAR"/>
    <s v="NEMEN "/>
    <s v="UNICO"/>
    <n v="0"/>
    <n v="0"/>
    <n v="0"/>
    <n v="0"/>
    <n v="0"/>
    <n v="0"/>
    <n v="11950"/>
    <n v="13920.52"/>
    <n v="33"/>
    <n v="33.04"/>
    <n v="5174.9144981412646"/>
    <n v="191280.7530266344"/>
    <n v="13920.52"/>
    <n v="191280.7530266344"/>
    <n v="5174.9144981412646"/>
    <n v="2.9275949367088603"/>
    <n v="65.505246811914745"/>
    <n v="50.791490447858308"/>
    <n v="21219.279999999999"/>
    <n v="45.291996931839073"/>
    <n v="1.524316620356136"/>
    <m/>
    <m/>
    <n v="0"/>
    <n v="1970.5200000000004"/>
    <n v="0"/>
    <n v="3.9999999999999147E-2"/>
    <s v="JULIO SANTOS"/>
    <x v="39"/>
    <s v="JULIO SANTOS"/>
  </r>
  <r>
    <d v="2026-04-17T00:00:00"/>
    <n v="297"/>
    <n v="2026"/>
    <s v="AGUAJE 8"/>
    <x v="3"/>
    <s v="07"/>
    <x v="6"/>
    <n v="4.4000000000000004"/>
    <x v="0"/>
    <n v="88"/>
    <d v="2026-01-19T00:00:00"/>
    <s v="WA PS 6"/>
    <n v="1.1000000000000001"/>
    <n v="33"/>
    <n v="770000"/>
    <n v="175000"/>
    <n v="17.5"/>
    <s v="TECSERV"/>
    <s v="SEMACUA"/>
    <s v="UNICO"/>
    <n v="5950"/>
    <n v="6333.41"/>
    <n v="17"/>
    <n v="15.76"/>
    <n v="1439.4113636363634"/>
    <n v="182447.21700507615"/>
    <n v="11850"/>
    <n v="13472.28"/>
    <n v="32"/>
    <n v="29.62"/>
    <n v="3061.8818181818183"/>
    <n v="206496.12153950034"/>
    <n v="19805.690000000002"/>
    <n v="388943.33854457649"/>
    <n v="4501.2931818181823"/>
    <n v="2.3561363636363639"/>
    <n v="51.151058884297527"/>
    <n v="50.512121888906037"/>
    <n v="38767.891000000003"/>
    <n v="45.415805785123958"/>
    <n v="1.9574117841892911"/>
    <m/>
    <m/>
    <n v="383.40999999999985"/>
    <n v="1622.2800000000007"/>
    <n v="-1.2400000000000002"/>
    <n v="-2.379999999999999"/>
    <s v="JUNIOR ESQUIVEL"/>
    <x v="245"/>
    <s v="JUNIOR ESQUIVEL"/>
  </r>
  <r>
    <d v="2026-04-17T00:00:00"/>
    <n v="298"/>
    <n v="2026"/>
    <s v="AGUAJE 8"/>
    <x v="3"/>
    <s v="24"/>
    <x v="4"/>
    <n v="5.3"/>
    <x v="0"/>
    <n v="68"/>
    <d v="2026-02-08T00:00:00"/>
    <s v="DE 25"/>
    <n v="0.65"/>
    <n v="11"/>
    <n v="583000"/>
    <n v="110000"/>
    <n v="11"/>
    <s v="PRICMARSA"/>
    <s v="TEXCUMAR"/>
    <s v="UNICO"/>
    <n v="10800"/>
    <n v="10375.43"/>
    <n v="20"/>
    <n v="21.759999999999998"/>
    <n v="1957.6283018867925"/>
    <n v="214717.2943793895"/>
    <n v="18650"/>
    <n v="18018"/>
    <n v="29"/>
    <n v="31.94"/>
    <n v="3399.6226415094343"/>
    <n v="256110.58234189104"/>
    <n v="28393.43"/>
    <n v="470827.87672128051"/>
    <n v="5357.2509433962268"/>
    <n v="3.2879411764705888"/>
    <n v="78.783102108768048"/>
    <n v="80.759498579979507"/>
    <n v="46351.715000000004"/>
    <n v="58.337957824639297"/>
    <n v="1.6324802956176836"/>
    <m/>
    <m/>
    <n v="-424.56999999999971"/>
    <n v="-632"/>
    <n v="1.759999999999998"/>
    <n v="2.9400000000000013"/>
    <s v="CARLOS FLORES"/>
    <x v="78"/>
    <s v="CARLOS FLORES"/>
  </r>
  <r>
    <d v="2026-04-18T00:00:00"/>
    <n v="299"/>
    <n v="2026"/>
    <s v="AGUAJE 8"/>
    <x v="3"/>
    <s v="18"/>
    <x v="10"/>
    <n v="4.47"/>
    <x v="0"/>
    <n v="80"/>
    <d v="2026-01-28T00:00:00"/>
    <s v="GT 6"/>
    <n v="0.45"/>
    <n v="16"/>
    <n v="670500"/>
    <n v="150000"/>
    <n v="15"/>
    <s v="NEMEN"/>
    <s v="TEXCUMAR"/>
    <s v="UNICO"/>
    <n v="4900"/>
    <n v="4970.47"/>
    <n v="24"/>
    <n v="25.94"/>
    <n v="1111.9619686800895"/>
    <n v="86992.805705474166"/>
    <n v="12300"/>
    <n v="13491.84"/>
    <n v="30"/>
    <n v="29.42"/>
    <n v="3018.3087248322149"/>
    <n v="208201.74575118968"/>
    <n v="18462.310000000001"/>
    <n v="295194.55145666387"/>
    <n v="4130.2706935123051"/>
    <n v="2.5742500000000001"/>
    <n v="51.628383668903815"/>
    <n v="44.026033028585218"/>
    <n v="36651.480000000003"/>
    <n v="46.490498512262647"/>
    <n v="1.9852055349520186"/>
    <m/>
    <m/>
    <n v="70.470000000000255"/>
    <n v="1191.8400000000001"/>
    <n v="1.9400000000000013"/>
    <n v="-0.57999999999999829"/>
    <s v="JULIO SANTOS"/>
    <x v="33"/>
    <s v="JULIO SANTOS"/>
  </r>
  <r>
    <d v="2026-04-18T00:00:00"/>
    <n v="300"/>
    <n v="2026"/>
    <s v="AGUAJE 8"/>
    <x v="3"/>
    <s v="08"/>
    <x v="8"/>
    <n v="4.3"/>
    <x v="1"/>
    <n v="79"/>
    <d v="2026-01-29T00:00:00"/>
    <s v="PA PC 7"/>
    <n v="0.5"/>
    <n v="4"/>
    <n v="566450"/>
    <n v="131732.5581395349"/>
    <n v="13.173255813953491"/>
    <s v="NEMEN"/>
    <s v="TEXCUMAR"/>
    <s v="UNICO"/>
    <n v="10450"/>
    <n v="12152.75"/>
    <n v="23.25"/>
    <n v="25.12"/>
    <n v="2826.2209302325582"/>
    <n v="224449.8051427739"/>
    <n v="15500"/>
    <n v="17164.77"/>
    <n v="34"/>
    <n v="34.14"/>
    <n v="3991.8069767441862"/>
    <n v="228260.26889279438"/>
    <n v="29317.52"/>
    <n v="452710.07403556828"/>
    <n v="6818.0279069767448"/>
    <n v="3.0250632911392406"/>
    <n v="86.304150721224616"/>
    <n v="79.920570930456051"/>
    <n v="37202.620000000003"/>
    <n v="49.676178192566617"/>
    <n v="1.2689552185860196"/>
    <m/>
    <m/>
    <n v="1702.75"/>
    <n v="1664.7700000000004"/>
    <n v="1.870000000000001"/>
    <n v="0.14000000000000057"/>
    <s v="GUSTAVO CARRASCO"/>
    <x v="64"/>
    <s v="GUSTAVO CARRASCO"/>
  </r>
  <r>
    <d v="2026-04-18T00:00:00"/>
    <n v="301"/>
    <n v="2026"/>
    <s v="AGUAJE 8"/>
    <x v="3"/>
    <s v="32"/>
    <x v="0"/>
    <n v="8.25"/>
    <x v="0"/>
    <n v="75"/>
    <d v="2026-02-02T00:00:00"/>
    <s v="PR PC 5"/>
    <n v="0.35"/>
    <n v="14"/>
    <n v="1155000"/>
    <n v="140000"/>
    <n v="14"/>
    <s v="ACUATECSA"/>
    <s v="TEXCUMAR"/>
    <s v="UNICO"/>
    <n v="0"/>
    <n v="0"/>
    <n v="0"/>
    <n v="0"/>
    <n v="0"/>
    <n v="0"/>
    <n v="23400"/>
    <n v="25331.68"/>
    <n v="25"/>
    <n v="26.32"/>
    <n v="3070.5066666666667"/>
    <n v="436952.23100303952"/>
    <n v="25331.68"/>
    <n v="436952.23100303952"/>
    <n v="3070.5066666666667"/>
    <n v="2.4565333333333337"/>
    <n v="40.940088888888887"/>
    <n v="37.831361991605149"/>
    <n v="48280.74"/>
    <n v="35.393939393939384"/>
    <n v="1.9059430720741775"/>
    <m/>
    <m/>
    <n v="0"/>
    <n v="1931.6800000000003"/>
    <n v="0"/>
    <n v="1.3200000000000003"/>
    <s v="WILMER TORRES"/>
    <x v="59"/>
    <s v="WILMER TORRES"/>
  </r>
  <r>
    <d v="2026-04-18T00:00:00"/>
    <n v="302"/>
    <n v="2026"/>
    <s v="AGUAJE 8"/>
    <x v="3"/>
    <s v="06"/>
    <x v="11"/>
    <n v="4.55"/>
    <x v="1"/>
    <n v="80"/>
    <d v="2026-01-28T00:00:00"/>
    <s v="TA PC 5"/>
    <n v="0.52"/>
    <n v="10"/>
    <n v="819000"/>
    <n v="180000"/>
    <n v="18"/>
    <s v="NEMEN"/>
    <s v="TEXCUMAR"/>
    <s v="UNICO"/>
    <n v="15500"/>
    <n v="17525.03"/>
    <n v="23.1"/>
    <n v="24.34"/>
    <n v="3851.6549450549451"/>
    <n v="335752.53281881812"/>
    <n v="20150"/>
    <n v="23081.82"/>
    <n v="32"/>
    <n v="29.02"/>
    <n v="5072.9274725274727"/>
    <n v="361100.83666436939"/>
    <n v="40606.85"/>
    <n v="696853.36948318756"/>
    <n v="8924.5824175824182"/>
    <n v="2.53925"/>
    <n v="111.55728021978022"/>
    <n v="85.085881499778708"/>
    <n v="72531.34"/>
    <n v="90.384615384615387"/>
    <n v="1.7861848431976377"/>
    <m/>
    <m/>
    <n v="2025.0299999999988"/>
    <n v="2931.8199999999997"/>
    <n v="1.2399999999999984"/>
    <n v="-2.9800000000000004"/>
    <s v="ALFONSO GRUNAUER"/>
    <x v="56"/>
    <s v="ALFONSO GRUNAUER"/>
  </r>
  <r>
    <d v="2026-04-18T00:00:00"/>
    <n v="303"/>
    <n v="2026"/>
    <s v="AGUAJE 8"/>
    <x v="3"/>
    <s v="16"/>
    <x v="6"/>
    <n v="8"/>
    <x v="0"/>
    <n v="92"/>
    <d v="2026-01-16T00:00:00"/>
    <s v="WA PS 23 - PC 09"/>
    <n v="0.71"/>
    <n v="56"/>
    <n v="1325000"/>
    <n v="165625"/>
    <n v="16.5625"/>
    <s v="BIOLACAM/GRILSAN"/>
    <s v="TEXCUMAR/AQUAGEN"/>
    <s v="COMBINADO"/>
    <n v="14400"/>
    <n v="15417.3"/>
    <n v="27.5"/>
    <n v="26.87"/>
    <n v="1927.1624999999999"/>
    <n v="268676.3420412835"/>
    <n v="16750"/>
    <n v="19018.14"/>
    <n v="42"/>
    <n v="40.42"/>
    <n v="2377.2674999999999"/>
    <n v="213612.95299356754"/>
    <n v="34435.440000000002"/>
    <n v="482289.29503485106"/>
    <n v="4304.43"/>
    <n v="3.0754347826086961"/>
    <n v="46.787282608695655"/>
    <n v="36.399192078101969"/>
    <n v="63558.618000000002"/>
    <n v="39.171195652173914"/>
    <n v="1.8457327102543193"/>
    <m/>
    <m/>
    <n v="1017.2999999999993"/>
    <n v="2268.1399999999994"/>
    <n v="-0.62999999999999901"/>
    <n v="-1.5799999999999983"/>
    <s v="JUNIOR ESQUIVEL"/>
    <x v="246"/>
    <s v="JUNIOR ESQUIVEL"/>
  </r>
  <r>
    <d v="2026-04-18T00:00:00"/>
    <n v="304"/>
    <n v="2026"/>
    <s v="AGUAJE 8"/>
    <x v="3"/>
    <s v="01"/>
    <x v="11"/>
    <n v="3"/>
    <x v="1"/>
    <n v="80"/>
    <d v="2026-01-28T00:00:00"/>
    <s v="TA 5"/>
    <n v="0.52"/>
    <n v="9"/>
    <n v="480000"/>
    <n v="160000"/>
    <n v="16"/>
    <s v="NEMEN"/>
    <s v="TEXCUMAR"/>
    <s v="UNICO"/>
    <n v="8950"/>
    <n v="10120.150000000001"/>
    <n v="22.5"/>
    <n v="23.93"/>
    <n v="3373.3833333333337"/>
    <n v="191387.98132835462"/>
    <n v="15900"/>
    <n v="16641.990000000002"/>
    <n v="40"/>
    <n v="40.04"/>
    <n v="5547.3300000000008"/>
    <n v="188697.88861138863"/>
    <n v="26762.140000000003"/>
    <n v="380085.86993974325"/>
    <n v="8920.713333333335"/>
    <n v="3.5034999999999998"/>
    <n v="111.50891666666669"/>
    <n v="79.184556237446515"/>
    <n v="36640.449999999997"/>
    <n v="69.249996220024784"/>
    <n v="1.3691151006608586"/>
    <m/>
    <m/>
    <n v="1170.1500000000015"/>
    <n v="741.9900000000016"/>
    <n v="1.4299999999999997"/>
    <n v="3.9999999999999147E-2"/>
    <s v="ALFONSO GRUNAUER"/>
    <x v="60"/>
    <s v="ALFONSO GRUNAUER"/>
  </r>
  <r>
    <d v="2026-04-18T00:00:00"/>
    <n v="305"/>
    <n v="2026"/>
    <s v="AGUAJE 8"/>
    <x v="3"/>
    <s v="06"/>
    <x v="7"/>
    <n v="5.23"/>
    <x v="1"/>
    <n v="92"/>
    <d v="2026-01-16T00:00:00"/>
    <s v="DO 01"/>
    <n v="0.8"/>
    <n v="7"/>
    <n v="941400"/>
    <n v="179999.99999999997"/>
    <n v="17.999999999999996"/>
    <s v="BIOLACAM"/>
    <s v="TEXCUMAR"/>
    <s v="UNICO"/>
    <n v="18800"/>
    <n v="19441.82"/>
    <n v="25"/>
    <n v="25.58"/>
    <n v="3717.3652007648179"/>
    <n v="340649.56002265617"/>
    <n v="16500"/>
    <n v="15019.98"/>
    <n v="42"/>
    <n v="43.05"/>
    <n v="2871.8891013384318"/>
    <n v="158398.8599303136"/>
    <n v="34461.800000000003"/>
    <n v="499048.41995296977"/>
    <n v="6589.2543021032507"/>
    <n v="3.2755434782608694"/>
    <n v="71.62232937068751"/>
    <n v="53.011304435199676"/>
    <n v="58477.02"/>
    <n v="55.127197331418074"/>
    <n v="1.6968649345071933"/>
    <m/>
    <m/>
    <n v="641.81999999999971"/>
    <n v="-1480.0200000000004"/>
    <n v="0.57999999999999829"/>
    <n v="1.0499999999999972"/>
    <s v="JOSE CEDEÑO"/>
    <x v="19"/>
    <s v="JOSE CEDEÑO"/>
  </r>
  <r>
    <d v="2026-04-19T00:00:00"/>
    <n v="306"/>
    <n v="2026"/>
    <s v="AGUAJE 8"/>
    <x v="3"/>
    <s v="10"/>
    <x v="8"/>
    <n v="2.5"/>
    <x v="1"/>
    <n v="80"/>
    <d v="2026-01-29T00:00:00"/>
    <s v="PA PC 7"/>
    <n v="0.5"/>
    <n v="9"/>
    <n v="380800"/>
    <n v="152320"/>
    <n v="15.231999999999999"/>
    <s v="NEMEN"/>
    <s v="TEXCUMAR"/>
    <s v="UNICO"/>
    <n v="6100"/>
    <n v="6391.5499999999993"/>
    <n v="22.75"/>
    <n v="25.71"/>
    <n v="2556.62"/>
    <n v="114186.51929131891"/>
    <n v="8300"/>
    <n v="9377.19"/>
    <n v="32"/>
    <n v="34.06"/>
    <n v="3750.8760000000002"/>
    <n v="124992.4914856136"/>
    <n v="15768.74"/>
    <n v="239179.01077693253"/>
    <n v="6307.4960000000001"/>
    <n v="2.9802500000000003"/>
    <n v="78.843699999999998"/>
    <n v="62.809614174614637"/>
    <n v="23258.53"/>
    <n v="52.749999999999986"/>
    <n v="1.474977074896282"/>
    <m/>
    <m/>
    <n v="291.54999999999927"/>
    <n v="1077.1900000000005"/>
    <n v="2.9600000000000009"/>
    <n v="2.0600000000000023"/>
    <s v="GUSTAVO CARRASCO"/>
    <x v="61"/>
    <s v="GUSTAVO CARRASCO"/>
  </r>
  <r>
    <d v="2026-04-19T00:00:00"/>
    <n v="307"/>
    <n v="2026"/>
    <s v="AGUAJE 8"/>
    <x v="3"/>
    <s v="15"/>
    <x v="11"/>
    <n v="6"/>
    <x v="1"/>
    <n v="77"/>
    <d v="2026-02-01T00:00:00"/>
    <s v="TA 14"/>
    <n v="0.42"/>
    <n v="9"/>
    <n v="900000"/>
    <n v="150000"/>
    <n v="15"/>
    <s v="EMPAGRAN"/>
    <s v="EMPAGRAN"/>
    <s v="UNICO"/>
    <n v="10200"/>
    <n v="10142.69"/>
    <n v="25"/>
    <n v="25.86"/>
    <n v="1690.4483333333335"/>
    <n v="178065.78731631863"/>
    <n v="30000"/>
    <n v="34145.53"/>
    <n v="39"/>
    <n v="39.479999999999997"/>
    <n v="5690.9216666666662"/>
    <n v="392656.29736575484"/>
    <n v="44288.22"/>
    <n v="570722.08468207344"/>
    <n v="7381.37"/>
    <n v="3.5890909090909089"/>
    <n v="95.861948051948048"/>
    <n v="63.413564964674826"/>
    <n v="63327.13"/>
    <n v="62.175319766265972"/>
    <n v="1.4298865477095262"/>
    <m/>
    <m/>
    <n v="-57.309999999999491"/>
    <n v="4145.5299999999988"/>
    <n v="0.85999999999999943"/>
    <n v="0.47999999999999687"/>
    <s v="ALFONSO GRUNAUER"/>
    <x v="70"/>
    <s v="ALFONSO GRUNAUER"/>
  </r>
  <r>
    <d v="2026-04-19T00:00:00"/>
    <n v="308"/>
    <n v="2026"/>
    <s v="AGUAJE 8"/>
    <x v="3"/>
    <s v="29"/>
    <x v="6"/>
    <n v="5"/>
    <x v="0"/>
    <n v="92"/>
    <d v="2026-01-17T00:00:00"/>
    <s v="WA PS 27"/>
    <n v="0.82"/>
    <n v="34"/>
    <n v="800000"/>
    <n v="160000"/>
    <n v="16"/>
    <s v="BIOLACAM"/>
    <s v="TEXCUMAR"/>
    <s v="UNICO"/>
    <n v="6750"/>
    <n v="7116.38"/>
    <n v="27"/>
    <n v="27.6"/>
    <n v="1423.2760000000001"/>
    <n v="117059.29420289854"/>
    <n v="20000"/>
    <n v="22109.360000000001"/>
    <n v="40"/>
    <n v="38.76"/>
    <n v="4421.8720000000003"/>
    <n v="258969.28379772961"/>
    <n v="29225.74"/>
    <n v="376028.57800062816"/>
    <n v="5845.1480000000001"/>
    <n v="2.9491304347826088"/>
    <n v="63.534217391304352"/>
    <n v="47.00357225007852"/>
    <n v="52756.08"/>
    <n v="52.021741102595755"/>
    <n v="1.8051238394648006"/>
    <m/>
    <m/>
    <n v="366.38000000000011"/>
    <n v="2109.3600000000006"/>
    <n v="0.60000000000000142"/>
    <n v="-1.240000000000002"/>
    <s v="JUNIOR ESQUIVEL"/>
    <x v="247"/>
    <s v="JUNIOR ESQUIVEL"/>
  </r>
  <r>
    <d v="2026-04-20T00:00:00"/>
    <n v="309"/>
    <n v="2026"/>
    <s v="AGUAJE 8"/>
    <x v="3"/>
    <s v="11"/>
    <x v="8"/>
    <n v="5.8"/>
    <x v="1"/>
    <n v="81"/>
    <d v="2026-01-29T00:00:00"/>
    <s v="PA PC 7"/>
    <n v="0.5"/>
    <n v="10"/>
    <n v="910400"/>
    <n v="156965.5172413793"/>
    <n v="15.696551724137931"/>
    <s v="NEMEN"/>
    <s v="TEXCUMAR"/>
    <s v="UNICO"/>
    <n v="12200"/>
    <n v="13127.84"/>
    <n v="21"/>
    <n v="23.24"/>
    <n v="2263.4206896551723"/>
    <n v="261661.86519763118"/>
    <n v="23800"/>
    <n v="22681.97"/>
    <n v="31"/>
    <n v="31.99"/>
    <n v="3910.684482758621"/>
    <n v="321901.04345107853"/>
    <n v="35809.81"/>
    <n v="583562.90864870977"/>
    <n v="6174.1051724137933"/>
    <n v="2.7645679012345679"/>
    <n v="76.223520647083873"/>
    <n v="64.099616503592898"/>
    <n v="49272.81"/>
    <n v="47.573435504469977"/>
    <n v="1.3759584315024291"/>
    <m/>
    <m/>
    <n v="927.84000000000015"/>
    <n v="-1118.0299999999988"/>
    <n v="2.2399999999999984"/>
    <n v="0.98999999999999844"/>
    <s v="GUSTAVO CARRASCO"/>
    <x v="58"/>
    <s v="GUSTAVO CARRASCO"/>
  </r>
  <r>
    <d v="2026-04-20T00:00:00"/>
    <n v="310"/>
    <n v="2026"/>
    <s v="AGUAJE 8"/>
    <x v="3"/>
    <s v="05"/>
    <x v="6"/>
    <n v="7"/>
    <x v="0"/>
    <n v="96"/>
    <d v="2026-01-14T00:00:00"/>
    <s v="WA PC 3"/>
    <n v="0.6"/>
    <n v="21"/>
    <n v="1295000"/>
    <n v="185000"/>
    <n v="18.5"/>
    <s v="GRILSAN"/>
    <s v="AQUAGEN"/>
    <s v="UNICO"/>
    <n v="22600"/>
    <n v="23994.33"/>
    <n v="22.5"/>
    <n v="23.29"/>
    <n v="3427.761428571429"/>
    <n v="479240.68698851916"/>
    <n v="17100"/>
    <n v="19150.52"/>
    <n v="31"/>
    <n v="32.22"/>
    <n v="2735.7885714285717"/>
    <n v="269842.8330229671"/>
    <n v="43144.850000000006"/>
    <n v="749083.52001148625"/>
    <n v="6163.5500000000011"/>
    <n v="2.3493750000000002"/>
    <n v="64.20364583333334"/>
    <n v="57.844287259574223"/>
    <n v="67535.72"/>
    <n v="45.586311953793576"/>
    <n v="1.5653251778601616"/>
    <m/>
    <m/>
    <n v="1394.3300000000017"/>
    <n v="2050.5200000000004"/>
    <n v="0.78999999999999915"/>
    <n v="1.2199999999999989"/>
    <s v="JUNIOR ESQUIVEL"/>
    <x v="248"/>
    <s v="JUNIOR ESQUIVEL"/>
  </r>
  <r>
    <d v="2026-04-20T00:00:00"/>
    <n v="311"/>
    <n v="2026"/>
    <s v="AGUAJE 8"/>
    <x v="3"/>
    <s v="15"/>
    <x v="3"/>
    <n v="1.65"/>
    <x v="2"/>
    <n v="72"/>
    <d v="2026-02-07T00:00:00"/>
    <s v="CH PC 5"/>
    <n v="0.7"/>
    <n v="6"/>
    <n v="297000"/>
    <n v="180000"/>
    <n v="18"/>
    <s v="PRICMARSA"/>
    <s v="TEXCUMAR"/>
    <s v="UNICO"/>
    <n v="2000"/>
    <n v="2345.62"/>
    <n v="22"/>
    <n v="21.48"/>
    <n v="1421.5878787878787"/>
    <n v="49576.88454376164"/>
    <n v="9300"/>
    <n v="9917.2099999999991"/>
    <n v="31"/>
    <n v="32.6"/>
    <n v="6010.4303030303026"/>
    <n v="138110.83865030674"/>
    <n v="12262.829999999998"/>
    <n v="187687.72319406839"/>
    <n v="7432.0181818181809"/>
    <n v="3.1694444444444443"/>
    <n v="103.22247474747473"/>
    <n v="63.194519593962418"/>
    <n v="20337.439999999999"/>
    <n v="77.651534242298993"/>
    <n v="1.658462198366935"/>
    <m/>
    <m/>
    <n v="345.61999999999989"/>
    <n v="617.20999999999913"/>
    <n v="-0.51999999999999957"/>
    <n v="1.6000000000000014"/>
    <s v="SANTIAGO OBRIEN"/>
    <x v="93"/>
    <s v="SANTIAGO OBRIEN"/>
  </r>
  <r>
    <d v="2026-04-21T00:00:00"/>
    <n v="312"/>
    <n v="2026"/>
    <s v="AGUAJE 8"/>
    <x v="3"/>
    <s v="05"/>
    <x v="3"/>
    <n v="5.4"/>
    <x v="2"/>
    <n v="77"/>
    <d v="2026-02-03T00:00:00"/>
    <s v="CH PC 3"/>
    <n v="0.64"/>
    <n v="5"/>
    <n v="972000"/>
    <n v="180000"/>
    <n v="18"/>
    <s v="ACUATECSA"/>
    <s v="TEXCUMAR"/>
    <s v="UNICO"/>
    <n v="15200"/>
    <n v="16277.89"/>
    <n v="21.85"/>
    <n v="24.740000000000002"/>
    <n v="3014.4240740740738"/>
    <n v="302116.96283607872"/>
    <n v="18900"/>
    <n v="19420.63"/>
    <n v="30"/>
    <n v="29"/>
    <n v="3596.4129629629629"/>
    <n v="304033.31103448273"/>
    <n v="35698.520000000004"/>
    <n v="606150.2738705615"/>
    <n v="6610.8370370370376"/>
    <n v="2.6363636363636362"/>
    <n v="85.855026455026461"/>
    <n v="62.361139287094801"/>
    <n v="61783.91"/>
    <n v="67.400186945682734"/>
    <n v="1.7307134861613309"/>
    <m/>
    <m/>
    <n v="1077.8899999999994"/>
    <n v="520.63000000000102"/>
    <n v="2.8900000000000006"/>
    <n v="-1"/>
    <s v="SANTIAGO OBRIEN"/>
    <x v="77"/>
    <s v="SANTIAGO OBRIEN"/>
  </r>
  <r>
    <d v="2026-04-21T00:00:00"/>
    <n v="313"/>
    <n v="2026"/>
    <s v="AGUAJE 8"/>
    <x v="3"/>
    <s v="24"/>
    <x v="6"/>
    <n v="4.5999999999999996"/>
    <x v="0"/>
    <n v="95"/>
    <d v="2026-01-16T00:00:00"/>
    <s v="WA PS 23"/>
    <n v="0.71"/>
    <n v="26"/>
    <n v="782000"/>
    <n v="170000"/>
    <n v="17"/>
    <s v="BIOLACAM"/>
    <s v="TEXCUMAR"/>
    <s v="UNICO"/>
    <n v="15550"/>
    <n v="16245.099999999999"/>
    <n v="20.5"/>
    <n v="20.72"/>
    <n v="3531.5434782608695"/>
    <n v="357128.81661420863"/>
    <n v="12600"/>
    <n v="13348.13"/>
    <n v="33"/>
    <n v="35.799999999999997"/>
    <n v="2901.7673913043477"/>
    <n v="169275.1681564246"/>
    <n v="29593.229999999996"/>
    <n v="526403.98477063328"/>
    <n v="6433.3108695652172"/>
    <n v="2.6378947368421053"/>
    <n v="67.719061784897022"/>
    <n v="67.315087566577148"/>
    <n v="47484.88"/>
    <n v="49.288330142238479"/>
    <n v="1.604585913737703"/>
    <m/>
    <m/>
    <n v="695.09999999999854"/>
    <n v="748.1299999999992"/>
    <n v="0.21999999999999886"/>
    <n v="2.7999999999999972"/>
    <s v="JUNIOR ESQUIVEL"/>
    <x v="249"/>
    <s v="JUNIOR ESQUIVEL"/>
  </r>
  <r>
    <d v="2026-04-22T00:00:00"/>
    <n v="314"/>
    <n v="2026"/>
    <s v="AGUAJE 8"/>
    <x v="3"/>
    <s v="08"/>
    <x v="3"/>
    <n v="2.4"/>
    <x v="2"/>
    <n v="74"/>
    <d v="2026-02-07T00:00:00"/>
    <s v="CH PC 5"/>
    <n v="0.7"/>
    <n v="8"/>
    <n v="432000"/>
    <n v="180000"/>
    <n v="18"/>
    <s v="PRICMARSA"/>
    <s v="TEXCUMAR"/>
    <s v="UNICO"/>
    <n v="6700"/>
    <n v="7114.17"/>
    <n v="22.5"/>
    <n v="22.28"/>
    <n v="2964.2375000000002"/>
    <n v="145403.16586380772"/>
    <n v="10600"/>
    <n v="11101.82"/>
    <n v="31"/>
    <n v="29.11"/>
    <n v="4625.7583333333332"/>
    <n v="173144.15252490554"/>
    <n v="18215.989999999998"/>
    <n v="318547.31838871329"/>
    <n v="7589.9958333333325"/>
    <n v="2.7536486486486487"/>
    <n v="102.56751126126125"/>
    <n v="73.737805182572529"/>
    <n v="26344.97"/>
    <n v="67.286036036036037"/>
    <n v="1.4462551856912529"/>
    <m/>
    <m/>
    <n v="414.17000000000007"/>
    <n v="501.81999999999971"/>
    <n v="-0.21999999999999886"/>
    <n v="-1.8900000000000006"/>
    <s v="SANTIAGO OBRIEN"/>
    <x v="89"/>
    <s v="SANTIAGO OBRIEN"/>
  </r>
  <r>
    <d v="2026-04-22T00:00:00"/>
    <n v="315"/>
    <n v="2026"/>
    <s v="AGUAJE 8"/>
    <x v="3"/>
    <s v="08"/>
    <x v="6"/>
    <n v="4.7"/>
    <x v="0"/>
    <n v="93"/>
    <d v="2026-01-19T00:00:00"/>
    <s v="WA PS 18"/>
    <n v="1.1299999999999999"/>
    <n v="32"/>
    <n v="752000"/>
    <n v="160000"/>
    <n v="16"/>
    <s v="TECSERV"/>
    <s v="SEMACUA"/>
    <s v="UNICO"/>
    <n v="13700"/>
    <n v="14506.76"/>
    <n v="24"/>
    <n v="23.7"/>
    <n v="3086.5446808510637"/>
    <n v="279357.03431271389"/>
    <n v="10150"/>
    <n v="11754.1"/>
    <n v="35"/>
    <n v="35.18"/>
    <n v="2500.872340425532"/>
    <n v="151687.36213757819"/>
    <n v="26260.86"/>
    <n v="431044.39645029209"/>
    <n v="5587.4170212765957"/>
    <n v="2.6479569892473118"/>
    <n v="60.079752916952643"/>
    <n v="57.319733570517563"/>
    <n v="37063.74"/>
    <n v="38.462599353158808"/>
    <n v="1.4113680968559292"/>
    <m/>
    <m/>
    <n v="806.76000000000022"/>
    <n v="1604.1000000000004"/>
    <n v="-0.30000000000000071"/>
    <n v="0.17999999999999972"/>
    <s v="JUNIOR ESQUIVEL"/>
    <x v="250"/>
    <s v="JUNIOR ESQUIVEL"/>
  </r>
  <r>
    <d v="2026-04-22T00:00:00"/>
    <n v="316"/>
    <n v="2026"/>
    <s v="AGUAJE 8"/>
    <x v="3"/>
    <s v="06"/>
    <x v="1"/>
    <n v="6.08"/>
    <x v="1"/>
    <n v="98"/>
    <d v="2026-01-14T00:00:00"/>
    <s v="TI 33 - 34"/>
    <n v="0.55000000000000004"/>
    <n v="8"/>
    <n v="1124800"/>
    <n v="185000"/>
    <n v="18.5"/>
    <s v="TECSERV"/>
    <s v="EMPAGRAN"/>
    <s v="UNICO"/>
    <n v="25550"/>
    <n v="26672.14"/>
    <n v="26"/>
    <n v="26.38"/>
    <n v="4386.8651315789475"/>
    <n v="474047.57895973529"/>
    <n v="30400"/>
    <n v="31032.31"/>
    <n v="40"/>
    <n v="37.200000000000003"/>
    <n v="5103.9983552631584"/>
    <n v="378727.65430107526"/>
    <n v="57704.45"/>
    <n v="852775.23326081061"/>
    <n v="9490.863486842105"/>
    <n v="2.6571428571428575"/>
    <n v="96.845545784103109"/>
    <n v="75.815721306971071"/>
    <n v="94246.650000000009"/>
    <n v="71.747448979591837"/>
    <n v="1.6332648521907758"/>
    <m/>
    <m/>
    <n v="1122.1399999999994"/>
    <n v="632.31000000000131"/>
    <n v="0.37999999999999901"/>
    <n v="-2.7999999999999972"/>
    <s v="ALFONSO GRUNAUER"/>
    <x v="12"/>
    <s v="ALFONSO GRUNAUER"/>
  </r>
  <r>
    <d v="2026-04-23T00:00:00"/>
    <n v="317"/>
    <n v="2026"/>
    <s v="AGUAJE 8"/>
    <x v="3"/>
    <s v="03"/>
    <x v="1"/>
    <n v="6.55"/>
    <x v="1"/>
    <n v="77"/>
    <d v="2026-02-05T00:00:00"/>
    <s v="TI 33 - 34"/>
    <n v="0.25"/>
    <n v="7"/>
    <n v="1146250"/>
    <n v="175000"/>
    <n v="17.5"/>
    <s v="NARIHUALA"/>
    <s v="TEXCUMAR"/>
    <s v="UNICO"/>
    <n v="18950"/>
    <n v="20259.370000000003"/>
    <n v="22.5"/>
    <n v="23.34"/>
    <n v="3093.0335877862599"/>
    <n v="413102.72281072591"/>
    <n v="28300"/>
    <n v="28519.7"/>
    <n v="31"/>
    <n v="31.72"/>
    <n v="4354.1526717557254"/>
    <n v="408194.94955863809"/>
    <n v="48779.070000000007"/>
    <n v="821297.67236936395"/>
    <n v="7447.1862595419861"/>
    <n v="2.8836363636363633"/>
    <n v="96.716704669376441"/>
    <n v="71.650832922081918"/>
    <n v="68474.876000000004"/>
    <n v="61.584217309408153"/>
    <n v="1.4037757587424278"/>
    <m/>
    <m/>
    <n v="1309.3700000000026"/>
    <n v="219.70000000000073"/>
    <n v="0.83999999999999986"/>
    <n v="0.71999999999999886"/>
    <s v="ALFONSO GRUNAUER"/>
    <x v="83"/>
    <s v="ALFONSO GRUNAUER"/>
  </r>
  <r>
    <d v="2026-04-23T00:00:00"/>
    <n v="318"/>
    <n v="2026"/>
    <s v="AGUAJE 8"/>
    <x v="3"/>
    <s v="07"/>
    <x v="1"/>
    <n v="2.72"/>
    <x v="1"/>
    <n v="99"/>
    <d v="2026-01-14T00:00:00"/>
    <s v="TI 34"/>
    <n v="0.55000000000000004"/>
    <n v="7"/>
    <n v="489600"/>
    <n v="180000"/>
    <n v="18"/>
    <s v="TECSERV"/>
    <s v="EMPAGRAN"/>
    <s v="UNICO"/>
    <n v="8100"/>
    <n v="9195.66"/>
    <n v="22"/>
    <n v="22.939999999999998"/>
    <n v="3380.7573529411761"/>
    <n v="177250.99484624702"/>
    <n v="14500"/>
    <n v="15481.12"/>
    <n v="41"/>
    <n v="40.1"/>
    <n v="5691.5882352941171"/>
    <n v="175272.53067331671"/>
    <n v="24676.78"/>
    <n v="352523.5255195637"/>
    <n v="9072.3455882352937"/>
    <n v="2.8353535353535357"/>
    <n v="91.639854426619124"/>
    <n v="72.002354068538338"/>
    <n v="37037.279999999999"/>
    <n v="62.388591800356501"/>
    <n v="1.5008959839979121"/>
    <m/>
    <m/>
    <n v="1095.6599999999999"/>
    <n v="981.1200000000008"/>
    <n v="0.93999999999999773"/>
    <n v="-0.89999999999999858"/>
    <s v="ALFONSO GRUNAUER"/>
    <x v="16"/>
    <s v="ALFONSO GRUNAUER"/>
  </r>
  <r>
    <d v="2026-04-23T00:00:00"/>
    <n v="319"/>
    <n v="2026"/>
    <s v="AGUAJE 8"/>
    <x v="3"/>
    <s v="13"/>
    <x v="11"/>
    <n v="4.0999999999999996"/>
    <x v="1"/>
    <n v="79"/>
    <d v="2026-02-03T00:00:00"/>
    <s v="TA 4"/>
    <n v="0.33"/>
    <n v="13"/>
    <n v="672000"/>
    <n v="163902.43902439025"/>
    <n v="16.390243902439025"/>
    <s v="ACUATECSA"/>
    <s v="TEXCUMAR"/>
    <s v="UNICO"/>
    <n v="20450"/>
    <n v="22771.200000000001"/>
    <n v="26.833333333333332"/>
    <n v="28.073333333333334"/>
    <n v="5553.9512195121961"/>
    <n v="368813.61381345795"/>
    <n v="1900"/>
    <n v="2034.71"/>
    <n v="33"/>
    <n v="32.700000000000003"/>
    <n v="496.27073170731711"/>
    <n v="28249.490519877672"/>
    <n v="24805.91"/>
    <n v="397063.10433333565"/>
    <n v="6050.2219512195124"/>
    <n v="2.8974683544303796"/>
    <n v="76.585087990120414"/>
    <n v="59.086771478174946"/>
    <n v="39627.685000000005"/>
    <n v="55.495523309663483"/>
    <n v="1.5975098272951891"/>
    <m/>
    <m/>
    <n v="2321.2000000000007"/>
    <n v="134.71000000000004"/>
    <n v="1.240000000000002"/>
    <n v="-0.29999999999999716"/>
    <s v="ALFONSO GRUNAUER"/>
    <x v="65"/>
    <s v="ALFONSO GRUNAUER"/>
  </r>
  <r>
    <d v="2026-04-23T00:00:00"/>
    <n v="320"/>
    <n v="2026"/>
    <s v="AGUAJE 8"/>
    <x v="3"/>
    <s v="16"/>
    <x v="3"/>
    <n v="7"/>
    <x v="2"/>
    <n v="83"/>
    <d v="2026-01-30T00:00:00"/>
    <s v="CH PC 6"/>
    <n v="0.7"/>
    <n v="6"/>
    <n v="1260000"/>
    <n v="180000"/>
    <n v="18"/>
    <s v="NEMEN"/>
    <s v="TEXCUMAR"/>
    <s v="UNICO"/>
    <n v="16150"/>
    <n v="17471.3"/>
    <n v="21"/>
    <n v="19.439999999999998"/>
    <n v="2495.9"/>
    <n v="414136.63798018813"/>
    <n v="31800"/>
    <n v="34837.29"/>
    <n v="31"/>
    <n v="30.38"/>
    <n v="4976.755714285714"/>
    <n v="520609.92955892038"/>
    <n v="52308.59"/>
    <n v="934746.56753910845"/>
    <n v="7472.6557142857137"/>
    <n v="2.5621686746987948"/>
    <n v="90.031996557659198"/>
    <n v="74.186235518976858"/>
    <n v="81239.510000000009"/>
    <n v="63.425129087779695"/>
    <n v="1.5530816257903342"/>
    <m/>
    <m/>
    <n v="1321.2999999999993"/>
    <n v="3037.2900000000009"/>
    <n v="-1.5600000000000023"/>
    <n v="-0.62000000000000099"/>
    <s v="SANTIAGO OBRIEN"/>
    <x v="71"/>
    <s v="SANTIAGO OBRIEN"/>
  </r>
  <r>
    <d v="2026-04-23T00:00:00"/>
    <n v="321"/>
    <n v="2026"/>
    <s v="AGUAJE 8"/>
    <x v="3"/>
    <s v="20"/>
    <x v="7"/>
    <n v="9.18"/>
    <x v="1"/>
    <n v="95"/>
    <d v="2026-01-18T00:00:00"/>
    <s v="DO 03"/>
    <n v="0.77"/>
    <n v="7"/>
    <n v="1572073"/>
    <n v="171249.78213507627"/>
    <n v="17.124978213507628"/>
    <s v="EMPAGRAN"/>
    <s v="EMPAGRAN"/>
    <s v="UNICO"/>
    <n v="56100"/>
    <n v="54614.8"/>
    <n v="28.666666666666668"/>
    <n v="29.600000000000005"/>
    <n v="5949.3246187363839"/>
    <n v="829415.2747249417"/>
    <n v="21750"/>
    <n v="22553.439999999999"/>
    <n v="38"/>
    <n v="37.04"/>
    <n v="2456.8017429193901"/>
    <n v="276437.95248380129"/>
    <n v="77168.240000000005"/>
    <n v="1105853.2272087429"/>
    <n v="8406.1263616557735"/>
    <n v="2.7292631578947368"/>
    <n v="88.485540649008144"/>
    <n v="70.343630811593542"/>
    <n v="121032.54000000001"/>
    <n v="62.9514963880289"/>
    <n v="1.5684242636608015"/>
    <m/>
    <m/>
    <n v="-1485.1999999999971"/>
    <n v="803.43999999999869"/>
    <n v="0.93333333333333712"/>
    <n v="-0.96000000000000085"/>
    <s v="JOSE CEDEÑO"/>
    <x v="29"/>
    <s v="JOSE CEDEÑO"/>
  </r>
  <r>
    <d v="2026-04-23T00:00:00"/>
    <n v="322"/>
    <n v="2026"/>
    <s v="AGUAJE 8"/>
    <x v="3"/>
    <s v="08"/>
    <x v="7"/>
    <n v="7.95"/>
    <x v="1"/>
    <n v="91"/>
    <d v="2026-01-22T00:00:00"/>
    <s v="DO PC 02"/>
    <n v="1.1499999999999999"/>
    <n v="8"/>
    <n v="1321409"/>
    <n v="166214.96855345913"/>
    <n v="16.621496855345914"/>
    <s v="GABSO"/>
    <s v="TEXCUMAR"/>
    <s v="UNICO"/>
    <n v="33400"/>
    <n v="35948.29"/>
    <n v="27"/>
    <n v="31.106666666666666"/>
    <n v="4521.7974842767298"/>
    <n v="541289.33755121753"/>
    <n v="28000"/>
    <n v="28801.43"/>
    <n v="35"/>
    <n v="35.79"/>
    <n v="3622.8213836477985"/>
    <n v="365349.23777591507"/>
    <n v="64749.72"/>
    <n v="906638.5753271326"/>
    <n v="8144.6188679245279"/>
    <n v="2.753076923076923"/>
    <n v="89.501306240928884"/>
    <n v="68.611502973502724"/>
    <n v="105049.19"/>
    <n v="65.864952657405496"/>
    <n v="1.622388328474625"/>
    <m/>
    <m/>
    <n v="2548.2900000000009"/>
    <n v="801.43000000000029"/>
    <n v="4.1066666666666656"/>
    <n v="0.78999999999999915"/>
    <s v="JOSE CEDEÑO"/>
    <x v="42"/>
    <s v="JOSE CEDEÑO"/>
  </r>
  <r>
    <d v="2026-04-23T00:00:00"/>
    <n v="323"/>
    <n v="2026"/>
    <s v="AGUAJE 8"/>
    <x v="3"/>
    <s v="20"/>
    <x v="6"/>
    <n v="3.6"/>
    <x v="0"/>
    <n v="97"/>
    <d v="2026-01-16T00:00:00"/>
    <s v="WA PS 23"/>
    <n v="0.71"/>
    <s v="NUEVO"/>
    <n v="612000"/>
    <n v="170000"/>
    <n v="17"/>
    <s v="BIOLACAM"/>
    <s v="TEXCUMAR"/>
    <s v="UNICO"/>
    <n v="12000"/>
    <n v="13934.91"/>
    <n v="23.5"/>
    <n v="24.39"/>
    <n v="3870.8083333333334"/>
    <n v="260238.88420660337"/>
    <n v="11000"/>
    <n v="11685.25"/>
    <n v="33"/>
    <n v="32.880000000000003"/>
    <n v="3245.9027777777778"/>
    <n v="161347.4300486618"/>
    <n v="25620.16"/>
    <n v="421586.31425526517"/>
    <n v="7116.7111111111108"/>
    <n v="2.3727835051546391"/>
    <n v="73.368155784650625"/>
    <n v="68.886652656089069"/>
    <n v="40154.58"/>
    <n v="52.15921536132042"/>
    <n v="1.5673040293269052"/>
    <m/>
    <m/>
    <n v="1934.9099999999999"/>
    <n v="685.25"/>
    <n v="0.89000000000000057"/>
    <n v="-0.11999999999999744"/>
    <s v="JUNIOR ESQUIVEL"/>
    <x v="251"/>
    <s v="JUNIOR ESQUIVEL"/>
  </r>
  <r>
    <d v="2026-04-24T00:00:00"/>
    <n v="324"/>
    <n v="2026"/>
    <s v="AGUAJE 8"/>
    <x v="3"/>
    <s v="04"/>
    <x v="2"/>
    <n v="10.3"/>
    <x v="1"/>
    <n v="68"/>
    <d v="2026-02-15T00:00:00"/>
    <s v="CA PC06 - 1A"/>
    <n v="0.48"/>
    <n v="9"/>
    <n v="1806000"/>
    <n v="175339.80582524271"/>
    <n v="17.533980582524272"/>
    <s v="EMPAGRAN"/>
    <s v="EMPAGRAN"/>
    <s v="UNICO"/>
    <n v="9250"/>
    <n v="9775.77"/>
    <n v="22"/>
    <n v="24.96"/>
    <n v="949.10388349514562"/>
    <n v="177812.48317307691"/>
    <n v="44200"/>
    <n v="46853.11"/>
    <n v="28"/>
    <n v="26.24"/>
    <n v="4548.8456310679612"/>
    <n v="810644.50990853668"/>
    <n v="56628.880000000005"/>
    <n v="988456.99308161356"/>
    <n v="5497.9495145631072"/>
    <n v="2.7011764705882353"/>
    <n v="80.852198743575102"/>
    <n v="54.731837933644158"/>
    <n v="81499.649999999994"/>
    <n v="52.781266033592694"/>
    <n v="1.4391888026039008"/>
    <m/>
    <m/>
    <n v="525.77000000000044"/>
    <n v="2653.1100000000006"/>
    <n v="2.9600000000000009"/>
    <n v="-1.7600000000000016"/>
    <s v="VICTOR QUINTANA"/>
    <x v="101"/>
    <s v="VICTOR QUINTANA"/>
  </r>
  <r>
    <d v="2026-04-24T00:00:00"/>
    <n v="325"/>
    <n v="2026"/>
    <s v="AGUAJE 8"/>
    <x v="3"/>
    <s v="35"/>
    <x v="6"/>
    <n v="6.5"/>
    <x v="0"/>
    <n v="94"/>
    <d v="2026-01-20T00:00:00"/>
    <s v="WA 14 - 13"/>
    <n v="1.105"/>
    <s v="NUEVO"/>
    <n v="1007500"/>
    <n v="155000"/>
    <n v="15.5"/>
    <s v="TECSERV"/>
    <s v="SEMACUA"/>
    <s v="UNICO"/>
    <n v="19250"/>
    <n v="20337.2"/>
    <n v="26"/>
    <n v="26.05"/>
    <n v="3128.8"/>
    <n v="350462.10528377234"/>
    <n v="15750"/>
    <n v="16740.919999999998"/>
    <n v="42"/>
    <n v="42.98"/>
    <n v="2575.5261538461536"/>
    <n v="176835.21824104234"/>
    <n v="37078.119999999995"/>
    <n v="527297.32352481468"/>
    <n v="5704.3261538461529"/>
    <n v="3.2006382978723402"/>
    <n v="60.684320785597372"/>
    <n v="52.337203327525032"/>
    <n v="57279.92"/>
    <n v="42.523733666238407"/>
    <n v="1.544844236978574"/>
    <m/>
    <m/>
    <n v="1087.2000000000007"/>
    <n v="990.91999999999825"/>
    <n v="5.0000000000000711E-2"/>
    <n v="0.97999999999999687"/>
    <s v="JUNIOR ESQUIVEL"/>
    <x v="252"/>
    <s v="JUNIOR ESQUIVEL"/>
  </r>
  <r>
    <d v="2026-04-24T00:00:00"/>
    <n v="326"/>
    <n v="2026"/>
    <s v="AGUAJE 8"/>
    <x v="3"/>
    <s v="27"/>
    <x v="11"/>
    <n v="5.75"/>
    <x v="1"/>
    <n v="83"/>
    <d v="2026-01-31T00:00:00"/>
    <s v="TA 1"/>
    <n v="0.2"/>
    <n v="11"/>
    <n v="977500"/>
    <n v="170000"/>
    <n v="17"/>
    <s v="ACUATECSA"/>
    <s v="TEXCUMAR"/>
    <s v="UNICO"/>
    <n v="14000"/>
    <n v="14077.79"/>
    <n v="19"/>
    <n v="19.994999999999997"/>
    <n v="2448.3113043478261"/>
    <n v="320087.23719696491"/>
    <n v="26350"/>
    <n v="26267.35"/>
    <n v="31"/>
    <n v="30.36"/>
    <n v="4568.2347826086952"/>
    <n v="392798.97562582343"/>
    <n v="40345.14"/>
    <n v="712886.21282278839"/>
    <n v="7016.5460869565213"/>
    <n v="2.560481927710843"/>
    <n v="84.536699842849657"/>
    <n v="72.929535838648434"/>
    <n v="69720.47"/>
    <n v="66.265055488768738"/>
    <n v="1.7281008319713353"/>
    <m/>
    <m/>
    <n v="77.790000000000873"/>
    <n v="-82.650000000001455"/>
    <n v="0.99499999999999744"/>
    <n v="-0.64000000000000057"/>
    <s v="ALFONSO GRUNAUER"/>
    <x v="62"/>
    <s v="ALFONSO GRUNAUER"/>
  </r>
  <r>
    <d v="2026-04-24T00:00:00"/>
    <n v="327"/>
    <n v="2026"/>
    <s v="AGUAJE 8"/>
    <x v="3"/>
    <s v="13"/>
    <x v="4"/>
    <n v="9.18"/>
    <x v="0"/>
    <n v="55"/>
    <d v="2026-02-28T00:00:00"/>
    <s v="DE 14"/>
    <n v="6"/>
    <n v="5"/>
    <n v="1000000"/>
    <n v="108932.46187363834"/>
    <n v="10.893246187363834"/>
    <s v="TECSERV"/>
    <s v="TEXCUMAR"/>
    <s v="UNICO"/>
    <n v="0"/>
    <n v="0"/>
    <n v="0"/>
    <n v="0"/>
    <n v="0"/>
    <n v="0"/>
    <n v="32800"/>
    <n v="35841.03"/>
    <n v="35"/>
    <n v="32.380000000000003"/>
    <n v="3904.251633986928"/>
    <n v="502527.10376775783"/>
    <n v="35841.03"/>
    <n v="502527.10376775783"/>
    <n v="3904.251633986928"/>
    <n v="4.1210909090909098"/>
    <n v="70.986393345216868"/>
    <n v="50.252710376775781"/>
    <n v="52469.48"/>
    <n v="47.138047138047135"/>
    <n v="1.4639501152729151"/>
    <m/>
    <m/>
    <n v="0"/>
    <n v="3041.0299999999988"/>
    <n v="0"/>
    <n v="-2.6199999999999974"/>
    <s v="CARLOS FLORES"/>
    <x v="156"/>
    <s v="CARLOS FLORES"/>
  </r>
  <r>
    <d v="2026-04-24T00:00:00"/>
    <n v="328"/>
    <n v="2026"/>
    <s v="AGUAJE 8"/>
    <x v="3"/>
    <s v="04"/>
    <x v="7"/>
    <n v="9.81"/>
    <x v="1"/>
    <n v="72"/>
    <d v="2026-02-11T00:00:00"/>
    <s v="PS 2"/>
    <n v="2.37"/>
    <n v="4"/>
    <n v="1765823"/>
    <n v="180002.34454638124"/>
    <n v="18.000234454638125"/>
    <s v="EMPAGRAN"/>
    <s v="EMPAGRAN"/>
    <s v="UNICO"/>
    <n v="61850"/>
    <n v="65193.899999999994"/>
    <n v="26.75"/>
    <n v="27.364999999999998"/>
    <n v="6645.6574923547387"/>
    <n v="1109602.1598299069"/>
    <n v="600"/>
    <n v="672.87"/>
    <n v="30"/>
    <n v="29.32"/>
    <n v="68.590214067278282"/>
    <n v="10418.928376534788"/>
    <n v="65866.76999999999"/>
    <n v="1120021.0882064416"/>
    <n v="6714.2477064220166"/>
    <n v="2.8505555555555553"/>
    <n v="93.253440366972455"/>
    <n v="63.42770981046467"/>
    <n v="95293.835000000006"/>
    <n v="61.197474232642421"/>
    <n v="1.4467664802752591"/>
    <m/>
    <m/>
    <n v="3343.8999999999942"/>
    <n v="72.87"/>
    <n v="0.61499999999999844"/>
    <n v="-0.67999999999999972"/>
    <s v="JOSE CEDEÑO"/>
    <x v="106"/>
    <s v="JOSE CEDEÑO"/>
  </r>
  <r>
    <d v="2026-04-24T00:00:00"/>
    <n v="329"/>
    <n v="2026"/>
    <s v="AGUAJE 8"/>
    <x v="3"/>
    <s v="14"/>
    <x v="1"/>
    <n v="4.7"/>
    <x v="1"/>
    <n v="89"/>
    <d v="2026-01-25T00:00:00"/>
    <s v="TI 30"/>
    <n v="0.36"/>
    <n v="8"/>
    <n v="799000"/>
    <n v="170000"/>
    <n v="17"/>
    <s v="NEMEN"/>
    <s v="TEXCUMAR"/>
    <s v="UNICO"/>
    <n v="13050"/>
    <n v="13687.44"/>
    <n v="20.75"/>
    <n v="20.27"/>
    <n v="2912.2212765957447"/>
    <n v="309292.67707027117"/>
    <n v="23700"/>
    <n v="24879.59"/>
    <n v="32"/>
    <n v="30.7"/>
    <n v="5293.5297872340425"/>
    <n v="367926.18436482083"/>
    <n v="38567.03"/>
    <n v="677218.86143509205"/>
    <n v="8205.7510638297863"/>
    <n v="2.4146067415730337"/>
    <n v="92.199450155390863"/>
    <n v="84.758305561338176"/>
    <n v="56713.34"/>
    <n v="61.49892963897949"/>
    <n v="1.4705135448594304"/>
    <m/>
    <m/>
    <n v="637.44000000000051"/>
    <n v="1179.5900000000001"/>
    <n v="-0.48000000000000043"/>
    <n v="-1.3000000000000007"/>
    <s v="ALFONSO GRUNAUER"/>
    <x v="54"/>
    <s v="ALFONSO GRUNAUER"/>
  </r>
  <r>
    <d v="2026-04-25T00:00:00"/>
    <n v="330"/>
    <n v="2026"/>
    <s v="AGUAJE 8"/>
    <x v="3"/>
    <s v="24"/>
    <x v="11"/>
    <n v="7.15"/>
    <x v="1"/>
    <n v="81"/>
    <d v="2026-02-03T00:00:00"/>
    <s v="TA 4"/>
    <n v="0.35"/>
    <n v="12"/>
    <n v="1208205"/>
    <n v="168979.72027972026"/>
    <n v="16.897972027972028"/>
    <s v="ACUATECSA"/>
    <s v="TEXCUMAR"/>
    <s v="UNICO"/>
    <n v="18400"/>
    <n v="18875.599999999999"/>
    <n v="22.75"/>
    <n v="23.5"/>
    <n v="2639.9440559440554"/>
    <n v="380655.58486583835"/>
    <n v="29350"/>
    <n v="31474.959999999999"/>
    <n v="32"/>
    <n v="32.299999999999997"/>
    <n v="4402.0923076923073"/>
    <n v="442403.46253869974"/>
    <n v="50350.559999999998"/>
    <n v="823059.04740453814"/>
    <n v="7042.0363636363627"/>
    <n v="2.7913580246913576"/>
    <n v="86.938720538720531"/>
    <n v="68.122466585102543"/>
    <n v="79310.485000000001"/>
    <n v="62.116895450228782"/>
    <n v="1.575165896863908"/>
    <m/>
    <m/>
    <n v="475.59999999999854"/>
    <n v="2124.9599999999991"/>
    <n v="0.75"/>
    <n v="0.29999999999999716"/>
    <s v="ALFONSO GRUNAUER"/>
    <x v="66"/>
    <s v="ALFONSO GRUNAUER"/>
  </r>
  <r>
    <d v="2026-04-25T00:00:00"/>
    <n v="331"/>
    <n v="2026"/>
    <s v="AGUAJE 8"/>
    <x v="3"/>
    <s v="07"/>
    <x v="7"/>
    <n v="6.31"/>
    <x v="1"/>
    <n v="93"/>
    <d v="2026-01-22T00:00:00"/>
    <s v="DO PC 1"/>
    <n v="1.06"/>
    <n v="8"/>
    <n v="866415"/>
    <n v="137308.24088748021"/>
    <n v="13.730824088748021"/>
    <s v="BIOLACAM"/>
    <s v="TEXCUMAR"/>
    <s v="UNICO"/>
    <n v="33050"/>
    <n v="31876.95"/>
    <n v="40.5"/>
    <n v="38.76"/>
    <n v="5051.8145800316961"/>
    <n v="388930.96308426815"/>
    <n v="6400"/>
    <n v="6622.54"/>
    <n v="50"/>
    <n v="48.4"/>
    <n v="1049.5309033280507"/>
    <n v="62120.519834710751"/>
    <n v="38499.49"/>
    <n v="451051.4829189789"/>
    <n v="6101.3454833597461"/>
    <n v="3.6430107526881716"/>
    <n v="65.605865412470393"/>
    <n v="52.059519158714807"/>
    <n v="55611.035000000003"/>
    <n v="42.985191622786843"/>
    <n v="1.4444616019588832"/>
    <m/>
    <m/>
    <n v="-1173.0499999999993"/>
    <n v="222.53999999999996"/>
    <n v="-1.740000000000002"/>
    <n v="-1.6000000000000014"/>
    <s v="JOSE CEDEÑO"/>
    <x v="20"/>
    <s v="JOSE CEDEÑO"/>
  </r>
  <r>
    <d v="2026-04-26T00:00:00"/>
    <n v="332"/>
    <n v="2026"/>
    <s v="AGUAJE 8"/>
    <x v="3"/>
    <s v="04"/>
    <x v="3"/>
    <n v="4.82"/>
    <x v="2"/>
    <n v="76"/>
    <d v="2026-02-09T00:00:00"/>
    <s v="CH PC 2"/>
    <n v="0.56000000000000005"/>
    <n v="10"/>
    <n v="867600"/>
    <n v="180000"/>
    <n v="18"/>
    <s v="BIOLACAM"/>
    <s v="TEXCUMAR"/>
    <s v="UNICO"/>
    <n v="5600"/>
    <n v="6083.61"/>
    <n v="20"/>
    <n v="20.58"/>
    <n v="1262.1597510373442"/>
    <n v="134205.97376093295"/>
    <n v="21400"/>
    <n v="21537.7"/>
    <n v="23.5"/>
    <n v="23.08"/>
    <n v="4468.4024896265555"/>
    <n v="423661.86308492208"/>
    <n v="27621.31"/>
    <n v="557867.836845855"/>
    <n v="5730.5622406639004"/>
    <n v="2.1257894736842102"/>
    <n v="75.402134745577641"/>
    <n v="64.300119507359952"/>
    <n v="54067.815000000002"/>
    <n v="66.949661498143698"/>
    <n v="1.9574674408997981"/>
    <m/>
    <m/>
    <n v="483.60999999999967"/>
    <n v="137.70000000000073"/>
    <n v="0.57999999999999829"/>
    <n v="-0.42000000000000171"/>
    <s v="SANTIAGO OBRIEN"/>
    <x v="88"/>
    <s v="SANTIAGO OBRIEN"/>
  </r>
  <r>
    <d v="2026-04-26T00:00:00"/>
    <n v="333"/>
    <n v="2026"/>
    <s v="AGUAJE 8"/>
    <x v="3"/>
    <s v="03"/>
    <x v="9"/>
    <n v="9.89"/>
    <x v="1"/>
    <n v="71"/>
    <d v="2026-02-14T00:00:00"/>
    <s v="RO PC02"/>
    <n v="0.5"/>
    <n v="4"/>
    <n v="1824000"/>
    <n v="184428.71587462083"/>
    <n v="18.442871587462083"/>
    <s v="BIOLACAM"/>
    <s v="TEXCUMAR"/>
    <s v="UNICO"/>
    <n v="32200"/>
    <n v="31284.67"/>
    <n v="23.25"/>
    <n v="24.44"/>
    <n v="3163.2628918099085"/>
    <n v="564024.37088881305"/>
    <n v="34200"/>
    <n v="38555.58"/>
    <n v="28"/>
    <n v="27.36"/>
    <n v="3898.4408493427704"/>
    <n v="639774.60964912281"/>
    <n v="69840.25"/>
    <n v="1203798.9805379359"/>
    <n v="7061.703741152679"/>
    <n v="2.6974647887323946"/>
    <n v="99.460616072572947"/>
    <n v="65.997751125983328"/>
    <n v="100695.10500000001"/>
    <n v="65.046497386747177"/>
    <n v="1.4417918750290843"/>
    <m/>
    <m/>
    <n v="-915.33000000000175"/>
    <n v="4355.5800000000017"/>
    <n v="1.1900000000000013"/>
    <n v="-0.64000000000000057"/>
    <s v="VICTOR QUINTANA"/>
    <x v="115"/>
    <s v="VICTOR QUINTANA"/>
  </r>
  <r>
    <d v="2026-04-26T00:00:00"/>
    <n v="334"/>
    <n v="2026"/>
    <s v="AGUAJE 8"/>
    <x v="3"/>
    <s v="03"/>
    <x v="11"/>
    <n v="4.5"/>
    <x v="1"/>
    <n v="82"/>
    <d v="2026-02-03T00:00:00"/>
    <s v="TA 2"/>
    <n v="0.4"/>
    <n v="7"/>
    <n v="675000"/>
    <n v="150000"/>
    <n v="15"/>
    <s v="ACUATECSA"/>
    <s v="TEXCUMAR"/>
    <s v="UNICO"/>
    <n v="12200"/>
    <n v="12848.92"/>
    <n v="22"/>
    <n v="23.204999999999998"/>
    <n v="2855.3155555555554"/>
    <n v="251775.06136789738"/>
    <n v="16950"/>
    <n v="18117.95"/>
    <n v="31"/>
    <n v="32.200000000000003"/>
    <n v="4026.2111111111112"/>
    <n v="255451.84161490682"/>
    <n v="30966.870000000003"/>
    <n v="507226.90298280423"/>
    <n v="6881.5266666666676"/>
    <n v="2.7487804878048783"/>
    <n v="83.921056910569121"/>
    <n v="75.144726367822841"/>
    <n v="49383.040000000001"/>
    <n v="60.704607046070457"/>
    <n v="1.5947055675953041"/>
    <m/>
    <m/>
    <n v="648.92000000000007"/>
    <n v="1167.9500000000007"/>
    <n v="1.2049999999999983"/>
    <n v="1.2000000000000028"/>
    <s v="ALFONSO GRUNAUER"/>
    <x v="75"/>
    <s v="ALFONSO GRUNAUER"/>
  </r>
  <r>
    <d v="2026-04-26T00:00:00"/>
    <n v="335"/>
    <n v="2026"/>
    <s v="AGUAJE 8"/>
    <x v="3"/>
    <s v="11"/>
    <x v="1"/>
    <n v="7"/>
    <x v="1"/>
    <n v="91"/>
    <d v="2026-01-25T00:00:00"/>
    <s v="TI PC 31- 32"/>
    <n v="0.34"/>
    <n v="9"/>
    <n v="1260000"/>
    <n v="180000"/>
    <n v="18"/>
    <s v="EMPAGRAN"/>
    <s v="EMPAGRAN"/>
    <s v="UNICO"/>
    <n v="15800"/>
    <n v="16716.29"/>
    <n v="24"/>
    <n v="23.93"/>
    <n v="2388.0414285714287"/>
    <n v="322557.17045746127"/>
    <n v="44350"/>
    <n v="46016.38"/>
    <n v="33"/>
    <n v="33.78"/>
    <n v="6573.7685714285708"/>
    <n v="618455.78804026044"/>
    <n v="62732.67"/>
    <n v="941012.9584977217"/>
    <n v="8961.81"/>
    <n v="2.5984615384615384"/>
    <n v="98.481428571428566"/>
    <n v="74.683568134739815"/>
    <n v="95459.180000000008"/>
    <n v="67.974882260596544"/>
    <n v="1.5216820836734672"/>
    <m/>
    <m/>
    <n v="916.29000000000087"/>
    <n v="1666.3799999999974"/>
    <n v="-7.0000000000000284E-2"/>
    <n v="0.78000000000000114"/>
    <s v="ALFONSO GRUNAUER"/>
    <x v="50"/>
    <s v="ALFONSO GRUNAUER"/>
  </r>
  <r>
    <d v="2026-04-27T00:00:00"/>
    <n v="336"/>
    <n v="2026"/>
    <s v="AGUAJE 8"/>
    <x v="3"/>
    <s v="11"/>
    <x v="11"/>
    <n v="1.7"/>
    <x v="1"/>
    <n v="76"/>
    <d v="2026-02-10T00:00:00"/>
    <s v="TI PC 39"/>
    <n v="0.32"/>
    <n v="5"/>
    <n v="255000"/>
    <n v="150000"/>
    <n v="15"/>
    <s v="BIOLACAM"/>
    <s v="TEXCUMAR"/>
    <s v="UNICO"/>
    <n v="5050"/>
    <n v="6113.99"/>
    <n v="25"/>
    <n v="23.619999999999997"/>
    <n v="3596.464705882353"/>
    <n v="114595.23041910357"/>
    <n v="4900"/>
    <n v="5776.95"/>
    <n v="33.5"/>
    <n v="34.119999999999997"/>
    <n v="3398.205882352941"/>
    <n v="76867.974794841735"/>
    <n v="11890.939999999999"/>
    <n v="191463.2052139453"/>
    <n v="6994.6705882352935"/>
    <n v="3.142631578947368"/>
    <n v="92.035139318885442"/>
    <n v="75.083609887821694"/>
    <n v="15553.45"/>
    <n v="54.605252625456089"/>
    <n v="1.3080084501309401"/>
    <m/>
    <m/>
    <n v="1063.9899999999998"/>
    <n v="876.94999999999982"/>
    <n v="-1.3800000000000026"/>
    <n v="0.61999999999999744"/>
    <s v="ALFONSO GRUNAUER"/>
    <x v="99"/>
    <s v="ALFONSO GRUNAUER"/>
  </r>
  <r>
    <d v="2026-04-28T00:00:00"/>
    <n v="337"/>
    <n v="2026"/>
    <s v="AGUAJE 9"/>
    <x v="3"/>
    <s v="19"/>
    <x v="7"/>
    <n v="8.8699999999999992"/>
    <x v="1"/>
    <n v="87"/>
    <d v="2026-01-31T00:00:00"/>
    <s v="DO PC 4"/>
    <n v="1.2"/>
    <n v="3"/>
    <n v="1552250"/>
    <n v="175000.00000000003"/>
    <n v="17.500000000000004"/>
    <s v="LARVASLAB"/>
    <s v="TEXCUMAR"/>
    <s v="UNICO"/>
    <n v="61400"/>
    <n v="60589.630000000005"/>
    <n v="29"/>
    <n v="30.096666666666664"/>
    <n v="6830.848928974071"/>
    <n v="867124.93573031761"/>
    <n v="5000"/>
    <n v="5425.98"/>
    <n v="38"/>
    <n v="36.78"/>
    <n v="611.72266065388953"/>
    <n v="66976.47960848287"/>
    <n v="66015.61"/>
    <n v="934101.41533880052"/>
    <n v="7442.5715896279598"/>
    <n v="2.9593103448275864"/>
    <n v="85.546799880781151"/>
    <n v="60.177253363749429"/>
    <n v="100419.53"/>
    <n v="59.026292941466131"/>
    <n v="1.5211482556928582"/>
    <m/>
    <m/>
    <n v="-810.36999999999534"/>
    <n v="425.97999999999956"/>
    <n v="1.096666666666664"/>
    <n v="-1.2199999999999989"/>
    <s v="JOSE CEDEÑO"/>
    <x v="80"/>
    <s v="JOSE CEDEÑO"/>
  </r>
  <r>
    <d v="2026-04-28T00:00:00"/>
    <n v="338"/>
    <n v="2026"/>
    <s v="AGUAJE 9"/>
    <x v="3"/>
    <s v="20"/>
    <x v="4"/>
    <n v="3.8"/>
    <x v="0"/>
    <n v="77"/>
    <d v="2026-02-10T00:00:00"/>
    <s v="DE 2"/>
    <n v="0.55000000000000004"/>
    <n v="10"/>
    <n v="494000"/>
    <n v="130000"/>
    <n v="13"/>
    <s v="NARIHUALA"/>
    <s v="TEXCUMAR"/>
    <s v="UNICO"/>
    <n v="3650"/>
    <n v="3410.56"/>
    <n v="18"/>
    <n v="19.739999999999998"/>
    <n v="897.51578947368421"/>
    <n v="78439.424518743675"/>
    <n v="10150"/>
    <n v="10618.12"/>
    <n v="38"/>
    <n v="37.78"/>
    <n v="2794.242105263158"/>
    <n v="127597.31286394919"/>
    <n v="14028.68"/>
    <n v="206036.73738269287"/>
    <n v="3691.7578947368424"/>
    <n v="3.4345454545454546"/>
    <n v="47.944907723855096"/>
    <n v="41.707841575443901"/>
    <n v="34832.68"/>
    <n v="53.998632946001372"/>
    <n v="2.4829620463222484"/>
    <m/>
    <m/>
    <n v="-239.44000000000005"/>
    <n v="468.1200000000008"/>
    <n v="1.7399999999999984"/>
    <n v="-0.21999999999999886"/>
    <s v="CARLOS FLORES"/>
    <x v="91"/>
    <s v="CARLOS FLORES"/>
  </r>
  <r>
    <d v="2026-04-29T00:00:00"/>
    <n v="339"/>
    <n v="2026"/>
    <s v="AGUAJE 9"/>
    <x v="3"/>
    <s v="05"/>
    <x v="7"/>
    <n v="3.84"/>
    <x v="1"/>
    <n v="86"/>
    <d v="2026-02-02T00:00:00"/>
    <s v="TU PC 7"/>
    <n v="0.7"/>
    <n v="5"/>
    <n v="691200"/>
    <n v="180000"/>
    <n v="18"/>
    <s v="NARIHUALA"/>
    <s v="TEXCUMAR"/>
    <s v="UNICO"/>
    <n v="25300"/>
    <n v="27109.9"/>
    <n v="28.666666666666668"/>
    <n v="29.613333333333333"/>
    <n v="7059.869791666667"/>
    <n v="427652.33983405575"/>
    <n v="3550"/>
    <n v="3420.89"/>
    <n v="38"/>
    <n v="35.6"/>
    <n v="890.85677083333337"/>
    <n v="43625.956741573034"/>
    <n v="30530.79"/>
    <n v="471278.2965756288"/>
    <n v="7950.7265625000009"/>
    <n v="2.8976744186046512"/>
    <n v="92.450308866279087"/>
    <n v="68.182623925872221"/>
    <n v="48831.89"/>
    <n v="67.072432170542641"/>
    <n v="1.5994309351313869"/>
    <m/>
    <m/>
    <n v="1809.9000000000015"/>
    <n v="-129.11000000000013"/>
    <n v="0.94666666666666544"/>
    <n v="-2.3999999999999986"/>
    <s v="JOSE CEDEÑO"/>
    <x v="79"/>
    <s v="JOSE CEDEÑO"/>
  </r>
  <r>
    <d v="2026-04-29T00:00:00"/>
    <n v="340"/>
    <n v="2026"/>
    <s v="AGUAJE 9"/>
    <x v="3"/>
    <s v="17"/>
    <x v="11"/>
    <n v="1.5"/>
    <x v="1"/>
    <n v="78"/>
    <d v="2026-02-10T00:00:00"/>
    <s v="TI PC 09"/>
    <n v="0.32"/>
    <n v="5"/>
    <n v="225000"/>
    <n v="150000"/>
    <n v="15"/>
    <s v="TECSERV"/>
    <s v="TEXCUMAR"/>
    <s v="UNICO"/>
    <n v="0"/>
    <n v="0"/>
    <n v="0"/>
    <n v="0"/>
    <n v="0"/>
    <n v="0"/>
    <n v="9950"/>
    <n v="10646.87"/>
    <n v="34.5"/>
    <n v="34.36"/>
    <n v="7097.9133333333339"/>
    <n v="140677.50232828871"/>
    <n v="10646.87"/>
    <n v="140677.50232828871"/>
    <n v="7097.9133333333339"/>
    <n v="3.0835897435897435"/>
    <n v="90.998888888888899"/>
    <n v="62.523334368128317"/>
    <n v="16997.47"/>
    <n v="65.897451405026487"/>
    <n v="1.5964757717526372"/>
    <m/>
    <m/>
    <n v="0"/>
    <n v="696.8700000000008"/>
    <n v="0"/>
    <n v="-0.14000000000000057"/>
    <s v="ALFONSO GRUNAUER"/>
    <x v="102"/>
    <s v="ALFONSO GRUNAUER"/>
  </r>
  <r>
    <d v="2026-04-30T00:00:00"/>
    <n v="341"/>
    <n v="2026"/>
    <s v="AGUAJE 9"/>
    <x v="3"/>
    <s v="23"/>
    <x v="7"/>
    <n v="13.72"/>
    <x v="1"/>
    <n v="100"/>
    <d v="2026-01-20T00:00:00"/>
    <s v="DO PC 6"/>
    <n v="0.6"/>
    <n v="3"/>
    <n v="2480108"/>
    <n v="180765.88921282798"/>
    <n v="18.076588921282799"/>
    <s v="PRONAUPLIO"/>
    <s v="EMPAGRAN"/>
    <s v="UNICO"/>
    <n v="109200"/>
    <n v="106074.93000000001"/>
    <n v="28.4"/>
    <n v="28.196000000000005"/>
    <n v="7731.4088921282801"/>
    <n v="1740838.2200640738"/>
    <n v="8400"/>
    <n v="7981.58"/>
    <n v="38"/>
    <n v="33.74"/>
    <n v="581.74781341107871"/>
    <n v="107398.85358624777"/>
    <n v="114056.51000000001"/>
    <n v="1848237.0736503215"/>
    <n v="8313.1567055393589"/>
    <n v="2.3618000000000001"/>
    <n v="83.131567055393589"/>
    <n v="74.52244312144154"/>
    <n v="169147.94"/>
    <n v="55.922013314857956"/>
    <n v="1.4830187246655189"/>
    <m/>
    <m/>
    <n v="-3125.0699999999924"/>
    <n v="-418.42000000000007"/>
    <n v="-0.20399999999999352"/>
    <n v="-4.259999999999998"/>
    <s v="JOSE CEDEÑO"/>
    <x v="53"/>
    <s v="JOSE CEDEÑO"/>
  </r>
  <r>
    <d v="2026-04-30T00:00:00"/>
    <n v="342"/>
    <n v="2026"/>
    <s v="AGUAJE 9"/>
    <x v="3"/>
    <s v="03"/>
    <x v="2"/>
    <n v="9.2200000000000006"/>
    <x v="1"/>
    <n v="77"/>
    <d v="2026-02-12T00:00:00"/>
    <s v="CA 15 - 1B"/>
    <n v="0.52"/>
    <n v="8"/>
    <n v="1844000"/>
    <n v="200000"/>
    <n v="20"/>
    <s v="BIOLACAM"/>
    <s v="TEXCUMAR"/>
    <s v="UNICO"/>
    <n v="29950"/>
    <n v="33195.15"/>
    <n v="25"/>
    <n v="24.71"/>
    <n v="3600.3416485900216"/>
    <n v="588214.34254106821"/>
    <n v="16450"/>
    <n v="21045.11"/>
    <n v="30"/>
    <n v="28.76"/>
    <n v="2282.5498915401299"/>
    <n v="332214.18428372737"/>
    <n v="54240.26"/>
    <n v="920428.52682479564"/>
    <n v="5882.891540130152"/>
    <n v="2.6145454545454547"/>
    <n v="76.40118883285912"/>
    <n v="49.914779111973736"/>
    <n v="96561.48"/>
    <n v="61.695354537003105"/>
    <n v="1.7802547406668034"/>
    <m/>
    <m/>
    <n v="3245.1500000000015"/>
    <n v="4595.1100000000006"/>
    <n v="-0.28999999999999915"/>
    <n v="-1.2399999999999984"/>
    <s v="VICTOR QUINTANA"/>
    <x v="98"/>
    <s v="VICTOR QUINTANA"/>
  </r>
  <r>
    <d v="2026-05-01T00:00:00"/>
    <n v="343"/>
    <n v="2026"/>
    <s v="AGUAJE 9"/>
    <x v="4"/>
    <s v="21"/>
    <x v="4"/>
    <n v="5.4"/>
    <x v="0"/>
    <n v="82"/>
    <d v="2026-02-08T00:00:00"/>
    <s v="DE 25"/>
    <n v="0.65"/>
    <n v="9"/>
    <n v="648000"/>
    <n v="119999.99999999999"/>
    <n v="11.999999999999998"/>
    <s v="PRICMARSA"/>
    <s v="TEXCUMAR"/>
    <s v="UNICO"/>
    <n v="22450"/>
    <n v="23949.73"/>
    <n v="24.666666666666668"/>
    <n v="24.873333333333335"/>
    <n v="4435.135185185185"/>
    <n v="414584.38514286472"/>
    <n v="3200"/>
    <n v="3419.37"/>
    <n v="34"/>
    <n v="32.56"/>
    <n v="633.21666666666658"/>
    <n v="47677.947788697784"/>
    <n v="27369.1"/>
    <n v="462262.3329315625"/>
    <n v="5068.3518518518513"/>
    <n v="2.7795121951219515"/>
    <n v="61.809168925022576"/>
    <n v="71.336779773389267"/>
    <n v="49603.5"/>
    <n v="50.813008130081293"/>
    <n v="1.8123906156943415"/>
    <m/>
    <m/>
    <n v="1499.7299999999996"/>
    <n v="219.36999999999989"/>
    <n v="0.206666666666667"/>
    <n v="-1.4399999999999977"/>
    <s v="CARLOS FLORES"/>
    <x v="90"/>
    <s v="CARLOS FLORES"/>
  </r>
  <r>
    <d v="2026-05-02T00:00:00"/>
    <n v="344"/>
    <n v="2026"/>
    <s v="AGUAJE 9"/>
    <x v="4"/>
    <s v="02"/>
    <x v="12"/>
    <n v="4.3"/>
    <x v="1"/>
    <n v="80"/>
    <d v="2026-02-11T00:00:00"/>
    <s v="PA 16"/>
    <n v="0.5"/>
    <n v="13"/>
    <n v="792000"/>
    <n v="184186.04651162791"/>
    <n v="18.418604651162791"/>
    <s v="BIOLACAM"/>
    <s v="TEXCUMAR"/>
    <s v="UNICO"/>
    <n v="17250"/>
    <n v="17982.77"/>
    <n v="20"/>
    <n v="21.58666666666667"/>
    <n v="4182.039534883721"/>
    <n v="381470.80000230693"/>
    <n v="18300"/>
    <n v="20583.75"/>
    <n v="32"/>
    <n v="32.49"/>
    <n v="4786.9186046511632"/>
    <n v="287627.65466297319"/>
    <n v="38566.520000000004"/>
    <n v="669098.45466528018"/>
    <n v="8968.958139534885"/>
    <n v="2.8428750000000003"/>
    <n v="112.11197674418607"/>
    <n v="84.482128114303052"/>
    <n v="48611.43"/>
    <n v="64.098837209302332"/>
    <n v="1.2604567381241552"/>
    <m/>
    <m/>
    <n v="732.77000000000044"/>
    <n v="2283.75"/>
    <n v="1.5866666666666696"/>
    <n v="0.49000000000000199"/>
    <s v="GUSTAVO CARRASCO"/>
    <x v="87"/>
    <s v="GUSTAVO CARRASCO"/>
  </r>
  <r>
    <d v="2026-05-02T00:00:00"/>
    <n v="345"/>
    <n v="2026"/>
    <s v="AGUAJE 9"/>
    <x v="4"/>
    <s v="09"/>
    <x v="4"/>
    <n v="7.45"/>
    <x v="0"/>
    <n v="87"/>
    <d v="2026-02-04T00:00:00"/>
    <s v="DE 4"/>
    <n v="0.5"/>
    <n v="11"/>
    <n v="1043000"/>
    <n v="140000"/>
    <n v="14"/>
    <s v="EMPAGRAN"/>
    <s v="EMPAGRAN"/>
    <s v="UNICO"/>
    <n v="15200"/>
    <n v="14982.939999999999"/>
    <n v="23.666666666666668"/>
    <n v="25.033333333333331"/>
    <n v="2011.13288590604"/>
    <n v="312423.51422764227"/>
    <n v="16000"/>
    <n v="16193.800000000001"/>
    <n v="31"/>
    <n v="32.880000000000003"/>
    <n v="2173.6644295302012"/>
    <n v="223600.52311435522"/>
    <n v="31176.739999999998"/>
    <n v="536024.03734199749"/>
    <n v="4184.7973154362417"/>
    <n v="2.6455172413793107"/>
    <n v="48.101118568232664"/>
    <n v="51.392525152636381"/>
    <n v="74019.45"/>
    <n v="51.801284066936844"/>
    <n v="2.3741882570146848"/>
    <m/>
    <m/>
    <n v="-217.06000000000131"/>
    <n v="193.80000000000109"/>
    <n v="1.3666666666666636"/>
    <n v="1.8800000000000026"/>
    <s v="CARLOS FLORES"/>
    <x v="72"/>
    <s v="CARLOS FLORES"/>
  </r>
  <r>
    <d v="2026-05-03T00:00:00"/>
    <n v="346"/>
    <n v="2026"/>
    <s v="AGUAJE 9"/>
    <x v="4"/>
    <s v="05"/>
    <x v="8"/>
    <n v="3.3"/>
    <x v="1"/>
    <n v="80"/>
    <d v="2026-02-12T00:00:00"/>
    <s v="PA PC 4"/>
    <n v="0.75"/>
    <n v="9"/>
    <n v="618390"/>
    <n v="187390.90909090909"/>
    <n v="18.739090909090908"/>
    <s v="BIOLACAM"/>
    <s v="TEXCUMAR"/>
    <s v="UNICO"/>
    <n v="11200"/>
    <n v="11967.41"/>
    <n v="21.666666666666668"/>
    <n v="21.846666666666668"/>
    <n v="3626.4878787878788"/>
    <n v="262193.03645509738"/>
    <n v="11100"/>
    <n v="11680.57"/>
    <n v="30"/>
    <n v="31.84"/>
    <n v="3539.5666666666666"/>
    <n v="166550.84108040202"/>
    <n v="23647.98"/>
    <n v="428743.8775354994"/>
    <n v="7166.0545454545454"/>
    <n v="2.786"/>
    <n v="89.57568181818182"/>
    <n v="69.33227858398412"/>
    <n v="32903.660000000003"/>
    <n v="56.53409949994365"/>
    <n v="1.3913941063887911"/>
    <m/>
    <m/>
    <n v="767.40999999999985"/>
    <n v="580.56999999999971"/>
    <n v="0.17999999999999972"/>
    <n v="1.8399999999999999"/>
    <s v="GUSTAVO CARRASCO"/>
    <x v="95"/>
    <s v="GUSTAVO CARRASCO"/>
  </r>
  <r>
    <d v="2026-05-03T00:00:00"/>
    <n v="347"/>
    <n v="2026"/>
    <s v="AGUAJE 9"/>
    <x v="4"/>
    <s v="01"/>
    <x v="12"/>
    <n v="7.4"/>
    <x v="1"/>
    <n v="81"/>
    <d v="2026-02-11T00:00:00"/>
    <s v="PA 16"/>
    <n v="0.5"/>
    <n v="11"/>
    <n v="1355000"/>
    <n v="183108.10810810811"/>
    <n v="18.310810810810811"/>
    <s v="BIOLACAM"/>
    <s v="TEXCUMAR"/>
    <s v="UNICO"/>
    <n v="30600"/>
    <n v="32704.080000000002"/>
    <n v="23.25"/>
    <n v="24.935000000000002"/>
    <n v="4419.4702702702707"/>
    <n v="707757.60827766475"/>
    <n v="27700"/>
    <n v="25446.120000000003"/>
    <n v="33"/>
    <n v="34.18"/>
    <n v="3438.6648648648652"/>
    <n v="337991.17846693977"/>
    <n v="58150.200000000004"/>
    <n v="1045748.7867446046"/>
    <n v="7858.135135135135"/>
    <n v="2.9538271604938271"/>
    <n v="97.014014014014009"/>
    <n v="77.17703223207414"/>
    <n v="79586.06"/>
    <n v="60.226893560226891"/>
    <n v="1.3686291706649332"/>
    <m/>
    <m/>
    <n v="2104.0800000000017"/>
    <n v="-2253.8799999999974"/>
    <n v="1.6850000000000023"/>
    <n v="1.1799999999999997"/>
    <s v="GUSTAVO CARRASCO"/>
    <x v="92"/>
    <s v="GUSTAVO CARRASCO"/>
  </r>
  <r>
    <d v="2026-05-03T00:00:00"/>
    <n v="348"/>
    <n v="2026"/>
    <s v="AGUAJE 9"/>
    <x v="4"/>
    <s v="12"/>
    <x v="4"/>
    <n v="8.77"/>
    <x v="0"/>
    <n v="63"/>
    <d v="2026-03-01T00:00:00"/>
    <s v="DE PS 11"/>
    <n v="6"/>
    <n v="4"/>
    <n v="1052400"/>
    <n v="120000"/>
    <n v="12"/>
    <s v="TECSERV"/>
    <s v="SEMACUA"/>
    <s v="UNICO"/>
    <n v="8400"/>
    <n v="8639.7099999999991"/>
    <n v="25"/>
    <n v="27.655000000000001"/>
    <n v="985.14367160775362"/>
    <n v="184065.14969497887"/>
    <n v="44200"/>
    <n v="43782.45"/>
    <n v="31"/>
    <n v="33.54"/>
    <n v="4992.2976054732044"/>
    <n v="592642.58497316635"/>
    <n v="52422.159999999996"/>
    <n v="776707.73466814519"/>
    <n v="5977.4412770809577"/>
    <n v="3.7266666666666666"/>
    <n v="94.880020271126313"/>
    <n v="73.803471557216383"/>
    <n v="68893.75"/>
    <n v="56.560062261316538"/>
    <n v="1.3142104407754278"/>
    <m/>
    <m/>
    <n v="239.70999999999913"/>
    <n v="-417.55000000000291"/>
    <n v="2.6550000000000011"/>
    <n v="2.5399999999999991"/>
    <s v="CARLOS FLORES"/>
    <x v="158"/>
    <s v="CARLOS FLORES"/>
  </r>
  <r>
    <d v="2026-05-04T00:00:00"/>
    <n v="349"/>
    <n v="2026"/>
    <s v="AGUAJE 9"/>
    <x v="4"/>
    <s v="03"/>
    <x v="12"/>
    <n v="3.43"/>
    <x v="1"/>
    <n v="87"/>
    <d v="2026-02-06T00:00:00"/>
    <s v="MA 8"/>
    <n v="0.35"/>
    <n v="7"/>
    <n v="605714"/>
    <n v="176593.00291545189"/>
    <n v="17.65930029154519"/>
    <s v="NARIHUALA"/>
    <s v="TEXCUMAR"/>
    <s v="UNICO"/>
    <n v="12350"/>
    <n v="12707.71"/>
    <n v="17.666666666666668"/>
    <n v="18.146666666666668"/>
    <n v="3704.8717201166178"/>
    <n v="322004.88218188268"/>
    <n v="15900"/>
    <n v="16250.79"/>
    <n v="30"/>
    <n v="29.38"/>
    <n v="4737.8396501457728"/>
    <n v="251118.40231449966"/>
    <n v="28958.5"/>
    <n v="573123.28449638234"/>
    <n v="8442.7113702623901"/>
    <n v="2.3639080459770114"/>
    <n v="97.042659428303338"/>
    <n v="94.619454808107832"/>
    <n v="39947.35"/>
    <n v="60.721822635990577"/>
    <n v="1.3794688951430494"/>
    <m/>
    <m/>
    <n v="357.70999999999913"/>
    <n v="350.79000000000087"/>
    <n v="0.48000000000000043"/>
    <n v="-0.62000000000000099"/>
    <s v="GUSTAVO CARRASCO"/>
    <x v="84"/>
    <s v="GUSTAVO CARRASCO"/>
  </r>
  <r>
    <d v="2026-05-04T00:00:00"/>
    <n v="350"/>
    <n v="2026"/>
    <s v="AGUAJE 9"/>
    <x v="4"/>
    <s v="22"/>
    <x v="4"/>
    <n v="5.7"/>
    <x v="0"/>
    <n v="85"/>
    <d v="2026-02-08T00:00:00"/>
    <s v="DE 25"/>
    <n v="0.65"/>
    <n v="9"/>
    <n v="798000"/>
    <n v="140000"/>
    <n v="14"/>
    <s v="PRICMARSA"/>
    <s v="TEXCUMAR"/>
    <s v="UNICO"/>
    <n v="11400"/>
    <n v="11440.09"/>
    <n v="19"/>
    <n v="21.17"/>
    <n v="2007.0333333333333"/>
    <n v="245183.77129390815"/>
    <n v="14100"/>
    <n v="15123.18"/>
    <n v="35"/>
    <n v="31.5"/>
    <n v="2653.1894736842105"/>
    <n v="217965.83238095237"/>
    <n v="26563.27"/>
    <n v="463149.60367486055"/>
    <n v="4660.2228070175433"/>
    <n v="2.5941176470588236"/>
    <n v="54.826150670794625"/>
    <n v="58.038797452990046"/>
    <n v="52745.06"/>
    <n v="49.380809634644208"/>
    <n v="1.985638816305372"/>
    <m/>
    <m/>
    <n v="40.090000000000146"/>
    <n v="1023.1800000000003"/>
    <n v="2.1700000000000017"/>
    <n v="-3.5"/>
    <s v="CARLOS FLORES"/>
    <x v="82"/>
    <s v="CARLOS FLORES"/>
  </r>
  <r>
    <d v="2026-05-04T00:00:00"/>
    <n v="351"/>
    <n v="2026"/>
    <s v="AGUAJE 9"/>
    <x v="4"/>
    <s v="07"/>
    <x v="4"/>
    <n v="10.23"/>
    <x v="0"/>
    <n v="89"/>
    <d v="2026-02-04T00:00:00"/>
    <s v="DE  4"/>
    <n v="0.5"/>
    <n v="18"/>
    <n v="1329900"/>
    <n v="130000"/>
    <n v="13"/>
    <s v="EMPAGRAN"/>
    <s v="EMPAGRAN"/>
    <s v="UNICO"/>
    <n v="28600"/>
    <n v="29667.29"/>
    <n v="21.666666666666668"/>
    <n v="21.686666666666667"/>
    <n v="2900.0283479960899"/>
    <n v="667248.27509464312"/>
    <n v="17900"/>
    <n v="18180.46"/>
    <n v="31"/>
    <n v="31.6"/>
    <n v="1777.171065493646"/>
    <n v="261200.27974683544"/>
    <n v="47847.75"/>
    <n v="928448.55484147859"/>
    <n v="4677.1994134897359"/>
    <n v="2.4853932584269667"/>
    <n v="52.552802398761081"/>
    <n v="69.813411146813948"/>
    <n v="97663.78"/>
    <n v="48.656188561951517"/>
    <n v="2.0411363125747815"/>
    <m/>
    <m/>
    <n v="1067.2900000000009"/>
    <n v="280.45999999999913"/>
    <n v="1.9999999999999574E-2"/>
    <n v="0.60000000000000142"/>
    <s v="CARLOS FLORES"/>
    <x v="68"/>
    <s v="CARLOS FLORES"/>
  </r>
  <r>
    <d v="2026-05-05T00:00:00"/>
    <n v="352"/>
    <n v="2026"/>
    <s v="AGUAJE 9"/>
    <x v="4"/>
    <s v="08"/>
    <x v="9"/>
    <n v="12.79"/>
    <x v="1"/>
    <n v="77"/>
    <d v="2026-02-17T00:00:00"/>
    <s v="RO PC 16"/>
    <n v="0.6"/>
    <n v="8"/>
    <n v="2000000"/>
    <n v="156372.16575449571"/>
    <n v="15.637216575449571"/>
    <s v="AMBARTEK"/>
    <s v="PRONAUPLIO"/>
    <s v="UNICO"/>
    <n v="22300"/>
    <n v="23619.56"/>
    <n v="22.5"/>
    <n v="23.66"/>
    <n v="1846.7208756841285"/>
    <n v="451525.92900075024"/>
    <n v="58600"/>
    <n v="57651.01"/>
    <n v="30"/>
    <n v="32.54"/>
    <n v="4507.506645817045"/>
    <n v="804350.29317762749"/>
    <n v="81270.570000000007"/>
    <n v="1255876.2221783777"/>
    <n v="6354.2275215011741"/>
    <n v="2.958181818181818"/>
    <n v="82.522435344171086"/>
    <n v="62.793811108918888"/>
    <n v="118056.33"/>
    <n v="54.374866728267826"/>
    <n v="1.4526332225798342"/>
    <m/>
    <m/>
    <n v="1319.5600000000013"/>
    <n v="-948.98999999999796"/>
    <n v="1.1600000000000001"/>
    <n v="2.5399999999999991"/>
    <s v="VICTOR QUINTANA"/>
    <x v="97"/>
    <s v="VICTOR QUINTANA"/>
  </r>
  <r>
    <d v="2026-05-05T00:00:00"/>
    <n v="353"/>
    <n v="2026"/>
    <s v="AGUAJE 9"/>
    <x v="4"/>
    <s v="4A"/>
    <x v="12"/>
    <n v="6.17"/>
    <x v="1"/>
    <n v="88"/>
    <d v="2026-02-06T00:00:00"/>
    <s v="MA 8"/>
    <n v="0.35"/>
    <n v="8"/>
    <n v="1178571"/>
    <n v="191016.36952998379"/>
    <n v="19.10163695299838"/>
    <s v="NARIHUALA"/>
    <s v="TEXCUMAR"/>
    <s v="UNICO"/>
    <n v="34900"/>
    <n v="36077.379999999997"/>
    <n v="22"/>
    <n v="24.130000000000003"/>
    <n v="5847.2252836304697"/>
    <n v="686099.61023325648"/>
    <n v="16300"/>
    <n v="17638.95"/>
    <n v="33"/>
    <n v="33.89"/>
    <n v="2858.8249594813615"/>
    <n v="236296.34995573916"/>
    <n v="53716.33"/>
    <n v="922395.96018899558"/>
    <n v="8706.0502431118312"/>
    <n v="2.6957954545454546"/>
    <n v="98.932389126270806"/>
    <n v="78.26392811200985"/>
    <n v="69059.09"/>
    <n v="57.693011883039041"/>
    <n v="1.2856256188760475"/>
    <m/>
    <m/>
    <n v="1177.3799999999974"/>
    <n v="1338.9500000000007"/>
    <n v="2.1300000000000026"/>
    <n v="0.89000000000000057"/>
    <s v="GUSTAVO CARRASCO"/>
    <x v="81"/>
    <s v="GUSTAVO CARRASCO"/>
  </r>
  <r>
    <d v="2026-05-05T00:00:00"/>
    <n v="354"/>
    <n v="2026"/>
    <s v="AGUAJE 9"/>
    <x v="4"/>
    <s v="03"/>
    <x v="4"/>
    <n v="5.7"/>
    <x v="0"/>
    <n v="84"/>
    <d v="2026-02-10T00:00:00"/>
    <s v="DE 2"/>
    <n v="0.55000000000000004"/>
    <n v="9"/>
    <n v="798000"/>
    <n v="140000"/>
    <n v="14"/>
    <s v="NARIHUALA"/>
    <s v="TEXCUMAR"/>
    <s v="UNICO"/>
    <n v="12500"/>
    <n v="12626.86"/>
    <n v="20"/>
    <n v="19.234999999999999"/>
    <n v="2215.2385964912282"/>
    <n v="298993.86026563367"/>
    <n v="13300"/>
    <n v="14806.6"/>
    <n v="33"/>
    <n v="34.520000000000003"/>
    <n v="2597.6491228070176"/>
    <n v="194733.38354577057"/>
    <n v="27433.46"/>
    <n v="493727.24381140422"/>
    <n v="4812.8877192982454"/>
    <n v="2.8766666666666669"/>
    <n v="57.296282372598156"/>
    <n v="61.870581931253668"/>
    <n v="59910.01"/>
    <n v="56.756479256443441"/>
    <n v="2.183829892401469"/>
    <m/>
    <m/>
    <n v="126.86000000000058"/>
    <n v="1506.6000000000004"/>
    <n v="-0.76500000000000057"/>
    <n v="1.5200000000000031"/>
    <s v="CARLOS FLORES"/>
    <x v="94"/>
    <s v="CARLOS FLORES"/>
  </r>
  <r>
    <d v="2026-05-06T00:00:00"/>
    <n v="355"/>
    <n v="2026"/>
    <s v="AGUAJE 9"/>
    <x v="4"/>
    <s v="13"/>
    <x v="7"/>
    <n v="5.7"/>
    <x v="1"/>
    <n v="72"/>
    <d v="2026-02-23T00:00:00"/>
    <s v="DO PS 15"/>
    <n v="1"/>
    <n v="11"/>
    <n v="1026000"/>
    <n v="180000"/>
    <n v="18"/>
    <s v="GENESIS"/>
    <s v="TEXCUMAR"/>
    <s v="UNICO"/>
    <n v="7000"/>
    <n v="6762.71"/>
    <n v="20"/>
    <n v="23.96"/>
    <n v="1186.4403508771929"/>
    <n v="128141.49999999999"/>
    <n v="38000"/>
    <n v="39893.089999999997"/>
    <n v="33"/>
    <n v="33.869999999999997"/>
    <n v="6998.7877192982451"/>
    <n v="534734.65780927078"/>
    <n v="46655.799999999996"/>
    <n v="662876.15780927078"/>
    <n v="8185.228070175438"/>
    <n v="3.2929166666666663"/>
    <n v="113.68372319688109"/>
    <n v="64.607812651975706"/>
    <n v="71153.464999999997"/>
    <n v="78.642787524366469"/>
    <n v="1.5250722311052431"/>
    <m/>
    <m/>
    <n v="-237.28999999999996"/>
    <n v="1893.0899999999965"/>
    <n v="3.9600000000000009"/>
    <n v="0.86999999999999744"/>
    <s v="JOSE CEDEÑO"/>
    <x v="122"/>
    <s v="JOSE CEDEÑO"/>
  </r>
  <r>
    <d v="2026-05-06T00:00:00"/>
    <n v="356"/>
    <n v="2026"/>
    <s v="AGUAJE 9"/>
    <x v="4"/>
    <s v="14"/>
    <x v="7"/>
    <n v="8.61"/>
    <x v="1"/>
    <n v="70"/>
    <d v="2026-02-25T00:00:00"/>
    <s v="DO PS 15"/>
    <n v="1.03"/>
    <n v="2"/>
    <n v="1549800"/>
    <n v="180000"/>
    <n v="18"/>
    <s v="GENESIS"/>
    <s v="TEXCUMAR"/>
    <s v="UNICO"/>
    <n v="12000"/>
    <n v="11439.39"/>
    <n v="20"/>
    <n v="21.72"/>
    <n v="1328.6167247386759"/>
    <n v="239110.63812154694"/>
    <n v="21000"/>
    <n v="22990.06"/>
    <n v="34"/>
    <n v="39.6"/>
    <n v="2670.1579558652734"/>
    <n v="263572.91010101011"/>
    <n v="34429.449999999997"/>
    <n v="502683.54822255706"/>
    <n v="3998.774680603949"/>
    <n v="3.96"/>
    <n v="57.125352580056415"/>
    <n v="32.435381870083688"/>
    <n v="56492.87"/>
    <n v="42.517003039679572"/>
    <n v="1.6408298709389784"/>
    <m/>
    <m/>
    <n v="-560.61000000000058"/>
    <n v="1990.0600000000013"/>
    <n v="1.7199999999999989"/>
    <n v="5.6000000000000014"/>
    <s v="JOSE CEDEÑO"/>
    <x v="152"/>
    <s v="JOSE CEDEÑO"/>
  </r>
  <r>
    <d v="2026-05-06T00:00:00"/>
    <n v="357"/>
    <n v="2026"/>
    <s v="AGUAJE 9"/>
    <x v="4"/>
    <s v="11"/>
    <x v="3"/>
    <n v="6.38"/>
    <x v="2"/>
    <n v="76"/>
    <d v="2026-02-19T00:00:00"/>
    <s v="CH PC 6"/>
    <n v="0.35"/>
    <n v="9"/>
    <n v="1148400"/>
    <n v="180000"/>
    <n v="18"/>
    <s v="TECSERV"/>
    <s v="SEMACUA"/>
    <s v="UNICO"/>
    <n v="13600"/>
    <n v="14787.31"/>
    <n v="19"/>
    <n v="19.880000000000003"/>
    <n v="2317.7601880877742"/>
    <n v="344202.61001553782"/>
    <n v="26300"/>
    <n v="27547.5"/>
    <n v="23"/>
    <n v="23.77"/>
    <n v="4317.7899686520377"/>
    <n v="526149.13756836345"/>
    <n v="42334.81"/>
    <n v="870351.74758390128"/>
    <n v="6635.5501567398114"/>
    <n v="2.1893421052631576"/>
    <n v="87.309870483418578"/>
    <n v="75.788205118765347"/>
    <n v="63988.52"/>
    <n v="59.860176266262009"/>
    <n v="1.5114871189926209"/>
    <m/>
    <m/>
    <n v="1187.3099999999995"/>
    <n v="1247.5"/>
    <n v="0.88000000000000256"/>
    <n v="0.76999999999999957"/>
    <s v="SANTIAGO OBRIEN"/>
    <x v="114"/>
    <s v="SANTIAGO OBRIEN"/>
  </r>
  <r>
    <d v="2026-05-06T00:00:00"/>
    <n v="358"/>
    <n v="2026"/>
    <s v="AGUAJE 9"/>
    <x v="4"/>
    <s v="06"/>
    <x v="4"/>
    <n v="8.69"/>
    <x v="0"/>
    <n v="72"/>
    <d v="2026-02-23T00:00:00"/>
    <s v="DE PC 3"/>
    <n v="0.8"/>
    <n v="18"/>
    <n v="1390000"/>
    <n v="159953.97008055236"/>
    <n v="15.995397008055235"/>
    <s v="LARVASLAB"/>
    <s v="TEXCUMAR"/>
    <s v="UNICO"/>
    <n v="8000"/>
    <n v="8031.31"/>
    <n v="17"/>
    <n v="18.559999999999999"/>
    <n v="924.20138089758348"/>
    <n v="196455.53556034484"/>
    <n v="20200"/>
    <n v="23609.360000000001"/>
    <n v="28"/>
    <n v="30.06"/>
    <n v="2716.8423475258919"/>
    <n v="356575.16433799069"/>
    <n v="31640.670000000002"/>
    <n v="553030.6998983355"/>
    <n v="3641.0437284234758"/>
    <n v="2.9224999999999999"/>
    <n v="50.570051783659387"/>
    <n v="39.786381287650038"/>
    <n v="72476.22"/>
    <n v="52.542829772431396"/>
    <n v="2.2906032015124835"/>
    <m/>
    <m/>
    <n v="31.3100000000004"/>
    <n v="3409.3600000000006"/>
    <n v="1.5599999999999987"/>
    <n v="2.0599999999999987"/>
    <s v="CARLOS FLORES"/>
    <x v="143"/>
    <s v="CARLOS FLORES"/>
  </r>
  <r>
    <d v="2026-05-06T00:00:00"/>
    <n v="359"/>
    <n v="2026"/>
    <s v="AGUAJE 9"/>
    <x v="4"/>
    <s v="09"/>
    <x v="0"/>
    <n v="9"/>
    <x v="0"/>
    <n v="86"/>
    <d v="2026-02-09T00:00:00"/>
    <s v="PR PC 8"/>
    <n v="0.4"/>
    <n v="16"/>
    <n v="1530000"/>
    <n v="170000"/>
    <n v="17"/>
    <s v="EMPAGRAN"/>
    <s v="EMPAGRAN"/>
    <s v="UNICO"/>
    <n v="5250"/>
    <n v="6085.26"/>
    <n v="14"/>
    <n v="21.46"/>
    <n v="676.14"/>
    <n v="128737.56011183598"/>
    <n v="27200"/>
    <n v="33672.44"/>
    <n v="30"/>
    <n v="32.06"/>
    <n v="3741.3822222222225"/>
    <n v="476833.67935121647"/>
    <n v="39757.700000000004"/>
    <n v="605571.23946305248"/>
    <n v="4417.5222222222228"/>
    <n v="2.6095348837209302"/>
    <n v="51.366537467700262"/>
    <n v="39.579819572748526"/>
    <n v="74901.289999999994"/>
    <n v="43.895351767422632"/>
    <n v="1.8839442422474133"/>
    <m/>
    <m/>
    <n v="835.26000000000022"/>
    <n v="6472.4400000000023"/>
    <n v="7.4600000000000009"/>
    <n v="2.0600000000000023"/>
    <s v="WILMER TORRES"/>
    <x v="73"/>
    <s v="WILMER TORRES"/>
  </r>
  <r>
    <d v="2026-05-07T00:00:00"/>
    <n v="360"/>
    <n v="2026"/>
    <s v="AGUAJE 9"/>
    <x v="4"/>
    <s v="09"/>
    <x v="3"/>
    <n v="9.4"/>
    <x v="2"/>
    <n v="78"/>
    <d v="2026-02-18T00:00:00"/>
    <s v="CH 4"/>
    <n v="0.35"/>
    <n v="7"/>
    <n v="1692000"/>
    <n v="180000"/>
    <n v="18"/>
    <s v="LARDEMA"/>
    <s v="PRONAUPLIO"/>
    <s v="UNICO"/>
    <n v="10500"/>
    <n v="10496.18"/>
    <n v="16.5"/>
    <n v="16.34"/>
    <n v="1116.6148936170212"/>
    <n v="291631.92900856794"/>
    <n v="43600"/>
    <n v="44814.75"/>
    <n v="25"/>
    <n v="25.12"/>
    <n v="4767.5265957446809"/>
    <n v="809948.10907643312"/>
    <n v="55310.93"/>
    <n v="1101580.0380850011"/>
    <n v="5884.141489361702"/>
    <n v="2.2543589743589747"/>
    <n v="75.437711402073106"/>
    <n v="65.10520319651306"/>
    <n v="96781.94"/>
    <n v="59.87452264048008"/>
    <n v="1.7497796547626301"/>
    <m/>
    <m/>
    <n v="-3.819999999999709"/>
    <n v="1214.75"/>
    <n v="-0.16000000000000014"/>
    <n v="0.12000000000000099"/>
    <s v="SANTIAGO OBRIEN"/>
    <x v="116"/>
    <s v="SANTIAGO OBRIEN"/>
  </r>
  <r>
    <d v="2026-05-07T00:00:00"/>
    <n v="361"/>
    <n v="2026"/>
    <s v="AGUAJE 9"/>
    <x v="4"/>
    <s v="16"/>
    <x v="7"/>
    <n v="4.74"/>
    <x v="1"/>
    <n v="60"/>
    <d v="2026-03-08T00:00:00"/>
    <s v="DO PS 15"/>
    <n v="0.72"/>
    <n v="12"/>
    <n v="1054035"/>
    <n v="222370.25316455695"/>
    <n v="22.237025316455696"/>
    <s v="GENESIS"/>
    <s v="TEXCUMAR"/>
    <s v="UNICO"/>
    <n v="5700"/>
    <n v="4904.92"/>
    <n v="19"/>
    <n v="22.24"/>
    <n v="1034.7932489451478"/>
    <n v="100127.41366906476"/>
    <n v="19500"/>
    <n v="21676.31"/>
    <n v="34"/>
    <n v="32.74"/>
    <n v="4573.0611814345993"/>
    <n v="300581.69639584603"/>
    <n v="26581.230000000003"/>
    <n v="400709.11006491078"/>
    <n v="5607.8544303797471"/>
    <n v="3.819666666666667"/>
    <n v="93.464240506329119"/>
    <n v="38.01667971793259"/>
    <n v="42989.700000000004"/>
    <n v="68.565400843881861"/>
    <n v="1.6172953621784996"/>
    <m/>
    <m/>
    <n v="-795.07999999999993"/>
    <n v="2176.3100000000013"/>
    <n v="3.2399999999999984"/>
    <n v="-1.259999999999998"/>
    <s v="JOSE CEDEÑO"/>
    <x v="157"/>
    <s v="JOSE CEDEÑO"/>
  </r>
  <r>
    <d v="2026-05-07T00:00:00"/>
    <n v="362"/>
    <n v="2026"/>
    <s v="AGUAJE 9"/>
    <x v="4"/>
    <s v="02"/>
    <x v="13"/>
    <n v="4.2"/>
    <x v="0"/>
    <n v="73"/>
    <d v="2026-02-23T00:00:00"/>
    <s v="PA PS 9"/>
    <n v="0.6"/>
    <n v="16"/>
    <n v="673333"/>
    <n v="160317.38095238095"/>
    <n v="16.031738095238094"/>
    <s v="LARDEMA"/>
    <s v="PRONAUPLIO"/>
    <s v="UNICO"/>
    <n v="7700"/>
    <n v="8268.4500000000007"/>
    <n v="20"/>
    <n v="21.5"/>
    <n v="1968.6785714285716"/>
    <n v="175143.17061753361"/>
    <n v="16750"/>
    <n v="18882.32"/>
    <n v="29"/>
    <n v="30.43"/>
    <n v="4495.7904761904756"/>
    <n v="281714.53434111073"/>
    <n v="27150.77"/>
    <n v="456857.70495864435"/>
    <n v="6464.4690476190472"/>
    <n v="2.9179452054794521"/>
    <n v="88.55437051532941"/>
    <n v="67.85018779098074"/>
    <n v="36375.9"/>
    <n v="53.816046966731896"/>
    <n v="1.3397741574180033"/>
    <m/>
    <m/>
    <n v="568.45000000000073"/>
    <n v="2132.3199999999997"/>
    <n v="1.5"/>
    <n v="1.4299999999999997"/>
    <s v="GUSTAVO CARRASCO"/>
    <x v="105"/>
    <s v="GUSTAVO CARRASCO"/>
  </r>
  <r>
    <d v="2026-05-07T00:00:00"/>
    <n v="363"/>
    <n v="2026"/>
    <s v="AGUAJE 9"/>
    <x v="4"/>
    <s v="03"/>
    <x v="13"/>
    <n v="3"/>
    <x v="0"/>
    <n v="73"/>
    <d v="2026-02-23T00:00:00"/>
    <s v="PA PS 9"/>
    <n v="0.6"/>
    <n v="17"/>
    <n v="480000"/>
    <n v="160000"/>
    <n v="16"/>
    <s v="LARDEMA"/>
    <s v="PRONAUPLIO"/>
    <s v="UNICO"/>
    <n v="4300"/>
    <n v="4654.3099999999995"/>
    <n v="20.5"/>
    <n v="21.869999999999997"/>
    <n v="1551.4366666666665"/>
    <n v="97305.463256820396"/>
    <n v="11700"/>
    <n v="12254.21"/>
    <n v="26"/>
    <n v="29.36"/>
    <n v="4084.7366666666662"/>
    <n v="189489.48705722071"/>
    <n v="16908.519999999997"/>
    <n v="286794.95031404111"/>
    <n v="5636.1733333333323"/>
    <n v="2.8153424657534245"/>
    <n v="77.207853881278524"/>
    <n v="59.748947982091892"/>
    <n v="27006.350000000002"/>
    <n v="55.93607305936073"/>
    <n v="1.5972036582740541"/>
    <m/>
    <m/>
    <n v="354.30999999999949"/>
    <n v="554.20999999999913"/>
    <n v="1.3699999999999974"/>
    <n v="3.3599999999999994"/>
    <s v="GUSTAVO CARRASCO"/>
    <x v="103"/>
    <s v="GUSTAVO CARRASCO"/>
  </r>
  <r>
    <d v="2026-05-07T00:00:00"/>
    <n v="364"/>
    <n v="2026"/>
    <s v="AGUAJE 9"/>
    <x v="4"/>
    <s v="06"/>
    <x v="0"/>
    <n v="7.5"/>
    <x v="0"/>
    <n v="80"/>
    <d v="2026-02-16T00:00:00"/>
    <s v="PR PC 01"/>
    <n v="0.4"/>
    <n v="5"/>
    <n v="1500000"/>
    <n v="200000"/>
    <n v="20"/>
    <s v="GRILSAN"/>
    <s v="TEXCUMAR"/>
    <s v="UNICO"/>
    <n v="5000"/>
    <n v="5507.18"/>
    <n v="16"/>
    <n v="20.14"/>
    <n v="734.29066666666665"/>
    <n v="124143.9781529295"/>
    <n v="29900"/>
    <n v="32112.07"/>
    <n v="30"/>
    <n v="31.4"/>
    <n v="4281.6093333333329"/>
    <n v="464295.53439490445"/>
    <n v="37619.25"/>
    <n v="588439.51254783396"/>
    <n v="5015.8999999999996"/>
    <n v="2.7474999999999996"/>
    <n v="62.698749999999997"/>
    <n v="39.229300836522263"/>
    <n v="62886.215000000004"/>
    <n v="47.541666666666671"/>
    <n v="1.6716498866936476"/>
    <m/>
    <m/>
    <n v="507.18000000000029"/>
    <n v="2212.0699999999997"/>
    <n v="4.1400000000000006"/>
    <n v="1.3999999999999986"/>
    <s v="WILMER TORRES"/>
    <x v="118"/>
    <s v="WILMER TORRES"/>
  </r>
  <r>
    <d v="2026-05-08T00:00:00"/>
    <n v="365"/>
    <n v="2026"/>
    <s v="AGUAJE 9"/>
    <x v="4"/>
    <s v="07"/>
    <x v="2"/>
    <n v="7.72"/>
    <x v="1"/>
    <n v="77"/>
    <d v="2026-02-20T00:00:00"/>
    <s v="RO PC01 - CA PC 08"/>
    <n v="0.6"/>
    <n v="11"/>
    <n v="1312400"/>
    <n v="170000"/>
    <n v="17"/>
    <s v="PRONAUPLIO"/>
    <s v="SEMACUA"/>
    <s v="UNICO"/>
    <n v="12900"/>
    <n v="13929.470000000001"/>
    <n v="20.5"/>
    <n v="21.78"/>
    <n v="1804.3354922279796"/>
    <n v="295101.48109660909"/>
    <n v="37000"/>
    <n v="41797.57"/>
    <n v="30"/>
    <n v="31.5"/>
    <n v="5414.193005181347"/>
    <n v="602415.77079365088"/>
    <n v="55727.040000000001"/>
    <n v="897517.25189026003"/>
    <n v="7218.5284974093265"/>
    <n v="2.8636363636363638"/>
    <n v="93.74712334297827"/>
    <n v="68.387477285146304"/>
    <n v="73633.64"/>
    <n v="56.187335980082096"/>
    <n v="1.3213269536655814"/>
    <m/>
    <m/>
    <n v="1029.4700000000012"/>
    <n v="4797.57"/>
    <n v="1.2800000000000011"/>
    <n v="1.5"/>
    <s v="VICTOR QUINTANA"/>
    <x v="111"/>
    <s v="VICTOR QUINTANA"/>
  </r>
  <r>
    <d v="2026-05-08T00:00:00"/>
    <n v="366"/>
    <n v="2026"/>
    <s v="AGUAJE 9"/>
    <x v="4"/>
    <s v="05"/>
    <x v="13"/>
    <n v="4"/>
    <x v="0"/>
    <n v="74"/>
    <d v="2026-02-23T00:00:00"/>
    <s v="PA PS 9"/>
    <n v="0.6"/>
    <n v="15"/>
    <n v="690909"/>
    <n v="172727.25"/>
    <n v="17.272725000000001"/>
    <s v="LARDEMA"/>
    <s v="PRONAUPLIO"/>
    <s v="UNICO"/>
    <n v="7400"/>
    <n v="8147.57"/>
    <n v="18"/>
    <n v="20.91"/>
    <n v="2036.8924999999999"/>
    <n v="176888.302781643"/>
    <n v="19100"/>
    <n v="19696.78"/>
    <n v="28"/>
    <n v="28.45"/>
    <n v="4924.1949999999997"/>
    <n v="314317.68435852369"/>
    <n v="27844.35"/>
    <n v="491205.98714016669"/>
    <n v="6961.0874999999996"/>
    <n v="2.6912162162162163"/>
    <n v="94.068749999999994"/>
    <n v="71.095612756552114"/>
    <n v="37367.97"/>
    <n v="57.263513513513516"/>
    <n v="1.3420306094414127"/>
    <m/>
    <m/>
    <n v="747.56999999999971"/>
    <n v="596.77999999999884"/>
    <n v="2.91"/>
    <n v="0.44999999999999929"/>
    <s v="GUSTAVO CARRASCO"/>
    <x v="107"/>
    <s v="GUSTAVO CARRASCO"/>
  </r>
  <r>
    <d v="2026-05-11T00:00:00"/>
    <n v="367"/>
    <n v="2026"/>
    <s v="AGUAJE 9"/>
    <x v="4"/>
    <s v="17"/>
    <x v="7"/>
    <n v="5.01"/>
    <x v="1"/>
    <n v="59"/>
    <d v="2026-03-13T00:00:00"/>
    <s v="DO PS 15"/>
    <n v="2.5"/>
    <n v="7"/>
    <n v="1002000"/>
    <n v="200000"/>
    <n v="20"/>
    <s v="GENESIS"/>
    <s v="TEXCUMAR"/>
    <s v="UNICO"/>
    <n v="10800"/>
    <n v="10268.379999999999"/>
    <n v="19.25"/>
    <n v="21.84"/>
    <n v="2049.576846307385"/>
    <n v="212756.74561403506"/>
    <n v="18250"/>
    <n v="20504.330000000002"/>
    <n v="30"/>
    <n v="29.46"/>
    <n v="4092.6806387225556"/>
    <n v="315986.61982348945"/>
    <n v="30772.71"/>
    <n v="528743.36543752451"/>
    <n v="6142.2574850299407"/>
    <n v="3.4952542372881354"/>
    <n v="104.10605906830408"/>
    <n v="52.76879894586073"/>
    <n v="44312.46"/>
    <n v="67.999594032274445"/>
    <n v="1.4399921228907042"/>
    <m/>
    <m/>
    <n v="-531.6200000000008"/>
    <n v="2254.3300000000017"/>
    <n v="2.59"/>
    <n v="-0.53999999999999915"/>
    <s v="JOSE CEDEÑO"/>
    <x v="170"/>
    <s v="JOSE CEDEÑO"/>
  </r>
  <r>
    <d v="2026-05-11T00:00:00"/>
    <n v="368"/>
    <n v="2026"/>
    <s v="AGUAJE 9"/>
    <x v="4"/>
    <s v="08"/>
    <x v="1"/>
    <n v="6.2"/>
    <x v="1"/>
    <n v="78"/>
    <d v="2026-02-22T00:00:00"/>
    <s v="TI PC 31-32"/>
    <n v="0.9"/>
    <n v="7"/>
    <n v="1116000"/>
    <n v="180000"/>
    <n v="18"/>
    <s v="TECSERV"/>
    <s v="SEMACUA"/>
    <s v="UNICO"/>
    <n v="27200"/>
    <n v="27204.079999999998"/>
    <n v="26.333333333333332"/>
    <n v="27.599999999999998"/>
    <n v="4387.7548387096767"/>
    <n v="454059.75657543191"/>
    <n v="13700"/>
    <n v="15554.3"/>
    <n v="35"/>
    <n v="36.11"/>
    <n v="2508.7580645161288"/>
    <n v="195559.46275270006"/>
    <n v="42758.38"/>
    <n v="649619.21932813199"/>
    <n v="6896.5129032258055"/>
    <n v="3.2406410256410259"/>
    <n v="88.416832092638529"/>
    <n v="58.209607466678492"/>
    <n v="64815.240000000005"/>
    <n v="60.794044665012407"/>
    <n v="1.5158488230845044"/>
    <m/>
    <m/>
    <n v="4.0799999999981083"/>
    <n v="1854.2999999999993"/>
    <n v="1.2666666666666657"/>
    <n v="1.1099999999999994"/>
    <s v="ALFONSO GRUNAUER"/>
    <x v="138"/>
    <s v="ALFONSO GRUNAUER"/>
  </r>
  <r>
    <d v="2026-05-12T00:00:00"/>
    <n v="369"/>
    <n v="2026"/>
    <s v="AGUAJE 9"/>
    <x v="4"/>
    <s v="04"/>
    <x v="13"/>
    <n v="10"/>
    <x v="0"/>
    <n v="78"/>
    <d v="2026-02-23T00:00:00"/>
    <s v="PA PS 09"/>
    <n v="0.6"/>
    <n v="18"/>
    <n v="1718666"/>
    <n v="171866.6"/>
    <n v="17.18666"/>
    <s v="TEXCUMAR"/>
    <s v="PRONAUPLIO"/>
    <s v="UNICO"/>
    <n v="16650"/>
    <n v="16779.739999999998"/>
    <n v="18"/>
    <n v="19.71"/>
    <n v="1677.9739999999997"/>
    <n v="382564.40277116175"/>
    <n v="39800"/>
    <n v="42860.84"/>
    <n v="28"/>
    <n v="26.76"/>
    <n v="4286.0839999999998"/>
    <n v="727160.73841554555"/>
    <n v="59640.579999999994"/>
    <n v="1109725.1411867072"/>
    <n v="5964.0579999999991"/>
    <n v="2.4015384615384616"/>
    <n v="76.462282051282045"/>
    <n v="64.56898205856794"/>
    <n v="88349.345000000001"/>
    <n v="51.378205128205131"/>
    <n v="1.4813629411383995"/>
    <m/>
    <m/>
    <n v="129.73999999999796"/>
    <n v="3060.8399999999965"/>
    <n v="1.7100000000000009"/>
    <n v="-1.2399999999999984"/>
    <s v="GUSTAVO CARRASCO"/>
    <x v="100"/>
    <s v="GUSTAVO CARRASCO"/>
  </r>
  <r>
    <d v="2026-05-12T00:00:00"/>
    <n v="370"/>
    <n v="2026"/>
    <s v="AGUAJE 9"/>
    <x v="4"/>
    <s v="09"/>
    <x v="2"/>
    <n v="11.4"/>
    <x v="1"/>
    <n v="82"/>
    <d v="2026-02-19T00:00:00"/>
    <s v="CA PC 20"/>
    <n v="0.5"/>
    <n v="11"/>
    <n v="2166000"/>
    <n v="190000"/>
    <n v="19"/>
    <s v="GRILSAN"/>
    <s v="TEXCUMAR"/>
    <s v="UNICO"/>
    <n v="18300"/>
    <n v="20176.77"/>
    <n v="21"/>
    <n v="23.96"/>
    <n v="1769.8921052631579"/>
    <n v="385991.66071901715"/>
    <n v="36300"/>
    <n v="40056.29"/>
    <n v="30"/>
    <n v="35.06"/>
    <n v="3513.7096491228071"/>
    <n v="518698.10781517398"/>
    <n v="60233.06"/>
    <n v="904689.76853419119"/>
    <n v="5283.6017543859643"/>
    <n v="2.9929268292682929"/>
    <n v="64.434167736414196"/>
    <n v="41.76776401358223"/>
    <n v="110560.69"/>
    <n v="53.64783910997005"/>
    <n v="1.8355482852772216"/>
    <m/>
    <m/>
    <n v="1876.7700000000004"/>
    <n v="3756.2900000000009"/>
    <n v="2.9600000000000009"/>
    <n v="5.0600000000000023"/>
    <s v="VICTOR QUINTANA"/>
    <x v="110"/>
    <s v="VICTOR QUINTANA"/>
  </r>
  <r>
    <d v="2026-05-12T00:00:00"/>
    <n v="371"/>
    <n v="2026"/>
    <s v="AGUAJE 9"/>
    <x v="4"/>
    <s v="01"/>
    <x v="3"/>
    <n v="7.54"/>
    <x v="2"/>
    <n v="84"/>
    <d v="2026-02-17T00:00:00"/>
    <s v="CH PC 1"/>
    <n v="0.43"/>
    <n v="8"/>
    <n v="1357200"/>
    <n v="180000"/>
    <n v="18"/>
    <s v="LARVASLAB"/>
    <s v="TEXCUMAR"/>
    <s v="UNICO"/>
    <n v="13500"/>
    <n v="14321.58"/>
    <n v="20.25"/>
    <n v="20.75"/>
    <n v="1899.4137931034484"/>
    <n v="331706.7069030733"/>
    <n v="28500"/>
    <n v="30582.639999999999"/>
    <n v="26"/>
    <n v="25.42"/>
    <n v="4056.053050397878"/>
    <n v="546204.50668764755"/>
    <n v="44904.22"/>
    <n v="877911.2135907209"/>
    <n v="5955.4668435013264"/>
    <n v="2.1183333333333336"/>
    <n v="70.898414803587215"/>
    <n v="64.685471086849461"/>
    <n v="82948.074999999997"/>
    <n v="59.405393457117597"/>
    <n v="1.8472222655242647"/>
    <m/>
    <m/>
    <n v="821.57999999999993"/>
    <n v="2082.6399999999994"/>
    <n v="0.5"/>
    <n v="-0.57999999999999829"/>
    <s v="SANTIAGO OBRIEN"/>
    <x v="112"/>
    <s v="SANTIAGO OBRIEN"/>
  </r>
  <r>
    <d v="2026-05-12T00:00:00"/>
    <n v="372"/>
    <n v="2026"/>
    <s v="AGUAJE 9"/>
    <x v="4"/>
    <s v="14"/>
    <x v="5"/>
    <n v="1.4"/>
    <x v="0"/>
    <n v="74"/>
    <d v="2026-02-27T00:00:00"/>
    <s v="ME PC 12"/>
    <n v="0.57499999999999996"/>
    <n v="13"/>
    <n v="406000"/>
    <n v="290000"/>
    <n v="29"/>
    <s v="genesis /DEONES"/>
    <s v="TEXCUMAR"/>
    <s v="COMBINADO"/>
    <n v="3300"/>
    <n v="3296.65"/>
    <n v="23.5"/>
    <n v="24.310000000000002"/>
    <n v="2354.75"/>
    <n v="62927.066743359421"/>
    <n v="6200"/>
    <n v="6008.3"/>
    <n v="28.5"/>
    <n v="30.34"/>
    <n v="4291.6428571428578"/>
    <n v="89906.664469347408"/>
    <n v="9304.9500000000007"/>
    <n v="152833.73121270683"/>
    <n v="6646.3928571428578"/>
    <n v="2.87"/>
    <n v="89.816119691119695"/>
    <n v="37.643776160765228"/>
    <n v="13888.980000000001"/>
    <n v="60.810810810810814"/>
    <n v="1.4926442377444264"/>
    <m/>
    <m/>
    <n v="-3.3499999999999091"/>
    <n v="-191.69999999999982"/>
    <n v="0.81000000000000227"/>
    <n v="1.8399999999999999"/>
    <s v="NESTOR MOGOLLON"/>
    <x v="129"/>
    <s v="NESTOR MOGOLLON"/>
  </r>
  <r>
    <d v="2026-05-12T00:00:00"/>
    <n v="373"/>
    <n v="2026"/>
    <s v="AGUAJE 9"/>
    <x v="4"/>
    <s v="02"/>
    <x v="1"/>
    <n v="8.36"/>
    <x v="1"/>
    <n v="80"/>
    <d v="2026-02-21T00:00:00"/>
    <s v="TI 18"/>
    <n v="0.6"/>
    <n v="8"/>
    <n v="1504800"/>
    <n v="180000"/>
    <n v="18"/>
    <s v="TECSERV"/>
    <s v="SEMACUA"/>
    <s v="UNICO"/>
    <n v="31500"/>
    <n v="35950.39"/>
    <n v="20.833333333333332"/>
    <n v="21.5"/>
    <n v="4300.2858851674646"/>
    <n v="781871.75735813344"/>
    <n v="37500"/>
    <n v="41175.4"/>
    <n v="32"/>
    <n v="32.520000000000003"/>
    <n v="4925.287081339713"/>
    <n v="574834.92004920053"/>
    <n v="77125.790000000008"/>
    <n v="1356706.6774073341"/>
    <n v="9225.5729665071794"/>
    <n v="2.8455000000000004"/>
    <n v="115.31966208133974"/>
    <n v="90.158604293416673"/>
    <n v="102789.47500000001"/>
    <n v="69.714413875598083"/>
    <n v="1.3327510162294609"/>
    <m/>
    <m/>
    <n v="4450.3899999999994"/>
    <n v="3675.4000000000015"/>
    <n v="0.66666666666666785"/>
    <n v="0.52000000000000313"/>
    <s v="ALFONSO GRUNAUER"/>
    <x v="126"/>
    <s v="ALFONSO GRUNAUER"/>
  </r>
  <r>
    <d v="2026-05-13T00:00:00"/>
    <n v="374"/>
    <n v="2026"/>
    <s v="AGUAJE 10"/>
    <x v="4"/>
    <s v="11"/>
    <x v="7"/>
    <n v="13.43"/>
    <x v="1"/>
    <n v="84"/>
    <d v="2026-02-18T00:00:00"/>
    <s v="DO PC2"/>
    <n v="0.66"/>
    <n v="6"/>
    <n v="2425946"/>
    <n v="180636.33655994045"/>
    <n v="18.063633655994046"/>
    <s v="TECSERV"/>
    <s v="EMPAGRAN"/>
    <s v="UNICO"/>
    <n v="30700"/>
    <n v="30708"/>
    <n v="27"/>
    <n v="30.009999999999998"/>
    <n v="2286.5227103499628"/>
    <n v="464263.28984611941"/>
    <n v="31300"/>
    <n v="32494.25"/>
    <n v="30"/>
    <n v="34.76"/>
    <n v="2419.5271779597915"/>
    <n v="424407.06271576526"/>
    <n v="63202.25"/>
    <n v="888670.35256188468"/>
    <n v="4706.0498883097544"/>
    <n v="2.8966666666666665"/>
    <n v="56.024403432258978"/>
    <n v="36.631909884304299"/>
    <n v="141425.09"/>
    <n v="56.864517959082363"/>
    <n v="2.237659102326262"/>
    <m/>
    <m/>
    <n v="8"/>
    <n v="1194.25"/>
    <n v="3.009999999999998"/>
    <n v="4.759999999999998"/>
    <s v="JOSE CEDEÑO"/>
    <x v="121"/>
    <s v="JOSE CEDEÑO"/>
  </r>
  <r>
    <d v="2026-05-13T00:00:00"/>
    <n v="375"/>
    <n v="2026"/>
    <s v="AGUAJE 10"/>
    <x v="4"/>
    <s v="15"/>
    <x v="5"/>
    <n v="2.6"/>
    <x v="0"/>
    <n v="75"/>
    <d v="2026-02-27T00:00:00"/>
    <s v="ME PC 12"/>
    <n v="0.65"/>
    <n v="12"/>
    <n v="338000"/>
    <n v="130000"/>
    <n v="13"/>
    <s v="DEONES"/>
    <s v="TEXCUMAR"/>
    <s v="UNICO"/>
    <n v="5550"/>
    <n v="5426.1"/>
    <n v="24"/>
    <n v="27.92"/>
    <n v="2086.9615384615386"/>
    <n v="90737.937089155137"/>
    <n v="10000"/>
    <n v="10035.61"/>
    <n v="30.5"/>
    <n v="34.94"/>
    <n v="3859.85"/>
    <n v="130399.74069834003"/>
    <n v="15461.710000000001"/>
    <n v="221137.67778749517"/>
    <n v="5946.8115384615385"/>
    <n v="3.2610666666666668"/>
    <n v="79.290820512820517"/>
    <n v="65.425348457838808"/>
    <n v="22597.15"/>
    <n v="52.564102564102562"/>
    <n v="1.4614909993784646"/>
    <m/>
    <m/>
    <n v="-123.89999999999964"/>
    <n v="35.610000000000582"/>
    <n v="3.9200000000000017"/>
    <n v="4.4399999999999977"/>
    <s v="NESTOR MOGOLLON"/>
    <x v="135"/>
    <s v="NESTOR MOGOLLON"/>
  </r>
  <r>
    <d v="2026-05-13T00:00:00"/>
    <n v="376"/>
    <n v="2026"/>
    <s v="AGUAJE 10"/>
    <x v="4"/>
    <s v="18"/>
    <x v="5"/>
    <n v="3.05"/>
    <x v="0"/>
    <n v="75"/>
    <d v="2026-02-27T00:00:00"/>
    <s v="ME PC 12"/>
    <n v="0.65"/>
    <n v="12"/>
    <n v="457500"/>
    <n v="150000"/>
    <n v="15"/>
    <s v="DEONES"/>
    <s v="TEXCUMAR"/>
    <s v="UNICO"/>
    <n v="7750"/>
    <n v="7958.5300000000007"/>
    <n v="25"/>
    <n v="29.96"/>
    <n v="2609.3540983606563"/>
    <n v="124722.32442360024"/>
    <n v="10200"/>
    <n v="9933.77"/>
    <n v="30.8"/>
    <n v="35.799999999999997"/>
    <n v="3256.9737704918034"/>
    <n v="125975.74245810058"/>
    <n v="17892.300000000003"/>
    <n v="250698.06688170083"/>
    <n v="5866.3278688524606"/>
    <n v="3.3413333333333335"/>
    <n v="78.217704918032808"/>
    <n v="54.797391668131326"/>
    <n v="29321.18"/>
    <n v="58.142076502732245"/>
    <n v="1.6387596899224803"/>
    <m/>
    <m/>
    <n v="208.53000000000065"/>
    <n v="-266.22999999999956"/>
    <n v="4.9600000000000009"/>
    <n v="4.9999999999999964"/>
    <s v="NESTOR MOGOLLON"/>
    <x v="136"/>
    <s v="NESTOR MOGOLLON"/>
  </r>
  <r>
    <d v="2026-05-13T00:00:00"/>
    <n v="377"/>
    <n v="2026"/>
    <s v="AGUAJE 10"/>
    <x v="4"/>
    <s v="19"/>
    <x v="8"/>
    <n v="5.5"/>
    <x v="1"/>
    <n v="65"/>
    <d v="2026-03-09T00:00:00"/>
    <s v="PA 7"/>
    <n v="1.4"/>
    <n v="6"/>
    <n v="892000"/>
    <n v="162181.81818181818"/>
    <n v="16.218181818181819"/>
    <s v="DEONES"/>
    <s v="TEXCUMAR"/>
    <s v="UNICO"/>
    <n v="6500"/>
    <n v="7213.3200000000006"/>
    <n v="19.5"/>
    <n v="22.96"/>
    <n v="1311.5127272727275"/>
    <n v="152286.62338549431"/>
    <n v="11800"/>
    <n v="13189.75"/>
    <n v="29.5"/>
    <n v="33.72"/>
    <n v="2398.1363636363635"/>
    <n v="177584.41577698695"/>
    <n v="20403.07"/>
    <n v="329871.03916248126"/>
    <n v="3709.6490909090908"/>
    <n v="3.631384615384615"/>
    <n v="57.071524475524477"/>
    <n v="36.981058202071893"/>
    <n v="35108.255000000005"/>
    <n v="44.545454545454554"/>
    <n v="1.720733938569049"/>
    <m/>
    <m/>
    <n v="713.32000000000062"/>
    <n v="1389.75"/>
    <n v="3.4600000000000009"/>
    <n v="4.2199999999999989"/>
    <s v="GUSTAVO CARRASCO"/>
    <x v="162"/>
    <s v="GUSTAVO CARRASCO"/>
  </r>
  <r>
    <d v="2026-05-13T00:00:00"/>
    <n v="378"/>
    <n v="2026"/>
    <s v="AGUAJE 10"/>
    <x v="4"/>
    <s v="09"/>
    <x v="1"/>
    <n v="6.7"/>
    <x v="1"/>
    <n v="82"/>
    <d v="2026-02-20T00:00:00"/>
    <s v="TI PC 30"/>
    <n v="0.55000000000000004"/>
    <n v="6"/>
    <n v="1273000"/>
    <n v="190000"/>
    <n v="19"/>
    <s v="LARDEMA"/>
    <s v="PRONAUPLIO"/>
    <s v="UNICO"/>
    <n v="16400"/>
    <n v="17743.32"/>
    <n v="19.55"/>
    <n v="20.34"/>
    <n v="2648.2567164179104"/>
    <n v="393708.14707434684"/>
    <n v="36550"/>
    <n v="40755.9"/>
    <n v="33"/>
    <n v="33.54"/>
    <n v="6082.9701492537315"/>
    <n v="551674.97316636855"/>
    <n v="58499.22"/>
    <n v="945383.12024071533"/>
    <n v="8731.2268656716424"/>
    <n v="2.8631707317073172"/>
    <n v="106.47837641062978"/>
    <n v="74.264188549938353"/>
    <n v="82066.235000000001"/>
    <n v="67.755733527484537"/>
    <n v="1.4028603287360071"/>
    <m/>
    <m/>
    <n v="1343.3199999999997"/>
    <n v="4205.9000000000015"/>
    <n v="0.78999999999999915"/>
    <n v="0.53999999999999915"/>
    <s v="ALFONSO GRUNAUER"/>
    <x v="133"/>
    <s v="ALFONSO GRUNAUER"/>
  </r>
  <r>
    <d v="2026-05-13T00:00:00"/>
    <n v="379"/>
    <n v="2026"/>
    <s v="AGUAJE 10"/>
    <x v="4"/>
    <s v="10"/>
    <x v="6"/>
    <n v="2"/>
    <x v="0"/>
    <n v="88"/>
    <d v="2026-02-14T00:00:00"/>
    <s v="WA PC 05"/>
    <n v="0.77"/>
    <s v="NUEVO"/>
    <n v="420000"/>
    <n v="210000"/>
    <n v="21"/>
    <s v="BIOLACAM"/>
    <s v="TEXCUMAR"/>
    <s v="UNICO"/>
    <n v="3200"/>
    <n v="3498.4"/>
    <n v="21"/>
    <n v="22.7"/>
    <n v="1749.2"/>
    <n v="69968"/>
    <n v="10200"/>
    <n v="10958.17"/>
    <n v="31"/>
    <n v="31.18"/>
    <n v="5479.085"/>
    <n v="159557.70301475303"/>
    <n v="14456.57"/>
    <n v="229525.70301475303"/>
    <n v="7228.2849999999999"/>
    <n v="2.4802272727272729"/>
    <n v="82.139602272727274"/>
    <n v="54.648976908274527"/>
    <n v="23337.8956"/>
    <n v="60.147727272727273"/>
    <n v="1.6143452838398042"/>
    <m/>
    <m/>
    <n v="298.40000000000009"/>
    <n v="758.17000000000007"/>
    <n v="1.6999999999999993"/>
    <n v="0.17999999999999972"/>
    <s v="JUNIOR ESQUIVEL"/>
    <x v="253"/>
    <s v="JUNIOR ESQUIVEL"/>
  </r>
  <r>
    <d v="2026-05-14T00:00:00"/>
    <n v="380"/>
    <n v="2026"/>
    <s v="AGUAJE 10"/>
    <x v="4"/>
    <s v="25"/>
    <x v="3"/>
    <n v="2.2000000000000002"/>
    <x v="2"/>
    <n v="73"/>
    <d v="2026-03-02T00:00:00"/>
    <s v="CH 7"/>
    <n v="0.62"/>
    <n v="7"/>
    <n v="396000"/>
    <n v="180000"/>
    <n v="18"/>
    <s v="ACUATECSA"/>
    <s v="TEXCUMAR"/>
    <s v="UNICO"/>
    <n v="6200"/>
    <n v="6630.16"/>
    <n v="20.25"/>
    <n v="21.299999999999997"/>
    <n v="3013.7090909090907"/>
    <n v="141209.81695544557"/>
    <n v="8500"/>
    <n v="9269.6299999999992"/>
    <n v="33"/>
    <n v="34.840000000000003"/>
    <n v="4213.4681818181807"/>
    <n v="120792.53788748563"/>
    <n v="15899.789999999999"/>
    <n v="262002.35484293121"/>
    <n v="7227.1772727272719"/>
    <n v="3.3408219178082192"/>
    <n v="99.002428393524269"/>
    <n v="66.16221081892202"/>
    <n v="22431.8"/>
    <n v="63.35615026161193"/>
    <n v="1.4108236649666444"/>
    <m/>
    <m/>
    <n v="430.15999999999985"/>
    <n v="769.6299999999992"/>
    <n v="1.0499999999999972"/>
    <n v="1.8400000000000034"/>
    <s v="SANTIAGO OBRIEN"/>
    <x v="150"/>
    <s v="SANTIAGO OBRIEN"/>
  </r>
  <r>
    <d v="2026-05-14T00:00:00"/>
    <n v="381"/>
    <n v="2026"/>
    <s v="AGUAJE 10"/>
    <x v="4"/>
    <s v="03"/>
    <x v="8"/>
    <n v="8.4"/>
    <x v="1"/>
    <n v="79"/>
    <d v="2026-02-24T00:00:00"/>
    <s v="MA PC 3"/>
    <n v="0.4"/>
    <n v="6"/>
    <n v="1386000"/>
    <n v="165000"/>
    <n v="16.5"/>
    <s v="DEONES"/>
    <s v="TEXCUMAR"/>
    <s v="UNICO"/>
    <n v="23300"/>
    <n v="24600.690000000002"/>
    <n v="20.666666666666668"/>
    <n v="22.62"/>
    <n v="2928.6535714285715"/>
    <n v="493779.37582343724"/>
    <n v="23150"/>
    <n v="23705.05"/>
    <n v="28"/>
    <n v="32.04"/>
    <n v="2822.0297619047615"/>
    <n v="335895.52746566792"/>
    <n v="48305.740000000005"/>
    <n v="829674.90328910516"/>
    <n v="5750.6833333333334"/>
    <n v="2.8389873417721518"/>
    <n v="72.79345991561182"/>
    <n v="59.861104133413065"/>
    <n v="72751.8"/>
    <n v="49.728752260397826"/>
    <n v="1.5060694650366602"/>
    <m/>
    <m/>
    <n v="1300.6900000000023"/>
    <n v="555.04999999999927"/>
    <n v="1.9533333333333331"/>
    <n v="4.0399999999999991"/>
    <s v="GUSTAVO CARRASCO"/>
    <x v="145"/>
    <s v="GUSTAVO CARRASCO"/>
  </r>
  <r>
    <d v="2026-05-14T00:00:00"/>
    <n v="382"/>
    <n v="2026"/>
    <s v="AGUAJE 10"/>
    <x v="4"/>
    <s v="26"/>
    <x v="11"/>
    <n v="4"/>
    <x v="1"/>
    <n v="78"/>
    <d v="2026-02-25T00:00:00"/>
    <s v="TA PC 5"/>
    <n v="0.5"/>
    <n v="11"/>
    <n v="640000"/>
    <n v="160000"/>
    <n v="16"/>
    <s v="EMPAGRAM"/>
    <s v="EMPAGRAM"/>
    <s v="UNICO"/>
    <n v="11400"/>
    <n v="11666.25"/>
    <n v="22.15"/>
    <n v="23.65"/>
    <n v="2916.5625"/>
    <n v="238095.2529210778"/>
    <n v="15450"/>
    <n v="16533.61"/>
    <n v="31"/>
    <n v="33.74"/>
    <n v="4133.4025000000001"/>
    <n v="222473.59039715471"/>
    <n v="28199.86"/>
    <n v="460568.84331823251"/>
    <n v="7049.9650000000001"/>
    <n v="3.0279487179487181"/>
    <n v="90.384166666666673"/>
    <n v="71.963881768473826"/>
    <n v="41556.71"/>
    <n v="60.416666666666664"/>
    <n v="1.4736495145720581"/>
    <m/>
    <m/>
    <n v="266.25"/>
    <n v="1083.6100000000006"/>
    <n v="1.5"/>
    <n v="2.740000000000002"/>
    <s v="ALFONSO GRUNAUER"/>
    <x v="131"/>
    <s v="ALFONSO GRUNAUER"/>
  </r>
  <r>
    <d v="2026-05-14T00:00:00"/>
    <n v="383"/>
    <n v="2026"/>
    <s v="AGUAJE 10"/>
    <x v="4"/>
    <s v="7A"/>
    <x v="11"/>
    <n v="12.5"/>
    <x v="1"/>
    <n v="78"/>
    <d v="2026-02-25T00:00:00"/>
    <s v="TA PC 5"/>
    <n v="0.5"/>
    <n v="9"/>
    <n v="2125000"/>
    <n v="170000"/>
    <n v="17"/>
    <s v="EMPAGRAN"/>
    <s v="EMPAGRAN"/>
    <s v="UNICO"/>
    <n v="31000"/>
    <n v="33173.94"/>
    <n v="19.5"/>
    <n v="21.594999999999999"/>
    <n v="2653.9152000000004"/>
    <n v="717450.9137675995"/>
    <n v="56900"/>
    <n v="64012.72"/>
    <n v="30"/>
    <n v="31.59"/>
    <n v="5121.0176000000001"/>
    <n v="919967.54922443803"/>
    <n v="97186.66"/>
    <n v="1637418.4629920376"/>
    <n v="7774.9328000000005"/>
    <n v="2.835"/>
    <n v="99.678625641025647"/>
    <n v="77.054986493742945"/>
    <n v="132738.97"/>
    <n v="61.753848014757018"/>
    <n v="1.3658147116075394"/>
    <m/>
    <m/>
    <n v="2173.9400000000023"/>
    <n v="7112.7200000000012"/>
    <n v="2.0949999999999989"/>
    <n v="1.5899999999999999"/>
    <s v="ALFONSO GRUNAUER"/>
    <x v="140"/>
    <s v="ALFONSO GRUNAUER"/>
  </r>
  <r>
    <d v="2026-05-14T00:00:00"/>
    <n v="384"/>
    <n v="2026"/>
    <s v="AGUAJE 10"/>
    <x v="4"/>
    <s v="21"/>
    <x v="6"/>
    <n v="4.5"/>
    <x v="0"/>
    <n v="71"/>
    <d v="2026-03-04T00:00:00"/>
    <s v="WA 22"/>
    <n v="3.15"/>
    <n v="37"/>
    <n v="675000"/>
    <n v="150000"/>
    <n v="15"/>
    <s v="TECSERV"/>
    <s v="EMPAGRAM"/>
    <s v="UNICO"/>
    <n v="5600"/>
    <n v="6213.7"/>
    <n v="23"/>
    <n v="22.86"/>
    <n v="1380.8222222222221"/>
    <n v="123404.19072615923"/>
    <n v="11500"/>
    <n v="11382.49"/>
    <n v="31"/>
    <n v="31.56"/>
    <n v="2529.442222222222"/>
    <n v="163740.50887198988"/>
    <n v="17596.189999999999"/>
    <n v="287144.69959814911"/>
    <n v="3910.2644444444441"/>
    <n v="3.111549295774648"/>
    <n v="55.074147104851328"/>
    <n v="42.539955496022088"/>
    <n v="34428"/>
    <n v="48.877741333847837"/>
    <n v="1.9565599143905585"/>
    <m/>
    <m/>
    <n v="613.69999999999982"/>
    <n v="-117.51000000000022"/>
    <n v="-0.14000000000000057"/>
    <n v="0.55999999999999872"/>
    <s v="JUNIOR ESQUIVEL"/>
    <x v="160"/>
    <s v="JUNIOR ESQUIVEL"/>
  </r>
  <r>
    <d v="2026-05-14T00:00:00"/>
    <n v="385"/>
    <n v="2026"/>
    <s v="AGUAJE 10"/>
    <x v="4"/>
    <s v="37"/>
    <x v="6"/>
    <n v="12"/>
    <x v="0"/>
    <n v="94"/>
    <d v="2026-02-09T00:00:00"/>
    <s v="WA PC 17"/>
    <n v="0.67"/>
    <n v="22"/>
    <n v="2172000"/>
    <n v="181000"/>
    <n v="18.100000000000001"/>
    <s v="EMPAGRAN"/>
    <s v="EMPAGRAN"/>
    <s v="UNICO"/>
    <n v="27850"/>
    <n v="29350.39"/>
    <n v="24.5"/>
    <n v="23.424999999999997"/>
    <n v="2445.8658333333333"/>
    <n v="569554.62422607187"/>
    <n v="24000"/>
    <n v="28820.17"/>
    <n v="30"/>
    <n v="29.12"/>
    <n v="2401.6808333333333"/>
    <n v="449325.45260989008"/>
    <n v="58170.559999999998"/>
    <n v="1018880.076835962"/>
    <n v="4847.5466666666662"/>
    <n v="2.1685106382978723"/>
    <n v="51.569645390070917"/>
    <n v="46.909764126885911"/>
    <n v="110459.28"/>
    <n v="44.418440359712086"/>
    <n v="1.8988863095008885"/>
    <m/>
    <m/>
    <n v="1500.3899999999994"/>
    <n v="4820.1699999999983"/>
    <n v="-1.0750000000000028"/>
    <n v="-0.87999999999999901"/>
    <s v="JUNIOR ESQUIVEL"/>
    <x v="57"/>
    <s v="JUNIOR ESQUIVEL"/>
  </r>
  <r>
    <d v="2026-05-15T00:00:00"/>
    <n v="386"/>
    <n v="2026"/>
    <s v="AGUAJE 10"/>
    <x v="4"/>
    <s v="09"/>
    <x v="8"/>
    <n v="4.07"/>
    <x v="1"/>
    <n v="71"/>
    <d v="2026-03-05T00:00:00"/>
    <s v="PA 21"/>
    <n v="4.7"/>
    <s v="NUEVO"/>
    <n v="488468"/>
    <n v="120016.7076167076"/>
    <n v="12.001670761670761"/>
    <s v="TECSERV"/>
    <s v="SEMACUA"/>
    <s v="UNICO"/>
    <n v="5300"/>
    <n v="5577.53"/>
    <n v="31"/>
    <n v="32.28"/>
    <n v="1370.4004914004913"/>
    <n v="78444.814745972733"/>
    <n v="14500"/>
    <n v="15345.5"/>
    <n v="37"/>
    <n v="38.49"/>
    <n v="3770.3931203931202"/>
    <n v="181004.3387892959"/>
    <n v="20923.03"/>
    <n v="259449.15353526862"/>
    <n v="5140.7936117936115"/>
    <n v="3.7947887323943665"/>
    <n v="72.405543828079033"/>
    <n v="53.114872117573441"/>
    <n v="29706.98"/>
    <n v="46.631130331919842"/>
    <n v="1.4198220812186382"/>
    <m/>
    <m/>
    <n v="277.52999999999975"/>
    <n v="845.5"/>
    <n v="1.2800000000000011"/>
    <n v="1.490000000000002"/>
    <s v="GUSTAVO CARRASCO"/>
    <x v="69"/>
    <s v="GUSTAVO CARRASCO"/>
  </r>
  <r>
    <d v="2026-05-15T00:00:00"/>
    <n v="387"/>
    <n v="2026"/>
    <s v="AGUAJE 10"/>
    <x v="4"/>
    <s v="16"/>
    <x v="11"/>
    <n v="11"/>
    <x v="1"/>
    <n v="75"/>
    <d v="2026-03-01T00:00:00"/>
    <s v="TA PC 14"/>
    <n v="0.65"/>
    <n v="6"/>
    <n v="1760000"/>
    <n v="160000"/>
    <n v="16"/>
    <s v="ACUATECSA"/>
    <s v="TEXCUMAR"/>
    <s v="UNICO"/>
    <n v="22750"/>
    <n v="24101.17"/>
    <n v="19.5"/>
    <n v="20.43"/>
    <n v="2191.0154545454543"/>
    <n v="534357.19898560783"/>
    <n v="43000"/>
    <n v="46549.73"/>
    <n v="33"/>
    <n v="35.020000000000003"/>
    <n v="4231.7936363636363"/>
    <n v="603471.65676756133"/>
    <n v="70650.899999999994"/>
    <n v="1137828.8557531692"/>
    <n v="6422.8090909090906"/>
    <n v="3.268533333333334"/>
    <n v="85.637454545454545"/>
    <n v="64.649366804157339"/>
    <n v="104795.66"/>
    <n v="57.618181268367252"/>
    <n v="1.4832883940615054"/>
    <m/>
    <m/>
    <n v="1351.1699999999983"/>
    <n v="3549.7300000000032"/>
    <n v="0.92999999999999972"/>
    <n v="2.0200000000000031"/>
    <s v="ALFONSO GRUNAUER"/>
    <x v="151"/>
    <s v="ALFONSO GRUNAUER"/>
  </r>
  <r>
    <d v="2026-05-16T00:00:00"/>
    <n v="388"/>
    <n v="2026"/>
    <s v="AGUAJE 10"/>
    <x v="4"/>
    <s v="01"/>
    <x v="13"/>
    <n v="5"/>
    <x v="0"/>
    <n v="79"/>
    <d v="2026-02-26T00:00:00"/>
    <s v="PA 07"/>
    <n v="0.5"/>
    <n v="12"/>
    <n v="775000"/>
    <n v="155000"/>
    <n v="15.5"/>
    <s v="DEONES"/>
    <s v="TEXCUMAR"/>
    <s v="UNICO"/>
    <n v="9450"/>
    <n v="9833.7000000000007"/>
    <n v="19.5"/>
    <n v="20.97"/>
    <n v="1966.7400000000002"/>
    <n v="211605.70074074075"/>
    <n v="19500"/>
    <n v="21770.35"/>
    <n v="35"/>
    <n v="35.08"/>
    <n v="4354.07"/>
    <n v="281748.54332953249"/>
    <n v="31604.05"/>
    <n v="493354.24407027324"/>
    <n v="6320.8099999999995"/>
    <n v="3.1083544303797463"/>
    <n v="80.010253164556957"/>
    <n v="63.65861213809977"/>
    <n v="43926.65"/>
    <n v="50.443032232949058"/>
    <n v="1.3899057241081445"/>
    <m/>
    <m/>
    <n v="383.70000000000073"/>
    <n v="2270.3499999999985"/>
    <n v="1.4699999999999989"/>
    <n v="7.9999999999998295E-2"/>
    <s v="GUSTAVO CARRASCO"/>
    <x v="127"/>
    <s v="GUSTAVO CARRASCO"/>
  </r>
  <r>
    <d v="2026-05-16T00:00:00"/>
    <n v="389"/>
    <n v="2026"/>
    <s v="AGUAJE 10"/>
    <x v="4"/>
    <s v="13"/>
    <x v="3"/>
    <n v="6.3"/>
    <x v="2"/>
    <n v="86"/>
    <d v="2026-02-19T00:00:00"/>
    <s v="CH PC 6"/>
    <n v="0.35"/>
    <n v="7"/>
    <n v="1134000"/>
    <n v="180000"/>
    <n v="18"/>
    <s v="TECSERV"/>
    <s v="SEMACUA"/>
    <s v="UNICO"/>
    <n v="15300"/>
    <n v="16252.68"/>
    <n v="24.166666666666668"/>
    <n v="26.973333333333333"/>
    <n v="2579.7904761904765"/>
    <n v="312606.23582636309"/>
    <n v="30000"/>
    <n v="32025.4"/>
    <n v="32"/>
    <n v="33.049999999999997"/>
    <n v="5083.396825396826"/>
    <n v="439925.31316187605"/>
    <n v="48278.080000000002"/>
    <n v="752531.54898823914"/>
    <n v="7663.1873015873025"/>
    <n v="2.690116279069767"/>
    <n v="89.106829088224444"/>
    <n v="66.36080678908634"/>
    <n v="74129.679999999993"/>
    <n v="62.061650549990993"/>
    <n v="1.5354728274198144"/>
    <m/>
    <m/>
    <n v="952.68000000000029"/>
    <n v="2025.4000000000015"/>
    <n v="2.8066666666666649"/>
    <n v="1.0499999999999972"/>
    <s v="SANTIAGO OBRIEN"/>
    <x v="120"/>
    <s v="SANTIAGO OBRIEN"/>
  </r>
  <r>
    <d v="2026-05-16T00:00:00"/>
    <n v="390"/>
    <n v="2026"/>
    <s v="AGUAJE 10"/>
    <x v="4"/>
    <s v="10"/>
    <x v="9"/>
    <n v="3.57"/>
    <x v="1"/>
    <n v="71"/>
    <d v="2026-03-06T00:00:00"/>
    <s v="CA 1B"/>
    <n v="0.51"/>
    <n v="7"/>
    <n v="600000"/>
    <n v="168067.22689075631"/>
    <n v="16.806722689075631"/>
    <s v="EMPAGRAN"/>
    <s v="EMPAGRAN"/>
    <s v="UNICO"/>
    <n v="4600"/>
    <n v="5268.55"/>
    <n v="18"/>
    <n v="19.299999999999997"/>
    <n v="1475.7843137254904"/>
    <n v="126941.88270761195"/>
    <n v="15450"/>
    <n v="15698.79"/>
    <n v="32"/>
    <n v="34.32"/>
    <n v="4397.4201680672277"/>
    <n v="207670.47377622378"/>
    <n v="20967.34"/>
    <n v="334612.35648383573"/>
    <n v="5873.2044817927172"/>
    <n v="3.3836619718309859"/>
    <n v="82.721189884404467"/>
    <n v="55.768726080639283"/>
    <n v="33091.050000000003"/>
    <n v="59.218060576747149"/>
    <n v="1.5782187917017612"/>
    <m/>
    <m/>
    <n v="668.55000000000018"/>
    <n v="248.79000000000087"/>
    <n v="1.2999999999999972"/>
    <n v="2.3200000000000003"/>
    <s v="VICTOR QUINTANA"/>
    <x v="159"/>
    <s v="VICTOR QUINTANA"/>
  </r>
  <r>
    <d v="2026-05-16T00:00:00"/>
    <n v="391"/>
    <n v="2026"/>
    <s v="AGUAJE 10"/>
    <x v="4"/>
    <s v="28"/>
    <x v="6"/>
    <n v="7"/>
    <x v="0"/>
    <n v="80"/>
    <d v="2026-02-25T00:00:00"/>
    <s v="WA PS 23 - WA PC 11"/>
    <n v="0.72"/>
    <s v="NUEVO"/>
    <n v="1120000"/>
    <n v="160000"/>
    <n v="16"/>
    <s v="MEGALATINA/LARVASLAB"/>
    <s v="TEXCUMAR"/>
    <s v="COMBINADO"/>
    <n v="9600"/>
    <n v="10673.49"/>
    <n v="20"/>
    <n v="20.9"/>
    <n v="1524.7842857142857"/>
    <n v="231854.75885167465"/>
    <n v="20650"/>
    <n v="22366.46"/>
    <n v="28"/>
    <n v="29.58"/>
    <n v="3195.2085714285713"/>
    <n v="343285.08586883033"/>
    <n v="33039.949999999997"/>
    <n v="575139.84472050495"/>
    <n v="4719.9928571428563"/>
    <n v="2.5882499999999999"/>
    <n v="58.999910714285704"/>
    <n v="51.351771850045083"/>
    <n v="53299"/>
    <n v="43.171906792291438"/>
    <n v="1.6131683007994868"/>
    <m/>
    <m/>
    <n v="1073.4899999999998"/>
    <n v="1716.4599999999991"/>
    <n v="0.89999999999999858"/>
    <n v="1.5799999999999983"/>
    <s v="JUNIOR ESQUIVEL"/>
    <x v="254"/>
    <s v="JUNIOR ESQUIVEL"/>
  </r>
  <r>
    <d v="2026-05-17T00:00:00"/>
    <n v="392"/>
    <n v="2026"/>
    <s v="AGUAJE 10"/>
    <x v="4"/>
    <s v="11"/>
    <x v="14"/>
    <n v="3.4"/>
    <x v="1"/>
    <n v="84"/>
    <d v="2026-02-22T00:00:00"/>
    <s v="MA 12"/>
    <n v="0.8"/>
    <n v="9"/>
    <n v="544000"/>
    <n v="160000"/>
    <n v="16"/>
    <s v="PRONAUPLIO"/>
    <s v="SEMACUA"/>
    <s v="UNICO"/>
    <n v="7650"/>
    <n v="7741.76"/>
    <n v="19"/>
    <n v="19.93"/>
    <n v="2276.9882352941177"/>
    <n v="177013.62546142685"/>
    <n v="20200"/>
    <n v="20200"/>
    <n v="28"/>
    <n v="28"/>
    <n v="5941.1764705882351"/>
    <n v="327528.57142857142"/>
    <n v="27941.760000000002"/>
    <n v="504542.19688999827"/>
    <n v="8218.1647058823546"/>
    <n v="2.3333333333333335"/>
    <n v="97.835294117647081"/>
    <n v="92.746727369484987"/>
    <n v="34937"/>
    <n v="55.487812470538422"/>
    <n v="1.2503507295173961"/>
    <m/>
    <m/>
    <n v="91.760000000000218"/>
    <n v="0"/>
    <n v="0.92999999999999972"/>
    <n v="0"/>
    <s v="GUSTAVO CARRASCO"/>
    <x v="123"/>
    <s v="GUSTAVO CARRASCO"/>
  </r>
  <r>
    <d v="2026-05-17T00:00:00"/>
    <n v="393"/>
    <n v="2026"/>
    <s v="AGUAJE 10"/>
    <x v="4"/>
    <s v="12"/>
    <x v="3"/>
    <n v="6.08"/>
    <x v="2"/>
    <n v="75"/>
    <d v="2026-03-03T00:00:00"/>
    <s v="CH PC 5"/>
    <n v="0.84"/>
    <n v="8"/>
    <n v="1033600"/>
    <n v="170000"/>
    <n v="17"/>
    <s v="TECSERV"/>
    <s v="SEMACUA"/>
    <s v="UNICO"/>
    <n v="6100"/>
    <n v="6149.75"/>
    <n v="19"/>
    <n v="19.38"/>
    <n v="1011.4720394736842"/>
    <n v="144065.35087719298"/>
    <n v="28700"/>
    <n v="28700"/>
    <n v="30"/>
    <n v="30"/>
    <n v="4720.394736842105"/>
    <n v="434326.66666666669"/>
    <n v="34849.75"/>
    <n v="578392.01754385966"/>
    <n v="5731.8667763157891"/>
    <n v="2.8000000000000003"/>
    <n v="76.424890350877192"/>
    <n v="55.958980025528213"/>
    <n v="55666.15"/>
    <n v="55.372807017543856"/>
    <n v="1.5973184886548684"/>
    <m/>
    <m/>
    <n v="49.75"/>
    <n v="0"/>
    <n v="0.37999999999999901"/>
    <n v="0"/>
    <s v="SANTIAGO OBRIEN"/>
    <x v="153"/>
    <s v="SANTIAGO OBRIEN"/>
  </r>
  <r>
    <d v="2026-05-19T00:00:00"/>
    <n v="394"/>
    <n v="2026"/>
    <s v="AGUAJE 10"/>
    <x v="4"/>
    <s v="16"/>
    <x v="2"/>
    <n v="8"/>
    <x v="1"/>
    <n v="77"/>
    <d v="2026-03-03T00:00:00"/>
    <s v="CA PC 15"/>
    <n v="0.25"/>
    <n v="11"/>
    <n v="1360000"/>
    <n v="170000"/>
    <n v="17"/>
    <s v="GENESIS"/>
    <s v="TEXCUMAR"/>
    <s v="UNICO"/>
    <n v="11500"/>
    <n v="11995.05"/>
    <n v="23"/>
    <n v="23.786666666666665"/>
    <n v="1499.3812499999999"/>
    <n v="275885.30751573568"/>
    <n v="26600"/>
    <n v="26600"/>
    <n v="32"/>
    <n v="32"/>
    <n v="3325"/>
    <n v="377387.5"/>
    <n v="38595.050000000003"/>
    <n v="653272.80751573574"/>
    <n v="4824.3812500000004"/>
    <n v="2.9090909090909092"/>
    <n v="62.654301948051952"/>
    <n v="48.034765258509978"/>
    <n v="63905.84"/>
    <n v="47.057628029232845"/>
    <n v="1.6558040474102247"/>
    <m/>
    <m/>
    <n v="495.04999999999927"/>
    <n v="0"/>
    <n v="0.78666666666666529"/>
    <n v="0"/>
    <s v="VICTOR QUINTANA"/>
    <x v="146"/>
    <s v="VICTOR QUINTANA"/>
  </r>
  <r>
    <d v="2026-05-19T00:00:00"/>
    <n v="395"/>
    <n v="2026"/>
    <s v="AGUAJE 10"/>
    <x v="4"/>
    <s v="02"/>
    <x v="7"/>
    <n v="4.72"/>
    <x v="1"/>
    <n v="93"/>
    <d v="2026-02-15T00:00:00"/>
    <s v="DO PS 2"/>
    <n v="3.32"/>
    <s v="NUEVO"/>
    <n v="850000"/>
    <n v="180084.74576271189"/>
    <n v="18.008474576271187"/>
    <s v="TECSERV"/>
    <s v="SEMACUA"/>
    <s v="UNICO"/>
    <n v="17000"/>
    <n v="20159.91"/>
    <n v="20.5"/>
    <n v="21.734999999999999"/>
    <n v="4271.1673728813557"/>
    <n v="445782.63968531473"/>
    <n v="17900"/>
    <n v="17900"/>
    <n v="38"/>
    <n v="38"/>
    <n v="3792.3728813559323"/>
    <n v="213857.89473684211"/>
    <n v="38059.910000000003"/>
    <n v="659640.53442215687"/>
    <n v="8063.5402542372894"/>
    <n v="2.8602150537634405"/>
    <n v="86.704733916529989"/>
    <n v="77.604768755547866"/>
    <n v="59083.28"/>
    <n v="61.053398942956072"/>
    <n v="1.5523757150240238"/>
    <m/>
    <m/>
    <n v="3159.91"/>
    <n v="0"/>
    <n v="1.2349999999999994"/>
    <n v="0"/>
    <s v="JOSE CEDEÑO"/>
    <x v="255"/>
    <s v="JOSE CEDEÑO"/>
  </r>
  <r>
    <d v="2026-05-19T00:00:00"/>
    <n v="396"/>
    <n v="2026"/>
    <s v="AGUAJE 10"/>
    <x v="4"/>
    <s v="21"/>
    <x v="7"/>
    <n v="7.78"/>
    <x v="1"/>
    <n v="91"/>
    <d v="2026-02-17T00:00:00"/>
    <s v="DO PC 05"/>
    <n v="0.71"/>
    <n v="6"/>
    <n v="1408450"/>
    <n v="181034.70437017994"/>
    <n v="18.103470437017993"/>
    <s v="AMBARTEK"/>
    <s v="PRONAUPLIO"/>
    <s v="UNICO"/>
    <n v="25900"/>
    <n v="27231.32"/>
    <n v="27"/>
    <n v="27.893333333333334"/>
    <n v="3500.1696658097685"/>
    <n v="527178.61414412316"/>
    <n v="35800"/>
    <n v="36661"/>
    <n v="35"/>
    <n v="35"/>
    <n v="4712.2107969151666"/>
    <n v="475545.54285714286"/>
    <n v="63892.32"/>
    <n v="1002724.157001266"/>
    <n v="8212.3804627249356"/>
    <n v="2.6923076923076925"/>
    <n v="90.245939150823475"/>
    <n v="71.193450743815262"/>
    <n v="104057.12"/>
    <n v="66.668549959038387"/>
    <n v="1.6286326744748039"/>
    <m/>
    <m/>
    <n v="1331.3199999999997"/>
    <n v="861"/>
    <n v="0.89333333333333442"/>
    <n v="0"/>
    <s v="JOSE CEDEÑO"/>
    <x v="117"/>
    <s v="JOSE CEDEÑO"/>
  </r>
  <r>
    <d v="2026-05-19T00:00:00"/>
    <n v="397"/>
    <n v="2026"/>
    <s v="AGUAJE 10"/>
    <x v="4"/>
    <s v="05"/>
    <x v="5"/>
    <n v="3.47"/>
    <x v="0"/>
    <n v="56"/>
    <d v="2026-03-24T00:00:00"/>
    <s v="ME PC 06"/>
    <n v="5"/>
    <n v="4"/>
    <n v="416400"/>
    <n v="120000"/>
    <n v="12"/>
    <s v="PRONAUPLIO"/>
    <s v="SEMACUA"/>
    <s v="UNICO"/>
    <n v="3000"/>
    <n v="2818.9"/>
    <n v="21"/>
    <n v="23.76"/>
    <n v="812.36311239193083"/>
    <n v="53862.819865319863"/>
    <n v="14650"/>
    <n v="14650"/>
    <n v="31"/>
    <n v="31"/>
    <n v="4221.9020172910659"/>
    <n v="214551.61290322582"/>
    <n v="17468.900000000001"/>
    <n v="268414.4327685457"/>
    <n v="5034.2651296829972"/>
    <n v="3.875"/>
    <n v="89.897591601482091"/>
    <n v="64.460718724434614"/>
    <n v="23368.76"/>
    <n v="54.549197200494014"/>
    <n v="1.3377350605933973"/>
    <m/>
    <m/>
    <n v="-181.09999999999991"/>
    <n v="0"/>
    <n v="2.7600000000000016"/>
    <n v="0"/>
    <s v="NESTOR MOGOLLON"/>
    <x v="197"/>
    <s v="NESTOR MOGOLLON"/>
  </r>
  <r>
    <d v="2026-05-19T00:00:00"/>
    <n v="398"/>
    <n v="2026"/>
    <s v="AGUAJE 10"/>
    <x v="4"/>
    <s v="06"/>
    <x v="12"/>
    <n v="5"/>
    <x v="1"/>
    <n v="86"/>
    <d v="2026-02-22T00:00:00"/>
    <s v="TU PC 7"/>
    <n v="0.4"/>
    <n v="11"/>
    <n v="900000"/>
    <n v="180000"/>
    <n v="18"/>
    <s v="EMPAGRAN"/>
    <s v="EMPAGRAN"/>
    <s v="UNICO"/>
    <n v="19850"/>
    <n v="20169.05"/>
    <n v="18.833333333333332"/>
    <n v="21.406666666666666"/>
    <n v="4033.81"/>
    <n v="434094.18976261187"/>
    <n v="20500"/>
    <n v="20500"/>
    <n v="29.5"/>
    <n v="29.5"/>
    <n v="4100"/>
    <n v="315491.5254237288"/>
    <n v="40669.050000000003"/>
    <n v="749585.71518634073"/>
    <n v="8133.81"/>
    <n v="2.4011627906976742"/>
    <n v="94.579186046511637"/>
    <n v="83.287301687371198"/>
    <n v="56768.45"/>
    <n v="59.883720930232549"/>
    <n v="1.3958636850381307"/>
    <m/>
    <m/>
    <n v="319.04999999999927"/>
    <n v="0"/>
    <n v="2.5733333333333341"/>
    <n v="0"/>
    <s v="GUSTAVO CARRASCO"/>
    <x v="119"/>
    <s v="GUSTAVO CARRASCO"/>
  </r>
  <r>
    <d v="2026-05-19T00:00:00"/>
    <n v="399"/>
    <n v="2026"/>
    <s v="AGUAJE 10"/>
    <x v="4"/>
    <s v="31"/>
    <x v="6"/>
    <n v="5"/>
    <x v="0"/>
    <n v="94"/>
    <d v="2026-02-14T00:00:00"/>
    <s v="WA 12"/>
    <n v="0.5"/>
    <s v="NUEVO"/>
    <n v="875000"/>
    <n v="175000"/>
    <n v="17.5"/>
    <s v="TECSERV"/>
    <s v="EMPAGRAN"/>
    <s v="UNICO"/>
    <n v="7000"/>
    <n v="7772.25"/>
    <n v="21"/>
    <n v="21.7"/>
    <n v="1554.45"/>
    <n v="162608.36405529955"/>
    <n v="16900"/>
    <n v="16900"/>
    <n v="31"/>
    <n v="31"/>
    <n v="3380"/>
    <n v="247503.22580645161"/>
    <n v="24672.25"/>
    <n v="410111.58986175118"/>
    <n v="4934.45"/>
    <n v="2.3085106382978724"/>
    <n v="52.494148936170212"/>
    <n v="46.869895984200134"/>
    <n v="47352.6"/>
    <n v="45.699996718659811"/>
    <n v="1.9192655716442562"/>
    <m/>
    <m/>
    <n v="772.25"/>
    <n v="0"/>
    <n v="0.69999999999999929"/>
    <n v="0"/>
    <s v="JUNIOR ESQUIVEL"/>
    <x v="256"/>
    <s v="JUNIOR ESQUIVEL"/>
  </r>
  <r>
    <d v="2026-05-19T00:00:00"/>
    <n v="400"/>
    <n v="2026"/>
    <s v="AGUAJE 10"/>
    <x v="4"/>
    <s v="13"/>
    <x v="6"/>
    <n v="9"/>
    <x v="0"/>
    <n v="87"/>
    <d v="2026-02-21T00:00:00"/>
    <s v="WA PS9"/>
    <n v="0.6"/>
    <n v="11"/>
    <n v="1647000"/>
    <n v="183000"/>
    <n v="18.3"/>
    <s v="LARVASLAB"/>
    <s v="TEXCUMAR"/>
    <s v="UNICO"/>
    <n v="0"/>
    <n v="0"/>
    <n v="30"/>
    <n v="30"/>
    <n v="0"/>
    <n v="0"/>
    <n v="27000"/>
    <n v="27000"/>
    <n v="30"/>
    <n v="30"/>
    <n v="3000"/>
    <n v="408600"/>
    <n v="27000"/>
    <n v="408600"/>
    <n v="3000"/>
    <n v="2.4137931034482758"/>
    <n v="34.482758620689658"/>
    <n v="24.808743169398905"/>
    <n v="60895.46"/>
    <n v="35.277138513005838"/>
    <n v="2.2553874074074072"/>
    <m/>
    <m/>
    <n v="0"/>
    <n v="0"/>
    <n v="0"/>
    <n v="0"/>
    <s v="JUNIOR ESQUIVEL"/>
    <x v="109"/>
    <s v="JUNIOR ESQUIVEL"/>
  </r>
  <r>
    <d v="2026-05-20T00:00:00"/>
    <n v="401"/>
    <n v="2026"/>
    <s v="AGUAJE 10"/>
    <x v="4"/>
    <s v="22"/>
    <x v="3"/>
    <n v="5.36"/>
    <x v="2"/>
    <n v="79"/>
    <d v="2026-03-02T00:00:00"/>
    <s v="CH PC 7"/>
    <n v="0.62"/>
    <s v="NUEVO"/>
    <n v="1018400"/>
    <n v="190000"/>
    <n v="19"/>
    <s v="ACUATECSA"/>
    <s v="TEXCUMAR"/>
    <s v="UNICO"/>
    <n v="0"/>
    <n v="0"/>
    <n v="0"/>
    <n v="0"/>
    <n v="0"/>
    <n v="0"/>
    <n v="19250"/>
    <n v="19250"/>
    <n v="28.5"/>
    <n v="28.5"/>
    <n v="3591.4179104477612"/>
    <n v="306649.12280701753"/>
    <n v="19250"/>
    <n v="306649.12280701753"/>
    <n v="3591.4179104477612"/>
    <n v="2.5253164556962022"/>
    <n v="45.460986208199508"/>
    <n v="30.110872231639586"/>
    <n v="45521"/>
    <n v="48.762965586323041"/>
    <n v="2.3647272727272726"/>
    <m/>
    <m/>
    <n v="0"/>
    <n v="0"/>
    <n v="0"/>
    <n v="0"/>
    <s v="SANTIAGO OBRIEN"/>
    <x v="149"/>
    <s v="SANTIAGO OBRIEN"/>
  </r>
  <r>
    <d v="2026-05-20T00:00:00"/>
    <n v="402"/>
    <n v="2026"/>
    <s v="AGUAJE 10"/>
    <x v="4"/>
    <s v="03"/>
    <x v="7"/>
    <n v="4.24"/>
    <x v="1"/>
    <n v="70"/>
    <d v="2026-03-11T00:00:00"/>
    <s v="DO PS 2"/>
    <n v="5.85"/>
    <n v="5"/>
    <n v="823539"/>
    <n v="194230.89622641509"/>
    <n v="19.423089622641509"/>
    <s v="TECSERV"/>
    <s v="SEMACUA"/>
    <s v="UNICO"/>
    <n v="12800"/>
    <n v="13390.15"/>
    <n v="19"/>
    <n v="21.25"/>
    <n v="3158.0542452830186"/>
    <n v="290549.41308875091"/>
    <n v="17850"/>
    <n v="17850"/>
    <n v="38"/>
    <n v="38"/>
    <n v="4209.9056603773579"/>
    <n v="213260.52631578947"/>
    <n v="31240.15"/>
    <n v="503809.93940454035"/>
    <n v="7367.9599056603774"/>
    <n v="3.8"/>
    <n v="105.25657008086253"/>
    <n v="61.176208947547153"/>
    <n v="44200"/>
    <n v="67.55050026494466"/>
    <n v="1.4148459594464176"/>
    <m/>
    <m/>
    <n v="590.14999999999964"/>
    <n v="0"/>
    <n v="2.25"/>
    <n v="0"/>
    <s v="JOSE CEDEÑO"/>
    <x v="163"/>
    <s v="JOSE CEDEÑO"/>
  </r>
  <r>
    <d v="2026-05-20T00:00:00"/>
    <n v="403"/>
    <n v="2026"/>
    <s v="AGUAJE 10"/>
    <x v="4"/>
    <s v="17"/>
    <x v="10"/>
    <n v="5.9"/>
    <x v="0"/>
    <n v="79"/>
    <d v="2026-03-02T00:00:00"/>
    <s v="GT 7"/>
    <n v="0.51"/>
    <n v="16"/>
    <n v="973500"/>
    <n v="165000"/>
    <n v="16.5"/>
    <s v="TECSERV"/>
    <s v="SEMACUA"/>
    <s v="UNICO"/>
    <n v="6400"/>
    <n v="6577.11"/>
    <n v="25"/>
    <n v="24.9"/>
    <n v="1114.7644067796609"/>
    <n v="119919.99759036145"/>
    <n v="22200"/>
    <n v="22200"/>
    <n v="30"/>
    <n v="30"/>
    <n v="3762.7118644067796"/>
    <n v="335960"/>
    <n v="28777.11"/>
    <n v="455879.99759036145"/>
    <n v="4877.4762711864405"/>
    <n v="2.6582278481012658"/>
    <n v="61.740205964385325"/>
    <n v="46.828967395003744"/>
    <n v="50496"/>
    <n v="49.141461798498476"/>
    <n v="1.7547279765063273"/>
    <m/>
    <m/>
    <n v="177.10999999999967"/>
    <n v="0"/>
    <n v="-0.10000000000000142"/>
    <n v="0"/>
    <s v="JULIO SANTOS"/>
    <x v="124"/>
    <s v="JULIO SANTOS"/>
  </r>
  <r>
    <d v="2026-05-20T00:00:00"/>
    <n v="404"/>
    <n v="2026"/>
    <s v="AGUAJE 10"/>
    <x v="4"/>
    <s v="09"/>
    <x v="14"/>
    <n v="4.6500000000000004"/>
    <x v="1"/>
    <n v="83"/>
    <d v="2026-02-26T00:00:00"/>
    <s v="PA 16 / MA PC 07"/>
    <n v="0.4"/>
    <n v="6"/>
    <n v="744300"/>
    <n v="160064.51612903224"/>
    <n v="16.006451612903223"/>
    <s v="TECSERV/GENESIS"/>
    <s v="TEXCUMAR/SEMACUA"/>
    <s v="COMBINADO"/>
    <n v="13150"/>
    <n v="13598.25"/>
    <n v="17.333333333333332"/>
    <n v="17.873333333333335"/>
    <n v="2924.3548387096771"/>
    <n v="334870.20980013721"/>
    <n v="14400"/>
    <n v="14400"/>
    <n v="27"/>
    <n v="27"/>
    <n v="3096.7741935483868"/>
    <n v="242133.33333333334"/>
    <n v="27998.25"/>
    <n v="577003.54313347058"/>
    <n v="6021.1290322580644"/>
    <n v="2.2771084337349397"/>
    <n v="72.543723280217648"/>
    <n v="77.522980402186022"/>
    <n v="44372"/>
    <n v="52.149260699139738"/>
    <n v="1.5848133365478199"/>
    <m/>
    <m/>
    <n v="448.25"/>
    <n v="0"/>
    <n v="0.5400000000000027"/>
    <n v="0"/>
    <s v="GUSTAVO CARRASCO"/>
    <x v="147"/>
    <s v="GUSTAVO CARRASCO"/>
  </r>
  <r>
    <d v="2026-05-20T00:00:00"/>
    <n v="405"/>
    <n v="2026"/>
    <s v="AGUAJE 10"/>
    <x v="4"/>
    <s v="07"/>
    <x v="5"/>
    <n v="4.5999999999999996"/>
    <x v="0"/>
    <n v="57"/>
    <d v="2026-03-24T00:00:00"/>
    <s v="ME PS 06"/>
    <n v="5"/>
    <n v="7"/>
    <n v="552000"/>
    <n v="120000.00000000001"/>
    <n v="12.000000000000002"/>
    <s v="PRONAUPLIO"/>
    <s v="SEMACUA"/>
    <s v="UNICO"/>
    <n v="4200"/>
    <n v="4009.29"/>
    <n v="22"/>
    <n v="23.2"/>
    <n v="871.58478260869572"/>
    <n v="78457.657758620684"/>
    <n v="16000"/>
    <n v="16000"/>
    <n v="31"/>
    <n v="31"/>
    <n v="3478.2608695652175"/>
    <n v="234322.5806451613"/>
    <n v="20009.29"/>
    <n v="312780.23840378202"/>
    <n v="4349.8456521739135"/>
    <n v="3.8070175438596494"/>
    <n v="76.313081617086198"/>
    <n v="56.663086667351813"/>
    <n v="25903"/>
    <n v="44.811303291854983"/>
    <n v="1.2945486821371472"/>
    <m/>
    <m/>
    <n v="-190.71000000000004"/>
    <n v="0"/>
    <n v="1.1999999999999993"/>
    <n v="0"/>
    <s v="NESTOR MOGOLLON"/>
    <x v="199"/>
    <s v="NESTOR MOGOLLON"/>
  </r>
  <r>
    <d v="2026-05-20T00:00:00"/>
    <n v="406"/>
    <n v="2026"/>
    <s v="AGUAJE 10"/>
    <x v="4"/>
    <s v="04"/>
    <x v="6"/>
    <n v="8"/>
    <x v="0"/>
    <n v="94"/>
    <d v="2026-02-15T00:00:00"/>
    <s v="WA PC 04"/>
    <n v="0.68"/>
    <n v="26"/>
    <n v="1464000"/>
    <n v="183000"/>
    <n v="18.3"/>
    <s v="TECSERV"/>
    <s v="EMPAGRAN"/>
    <s v="UNICO"/>
    <n v="11300"/>
    <n v="12388.64"/>
    <n v="22"/>
    <n v="22.83"/>
    <n v="1548.58"/>
    <n v="246361.91677617171"/>
    <n v="24900"/>
    <n v="24900"/>
    <n v="35"/>
    <n v="35"/>
    <n v="3112.5"/>
    <n v="322988.57142857142"/>
    <n v="37288.639999999999"/>
    <n v="569350.48820474313"/>
    <n v="4661.08"/>
    <n v="2.6063829787234041"/>
    <n v="49.585957446808507"/>
    <n v="38.890060669722892"/>
    <n v="71921"/>
    <n v="43.381850521443553"/>
    <n v="1.9287643636238812"/>
    <m/>
    <m/>
    <n v="1088.6399999999994"/>
    <n v="0"/>
    <n v="0.82999999999999829"/>
    <n v="0"/>
    <s v="JUNIOR ESQUIVEL"/>
    <x v="51"/>
    <s v="JUNIOR ESQUIVEL"/>
  </r>
  <r>
    <d v="2026-05-21T00:00:00"/>
    <n v="407"/>
    <n v="2026"/>
    <s v="AGUAJE 10"/>
    <x v="4"/>
    <s v="14"/>
    <x v="10"/>
    <n v="5.26"/>
    <x v="0"/>
    <n v="79"/>
    <d v="2026-03-03T00:00:00"/>
    <s v="GT 6"/>
    <n v="0.74"/>
    <n v="16"/>
    <n v="841600"/>
    <n v="160000"/>
    <n v="16"/>
    <s v="ACUATECSA"/>
    <s v="TEXCUMAR"/>
    <s v="UNICO"/>
    <n v="6300"/>
    <n v="5718.51"/>
    <n v="24"/>
    <n v="24.94"/>
    <n v="1087.1692015209126"/>
    <n v="104097.97674418605"/>
    <n v="19900"/>
    <n v="19900"/>
    <n v="30"/>
    <n v="30"/>
    <n v="3783.2699619771865"/>
    <n v="301153.33333333331"/>
    <n v="25618.510000000002"/>
    <n v="405251.31007751939"/>
    <n v="4870.4391634980993"/>
    <n v="2.6582278481012658"/>
    <n v="61.651128651874679"/>
    <n v="48.152484562442893"/>
    <n v="44753.380000000005"/>
    <n v="48.852096067767242"/>
    <n v="1.7469158042368584"/>
    <m/>
    <m/>
    <n v="-581.48999999999978"/>
    <n v="0"/>
    <n v="0.94000000000000128"/>
    <n v="0"/>
    <s v="JULIO SANTOS"/>
    <x v="134"/>
    <s v="JULIO SANTOS"/>
  </r>
  <r>
    <d v="2026-05-21T00:00:00"/>
    <n v="408"/>
    <n v="2026"/>
    <s v="AGUAJE 10"/>
    <x v="4"/>
    <s v="10"/>
    <x v="7"/>
    <n v="4.0199999999999996"/>
    <x v="1"/>
    <n v="81"/>
    <d v="2026-03-01T00:00:00"/>
    <s v="DO PC1"/>
    <n v="0.72"/>
    <n v="6"/>
    <n v="743700"/>
    <n v="185000.00000000003"/>
    <n v="18.500000000000004"/>
    <s v="DEONES"/>
    <s v="TEXCUMAR"/>
    <s v="UNICO"/>
    <n v="12700"/>
    <n v="14171.18"/>
    <n v="22.75"/>
    <n v="24.92"/>
    <n v="3525.1691542288563"/>
    <n v="266416.57790569332"/>
    <n v="0"/>
    <n v="0"/>
    <n v="36"/>
    <n v="36"/>
    <n v="0"/>
    <n v="0"/>
    <n v="14171.18"/>
    <n v="266416.57790569332"/>
    <n v="3525.1691542288563"/>
    <n v="3.1111111111111112"/>
    <n v="43.52060684233156"/>
    <n v="35.82312463435435"/>
    <n v="46897"/>
    <n v="65.328725672415317"/>
    <n v="3.3093221594814262"/>
    <m/>
    <m/>
    <n v="1471.1800000000003"/>
    <n v="0"/>
    <n v="2.1700000000000017"/>
    <n v="0"/>
    <s v="JOSE CEDEÑO"/>
    <x v="154"/>
    <s v="JOSE CEDEÑO"/>
  </r>
  <r>
    <d v="2026-05-21T00:00:00"/>
    <n v="409"/>
    <n v="2026"/>
    <s v="AGUAJE 10"/>
    <x v="4"/>
    <s v="33"/>
    <x v="6"/>
    <n v="11.5"/>
    <x v="0"/>
    <n v="96"/>
    <d v="2026-02-14T00:00:00"/>
    <s v="WA PC12 - PS27"/>
    <n v="0.47"/>
    <s v="NUEVO"/>
    <n v="2241000"/>
    <n v="194869.5652173913"/>
    <n v="19.486956521739131"/>
    <s v="TECSERV/GRILSAN"/>
    <s v="EMPAGRAN/TEXCUMAR"/>
    <s v="COMBINADO"/>
    <n v="16000"/>
    <n v="17952.91"/>
    <n v="22"/>
    <n v="22.64"/>
    <n v="1561.1226086956522"/>
    <n v="360009.76766784448"/>
    <n v="30100"/>
    <n v="30100"/>
    <n v="30"/>
    <n v="30"/>
    <n v="2617.391304347826"/>
    <n v="455513.33333333331"/>
    <n v="48052.91"/>
    <n v="815523.1010011778"/>
    <n v="4178.5139130434782"/>
    <n v="2.1875"/>
    <n v="43.526186594202898"/>
    <n v="36.391035296795081"/>
    <n v="95827"/>
    <n v="39.372139544851542"/>
    <n v="1.9941976458865862"/>
    <m/>
    <m/>
    <n v="1952.9099999999999"/>
    <n v="0"/>
    <n v="0.64000000000000057"/>
    <n v="0"/>
    <s v="JUNIOR ESQUIVEL"/>
    <x v="257"/>
    <s v="JUNIOR ESQUIVEL"/>
  </r>
  <r>
    <d v="2026-05-22T00:00:00"/>
    <n v="410"/>
    <n v="2026"/>
    <s v="AGUAJE 10"/>
    <x v="4"/>
    <s v="06"/>
    <x v="10"/>
    <n v="9.8000000000000007"/>
    <x v="0"/>
    <n v="78"/>
    <d v="2026-03-05T00:00:00"/>
    <s v="GT PC 05"/>
    <n v="0.88"/>
    <n v="17"/>
    <n v="1568000"/>
    <n v="160000"/>
    <n v="16"/>
    <s v="TECSERV"/>
    <s v="SEMACUA"/>
    <s v="UNICO"/>
    <n v="20700"/>
    <n v="21894.07"/>
    <n v="25.5"/>
    <n v="26.9"/>
    <n v="2234.088775510204"/>
    <n v="370750.30155038764"/>
    <n v="32700"/>
    <n v="32700"/>
    <n v="31"/>
    <n v="31"/>
    <n v="3336.7346938775509"/>
    <n v="478896.77419354836"/>
    <n v="54594.07"/>
    <n v="849647.075743936"/>
    <n v="5570.8234693877548"/>
    <n v="2.7820512820512824"/>
    <n v="71.420813710099424"/>
    <n v="54.18667574897551"/>
    <n v="86861.24"/>
    <n v="51.543694400837254"/>
    <n v="1.5910380010136633"/>
    <m/>
    <m/>
    <n v="1194.0699999999997"/>
    <n v="0"/>
    <n v="1.3999999999999986"/>
    <n v="0"/>
    <s v="JULIO SANTOS"/>
    <x v="139"/>
    <s v="JULIO SANTOS"/>
  </r>
  <r>
    <d v="2026-05-22T00:00:00"/>
    <n v="411"/>
    <n v="2026"/>
    <s v="AGUAJE 10"/>
    <x v="4"/>
    <s v="34"/>
    <x v="6"/>
    <n v="5.2"/>
    <x v="0"/>
    <n v="95"/>
    <d v="2026-02-16T00:00:00"/>
    <s v="WA 13"/>
    <n v="0.55000000000000004"/>
    <s v="NUEVO"/>
    <n v="910000"/>
    <n v="175000"/>
    <n v="17.5"/>
    <s v="AMBARTEK"/>
    <s v="PRONAUPLIO"/>
    <s v="UNICO"/>
    <n v="7200"/>
    <n v="7438.1"/>
    <n v="21"/>
    <n v="20.100000000000001"/>
    <n v="1430.4038461538462"/>
    <n v="168004.84577114429"/>
    <n v="0"/>
    <n v="0"/>
    <n v="32"/>
    <n v="32"/>
    <n v="0"/>
    <n v="0"/>
    <n v="7438.1"/>
    <n v="168004.84577114429"/>
    <n v="1430.4038461538462"/>
    <n v="2.3578947368421055"/>
    <n v="15.056882591093117"/>
    <n v="18.462070963862011"/>
    <n v="58618.109400000001"/>
    <n v="53.823886639676111"/>
    <n v="7.8807907126820016"/>
    <m/>
    <m/>
    <n v="238.10000000000036"/>
    <n v="0"/>
    <n v="-0.89999999999999858"/>
    <n v="0"/>
    <s v="JUNIOR ESQUIVEL"/>
    <x v="258"/>
    <s v="JUNIOR ESQUIVEL"/>
  </r>
  <r>
    <d v="2026-05-22T00:00:00"/>
    <n v="412"/>
    <n v="2026"/>
    <s v="AGUAJE 10"/>
    <x v="4"/>
    <s v="08"/>
    <x v="11"/>
    <n v="8"/>
    <x v="1"/>
    <n v="55"/>
    <d v="2026-03-28T00:00:00"/>
    <s v="TA PC 09"/>
    <n v="7.5"/>
    <n v="4"/>
    <n v="1040000"/>
    <n v="130000"/>
    <n v="13"/>
    <s v="TECSERV"/>
    <s v="SEMACUA"/>
    <s v="UNICO"/>
    <n v="21000"/>
    <n v="21598.2"/>
    <n v="29"/>
    <n v="29.15"/>
    <n v="2699.7750000000001"/>
    <n v="338769.73390557943"/>
    <n v="18100"/>
    <n v="18100"/>
    <n v="35"/>
    <n v="35"/>
    <n v="2262.5"/>
    <n v="234782.85714285713"/>
    <n v="39698.199999999997"/>
    <n v="573552.59104843659"/>
    <n v="4962.2749999999996"/>
    <n v="4.454545454545455"/>
    <n v="90.223181818181814"/>
    <n v="55.149287600811213"/>
    <n v="67846.565000000002"/>
    <n v="69.943181818181813"/>
    <n v="1.7090589749661196"/>
    <m/>
    <m/>
    <n v="598.20000000000073"/>
    <n v="0"/>
    <n v="0.14999999999999858"/>
    <n v="0"/>
    <s v="ALFONSO GRUNAUER"/>
    <x v="36"/>
    <s v="ALFONSO GRUNAUER"/>
  </r>
  <r>
    <d v="2026-05-23T00:00:00"/>
    <n v="413"/>
    <n v="2026"/>
    <s v="AGUAJE 10"/>
    <x v="4"/>
    <s v="16"/>
    <x v="10"/>
    <n v="2.4"/>
    <x v="0"/>
    <n v="82"/>
    <d v="2026-03-02T00:00:00"/>
    <s v="GT 7"/>
    <n v="0.51"/>
    <n v="16"/>
    <n v="396000"/>
    <n v="165000"/>
    <n v="16.5"/>
    <s v="TECSERV"/>
    <s v="SEMACUA"/>
    <s v="UNICO"/>
    <n v="4950"/>
    <n v="5718.7"/>
    <n v="24"/>
    <n v="24.189999999999998"/>
    <n v="2382.7916666666665"/>
    <n v="110827.48259016735"/>
    <n v="7400"/>
    <n v="7400"/>
    <n v="29"/>
    <n v="29"/>
    <n v="3083.3333333333335"/>
    <n v="115848.27586206897"/>
    <n v="13118.7"/>
    <n v="226675.7584522363"/>
    <n v="5466.1250000000009"/>
    <n v="2.475609756097561"/>
    <n v="66.660060975609767"/>
    <n v="57.241353144504117"/>
    <n v="24146.98"/>
    <n v="55.655479046398916"/>
    <n v="1.8406534184027379"/>
    <m/>
    <m/>
    <n v="768.69999999999982"/>
    <n v="0"/>
    <n v="0.18999999999999773"/>
    <n v="0"/>
    <s v="JULIO SANTOS"/>
    <x v="132"/>
    <s v="JULIO SANTOS"/>
  </r>
  <r>
    <d v="2026-05-24T00:00:00"/>
    <n v="414"/>
    <n v="2026"/>
    <s v="AGUAJE 10"/>
    <x v="4"/>
    <s v="19"/>
    <x v="10"/>
    <n v="3.35"/>
    <x v="0"/>
    <n v="78"/>
    <d v="2026-03-07T00:00:00"/>
    <s v="GT PC 08"/>
    <n v="0.8"/>
    <n v="18"/>
    <n v="402000"/>
    <n v="120000"/>
    <n v="12"/>
    <s v="TECSERV"/>
    <s v="SEMACUA"/>
    <s v="UNICO"/>
    <n v="4300"/>
    <n v="5100.84"/>
    <n v="26"/>
    <n v="27.48"/>
    <n v="1522.6388059701492"/>
    <n v="84271.519650655013"/>
    <n v="12500"/>
    <n v="12500"/>
    <n v="30"/>
    <n v="30"/>
    <n v="3731.3432835820895"/>
    <n v="189166.66666666666"/>
    <n v="17600.84"/>
    <n v="273438.18631732167"/>
    <n v="5253.9820895522389"/>
    <n v="2.6923076923076925"/>
    <n v="67.358744737849221"/>
    <n v="68.019449332667079"/>
    <n v="27147"/>
    <n v="47.12513747218658"/>
    <n v="1.5423695687251291"/>
    <m/>
    <m/>
    <n v="800.84000000000015"/>
    <n v="0"/>
    <n v="1.4800000000000004"/>
    <n v="0"/>
    <s v="JULIO SANTOS"/>
    <x v="141"/>
    <s v="JULIO SANTOS"/>
  </r>
  <r>
    <d v="2026-05-24T00:00:00"/>
    <n v="415"/>
    <n v="2026"/>
    <s v="AGUAJE 10"/>
    <x v="4"/>
    <s v="01"/>
    <x v="0"/>
    <n v="4.8"/>
    <x v="0"/>
    <n v="77"/>
    <d v="2026-03-08T00:00:00"/>
    <s v="PC 03"/>
    <n v="0.5"/>
    <n v="13"/>
    <n v="816000"/>
    <n v="170000"/>
    <n v="17"/>
    <s v="EMPAGRAN"/>
    <s v="EMPAGRAN"/>
    <s v="UNICO"/>
    <n v="5200"/>
    <n v="6333.3"/>
    <n v="15"/>
    <n v="16.440000000000001"/>
    <n v="1319.4375"/>
    <n v="174897.70072992702"/>
    <n v="15300"/>
    <n v="15300"/>
    <n v="28"/>
    <n v="28"/>
    <n v="3187.5"/>
    <n v="248078.57142857142"/>
    <n v="21633.3"/>
    <n v="422976.27215849841"/>
    <n v="4506.9375"/>
    <n v="2.5454545454545454"/>
    <n v="58.531655844155843"/>
    <n v="51.835327470404216"/>
    <n v="37583"/>
    <n v="46.124288333759438"/>
    <n v="1.7372754041223484"/>
    <m/>
    <m/>
    <n v="1133.3000000000002"/>
    <n v="0"/>
    <n v="1.4400000000000013"/>
    <n v="0"/>
    <s v="WILMER TORRES"/>
    <x v="155"/>
    <s v="WILMER TORRES"/>
  </r>
  <r>
    <d v="2026-05-24T00:00:00"/>
    <n v="416"/>
    <n v="2026"/>
    <s v="AGUAJE 10"/>
    <x v="4"/>
    <s v="32"/>
    <x v="6"/>
    <n v="10"/>
    <x v="0"/>
    <n v="88"/>
    <d v="2026-02-25T00:00:00"/>
    <s v="WA PS 23 - PC 18"/>
    <n v="1.22"/>
    <n v="10"/>
    <n v="1700000"/>
    <n v="170000"/>
    <n v="17"/>
    <s v="MEGALATINA /LARVASLAB"/>
    <s v="TEXCUMAR"/>
    <s v="COMBINADO"/>
    <n v="10400"/>
    <n v="10819.34"/>
    <n v="22"/>
    <n v="24.54"/>
    <n v="1081.934"/>
    <n v="200162.19885900573"/>
    <n v="28450"/>
    <n v="28450"/>
    <n v="33"/>
    <n v="33"/>
    <n v="2845"/>
    <n v="391403.03030303027"/>
    <n v="39269.339999999997"/>
    <n v="591565.22916203598"/>
    <n v="3926.9339999999997"/>
    <n v="2.625"/>
    <n v="44.624249999999996"/>
    <n v="34.797954656590349"/>
    <n v="77845"/>
    <n v="40.125295868968188"/>
    <n v="1.9823353282739156"/>
    <m/>
    <m/>
    <n v="419.34000000000015"/>
    <n v="0"/>
    <n v="2.5399999999999991"/>
    <n v="0"/>
    <s v="JUNIOR ESQUIVEL"/>
    <x v="137"/>
    <s v="JUNIOR ESQUIVEL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">
  <r>
    <d v="2026-01-02T00:00:00"/>
    <n v="1"/>
    <x v="0"/>
    <s v="AGUAJE 1"/>
    <x v="0"/>
    <s v="28"/>
    <x v="0"/>
    <n v="7.3"/>
    <s v="CONVENCIONAL"/>
    <n v="76"/>
    <d v="2025-10-18T00:00:00"/>
    <s v="PR PC 5"/>
    <n v="0.3"/>
    <n v="4"/>
    <n v="1058500"/>
    <n v="145000"/>
    <n v="14.5"/>
    <s v="AMBARTEK"/>
    <s v="TEXCUMAR"/>
    <s v="UNICO"/>
    <n v="0"/>
    <n v="0"/>
    <n v="0"/>
    <n v="0"/>
    <n v="0"/>
    <n v="0"/>
    <n v="22100"/>
    <n v="26270.68"/>
    <n v="21"/>
    <n v="21"/>
    <n v="3598.7232876712328"/>
    <n v="567947.08190476196"/>
    <n v="26270.68"/>
    <n v="567947.08190476196"/>
    <n v="3598.7232876712328"/>
    <n v="1.9342105263157894"/>
    <n v="47.351622206200432"/>
    <n v="53.655841464786199"/>
    <n v="39407.224999999999"/>
    <n v="32.218817591925017"/>
    <n v="1.5000458686261642"/>
    <s v="SK"/>
    <s v="AUTOMATICA"/>
    <n v="0"/>
    <n v="4170.68"/>
    <n v="0"/>
    <n v="0"/>
    <s v="WILMER TORRES"/>
    <s v="PR 28"/>
  </r>
  <r>
    <d v="2026-01-03T00:00:00"/>
    <n v="2"/>
    <x v="0"/>
    <s v="AGUAJE 1"/>
    <x v="0"/>
    <s v="14"/>
    <x v="0"/>
    <n v="4.5999999999999996"/>
    <s v="CONVENCIONAL"/>
    <n v="73"/>
    <d v="2025-10-22T00:00:00"/>
    <s v="PR PC 3"/>
    <n v="0.38"/>
    <n v="12"/>
    <n v="690000"/>
    <n v="150000"/>
    <n v="15"/>
    <s v="TECSERV"/>
    <s v="TEXCUMAR"/>
    <s v="UNICO"/>
    <n v="0"/>
    <n v="0"/>
    <n v="0"/>
    <n v="0"/>
    <n v="0"/>
    <n v="0"/>
    <n v="16150"/>
    <n v="16841.97"/>
    <n v="20"/>
    <n v="20.48"/>
    <n v="3661.2978260869572"/>
    <n v="373352.26464843756"/>
    <n v="16841.97"/>
    <n v="373352.26464843756"/>
    <n v="3661.2978260869572"/>
    <n v="1.9638356164383561"/>
    <n v="50.154764740917223"/>
    <n v="54.1090238620924"/>
    <n v="25143.463"/>
    <n v="33.963668850506252"/>
    <n v="1.4929051055191285"/>
    <s v="SK"/>
    <s v="AUTOMATICA"/>
    <n v="0"/>
    <n v="691.97000000000116"/>
    <n v="0"/>
    <n v="0.48000000000000043"/>
    <s v="WILMER TORRES"/>
    <s v="PR 14"/>
  </r>
  <r>
    <d v="2026-01-03T00:00:00"/>
    <n v="3"/>
    <x v="0"/>
    <s v="AGUAJE 1"/>
    <x v="0"/>
    <s v="19"/>
    <x v="1"/>
    <n v="1.76"/>
    <s v="ASC-BAP"/>
    <n v="76"/>
    <d v="2025-10-19T00:00:00"/>
    <s v="TI PC 18"/>
    <n v="0.8"/>
    <n v="7"/>
    <n v="316800"/>
    <n v="180000"/>
    <n v="18"/>
    <s v="ACUATECSA"/>
    <s v="TEXCUMAR"/>
    <s v="UNICO"/>
    <n v="0"/>
    <n v="0"/>
    <n v="0"/>
    <n v="0"/>
    <n v="0"/>
    <n v="0"/>
    <n v="12100"/>
    <n v="13073.13"/>
    <n v="41"/>
    <n v="40.020000000000003"/>
    <n v="7427.9147727272721"/>
    <n v="148305.87256371812"/>
    <n v="13073.13"/>
    <n v="148305.87256371812"/>
    <n v="7427.9147727272721"/>
    <n v="3.6860526315789475"/>
    <n v="97.735720693779896"/>
    <n v="46.813722400163549"/>
    <n v="18320.226000000002"/>
    <n v="62.126196172248804"/>
    <n v="1.4013649370885168"/>
    <s v="NC"/>
    <s v="AUTOMATICA"/>
    <n v="0"/>
    <n v="973.1299999999992"/>
    <n v="0"/>
    <n v="-0.97999999999999687"/>
    <s v="ALFONSO GRUNAUER"/>
    <s v="TI 19"/>
  </r>
  <r>
    <d v="2026-01-04T00:00:00"/>
    <n v="4"/>
    <x v="0"/>
    <s v="AGUAJE 1"/>
    <x v="0"/>
    <s v="17"/>
    <x v="2"/>
    <n v="7.5"/>
    <s v="ASC-BAP"/>
    <n v="86"/>
    <d v="2025-10-10T00:00:00"/>
    <s v="CA PC 2 - 1A - 20"/>
    <n v="0.51"/>
    <n v="5"/>
    <n v="1304200"/>
    <n v="173893.33333333334"/>
    <n v="17.389333333333333"/>
    <s v="ACUATECSA/MEGALATINA"/>
    <s v="TEXCUMAR"/>
    <s v="COMBINADO"/>
    <n v="17500"/>
    <n v="17902.04"/>
    <n v="21.75"/>
    <n v="25.85"/>
    <n v="2386.9386666666669"/>
    <n v="323253.07662076608"/>
    <n v="33000"/>
    <n v="36172.269999999997"/>
    <n v="31"/>
    <n v="32.54"/>
    <n v="4822.9693333333325"/>
    <n v="504677.64535955741"/>
    <n v="54074.31"/>
    <n v="827930.72198032355"/>
    <n v="7209.9079999999994"/>
    <n v="2.6486046511627905"/>
    <n v="83.836139534883714"/>
    <n v="63.481883298598653"/>
    <n v="73258.858000000007"/>
    <n v="51.519379844961243"/>
    <n v="1.3547811890711137"/>
    <s v="NC"/>
    <s v="AUTOMATICA"/>
    <n v="402.04000000000087"/>
    <n v="3172.2699999999968"/>
    <n v="4.1000000000000014"/>
    <n v="1.5399999999999991"/>
    <s v="VICTOR QUINTANA"/>
    <s v="CA 17"/>
  </r>
  <r>
    <d v="2026-01-04T00:00:00"/>
    <n v="5"/>
    <x v="0"/>
    <s v="AGUAJE 1"/>
    <x v="0"/>
    <s v="16"/>
    <x v="0"/>
    <n v="5"/>
    <s v="CONVENCIONAL"/>
    <n v="74"/>
    <d v="2025-10-22T00:00:00"/>
    <s v="PR PC 3"/>
    <n v="0.38"/>
    <n v="11"/>
    <n v="400000"/>
    <n v="80000"/>
    <n v="8"/>
    <s v="TECSERV"/>
    <s v="TEXCUMAR"/>
    <s v="UNICO"/>
    <n v="0"/>
    <n v="0"/>
    <n v="0"/>
    <n v="0"/>
    <n v="0"/>
    <n v="0"/>
    <n v="10200"/>
    <n v="11958.26"/>
    <n v="28"/>
    <n v="30.58"/>
    <n v="2391.652"/>
    <n v="177535.97253106607"/>
    <n v="11958.26"/>
    <n v="177535.97253106607"/>
    <n v="2391.652"/>
    <n v="2.8927027027027026"/>
    <n v="32.319621621621621"/>
    <n v="44.38399313276652"/>
    <n v="18882.399000000001"/>
    <n v="23.148648648648649"/>
    <n v="1.5790256274742314"/>
    <s v="SK"/>
    <s v="AUTOMATICA"/>
    <n v="0"/>
    <n v="1758.2600000000002"/>
    <n v="0"/>
    <n v="2.5799999999999983"/>
    <s v="WILMER TORRES"/>
    <s v="PR 16"/>
  </r>
  <r>
    <d v="2026-01-04T00:00:00"/>
    <n v="6"/>
    <x v="0"/>
    <s v="AGUAJE 1"/>
    <x v="0"/>
    <s v="17"/>
    <x v="1"/>
    <n v="2.85"/>
    <s v="ASC-BAP"/>
    <n v="77"/>
    <d v="2025-10-19T00:00:00"/>
    <s v="TI PC 18"/>
    <n v="0.8"/>
    <n v="6"/>
    <n v="541500"/>
    <n v="190000"/>
    <n v="19"/>
    <s v="ACUATECSA"/>
    <s v="TEXCUMAR"/>
    <s v="UNICO"/>
    <n v="0"/>
    <n v="0"/>
    <n v="0"/>
    <n v="0"/>
    <n v="0"/>
    <n v="0"/>
    <n v="22400"/>
    <n v="23175.62"/>
    <n v="42"/>
    <n v="39.5"/>
    <n v="8131.7964912280695"/>
    <n v="266372.9488607595"/>
    <n v="23175.62"/>
    <n v="266372.9488607595"/>
    <n v="8131.7964912280695"/>
    <n v="3.5909090909090908"/>
    <n v="105.60774663932558"/>
    <n v="49.191680306696121"/>
    <n v="35549.175000000003"/>
    <n v="73.479152426520841"/>
    <n v="1.5339039473377629"/>
    <s v="NC"/>
    <s v="AUTOMATICA"/>
    <n v="0"/>
    <n v="775.61999999999898"/>
    <n v="0"/>
    <n v="-2.5"/>
    <s v="ALFONSO GRUNAUER"/>
    <s v="TI 17"/>
  </r>
  <r>
    <d v="2026-01-05T00:00:00"/>
    <n v="7"/>
    <x v="0"/>
    <s v="AGUAJE 1"/>
    <x v="0"/>
    <s v="18"/>
    <x v="3"/>
    <n v="10.6"/>
    <s v="ASC"/>
    <n v="88"/>
    <d v="2025-10-09T00:00:00"/>
    <s v="CH PC 7"/>
    <n v="0.32"/>
    <n v="4"/>
    <n v="1378000"/>
    <n v="130000"/>
    <n v="13"/>
    <s v="BIOLACAM"/>
    <s v="TEXCUMAR"/>
    <s v="UNICO"/>
    <n v="18000"/>
    <n v="19667.099999999999"/>
    <n v="26.5"/>
    <n v="26.6"/>
    <n v="1855.3867924528302"/>
    <n v="337615.42079518596"/>
    <n v="38700"/>
    <n v="41023.43"/>
    <n v="36"/>
    <n v="34.299999999999997"/>
    <n v="3870.1349056603776"/>
    <n v="542992.3387755102"/>
    <n v="60690.53"/>
    <n v="880607.75957069616"/>
    <n v="5725.521698113208"/>
    <n v="2.7284090909090906"/>
    <n v="65.062746569468274"/>
    <n v="63.904772102372732"/>
    <n v="93364.81"/>
    <n v="45.400943396226417"/>
    <n v="1.5383752621702265"/>
    <s v="SK"/>
    <s v="AUTOMATICA"/>
    <n v="1667.0999999999985"/>
    <n v="2323.4300000000003"/>
    <n v="0.10000000000000142"/>
    <n v="-1.7000000000000028"/>
    <s v="SANTIAGO OBRIEN"/>
    <s v="CH 18"/>
  </r>
  <r>
    <d v="2026-01-05T00:00:00"/>
    <n v="8"/>
    <x v="0"/>
    <s v="AGUAJE 1"/>
    <x v="0"/>
    <s v="03"/>
    <x v="0"/>
    <n v="2.5"/>
    <s v="CONVENCIONAL"/>
    <n v="74"/>
    <d v="2025-10-23T00:00:00"/>
    <s v="PR PC 1"/>
    <n v="0.45"/>
    <n v="10"/>
    <n v="325000"/>
    <n v="130000"/>
    <n v="13"/>
    <s v="TECSERV"/>
    <s v="TEXCUMAR"/>
    <s v="UNICO"/>
    <n v="0"/>
    <n v="0"/>
    <n v="0"/>
    <n v="0"/>
    <n v="0"/>
    <n v="0"/>
    <n v="5850"/>
    <n v="6806.33"/>
    <n v="30"/>
    <n v="31.74"/>
    <n v="2722.5320000000002"/>
    <n v="97355.822936357901"/>
    <n v="6806.33"/>
    <n v="97355.822936357901"/>
    <n v="2722.5320000000002"/>
    <n v="3.0024324324324323"/>
    <n v="36.790972972972973"/>
    <n v="29.955637826571664"/>
    <n v="12136.323"/>
    <n v="29.756756756756758"/>
    <n v="1.7830935320503121"/>
    <s v="SK"/>
    <s v="AUTOMATICA"/>
    <n v="0"/>
    <n v="956.32999999999993"/>
    <n v="0"/>
    <n v="1.7399999999999984"/>
    <s v="WILMER TORRES"/>
    <s v="PR 03"/>
  </r>
  <r>
    <d v="2026-01-06T00:00:00"/>
    <n v="9"/>
    <x v="0"/>
    <s v="AGUAJE 1"/>
    <x v="0"/>
    <s v="18"/>
    <x v="2"/>
    <n v="5.5"/>
    <s v="ASC-BAP"/>
    <n v="91"/>
    <d v="2025-10-07T00:00:00"/>
    <s v="CA PC 6"/>
    <n v="0.55000000000000004"/>
    <n v="5"/>
    <n v="962500"/>
    <n v="175000"/>
    <n v="17.5"/>
    <s v="OCEANLAB"/>
    <s v="TEXCUMAR"/>
    <s v="UNICO"/>
    <n v="6400"/>
    <n v="6553.71"/>
    <n v="27"/>
    <n v="28.410000000000004"/>
    <n v="1191.5836363636363"/>
    <n v="136736.41268382352"/>
    <n v="27500"/>
    <n v="27928.79"/>
    <n v="36"/>
    <n v="35.06"/>
    <n v="5077.9618181818187"/>
    <n v="361656.32230462064"/>
    <n v="34482.5"/>
    <n v="498392.73498844414"/>
    <n v="6269.545454545455"/>
    <n v="2.6969230769230772"/>
    <n v="68.896103896103895"/>
    <n v="51.781063375422761"/>
    <n v="56713.335000000006"/>
    <n v="51.398601398601393"/>
    <n v="1.6446990502428771"/>
    <s v="SK"/>
    <s v="AUTOMATICA"/>
    <n v="153.71000000000004"/>
    <n v="428.79000000000087"/>
    <n v="1.4100000000000037"/>
    <n v="-0.93999999999999773"/>
    <s v="VICTOR QUINTANA"/>
    <s v="CA 18"/>
  </r>
  <r>
    <d v="2026-01-06T00:00:00"/>
    <n v="10"/>
    <x v="0"/>
    <s v="AGUAJE 1"/>
    <x v="0"/>
    <s v="20"/>
    <x v="3"/>
    <n v="6.45"/>
    <s v="ASC"/>
    <n v="89"/>
    <d v="2025-10-09T00:00:00"/>
    <s v="CH PC 7"/>
    <n v="0.32"/>
    <n v="6"/>
    <n v="1161000"/>
    <n v="180000"/>
    <n v="18"/>
    <s v="BIOLACAM"/>
    <s v="TEXCUMAR"/>
    <s v="UNICO"/>
    <n v="20300"/>
    <n v="22447.63"/>
    <n v="27.5"/>
    <n v="27.589999999999996"/>
    <n v="3480.2527131782945"/>
    <n v="382016.29402040003"/>
    <n v="36100"/>
    <n v="37326.949999999997"/>
    <n v="35.5"/>
    <n v="33.82"/>
    <n v="5787.124031007751"/>
    <n v="501077.3299822589"/>
    <n v="59774.58"/>
    <n v="883093.62400265899"/>
    <n v="9267.3767441860473"/>
    <n v="2.66"/>
    <n v="104.12782858636008"/>
    <n v="76.063188975250569"/>
    <n v="86310.090000000011"/>
    <n v="68.199634178207475"/>
    <n v="1.4439263312264179"/>
    <s v="SK"/>
    <s v="AUTOMATICA"/>
    <n v="2147.630000000001"/>
    <n v="1226.9499999999971"/>
    <n v="8.9999999999996305E-2"/>
    <n v="-1.6799999999999997"/>
    <s v="SANTIAGO OBRIEN"/>
    <s v="CH 20"/>
  </r>
  <r>
    <d v="2026-01-06T00:00:00"/>
    <n v="11"/>
    <x v="0"/>
    <s v="AGUAJE 1"/>
    <x v="0"/>
    <s v="19"/>
    <x v="4"/>
    <n v="5"/>
    <s v="CONVENCIONAL"/>
    <n v="95"/>
    <d v="2025-10-03T00:00:00"/>
    <s v="DE PC 25"/>
    <n v="0.9"/>
    <n v="8"/>
    <n v="800000"/>
    <n v="160000"/>
    <n v="16"/>
    <s v="GABSO"/>
    <s v="TEXCUMAR"/>
    <s v="UNICO"/>
    <n v="6000"/>
    <n v="6174.21"/>
    <n v="33"/>
    <n v="32.340000000000003"/>
    <n v="1234.8420000000001"/>
    <n v="86675.675324675307"/>
    <n v="23000"/>
    <n v="25052.9"/>
    <n v="36"/>
    <n v="35.316915087674481"/>
    <n v="5010.58"/>
    <n v="322055.77898760204"/>
    <n v="31227.11"/>
    <n v="408731.45431227738"/>
    <n v="6245.4220000000005"/>
    <n v="2.6022990064602252"/>
    <n v="65.741284210526317"/>
    <n v="51.091431789034672"/>
    <n v="53020.630000000005"/>
    <n v="50.631578947368418"/>
    <n v="1.6979038406051665"/>
    <s v="NC"/>
    <s v="AUTOMATICA"/>
    <n v="174.21000000000004"/>
    <n v="2052.9000000000015"/>
    <n v="-0.65999999999999659"/>
    <n v="-0.68308491232551916"/>
    <s v="CARLOS FLORES"/>
    <s v="DE 19"/>
  </r>
  <r>
    <d v="2026-01-06T00:00:00"/>
    <n v="12"/>
    <x v="0"/>
    <s v="AGUAJE 1"/>
    <x v="0"/>
    <s v="05"/>
    <x v="0"/>
    <n v="2.56"/>
    <s v="CONVENCIONAL"/>
    <n v="75"/>
    <d v="2025-10-23T00:00:00"/>
    <s v="PR PC 1"/>
    <n v="0.45"/>
    <s v="NUEVO"/>
    <n v="358000"/>
    <n v="139843.75"/>
    <n v="13.984375"/>
    <s v="TECSERV"/>
    <s v="TEXCUMAR"/>
    <s v="UNICO"/>
    <n v="0"/>
    <n v="0"/>
    <n v="0"/>
    <n v="0"/>
    <n v="0"/>
    <n v="0"/>
    <n v="7500"/>
    <n v="8315.84"/>
    <n v="21"/>
    <n v="20.32"/>
    <n v="3248.375"/>
    <n v="185796.8188976378"/>
    <n v="8315.84"/>
    <n v="185796.8188976378"/>
    <n v="3248.375"/>
    <n v="1.8965333333333334"/>
    <n v="43.311666666666667"/>
    <n v="51.898552764703297"/>
    <n v="14539.337000000001"/>
    <n v="34.348958333333336"/>
    <n v="1.7483906616769924"/>
    <s v="NC"/>
    <s v="AUTOMATICA"/>
    <n v="0"/>
    <n v="815.84000000000015"/>
    <n v="0"/>
    <n v="-0.67999999999999972"/>
    <s v="WILMER TORRES"/>
    <s v="PR 05"/>
  </r>
  <r>
    <d v="2026-01-06T00:00:00"/>
    <n v="13"/>
    <x v="0"/>
    <s v="AGUAJE 1"/>
    <x v="0"/>
    <s v="06"/>
    <x v="1"/>
    <n v="6.08"/>
    <s v="ASC-BAP"/>
    <n v="93"/>
    <d v="2025-10-05T00:00:00"/>
    <s v="TI PC 33 - 34"/>
    <n v="0.54"/>
    <n v="8"/>
    <n v="1033600"/>
    <n v="170000"/>
    <n v="17"/>
    <s v="OCEANLAB"/>
    <s v="TEXCUMAR"/>
    <s v="UNICO"/>
    <n v="9000"/>
    <n v="8318.67"/>
    <n v="22.5"/>
    <n v="23.64"/>
    <n v="1368.202302631579"/>
    <n v="159757.87563451778"/>
    <n v="42000"/>
    <n v="45357.74"/>
    <n v="37"/>
    <n v="36.159999999999997"/>
    <n v="7460.1546052631575"/>
    <n v="569480.47455752222"/>
    <n v="53676.409999999996"/>
    <n v="729238.35019203997"/>
    <n v="8828.3569078947367"/>
    <n v="2.7217204301075264"/>
    <n v="94.928568902093943"/>
    <n v="70.553245955112232"/>
    <n v="80192.324999999997"/>
    <n v="64.330432937181669"/>
    <n v="1.4939956863732131"/>
    <s v="NC"/>
    <s v="AUTOMATICA"/>
    <n v="-681.32999999999993"/>
    <n v="3357.739999999998"/>
    <n v="1.1400000000000006"/>
    <n v="-0.84000000000000341"/>
    <s v="ALFONSO GRUNAUER"/>
    <s v="TI 06"/>
  </r>
  <r>
    <d v="2026-01-07T00:00:00"/>
    <n v="14"/>
    <x v="0"/>
    <s v="AGUAJE 1"/>
    <x v="0"/>
    <s v="13"/>
    <x v="5"/>
    <n v="1.6"/>
    <s v="CONVENCIONAL"/>
    <n v="93"/>
    <d v="2025-10-06T00:00:00"/>
    <s v="ME PC 12"/>
    <n v="0.55000000000000004"/>
    <s v="NUEVO"/>
    <n v="256000"/>
    <n v="160000"/>
    <n v="16"/>
    <s v="TECSERV"/>
    <s v="PRONAUPLIO"/>
    <s v="UNICO"/>
    <n v="2000"/>
    <n v="2055.0700000000002"/>
    <n v="27"/>
    <n v="27.68"/>
    <n v="1284.41875"/>
    <n v="33706.711705202317"/>
    <n v="8200"/>
    <n v="8566.75"/>
    <n v="36.5"/>
    <n v="36.92"/>
    <n v="5354.21875"/>
    <n v="105344.10888407366"/>
    <n v="10621.82"/>
    <n v="139050.82058927597"/>
    <n v="6638.6374999999998"/>
    <n v="2.7789247311827956"/>
    <n v="71.383198924731175"/>
    <n v="54.316726792685934"/>
    <n v="16920.305"/>
    <n v="51.579301075268816"/>
    <n v="1.5929760624827007"/>
    <s v="SK"/>
    <s v="AUTOMATICA"/>
    <n v="55.070000000000164"/>
    <n v="366.75"/>
    <n v="0.67999999999999972"/>
    <n v="0.42000000000000171"/>
    <s v="NESTOR MOGOLLON"/>
    <s v="ME 13"/>
  </r>
  <r>
    <d v="2026-01-07T00:00:00"/>
    <n v="15"/>
    <x v="0"/>
    <s v="AGUAJE 1"/>
    <x v="0"/>
    <s v="19"/>
    <x v="5"/>
    <n v="3"/>
    <s v="CONVENCIONAL"/>
    <n v="93"/>
    <d v="2025-10-06T00:00:00"/>
    <s v="ME PC 12"/>
    <n v="0.55000000000000004"/>
    <s v="NUEVO"/>
    <n v="360000"/>
    <n v="120000"/>
    <n v="12"/>
    <s v="TECSERV"/>
    <s v="PRONAUPLIO"/>
    <s v="UNICO"/>
    <n v="3500"/>
    <n v="3606.7"/>
    <n v="28"/>
    <n v="30.36"/>
    <n v="1202.2333333333333"/>
    <n v="53934.183135704872"/>
    <n v="15500"/>
    <n v="14714.11"/>
    <n v="39"/>
    <n v="39.11"/>
    <n v="4904.7033333333338"/>
    <n v="170805.57248785478"/>
    <n v="18320.810000000001"/>
    <n v="224739.75562355964"/>
    <n v="6106.9366666666674"/>
    <n v="2.9437634408602147"/>
    <n v="65.665985663082452"/>
    <n v="62.427709895433239"/>
    <n v="27144.137500000001"/>
    <n v="44.130824372759861"/>
    <n v="1.4816013866199147"/>
    <s v="SK"/>
    <s v="AUTOMATICA"/>
    <n v="106.69999999999982"/>
    <n v="-785.88999999999942"/>
    <n v="2.3599999999999994"/>
    <n v="0.10999999999999943"/>
    <s v="NESTOR MOGOLLON"/>
    <s v="ME 19"/>
  </r>
  <r>
    <d v="2026-01-07T00:00:00"/>
    <n v="16"/>
    <x v="0"/>
    <s v="AGUAJE 1"/>
    <x v="0"/>
    <s v="15"/>
    <x v="0"/>
    <n v="8.1"/>
    <s v="CONVENCIONAL"/>
    <n v="77"/>
    <d v="2025-10-22T00:00:00"/>
    <s v="PR PC 3"/>
    <n v="0.38"/>
    <n v="10"/>
    <n v="1215000"/>
    <n v="150000"/>
    <n v="15"/>
    <s v="TECSERV"/>
    <s v="TEXCUMAR"/>
    <s v="UNICO"/>
    <n v="0"/>
    <n v="0"/>
    <n v="0"/>
    <n v="0"/>
    <n v="0"/>
    <n v="0"/>
    <n v="24300"/>
    <n v="26788.91"/>
    <n v="27"/>
    <n v="27.36"/>
    <n v="3307.2728395061731"/>
    <n v="444523.57967836258"/>
    <n v="26788.91"/>
    <n v="444523.57967836258"/>
    <n v="3307.2728395061731"/>
    <n v="2.4872727272727273"/>
    <n v="42.951595318261987"/>
    <n v="36.586302854186222"/>
    <n v="41556.71"/>
    <n v="30.222863556196891"/>
    <n v="1.5512654303590552"/>
    <s v="SK"/>
    <s v="AUTOMATICA"/>
    <n v="0"/>
    <n v="2488.91"/>
    <n v="0"/>
    <n v="0.35999999999999943"/>
    <s v="WILMER TORRES"/>
    <s v="PR 15"/>
  </r>
  <r>
    <d v="2026-01-07T00:00:00"/>
    <n v="17"/>
    <x v="0"/>
    <s v="AGUAJE 1"/>
    <x v="0"/>
    <s v="07"/>
    <x v="1"/>
    <n v="2.72"/>
    <s v="ASC-BAP"/>
    <n v="94"/>
    <d v="2025-10-05T00:00:00"/>
    <s v="TI PC 34"/>
    <n v="0.57999999999999996"/>
    <n v="7"/>
    <n v="462400"/>
    <n v="170000"/>
    <n v="17"/>
    <s v="OCEANLAB"/>
    <s v="TEXCUMAR"/>
    <s v="UNICO"/>
    <n v="4600"/>
    <n v="4978.58"/>
    <n v="24"/>
    <n v="25.68"/>
    <n v="1830.3602941176468"/>
    <n v="88016.95171339564"/>
    <n v="20800"/>
    <n v="21533.57"/>
    <n v="37"/>
    <n v="36.78"/>
    <n v="7916.7536764705874"/>
    <n v="265803.17509516038"/>
    <n v="26512.15"/>
    <n v="353820.12680855603"/>
    <n v="9747.1139705882342"/>
    <n v="2.7389361702127659"/>
    <n v="103.69270181476845"/>
    <n v="76.51819351396108"/>
    <n v="38448.224000000002"/>
    <n v="68.210262828535662"/>
    <n v="1.4502114690811572"/>
    <s v="NC"/>
    <s v="AUTOMATICA"/>
    <n v="378.57999999999993"/>
    <n v="733.56999999999971"/>
    <n v="1.6799999999999997"/>
    <n v="-0.21999999999999886"/>
    <s v="ALFONSO GRUNAUER"/>
    <s v="TI 07"/>
  </r>
  <r>
    <d v="2026-01-07T00:00:00"/>
    <n v="18"/>
    <x v="0"/>
    <s v="AGUAJE 1"/>
    <x v="0"/>
    <s v="14"/>
    <x v="6"/>
    <n v="6"/>
    <s v="CONVENCIONAL"/>
    <n v="91"/>
    <d v="2025-10-08T00:00:00"/>
    <s v="WA PC 6"/>
    <n v="0.3"/>
    <s v="NUEVO"/>
    <n v="873000"/>
    <n v="145500"/>
    <n v="14.55"/>
    <s v="ACUATECSA"/>
    <s v="TEXCUMAR"/>
    <s v="UNICO"/>
    <n v="0"/>
    <n v="0"/>
    <n v="21"/>
    <n v="21.36"/>
    <n v="0"/>
    <n v="0"/>
    <n v="19000"/>
    <n v="21460.639999999999"/>
    <n v="21"/>
    <n v="21.36"/>
    <n v="3576.7733333333331"/>
    <n v="456139.07116104872"/>
    <n v="21460.639999999999"/>
    <n v="456139.07116104872"/>
    <n v="3576.7733333333331"/>
    <n v="1.6430769230769231"/>
    <n v="39.305201465201463"/>
    <n v="52.249607234942573"/>
    <n v="33260.800200000005"/>
    <n v="27.631868131868139"/>
    <n v="1.549851271909878"/>
    <s v="SK"/>
    <s v="BOLEO"/>
    <n v="0"/>
    <n v="2460.6399999999994"/>
    <n v="0.35999999999999943"/>
    <n v="0.35999999999999943"/>
    <s v="JUNIOR ESQUIVEL"/>
    <s v="WA 14"/>
  </r>
  <r>
    <d v="2026-01-08T00:00:00"/>
    <n v="19"/>
    <x v="0"/>
    <s v="AGUAJE 1"/>
    <x v="0"/>
    <s v="15"/>
    <x v="4"/>
    <n v="7.5"/>
    <s v="CONVENCIONAL"/>
    <n v="71"/>
    <d v="2025-10-29T00:00:00"/>
    <s v="DE PS 14"/>
    <n v="2.6"/>
    <n v="6"/>
    <n v="1125000"/>
    <n v="150000"/>
    <n v="15"/>
    <s v="EMPAGRAN"/>
    <s v="EMPAGRAN"/>
    <s v="UNICO"/>
    <n v="8000"/>
    <n v="7833.54"/>
    <n v="25"/>
    <n v="23.7"/>
    <n v="1044.472"/>
    <n v="150060.217721519"/>
    <n v="39750"/>
    <n v="41647.85"/>
    <n v="30"/>
    <n v="30.55"/>
    <n v="5553.0466666666662"/>
    <n v="618923.85924713581"/>
    <n v="49481.39"/>
    <n v="768984.07696865476"/>
    <n v="6597.5186666666668"/>
    <n v="3.0119718309859156"/>
    <n v="92.922798122065728"/>
    <n v="68.354140174991528"/>
    <n v="60791.845000000001"/>
    <n v="51.784037558685441"/>
    <n v="1.228579977239928"/>
    <s v="SK"/>
    <s v="AUTOMATICA"/>
    <n v="-166.46000000000004"/>
    <n v="1897.8499999999985"/>
    <n v="-1.3000000000000007"/>
    <n v="0.55000000000000071"/>
    <s v="CARLOS FLORES"/>
    <s v="DE 15"/>
  </r>
  <r>
    <d v="2026-01-08T00:00:00"/>
    <n v="20"/>
    <x v="0"/>
    <s v="AGUAJE 1"/>
    <x v="0"/>
    <s v="06"/>
    <x v="7"/>
    <n v="5.23"/>
    <s v="ASC-BAP"/>
    <n v="85"/>
    <d v="2025-10-15T00:00:00"/>
    <s v="DO PC 1"/>
    <n v="0.66"/>
    <n v="17"/>
    <n v="889091"/>
    <n v="169998.27915869979"/>
    <n v="16.999827915869979"/>
    <s v="OCEANLAB"/>
    <s v="TEXCUMAR"/>
    <s v="UNICO"/>
    <n v="16200"/>
    <n v="14595.48"/>
    <n v="29"/>
    <n v="30.11"/>
    <n v="2790.72275334608"/>
    <n v="253500.11834254646"/>
    <n v="30300"/>
    <n v="30145.59"/>
    <n v="36"/>
    <n v="37.049999999999997"/>
    <n v="5763.9751434034415"/>
    <n v="369395.35384615388"/>
    <n v="44741.07"/>
    <n v="622895.47218870034"/>
    <n v="8554.6978967495215"/>
    <n v="3.0511764705882354"/>
    <n v="100.64350466764142"/>
    <n v="70.059810771754556"/>
    <n v="56382.645000000004"/>
    <n v="57.530086604431446"/>
    <n v="1.2601988508544835"/>
    <s v="SK"/>
    <s v="AUTOMATICA"/>
    <n v="-1604.5200000000004"/>
    <n v="-154.40999999999985"/>
    <n v="1.1099999999999994"/>
    <n v="1.0499999999999972"/>
    <s v="JOSE CEDEÑO"/>
    <s v="DO 06"/>
  </r>
  <r>
    <d v="2026-01-08T00:00:00"/>
    <n v="21"/>
    <x v="0"/>
    <s v="AGUAJE 1"/>
    <x v="0"/>
    <s v="07"/>
    <x v="7"/>
    <n v="6.31"/>
    <s v="ASC-BAP"/>
    <n v="90"/>
    <d v="2025-10-10T00:00:00"/>
    <s v="DO PC 1"/>
    <n v="0.66"/>
    <n v="7"/>
    <n v="1135800"/>
    <n v="180000"/>
    <n v="18"/>
    <s v="OCEANLAB"/>
    <s v="TEXCUMAR"/>
    <s v="UNICO"/>
    <n v="17900"/>
    <n v="17159.810000000001"/>
    <n v="26"/>
    <n v="27.380000000000003"/>
    <n v="2719.4627575277341"/>
    <n v="288972.91948816023"/>
    <n v="37600"/>
    <n v="38405.839999999997"/>
    <n v="30"/>
    <n v="30.16"/>
    <n v="6086.5039619651343"/>
    <n v="578125.04509283812"/>
    <n v="55565.649999999994"/>
    <n v="867097.96458099829"/>
    <n v="8805.9667194928679"/>
    <n v="2.3457777777777777"/>
    <n v="97.844074661031868"/>
    <n v="76.342486756559097"/>
    <n v="74239.904999999999"/>
    <n v="59.297411516112"/>
    <n v="1.3360755250770937"/>
    <s v="SK"/>
    <s v="AUTOMATICA"/>
    <n v="-740.18999999999869"/>
    <n v="805.83999999999651"/>
    <n v="1.3800000000000026"/>
    <n v="0.16000000000000014"/>
    <s v="JOSE CEDEÑO"/>
    <s v="DO 07"/>
  </r>
  <r>
    <d v="2026-01-08T00:00:00"/>
    <n v="22"/>
    <x v="0"/>
    <s v="AGUAJE 1"/>
    <x v="0"/>
    <s v="14"/>
    <x v="8"/>
    <n v="11"/>
    <s v="ASC-BAP"/>
    <n v="77"/>
    <d v="2025-10-23T00:00:00"/>
    <s v="PA PS 13"/>
    <n v="4"/>
    <n v="7"/>
    <n v="1520000"/>
    <n v="138181.81818181818"/>
    <n v="13.818181818181818"/>
    <s v="OCEANLAB"/>
    <s v="TEXCUMAR"/>
    <s v="UNICO"/>
    <n v="19000"/>
    <n v="18395.86"/>
    <n v="19"/>
    <n v="19.39"/>
    <n v="1672.3509090909092"/>
    <n v="428009.5683838554"/>
    <n v="43400"/>
    <n v="41661.11"/>
    <n v="34"/>
    <n v="34.44"/>
    <n v="3787.3736363636363"/>
    <n v="549191.1713124275"/>
    <n v="60056.97"/>
    <n v="977200.73969628289"/>
    <n v="5459.7245454545455"/>
    <n v="3.1309090909090909"/>
    <n v="70.90551357733176"/>
    <n v="64.289522348439661"/>
    <n v="72751.8"/>
    <n v="38.961038961038959"/>
    <n v="1.2113797948847569"/>
    <s v="NC"/>
    <s v="AUTOMATICA"/>
    <n v="-604.13999999999942"/>
    <n v="-1738.8899999999994"/>
    <n v="0.39000000000000057"/>
    <n v="0.43999999999999773"/>
    <s v="GUSTAVO CARRASCO"/>
    <s v="PA 14"/>
  </r>
  <r>
    <d v="2026-01-08T00:00:00"/>
    <n v="23"/>
    <x v="0"/>
    <s v="AGUAJE 1"/>
    <x v="0"/>
    <s v="11"/>
    <x v="9"/>
    <n v="2"/>
    <s v="ASC-BAP"/>
    <n v="89"/>
    <d v="2025-10-11T00:00:00"/>
    <s v="RO PC 16"/>
    <n v="0.55000000000000004"/>
    <n v="11"/>
    <n v="380000"/>
    <n v="190000"/>
    <n v="19"/>
    <s v="ACUATECSA"/>
    <s v="TEXCUMAR"/>
    <s v="UNICO"/>
    <n v="6150"/>
    <n v="6569.91"/>
    <n v="24"/>
    <n v="26.39"/>
    <n v="3284.9549999999999"/>
    <n v="110527.78038351843"/>
    <n v="11200"/>
    <n v="11876.39"/>
    <n v="36"/>
    <n v="37.83"/>
    <n v="5938.1949999999997"/>
    <n v="142529.237642083"/>
    <n v="18446.3"/>
    <n v="253057.01802560143"/>
    <n v="9223.15"/>
    <n v="2.9753932584269664"/>
    <n v="103.63089887640449"/>
    <n v="66.59395211200038"/>
    <n v="27237.833000000002"/>
    <n v="69.410112359550567"/>
    <n v="1.4766014322655494"/>
    <s v="SK"/>
    <s v="AUTOMATICA"/>
    <n v="419.90999999999985"/>
    <n v="676.38999999999942"/>
    <n v="2.3900000000000006"/>
    <n v="1.8299999999999983"/>
    <s v="VICTOR QUINTANA"/>
    <s v="RO 11"/>
  </r>
  <r>
    <d v="2026-01-09T00:00:00"/>
    <n v="24"/>
    <x v="0"/>
    <s v="AGUAJE 1"/>
    <x v="0"/>
    <s v="27"/>
    <x v="4"/>
    <n v="13.5"/>
    <s v="CONVENCIONAL"/>
    <n v="93"/>
    <d v="2025-10-08T00:00:00"/>
    <s v="DE PC 17"/>
    <n v="0.65"/>
    <n v="6"/>
    <n v="2160000"/>
    <n v="160000"/>
    <n v="16"/>
    <s v="ACUATECSA"/>
    <s v="TEXCUMAR"/>
    <s v="UNICO"/>
    <n v="14400"/>
    <n v="14234.75"/>
    <n v="23"/>
    <n v="24.72"/>
    <n v="1054.4259259259259"/>
    <n v="261431.08818770229"/>
    <n v="67400"/>
    <n v="71890.450000000012"/>
    <n v="37"/>
    <n v="36.86"/>
    <n v="5325.218518518519"/>
    <n v="885465.66196418891"/>
    <n v="86125.200000000012"/>
    <n v="1146896.7501518913"/>
    <n v="6379.6444444444451"/>
    <n v="2.7744086021505376"/>
    <n v="68.598327359617684"/>
    <n v="53.097071766291258"/>
    <n v="123071.79500000001"/>
    <n v="44.46435682994823"/>
    <n v="1.428987044442277"/>
    <s v="SK"/>
    <s v="AUTOMATICA"/>
    <n v="-165.25"/>
    <n v="4490.4500000000116"/>
    <n v="1.7199999999999989"/>
    <n v="-0.14000000000000057"/>
    <s v="CARLOS FLORES"/>
    <s v="DE 27"/>
  </r>
  <r>
    <d v="2026-01-09T00:00:00"/>
    <n v="25"/>
    <x v="0"/>
    <s v="AGUAJE 1"/>
    <x v="0"/>
    <s v="13"/>
    <x v="9"/>
    <n v="4.8"/>
    <s v="ASC-BAP"/>
    <n v="90"/>
    <d v="2025-10-11T00:00:00"/>
    <s v="RO PC 16"/>
    <n v="0.55000000000000004"/>
    <n v="10"/>
    <n v="864000"/>
    <n v="180000"/>
    <n v="18"/>
    <s v="ACUATECSA"/>
    <s v="TEXCUMAR"/>
    <s v="UNICO"/>
    <n v="7000"/>
    <n v="7873.67"/>
    <n v="23"/>
    <n v="23.44"/>
    <n v="1640.3479166666668"/>
    <n v="152501.97013651876"/>
    <n v="22800"/>
    <n v="25725.18"/>
    <n v="35"/>
    <n v="34.83"/>
    <n v="5359.4125000000004"/>
    <n v="335321.03703703708"/>
    <n v="33598.85"/>
    <n v="487823.00717355584"/>
    <n v="6999.760416666667"/>
    <n v="2.7089999999999996"/>
    <n v="77.775115740740745"/>
    <n v="56.460996200643031"/>
    <n v="50099.535000000003"/>
    <n v="52.604166666666664"/>
    <n v="1.4911086242535088"/>
    <s v="SK"/>
    <s v="AUTOMATICA"/>
    <n v="873.67000000000007"/>
    <n v="2925.1800000000003"/>
    <n v="0.44000000000000128"/>
    <n v="-0.17000000000000171"/>
    <s v="VICTOR QUINTANA"/>
    <s v="RO 13"/>
  </r>
  <r>
    <d v="2026-01-10T00:00:00"/>
    <n v="26"/>
    <x v="0"/>
    <s v="AGUAJE 1"/>
    <x v="0"/>
    <s v="28"/>
    <x v="7"/>
    <n v="7.74"/>
    <s v="ASC-BAP"/>
    <n v="95"/>
    <d v="2025-10-07T00:00:00"/>
    <s v="DO PC 0"/>
    <n v="0.52"/>
    <n v="3"/>
    <n v="1393192"/>
    <n v="179998.96640826872"/>
    <n v="17.999896640826872"/>
    <s v="BIOLACAM"/>
    <s v="TEXCUMAR"/>
    <s v="UNICO"/>
    <n v="27700"/>
    <n v="23983.199999999997"/>
    <n v="27"/>
    <n v="30.189999999999998"/>
    <n v="3098.6046511627901"/>
    <n v="360593.47163230879"/>
    <n v="40000"/>
    <n v="41618.050000000003"/>
    <n v="37"/>
    <n v="35.74"/>
    <n v="5377.0090439276491"/>
    <n v="528668.01063234475"/>
    <n v="65601.25"/>
    <n v="889261.48226465355"/>
    <n v="8475.6136950904383"/>
    <n v="2.6334736842105264"/>
    <n v="89.216986264109877"/>
    <n v="63.829068948476134"/>
    <n v="92593.200000000012"/>
    <n v="57.119543043655646"/>
    <n v="1.4114548122177553"/>
    <s v="SK"/>
    <s v="AUTOMATICA"/>
    <n v="-3716.8000000000029"/>
    <n v="1618.0500000000029"/>
    <n v="3.1899999999999977"/>
    <n v="-1.259999999999998"/>
    <s v="JOSE CEDEÑO"/>
    <s v="DO 28"/>
  </r>
  <r>
    <d v="2026-01-10T00:00:00"/>
    <n v="27"/>
    <x v="0"/>
    <s v="AGUAJE 1"/>
    <x v="0"/>
    <s v="21"/>
    <x v="10"/>
    <n v="3.32"/>
    <s v="CONVENCIONAL"/>
    <n v="76"/>
    <d v="2025-10-26T00:00:00"/>
    <s v="GT PC 9"/>
    <n v="1.52"/>
    <n v="6"/>
    <n v="531200"/>
    <n v="160000"/>
    <n v="16"/>
    <s v="DEONES"/>
    <s v="TEXCUMAR"/>
    <s v="UNICO"/>
    <n v="9000"/>
    <n v="9958.2799999999988"/>
    <n v="26.5"/>
    <n v="25.58"/>
    <n v="2999.4819277108431"/>
    <n v="176417.88021455429"/>
    <n v="9200"/>
    <n v="8849.6299999999992"/>
    <n v="30"/>
    <n v="29.56"/>
    <n v="2665.5512048192768"/>
    <n v="135917.86265223272"/>
    <n v="18807.909999999996"/>
    <n v="312335.74286678701"/>
    <n v="5665.0331325301195"/>
    <n v="2.7226315789473681"/>
    <n v="74.539909638554207"/>
    <n v="58.798144364982498"/>
    <n v="33337.961200000005"/>
    <n v="59.931832593532029"/>
    <n v="1.7725500175192253"/>
    <s v="CG"/>
    <s v="AUTOMATICA"/>
    <n v="958.27999999999884"/>
    <n v="-350.3700000000008"/>
    <n v="-0.92000000000000171"/>
    <n v="-0.44000000000000128"/>
    <s v="JULIO SANTOS"/>
    <s v="GT 21"/>
  </r>
  <r>
    <d v="2026-01-10T00:00:00"/>
    <n v="28"/>
    <x v="0"/>
    <s v="AGUAJE 1"/>
    <x v="0"/>
    <s v="12"/>
    <x v="9"/>
    <n v="5.2"/>
    <s v="ASC-BAP"/>
    <n v="91"/>
    <d v="2025-10-11T00:00:00"/>
    <s v="RO PC 16"/>
    <n v="0.55000000000000004"/>
    <n v="8"/>
    <n v="936000"/>
    <n v="180000"/>
    <n v="18"/>
    <s v="ACUATECSA"/>
    <s v="TEXCUMAR"/>
    <s v="UNICO"/>
    <n v="6000"/>
    <n v="5843.38"/>
    <n v="19"/>
    <n v="23.36"/>
    <n v="1123.726923076923"/>
    <n v="113565.69006849316"/>
    <n v="25350"/>
    <n v="28129.03"/>
    <n v="37"/>
    <n v="35.619999999999997"/>
    <n v="5409.4288461538454"/>
    <n v="358522.72936552501"/>
    <n v="33972.409999999996"/>
    <n v="472088.4194340182"/>
    <n v="6533.1557692307679"/>
    <n v="2.7399999999999998"/>
    <n v="71.792920540997443"/>
    <n v="50.436796948078864"/>
    <n v="50496.363000000005"/>
    <n v="48.404480135249365"/>
    <n v="1.4863933115136669"/>
    <s v="SK"/>
    <s v="AUTOMATICA"/>
    <n v="-156.61999999999989"/>
    <n v="2779.0299999999988"/>
    <n v="4.3599999999999994"/>
    <n v="-1.3800000000000026"/>
    <s v="VICTOR QUINTANA"/>
    <s v="RO 12"/>
  </r>
  <r>
    <d v="2026-01-11T00:00:00"/>
    <n v="29"/>
    <x v="0"/>
    <s v="AGUAJE 1"/>
    <x v="0"/>
    <s v="10"/>
    <x v="2"/>
    <n v="2.36"/>
    <s v="ASC-BAP"/>
    <n v="87"/>
    <d v="2025-10-16T00:00:00"/>
    <s v="CA PC 1A"/>
    <n v="0.4"/>
    <n v="3"/>
    <n v="377600"/>
    <n v="160000"/>
    <n v="16"/>
    <s v="ACUATECSA"/>
    <s v="TEXCUMAR"/>
    <s v="UNICO"/>
    <n v="3000"/>
    <n v="2798.94"/>
    <n v="19"/>
    <n v="21.88"/>
    <n v="1185.9915254237289"/>
    <n v="58076.725776965272"/>
    <n v="12000"/>
    <n v="11721.8"/>
    <n v="40"/>
    <n v="37.64"/>
    <n v="4966.8644067796613"/>
    <n v="141384.091392136"/>
    <n v="14520.74"/>
    <n v="199460.81716910127"/>
    <n v="6152.8559322033898"/>
    <n v="3.0285057471264367"/>
    <n v="70.722481979349311"/>
    <n v="52.823309631647589"/>
    <n v="22597.15"/>
    <n v="49.922072861874149"/>
    <n v="1.5561982378308545"/>
    <s v="NC"/>
    <s v="AUTOMATICA"/>
    <n v="-201.05999999999995"/>
    <n v="-278.20000000000073"/>
    <n v="2.879999999999999"/>
    <n v="-2.3599999999999994"/>
    <s v="VICTOR QUINTANA"/>
    <s v="CA 10"/>
  </r>
  <r>
    <d v="2026-01-11T00:00:00"/>
    <n v="30"/>
    <x v="0"/>
    <s v="AGUAJE 1"/>
    <x v="0"/>
    <s v="20"/>
    <x v="7"/>
    <n v="9.18"/>
    <s v="ASC-BAP"/>
    <n v="84"/>
    <d v="2025-10-19T00:00:00"/>
    <s v="DO PC 3"/>
    <n v="0.55000000000000004"/>
    <n v="4"/>
    <n v="1562418"/>
    <n v="170198.03921568627"/>
    <n v="17.019803921568627"/>
    <s v="EMPAGRAN"/>
    <s v="EMPAGRAN"/>
    <s v="UNICO"/>
    <n v="10100"/>
    <n v="9665.619999999999"/>
    <n v="27.333333333333332"/>
    <n v="26.909999999999997"/>
    <n v="1052.8997821350761"/>
    <n v="175738.54545454544"/>
    <n v="60850"/>
    <n v="60217.82"/>
    <n v="29"/>
    <n v="27.88"/>
    <n v="6559.6753812636171"/>
    <n v="980591.47345767578"/>
    <n v="69883.44"/>
    <n v="1156330.0189122213"/>
    <n v="7612.5751633986929"/>
    <n v="2.3233333333333333"/>
    <n v="90.625894802365394"/>
    <n v="74.009005202975217"/>
    <n v="88514.69"/>
    <n v="52.067123145554518"/>
    <n v="1.2666046491128657"/>
    <s v="SK"/>
    <s v="AUTOMATICA"/>
    <n v="-434.38000000000102"/>
    <n v="-632.18000000000029"/>
    <n v="-0.42333333333333556"/>
    <n v="-1.120000000000001"/>
    <s v="JOSE CEDEÑO"/>
    <s v="DO 20"/>
  </r>
  <r>
    <d v="2026-01-11T00:00:00"/>
    <n v="31"/>
    <x v="0"/>
    <s v="AGUAJE 1"/>
    <x v="0"/>
    <s v="04"/>
    <x v="10"/>
    <n v="6.62"/>
    <s v="CONVENCIONAL"/>
    <n v="79"/>
    <d v="2025-10-24T00:00:00"/>
    <s v="GT PC 5"/>
    <n v="0.56999999999999995"/>
    <n v="7"/>
    <n v="1059200"/>
    <n v="160000"/>
    <n v="16"/>
    <s v="GENESIS"/>
    <s v="TEXCUMAR"/>
    <s v="UNICO"/>
    <n v="8300"/>
    <n v="8713.44"/>
    <n v="27"/>
    <n v="29.34"/>
    <n v="1316.2296072507554"/>
    <n v="134829.64417177916"/>
    <n v="32800"/>
    <n v="33540.660000000003"/>
    <n v="33"/>
    <n v="33.76"/>
    <n v="5066.5649546827799"/>
    <n v="451050.34478672995"/>
    <n v="42254.100000000006"/>
    <n v="585879.98895850917"/>
    <n v="6382.7945619335351"/>
    <n v="2.9913924050632907"/>
    <n v="80.79486787257639"/>
    <n v="55.31344306632451"/>
    <n v="64925.47"/>
    <n v="56.311904852958051"/>
    <n v="1.5365484059535048"/>
    <s v="CG"/>
    <s v="AUTOMATICA"/>
    <n v="413.44000000000051"/>
    <n v="740.66000000000349"/>
    <n v="2.34"/>
    <n v="0.75999999999999801"/>
    <s v="JULIO SANTOS"/>
    <s v="GT 04"/>
  </r>
  <r>
    <d v="2026-01-11T00:00:00"/>
    <n v="32"/>
    <x v="0"/>
    <s v="AGUAJE 1"/>
    <x v="0"/>
    <s v="17"/>
    <x v="0"/>
    <n v="5"/>
    <s v="CONVENCIONAL"/>
    <n v="63"/>
    <d v="2025-11-09T00:00:00"/>
    <s v="PR PC 23"/>
    <n v="0.35"/>
    <n v="11"/>
    <n v="775000"/>
    <n v="155000"/>
    <n v="15.5"/>
    <s v="GRILSAN"/>
    <s v="AQUAGEN"/>
    <s v="UNICO"/>
    <n v="0"/>
    <n v="0"/>
    <n v="0"/>
    <n v="0"/>
    <n v="0"/>
    <n v="0"/>
    <n v="13500"/>
    <n v="15534.3"/>
    <n v="21"/>
    <n v="21.62"/>
    <n v="3106.8599999999997"/>
    <n v="326205.92969472706"/>
    <n v="15534.3"/>
    <n v="326205.92969472706"/>
    <n v="3106.8599999999997"/>
    <n v="2.4022222222222225"/>
    <n v="49.315238095238087"/>
    <n v="42.09108770254543"/>
    <n v="20425.619000000002"/>
    <n v="29.412698412698411"/>
    <n v="1.3148721860656742"/>
    <s v="SK"/>
    <s v="AUTOMATICA"/>
    <n v="0"/>
    <n v="2034.2999999999993"/>
    <n v="0"/>
    <n v="0.62000000000000099"/>
    <s v="WILMER TORRES"/>
    <s v="PR 17"/>
  </r>
  <r>
    <d v="2026-01-12T00:00:00"/>
    <n v="33"/>
    <x v="0"/>
    <s v="AGUAJE 1"/>
    <x v="0"/>
    <s v="21"/>
    <x v="3"/>
    <n v="5.15"/>
    <s v="ASC"/>
    <n v="78"/>
    <d v="2025-10-26T00:00:00"/>
    <s v="CH PS 17"/>
    <n v="0.65"/>
    <n v="6"/>
    <n v="721000"/>
    <n v="140000"/>
    <n v="14"/>
    <s v="MAXILARVA"/>
    <s v="TEXCUMAR"/>
    <s v="UNICO"/>
    <n v="5600"/>
    <n v="5945.35"/>
    <n v="28"/>
    <n v="29.18"/>
    <n v="1154.4368932038835"/>
    <n v="92501.333104866368"/>
    <n v="22000"/>
    <n v="23462.769999999997"/>
    <n v="36"/>
    <n v="34.68"/>
    <n v="4555.8776699029113"/>
    <n v="307153.90945790074"/>
    <n v="29408.119999999995"/>
    <n v="399655.24256276712"/>
    <n v="5710.3145631067946"/>
    <n v="3.1123076923076924"/>
    <n v="73.209161065471719"/>
    <n v="55.430685514946902"/>
    <n v="47784.705000000002"/>
    <n v="53.958177744585505"/>
    <n v="1.6248813252938308"/>
    <s v="SK"/>
    <s v="AUTOMATICA"/>
    <n v="345.35000000000036"/>
    <n v="1462.7699999999968"/>
    <n v="1.1799999999999997"/>
    <n v="-1.3200000000000003"/>
    <s v="SANTIAGO OBRIEN"/>
    <s v="CH 21"/>
  </r>
  <r>
    <d v="2026-01-12T00:00:00"/>
    <n v="34"/>
    <x v="0"/>
    <s v="AGUAJE 1"/>
    <x v="0"/>
    <s v="18"/>
    <x v="10"/>
    <n v="4.47"/>
    <s v="CONVENCIONAL"/>
    <n v="82"/>
    <d v="2025-10-22T00:00:00"/>
    <s v="GT PC 6"/>
    <n v="0.53"/>
    <n v="6"/>
    <n v="759900"/>
    <n v="170000"/>
    <n v="17"/>
    <s v="TECSERV"/>
    <s v="TEXCUMAR"/>
    <s v="UNICO"/>
    <n v="13100"/>
    <n v="13956.24"/>
    <n v="25.5"/>
    <n v="25.265000000000001"/>
    <n v="3122.2013422818795"/>
    <n v="247960.78404882899"/>
    <n v="17000"/>
    <n v="18399.46"/>
    <n v="29"/>
    <n v="28.44"/>
    <n v="4116.2102908277402"/>
    <n v="293718.52461322077"/>
    <n v="32355.699999999997"/>
    <n v="541679.30866204971"/>
    <n v="7238.4116331096193"/>
    <n v="2.4278048780487809"/>
    <n v="88.273312598897803"/>
    <n v="71.28297258350436"/>
    <n v="47778.091200000003"/>
    <n v="59.125879849402523"/>
    <n v="1.4766514462675822"/>
    <s v="CG"/>
    <s v="AUTOMATICA"/>
    <n v="856.23999999999978"/>
    <n v="1399.4599999999991"/>
    <n v="-0.23499999999999943"/>
    <n v="-0.55999999999999872"/>
    <s v="JULIO SANTOS"/>
    <s v="GT 18"/>
  </r>
  <r>
    <d v="2026-01-12T00:00:00"/>
    <n v="35"/>
    <x v="0"/>
    <s v="AGUAJE 1"/>
    <x v="0"/>
    <s v="21"/>
    <x v="0"/>
    <n v="1.7"/>
    <s v="CONVENCIONAL"/>
    <n v="64"/>
    <d v="2025-11-09T00:00:00"/>
    <s v="PR PC 23"/>
    <n v="0.35"/>
    <n v="12"/>
    <n v="204000"/>
    <n v="120000"/>
    <n v="12"/>
    <s v="GRILSAN"/>
    <s v="AQUAGEN"/>
    <s v="UNICO"/>
    <n v="0"/>
    <n v="0"/>
    <n v="0"/>
    <n v="0"/>
    <n v="0"/>
    <n v="0"/>
    <n v="5400"/>
    <n v="6001.96"/>
    <n v="21"/>
    <n v="21.86"/>
    <n v="3530.5647058823529"/>
    <n v="124651.86825251601"/>
    <n v="6001.96"/>
    <n v="124651.86825251601"/>
    <n v="3530.5647058823529"/>
    <n v="2.3909375000000002"/>
    <n v="55.165073529411764"/>
    <n v="61.103856986527461"/>
    <n v="7319.2719999999999"/>
    <n v="30.514705882352942"/>
    <n v="1.2194803031009871"/>
    <s v="SK"/>
    <s v="AUTOMATICA"/>
    <n v="0"/>
    <n v="601.96"/>
    <n v="0"/>
    <n v="0.85999999999999943"/>
    <s v="WILMER TORRES"/>
    <s v="PR 21"/>
  </r>
  <r>
    <d v="2026-01-12T00:00:00"/>
    <n v="36"/>
    <x v="0"/>
    <s v="AGUAJE 1"/>
    <x v="0"/>
    <s v="22"/>
    <x v="0"/>
    <n v="2.54"/>
    <s v="CONVENCIONAL"/>
    <n v="64"/>
    <d v="2025-11-09T00:00:00"/>
    <s v="PR PC 23"/>
    <n v="0.35"/>
    <n v="10"/>
    <n v="355600"/>
    <n v="140000"/>
    <n v="14"/>
    <s v="GRILSAN"/>
    <s v="AQUAGEN"/>
    <s v="UNICO"/>
    <n v="0"/>
    <n v="0"/>
    <n v="0"/>
    <n v="0"/>
    <n v="0"/>
    <n v="0"/>
    <n v="7200"/>
    <n v="7729.25"/>
    <n v="20"/>
    <n v="17.82"/>
    <n v="3043.0118110236222"/>
    <n v="196918.04152637484"/>
    <n v="7729.25"/>
    <n v="196918.04152637484"/>
    <n v="3043.0118110236222"/>
    <n v="1.9490625000000001"/>
    <n v="47.547059547244096"/>
    <n v="55.376277144649841"/>
    <n v="10515.942000000001"/>
    <n v="29.343011811023622"/>
    <n v="1.3605384739787174"/>
    <s v="SK"/>
    <s v="AUTOMATICA"/>
    <n v="0"/>
    <n v="529.25"/>
    <n v="0"/>
    <n v="-2.1799999999999997"/>
    <s v="WILMER TORRES"/>
    <s v="PR 22"/>
  </r>
  <r>
    <d v="2026-01-12T00:00:00"/>
    <n v="37"/>
    <x v="0"/>
    <s v="AGUAJE 1"/>
    <x v="0"/>
    <s v="08"/>
    <x v="11"/>
    <n v="8"/>
    <s v="ASC-BAP"/>
    <n v="65"/>
    <d v="2025-11-08T00:00:00"/>
    <s v="TA PC 9"/>
    <n v="4.5"/>
    <n v="5"/>
    <n v="1360000"/>
    <n v="170000"/>
    <n v="17"/>
    <s v="ACUATECSA"/>
    <s v="TEXCUMAR"/>
    <s v="UNICO"/>
    <n v="26000"/>
    <n v="25836.43"/>
    <n v="23.25"/>
    <n v="24.270000000000003"/>
    <n v="3229.55375"/>
    <n v="495176.88306486094"/>
    <n v="54200"/>
    <n v="54785.26"/>
    <n v="37"/>
    <n v="36.799999999999997"/>
    <n v="6848.1575000000003"/>
    <n v="675883.370652174"/>
    <n v="80621.69"/>
    <n v="1171060.2537170351"/>
    <n v="10077.71125"/>
    <n v="3.9630769230769225"/>
    <n v="155.04171153846156"/>
    <n v="86.107371596840807"/>
    <n v="97222.86"/>
    <n v="84.807692307692307"/>
    <n v="1.2059144381617404"/>
    <s v="CG"/>
    <s v="AUTOMATICA"/>
    <n v="-163.56999999999971"/>
    <n v="585.26000000000204"/>
    <n v="1.0200000000000031"/>
    <n v="-0.20000000000000284"/>
    <s v="ALFONSO GRUNAUER"/>
    <s v="TA 08"/>
  </r>
  <r>
    <d v="2026-01-13T00:00:00"/>
    <n v="38"/>
    <x v="0"/>
    <s v="AGUAJE 1"/>
    <x v="0"/>
    <s v="23"/>
    <x v="3"/>
    <n v="6.1"/>
    <s v="ASC"/>
    <n v="80"/>
    <d v="2025-10-25T00:00:00"/>
    <s v="CH PS 17"/>
    <n v="0.62"/>
    <n v="4"/>
    <n v="1098000"/>
    <n v="180000"/>
    <n v="18"/>
    <s v="MAXILARVA"/>
    <s v="TEXCUMAR"/>
    <s v="UNICO"/>
    <n v="14200"/>
    <n v="14938.34"/>
    <n v="27.25"/>
    <n v="26.28"/>
    <n v="2448.9081967213115"/>
    <n v="266693.69340749341"/>
    <n v="31350"/>
    <n v="32915.61"/>
    <n v="36"/>
    <n v="35.72"/>
    <n v="5396.0016393442629"/>
    <n v="418356.29731242999"/>
    <n v="47853.95"/>
    <n v="685049.9907199234"/>
    <n v="7844.9098360655735"/>
    <n v="3.1254999999999997"/>
    <n v="98.061372950819674"/>
    <n v="62.390709537333642"/>
    <n v="68783.520000000004"/>
    <n v="63.934426229508198"/>
    <n v="1.4373634778320286"/>
    <s v="SK"/>
    <s v="AUTOMATICA"/>
    <n v="738.34000000000015"/>
    <n v="1565.6100000000006"/>
    <n v="-0.96999999999999886"/>
    <n v="-0.28000000000000114"/>
    <s v="SANTIAGO OBRIEN"/>
    <s v="CH 23"/>
  </r>
  <r>
    <d v="2026-01-13T00:00:00"/>
    <n v="39"/>
    <x v="0"/>
    <s v="AGUAJE 1"/>
    <x v="0"/>
    <s v="09"/>
    <x v="7"/>
    <n v="7.95"/>
    <s v="ASC-BAP"/>
    <n v="87"/>
    <d v="2025-10-18T00:00:00"/>
    <s v="DO PS 15"/>
    <n v="0.73"/>
    <n v="5"/>
    <n v="1429041"/>
    <n v="179753.58490566036"/>
    <n v="17.975358490566038"/>
    <s v="TECSERV"/>
    <s v="EMPAGRAN"/>
    <s v="UNICO"/>
    <n v="25200"/>
    <n v="25705.52"/>
    <n v="25"/>
    <n v="25.47"/>
    <n v="3233.3987421383649"/>
    <n v="458150.24144249514"/>
    <n v="45800"/>
    <n v="47217.86"/>
    <n v="30"/>
    <n v="30"/>
    <n v="5939.3534591194966"/>
    <n v="714563.61466666672"/>
    <n v="72923.38"/>
    <n v="1172713.8561091619"/>
    <n v="9172.7522012578629"/>
    <n v="2.4137931034482758"/>
    <n v="105.43393334779152"/>
    <n v="82.062995820914992"/>
    <n v="90553.945000000007"/>
    <n v="59.38697318007663"/>
    <n v="1.2417683464480116"/>
    <s v="NC"/>
    <s v="AUTOMATICA"/>
    <n v="505.52000000000044"/>
    <n v="1417.8600000000006"/>
    <n v="0.46999999999999886"/>
    <n v="0"/>
    <s v="JOSE CEDEÑO"/>
    <s v="DO 09"/>
  </r>
  <r>
    <d v="2026-01-13T00:00:00"/>
    <n v="40"/>
    <x v="0"/>
    <s v="AGUAJE 1"/>
    <x v="0"/>
    <s v="15"/>
    <x v="10"/>
    <n v="2.69"/>
    <s v="CONVENCIONAL"/>
    <n v="83"/>
    <d v="2025-10-22T00:00:00"/>
    <s v="GT PC 5 - 6"/>
    <n v="0.54"/>
    <n v="8"/>
    <n v="403500"/>
    <n v="150000"/>
    <n v="15"/>
    <s v="GENESIS/TECSERV"/>
    <s v="TEXCUMAR"/>
    <s v="COMBINADO"/>
    <n v="3700"/>
    <n v="4216.3599999999997"/>
    <n v="25"/>
    <n v="24.02"/>
    <n v="1567.4200743494423"/>
    <n v="79693.065778517906"/>
    <n v="12800"/>
    <n v="13517.9"/>
    <n v="30"/>
    <n v="30.4"/>
    <n v="5025.241635687732"/>
    <n v="201879.16447368421"/>
    <n v="17734.259999999998"/>
    <n v="281572.23025220213"/>
    <n v="6592.6617100371741"/>
    <n v="2.5638554216867466"/>
    <n v="79.429659157074383"/>
    <n v="69.782461029046388"/>
    <n v="27722.845000000001"/>
    <n v="56.321942043265999"/>
    <n v="1.5632366391380301"/>
    <s v="CG"/>
    <s v="AUTOMATICA"/>
    <n v="516.35999999999967"/>
    <n v="717.89999999999964"/>
    <n v="-0.98000000000000043"/>
    <n v="0.39999999999999858"/>
    <s v="JULIO SANTOS"/>
    <s v="GT 15"/>
  </r>
  <r>
    <d v="2026-01-13T00:00:00"/>
    <n v="41"/>
    <x v="0"/>
    <s v="AGUAJE 1"/>
    <x v="0"/>
    <s v="29"/>
    <x v="0"/>
    <n v="6.35"/>
    <s v="CONVENCIONAL"/>
    <n v="59"/>
    <d v="2025-11-15T00:00:00"/>
    <s v="PR PC 25"/>
    <n v="0.3"/>
    <n v="5"/>
    <n v="889000"/>
    <n v="140000"/>
    <n v="14"/>
    <s v="ARPON"/>
    <s v="TEXCUMAR"/>
    <s v="UNICO"/>
    <n v="0"/>
    <n v="0"/>
    <n v="0"/>
    <n v="0"/>
    <n v="0"/>
    <n v="0"/>
    <n v="14400"/>
    <n v="15977.46"/>
    <n v="22"/>
    <n v="21.92"/>
    <n v="2516.1354330708659"/>
    <n v="330920.02007299266"/>
    <n v="15977.46"/>
    <n v="330920.02007299266"/>
    <n v="2516.1354330708659"/>
    <n v="2.6006779661016952"/>
    <n v="42.646363272387561"/>
    <n v="37.223849277052039"/>
    <n v="21748.379000000001"/>
    <n v="26.331242492993461"/>
    <n v="1.3611912656955487"/>
    <s v="SK"/>
    <s v="AUTOMATICA"/>
    <n v="0"/>
    <n v="1577.4599999999991"/>
    <n v="0"/>
    <n v="-7.9999999999998295E-2"/>
    <s v="WILMER TORRES"/>
    <s v="PR 29"/>
  </r>
  <r>
    <d v="2026-01-14T00:00:00"/>
    <n v="42"/>
    <x v="0"/>
    <s v="AGUAJE 1"/>
    <x v="0"/>
    <s v="24"/>
    <x v="3"/>
    <n v="5.54"/>
    <s v="ASC"/>
    <n v="74"/>
    <d v="2025-11-01T00:00:00"/>
    <s v="CH PC 3 - PS 17"/>
    <n v="0.72"/>
    <n v="10"/>
    <n v="886400"/>
    <n v="160000"/>
    <n v="16"/>
    <s v="GENESIS/MAXILARVA"/>
    <s v="TEXCUMAR"/>
    <s v="COMBINADO"/>
    <n v="13400"/>
    <n v="13734.52"/>
    <n v="31.5"/>
    <n v="29.25"/>
    <n v="2479.1552346570397"/>
    <n v="213491.71611439867"/>
    <n v="15850"/>
    <n v="17337.47"/>
    <n v="36"/>
    <n v="33.28"/>
    <n v="3129.5072202166066"/>
    <n v="236514.76502403847"/>
    <n v="31071.99"/>
    <n v="450006.48113843717"/>
    <n v="5608.6624548736463"/>
    <n v="3.1481081081081084"/>
    <n v="75.792735876670889"/>
    <n v="50.76787918980564"/>
    <n v="49493.270000000004"/>
    <n v="54.761440140501513"/>
    <n v="1.592858069277185"/>
    <s v="SK"/>
    <s v="AUTOMATICA"/>
    <n v="334.52000000000044"/>
    <n v="1487.4700000000012"/>
    <n v="-2.25"/>
    <n v="-2.7199999999999989"/>
    <s v="SANTIAGO OBRIEN"/>
    <s v="CH 24"/>
  </r>
  <r>
    <d v="2026-01-14T00:00:00"/>
    <n v="43"/>
    <x v="0"/>
    <s v="AGUAJE 1"/>
    <x v="0"/>
    <s v="08"/>
    <x v="7"/>
    <n v="7.95"/>
    <s v="ASC-BAP"/>
    <n v="91"/>
    <d v="2025-10-15T00:00:00"/>
    <s v="DO PC 2"/>
    <n v="0.7"/>
    <n v="6"/>
    <n v="1351500"/>
    <n v="170000"/>
    <n v="17"/>
    <s v="EMPAGRAN"/>
    <s v="EMPAGRAN"/>
    <s v="UNICO"/>
    <n v="21600"/>
    <n v="21978.78"/>
    <n v="25"/>
    <n v="25.32"/>
    <n v="2764.6264150943393"/>
    <n v="389449.14059344825"/>
    <n v="40400"/>
    <n v="40701.449999999997"/>
    <n v="28"/>
    <n v="28.94"/>
    <n v="5119.6792452830186"/>
    <n v="638509.27090532123"/>
    <n v="62680.229999999996"/>
    <n v="1027958.4114987694"/>
    <n v="7884.3056603773575"/>
    <n v="2.2261538461538461"/>
    <n v="86.640721542608318"/>
    <n v="76.060555789772067"/>
    <n v="92372.74"/>
    <n v="57.916925841454137"/>
    <n v="1.4737141200662476"/>
    <s v="NC"/>
    <s v="AUTOMATICA"/>
    <n v="378.77999999999884"/>
    <n v="301.44999999999709"/>
    <n v="0.32000000000000028"/>
    <n v="0.94000000000000128"/>
    <s v="JOSE CEDEÑO"/>
    <s v="DO 08"/>
  </r>
  <r>
    <d v="2026-01-14T00:00:00"/>
    <n v="44"/>
    <x v="0"/>
    <s v="AGUAJE 1"/>
    <x v="0"/>
    <s v="07"/>
    <x v="10"/>
    <n v="4.42"/>
    <s v="CONVENCIONAL"/>
    <n v="91"/>
    <d v="2025-10-15T00:00:00"/>
    <s v="GT PC 7"/>
    <n v="0.63"/>
    <n v="7"/>
    <n v="707200"/>
    <n v="160000"/>
    <n v="16"/>
    <s v="DEONES"/>
    <s v="TEXCUMAR"/>
    <s v="UNICO"/>
    <n v="11600"/>
    <n v="12181.62"/>
    <n v="25"/>
    <n v="25.18"/>
    <n v="2756.0226244343894"/>
    <n v="219283.19122104626"/>
    <n v="11700"/>
    <n v="12542.96"/>
    <n v="29"/>
    <n v="30.14"/>
    <n v="2837.7737556561083"/>
    <n v="188935.09754479097"/>
    <n v="24724.58"/>
    <n v="408218.28876583721"/>
    <n v="5593.7963800904981"/>
    <n v="2.3184615384615386"/>
    <n v="61.470289891104372"/>
    <n v="57.723174316436257"/>
    <n v="46468.558799999999"/>
    <n v="52.404156929043801"/>
    <n v="1.8794478531081213"/>
    <s v="CG"/>
    <s v="AUTOMATICA"/>
    <n v="581.6200000000008"/>
    <n v="842.95999999999913"/>
    <n v="0.17999999999999972"/>
    <n v="1.1400000000000006"/>
    <s v="JULIO SANTOS"/>
    <s v="GT 07"/>
  </r>
  <r>
    <d v="2026-01-14T00:00:00"/>
    <n v="45"/>
    <x v="0"/>
    <s v="AGUAJE 1"/>
    <x v="0"/>
    <s v="31"/>
    <x v="0"/>
    <n v="8.15"/>
    <s v="CONVENCIONAL"/>
    <n v="60"/>
    <d v="2025-11-15T00:00:00"/>
    <s v="PR PC 25"/>
    <n v="0.3"/>
    <n v="6"/>
    <n v="1141000"/>
    <n v="140000"/>
    <n v="14"/>
    <s v="ARPON"/>
    <s v="TEXCUMAR"/>
    <s v="UNICO"/>
    <n v="0"/>
    <n v="0"/>
    <n v="0"/>
    <n v="0"/>
    <n v="0"/>
    <n v="0"/>
    <n v="15200"/>
    <n v="18360.259999999998"/>
    <n v="21"/>
    <n v="21.42"/>
    <n v="2252.7926380368094"/>
    <n v="389148.36788048543"/>
    <n v="18360.259999999998"/>
    <n v="389148.36788048543"/>
    <n v="2252.7926380368094"/>
    <n v="2.4990000000000001"/>
    <n v="37.546543967280158"/>
    <n v="34.105904284003977"/>
    <n v="25782.797000000002"/>
    <n v="23.916155419222903"/>
    <n v="1.4042718893959021"/>
    <s v="NC"/>
    <s v="AUTOMATICA"/>
    <n v="0"/>
    <n v="3160.2599999999984"/>
    <n v="0"/>
    <n v="0.42000000000000171"/>
    <s v="WILMER TORRES"/>
    <s v="PR 31"/>
  </r>
  <r>
    <d v="2026-01-14T00:00:00"/>
    <n v="46"/>
    <x v="0"/>
    <s v="AGUAJE 1"/>
    <x v="0"/>
    <s v="07"/>
    <x v="9"/>
    <n v="8.93"/>
    <s v="ASC-BAP"/>
    <n v="89"/>
    <d v="2025-10-17T00:00:00"/>
    <s v="CA PC 20"/>
    <n v="0.32"/>
    <n v="3"/>
    <n v="1518100"/>
    <n v="170000"/>
    <n v="17"/>
    <s v="MEGALATINA"/>
    <s v="TEXCUMAR"/>
    <s v="UNICO"/>
    <n v="12800"/>
    <n v="12508.74"/>
    <n v="21"/>
    <n v="23.28"/>
    <n v="1400.754759238522"/>
    <n v="243941.92268041236"/>
    <n v="38600"/>
    <n v="40814.800000000003"/>
    <n v="35"/>
    <n v="35.9"/>
    <n v="4570.5263157894742"/>
    <n v="516153.73816155997"/>
    <n v="53323.54"/>
    <n v="760095.66084197233"/>
    <n v="5971.2810750279959"/>
    <n v="2.8235955056179778"/>
    <n v="67.093045786831411"/>
    <n v="50.068879575915446"/>
    <n v="74405.25"/>
    <n v="42.465115693848539"/>
    <n v="1.3953546594993504"/>
    <s v="NC"/>
    <s v="AUTOMATICA"/>
    <n v="-291.26000000000022"/>
    <n v="2214.8000000000029"/>
    <n v="2.2800000000000011"/>
    <n v="0.89999999999999858"/>
    <s v="VICTOR QUINTANA"/>
    <s v="RO 07"/>
  </r>
  <r>
    <d v="2026-01-15T00:00:00"/>
    <n v="56"/>
    <x v="0"/>
    <s v="AGUAJE 2"/>
    <x v="0"/>
    <s v="30"/>
    <x v="7"/>
    <n v="8.5399999999999991"/>
    <s v="ASC-BAP"/>
    <n v="94"/>
    <d v="2025-10-13T00:00:00"/>
    <s v="DO PC 7"/>
    <n v="0.75"/>
    <n v="3"/>
    <n v="1500000"/>
    <n v="175644.02810304452"/>
    <n v="17.56440281030445"/>
    <s v="BIOLACAM"/>
    <s v="TEXCUMAR"/>
    <s v="UNICO"/>
    <n v="12400"/>
    <n v="10793.56"/>
    <n v="33"/>
    <n v="34.28"/>
    <n v="1263.8829039812647"/>
    <n v="212224.67753406879"/>
    <n v="26850"/>
    <n v="27651.27"/>
    <n v="47"/>
    <n v="45.56"/>
    <n v="3237.853629976581"/>
    <n v="275541.62818261632"/>
    <n v="38444.83"/>
    <n v="487766.30571668514"/>
    <n v="4501.7365339578464"/>
    <n v="3.3927659574468088"/>
    <n v="47.890814191040917"/>
    <n v="32.517753714445675"/>
    <n v="69334.67"/>
    <n v="39.177338183267729"/>
    <n v="1.8034848899058729"/>
    <s v="NC"/>
    <s v="AUTOMATICA"/>
    <n v="-1606.4400000000005"/>
    <n v="801.27000000000044"/>
    <n v="1.2800000000000011"/>
    <n v="-1.4399999999999977"/>
    <s v="JOSE CEDEÑO"/>
    <s v="DO 30"/>
  </r>
  <r>
    <d v="2026-01-15T00:00:00"/>
    <n v="57"/>
    <x v="0"/>
    <s v="AGUAJE 2"/>
    <x v="0"/>
    <s v="05"/>
    <x v="10"/>
    <n v="4.3"/>
    <s v="CONVENCIONAL"/>
    <n v="83"/>
    <d v="2025-10-24T00:00:00"/>
    <s v="GT PC 5"/>
    <n v="0.56999999999999995"/>
    <n v="6"/>
    <n v="602000"/>
    <n v="140000"/>
    <n v="14"/>
    <s v="GENESIS"/>
    <s v="TEXCUMAR"/>
    <s v="UNICO"/>
    <n v="5000"/>
    <n v="5277.49"/>
    <n v="27"/>
    <n v="31.6"/>
    <n v="1227.3232558139534"/>
    <n v="75822.166455696191"/>
    <n v="20100"/>
    <n v="22706.44"/>
    <n v="33"/>
    <n v="36"/>
    <n v="5280.5674418604649"/>
    <n v="286353.43777777778"/>
    <n v="27983.93"/>
    <n v="362175.60423347401"/>
    <n v="6507.8906976744192"/>
    <n v="3.036144578313253"/>
    <n v="78.408321658727942"/>
    <n v="60.16206050389934"/>
    <n v="40785.1"/>
    <n v="51.835247968618667"/>
    <n v="1.4574471848664572"/>
    <s v="NC"/>
    <s v="AUTOMATICA"/>
    <n v="277.48999999999978"/>
    <n v="2606.4399999999987"/>
    <n v="4.6000000000000014"/>
    <n v="3"/>
    <s v="JULIO SANTOS"/>
    <s v="GT 05"/>
  </r>
  <r>
    <d v="2026-01-15T00:00:00"/>
    <n v="62"/>
    <x v="0"/>
    <s v="AGUAJE 2"/>
    <x v="0"/>
    <s v="02"/>
    <x v="0"/>
    <n v="3"/>
    <s v="CONVENCIONAL"/>
    <n v="63"/>
    <d v="2025-11-13T00:00:00"/>
    <s v="PR PS 2"/>
    <n v="0.35"/>
    <n v="31"/>
    <n v="450000"/>
    <n v="150000"/>
    <n v="15"/>
    <s v="GENESIS"/>
    <s v="TEXCUMAR"/>
    <s v="UNICO"/>
    <n v="0"/>
    <n v="0"/>
    <n v="0"/>
    <n v="0"/>
    <n v="0"/>
    <n v="0"/>
    <n v="8500"/>
    <n v="9697.25"/>
    <n v="16.5"/>
    <n v="16.399999999999999"/>
    <n v="3232.4166666666665"/>
    <n v="268448.26219512196"/>
    <n v="9697.25"/>
    <n v="268448.26219512196"/>
    <n v="3232.4166666666665"/>
    <n v="1.822222222222222"/>
    <n v="51.308201058201057"/>
    <n v="59.65516937669377"/>
    <n v="15448.7345"/>
    <n v="37.076719576719576"/>
    <n v="1.593104694629921"/>
    <s v="NC"/>
    <s v="AUTOMATICA"/>
    <n v="0"/>
    <n v="1197.25"/>
    <n v="0"/>
    <n v="-0.10000000000000142"/>
    <s v="WILMER TORRES"/>
    <s v="PR 02"/>
  </r>
  <r>
    <d v="2026-01-16T00:00:00"/>
    <n v="64"/>
    <x v="0"/>
    <s v="AGUAJE 2"/>
    <x v="0"/>
    <s v="24"/>
    <x v="0"/>
    <n v="7.3"/>
    <s v="CONVENCIONAL"/>
    <n v="62"/>
    <d v="2025-11-15T00:00:00"/>
    <s v="PR PC 26"/>
    <n v="0.35"/>
    <n v="3"/>
    <n v="657000"/>
    <n v="90000"/>
    <n v="9"/>
    <s v="ARPON"/>
    <s v="TEXCUMAR"/>
    <s v="UNICO"/>
    <n v="0"/>
    <n v="0"/>
    <n v="0"/>
    <n v="0"/>
    <n v="0"/>
    <n v="0"/>
    <n v="10800"/>
    <n v="11498.09"/>
    <n v="20"/>
    <n v="20.059999999999999"/>
    <n v="1575.0808219178082"/>
    <n v="260225.96510468598"/>
    <n v="11498.09"/>
    <n v="260225.96510468598"/>
    <n v="1575.0808219178082"/>
    <n v="2.2648387096774192"/>
    <n v="25.404529385771099"/>
    <n v="39.608213866771081"/>
    <n v="17697.426500000001"/>
    <n v="17.736411842686699"/>
    <n v="1.5391622869537462"/>
    <s v="SK"/>
    <s v="AUTOMATICA"/>
    <n v="0"/>
    <n v="698.09000000000015"/>
    <n v="0"/>
    <n v="5.9999999999998721E-2"/>
    <s v="WILMER TORRES"/>
    <s v="PR 24"/>
  </r>
  <r>
    <d v="2026-01-16T00:00:00"/>
    <n v="76"/>
    <x v="0"/>
    <s v="AGUAJE 2"/>
    <x v="0"/>
    <s v="11"/>
    <x v="1"/>
    <n v="7"/>
    <s v="ASC-BAP"/>
    <n v="87"/>
    <d v="2025-10-21T00:00:00"/>
    <s v="TI PC 30"/>
    <n v="0.65"/>
    <n v="5"/>
    <n v="1190000"/>
    <n v="170000"/>
    <n v="17"/>
    <s v="TECSERV"/>
    <s v="EMPAGRAN"/>
    <s v="UNICO"/>
    <n v="20450"/>
    <n v="20799.949999999997"/>
    <n v="27.25"/>
    <n v="28.82"/>
    <n v="2971.4214285714284"/>
    <n v="335383.5661892232"/>
    <n v="47300"/>
    <n v="48064.100000000006"/>
    <n v="37.299999999999997"/>
    <n v="37.85"/>
    <n v="6866.3000000000011"/>
    <n v="576515.22853368567"/>
    <n v="68864.05"/>
    <n v="911898.79472290887"/>
    <n v="9837.721428571429"/>
    <n v="3.0454022988505747"/>
    <n v="113.0772577996716"/>
    <n v="76.630150817051174"/>
    <n v="86475.434999999998"/>
    <n v="64.408866995073893"/>
    <n v="1.255741348352297"/>
    <s v="NC"/>
    <s v="AUTOMATICA"/>
    <n v="349.94999999999709"/>
    <n v="764.10000000000582"/>
    <n v="1.5700000000000003"/>
    <n v="0.55000000000000426"/>
    <s v="ALFONSO GRUNAUER"/>
    <s v="TI 11"/>
  </r>
  <r>
    <d v="2026-01-16T00:00:00"/>
    <n v="80"/>
    <x v="0"/>
    <s v="AGUAJE 2"/>
    <x v="0"/>
    <s v="04"/>
    <x v="6"/>
    <n v="8"/>
    <s v="CONVENCIONAL"/>
    <n v="81"/>
    <d v="2025-10-27T00:00:00"/>
    <s v="WA PS 9"/>
    <n v="0.5"/>
    <n v="27"/>
    <n v="1480000"/>
    <n v="185000"/>
    <n v="18.5"/>
    <s v="TECSERV"/>
    <s v="TEXCUMAR"/>
    <s v="UNICO"/>
    <n v="10050"/>
    <n v="10516.9"/>
    <n v="19"/>
    <n v="19.579999999999998"/>
    <n v="1314.6125"/>
    <n v="243854.57609805925"/>
    <n v="23400"/>
    <n v="25441.37"/>
    <n v="23.5"/>
    <n v="23.14"/>
    <n v="3180.1712499999999"/>
    <n v="499152.20311149524"/>
    <n v="35958.269999999997"/>
    <n v="743006.77920955443"/>
    <n v="4494.7837499999996"/>
    <n v="1.9997530864197532"/>
    <n v="55.4911574074074"/>
    <n v="50.203160757402323"/>
    <n v="61462.043400000002"/>
    <n v="43.023148148148145"/>
    <n v="1.7092603008987921"/>
    <s v="SK"/>
    <s v="BOLEO"/>
    <n v="466.89999999999964"/>
    <n v="2041.369999999999"/>
    <n v="0.57999999999999829"/>
    <n v="-0.35999999999999943"/>
    <s v="JUNIOR ESQUIVEL"/>
    <s v="WA 04"/>
  </r>
  <r>
    <d v="2026-01-16T00:00:00"/>
    <n v="81"/>
    <x v="0"/>
    <s v="AGUAJE 2"/>
    <x v="0"/>
    <s v="04"/>
    <x v="6"/>
    <n v="2.4"/>
    <s v="CONVENCIONAL"/>
    <n v="81"/>
    <d v="2025-10-27T00:00:00"/>
    <s v="WA PS 9 - 23"/>
    <n v="0.5"/>
    <n v="27"/>
    <n v="360000"/>
    <n v="150000"/>
    <n v="15"/>
    <s v="TECSERV/GENESIS"/>
    <s v="TEXCUMAR"/>
    <s v="COMBINADO"/>
    <n v="3000"/>
    <n v="3079.3"/>
    <n v="17.5"/>
    <n v="17.55"/>
    <n v="1283.0416666666667"/>
    <n v="79658.245014245025"/>
    <n v="7000"/>
    <n v="8029.33"/>
    <n v="22.5"/>
    <n v="22.22"/>
    <n v="3345.5541666666668"/>
    <n v="164055.61746174618"/>
    <n v="11108.630000000001"/>
    <n v="243713.86247599119"/>
    <n v="4628.5958333333338"/>
    <n v="1.9202469135802469"/>
    <n v="57.143158436213994"/>
    <n v="67.698295132219783"/>
    <n v="16908.179700000001"/>
    <n v="39.452160493827158"/>
    <n v="1.5220760525825416"/>
    <s v="SK"/>
    <s v="BOLEO"/>
    <n v="79.300000000000182"/>
    <n v="1029.33"/>
    <n v="5.0000000000000711E-2"/>
    <n v="-0.28000000000000114"/>
    <s v="JUNIOR ESQUIVEL"/>
    <s v="WA PC 04"/>
  </r>
  <r>
    <d v="2026-01-17T00:00:00"/>
    <n v="55"/>
    <x v="0"/>
    <s v="AGUAJE 2"/>
    <x v="0"/>
    <s v="23"/>
    <x v="7"/>
    <n v="13.72"/>
    <s v="ASC-BAP"/>
    <n v="95"/>
    <d v="2025-10-14T00:00:00"/>
    <s v="DO PC 6"/>
    <n v="0.51"/>
    <n v="3"/>
    <n v="2324705"/>
    <n v="169439.13994169096"/>
    <n v="16.943913994169094"/>
    <s v="EMPAGRAN"/>
    <s v="EMPAGRAN"/>
    <s v="UNICO"/>
    <n v="41200"/>
    <n v="38577.31"/>
    <n v="26"/>
    <n v="25.57"/>
    <n v="2811.7572886297371"/>
    <n v="700833.03747530677"/>
    <n v="62900"/>
    <n v="60831.55"/>
    <n v="37.5"/>
    <n v="37.46"/>
    <n v="4433.7864431486878"/>
    <n v="737253.70261612395"/>
    <n v="99408.86"/>
    <n v="1438086.7400914307"/>
    <n v="7245.5437317784254"/>
    <n v="2.7602105263157894"/>
    <n v="76.26888138714132"/>
    <n v="61.861042157668635"/>
    <n v="151621.36500000002"/>
    <n v="52.765843179377015"/>
    <n v="1.5252298939953643"/>
    <s v="NC"/>
    <s v="AUTOMATICA"/>
    <n v="-2622.6900000000023"/>
    <n v="-2068.4499999999971"/>
    <n v="-0.42999999999999972"/>
    <n v="-3.9999999999999147E-2"/>
    <s v="JOSE CEDEÑO"/>
    <s v="DO 23"/>
  </r>
  <r>
    <d v="2026-01-17T00:00:00"/>
    <n v="78"/>
    <x v="0"/>
    <s v="AGUAJE 2"/>
    <x v="0"/>
    <s v="14"/>
    <x v="1"/>
    <n v="4.7"/>
    <s v="ASC-BAP"/>
    <n v="89"/>
    <d v="2025-10-20T00:00:00"/>
    <s v="TI PC 31"/>
    <n v="0.57999999999999996"/>
    <n v="6"/>
    <n v="799000"/>
    <n v="170000"/>
    <n v="17"/>
    <s v="TECSERV"/>
    <s v="EMPAGRAN"/>
    <s v="UNICO"/>
    <n v="13300"/>
    <n v="13000.03"/>
    <n v="26.5"/>
    <n v="27.759999999999998"/>
    <n v="2765.9638297872339"/>
    <n v="216251.99298940544"/>
    <n v="25600"/>
    <n v="32342.12"/>
    <n v="36"/>
    <n v="37.72"/>
    <n v="6881.3021276595737"/>
    <n v="389271.53976670204"/>
    <n v="45342.15"/>
    <n v="605523.53275610751"/>
    <n v="9647.2659574468089"/>
    <n v="2.9667415730337079"/>
    <n v="108.3962467128855"/>
    <n v="75.785173060839483"/>
    <n v="57429.83"/>
    <n v="62.275878556060242"/>
    <n v="1.266588152524748"/>
    <s v="NC"/>
    <s v="AUTOMATICA"/>
    <n v="-299.96999999999935"/>
    <n v="6742.119999999999"/>
    <n v="1.259999999999998"/>
    <n v="1.7199999999999989"/>
    <s v="ALFONSO GRUNAUER"/>
    <s v="TI 14"/>
  </r>
  <r>
    <d v="2026-01-18T00:00:00"/>
    <n v="65"/>
    <x v="0"/>
    <s v="AGUAJE 2"/>
    <x v="0"/>
    <s v="27"/>
    <x v="0"/>
    <n v="8.0500000000000007"/>
    <s v="CONVENCIONAL"/>
    <n v="62"/>
    <d v="2025-11-17T00:00:00"/>
    <s v="PR PC 6"/>
    <n v="0.4"/>
    <n v="9"/>
    <n v="966000"/>
    <n v="119999.99999999999"/>
    <n v="11.999999999999998"/>
    <s v="MEGALATINA"/>
    <s v="TEXCUMAR"/>
    <s v="UNICO"/>
    <n v="0"/>
    <n v="0"/>
    <n v="0"/>
    <n v="0"/>
    <n v="0"/>
    <n v="0"/>
    <n v="15700"/>
    <n v="17739.400000000001"/>
    <n v="20"/>
    <n v="22.08"/>
    <n v="2203.6521739130435"/>
    <n v="364750.34420289862"/>
    <n v="17739.400000000001"/>
    <n v="364750.34420289862"/>
    <n v="2203.6521739130435"/>
    <n v="2.4929032258064514"/>
    <n v="35.542776998597475"/>
    <n v="37.758834803612693"/>
    <n v="23181.369000000002"/>
    <n v="21.067922260068123"/>
    <n v="1.3067730024690802"/>
    <s v="SK"/>
    <s v="AUTOMATICA"/>
    <n v="0"/>
    <n v="2039.4000000000015"/>
    <n v="0"/>
    <n v="2.0799999999999983"/>
    <s v="WILMER TORRES"/>
    <s v="PR 27"/>
  </r>
  <r>
    <d v="2026-01-18T00:00:00"/>
    <n v="69"/>
    <x v="0"/>
    <s v="AGUAJE 2"/>
    <x v="0"/>
    <s v="06"/>
    <x v="11"/>
    <n v="4.55"/>
    <s v="ASC-BAP"/>
    <n v="84"/>
    <d v="2025-10-26T00:00:00"/>
    <s v="TA PC 5"/>
    <n v="0.57999999999999996"/>
    <n v="9"/>
    <n v="978250"/>
    <n v="215000"/>
    <n v="21.5"/>
    <s v="AMBARTEK"/>
    <s v="TEXCUMAR"/>
    <s v="UNICO"/>
    <n v="20700"/>
    <n v="20795.89"/>
    <n v="24"/>
    <n v="24.21"/>
    <n v="4570.5252747252744"/>
    <n v="398791.38386779709"/>
    <n v="28250"/>
    <n v="32056.28"/>
    <n v="35"/>
    <n v="35.58"/>
    <n v="7045.3362637362634"/>
    <n v="409037.41202922992"/>
    <n v="52852.17"/>
    <n v="807828.79589702701"/>
    <n v="11615.861538461539"/>
    <n v="2.9649999999999999"/>
    <n v="138.28406593406595"/>
    <n v="82.578972235832055"/>
    <n v="73887.169000000009"/>
    <n v="87.689691261119833"/>
    <n v="1.3979968845177031"/>
    <s v="SK"/>
    <s v="AUTOMATICA"/>
    <n v="95.889999999999418"/>
    <n v="3806.2799999999988"/>
    <n v="0.21000000000000085"/>
    <n v="0.57999999999999829"/>
    <s v="ALFONSO GRUNAUER"/>
    <s v="TA 06"/>
  </r>
  <r>
    <d v="2026-01-18T00:00:00"/>
    <n v="82"/>
    <x v="0"/>
    <s v="AGUAJE 2"/>
    <x v="0"/>
    <s v="37"/>
    <x v="6"/>
    <n v="12"/>
    <s v="CONVENCIONAL"/>
    <n v="84"/>
    <d v="2025-10-26T00:00:00"/>
    <s v="WA PC 7 - 8 - PS 9"/>
    <n v="0.47"/>
    <n v="21"/>
    <n v="1800000"/>
    <n v="150000"/>
    <n v="15"/>
    <s v="TECSERV"/>
    <s v="TEXCUMAR"/>
    <s v="UNICO"/>
    <n v="30150"/>
    <n v="30126.71"/>
    <n v="26.25"/>
    <n v="26.54"/>
    <n v="2510.5591666666664"/>
    <n v="542375.58756512986"/>
    <n v="21200"/>
    <n v="18795.189999999999"/>
    <n v="35"/>
    <n v="35.380000000000003"/>
    <n v="1566.2658333333331"/>
    <n v="241181.91803278687"/>
    <n v="48921.899999999994"/>
    <n v="783557.50559791666"/>
    <n v="4076.8249999999994"/>
    <n v="2.9483333333333337"/>
    <n v="48.533630952380946"/>
    <n v="43.530972533217593"/>
    <n v="66810.403000000006"/>
    <n v="30.064484126984127"/>
    <n v="1.3656542979728918"/>
    <s v="SK"/>
    <s v="BOLEO"/>
    <n v="-23.290000000000873"/>
    <n v="-2404.8100000000013"/>
    <n v="0.28999999999999915"/>
    <n v="0.38000000000000256"/>
    <s v="JUNIOR ESQUIVEL"/>
    <s v="WA 37"/>
  </r>
  <r>
    <d v="2026-01-19T00:00:00"/>
    <n v="61"/>
    <x v="0"/>
    <s v="AGUAJE 2"/>
    <x v="0"/>
    <s v="11"/>
    <x v="8"/>
    <n v="5.8"/>
    <s v="ASC-BAP"/>
    <n v="90"/>
    <d v="2025-10-21T00:00:00"/>
    <s v="PA PC 7"/>
    <n v="0.6"/>
    <n v="13"/>
    <n v="866666"/>
    <n v="149425.1724137931"/>
    <n v="14.94251724137931"/>
    <s v="MEGALATINA"/>
    <s v="TEXCUMAR"/>
    <s v="UNICO"/>
    <n v="13600"/>
    <n v="12270.44"/>
    <n v="20.5"/>
    <n v="21.82"/>
    <n v="2115.593103448276"/>
    <n v="250666.33912200737"/>
    <n v="28500"/>
    <n v="28675.85"/>
    <n v="30"/>
    <n v="32.32"/>
    <n v="4944.1120689655172"/>
    <n v="402810.51670792076"/>
    <n v="40946.29"/>
    <n v="653476.85582992807"/>
    <n v="7059.7051724137937"/>
    <n v="2.5137777777777779"/>
    <n v="78.441168582375482"/>
    <n v="75.401233673632987"/>
    <n v="53296.205000000002"/>
    <n v="46.312260536398469"/>
    <n v="1.3016125514668118"/>
    <s v="SK"/>
    <s v="AUTOMATICA"/>
    <n v="-1329.5599999999995"/>
    <n v="175.84999999999854"/>
    <n v="1.3200000000000003"/>
    <n v="2.3200000000000003"/>
    <s v="GUSTAVO CARRASCO"/>
    <s v="PA 11"/>
  </r>
  <r>
    <d v="2026-01-19T00:00:00"/>
    <n v="66"/>
    <x v="0"/>
    <s v="AGUAJE 2"/>
    <x v="0"/>
    <s v="32"/>
    <x v="0"/>
    <n v="8.25"/>
    <s v="CONVENCIONAL"/>
    <n v="66"/>
    <d v="2025-11-14T00:00:00"/>
    <s v="PR PC 5"/>
    <n v="0.45"/>
    <n v="3"/>
    <n v="990000"/>
    <n v="120000"/>
    <n v="12"/>
    <s v="GRILSAN"/>
    <s v="AQUAGEN"/>
    <s v="UNICO"/>
    <n v="0"/>
    <n v="0"/>
    <n v="0"/>
    <n v="0"/>
    <n v="0"/>
    <n v="0"/>
    <n v="23800"/>
    <n v="29302.9"/>
    <n v="21"/>
    <n v="21.08"/>
    <n v="3551.8666666666668"/>
    <n v="631096.61290322593"/>
    <n v="29302.9"/>
    <n v="631096.61290322593"/>
    <n v="3551.8666666666668"/>
    <n v="2.2357575757575754"/>
    <n v="53.816161616161615"/>
    <n v="63.74713261648747"/>
    <n v="37334.901000000005"/>
    <n v="31.101928374655643"/>
    <n v="1.2741025973538456"/>
    <s v="NC"/>
    <s v="AUTOMATICA"/>
    <n v="0"/>
    <n v="5502.9000000000015"/>
    <n v="0"/>
    <n v="7.9999999999998295E-2"/>
    <s v="WILMER TORRES"/>
    <s v="PR 32"/>
  </r>
  <r>
    <d v="2026-01-19T00:00:00"/>
    <n v="67"/>
    <x v="0"/>
    <s v="AGUAJE 2"/>
    <x v="0"/>
    <s v="01"/>
    <x v="11"/>
    <n v="3"/>
    <s v="ASC-BAP"/>
    <n v="85"/>
    <d v="2025-10-26T00:00:00"/>
    <s v="TA PC 5"/>
    <n v="0.57999999999999996"/>
    <n v="6"/>
    <n v="540000"/>
    <n v="180000"/>
    <n v="18"/>
    <s v="AMBARTEK"/>
    <s v="TEXCUMAR"/>
    <s v="UNICO"/>
    <n v="5250"/>
    <n v="5304.44"/>
    <n v="22"/>
    <n v="22.48"/>
    <n v="1768.1466666666665"/>
    <n v="107127.0355871886"/>
    <n v="24100"/>
    <n v="25164.3"/>
    <n v="37.200000000000003"/>
    <n v="39.340000000000003"/>
    <n v="8388.1"/>
    <n v="290406.51245551597"/>
    <n v="30468.739999999998"/>
    <n v="397533.54804270458"/>
    <n v="10156.246666666666"/>
    <n v="3.2397647058823535"/>
    <n v="119.48525490196077"/>
    <n v="73.617323711611959"/>
    <n v="41964.561000000002"/>
    <n v="74.647058823529406"/>
    <n v="1.3772988643442428"/>
    <s v="SK"/>
    <s v="AUTOMATICA"/>
    <n v="54.4399999999996"/>
    <n v="1064.2999999999993"/>
    <n v="0.48000000000000043"/>
    <n v="2.1400000000000006"/>
    <s v="ALFONSO GRUNAUER"/>
    <s v="TA 01"/>
  </r>
  <r>
    <d v="2026-01-20T00:00:00"/>
    <n v="60"/>
    <x v="0"/>
    <s v="AGUAJE 2"/>
    <x v="0"/>
    <s v="10"/>
    <x v="8"/>
    <n v="2.5"/>
    <s v="ASC-BAP"/>
    <n v="91"/>
    <d v="2025-10-21T00:00:00"/>
    <s v="PA PC 7"/>
    <n v="0.6"/>
    <n v="13"/>
    <n v="365333"/>
    <n v="146133.20000000001"/>
    <n v="14.613320000000002"/>
    <s v="MEGALATINA"/>
    <s v="TEXCUMAR"/>
    <s v="UNICO"/>
    <n v="6250"/>
    <n v="5313.93"/>
    <n v="21.5"/>
    <n v="24.84"/>
    <n v="2125.5720000000001"/>
    <n v="95313.045457613567"/>
    <n v="11100"/>
    <n v="11002.68"/>
    <n v="34.5"/>
    <n v="37.340000000000003"/>
    <n v="4401.0720000000001"/>
    <n v="133776.55918585966"/>
    <n v="16316.61"/>
    <n v="229089.60464347323"/>
    <n v="6526.6440000000002"/>
    <n v="2.8723076923076927"/>
    <n v="71.721362637362645"/>
    <n v="62.707065784769846"/>
    <n v="23754.565000000002"/>
    <n v="47.362637362637365"/>
    <n v="1.4558517363594523"/>
    <s v="SK"/>
    <s v="AUTOMATICA"/>
    <n v="-936.06999999999971"/>
    <n v="-97.319999999999709"/>
    <n v="3.34"/>
    <n v="2.8400000000000034"/>
    <s v="GUSTAVO CARRASCO"/>
    <s v="PA 10"/>
  </r>
  <r>
    <d v="2026-01-20T00:00:00"/>
    <n v="74"/>
    <x v="0"/>
    <s v="AGUAJE 2"/>
    <x v="0"/>
    <s v="27"/>
    <x v="11"/>
    <n v="5.75"/>
    <s v="ASC-BAP"/>
    <n v="81"/>
    <d v="2025-10-31T00:00:00"/>
    <s v="TA PC 1"/>
    <n v="0.31"/>
    <n v="5"/>
    <n v="977500"/>
    <n v="170000"/>
    <n v="17"/>
    <s v="GABSO"/>
    <s v="TEXCUMAR"/>
    <s v="UNICO"/>
    <n v="18300"/>
    <n v="17904.169999999998"/>
    <n v="23"/>
    <n v="25.92"/>
    <n v="3113.7686956521734"/>
    <n v="348341.08956172818"/>
    <n v="27900"/>
    <n v="28354.81"/>
    <n v="37.5"/>
    <n v="38.36"/>
    <n v="4931.2713043478261"/>
    <n v="335586.12460896769"/>
    <n v="46258.979999999996"/>
    <n v="683927.21417069586"/>
    <n v="8045.0399999999991"/>
    <n v="3.3150617283950616"/>
    <n v="99.32148148148147"/>
    <n v="69.966978431784739"/>
    <n v="68518.968000000008"/>
    <n v="66.731078904991961"/>
    <n v="1.4812036063051977"/>
    <s v="SK"/>
    <s v="AUTOMATICA"/>
    <n v="-395.83000000000175"/>
    <n v="454.81000000000131"/>
    <n v="2.9200000000000017"/>
    <n v="0.85999999999999943"/>
    <s v="ALFONSO GRUNAUER"/>
    <s v="TA 27"/>
  </r>
  <r>
    <d v="2026-01-21T00:00:00"/>
    <n v="53"/>
    <x v="0"/>
    <s v="AGUAJE 2"/>
    <x v="0"/>
    <s v="12"/>
    <x v="7"/>
    <n v="7.8"/>
    <s v="ASC-BAP"/>
    <n v="94"/>
    <d v="2025-10-19T00:00:00"/>
    <s v="DO PS 15"/>
    <n v="0.6"/>
    <n v="2"/>
    <n v="1405233"/>
    <n v="180158.07692307694"/>
    <n v="18.015807692307693"/>
    <s v="TECSERV"/>
    <s v="EMPAGRAN"/>
    <s v="UNICO"/>
    <n v="22000"/>
    <n v="21716.489999999998"/>
    <n v="24.5"/>
    <n v="26.77"/>
    <n v="2784.1653846153845"/>
    <n v="371451.56609370199"/>
    <n v="42000"/>
    <n v="43757.32"/>
    <n v="35"/>
    <n v="32.94"/>
    <n v="5609.9128205128209"/>
    <n v="603091.17425622349"/>
    <n v="65473.81"/>
    <n v="974542.74034992547"/>
    <n v="8394.0782051282058"/>
    <n v="2.452978723404255"/>
    <n v="89.298704309874523"/>
    <n v="69.350971714294033"/>
    <n v="94577.340000000011"/>
    <n v="58.51063829787234"/>
    <n v="1.444506437001299"/>
    <s v="NC"/>
    <s v="AUTOMATICA"/>
    <n v="-283.51000000000204"/>
    <n v="1757.3199999999997"/>
    <n v="2.2699999999999996"/>
    <n v="-2.0600000000000023"/>
    <s v="JOSE CEDEÑO"/>
    <s v="DO 12"/>
  </r>
  <r>
    <d v="2026-01-21T00:00:00"/>
    <n v="58"/>
    <x v="0"/>
    <s v="AGUAJE 2"/>
    <x v="0"/>
    <s v="08"/>
    <x v="8"/>
    <n v="4.3"/>
    <s v="ASC-BAP"/>
    <n v="92"/>
    <d v="2025-10-21T00:00:00"/>
    <s v="PA PC 7"/>
    <n v="0.6"/>
    <n v="11"/>
    <n v="624000"/>
    <n v="145116.27906976745"/>
    <n v="14.511627906976745"/>
    <s v="MEGALATINA"/>
    <s v="TEXCUMAR"/>
    <s v="UNICO"/>
    <n v="10300"/>
    <n v="10220.6"/>
    <n v="20.5"/>
    <n v="22.689999999999998"/>
    <n v="2376.8837209302328"/>
    <n v="198701.57409718458"/>
    <n v="18650"/>
    <n v="18387"/>
    <n v="32"/>
    <n v="32.94"/>
    <n v="4276.0465116279074"/>
    <n v="253421.31147540986"/>
    <n v="28607.599999999999"/>
    <n v="452122.88557259447"/>
    <n v="6652.9302325581393"/>
    <n v="2.5063043478260867"/>
    <n v="72.314459049544993"/>
    <n v="72.45559063663373"/>
    <n v="37478.200000000004"/>
    <n v="42.972699696663298"/>
    <n v="1.3100784406940815"/>
    <s v="SK"/>
    <s v="AUTOMATICA"/>
    <n v="-79.399999999999636"/>
    <n v="-263"/>
    <n v="2.1899999999999977"/>
    <n v="0.93999999999999773"/>
    <s v="GUSTAVO CARRASCO"/>
    <s v="PA 08"/>
  </r>
  <r>
    <d v="2026-01-21T00:00:00"/>
    <n v="71"/>
    <x v="0"/>
    <s v="AGUAJE 2"/>
    <x v="0"/>
    <s v="13"/>
    <x v="11"/>
    <n v="4.0999999999999996"/>
    <s v="ASC-BAP"/>
    <n v="84"/>
    <d v="2025-10-29T00:00:00"/>
    <s v="TA PC 4"/>
    <n v="0.4"/>
    <n v="7"/>
    <n v="672000"/>
    <n v="163902.43902439025"/>
    <n v="16.390243902439025"/>
    <s v="EMPAGRAN"/>
    <s v="EMPAGRAN"/>
    <s v="UNICO"/>
    <n v="10600"/>
    <n v="11562.220000000001"/>
    <n v="24.5"/>
    <n v="24.43"/>
    <n v="2820.0536585365858"/>
    <n v="224441.48396199936"/>
    <n v="22600"/>
    <n v="23605.99"/>
    <n v="38"/>
    <n v="37.36"/>
    <n v="5757.5585365853667"/>
    <n v="286860.79925053538"/>
    <n v="35168.210000000006"/>
    <n v="511302.28321253473"/>
    <n v="8577.6121951219538"/>
    <n v="3.1133333333333333"/>
    <n v="102.11443089430898"/>
    <n v="76.086649287579576"/>
    <n v="46847.75"/>
    <n v="61.70150987224158"/>
    <n v="1.3321050460060375"/>
    <s v="SK"/>
    <s v="AUTOMATICA"/>
    <n v="962.22000000000116"/>
    <n v="1005.9900000000016"/>
    <n v="-7.0000000000000284E-2"/>
    <n v="-0.64000000000000057"/>
    <s v="ALFONSO GRUNAUER"/>
    <s v="TA 13"/>
  </r>
  <r>
    <d v="2026-01-22T00:00:00"/>
    <n v="73"/>
    <x v="0"/>
    <s v="AGUAJE 2"/>
    <x v="0"/>
    <s v="24"/>
    <x v="11"/>
    <n v="7.15"/>
    <s v="ASC-BAP"/>
    <n v="85"/>
    <d v="2025-10-29T00:00:00"/>
    <s v="TA PC 4"/>
    <n v="0.4"/>
    <n v="6"/>
    <n v="929500"/>
    <n v="130000"/>
    <n v="13"/>
    <s v="EMPAGRAN"/>
    <s v="EMPAGRAN"/>
    <s v="UNICO"/>
    <n v="9900"/>
    <n v="9816.56"/>
    <n v="26"/>
    <n v="30.06"/>
    <n v="1372.9454545454544"/>
    <n v="148260.75316034598"/>
    <n v="34100"/>
    <n v="36864.28"/>
    <n v="41"/>
    <n v="40.86"/>
    <n v="5155.8433566433559"/>
    <n v="409603.11111111112"/>
    <n v="46680.84"/>
    <n v="557863.86427145707"/>
    <n v="6528.7888111888105"/>
    <n v="3.3649411764705883"/>
    <n v="76.809280131633059"/>
    <n v="60.017629292249289"/>
    <n v="70933.005000000005"/>
    <n v="52.941176470588232"/>
    <n v="1.5195314608734549"/>
    <s v="SK"/>
    <s v="AUTOMATICA"/>
    <n v="-83.440000000000509"/>
    <n v="2764.2799999999988"/>
    <n v="4.0599999999999987"/>
    <n v="-0.14000000000000057"/>
    <s v="ALFONSO GRUNAUER"/>
    <s v="TA 24"/>
  </r>
  <r>
    <d v="2026-01-22T00:00:00"/>
    <n v="75"/>
    <x v="0"/>
    <s v="AGUAJE 2"/>
    <x v="0"/>
    <s v="01"/>
    <x v="1"/>
    <n v="7.84"/>
    <s v="ASC-BAP"/>
    <n v="72"/>
    <d v="2025-11-11T00:00:00"/>
    <s v="TI PC 18 - 32"/>
    <n v="0.87"/>
    <n v="2"/>
    <n v="1176000"/>
    <n v="150000"/>
    <n v="15"/>
    <s v="LARVASLAB/MEGALATINA"/>
    <s v="TEXCUMAR"/>
    <s v="COMBINADO"/>
    <n v="0"/>
    <n v="0"/>
    <n v="0"/>
    <n v="0"/>
    <n v="0"/>
    <n v="0"/>
    <n v="47700"/>
    <n v="48535"/>
    <n v="31"/>
    <n v="31.78"/>
    <n v="6190.6887755102043"/>
    <n v="693357.14285714284"/>
    <n v="48535"/>
    <n v="693357.14285714284"/>
    <n v="6190.6887755102043"/>
    <n v="3.089722222222222"/>
    <n v="85.981788548752832"/>
    <n v="58.958940719144806"/>
    <n v="52634.825000000004"/>
    <n v="42.295564058956913"/>
    <n v="1.084471515401257"/>
    <s v="NC"/>
    <s v="AUTOMATICA"/>
    <n v="0"/>
    <n v="835"/>
    <n v="0"/>
    <n v="0.78000000000000114"/>
    <s v="ALFONSO GRUNAUER"/>
    <s v="TI 01"/>
  </r>
  <r>
    <d v="2026-01-23T00:00:00"/>
    <n v="49"/>
    <x v="0"/>
    <s v="AGUAJE 2"/>
    <x v="0"/>
    <s v="07"/>
    <x v="4"/>
    <n v="10.23"/>
    <s v="CONVENCIONAL"/>
    <n v="89"/>
    <d v="2025-10-26T00:00:00"/>
    <s v="DE PC 3"/>
    <n v="0.26"/>
    <n v="6"/>
    <n v="1739100"/>
    <n v="170000"/>
    <n v="17"/>
    <s v="GABSO"/>
    <s v="TEXCUMAR"/>
    <s v="UNICO"/>
    <n v="24000"/>
    <n v="24478.010000000002"/>
    <n v="29.5"/>
    <n v="29.53"/>
    <n v="2392.7673509286415"/>
    <n v="377285.96669166943"/>
    <n v="18450"/>
    <n v="18612.22"/>
    <n v="33"/>
    <n v="31.28"/>
    <n v="1819.3763440860216"/>
    <n v="270138.99872122763"/>
    <n v="43090.23"/>
    <n v="647424.96541289706"/>
    <n v="4212.1436950146626"/>
    <n v="2.4602247191011237"/>
    <n v="47.32745724735576"/>
    <n v="37.227586994013976"/>
    <n v="84050.375"/>
    <n v="41.873977176623058"/>
    <n v="1.9505668686382038"/>
    <m/>
    <s v="AUTOMATICA"/>
    <n v="478.01000000000204"/>
    <n v="162.22000000000116"/>
    <n v="3.0000000000001137E-2"/>
    <n v="-1.7199999999999989"/>
    <s v="CARLOS FLORES"/>
    <s v="DE 07"/>
  </r>
  <r>
    <d v="2026-01-23T00:00:00"/>
    <n v="59"/>
    <x v="0"/>
    <s v="AGUAJE 2"/>
    <x v="0"/>
    <s v="09"/>
    <x v="8"/>
    <n v="4.07"/>
    <s v="ASC-BAP"/>
    <n v="94"/>
    <d v="2025-10-21T00:00:00"/>
    <s v="PA PC 4 - 7 - 26"/>
    <n v="0.5"/>
    <n v="9"/>
    <n v="597740"/>
    <n v="146864.86486486485"/>
    <n v="14.686486486486485"/>
    <s v="MEGALATINA/EMPAGRAN/TIBALLOSA"/>
    <s v="TEXCUMAR/EMPAGRAN"/>
    <s v="COMBINADO"/>
    <n v="13900"/>
    <n v="13594.19"/>
    <n v="18"/>
    <n v="21.409999999999997"/>
    <n v="3340.0958230958231"/>
    <n v="288662.24298443447"/>
    <n v="12350"/>
    <n v="13213.58"/>
    <n v="27"/>
    <n v="30.78"/>
    <n v="3246.5798525798523"/>
    <n v="194898.15854450941"/>
    <n v="26807.77"/>
    <n v="483560.40152894391"/>
    <n v="6586.6756756756749"/>
    <n v="2.2921276595744682"/>
    <n v="70.07101782633697"/>
    <n v="80.898116493616612"/>
    <n v="34336.645000000004"/>
    <n v="40.710439646609863"/>
    <n v="1.2808467470438609"/>
    <m/>
    <s v="AUTOMATICA"/>
    <n v="-305.80999999999949"/>
    <n v="863.57999999999993"/>
    <n v="3.4099999999999966"/>
    <n v="3.7800000000000011"/>
    <s v="GUSTAVO CARRASCO"/>
    <s v="PA 09"/>
  </r>
  <r>
    <d v="2026-01-23T00:00:00"/>
    <n v="72"/>
    <x v="0"/>
    <s v="AGUAJE 2"/>
    <x v="0"/>
    <s v="15"/>
    <x v="11"/>
    <n v="6"/>
    <s v="ASC-BAP"/>
    <n v="85"/>
    <d v="2025-10-30T00:00:00"/>
    <s v="TA PC 14"/>
    <n v="0.7"/>
    <n v="5"/>
    <n v="900000"/>
    <n v="150000"/>
    <n v="15"/>
    <s v="EMPAGRAN"/>
    <s v="EMPAGRAN"/>
    <s v="UNICO"/>
    <n v="18200"/>
    <n v="21160.22"/>
    <n v="28.25"/>
    <n v="30.54"/>
    <n v="3526.7033333333334"/>
    <n v="345590.60467015259"/>
    <n v="35000"/>
    <n v="38146.43"/>
    <n v="37"/>
    <n v="39.119999999999997"/>
    <n v="6357.7383333333337"/>
    <n v="442701.41155419225"/>
    <n v="59306.65"/>
    <n v="788292.01622434484"/>
    <n v="9884.4416666666675"/>
    <n v="3.2216470588235295"/>
    <n v="116.28754901960785"/>
    <n v="87.58800180270498"/>
    <n v="79806.52"/>
    <n v="70.980392156862735"/>
    <n v="1.3456588763654667"/>
    <m/>
    <s v="AUTOMATICA"/>
    <n v="2960.2200000000012"/>
    <n v="3146.4300000000003"/>
    <n v="2.2899999999999991"/>
    <n v="2.1199999999999974"/>
    <s v="ALFONSO GRUNAUER"/>
    <s v="TA 15"/>
  </r>
  <r>
    <d v="2026-01-24T00:00:00"/>
    <n v="48"/>
    <x v="0"/>
    <s v="AGUAJE 2"/>
    <x v="0"/>
    <s v="16"/>
    <x v="3"/>
    <n v="7"/>
    <s v="ASC"/>
    <n v="86"/>
    <d v="2025-10-30T00:00:00"/>
    <s v="CH PC 6"/>
    <n v="0.41"/>
    <n v="6"/>
    <n v="1260000"/>
    <n v="180000"/>
    <n v="18"/>
    <s v="GENESIS"/>
    <s v="TEXCUMAR"/>
    <s v="UNICO"/>
    <n v="15000"/>
    <n v="13950.32"/>
    <n v="25.25"/>
    <n v="25.89"/>
    <n v="1992.9028571428571"/>
    <n v="244872.93499218643"/>
    <n v="37500"/>
    <n v="42648.2"/>
    <n v="32.6"/>
    <n v="35"/>
    <n v="6092.5999999999995"/>
    <n v="553208.07999999996"/>
    <n v="56598.52"/>
    <n v="798081.01499218633"/>
    <n v="8085.5028571428566"/>
    <n v="2.8488372093023253"/>
    <n v="94.017475083056468"/>
    <n v="63.339763094617965"/>
    <n v="83388.99500000001"/>
    <n v="62.832225913621258"/>
    <n v="1.4733423241455785"/>
    <m/>
    <s v="AUTOMATICA"/>
    <n v="-1049.6800000000003"/>
    <n v="5148.1999999999971"/>
    <n v="0.64000000000000057"/>
    <n v="2.3999999999999986"/>
    <s v="SANTIAGO OBRIEN"/>
    <s v="CH 16"/>
  </r>
  <r>
    <d v="2026-01-24T00:00:00"/>
    <n v="50"/>
    <x v="0"/>
    <s v="AGUAJE 2"/>
    <x v="0"/>
    <s v="09"/>
    <x v="4"/>
    <n v="7.45"/>
    <s v="CONVENCIONAL"/>
    <n v="88"/>
    <d v="2025-10-28T00:00:00"/>
    <s v="DE PC 3"/>
    <n v="0.3"/>
    <n v="7"/>
    <n v="1266500"/>
    <n v="170000"/>
    <n v="17"/>
    <s v="GABSO"/>
    <s v="TEXCUMAR"/>
    <s v="UNICO"/>
    <n v="0"/>
    <n v="0"/>
    <n v="0"/>
    <n v="0"/>
    <n v="0"/>
    <n v="0"/>
    <n v="30900"/>
    <n v="29925"/>
    <n v="40"/>
    <n v="40.04"/>
    <n v="4016.7785234899329"/>
    <n v="339309.44055944058"/>
    <n v="29925"/>
    <n v="339309.44055944058"/>
    <n v="4016.7785234899329"/>
    <n v="3.1850000000000001"/>
    <n v="45.645210494203781"/>
    <n v="26.791112558976753"/>
    <n v="52634.825000000004"/>
    <n v="36.417022574740692"/>
    <n v="1.7588913951545533"/>
    <m/>
    <s v="AUTOMATICA"/>
    <n v="0"/>
    <n v="-975"/>
    <n v="0"/>
    <n v="3.9999999999999147E-2"/>
    <s v="CARLOS FLORES"/>
    <s v="DE 09"/>
  </r>
  <r>
    <d v="2026-01-24T00:00:00"/>
    <n v="63"/>
    <x v="0"/>
    <s v="AGUAJE 2"/>
    <x v="0"/>
    <s v="09"/>
    <x v="0"/>
    <n v="9"/>
    <s v="CONVENCIONAL"/>
    <n v="59"/>
    <d v="2025-11-26T00:00:00"/>
    <s v="PR PC 2 - 8"/>
    <n v="0.6"/>
    <n v="12"/>
    <n v="1800000"/>
    <n v="200000"/>
    <n v="20"/>
    <s v="TECSERV"/>
    <s v="EMPAGRAN - SEMACUA"/>
    <s v="UNICO"/>
    <n v="0"/>
    <n v="0"/>
    <n v="0"/>
    <n v="0"/>
    <n v="0"/>
    <n v="0"/>
    <n v="22300"/>
    <n v="26331.279999999999"/>
    <n v="17.5"/>
    <n v="18.739999999999998"/>
    <n v="2925.6977777777774"/>
    <n v="637908.27748132334"/>
    <n v="26331.279999999999"/>
    <n v="637908.27748132334"/>
    <n v="2925.6977777777774"/>
    <n v="2.2233898305084745"/>
    <n v="49.588097928436909"/>
    <n v="35.439348748962409"/>
    <n v="39804.053"/>
    <n v="34.001883239171377"/>
    <n v="1.5116641879923802"/>
    <m/>
    <s v="AUTOMATICA"/>
    <n v="0"/>
    <n v="4031.2799999999988"/>
    <n v="0"/>
    <n v="1.2399999999999984"/>
    <s v="WILMER TORRES"/>
    <s v="PR 09"/>
  </r>
  <r>
    <d v="2026-01-26T00:00:00"/>
    <n v="77"/>
    <x v="0"/>
    <s v="AGUAJE 2"/>
    <x v="0"/>
    <s v="13"/>
    <x v="1"/>
    <n v="4.51"/>
    <s v="ASC-BAP"/>
    <n v="69"/>
    <d v="2025-11-18T00:00:00"/>
    <s v="TI PC 30"/>
    <n v="0.75"/>
    <n v="7"/>
    <n v="766700"/>
    <n v="170000"/>
    <n v="17"/>
    <s v="LARVASLAB"/>
    <s v="TEXCUMAR"/>
    <s v="UNICO"/>
    <n v="6000"/>
    <n v="6404.86"/>
    <n v="26"/>
    <n v="26.02"/>
    <n v="1420.1463414634147"/>
    <n v="111752.74558032282"/>
    <n v="29600"/>
    <n v="33788.04"/>
    <n v="33"/>
    <n v="36.56"/>
    <n v="7491.8048780487807"/>
    <n v="419577.95842450764"/>
    <n v="40192.9"/>
    <n v="531330.70400483045"/>
    <n v="8911.9512195121952"/>
    <n v="3.7089855072463767"/>
    <n v="129.15871332626369"/>
    <n v="69.30099178359599"/>
    <n v="50485.340000000004"/>
    <n v="73.588482920402328"/>
    <n v="1.2560760731372955"/>
    <m/>
    <s v="AUTOMATICA"/>
    <n v="404.85999999999967"/>
    <n v="4188.0400000000009"/>
    <n v="1.9999999999999574E-2"/>
    <n v="3.5600000000000023"/>
    <s v="ALFONSO GRUNAUER"/>
    <s v="TI 13"/>
  </r>
  <r>
    <d v="2026-01-27T00:00:00"/>
    <n v="68"/>
    <x v="0"/>
    <s v="AGUAJE 2"/>
    <x v="0"/>
    <s v="03"/>
    <x v="11"/>
    <n v="4.5"/>
    <s v="ASC-BAP"/>
    <n v="88"/>
    <d v="2025-10-31T00:00:00"/>
    <s v="TA PC 2"/>
    <n v="0.8"/>
    <n v="7"/>
    <n v="675000"/>
    <n v="150000"/>
    <n v="15"/>
    <s v="EMPAGRAN"/>
    <s v="EMPAGRAN"/>
    <s v="UNICO"/>
    <n v="5600"/>
    <n v="5859.56"/>
    <n v="20"/>
    <n v="21.22"/>
    <n v="1302.1244444444446"/>
    <n v="125364.7615457116"/>
    <n v="26400"/>
    <n v="28041.31"/>
    <n v="39"/>
    <n v="38.1"/>
    <n v="6231.4022222222229"/>
    <n v="334140.54435695539"/>
    <n v="33900.870000000003"/>
    <n v="459505.30590266699"/>
    <n v="7533.5266666666676"/>
    <n v="3.0306818181818183"/>
    <n v="85.608257575757591"/>
    <n v="68.07486013372845"/>
    <n v="47288.670000000006"/>
    <n v="54.166666666666671"/>
    <n v="1.3949102191182705"/>
    <m/>
    <s v="AUTOMATICA"/>
    <n v="259.5600000000004"/>
    <n v="1641.3100000000013"/>
    <n v="1.2199999999999989"/>
    <n v="-0.89999999999999858"/>
    <s v="ALFONSO GRUNAUER"/>
    <s v="TA 03"/>
  </r>
  <r>
    <d v="2026-01-27T00:00:00"/>
    <n v="70"/>
    <x v="0"/>
    <s v="AGUAJE 2"/>
    <x v="0"/>
    <s v="10"/>
    <x v="11"/>
    <n v="8"/>
    <s v="ASC-BAP"/>
    <n v="46"/>
    <d v="2025-12-12T00:00:00"/>
    <s v="TA PC 9"/>
    <n v="5.9"/>
    <n v="5"/>
    <n v="1400000"/>
    <n v="175000"/>
    <n v="17.5"/>
    <s v="TECSERV"/>
    <s v="TEXCUMAR"/>
    <s v="UNICO"/>
    <n v="24000"/>
    <n v="24408.080000000002"/>
    <n v="21.4"/>
    <n v="21.4"/>
    <n v="3051.01"/>
    <n v="524507.75174476928"/>
    <n v="48000"/>
    <n v="54630.76"/>
    <n v="28"/>
    <n v="28.28"/>
    <n v="6828.8450000000003"/>
    <n v="877028.46676096169"/>
    <n v="79038.84"/>
    <n v="1401536.2185057309"/>
    <n v="9879.8549999999996"/>
    <n v="4.3034782608695652"/>
    <n v="214.77945652173912"/>
    <n v="100.10972989326649"/>
    <n v="74956.400000000009"/>
    <n v="92.391304347826093"/>
    <n v="0.94834893831943901"/>
    <m/>
    <s v="AUTOMATICA"/>
    <n v="408.08000000000175"/>
    <n v="6630.760000000002"/>
    <n v="0"/>
    <n v="0.28000000000000114"/>
    <s v="ALFONSO GRUNAUER"/>
    <s v="TA 10"/>
  </r>
  <r>
    <d v="2026-01-28T00:00:00"/>
    <n v="47"/>
    <x v="0"/>
    <s v="AGUAJE 2"/>
    <x v="0"/>
    <s v="05"/>
    <x v="3"/>
    <n v="5.4"/>
    <s v="ASC"/>
    <n v="88"/>
    <d v="2025-11-01T00:00:00"/>
    <s v="CH PC 3"/>
    <n v="0.94"/>
    <n v="7"/>
    <n v="972000"/>
    <n v="180000"/>
    <n v="18"/>
    <s v="GENESIS"/>
    <s v="TEXCUMAR"/>
    <s v="UNICO"/>
    <n v="13400"/>
    <n v="13572.36"/>
    <n v="27"/>
    <n v="25.4"/>
    <n v="2513.4"/>
    <n v="244598.88601536432"/>
    <n v="33300"/>
    <n v="32609.599999999999"/>
    <n v="34.5"/>
    <n v="35.64"/>
    <n v="6038.8148148148139"/>
    <n v="415397.26150392811"/>
    <n v="46181.96"/>
    <n v="659996.14751929243"/>
    <n v="8552.2148148148135"/>
    <n v="2.835"/>
    <n v="97.18425925925925"/>
    <n v="67.900838222149432"/>
    <n v="68563.06"/>
    <n v="65.44612794612793"/>
    <n v="1.4846286298805853"/>
    <m/>
    <s v="AUTOMATICA"/>
    <n v="172.36000000000058"/>
    <n v="-690.40000000000146"/>
    <n v="-1.6000000000000014"/>
    <n v="1.1400000000000006"/>
    <s v="SANTIAGO OBRIEN"/>
    <s v="CH 05"/>
  </r>
  <r>
    <d v="2026-01-28T00:00:00"/>
    <n v="51"/>
    <x v="0"/>
    <s v="AGUAJE 2"/>
    <x v="0"/>
    <s v="24"/>
    <x v="4"/>
    <n v="5.3"/>
    <s v="CONVENCIONAL"/>
    <n v="85"/>
    <d v="2025-11-04T00:00:00"/>
    <s v="DE PC 25"/>
    <n v="0.55000000000000004"/>
    <n v="9"/>
    <n v="795000"/>
    <n v="150000"/>
    <n v="15"/>
    <s v="TECSERV"/>
    <s v="EMPAGRAN - SEMACUA"/>
    <s v="UNICO"/>
    <n v="4000"/>
    <n v="3997.08"/>
    <n v="27"/>
    <n v="31.28"/>
    <n v="754.16603773584905"/>
    <n v="58013.884910485933"/>
    <n v="25200"/>
    <n v="27811.85"/>
    <n v="40"/>
    <n v="39.94"/>
    <n v="5247.5188679245284"/>
    <n v="316138.7055583375"/>
    <n v="31808.93"/>
    <n v="374152.59046882344"/>
    <n v="6001.6849056603778"/>
    <n v="3.2891764705882354"/>
    <n v="70.608057713651505"/>
    <n v="47.063218926896035"/>
    <n v="37147.51"/>
    <n v="37.402885682574919"/>
    <n v="1.1678327438238256"/>
    <m/>
    <s v="AUTOMATICA"/>
    <n v="-2.9200000000000728"/>
    <n v="2611.8499999999985"/>
    <n v="4.2800000000000011"/>
    <n v="-6.0000000000002274E-2"/>
    <s v="CARLOS FLORES"/>
    <s v="DE 24"/>
  </r>
  <r>
    <d v="2026-01-28T00:00:00"/>
    <n v="52"/>
    <x v="0"/>
    <s v="AGUAJE 2"/>
    <x v="0"/>
    <s v="05"/>
    <x v="7"/>
    <n v="3.84"/>
    <s v="ASC-BAP"/>
    <n v="90"/>
    <d v="2025-10-30T00:00:00"/>
    <s v="DO PC 0"/>
    <n v="0.35"/>
    <n v="8"/>
    <n v="883200"/>
    <n v="230000"/>
    <n v="23"/>
    <s v="GABSO"/>
    <s v="TEXCUMAR"/>
    <s v="UNICO"/>
    <n v="21900"/>
    <n v="21787.89"/>
    <n v="23.666666666666668"/>
    <n v="23.806666666666668"/>
    <n v="5673.9296875"/>
    <n v="404939.12642543984"/>
    <n v="17900"/>
    <n v="18422.759999999998"/>
    <n v="31"/>
    <n v="32.4"/>
    <n v="4797.59375"/>
    <n v="258146.08148148147"/>
    <n v="40210.649999999994"/>
    <n v="663085.20790692128"/>
    <n v="10471.523437499998"/>
    <n v="2.5199999999999996"/>
    <n v="116.35026041666664"/>
    <n v="75.07758241699743"/>
    <n v="57925.865000000005"/>
    <n v="76.027199074074076"/>
    <n v="1.4405602744546535"/>
    <m/>
    <s v="AUTOMATICA"/>
    <n v="-112.11000000000058"/>
    <n v="522.7599999999984"/>
    <n v="0.14000000000000057"/>
    <n v="1.3999999999999986"/>
    <s v="JOSE CEDEÑO"/>
    <s v="DO 05"/>
  </r>
  <r>
    <d v="2026-01-28T00:00:00"/>
    <n v="54"/>
    <x v="0"/>
    <s v="AGUAJE 2"/>
    <x v="0"/>
    <s v="19"/>
    <x v="7"/>
    <n v="8.8699999999999992"/>
    <s v="ASC-BAP"/>
    <n v="100"/>
    <d v="2025-10-20T00:00:00"/>
    <s v="DO PC 4"/>
    <n v="0.6"/>
    <n v="4"/>
    <n v="1596700"/>
    <n v="180011.27395715899"/>
    <n v="18.001127395715898"/>
    <s v="GENESIS"/>
    <s v="TEXCUMAR"/>
    <s v="UNICO"/>
    <n v="77250"/>
    <n v="79728.58"/>
    <n v="24.333333333333332"/>
    <n v="24.863333333333333"/>
    <n v="8988.5659526493801"/>
    <n v="1364388.3216429935"/>
    <n v="1200"/>
    <n v="1161.71"/>
    <n v="29"/>
    <n v="28.82"/>
    <n v="130.97068771138672"/>
    <n v="18300.358778625952"/>
    <n v="80890.290000000008"/>
    <n v="1382688.6804216194"/>
    <n v="9119.5366403607677"/>
    <n v="2.0173999999999999"/>
    <n v="91.195366403607679"/>
    <n v="86.596648113084456"/>
    <n v="122245.07"/>
    <n v="62.514092446448714"/>
    <n v="1.5112452928528257"/>
    <m/>
    <s v="AUTOMATICA"/>
    <n v="2478.5800000000017"/>
    <n v="-38.289999999999964"/>
    <n v="0.53000000000000114"/>
    <n v="-0.17999999999999972"/>
    <s v="JOSE CEDEÑO"/>
    <s v="DO 19"/>
  </r>
  <r>
    <d v="2026-01-28T00:00:00"/>
    <n v="79"/>
    <x v="0"/>
    <s v="AGUAJE 2"/>
    <x v="0"/>
    <s v="4A"/>
    <x v="12"/>
    <n v="6.17"/>
    <s v="ASC-BAP"/>
    <n v="91"/>
    <d v="2025-10-29T00:00:00"/>
    <s v="PA PC 26"/>
    <n v="0.4"/>
    <n v="6"/>
    <n v="1166000"/>
    <n v="188978.93030794166"/>
    <n v="18.897893030794165"/>
    <s v="EMPAGRAN"/>
    <s v="EMPAGRAN"/>
    <s v="UNICO"/>
    <n v="26400"/>
    <n v="25359.08"/>
    <n v="21.333333333333332"/>
    <n v="22.186666666666667"/>
    <n v="4110.0615883306327"/>
    <n v="519232.0045028145"/>
    <n v="23500"/>
    <n v="24668.48"/>
    <n v="32"/>
    <n v="33.64"/>
    <n v="3998.1329011345219"/>
    <n v="332921.81688466109"/>
    <n v="50027.56"/>
    <n v="852153.82138747559"/>
    <n v="8108.1944894651533"/>
    <n v="2.5876923076923077"/>
    <n v="89.101038345770917"/>
    <n v="73.083518129286077"/>
    <n v="65774.241000000009"/>
    <n v="53.137300300995605"/>
    <n v="1.3147601242195304"/>
    <m/>
    <s v="AUTOMATICA"/>
    <n v="-1040.9199999999983"/>
    <n v="1168.4799999999996"/>
    <n v="0.85333333333333528"/>
    <n v="1.6400000000000006"/>
    <s v="GUSTAVO CARRASCO"/>
    <s v="TU 4A"/>
  </r>
  <r>
    <d v="2026-01-29T00:00:00"/>
    <n v="83"/>
    <x v="0"/>
    <s v="AGUAJE 3"/>
    <x v="0"/>
    <s v="22"/>
    <x v="4"/>
    <n v="5.7"/>
    <s v="CONVENCIONAL"/>
    <n v="86"/>
    <d v="2025-11-04T00:00:00"/>
    <s v="DE PC 25"/>
    <n v="0.55000000000000004"/>
    <n v="10"/>
    <n v="950304"/>
    <n v="166720"/>
    <n v="16.672000000000001"/>
    <s v="TECSERV"/>
    <s v="EMPAGRAN - SEMACUA"/>
    <s v="UNICO"/>
    <n v="6700"/>
    <n v="6686.17"/>
    <n v="23"/>
    <n v="23.6"/>
    <n v="1173.0122807017544"/>
    <n v="128623.77881355931"/>
    <n v="18500"/>
    <n v="19131.48"/>
    <n v="35"/>
    <n v="36.08"/>
    <n v="3356.3999999999996"/>
    <n v="240734.25498891354"/>
    <n v="25817.65"/>
    <n v="369358.03380247287"/>
    <n v="4529.4122807017548"/>
    <n v="2.9367441860465111"/>
    <n v="52.667584659322728"/>
    <n v="38.86735547808626"/>
    <n v="57374.715000000004"/>
    <n v="53.090575275397789"/>
    <n v="2.2223058643989675"/>
    <m/>
    <s v="AUTOMATICA"/>
    <n v="-13.829999999999927"/>
    <n v="631.47999999999956"/>
    <n v="0.60000000000000142"/>
    <n v="1.0799999999999983"/>
    <s v="CARLOS FLORES"/>
    <s v="DE 22"/>
  </r>
  <r>
    <d v="2026-01-29T00:00:00"/>
    <n v="84"/>
    <x v="0"/>
    <s v="AGUAJE 3"/>
    <x v="0"/>
    <s v="03"/>
    <x v="1"/>
    <n v="6.55"/>
    <s v="ASC-BAP"/>
    <n v="87"/>
    <d v="2025-11-03T00:00:00"/>
    <s v="TI PC 33 - 34"/>
    <n v="0.45"/>
    <n v="8"/>
    <n v="1179000"/>
    <n v="180000"/>
    <n v="18"/>
    <s v="GABSO"/>
    <s v="TEXCUMAR"/>
    <s v="UNICO"/>
    <n v="19500"/>
    <n v="18868.169999999998"/>
    <n v="24.75"/>
    <n v="26.4"/>
    <n v="2880.6366412213738"/>
    <n v="327112.43989924574"/>
    <n v="44700"/>
    <n v="46596.35"/>
    <n v="40"/>
    <n v="42.04"/>
    <n v="7113.9465648854957"/>
    <n v="503205.11179828731"/>
    <n v="65464.52"/>
    <n v="830317.55169753311"/>
    <n v="9994.5832061068704"/>
    <n v="3.3825287356321838"/>
    <n v="114.88026673686058"/>
    <n v="70.425576903946833"/>
    <n v="87412.39"/>
    <n v="69.579713959813986"/>
    <n v="1.335263590109574"/>
    <m/>
    <s v="AUTOMATICA"/>
    <n v="-631.83000000000175"/>
    <n v="1896.3499999999985"/>
    <n v="1.6499999999999986"/>
    <n v="2.0399999999999991"/>
    <s v="ALFONSO GRUNAUER"/>
    <s v="TI 03"/>
  </r>
  <r>
    <d v="2026-01-29T00:00:00"/>
    <n v="85"/>
    <x v="0"/>
    <s v="AGUAJE 3"/>
    <x v="0"/>
    <s v="03"/>
    <x v="12"/>
    <n v="3.43"/>
    <s v="ASC-BAP"/>
    <n v="92"/>
    <d v="2025-10-29T00:00:00"/>
    <s v="PA PC 26 - MA PC 8"/>
    <n v="0.39"/>
    <n v="7"/>
    <n v="632918"/>
    <n v="184524.19825072886"/>
    <n v="18.452419825072887"/>
    <s v="EMPAGRAN"/>
    <s v="EMPAGRAN"/>
    <s v="UNICO"/>
    <n v="13200"/>
    <n v="13194.91"/>
    <n v="20.333333333333332"/>
    <n v="21.106666666666666"/>
    <n v="3846.9125364431484"/>
    <n v="283124.3156901141"/>
    <n v="12150"/>
    <n v="12880.22"/>
    <n v="32"/>
    <n v="33.32"/>
    <n v="3755.1661807580172"/>
    <n v="175498.79591836734"/>
    <n v="26075.129999999997"/>
    <n v="458623.11160848144"/>
    <n v="7602.0787172011651"/>
    <n v="2.5352173913043479"/>
    <n v="82.631290404360485"/>
    <n v="72.46169513404287"/>
    <n v="38304.925000000003"/>
    <n v="55.060844213461777"/>
    <n v="1.4690214392027963"/>
    <m/>
    <s v="AUTOMATICA"/>
    <n v="-5.0900000000001455"/>
    <n v="730.21999999999935"/>
    <n v="0.77333333333333343"/>
    <n v="1.3200000000000003"/>
    <s v="GUSTAVO CARRASCO"/>
    <s v="TU 03"/>
  </r>
  <r>
    <d v="2026-01-29T00:00:00"/>
    <n v="86"/>
    <x v="0"/>
    <s v="AGUAJE 3"/>
    <x v="0"/>
    <s v="25"/>
    <x v="6"/>
    <n v="3.5"/>
    <s v="CONVENCIONAL"/>
    <n v="70"/>
    <d v="2025-11-20T00:00:00"/>
    <s v="WA PS 27"/>
    <n v="0.65"/>
    <n v="26"/>
    <n v="577500"/>
    <n v="165000"/>
    <n v="16.5"/>
    <s v="TECSERV"/>
    <s v="TEXCUMAR"/>
    <s v="UNICO"/>
    <n v="0"/>
    <n v="0"/>
    <n v="0"/>
    <n v="0"/>
    <n v="0"/>
    <n v="0"/>
    <n v="4350"/>
    <n v="4942.22"/>
    <n v="34"/>
    <n v="36.56"/>
    <n v="1412.0628571428572"/>
    <n v="61372.206783369795"/>
    <n v="4942.22"/>
    <n v="61372.206783369795"/>
    <n v="1412.0628571428572"/>
    <n v="3.6560000000000001"/>
    <n v="20.172326530612246"/>
    <n v="10.627221953830269"/>
    <n v="15754.071600000001"/>
    <n v="29.167346938775513"/>
    <n v="3.1876508127926315"/>
    <m/>
    <s v="BOLEO"/>
    <n v="0"/>
    <n v="592.22000000000025"/>
    <n v="0"/>
    <n v="2.5600000000000023"/>
    <s v="JUNIOR ESQUIVEL"/>
    <s v="WA 25"/>
  </r>
  <r>
    <d v="2026-01-29T00:00:00"/>
    <n v="87"/>
    <x v="0"/>
    <s v="AGUAJE 3"/>
    <x v="0"/>
    <s v="26"/>
    <x v="6"/>
    <n v="3.6"/>
    <s v="CONVENCIONAL"/>
    <n v="70"/>
    <d v="2025-11-20T00:00:00"/>
    <s v="WA PS 27"/>
    <n v="0.65"/>
    <n v="27"/>
    <n v="594000"/>
    <n v="165000"/>
    <n v="16.5"/>
    <s v="TECSERV"/>
    <s v="TEXCUMAR"/>
    <s v="UNICO"/>
    <n v="0"/>
    <n v="0"/>
    <n v="0"/>
    <n v="0"/>
    <n v="0"/>
    <n v="0"/>
    <n v="8000"/>
    <n v="8271.6299999999992"/>
    <n v="29"/>
    <n v="28.42"/>
    <n v="2297.6749999999997"/>
    <n v="132136.52427867695"/>
    <n v="8271.6299999999992"/>
    <n v="132136.52427867695"/>
    <n v="2297.6749999999997"/>
    <n v="2.8420000000000001"/>
    <n v="32.823928571428567"/>
    <n v="22.245206107521373"/>
    <n v="21455.1672"/>
    <n v="38.61904761904762"/>
    <n v="2.593825787662166"/>
    <m/>
    <s v="BOLEO"/>
    <n v="0"/>
    <n v="271.6299999999992"/>
    <n v="0"/>
    <n v="-0.57999999999999829"/>
    <s v="JUNIOR ESQUIVEL"/>
    <s v="WA 26"/>
  </r>
  <r>
    <d v="2026-01-29T00:00:00"/>
    <n v="88"/>
    <x v="0"/>
    <s v="AGUAJE 3"/>
    <x v="0"/>
    <s v="02"/>
    <x v="12"/>
    <n v="4.3"/>
    <s v="ASC-BAP"/>
    <n v="85"/>
    <d v="2025-11-05T00:00:00"/>
    <s v="PA PC 4"/>
    <n v="0.55000000000000004"/>
    <n v="15"/>
    <n v="705454"/>
    <n v="164059.06976744186"/>
    <n v="16.405906976744188"/>
    <s v="TIBALLOSA"/>
    <s v="TEXCUMAR"/>
    <s v="UNICO"/>
    <n v="12800"/>
    <n v="12366.150000000001"/>
    <n v="22"/>
    <n v="22.92"/>
    <n v="2875.8488372093029"/>
    <n v="246806.56905907363"/>
    <n v="18732"/>
    <n v="16137.41"/>
    <n v="32"/>
    <n v="36.35"/>
    <n v="3752.8860465116281"/>
    <n v="201551.14552957358"/>
    <n v="28503.56"/>
    <n v="448357.71458864724"/>
    <n v="6628.7348837209311"/>
    <n v="2.993529411764706"/>
    <n v="77.985116279069771"/>
    <n v="63.555910745228928"/>
    <n v="41777.170000000006"/>
    <n v="51.8467852257182"/>
    <n v="1.4656825322871951"/>
    <m/>
    <s v="AUTOMATICA"/>
    <n v="-433.84999999999854"/>
    <n v="-2594.59"/>
    <n v="0.92000000000000171"/>
    <n v="4.3500000000000014"/>
    <s v="GUSTAVO CARRASCO"/>
    <s v="TU 02"/>
  </r>
  <r>
    <d v="2026-01-30T00:00:00"/>
    <n v="89"/>
    <x v="0"/>
    <s v="AGUAJE 3"/>
    <x v="0"/>
    <s v="04"/>
    <x v="3"/>
    <n v="4.82"/>
    <s v="ASC"/>
    <n v="79"/>
    <d v="2025-11-12T00:00:00"/>
    <s v="CH PC 2"/>
    <n v="0.53"/>
    <n v="5"/>
    <n v="964000"/>
    <n v="200000"/>
    <n v="20"/>
    <s v="BIOLACAM"/>
    <s v="TEXCUMAR"/>
    <s v="UNICO"/>
    <n v="13200"/>
    <n v="13082.45"/>
    <n v="22.5"/>
    <n v="22.86"/>
    <n v="2714.2012448132782"/>
    <n v="267092.28827126184"/>
    <n v="26650"/>
    <n v="27982.99"/>
    <n v="29"/>
    <n v="30.22"/>
    <n v="5805.5995850622403"/>
    <n v="420393.0330906685"/>
    <n v="41065.440000000002"/>
    <n v="687485.32136193034"/>
    <n v="8519.8008298755194"/>
    <n v="2.6777215189873416"/>
    <n v="107.84558012500658"/>
    <n v="71.315904705594434"/>
    <n v="59854.890000000007"/>
    <n v="71.301013708703181"/>
    <n v="1.4575489754888784"/>
    <m/>
    <s v="AUTOMATICA"/>
    <n v="-117.54999999999927"/>
    <n v="1332.9900000000016"/>
    <n v="0.35999999999999943"/>
    <n v="1.2199999999999989"/>
    <s v="SANTIAGO OBRIEN"/>
    <s v="CH 04"/>
  </r>
  <r>
    <d v="2026-01-30T00:00:00"/>
    <n v="90"/>
    <x v="0"/>
    <s v="AGUAJE 3"/>
    <x v="0"/>
    <s v="08"/>
    <x v="3"/>
    <n v="2.4"/>
    <s v="ASC"/>
    <n v="78"/>
    <d v="2025-11-13T00:00:00"/>
    <s v="CH PC 5"/>
    <n v="0.65"/>
    <n v="7"/>
    <n v="432000"/>
    <n v="180000"/>
    <n v="18"/>
    <s v="BIOLACAM"/>
    <s v="TEXCUMAR"/>
    <s v="UNICO"/>
    <n v="5800"/>
    <n v="5835.8600000000006"/>
    <n v="23"/>
    <n v="23.39"/>
    <n v="2431.6083333333336"/>
    <n v="114326.60641795311"/>
    <n v="12050"/>
    <n v="11785.32"/>
    <n v="31"/>
    <n v="32.409999999999997"/>
    <n v="4910.55"/>
    <n v="165089.02437519288"/>
    <n v="17621.18"/>
    <n v="279415.63079314597"/>
    <n v="7342.1583333333338"/>
    <n v="2.9085897435897432"/>
    <n v="94.130235042735052"/>
    <n v="64.679544165080088"/>
    <n v="27502.385000000002"/>
    <n v="66.639957264957275"/>
    <n v="1.5607572818619413"/>
    <m/>
    <s v="AUTOMATICA"/>
    <n v="35.860000000000582"/>
    <n v="-264.68000000000029"/>
    <n v="0.39000000000000057"/>
    <n v="1.4099999999999966"/>
    <s v="SANTIAGO OBRIEN"/>
    <s v="CH 08"/>
  </r>
  <r>
    <d v="2026-01-30T00:00:00"/>
    <n v="91"/>
    <x v="0"/>
    <s v="AGUAJE 3"/>
    <x v="0"/>
    <s v="21"/>
    <x v="4"/>
    <n v="5.4"/>
    <s v="CONVENCIONAL"/>
    <n v="87"/>
    <d v="2025-11-04T00:00:00"/>
    <s v="DE PC 25"/>
    <n v="0.55000000000000004"/>
    <n v="11"/>
    <n v="954965"/>
    <n v="176845.37037037036"/>
    <n v="17.684537037037035"/>
    <s v="TECSERV"/>
    <s v="EMPAGRAN - SEMACUA"/>
    <s v="UNICO"/>
    <n v="7000"/>
    <n v="6857.06"/>
    <n v="23"/>
    <n v="22.34"/>
    <n v="1269.825925925926"/>
    <n v="139351.17457475382"/>
    <n v="22200"/>
    <n v="25343.14"/>
    <n v="32"/>
    <n v="33.299999999999997"/>
    <n v="4693.1740740740734"/>
    <n v="345519.08588588593"/>
    <n v="32200.2"/>
    <n v="484870.26046063972"/>
    <n v="5963"/>
    <n v="2.6793103448275861"/>
    <n v="68.540229885057471"/>
    <n v="50.773615835202314"/>
    <n v="59193.51"/>
    <n v="57.151979565772663"/>
    <n v="1.8382963459854287"/>
    <m/>
    <s v="AUTOMATICA"/>
    <n v="-142.9399999999996"/>
    <n v="3143.1399999999994"/>
    <n v="-0.66000000000000014"/>
    <n v="1.2999999999999972"/>
    <s v="CARLOS FLORES"/>
    <s v="DE 21"/>
  </r>
  <r>
    <d v="2026-01-31T00:00:00"/>
    <n v="92"/>
    <x v="0"/>
    <s v="AGUAJE 3"/>
    <x v="0"/>
    <s v="20"/>
    <x v="4"/>
    <n v="3.8"/>
    <s v="CONVENCIONAL"/>
    <n v="91"/>
    <d v="2025-11-01T00:00:00"/>
    <s v="DE PC 2"/>
    <n v="0.6"/>
    <n v="10"/>
    <n v="608000"/>
    <n v="160000"/>
    <n v="16"/>
    <s v="PRICMARSA"/>
    <s v="TEXCUMAR"/>
    <s v="UNICO"/>
    <n v="3200"/>
    <n v="3281.7"/>
    <n v="26"/>
    <n v="26.1"/>
    <n v="863.60526315789468"/>
    <n v="57083.977011494244"/>
    <n v="15100"/>
    <n v="15867.62"/>
    <n v="30"/>
    <n v="33.4"/>
    <n v="4175.6894736842105"/>
    <n v="215685.61317365273"/>
    <n v="19149.32"/>
    <n v="272769.59018514695"/>
    <n v="5039.2947368421055"/>
    <n v="2.569230769230769"/>
    <n v="55.376865240023136"/>
    <n v="44.863419438346533"/>
    <n v="37367.97"/>
    <n v="49.016772700983232"/>
    <n v="1.9513993186181025"/>
    <m/>
    <s v="AUTOMATICA"/>
    <n v="81.699999999999818"/>
    <n v="767.6200000000008"/>
    <n v="0.10000000000000142"/>
    <n v="3.3999999999999986"/>
    <s v="CARLOS FLORES"/>
    <s v="DE 20"/>
  </r>
  <r>
    <d v="2026-01-31T00:00:00"/>
    <n v="93"/>
    <x v="0"/>
    <s v="AGUAJE 3"/>
    <x v="0"/>
    <s v="01"/>
    <x v="12"/>
    <n v="7.4"/>
    <s v="ASC-BAP"/>
    <n v="91"/>
    <d v="2025-11-01T00:00:00"/>
    <s v="MA PC 8"/>
    <n v="0.61"/>
    <n v="5"/>
    <n v="1193606"/>
    <n v="161298.10810810811"/>
    <n v="16.12981081081081"/>
    <s v="EMPAGRAN"/>
    <s v="EMPAGRAN"/>
    <s v="UNICO"/>
    <n v="21550"/>
    <n v="20676.78"/>
    <n v="21"/>
    <n v="22.380000000000003"/>
    <n v="2794.159459459459"/>
    <n v="422451.24338215444"/>
    <n v="35500"/>
    <n v="36556.980000000003"/>
    <n v="32"/>
    <n v="32.92"/>
    <n v="4940.1324324324323"/>
    <n v="504157.62211421633"/>
    <n v="57233.760000000002"/>
    <n v="926608.86549637071"/>
    <n v="7734.2918918918922"/>
    <n v="2.5323076923076924"/>
    <n v="84.992218592218592"/>
    <n v="77.631049567141147"/>
    <n v="74184.790000000008"/>
    <n v="49.970299970299976"/>
    <n v="1.2961718747815976"/>
    <m/>
    <s v="AUTOMATICA"/>
    <n v="-873.22000000000116"/>
    <n v="1056.9800000000032"/>
    <n v="1.3800000000000026"/>
    <n v="0.92000000000000171"/>
    <s v="GUSTAVO CARRASCO"/>
    <s v="TU 01"/>
  </r>
  <r>
    <d v="2026-02-01T00:00:00"/>
    <n v="95"/>
    <x v="0"/>
    <s v="AGUAJE 3"/>
    <x v="1"/>
    <s v="15"/>
    <x v="3"/>
    <n v="1.65"/>
    <s v="ASC"/>
    <n v="80"/>
    <d v="2025-11-13T00:00:00"/>
    <s v="CH PC 5"/>
    <n v="0.65"/>
    <n v="5"/>
    <n v="297000"/>
    <n v="180000"/>
    <n v="18"/>
    <s v="BIOLACAM"/>
    <s v="TEXCUMAR"/>
    <s v="UNICO"/>
    <n v="4950"/>
    <n v="5128.04"/>
    <n v="22.75"/>
    <n v="23.310000000000002"/>
    <n v="3107.9030303030304"/>
    <n v="99044.634688013743"/>
    <n v="9800"/>
    <n v="10171.94"/>
    <n v="32.5"/>
    <n v="34.08"/>
    <n v="6164.8121212121223"/>
    <n v="135506.47769953051"/>
    <n v="15299.98"/>
    <n v="234551.11238754424"/>
    <n v="9272.7151515151509"/>
    <n v="2.9819999999999998"/>
    <n v="115.90893939393939"/>
    <n v="78.973438514324656"/>
    <n v="21384.620000000003"/>
    <n v="73.484848484848484"/>
    <n v="1.3976894087443255"/>
    <m/>
    <s v="AUTOMATICA"/>
    <n v="178.03999999999996"/>
    <n v="371.94000000000051"/>
    <n v="0.56000000000000227"/>
    <n v="1.5799999999999983"/>
    <s v="SANTIAGO OBRIEN"/>
    <s v="CH 15"/>
  </r>
  <r>
    <d v="2026-02-01T00:00:00"/>
    <n v="96"/>
    <x v="0"/>
    <s v="AGUAJE 3"/>
    <x v="1"/>
    <s v="03"/>
    <x v="4"/>
    <n v="5.7"/>
    <s v="CONVENCIONAL"/>
    <n v="92"/>
    <d v="2025-11-01T00:00:00"/>
    <s v="DE PC 2"/>
    <n v="0.6"/>
    <n v="21"/>
    <n v="969000"/>
    <n v="170000"/>
    <n v="17"/>
    <s v="PRICMARSA"/>
    <s v="TEXCUMAR"/>
    <s v="UNICO"/>
    <n v="11650"/>
    <n v="11910.92"/>
    <n v="21.5"/>
    <n v="25.16"/>
    <n v="2089.6350877192981"/>
    <n v="216103.31271626297"/>
    <n v="26900"/>
    <n v="24780.959999999999"/>
    <n v="31"/>
    <n v="32.700000000000003"/>
    <n v="4347.5368421052626"/>
    <n v="344053.69541284401"/>
    <n v="36691.879999999997"/>
    <n v="560157.00812910695"/>
    <n v="6437.1719298245607"/>
    <n v="2.4880434782608698"/>
    <n v="69.96926010678871"/>
    <n v="57.807740776997619"/>
    <n v="66468.69"/>
    <n v="57.494279176201367"/>
    <n v="1.8115367759842234"/>
    <m/>
    <s v="AUTOMATICA"/>
    <n v="260.92000000000007"/>
    <n v="-2119.0400000000009"/>
    <n v="3.66"/>
    <n v="1.7000000000000028"/>
    <s v="CARLOS FLORES"/>
    <s v="DE 03"/>
  </r>
  <r>
    <d v="2026-02-01T00:00:00"/>
    <n v="97"/>
    <x v="0"/>
    <s v="AGUAJE 3"/>
    <x v="1"/>
    <s v="05"/>
    <x v="8"/>
    <n v="3.3"/>
    <s v="ASC-BAP"/>
    <n v="88"/>
    <d v="2025-11-05T00:00:00"/>
    <s v="PA PC 4"/>
    <n v="0.55000000000000004"/>
    <n v="53"/>
    <n v="491636"/>
    <n v="148980.60606060608"/>
    <n v="14.898060606060607"/>
    <s v="TIBALLOSA"/>
    <s v="TEXCUMAR"/>
    <s v="UNICO"/>
    <n v="8550"/>
    <n v="7881.35"/>
    <n v="18"/>
    <n v="18.68"/>
    <n v="2388.287878787879"/>
    <n v="198725.67482303147"/>
    <n v="10000"/>
    <n v="9850.0499999999993"/>
    <n v="31"/>
    <n v="32.78"/>
    <n v="2984.8636363636365"/>
    <n v="136422.2910311165"/>
    <n v="17731.400000000001"/>
    <n v="335147.96585414797"/>
    <n v="5373.1515151515159"/>
    <n v="2.6074999999999999"/>
    <n v="61.058539944903593"/>
    <n v="68.169939925910214"/>
    <n v="29596.755000000001"/>
    <n v="46.22933884297521"/>
    <n v="1.6691719209989058"/>
    <m/>
    <s v="AUTOMATICA"/>
    <n v="-668.64999999999964"/>
    <n v="-149.95000000000073"/>
    <n v="0.67999999999999972"/>
    <n v="1.7800000000000011"/>
    <s v="GUSTAVO CARRASCO"/>
    <s v="PA 05"/>
  </r>
  <r>
    <d v="2026-02-03T00:00:00"/>
    <n v="94"/>
    <x v="0"/>
    <s v="AGUAJE 3"/>
    <x v="1"/>
    <s v="14"/>
    <x v="9"/>
    <n v="9.3000000000000007"/>
    <s v="BAP"/>
    <n v="88"/>
    <d v="2025-11-07T00:00:00"/>
    <s v="RO PC 9"/>
    <n v="0.56000000000000005"/>
    <n v="10"/>
    <n v="1457750"/>
    <n v="156747.31182795699"/>
    <n v="15.674731182795698"/>
    <s v="TECSERV"/>
    <s v="EMPAGRAN - SEMACUA"/>
    <s v="UNICO"/>
    <n v="29750"/>
    <n v="32026.38"/>
    <n v="26.333333333333332"/>
    <n v="28.833333333333332"/>
    <n v="3443.6967741935482"/>
    <n v="531019.27313959762"/>
    <n v="37300"/>
    <n v="35834.949999999997"/>
    <n v="37"/>
    <n v="38.880000000000003"/>
    <n v="3853.2204301075262"/>
    <n v="418443.08899176947"/>
    <n v="67861.33"/>
    <n v="949462.36213136709"/>
    <n v="7296.9172043010749"/>
    <n v="3.0927272727272732"/>
    <n v="82.919513685239494"/>
    <n v="65.13204336349628"/>
    <n v="100033.72500000001"/>
    <n v="55.443548387096776"/>
    <n v="1.4740902513994347"/>
    <m/>
    <s v="AUTOMATICA"/>
    <n v="2276.380000000001"/>
    <n v="-1465.0500000000029"/>
    <n v="2.5"/>
    <n v="1.8800000000000026"/>
    <s v="VICTOR QUINTANA"/>
    <s v="RO 14"/>
  </r>
  <r>
    <d v="2026-02-03T00:00:00"/>
    <n v="98"/>
    <x v="0"/>
    <s v="AGUAJE 3"/>
    <x v="1"/>
    <s v="08"/>
    <x v="9"/>
    <n v="12.79"/>
    <s v="ASC-BAP"/>
    <n v="82"/>
    <d v="2025-11-13T00:00:00"/>
    <s v="RO PC 16 /CA PC 20"/>
    <n v="0.5"/>
    <n v="5"/>
    <n v="2414156"/>
    <n v="188753.40109460519"/>
    <n v="18.87534010946052"/>
    <s v="DEONES"/>
    <s v="TEXCUMAR"/>
    <s v="UNICO"/>
    <n v="29800"/>
    <n v="27577.97"/>
    <n v="21.5"/>
    <n v="23.86"/>
    <n v="2156.213448006255"/>
    <n v="544396.43910306273"/>
    <n v="53500"/>
    <n v="56459.99"/>
    <n v="34"/>
    <n v="36.18"/>
    <n v="4414.3854573885847"/>
    <n v="708480.80320619128"/>
    <n v="84037.959999999992"/>
    <n v="1252877.2423092541"/>
    <n v="6570.5989053948397"/>
    <n v="3.088536585365854"/>
    <n v="80.129254943839513"/>
    <n v="51.897111964150376"/>
    <n v="114143.16500000001"/>
    <n v="49.366883426457413"/>
    <n v="1.3582334102350893"/>
    <m/>
    <s v="AUTOMATICA"/>
    <n v="-2222.0299999999988"/>
    <n v="2959.989999999998"/>
    <n v="2.3599999999999994"/>
    <n v="2.1799999999999997"/>
    <s v="VICTOR QUINTANA"/>
    <s v="RO 08"/>
  </r>
  <r>
    <d v="2026-02-04T00:00:00"/>
    <n v="99"/>
    <x v="0"/>
    <s v="AGUAJE 3"/>
    <x v="1"/>
    <s v="03"/>
    <x v="2"/>
    <n v="9.2200000000000006"/>
    <s v="ASC-BAP"/>
    <n v="86"/>
    <d v="2025-11-10T00:00:00"/>
    <s v="CA 15 - 1B"/>
    <n v="0.43"/>
    <n v="4"/>
    <n v="1844000"/>
    <n v="200000"/>
    <n v="20"/>
    <s v="NEMEN"/>
    <s v="TEXCUMAR"/>
    <s v="UNICO"/>
    <n v="23800"/>
    <n v="22582.59"/>
    <n v="22.5"/>
    <n v="24.855"/>
    <n v="2449.3047722342731"/>
    <n v="444292.25680136215"/>
    <n v="40700"/>
    <n v="42696.62"/>
    <n v="30"/>
    <n v="30.8"/>
    <n v="4630.8698481561823"/>
    <n v="629359.26883116888"/>
    <n v="65279.210000000006"/>
    <n v="1073651.5256325309"/>
    <n v="7080.1746203904559"/>
    <n v="2.5069767441860464"/>
    <n v="82.327611865005295"/>
    <n v="58.224052366189319"/>
    <n v="103009.93500000001"/>
    <n v="58.927760682036016"/>
    <n v="1.5779899144000058"/>
    <m/>
    <s v="AUTOMATICA"/>
    <n v="-1217.4099999999999"/>
    <n v="1996.6200000000026"/>
    <n v="2.3550000000000004"/>
    <n v="0.80000000000000071"/>
    <s v="VICTOR QUINTANA"/>
    <s v="CA 03"/>
  </r>
  <r>
    <d v="2026-02-04T00:00:00"/>
    <n v="100"/>
    <x v="0"/>
    <s v="AGUAJE 3"/>
    <x v="1"/>
    <s v="11"/>
    <x v="11"/>
    <n v="1.7"/>
    <s v="ASC-BAP"/>
    <n v="77"/>
    <d v="2025-11-19T00:00:00"/>
    <s v="TI 39"/>
    <n v="0.65"/>
    <n v="5"/>
    <n v="289000"/>
    <n v="170000"/>
    <n v="17"/>
    <s v="TECSERV"/>
    <s v="TEXCUMAR"/>
    <s v="UNICO"/>
    <n v="0"/>
    <n v="0"/>
    <n v="0"/>
    <n v="0"/>
    <n v="0"/>
    <n v="0"/>
    <n v="13150"/>
    <n v="12776.93"/>
    <n v="40"/>
    <n v="39.24"/>
    <n v="7515.8411764705888"/>
    <n v="147826.86595310905"/>
    <n v="12776.93"/>
    <n v="147826.86595310905"/>
    <n v="7515.8411764705888"/>
    <n v="3.5672727272727274"/>
    <n v="97.608326967150504"/>
    <n v="51.151164689657115"/>
    <n v="18805.238000000001"/>
    <n v="65.164247517188699"/>
    <n v="1.4718119297828196"/>
    <m/>
    <s v="AUTOMATICA"/>
    <n v="0"/>
    <n v="-373.06999999999971"/>
    <n v="0"/>
    <n v="-0.75999999999999801"/>
    <s v="ALFONSO GRUNAUER"/>
    <s v="TA 11"/>
  </r>
  <r>
    <d v="2026-02-05T00:00:00"/>
    <n v="101"/>
    <x v="0"/>
    <s v="AGUAJE 3"/>
    <x v="1"/>
    <s v="04"/>
    <x v="13"/>
    <n v="10"/>
    <s v="CONVENCIONAL"/>
    <n v="78"/>
    <d v="2025-11-19T00:00:00"/>
    <s v="MA PC 12/PA PC 7"/>
    <n v="0.77"/>
    <n v="16"/>
    <n v="1333364"/>
    <n v="133336.4"/>
    <n v="13.333639999999999"/>
    <s v="BIOLACAM/EMPAGRAN"/>
    <s v="TEXCUMAR/EMPAGRAN"/>
    <s v="COMBINADO"/>
    <n v="10400"/>
    <n v="10514.75"/>
    <n v="27"/>
    <n v="34.479999999999997"/>
    <n v="1051.4749999999999"/>
    <n v="138448.27436194898"/>
    <n v="21700"/>
    <n v="23565.45"/>
    <n v="40"/>
    <n v="45.67"/>
    <n v="2356.5450000000001"/>
    <n v="234261.31596233853"/>
    <n v="34080.199999999997"/>
    <n v="372709.59032428754"/>
    <n v="3408.0199999999995"/>
    <n v="4.098589743589744"/>
    <n v="43.692564102564099"/>
    <n v="27.95257636506517"/>
    <n v="59358.855000000003"/>
    <n v="34.519230769230766"/>
    <n v="1.741740218660689"/>
    <m/>
    <s v="AUTOMATICA"/>
    <n v="114.75"/>
    <n v="1865.4500000000007"/>
    <n v="7.4799999999999969"/>
    <n v="5.6700000000000017"/>
    <s v="GUSTAVO CARRASCO"/>
    <s v="BA 04"/>
  </r>
  <r>
    <d v="2026-02-05T00:00:00"/>
    <n v="102"/>
    <x v="0"/>
    <s v="AGUAJE 3"/>
    <x v="1"/>
    <s v="04"/>
    <x v="2"/>
    <n v="10.3"/>
    <s v="ASC-BAP"/>
    <n v="85"/>
    <d v="2025-11-12T00:00:00"/>
    <s v="CA PC 1A - 6 /RO PC 16"/>
    <n v="0.44"/>
    <n v="5"/>
    <n v="1745000"/>
    <n v="169417.47572815532"/>
    <n v="16.941747572815533"/>
    <s v="ACUATECSA/GRILSAN"/>
    <s v="TEXCUMAR/AQUAGEN"/>
    <s v="COMBINADO"/>
    <n v="20600"/>
    <n v="21037.82"/>
    <n v="24.5"/>
    <n v="26.32"/>
    <n v="2042.5067961165046"/>
    <n v="368848.82753572939"/>
    <n v="54300"/>
    <n v="54809.19"/>
    <n v="36.5"/>
    <n v="35.29"/>
    <n v="5321.2805825242713"/>
    <n v="705111.14366676123"/>
    <n v="75847.010000000009"/>
    <n v="1073959.9712024906"/>
    <n v="7363.7873786407772"/>
    <n v="2.9062352941176472"/>
    <n v="86.632792689891502"/>
    <n v="61.544984023065361"/>
    <n v="102088.41220000001"/>
    <n v="52.892061679040545"/>
    <n v="1.345978070856056"/>
    <m/>
    <s v="AUTOMATICA"/>
    <n v="437.81999999999971"/>
    <n v="509.19000000000233"/>
    <n v="1.8200000000000003"/>
    <n v="-1.2100000000000009"/>
    <s v="VICTOR QUINTANA"/>
    <s v="CA 04"/>
  </r>
  <r>
    <d v="2026-02-05T00:00:00"/>
    <n v="103"/>
    <x v="0"/>
    <s v="AGUAJE 3"/>
    <x v="1"/>
    <s v="17"/>
    <x v="11"/>
    <n v="1.5"/>
    <s v="ASC-BAP"/>
    <n v="78"/>
    <d v="2025-11-19T00:00:00"/>
    <s v="TI PC 39"/>
    <n v="0.65"/>
    <n v="5"/>
    <n v="255000"/>
    <n v="170000"/>
    <n v="17"/>
    <s v="TECSERV"/>
    <s v="TEXCUMAR"/>
    <s v="UNICO"/>
    <n v="0"/>
    <n v="0"/>
    <n v="0"/>
    <n v="0"/>
    <n v="0"/>
    <n v="0"/>
    <n v="11200"/>
    <n v="11396.37"/>
    <n v="42"/>
    <n v="41.52"/>
    <n v="7597.5800000000008"/>
    <n v="124613.48699421965"/>
    <n v="11396.37"/>
    <n v="124613.48699421965"/>
    <n v="7597.5800000000008"/>
    <n v="3.7261538461538466"/>
    <n v="97.404871794871809"/>
    <n v="48.868034115380254"/>
    <n v="17493.501"/>
    <n v="67.820512820512818"/>
    <n v="1.5350064099357952"/>
    <m/>
    <s v="AUTOMATICA"/>
    <n v="0"/>
    <n v="196.3700000000008"/>
    <n v="0"/>
    <n v="-0.47999999999999687"/>
    <s v="ALFONSO GRUNAUER"/>
    <s v="TA PC 17"/>
  </r>
  <r>
    <d v="2026-02-06T00:00:00"/>
    <n v="104"/>
    <x v="0"/>
    <s v="AGUAJE 3"/>
    <x v="1"/>
    <s v="03"/>
    <x v="13"/>
    <n v="3"/>
    <s v="CONVENCIONAL"/>
    <n v="84"/>
    <d v="2025-11-14T00:00:00"/>
    <s v="PA PC 21"/>
    <n v="0.83"/>
    <n v="14"/>
    <n v="487710"/>
    <n v="162570"/>
    <n v="16.257000000000001"/>
    <s v="PRICMARSA"/>
    <s v="TEXCUMAR"/>
    <s v="UNICO"/>
    <n v="7700"/>
    <n v="7720.6"/>
    <n v="24"/>
    <n v="26.03"/>
    <n v="2573.5333333333333"/>
    <n v="138460.16835680066"/>
    <n v="11100"/>
    <n v="11723.68"/>
    <n v="34"/>
    <n v="35.299999999999997"/>
    <n v="3907.8933333333334"/>
    <n v="150780.47365439095"/>
    <n v="19444.28"/>
    <n v="289240.64201119158"/>
    <n v="6481.4266666666663"/>
    <n v="2.9416666666666664"/>
    <n v="77.159841269841266"/>
    <n v="59.305866603348619"/>
    <n v="28108.65"/>
    <n v="50.595238095238095"/>
    <n v="1.4455999399309207"/>
    <m/>
    <s v="AUTOMATICA"/>
    <n v="20.600000000000364"/>
    <n v="623.68000000000029"/>
    <n v="2.0300000000000011"/>
    <n v="1.2999999999999972"/>
    <s v="GUSTAVO CARRASCO"/>
    <s v="BA 03"/>
  </r>
  <r>
    <d v="2026-02-06T00:00:00"/>
    <n v="105"/>
    <x v="0"/>
    <s v="AGUAJE 3"/>
    <x v="1"/>
    <s v="27"/>
    <x v="7"/>
    <n v="5.34"/>
    <s v="ASC-BAP"/>
    <n v="94"/>
    <d v="2025-11-04T00:00:00"/>
    <s v="DO PC 13"/>
    <n v="0.77"/>
    <n v="5"/>
    <n v="934506"/>
    <n v="175001.12359550563"/>
    <n v="17.500112359550563"/>
    <s v="PRICMARSA"/>
    <s v="TEXCUMAR"/>
    <s v="UNICO"/>
    <n v="22000"/>
    <n v="22312.47"/>
    <n v="26"/>
    <n v="25.08"/>
    <n v="4178.3651685393261"/>
    <n v="403185.45439079037"/>
    <n v="24220"/>
    <n v="26195.27"/>
    <n v="43"/>
    <n v="41.22"/>
    <n v="4905.4812734082398"/>
    <n v="288516.55943716643"/>
    <n v="48507.740000000005"/>
    <n v="691702.01382795675"/>
    <n v="9083.8464419475677"/>
    <n v="3.069574468085106"/>
    <n v="96.636664276037948"/>
    <n v="74.017931808672898"/>
    <n v="77326.345000000001"/>
    <n v="69.876085743883976"/>
    <n v="1.594103229711382"/>
    <m/>
    <s v="AUTOMATICA"/>
    <n v="312.47000000000116"/>
    <n v="1975.2700000000004"/>
    <n v="-0.92000000000000171"/>
    <n v="-1.7800000000000011"/>
    <s v="JOSE CEDEÑO"/>
    <s v="DO 27"/>
  </r>
  <r>
    <d v="2026-02-07T00:00:00"/>
    <n v="106"/>
    <x v="0"/>
    <s v="AGUAJE 3"/>
    <x v="1"/>
    <s v="02"/>
    <x v="13"/>
    <n v="4.2"/>
    <s v="CONVENCIONAL"/>
    <n v="91"/>
    <d v="2025-11-08T00:00:00"/>
    <s v="PA PC 20"/>
    <n v="0.8"/>
    <n v="7"/>
    <n v="672000"/>
    <n v="160000"/>
    <n v="16"/>
    <s v="TECSERV"/>
    <s v="EMPAGRAN-SEMACUA"/>
    <s v="UNICO"/>
    <n v="10600"/>
    <n v="10729.91"/>
    <n v="23.5"/>
    <n v="25.27"/>
    <n v="2554.7404761904759"/>
    <n v="196316.76846267597"/>
    <n v="16750"/>
    <n v="18478.54"/>
    <n v="34"/>
    <n v="34.869999999999997"/>
    <n v="4399.6523809523806"/>
    <n v="240586.66934327505"/>
    <n v="29208.45"/>
    <n v="436903.43780595099"/>
    <n v="6954.3928571428569"/>
    <n v="2.6823076923076923"/>
    <n v="76.421899529042378"/>
    <n v="65.01539253064746"/>
    <n v="45249.415000000001"/>
    <n v="53.702250130821554"/>
    <n v="1.5491891901145045"/>
    <m/>
    <s v="AUTOMATICA"/>
    <n v="129.90999999999985"/>
    <n v="1728.5400000000009"/>
    <n v="1.7699999999999996"/>
    <n v="0.86999999999999744"/>
    <s v="GUSTAVO CARRASCO"/>
    <s v="BA 02"/>
  </r>
  <r>
    <d v="2026-02-07T00:00:00"/>
    <n v="107"/>
    <x v="0"/>
    <s v="AGUAJE 3"/>
    <x v="1"/>
    <s v="04"/>
    <x v="7"/>
    <n v="9.81"/>
    <s v="ASC-BAP"/>
    <n v="83"/>
    <d v="2025-11-16T00:00:00"/>
    <s v="DO PS 2"/>
    <n v="1.46"/>
    <n v="2"/>
    <n v="1667700"/>
    <n v="170000"/>
    <n v="17"/>
    <s v="BIOLACAM"/>
    <s v="TEXCUMAR"/>
    <s v="UNICO"/>
    <n v="36800"/>
    <n v="34541.979999999996"/>
    <n v="28"/>
    <n v="29.313333333333333"/>
    <n v="3521.0988786952084"/>
    <n v="610222.11898463336"/>
    <n v="48250"/>
    <n v="52494.99"/>
    <n v="36"/>
    <n v="37.94"/>
    <n v="5351.1712538226293"/>
    <n v="628168.83131259889"/>
    <n v="87036.97"/>
    <n v="1238390.9502972323"/>
    <n v="8872.2701325178386"/>
    <n v="3.1997590361445778"/>
    <n v="106.89482087370889"/>
    <n v="74.257417419034127"/>
    <n v="119048.40000000001"/>
    <n v="66.320327180280756"/>
    <n v="1.3677911811498034"/>
    <m/>
    <s v="AUTOMATICA"/>
    <n v="-2258.0200000000041"/>
    <n v="4244.989999999998"/>
    <n v="1.3133333333333326"/>
    <n v="1.9399999999999977"/>
    <s v="JOSE CEDEÑO"/>
    <s v="DO 04"/>
  </r>
  <r>
    <d v="2026-02-08T00:00:00"/>
    <n v="108"/>
    <x v="0"/>
    <s v="AGUAJE 3"/>
    <x v="1"/>
    <s v="05"/>
    <x v="13"/>
    <n v="4"/>
    <s v="CONVENCIONAL"/>
    <n v="86"/>
    <d v="2025-11-14T00:00:00"/>
    <s v="PA PC 21"/>
    <n v="0.83"/>
    <n v="17"/>
    <n v="650602"/>
    <n v="162650.5"/>
    <n v="16.265049999999999"/>
    <s v="PRICMARSA"/>
    <s v="TEXCUMAR"/>
    <s v="UNICO"/>
    <n v="10300"/>
    <n v="9998.7199999999993"/>
    <n v="24"/>
    <n v="25.07"/>
    <n v="2499.6799999999998"/>
    <n v="188038.97687391238"/>
    <n v="16800"/>
    <n v="16863.099999999999"/>
    <n v="33"/>
    <n v="34.880000000000003"/>
    <n v="4215.7749999999996"/>
    <n v="219491.03784403668"/>
    <n v="26861.82"/>
    <n v="407530.01471794909"/>
    <n v="6715.4549999999999"/>
    <n v="2.8390697674418606"/>
    <n v="78.08668604651163"/>
    <n v="62.638912071888662"/>
    <n v="36375.9"/>
    <n v="47.965116279069768"/>
    <n v="1.3541859784631125"/>
    <m/>
    <s v="AUTOMATICA"/>
    <n v="-301.28000000000065"/>
    <n v="63.099999999998545"/>
    <n v="1.0700000000000003"/>
    <n v="1.8800000000000026"/>
    <s v="GUSTAVO CARRASCO"/>
    <s v="BA 05"/>
  </r>
  <r>
    <d v="2026-02-08T00:00:00"/>
    <n v="109"/>
    <x v="0"/>
    <s v="AGUAJE 3"/>
    <x v="1"/>
    <s v="09"/>
    <x v="5"/>
    <n v="7.6"/>
    <s v="CONVENCIONAL"/>
    <n v="59"/>
    <d v="2025-12-11T00:00:00"/>
    <s v="ME PS 6"/>
    <n v="3.2"/>
    <n v="5"/>
    <n v="1064000"/>
    <n v="140000"/>
    <n v="14"/>
    <s v="GABSO"/>
    <s v="TEXCUMAR"/>
    <s v="UNICO"/>
    <n v="26500"/>
    <n v="25589"/>
    <n v="26.5"/>
    <n v="28.96"/>
    <n v="3366.9736842105267"/>
    <n v="415775.56561323267"/>
    <n v="31100"/>
    <n v="31916.639999999999"/>
    <n v="39"/>
    <n v="37.44"/>
    <n v="4199.5578947368422"/>
    <n v="387023.358974359"/>
    <n v="57505.64"/>
    <n v="802798.92458759167"/>
    <n v="7566.5315789473689"/>
    <n v="4.442033898305084"/>
    <n v="128.24629794826049"/>
    <n v="75.451026746954113"/>
    <n v="63795.612500000003"/>
    <n v="64.535013380909902"/>
    <n v="1.1093800973261059"/>
    <m/>
    <s v="AUTOMATICA"/>
    <n v="-911"/>
    <n v="816.63999999999942"/>
    <n v="2.4600000000000009"/>
    <n v="-1.5600000000000023"/>
    <s v="NESTOR MOGOLLON"/>
    <s v="ME 09"/>
  </r>
  <r>
    <d v="2026-02-08T00:00:00"/>
    <n v="110"/>
    <x v="0"/>
    <s v="AGUAJE 3"/>
    <x v="1"/>
    <s v="13"/>
    <x v="6"/>
    <n v="9"/>
    <s v="CONVENCIONAL"/>
    <n v="69"/>
    <d v="2025-12-01T00:00:00"/>
    <s v="WA PC 5 - 6"/>
    <n v="1.56"/>
    <n v="39"/>
    <n v="1305000"/>
    <n v="145000"/>
    <n v="14.5"/>
    <s v="LARVASLAB/TECSERV"/>
    <s v="TEXCUMAR"/>
    <s v="COMBINADO"/>
    <n v="10200"/>
    <n v="9818.57"/>
    <n v="26"/>
    <n v="28.52"/>
    <n v="1090.9522222222222"/>
    <n v="156298.4144460028"/>
    <n v="25000"/>
    <n v="26862.74"/>
    <n v="34"/>
    <n v="33.909999999999997"/>
    <n v="2984.7488888888893"/>
    <n v="359648.59805367154"/>
    <n v="36681.31"/>
    <n v="515947.01249967434"/>
    <n v="4075.701111111111"/>
    <n v="3.4401449275362315"/>
    <n v="59.068132045088568"/>
    <n v="39.536169540204931"/>
    <n v="49144.943200000002"/>
    <n v="35.896940418679549"/>
    <n v="1.3397815726864717"/>
    <m/>
    <s v="BOLEO"/>
    <n v="-381.43000000000029"/>
    <n v="1862.7400000000016"/>
    <n v="2.5199999999999996"/>
    <n v="-9.0000000000003411E-2"/>
    <s v="JUNIOR ESQUIVEL"/>
    <s v="WA 13"/>
  </r>
  <r>
    <d v="2026-02-08T00:00:00"/>
    <n v="111"/>
    <x v="0"/>
    <s v="AGUAJE 3"/>
    <x v="1"/>
    <s v="09"/>
    <x v="2"/>
    <n v="11.4"/>
    <s v="ASC-BAP"/>
    <n v="84"/>
    <d v="2025-11-16T00:00:00"/>
    <s v="CA PC 20"/>
    <n v="0.57999999999999996"/>
    <n v="5"/>
    <n v="1911754"/>
    <n v="167697.71929824562"/>
    <n v="16.769771929824561"/>
    <s v="DEONES"/>
    <s v="TEXCUMAR"/>
    <s v="UNICO"/>
    <n v="27050"/>
    <n v="28223.58"/>
    <n v="22.5"/>
    <n v="26.03"/>
    <n v="2475.7526315789473"/>
    <n v="529288.26015473891"/>
    <n v="48000"/>
    <n v="51452.11"/>
    <n v="40"/>
    <n v="40.49"/>
    <n v="4513.3429824561399"/>
    <n v="576914.24895035813"/>
    <n v="79675.69"/>
    <n v="1106202.509105097"/>
    <n v="6989.0956140350881"/>
    <n v="3.374166666666667"/>
    <n v="83.203519214703434"/>
    <n v="57.863224510323874"/>
    <n v="95703.890599999999"/>
    <n v="45.333124477861318"/>
    <n v="1.2011680174969304"/>
    <m/>
    <s v="AUTOMATICA"/>
    <n v="1173.5800000000017"/>
    <n v="3452.1100000000006"/>
    <n v="3.5300000000000011"/>
    <n v="0.49000000000000199"/>
    <s v="VICTOR QUINTANA"/>
    <s v="CA 09"/>
  </r>
  <r>
    <d v="2026-02-09T00:00:00"/>
    <n v="112"/>
    <x v="0"/>
    <s v="AGUAJE 3"/>
    <x v="1"/>
    <s v="07"/>
    <x v="2"/>
    <n v="7.72"/>
    <s v="ASC-BAP"/>
    <n v="78"/>
    <d v="2025-11-23T00:00:00"/>
    <s v="CA PC 8/RO PC 1"/>
    <n v="0.5"/>
    <n v="5"/>
    <n v="1403500"/>
    <n v="181800.51813471504"/>
    <n v="18.180051813471504"/>
    <s v="GABSO"/>
    <s v="TEXCUMAR"/>
    <s v="UNICO"/>
    <n v="8800"/>
    <n v="8835.92"/>
    <n v="18"/>
    <n v="20.76"/>
    <n v="1144.5492227979275"/>
    <n v="193232.54720616571"/>
    <n v="33900"/>
    <n v="37115.39"/>
    <n v="32"/>
    <n v="30.8"/>
    <n v="4807.693005181347"/>
    <n v="547090.48896103888"/>
    <n v="45951.31"/>
    <n v="740323.03616720461"/>
    <n v="5952.2422279792745"/>
    <n v="2.7641025641025645"/>
    <n v="76.310797794606088"/>
    <n v="52.748346004075856"/>
    <n v="74498.945500000002"/>
    <n v="56.118805633054343"/>
    <n v="1.6212583602077939"/>
    <m/>
    <s v="AUTOMATICA"/>
    <n v="35.920000000000073"/>
    <n v="3215.3899999999994"/>
    <n v="2.7600000000000016"/>
    <n v="-1.1999999999999993"/>
    <s v="VICTOR QUINTANA"/>
    <s v="CA 07"/>
  </r>
  <r>
    <d v="2026-02-09T00:00:00"/>
    <n v="113"/>
    <x v="0"/>
    <s v="AGUAJE 3"/>
    <x v="1"/>
    <s v="01"/>
    <x v="3"/>
    <n v="7.54"/>
    <s v="ASC"/>
    <n v="81"/>
    <d v="2025-11-20T00:00:00"/>
    <s v="CH PC 1"/>
    <n v="0.65"/>
    <n v="5"/>
    <n v="1357200"/>
    <n v="180000"/>
    <n v="18"/>
    <s v="TECSERV"/>
    <s v="TEXCUMAR"/>
    <s v="UNICO"/>
    <n v="19850"/>
    <n v="21938.69"/>
    <n v="23.5"/>
    <n v="23.96"/>
    <n v="2909.6405835543765"/>
    <n v="421920.0409866526"/>
    <n v="43550"/>
    <n v="45301.440000000002"/>
    <n v="30"/>
    <n v="29.22"/>
    <n v="6008.1485411140584"/>
    <n v="703862.20944558526"/>
    <n v="67240.13"/>
    <n v="1125782.250432238"/>
    <n v="8917.7891246684358"/>
    <n v="2.525185185185185"/>
    <n v="110.09616203294365"/>
    <n v="82.948883763059087"/>
    <n v="88459.575000000012"/>
    <n v="65.698988112781208"/>
    <n v="1.3155770965939537"/>
    <m/>
    <s v="AUTOMATICA"/>
    <n v="2088.6899999999987"/>
    <n v="1751.4400000000023"/>
    <n v="0.46000000000000085"/>
    <n v="-0.78000000000000114"/>
    <s v="SANTIAGO OBRIEN"/>
    <s v="CH 01"/>
  </r>
  <r>
    <d v="2026-02-09T00:00:00"/>
    <n v="114"/>
    <x v="0"/>
    <s v="AGUAJE 3"/>
    <x v="1"/>
    <s v="30"/>
    <x v="6"/>
    <n v="14"/>
    <s v="CONVENCIONAL"/>
    <n v="87"/>
    <d v="2025-11-14T00:00:00"/>
    <s v="WA PS 23"/>
    <n v="1.5"/>
    <n v="42"/>
    <n v="2240000"/>
    <n v="160000"/>
    <n v="16"/>
    <s v="GENESIS"/>
    <s v="TEXCUMAR"/>
    <s v="UNICO"/>
    <n v="31000"/>
    <n v="34571.360000000001"/>
    <n v="25"/>
    <n v="25.509999999999998"/>
    <n v="2469.3828571428571"/>
    <n v="621965.6246256968"/>
    <n v="32250"/>
    <n v="34897.81"/>
    <n v="32"/>
    <n v="32.46"/>
    <n v="2492.7007142857142"/>
    <n v="488096.29513247067"/>
    <n v="69469.17"/>
    <n v="1110061.9197581676"/>
    <n v="4962.0835714285713"/>
    <n v="2.6117241379310343"/>
    <n v="57.035443349753692"/>
    <n v="49.556335703489623"/>
    <n v="101823.86020000001"/>
    <n v="37.920361247947454"/>
    <n v="1.4657417124747569"/>
    <m/>
    <s v="BOLEO"/>
    <n v="3571.3600000000006"/>
    <n v="2647.8099999999977"/>
    <n v="0.50999999999999801"/>
    <n v="0.46000000000000085"/>
    <s v="JUNIOR ESQUIVEL"/>
    <s v="WA 30"/>
  </r>
  <r>
    <d v="2026-02-10T00:00:00"/>
    <n v="115"/>
    <x v="0"/>
    <s v="AGUAJE 3"/>
    <x v="1"/>
    <s v="11"/>
    <x v="3"/>
    <n v="6.38"/>
    <s v="ASC"/>
    <n v="70"/>
    <d v="2025-12-02T00:00:00"/>
    <s v="CH 6"/>
    <n v="0.56999999999999995"/>
    <n v="6"/>
    <n v="1134000"/>
    <n v="177742.94670846395"/>
    <n v="17.774294670846395"/>
    <s v="EMPAGRAN"/>
    <s v="EMPAGRAN"/>
    <s v="UNICO"/>
    <n v="0"/>
    <n v="0"/>
    <n v="0"/>
    <n v="0"/>
    <n v="0"/>
    <n v="0"/>
    <n v="41600"/>
    <n v="41373.81"/>
    <n v="30"/>
    <n v="30.92"/>
    <n v="6484.9231974921631"/>
    <n v="607493.84670116426"/>
    <n v="41373.81"/>
    <n v="607493.84670116426"/>
    <n v="6484.9231974921631"/>
    <n v="3.0920000000000001"/>
    <n v="92.641759964173758"/>
    <n v="53.570885952483629"/>
    <n v="56713.335000000006"/>
    <n v="57.601880877742943"/>
    <n v="1.3707544700379299"/>
    <m/>
    <s v="AUTOMATICA"/>
    <n v="0"/>
    <n v="-226.19000000000233"/>
    <n v="0"/>
    <n v="0.92000000000000171"/>
    <s v="SANTIAGO OBRIEN"/>
    <s v="CH 11"/>
  </r>
  <r>
    <d v="2026-02-10T00:00:00"/>
    <n v="116"/>
    <x v="0"/>
    <s v="AGUAJE 3"/>
    <x v="1"/>
    <s v="03"/>
    <x v="9"/>
    <n v="9.89"/>
    <s v="ASC-BAP"/>
    <n v="94"/>
    <d v="2025-11-08T00:00:00"/>
    <s v="RO PC 2"/>
    <n v="0.55000000000000004"/>
    <n v="4"/>
    <n v="1978000"/>
    <n v="200000"/>
    <n v="20"/>
    <s v="TIBALLOSA"/>
    <s v="TEXCUMAR"/>
    <s v="UNICO"/>
    <n v="33000"/>
    <n v="34505.15"/>
    <n v="30"/>
    <n v="31.594999999999999"/>
    <n v="3488.8928210313447"/>
    <n v="602893.00473502651"/>
    <n v="39100"/>
    <n v="40603.919999999998"/>
    <n v="40"/>
    <n v="42.38"/>
    <n v="4105.5530839231542"/>
    <n v="434973.56488909858"/>
    <n v="75109.070000000007"/>
    <n v="1037866.569624125"/>
    <n v="7594.4459049544994"/>
    <n v="3.155957446808511"/>
    <n v="80.791977712281906"/>
    <n v="52.470504025486605"/>
    <n v="124324.00780000001"/>
    <n v="60.65981111374051"/>
    <n v="1.6552462678608588"/>
    <m/>
    <s v="AUTOMATICA"/>
    <n v="1505.1500000000015"/>
    <n v="1503.9199999999983"/>
    <n v="1.5949999999999989"/>
    <n v="2.3800000000000026"/>
    <s v="VICTOR QUINTANA"/>
    <s v="RO 03"/>
  </r>
  <r>
    <d v="2026-02-11T00:00:00"/>
    <n v="117"/>
    <x v="0"/>
    <s v="AGUAJE 3"/>
    <x v="1"/>
    <s v="09"/>
    <x v="3"/>
    <n v="9.4"/>
    <s v="ASC"/>
    <n v="71"/>
    <d v="2025-12-02T00:00:00"/>
    <s v="CH 4 - 6"/>
    <n v="0.69"/>
    <n v="7"/>
    <n v="1645000"/>
    <n v="175000"/>
    <n v="17.5"/>
    <s v="EMPAGRAN"/>
    <s v="EMPAGRAN"/>
    <s v="UNICO"/>
    <n v="12800"/>
    <n v="12927.36"/>
    <n v="25"/>
    <n v="26.56"/>
    <n v="1375.2510638297872"/>
    <n v="220972.19277108437"/>
    <n v="59800"/>
    <n v="56905.120000000003"/>
    <n v="28"/>
    <n v="28.09"/>
    <n v="6053.7361702127664"/>
    <n v="919719.63260946958"/>
    <n v="69832.48000000001"/>
    <n v="1140691.825380554"/>
    <n v="7428.9872340425536"/>
    <n v="2.7694366197183098"/>
    <n v="104.63362301468385"/>
    <n v="69.34296810824037"/>
    <n v="86640.78"/>
    <n v="58.885226251123754"/>
    <n v="1.2406945879625066"/>
    <m/>
    <s v="AUTOMATICA"/>
    <n v="127.36000000000058"/>
    <n v="-2894.8799999999974"/>
    <n v="1.5599999999999987"/>
    <n v="8.9999999999999858E-2"/>
    <s v="SANTIAGO OBRIEN"/>
    <s v="CH 09"/>
  </r>
  <r>
    <d v="2026-02-11T00:00:00"/>
    <n v="118"/>
    <x v="0"/>
    <s v="AGUAJE 3"/>
    <x v="1"/>
    <s v="21"/>
    <x v="7"/>
    <n v="7.78"/>
    <s v="ASC-BAP"/>
    <n v="91"/>
    <d v="2025-11-12T00:00:00"/>
    <s v="DO PC 3"/>
    <n v="0.55000000000000004"/>
    <n v="9"/>
    <n v="1246509"/>
    <n v="160219.66580976863"/>
    <n v="16.021966580976862"/>
    <s v="GRILSAN"/>
    <s v="AQUAGEN"/>
    <s v="UNICO"/>
    <n v="26000"/>
    <n v="25234.480000000003"/>
    <n v="24"/>
    <n v="27.03"/>
    <n v="3243.5064267352186"/>
    <n v="428199.27638064127"/>
    <n v="47600"/>
    <n v="49754.62"/>
    <n v="39"/>
    <n v="38.14"/>
    <n v="6395.1953727506425"/>
    <n v="592254.78447823809"/>
    <n v="74989.100000000006"/>
    <n v="1020454.0608588794"/>
    <n v="9638.7017994858616"/>
    <n v="2.933846153846154"/>
    <n v="105.91979999435013"/>
    <n v="81.864957321517878"/>
    <n v="103946.89"/>
    <n v="66.597926495098733"/>
    <n v="1.3861599885850076"/>
    <m/>
    <s v="AUTOMATICA"/>
    <n v="-765.5199999999968"/>
    <n v="2154.6200000000026"/>
    <n v="3.0300000000000011"/>
    <n v="-0.85999999999999943"/>
    <s v="JOSE CEDEÑO"/>
    <s v="DO 21"/>
  </r>
  <r>
    <d v="2026-02-11T00:00:00"/>
    <n v="119"/>
    <x v="0"/>
    <s v="AGUAJE 3"/>
    <x v="1"/>
    <s v="06"/>
    <x v="0"/>
    <n v="7.5"/>
    <s v="CONVENCIONAL"/>
    <n v="77"/>
    <d v="2025-11-26T00:00:00"/>
    <s v="PR PC 1 - 8"/>
    <n v="0.6"/>
    <n v="8"/>
    <n v="1500000"/>
    <n v="200000"/>
    <n v="20"/>
    <s v="TECSERV"/>
    <s v="EMPAGRAN/SEMACUA"/>
    <s v="UNICO"/>
    <n v="0"/>
    <n v="0"/>
    <n v="0"/>
    <n v="0"/>
    <n v="0"/>
    <n v="0"/>
    <n v="26600"/>
    <n v="29844.5"/>
    <n v="23"/>
    <n v="22.76"/>
    <n v="3979.2666666666669"/>
    <n v="595316.47627416521"/>
    <n v="29844.5"/>
    <n v="595316.47627416521"/>
    <n v="3979.2666666666669"/>
    <n v="2.0690909090909093"/>
    <n v="51.67878787878788"/>
    <n v="39.687765084944346"/>
    <n v="49863.642800000001"/>
    <n v="39.165367965367963"/>
    <n v="1.6707816448591868"/>
    <m/>
    <s v="AUTOMATICA"/>
    <n v="0"/>
    <n v="3244.5"/>
    <n v="0"/>
    <n v="-0.23999999999999844"/>
    <s v="WILMER TORRES"/>
    <s v="PR 06"/>
  </r>
  <r>
    <d v="2026-02-11T00:00:00"/>
    <n v="120"/>
    <x v="0"/>
    <s v="AGUAJE 3"/>
    <x v="1"/>
    <s v="06"/>
    <x v="12"/>
    <n v="5"/>
    <s v="ASC-BAP"/>
    <n v="84"/>
    <d v="2025-11-19T00:00:00"/>
    <s v="TU PC 7"/>
    <n v="0.85"/>
    <n v="1"/>
    <n v="900000"/>
    <n v="180000"/>
    <n v="18"/>
    <s v="ACUATECSA"/>
    <s v="TEXCUMAR"/>
    <s v="UNICO"/>
    <n v="18400"/>
    <n v="17189.09"/>
    <n v="23.666666666666668"/>
    <n v="26.946666666666669"/>
    <n v="3437.8180000000002"/>
    <n v="297340.02597347001"/>
    <n v="21650"/>
    <n v="22959.11"/>
    <n v="37"/>
    <n v="39.619999999999997"/>
    <n v="4591.8220000000001"/>
    <n v="263085.20797576982"/>
    <n v="40148.199999999997"/>
    <n v="560425.23394923983"/>
    <n v="8029.6399999999994"/>
    <n v="3.3016666666666663"/>
    <n v="95.590952380952373"/>
    <n v="62.269470438804433"/>
    <n v="52689.94"/>
    <n v="56.904761904761905"/>
    <n v="1.3123861094644345"/>
    <m/>
    <s v="AUTOMATICA"/>
    <n v="-1210.9099999999999"/>
    <n v="1309.1100000000006"/>
    <n v="3.2800000000000011"/>
    <n v="2.6199999999999974"/>
    <s v="GUSTAVO CARRASCO"/>
    <s v="TU 06"/>
  </r>
  <r>
    <d v="2026-02-12T00:00:00"/>
    <n v="121"/>
    <x v="0"/>
    <s v="AGUAJE 3"/>
    <x v="1"/>
    <s v="13"/>
    <x v="3"/>
    <n v="6.3"/>
    <s v="ASC"/>
    <n v="72"/>
    <d v="2025-12-02T00:00:00"/>
    <s v="CH 6"/>
    <n v="0.56999999999999995"/>
    <n v="6"/>
    <n v="1134000"/>
    <n v="180000"/>
    <n v="18"/>
    <s v="EMPAGRAN"/>
    <s v="EMPAGRAN"/>
    <s v="UNICO"/>
    <n v="9500"/>
    <n v="9878.76"/>
    <n v="27"/>
    <n v="28.22"/>
    <n v="1568.0571428571429"/>
    <n v="158928.3146704465"/>
    <n v="34000"/>
    <n v="34658.29"/>
    <n v="29"/>
    <n v="30.63"/>
    <n v="5501.315873015873"/>
    <n v="513707.59582109045"/>
    <n v="44537.05"/>
    <n v="672635.91049153695"/>
    <n v="7069.3730158730168"/>
    <n v="2.9779166666666663"/>
    <n v="98.185736331569672"/>
    <n v="59.315336022181384"/>
    <n v="57484.945"/>
    <n v="57.484567901234563"/>
    <n v="1.290721882118371"/>
    <m/>
    <s v="AUTOMATICA"/>
    <n v="378.76000000000022"/>
    <n v="658.29000000000087"/>
    <n v="1.2199999999999989"/>
    <n v="1.629999999999999"/>
    <s v="SANTIAGO OBRIEN"/>
    <s v="CH 13"/>
  </r>
  <r>
    <d v="2026-02-12T00:00:00"/>
    <n v="122"/>
    <x v="0"/>
    <s v="AGUAJE 3"/>
    <x v="1"/>
    <s v="11"/>
    <x v="7"/>
    <n v="13.43"/>
    <s v="ASC-BAP"/>
    <n v="91"/>
    <d v="2025-11-13T00:00:00"/>
    <s v="DO PC 2 - PS 15"/>
    <n v="0.92"/>
    <n v="4"/>
    <n v="2092419"/>
    <n v="155801.86150409532"/>
    <n v="15.580186150409531"/>
    <s v="GENESIS"/>
    <s v="TEXCUMAR"/>
    <s v="UNICO"/>
    <n v="36700"/>
    <n v="35481.81"/>
    <n v="25"/>
    <n v="25.78"/>
    <n v="2641.9813849590469"/>
    <n v="626306.0709258276"/>
    <n v="65300"/>
    <n v="65446.7"/>
    <n v="35"/>
    <n v="37.24"/>
    <n v="4873.1720029784065"/>
    <n v="797873.30290010734"/>
    <n v="100928.51"/>
    <n v="1424179.3738259349"/>
    <n v="7515.1533879374529"/>
    <n v="2.8646153846153846"/>
    <n v="82.584103164147834"/>
    <n v="68.063775650380492"/>
    <n v="126984.96000000001"/>
    <n v="47.130828962548989"/>
    <n v="1.2581673899674137"/>
    <m/>
    <s v="AUTOMATICA"/>
    <n v="-1218.1900000000023"/>
    <n v="146.69999999999709"/>
    <n v="0.78000000000000114"/>
    <n v="2.240000000000002"/>
    <s v="JOSE CEDEÑO"/>
    <s v="DO 11"/>
  </r>
  <r>
    <d v="2026-02-12T00:00:00"/>
    <n v="123"/>
    <x v="0"/>
    <s v="AGUAJE 3"/>
    <x v="1"/>
    <s v="13"/>
    <x v="7"/>
    <n v="5.7"/>
    <s v="ASC-BAP"/>
    <n v="79"/>
    <d v="2025-11-25T00:00:00"/>
    <s v="DO PS 15"/>
    <n v="0.8"/>
    <n v="4"/>
    <n v="1083000"/>
    <n v="190000"/>
    <n v="19"/>
    <s v="GENESIS"/>
    <s v="TEXCUMAR"/>
    <s v="UNICO"/>
    <n v="40700"/>
    <n v="35289.300000000003"/>
    <n v="28.875"/>
    <n v="30.949999999999996"/>
    <n v="6191.105263157895"/>
    <n v="528162.72055835766"/>
    <n v="18700"/>
    <n v="18632.13"/>
    <n v="36"/>
    <n v="35.090000000000003"/>
    <n v="3268.7947368421055"/>
    <n v="241065.46081504697"/>
    <n v="53921.430000000008"/>
    <n v="769228.18137340457"/>
    <n v="9459.9000000000015"/>
    <n v="3.109240506329114"/>
    <n v="119.74556962025318"/>
    <n v="71.02753290613154"/>
    <n v="71759.73000000001"/>
    <n v="72.285143237841439"/>
    <n v="1.3308202323269245"/>
    <m/>
    <s v="AUTOMATICA"/>
    <n v="-5410.6999999999971"/>
    <n v="-67.869999999998981"/>
    <n v="2.0749999999999957"/>
    <n v="-0.90999999999999659"/>
    <s v="JOSE CEDEÑO"/>
    <s v="DO 13"/>
  </r>
  <r>
    <d v="2026-02-12T00:00:00"/>
    <n v="124"/>
    <x v="0"/>
    <s v="AGUAJE 3"/>
    <x v="1"/>
    <s v="11"/>
    <x v="14"/>
    <n v="3.4"/>
    <s v="ASC-BAP"/>
    <n v="85"/>
    <d v="2025-11-19T00:00:00"/>
    <s v="MA PC 12"/>
    <n v="0.85"/>
    <n v="13"/>
    <n v="471111"/>
    <n v="138562.05882352943"/>
    <n v="13.856205882352942"/>
    <s v="BIOLACAM"/>
    <s v="TEXCUMAR"/>
    <s v="UNICO"/>
    <n v="7600"/>
    <n v="6918.91"/>
    <n v="22.25"/>
    <n v="24.4"/>
    <n v="2034.9735294117647"/>
    <n v="126361.81565490839"/>
    <n v="14850"/>
    <n v="14290.69"/>
    <n v="41"/>
    <n v="47.22"/>
    <n v="4203.1441176470589"/>
    <n v="137398.84074544685"/>
    <n v="21209.599999999999"/>
    <n v="263760.65640035528"/>
    <n v="6238.1176470588234"/>
    <n v="3.8887058823529412"/>
    <n v="73.389619377162632"/>
    <n v="55.986944987562438"/>
    <n v="30533.710000000003"/>
    <n v="47.923875432525953"/>
    <n v="1.439617437386844"/>
    <m/>
    <s v="AUTOMATICA"/>
    <n v="-681.09000000000015"/>
    <n v="-559.30999999999949"/>
    <n v="2.1499999999999986"/>
    <n v="6.2199999999999989"/>
    <s v="GUSTAVO CARRASCO"/>
    <s v="MA 11"/>
  </r>
  <r>
    <d v="2026-02-13T00:00:00"/>
    <n v="125"/>
    <x v="0"/>
    <s v="AGUAJE 3"/>
    <x v="1"/>
    <s v="17"/>
    <x v="10"/>
    <n v="5.9"/>
    <s v="CONVENCIONAL"/>
    <n v="79"/>
    <d v="2025-11-26T00:00:00"/>
    <s v="GT 7"/>
    <n v="0.68"/>
    <n v="13"/>
    <n v="944000"/>
    <n v="160000"/>
    <n v="16"/>
    <s v="GABSO"/>
    <s v="TEXCUMAR"/>
    <s v="UNICO"/>
    <n v="4800"/>
    <n v="5624.08"/>
    <n v="26"/>
    <n v="25.74"/>
    <n v="953.23389830508472"/>
    <n v="99197.059829059828"/>
    <n v="14800"/>
    <n v="16268.73"/>
    <n v="29"/>
    <n v="27.61"/>
    <n v="2757.4118644067794"/>
    <n v="267511.89496559219"/>
    <n v="21892.809999999998"/>
    <n v="366708.954794652"/>
    <n v="3710.6457627118639"/>
    <n v="2.4464556962025314"/>
    <n v="46.970199527998275"/>
    <n v="38.846287584179237"/>
    <n v="50536.927640000009"/>
    <n v="49.181291568332973"/>
    <n v="2.3083801321072999"/>
    <m/>
    <s v="AUTOMATICA"/>
    <n v="824.07999999999993"/>
    <n v="1468.7299999999996"/>
    <n v="-0.26000000000000156"/>
    <n v="-1.3900000000000006"/>
    <s v="JULIO SANTOS"/>
    <s v="GT 17"/>
  </r>
  <r>
    <d v="2026-02-13T00:00:00"/>
    <n v="126"/>
    <x v="0"/>
    <s v="AGUAJE 3"/>
    <x v="1"/>
    <s v="17"/>
    <x v="5"/>
    <n v="4.5999999999999996"/>
    <s v="CONVENCIONAL"/>
    <n v="73"/>
    <d v="2025-12-02T00:00:00"/>
    <s v="ME 8"/>
    <n v="0.15"/>
    <n v="10"/>
    <n v="736000"/>
    <n v="160000"/>
    <n v="16"/>
    <s v="GENESIS"/>
    <s v="TEXCUMAR"/>
    <s v="UNICO"/>
    <n v="4750"/>
    <n v="4163.59"/>
    <n v="26"/>
    <n v="28.22"/>
    <n v="905.12826086956534"/>
    <n v="66983.34018426649"/>
    <n v="6450"/>
    <n v="5458.65"/>
    <n v="30"/>
    <n v="35.42"/>
    <n v="1186.663043478261"/>
    <n v="69966.885940146793"/>
    <n v="9622.24"/>
    <n v="136950.22612441328"/>
    <n v="2091.7913043478261"/>
    <n v="3.3964383561643836"/>
    <n v="28.654675402025013"/>
    <n v="18.607367679947455"/>
    <n v="26813.447500000002"/>
    <n v="36.219475878499111"/>
    <n v="2.7866117972530309"/>
    <m/>
    <s v="AUTOMATICA"/>
    <n v="-586.40999999999985"/>
    <n v="-991.35000000000036"/>
    <n v="2.2199999999999989"/>
    <n v="5.4200000000000017"/>
    <s v="NESTOR MOGOLLON"/>
    <s v="ME 17"/>
  </r>
  <r>
    <d v="2026-02-13T00:00:00"/>
    <n v="127"/>
    <x v="0"/>
    <s v="AGUAJE 3"/>
    <x v="1"/>
    <s v="02"/>
    <x v="1"/>
    <n v="8.36"/>
    <s v="ASC-BAP"/>
    <n v="83"/>
    <d v="2025-11-22T00:00:00"/>
    <s v="TI PC 33 - 34"/>
    <n v="0.28000000000000003"/>
    <n v="10"/>
    <n v="1421200"/>
    <n v="170000"/>
    <n v="17"/>
    <s v="EMPAGRAN"/>
    <s v="EMPAGRAN"/>
    <s v="UNICO"/>
    <n v="55050"/>
    <n v="55871.740000000005"/>
    <n v="26.5"/>
    <n v="27.145"/>
    <n v="6683.2224880382782"/>
    <n v="952314.54230828723"/>
    <n v="32100"/>
    <n v="30742"/>
    <n v="34"/>
    <n v="34.74"/>
    <n v="3677.2727272727275"/>
    <n v="401752.10132412205"/>
    <n v="86613.74"/>
    <n v="1354066.6436324092"/>
    <n v="10360.495215311006"/>
    <n v="2.9298795180722892"/>
    <n v="124.82524355796393"/>
    <n v="95.276290714354715"/>
    <n v="113151.095"/>
    <n v="73.968121288983696"/>
    <n v="1.3063873584029508"/>
    <m/>
    <s v="AUTOMATICA"/>
    <n v="821.74000000000524"/>
    <n v="-1358"/>
    <n v="0.64499999999999957"/>
    <n v="0.74000000000000199"/>
    <s v="ALFONSO GRUNAUER"/>
    <s v="TI 02"/>
  </r>
  <r>
    <d v="2026-02-14T00:00:00"/>
    <n v="128"/>
    <x v="0"/>
    <s v="AGUAJE 4"/>
    <x v="1"/>
    <s v="01"/>
    <x v="13"/>
    <n v="5"/>
    <s v="CONVENCIONAL"/>
    <n v="85"/>
    <d v="2025-11-21T00:00:00"/>
    <s v="PA PC 1 - 7"/>
    <n v="1.2"/>
    <n v="11"/>
    <n v="795935"/>
    <n v="159187"/>
    <n v="15.918699999999999"/>
    <s v="EMPAGRAN"/>
    <s v="EMPAGRAN"/>
    <s v="UNICO"/>
    <n v="9150"/>
    <n v="9109.130000000001"/>
    <n v="24"/>
    <n v="24.759999999999998"/>
    <n v="1821.8260000000002"/>
    <n v="171354.24425165297"/>
    <n v="16500"/>
    <n v="15989.09"/>
    <n v="42"/>
    <n v="41.5"/>
    <n v="3197.8180000000002"/>
    <n v="174916.79180722893"/>
    <n v="25098.22"/>
    <n v="346271.0360588819"/>
    <n v="5019.6440000000002"/>
    <n v="3.4176470588235297"/>
    <n v="59.054635294117652"/>
    <n v="43.50493897854497"/>
    <n v="38635.615000000005"/>
    <n v="41.235294117647058"/>
    <n v="1.5393766968334808"/>
    <m/>
    <s v="AUTOMATICA"/>
    <n v="-40.869999999998981"/>
    <n v="-510.90999999999985"/>
    <n v="0.75999999999999801"/>
    <n v="-0.5"/>
    <s v="GUSTAVO CARRASCO"/>
    <s v="BA 01"/>
  </r>
  <r>
    <d v="2026-02-14T00:00:00"/>
    <n v="129"/>
    <x v="0"/>
    <s v="AGUAJE 4"/>
    <x v="1"/>
    <s v="03"/>
    <x v="5"/>
    <n v="2.5499999999999998"/>
    <s v="CONVENCIONAL"/>
    <n v="56"/>
    <d v="2025-12-20T00:00:00"/>
    <s v="ME PC 3"/>
    <n v="0.5"/>
    <n v="24"/>
    <n v="433500"/>
    <n v="170000"/>
    <n v="17"/>
    <s v="BIOLACAM"/>
    <s v="TEXCUMAR"/>
    <s v="UNICO"/>
    <n v="0"/>
    <n v="0"/>
    <n v="0"/>
    <n v="0"/>
    <n v="0"/>
    <n v="0"/>
    <n v="10000"/>
    <n v="10552.63"/>
    <n v="18"/>
    <n v="20.6"/>
    <n v="4138.2862745098037"/>
    <n v="232567.67087378638"/>
    <n v="10552.63"/>
    <n v="232567.67087378638"/>
    <n v="4138.2862745098037"/>
    <n v="2.5750000000000002"/>
    <n v="73.897969187675059"/>
    <n v="53.648828344587393"/>
    <n v="17499.012500000001"/>
    <n v="55.584733893557427"/>
    <n v="1.6582607842784218"/>
    <m/>
    <s v="AUTOMATICA"/>
    <n v="0"/>
    <n v="552.6299999999992"/>
    <n v="0"/>
    <n v="2.6000000000000014"/>
    <s v="NESTOR MOGOLLON"/>
    <s v="ME 03"/>
  </r>
  <r>
    <d v="2026-02-14T00:00:00"/>
    <n v="130"/>
    <x v="0"/>
    <s v="AGUAJE 4"/>
    <x v="1"/>
    <s v="14"/>
    <x v="5"/>
    <n v="1.4"/>
    <s v="CONVENCIONAL"/>
    <n v="79"/>
    <d v="2025-11-27T00:00:00"/>
    <s v="ME PC 12"/>
    <n v="0.5"/>
    <n v="6"/>
    <n v="224000"/>
    <n v="160000"/>
    <n v="16"/>
    <s v="GENESIS"/>
    <s v="TEXCUMAR"/>
    <s v="UNICO"/>
    <n v="800"/>
    <n v="817.05"/>
    <n v="20"/>
    <n v="23.38"/>
    <n v="583.60714285714289"/>
    <n v="15865.727117194181"/>
    <n v="7600"/>
    <n v="7384.85"/>
    <n v="39"/>
    <n v="38.380000000000003"/>
    <n v="5274.8928571428578"/>
    <n v="87355.964043772809"/>
    <n v="8201.9"/>
    <n v="103221.69116096699"/>
    <n v="5858.5"/>
    <n v="3.4007594936708863"/>
    <n v="74.158227848101262"/>
    <n v="46.081112125431694"/>
    <n v="13172.485000000001"/>
    <n v="54.023508137432188"/>
    <n v="1.6060284812055745"/>
    <m/>
    <s v="AUTOMATICA"/>
    <n v="17.049999999999955"/>
    <n v="-215.14999999999964"/>
    <n v="3.379999999999999"/>
    <n v="-0.61999999999999744"/>
    <s v="NESTOR MOGOLLON"/>
    <s v="ME 14"/>
  </r>
  <r>
    <d v="2026-02-14T00:00:00"/>
    <n v="131"/>
    <x v="0"/>
    <s v="AGUAJE 4"/>
    <x v="1"/>
    <s v="11"/>
    <x v="0"/>
    <n v="8.4"/>
    <s v="CONVENCIONAL"/>
    <n v="67"/>
    <d v="2025-12-09T00:00:00"/>
    <s v="PR PS 4"/>
    <n v="0.25"/>
    <n v="20"/>
    <n v="1512000"/>
    <n v="180000"/>
    <n v="18"/>
    <s v="MAKROLAB"/>
    <s v="TEXCUMAR"/>
    <s v="UNICO"/>
    <n v="0"/>
    <n v="0"/>
    <n v="0"/>
    <n v="0"/>
    <n v="0"/>
    <n v="0"/>
    <n v="18900"/>
    <n v="21682.78"/>
    <n v="20"/>
    <n v="20.059999999999999"/>
    <n v="2581.2833333333333"/>
    <n v="490726.92522432702"/>
    <n v="21682.78"/>
    <n v="490726.92522432702"/>
    <n v="2581.2833333333333"/>
    <n v="2.095820895522388"/>
    <n v="38.526616915422885"/>
    <n v="32.455484472508402"/>
    <n v="33840.61"/>
    <n v="27.274342572850035"/>
    <n v="1.5607136169808484"/>
    <m/>
    <s v="AUTOMATICA"/>
    <n v="0"/>
    <n v="2782.7799999999988"/>
    <n v="0"/>
    <n v="5.9999999999998721E-2"/>
    <s v="WILMER TORRES"/>
    <s v="PR 11"/>
  </r>
  <r>
    <d v="2026-02-14T00:00:00"/>
    <n v="132"/>
    <x v="0"/>
    <s v="AGUAJE 4"/>
    <x v="1"/>
    <s v="26"/>
    <x v="11"/>
    <n v="4"/>
    <s v="ASC-BAP"/>
    <n v="78"/>
    <d v="2025-11-28T00:00:00"/>
    <s v="TA PC 5"/>
    <n v="0.45"/>
    <n v="7"/>
    <n v="660000"/>
    <n v="165000"/>
    <n v="16.5"/>
    <s v="AMBARTEK"/>
    <s v="TEXCUMAR"/>
    <s v="UNICO"/>
    <n v="7800"/>
    <n v="9009.84"/>
    <n v="21.5"/>
    <n v="24.46"/>
    <n v="2252.46"/>
    <n v="167230.88143908422"/>
    <n v="22500"/>
    <n v="24590.69"/>
    <n v="36"/>
    <n v="36.79"/>
    <n v="6147.6724999999997"/>
    <n v="303456.73443870619"/>
    <n v="33600.53"/>
    <n v="470687.61587779038"/>
    <n v="8400.1324999999997"/>
    <n v="3.3016666666666667"/>
    <n v="107.69400641025641"/>
    <n v="71.316305436028841"/>
    <n v="45304.53"/>
    <n v="65.865384615384613"/>
    <n v="1.3483278388763511"/>
    <m/>
    <s v="AUTOMATICA"/>
    <n v="1209.8400000000001"/>
    <n v="2090.6899999999987"/>
    <n v="2.9600000000000009"/>
    <n v="0.78999999999999915"/>
    <s v="ALFONSO GRUNAUER"/>
    <s v="TA 26"/>
  </r>
  <r>
    <d v="2026-02-14T00:00:00"/>
    <n v="133"/>
    <x v="0"/>
    <s v="AGUAJE 4"/>
    <x v="1"/>
    <s v="16"/>
    <x v="10"/>
    <n v="2.4"/>
    <s v="CONVENCIONAL"/>
    <n v="80"/>
    <d v="2025-11-26T00:00:00"/>
    <s v="GT 7"/>
    <n v="0.68"/>
    <n v="4"/>
    <n v="384000"/>
    <n v="160000"/>
    <n v="16"/>
    <s v="GABSO"/>
    <s v="TEXCUMAR"/>
    <s v="UNICO"/>
    <n v="4000"/>
    <n v="4195.7700000000004"/>
    <n v="25"/>
    <n v="23.8"/>
    <n v="1748.2375000000002"/>
    <n v="80036.957142857151"/>
    <n v="9400"/>
    <n v="9809.7999999999993"/>
    <n v="26"/>
    <n v="27.44"/>
    <n v="4087.4166666666665"/>
    <n v="162304.99999999997"/>
    <n v="14005.57"/>
    <n v="242341.95714285714"/>
    <n v="5835.6541666666672"/>
    <n v="2.4010000000000002"/>
    <n v="72.945677083333337"/>
    <n v="63.109884672619046"/>
    <n v="22547.766960000001"/>
    <n v="53.268749999999997"/>
    <n v="1.6099142669666426"/>
    <m/>
    <s v="AUTOMATICA"/>
    <n v="195.77000000000044"/>
    <n v="409.79999999999927"/>
    <n v="-1.1999999999999993"/>
    <n v="1.4400000000000013"/>
    <s v="JULIO SANTOS"/>
    <s v="GT 16"/>
  </r>
  <r>
    <d v="2026-02-14T00:00:00"/>
    <n v="134"/>
    <x v="0"/>
    <s v="AGUAJE 4"/>
    <x v="1"/>
    <s v="09"/>
    <x v="1"/>
    <n v="6.7"/>
    <s v="ASC-BAP"/>
    <n v="86"/>
    <d v="2025-11-20T00:00:00"/>
    <s v="TI PC 31 - 32"/>
    <n v="0.45"/>
    <n v="7"/>
    <n v="1206000"/>
    <n v="180000"/>
    <n v="18"/>
    <s v="MEGALATINA"/>
    <s v="TEXCUMAR"/>
    <s v="UNICO"/>
    <n v="19000"/>
    <n v="18788.45"/>
    <n v="21"/>
    <n v="21.21"/>
    <n v="2804.2462686567164"/>
    <n v="400141.77763900138"/>
    <n v="44500"/>
    <n v="46772.44"/>
    <n v="35.5"/>
    <n v="34.42"/>
    <n v="6980.961194029851"/>
    <n v="616928.75537478214"/>
    <n v="65560.89"/>
    <n v="1017070.5330137835"/>
    <n v="9785.2074626865669"/>
    <n v="2.8016279069767442"/>
    <n v="113.78148212426241"/>
    <n v="84.334206717560818"/>
    <n v="87743.08"/>
    <n v="69.073238458868445"/>
    <n v="1.3383448577345427"/>
    <m/>
    <s v="AUTOMATICA"/>
    <n v="-211.54999999999927"/>
    <n v="2272.4400000000023"/>
    <n v="0.21000000000000085"/>
    <n v="-1.0799999999999983"/>
    <s v="ALFONSO GRUNAUER"/>
    <s v="TI 09"/>
  </r>
  <r>
    <d v="2026-02-15T00:00:00"/>
    <n v="135"/>
    <x v="0"/>
    <s v="AGUAJE 4"/>
    <x v="1"/>
    <s v="14"/>
    <x v="10"/>
    <n v="5.26"/>
    <s v="CONVENCIONAL"/>
    <n v="81"/>
    <d v="2025-11-26T00:00:00"/>
    <s v="GT 6"/>
    <n v="0.8"/>
    <n v="9"/>
    <n v="736400"/>
    <n v="140000"/>
    <n v="14"/>
    <s v="TECSERV"/>
    <s v="EMPAGRAN/SEMACUA"/>
    <s v="UNICO"/>
    <n v="6000"/>
    <n v="5951.93"/>
    <n v="28"/>
    <n v="27.14"/>
    <n v="1131.545627376426"/>
    <n v="99564.341193809887"/>
    <n v="17500"/>
    <n v="18375.490000000002"/>
    <n v="29"/>
    <n v="23.35"/>
    <n v="3493.4391634980993"/>
    <n v="357279.33447537472"/>
    <n v="24327.420000000002"/>
    <n v="456843.67566918459"/>
    <n v="4624.9847908745251"/>
    <n v="2.0179012345679013"/>
    <n v="57.098577665117595"/>
    <n v="62.037435587884929"/>
    <n v="43540.850000000006"/>
    <n v="46.354973477913909"/>
    <n v="1.789784942258571"/>
    <m/>
    <s v="AUTOMATICA"/>
    <n v="-48.069999999999709"/>
    <n v="875.4900000000016"/>
    <n v="-0.85999999999999943"/>
    <n v="-5.6499999999999986"/>
    <s v="JULIO SANTOS"/>
    <s v="GT 14"/>
  </r>
  <r>
    <d v="2026-02-15T00:00:00"/>
    <n v="136"/>
    <x v="0"/>
    <s v="AGUAJE 4"/>
    <x v="1"/>
    <s v="15"/>
    <x v="5"/>
    <n v="2.6"/>
    <s v="CONVENCIONAL"/>
    <n v="80"/>
    <d v="2025-11-27T00:00:00"/>
    <s v="ME PC 12"/>
    <n v="0.5"/>
    <n v="5"/>
    <n v="416000"/>
    <n v="160000"/>
    <n v="16"/>
    <s v="GENESIS"/>
    <s v="TEXCUMAR"/>
    <s v="UNICO"/>
    <n v="6750"/>
    <n v="6530.43"/>
    <n v="26.5"/>
    <n v="28.97"/>
    <n v="2511.7038461538464"/>
    <n v="101291.45862243873"/>
    <n v="6700"/>
    <n v="5813.52"/>
    <n v="47"/>
    <n v="44"/>
    <n v="2235.9692307692308"/>
    <n v="59984.956363636367"/>
    <n v="12343.95"/>
    <n v="161276.41498607511"/>
    <n v="4747.6730769230771"/>
    <n v="3.85"/>
    <n v="59.345913461538466"/>
    <n v="38.768368987037285"/>
    <n v="20227.205000000002"/>
    <n v="44.11057692307692"/>
    <n v="1.6386330955650339"/>
    <m/>
    <s v="AUTOMATICA"/>
    <n v="-219.56999999999971"/>
    <n v="-886.47999999999956"/>
    <n v="2.4699999999999989"/>
    <n v="-3"/>
    <s v="NESTOR MOGOLLON"/>
    <s v="ME 15"/>
  </r>
  <r>
    <d v="2026-02-15T00:00:00"/>
    <n v="137"/>
    <x v="0"/>
    <s v="AGUAJE 4"/>
    <x v="1"/>
    <s v="18"/>
    <x v="5"/>
    <n v="3.05"/>
    <s v="CONVENCIONAL"/>
    <n v="80"/>
    <d v="2025-11-27T00:00:00"/>
    <s v="ME PC 12"/>
    <n v="0.5"/>
    <n v="6"/>
    <n v="488000"/>
    <n v="160000"/>
    <n v="16"/>
    <s v="GENESIS"/>
    <s v="TEXCUMAR"/>
    <s v="UNICO"/>
    <n v="9000"/>
    <n v="8838.2200000000012"/>
    <n v="28"/>
    <n v="29.36"/>
    <n v="2897.7770491803285"/>
    <n v="136321.06730070504"/>
    <n v="9050"/>
    <n v="8599.9"/>
    <n v="49"/>
    <n v="50.1"/>
    <n v="2819.6393442622953"/>
    <n v="77931.229540918153"/>
    <n v="17438.120000000003"/>
    <n v="214252.2968416232"/>
    <n v="5717.4163934426242"/>
    <n v="4.38375"/>
    <n v="71.467704918032808"/>
    <n v="43.904159188857214"/>
    <n v="26730.775000000001"/>
    <n v="49.692622950819676"/>
    <n v="1.5328931673827224"/>
    <m/>
    <s v="AUTOMATICA"/>
    <n v="-161.77999999999884"/>
    <n v="-450.10000000000036"/>
    <n v="1.3599999999999994"/>
    <n v="1.1000000000000014"/>
    <s v="NESTOR MOGOLLON"/>
    <s v="ME 18"/>
  </r>
  <r>
    <d v="2026-02-15T00:00:00"/>
    <n v="138"/>
    <x v="0"/>
    <s v="AGUAJE 4"/>
    <x v="1"/>
    <s v="32"/>
    <x v="6"/>
    <n v="10"/>
    <s v="CONVENCIONAL"/>
    <n v="90"/>
    <d v="2025-11-17T00:00:00"/>
    <s v="WA PC 9 - 13"/>
    <n v="0.46"/>
    <n v="22"/>
    <n v="1700000"/>
    <n v="170000"/>
    <n v="17"/>
    <s v="EMPAGRAN/TECSERV"/>
    <s v="EMPAGRAN/TEXCUMAR"/>
    <s v="COMBINADO"/>
    <n v="36200"/>
    <n v="38421.14"/>
    <n v="23.75"/>
    <n v="22.589999999999996"/>
    <n v="3842.114"/>
    <n v="773189.44152623671"/>
    <n v="12450"/>
    <n v="13264.06"/>
    <n v="29"/>
    <n v="28.68"/>
    <n v="1326.4059999999999"/>
    <n v="209968.03486750351"/>
    <n v="51685.2"/>
    <n v="983157.47639374016"/>
    <n v="5168.5199999999995"/>
    <n v="2.2306666666666666"/>
    <n v="57.427999999999997"/>
    <n v="57.832792729043533"/>
    <n v="71129.214399999997"/>
    <n v="35.848888888888887"/>
    <n v="1.3762008157073979"/>
    <m/>
    <s v="AUTOMATICA"/>
    <n v="2221.1399999999994"/>
    <n v="814.05999999999949"/>
    <n v="-1.1600000000000037"/>
    <n v="-0.32000000000000028"/>
    <s v="JUNIOR ESQUIVEL"/>
    <s v="WA 32"/>
  </r>
  <r>
    <d v="2026-02-15T00:00:00"/>
    <n v="139"/>
    <x v="0"/>
    <s v="AGUAJE 4"/>
    <x v="1"/>
    <s v="08"/>
    <x v="1"/>
    <n v="6.2"/>
    <s v="ASC-BAP"/>
    <n v="80"/>
    <d v="2025-11-27T00:00:00"/>
    <s v="TI PC 36/TA PC 14"/>
    <n v="0.56999999999999995"/>
    <n v="8"/>
    <n v="992000"/>
    <n v="160000"/>
    <n v="16"/>
    <s v="AMBARTEK/PRONAUPLIO"/>
    <s v="TEXCUMAR/SEMACUA"/>
    <s v="COMBINADO"/>
    <n v="28180"/>
    <n v="29619.74"/>
    <n v="26.333333333333332"/>
    <n v="27.840000000000003"/>
    <n v="4777.3774193548388"/>
    <n v="495501.47804459796"/>
    <n v="31100"/>
    <n v="31823.87"/>
    <n v="37"/>
    <n v="38.04"/>
    <n v="5132.8822580645156"/>
    <n v="379811.69768664567"/>
    <n v="61443.61"/>
    <n v="875313.17573124357"/>
    <n v="9910.2596774193553"/>
    <n v="3.3285"/>
    <n v="123.87824596774195"/>
    <n v="88.237215295488255"/>
    <n v="73743.87000000001"/>
    <n v="67.439516129032256"/>
    <n v="1.2001877819353388"/>
    <m/>
    <s v="AUTOMATICA"/>
    <n v="1439.7400000000016"/>
    <n v="723.86999999999898"/>
    <n v="1.5066666666666713"/>
    <n v="1.0399999999999991"/>
    <s v="ALFONSO GRUNAUER"/>
    <s v="TI 08"/>
  </r>
  <r>
    <d v="2026-02-16T00:00:00"/>
    <n v="140"/>
    <x v="0"/>
    <s v="AGUAJE 4"/>
    <x v="1"/>
    <s v="06"/>
    <x v="10"/>
    <n v="9.8000000000000007"/>
    <s v="CONVENCIONAL"/>
    <n v="78"/>
    <d v="2025-11-30T00:00:00"/>
    <s v="GT PC 4"/>
    <n v="0.6"/>
    <n v="11"/>
    <n v="1470000"/>
    <n v="150000"/>
    <n v="15"/>
    <s v="EMPAGRAN"/>
    <s v="EMPAGRAN"/>
    <s v="UNICO"/>
    <n v="11600"/>
    <n v="11339.59"/>
    <n v="27"/>
    <n v="27.7"/>
    <n v="1157.1010204081631"/>
    <n v="185854.65198555958"/>
    <n v="37900"/>
    <n v="41752.14"/>
    <n v="29"/>
    <n v="29.73"/>
    <n v="4260.4224489795915"/>
    <n v="637587.33804238134"/>
    <n v="53091.729999999996"/>
    <n v="823441.99002794095"/>
    <n v="5417.5234693877546"/>
    <n v="2.6680769230769235"/>
    <n v="69.455429094714802"/>
    <n v="56.016461906662649"/>
    <n v="84546.41"/>
    <n v="50.170068027210881"/>
    <n v="1.5924591268734323"/>
    <m/>
    <s v="AUTOMATICA"/>
    <n v="-260.40999999999985"/>
    <n v="3852.1399999999994"/>
    <n v="0.69999999999999929"/>
    <n v="0.73000000000000043"/>
    <s v="JULIO SANTOS"/>
    <s v="GT 06"/>
  </r>
  <r>
    <d v="2026-02-16T00:00:00"/>
    <n v="141"/>
    <x v="0"/>
    <s v="AGUAJE 4"/>
    <x v="1"/>
    <s v="7A"/>
    <x v="11"/>
    <n v="12.5"/>
    <s v="ASC-BAP"/>
    <n v="80"/>
    <d v="2025-11-28T00:00:00"/>
    <s v="TA PC 5"/>
    <n v="0.45"/>
    <n v="6"/>
    <n v="2062500"/>
    <n v="165000"/>
    <n v="16.5"/>
    <s v="AMBARTEK"/>
    <s v="TEXCUMAR"/>
    <s v="UNICO"/>
    <n v="52100"/>
    <n v="56903.01"/>
    <n v="25"/>
    <n v="27.360000000000003"/>
    <n v="4552.2408000000005"/>
    <n v="958907.52196429088"/>
    <n v="40600"/>
    <n v="41557.480000000003"/>
    <n v="34"/>
    <n v="35.64"/>
    <n v="3324.5984000000003"/>
    <n v="529379.79573512916"/>
    <n v="98460.49"/>
    <n v="1488287.31769942"/>
    <n v="7876.8392000000003"/>
    <n v="3.1185"/>
    <n v="98.460490000000007"/>
    <n v="72.15938510057795"/>
    <n v="130622.55"/>
    <n v="59.25"/>
    <n v="1.3266494001807223"/>
    <m/>
    <s v="AUTOMATICA"/>
    <n v="4803.010000000002"/>
    <n v="957.4800000000032"/>
    <n v="2.360000000000003"/>
    <n v="1.6400000000000006"/>
    <s v="ALFONSO GRUNAUER"/>
    <s v="TA 7A"/>
  </r>
  <r>
    <d v="2026-02-17T00:00:00"/>
    <n v="142"/>
    <x v="0"/>
    <s v="AGUAJE 4"/>
    <x v="1"/>
    <s v="19"/>
    <x v="10"/>
    <n v="3.35"/>
    <s v="CONVENCIONAL"/>
    <n v="79"/>
    <d v="2025-11-30T00:00:00"/>
    <s v="GT 8"/>
    <n v="0.8"/>
    <n v="10"/>
    <n v="536000"/>
    <n v="160000"/>
    <n v="16"/>
    <s v="EMPAGRAN"/>
    <s v="EMPAGRAN"/>
    <s v="UNICO"/>
    <n v="4400"/>
    <n v="4530.24"/>
    <n v="25"/>
    <n v="25.6"/>
    <n v="1352.3104477611939"/>
    <n v="80340.974999999991"/>
    <n v="15850"/>
    <n v="17709.07"/>
    <n v="27"/>
    <n v="28.08"/>
    <n v="5286.2895522388053"/>
    <n v="286321.85826210829"/>
    <n v="22239.309999999998"/>
    <n v="366662.83326210827"/>
    <n v="6638.5999999999995"/>
    <n v="2.4881012658227846"/>
    <n v="84.032911392405055"/>
    <n v="68.407245011587364"/>
    <n v="33069"/>
    <n v="56.678632155677313"/>
    <n v="1.4869616008770057"/>
    <m/>
    <s v="AUTOMATICA"/>
    <n v="130.23999999999978"/>
    <n v="1859.0699999999997"/>
    <n v="0.60000000000000142"/>
    <n v="1.0799999999999983"/>
    <s v="JULIO SANTOS"/>
    <s v="GT 19"/>
  </r>
  <r>
    <d v="2026-02-17T00:00:00"/>
    <n v="143"/>
    <x v="0"/>
    <s v="AGUAJE 4"/>
    <x v="1"/>
    <s v="06"/>
    <x v="13"/>
    <n v="5.4"/>
    <s v="CONVENCIONAL"/>
    <n v="80"/>
    <d v="2025-11-29T00:00:00"/>
    <s v="PA 1"/>
    <n v="1.6"/>
    <n v="24"/>
    <n v="1289333"/>
    <n v="238765.37037037036"/>
    <n v="23.876537037037036"/>
    <s v="ACUATECSA / DEONES"/>
    <s v="TEXCUMAR"/>
    <s v="COMBINADO"/>
    <n v="5100"/>
    <n v="4993.8900000000003"/>
    <n v="21"/>
    <n v="23.48"/>
    <n v="924.79444444444448"/>
    <n v="96559.883304940377"/>
    <n v="20100"/>
    <n v="20365.169999999998"/>
    <n v="30"/>
    <n v="28.34"/>
    <n v="3771.3277777777771"/>
    <n v="326245.13690896257"/>
    <n v="25359.059999999998"/>
    <n v="422805.02021390293"/>
    <n v="4696.1222222222214"/>
    <n v="2.4797500000000001"/>
    <n v="58.70152777777777"/>
    <n v="32.792538484154434"/>
    <n v="41446.480000000003"/>
    <n v="43.518518518518519"/>
    <n v="1.6343855016708035"/>
    <m/>
    <s v="AUTOMATICA"/>
    <n v="-106.10999999999967"/>
    <n v="265.16999999999825"/>
    <n v="2.4800000000000004"/>
    <n v="-1.6600000000000001"/>
    <s v="GUSTAVO CARRASCO"/>
    <s v="BA 06"/>
  </r>
  <r>
    <d v="2026-02-17T00:00:00"/>
    <n v="144"/>
    <x v="0"/>
    <s v="AGUAJE 4"/>
    <x v="1"/>
    <s v="06"/>
    <x v="4"/>
    <n v="8.69"/>
    <s v="CONVENCIONAL"/>
    <n v="87"/>
    <d v="2025-11-22T00:00:00"/>
    <s v="DE PC 3"/>
    <n v="0.5"/>
    <n v="8"/>
    <n v="1470772"/>
    <n v="169248.79171461452"/>
    <n v="16.924879171461452"/>
    <s v="TECSERV"/>
    <s v="EMPAGRAN - SEMACUA"/>
    <s v="UNICO"/>
    <n v="15200"/>
    <n v="16514.7"/>
    <n v="21"/>
    <n v="21.44"/>
    <n v="1900.4257767548909"/>
    <n v="349704.93470149254"/>
    <n v="30500"/>
    <n v="30866.07"/>
    <n v="34"/>
    <n v="34.130000000000003"/>
    <n v="3551.9067894131185"/>
    <n v="410582.94110752997"/>
    <n v="47380.770000000004"/>
    <n v="760287.87580902246"/>
    <n v="5452.3325661680101"/>
    <n v="2.7460919540229884"/>
    <n v="62.670489266298965"/>
    <n v="51.693115983240254"/>
    <n v="75066.63"/>
    <n v="45.037895321614222"/>
    <n v="1.5843269326353286"/>
    <m/>
    <s v="AUTOMATICA"/>
    <n v="1314.7000000000007"/>
    <n v="366.06999999999971"/>
    <n v="0.44000000000000128"/>
    <n v="0.13000000000000256"/>
    <s v="CARLOS FLORES"/>
    <s v="DE 06"/>
  </r>
  <r>
    <d v="2026-02-18T00:00:00"/>
    <n v="145"/>
    <x v="0"/>
    <s v="AGUAJE 4"/>
    <x v="1"/>
    <s v="20"/>
    <x v="10"/>
    <n v="2.04"/>
    <s v="CONVENCIONAL"/>
    <n v="80"/>
    <d v="2025-11-30T00:00:00"/>
    <s v="GT 8"/>
    <n v="0.8"/>
    <n v="10"/>
    <n v="326400"/>
    <n v="160000"/>
    <n v="16"/>
    <s v="EMPAGRAN"/>
    <s v="EMPAGRAN"/>
    <s v="UNICO"/>
    <n v="3200"/>
    <n v="3181.32"/>
    <n v="25"/>
    <n v="27.02"/>
    <n v="1559.4705882352941"/>
    <n v="53453.711324944488"/>
    <n v="10000"/>
    <n v="10179.700000000001"/>
    <n v="27"/>
    <n v="28.96"/>
    <n v="4990.0490196078435"/>
    <n v="159585.07596685085"/>
    <n v="13361.02"/>
    <n v="213038.78729179534"/>
    <n v="6549.5196078431372"/>
    <n v="2.5339999999999998"/>
    <n v="81.868995098039221"/>
    <n v="65.269236302633374"/>
    <n v="20679.148000000001"/>
    <n v="57.475490196078432"/>
    <n v="1.5477222547380365"/>
    <m/>
    <s v="AUTOMATICA"/>
    <n v="-18.679999999999836"/>
    <n v="179.70000000000073"/>
    <n v="2.0199999999999996"/>
    <n v="1.9600000000000009"/>
    <s v="JULIO SANTOS"/>
    <s v="GT 20"/>
  </r>
  <r>
    <d v="2026-02-18T00:00:00"/>
    <n v="146"/>
    <x v="0"/>
    <s v="AGUAJE 4"/>
    <x v="1"/>
    <s v="03"/>
    <x v="8"/>
    <n v="8.4"/>
    <s v="ASC-BAP"/>
    <n v="86"/>
    <d v="2025-11-24T00:00:00"/>
    <s v="MA PC 3"/>
    <n v="0.57999999999999996"/>
    <n v="12"/>
    <n v="1159224"/>
    <n v="138002.85714285713"/>
    <n v="13.800285714285714"/>
    <s v="GABSO"/>
    <s v="TEXCUMAR"/>
    <s v="UNICO"/>
    <n v="18050"/>
    <n v="17120.59"/>
    <n v="19.5"/>
    <n v="23.71"/>
    <n v="2038.1654761904761"/>
    <n v="331105.81017789606"/>
    <n v="31750"/>
    <n v="32075.64"/>
    <n v="32"/>
    <n v="34.479999999999997"/>
    <n v="3818.528571428571"/>
    <n v="422341.66357308591"/>
    <n v="49196.229999999996"/>
    <n v="753447.47375098197"/>
    <n v="5856.6940476190466"/>
    <n v="2.8065116279069762"/>
    <n v="68.101093576965653"/>
    <n v="64.995848408157698"/>
    <n v="69092.164000000004"/>
    <n v="43.383167220376521"/>
    <n v="1.4044198915242085"/>
    <m/>
    <s v="AUTOMATICA"/>
    <n v="-929.40999999999985"/>
    <n v="325.63999999999942"/>
    <n v="4.2100000000000009"/>
    <n v="2.4799999999999969"/>
    <s v="GUSTAVO CARRASCO"/>
    <s v="PA 03"/>
  </r>
  <r>
    <d v="2026-02-19T00:00:00"/>
    <n v="147"/>
    <x v="0"/>
    <s v="AGUAJE 4"/>
    <x v="1"/>
    <s v="16"/>
    <x v="2"/>
    <n v="8"/>
    <s v="ASC-BAP"/>
    <n v="70"/>
    <d v="2025-12-11T00:00:00"/>
    <s v="CA PC 15"/>
    <n v="0.46"/>
    <n v="6"/>
    <n v="1160000"/>
    <n v="145000"/>
    <n v="14.5"/>
    <s v="GRILSAN"/>
    <s v="AQUAGEN"/>
    <s v="UNICO"/>
    <n v="0"/>
    <n v="0"/>
    <n v="0"/>
    <n v="0"/>
    <n v="0"/>
    <n v="0"/>
    <n v="33800"/>
    <n v="34301.360000000001"/>
    <n v="34"/>
    <n v="34.020000000000003"/>
    <n v="4287.67"/>
    <n v="457754.77483833034"/>
    <n v="34301.360000000001"/>
    <n v="457754.77483833034"/>
    <n v="4287.67"/>
    <n v="3.4020000000000001"/>
    <n v="61.252428571428574"/>
    <n v="39.46161852054572"/>
    <n v="47839.82"/>
    <n v="38.75"/>
    <n v="1.3946916390487141"/>
    <m/>
    <s v="AUTOMATICA"/>
    <n v="0"/>
    <n v="501.36000000000058"/>
    <n v="0"/>
    <n v="2.0000000000003126E-2"/>
    <s v="VICTOR QUINTANA"/>
    <s v="CA 16"/>
  </r>
  <r>
    <d v="2026-02-20T00:00:00"/>
    <n v="148"/>
    <x v="0"/>
    <s v="AGUAJE 4"/>
    <x v="1"/>
    <s v="09"/>
    <x v="14"/>
    <n v="4.6500000000000004"/>
    <s v="ASC-BAP"/>
    <n v="88"/>
    <d v="2025-11-24T00:00:00"/>
    <s v="MA PC 3 - 7"/>
    <n v="0.73"/>
    <n v="5"/>
    <n v="641379"/>
    <n v="137930.96774193548"/>
    <n v="13.793096774193549"/>
    <s v="TECSERV/GABSO"/>
    <s v="TEXCUMAR"/>
    <s v="COMBINADO"/>
    <n v="8000"/>
    <n v="7721.4400000000005"/>
    <n v="23"/>
    <n v="26.29"/>
    <n v="1660.5247311827957"/>
    <n v="138893.9518541116"/>
    <n v="20200"/>
    <n v="20924.23"/>
    <n v="38"/>
    <n v="39.06"/>
    <n v="4499.8344086021498"/>
    <n v="243205.33589349716"/>
    <n v="28645.67"/>
    <n v="382099.28774760873"/>
    <n v="6160.359139784945"/>
    <n v="3.1070454545454549"/>
    <n v="70.004081133919826"/>
    <n v="59.574648959134727"/>
    <n v="35648.382000000005"/>
    <n v="39.516129032258064"/>
    <n v="1.2444597036829652"/>
    <m/>
    <s v="AUTOMATICA"/>
    <n v="-278.55999999999949"/>
    <n v="724.22999999999956"/>
    <n v="3.2899999999999991"/>
    <n v="1.0600000000000023"/>
    <s v="GUSTAVO CARRASCO"/>
    <s v="MA 09"/>
  </r>
  <r>
    <d v="2026-02-21T00:00:00"/>
    <n v="149"/>
    <x v="0"/>
    <s v="AGUAJE 4"/>
    <x v="1"/>
    <s v="18"/>
    <x v="8"/>
    <n v="25.25"/>
    <s v="ASC-BAP"/>
    <n v="93"/>
    <d v="2025-11-20T00:00:00"/>
    <s v="PA PC 16"/>
    <n v="0.88"/>
    <n v="12"/>
    <n v="3231818"/>
    <n v="127992.79207920792"/>
    <n v="12.799279207920792"/>
    <s v="NEMEN"/>
    <s v="TEXCUMAR"/>
    <s v="UNICO"/>
    <n v="72500"/>
    <n v="67768.5"/>
    <n v="26.333333333333332"/>
    <n v="27.74666666666667"/>
    <n v="2683.90099009901"/>
    <n v="1174099.2587907091"/>
    <n v="67900"/>
    <n v="72641.09"/>
    <n v="42"/>
    <n v="42.85"/>
    <n v="2876.8748514851482"/>
    <n v="769639.55332555424"/>
    <n v="140409.59"/>
    <n v="1943738.8121162634"/>
    <n v="5560.7758415841581"/>
    <n v="3.2252688172043009"/>
    <n v="59.793288619184494"/>
    <n v="60.143820354867238"/>
    <n v="189408.209"/>
    <n v="36.586819972319809"/>
    <n v="1.3489691765355913"/>
    <m/>
    <s v="AUTOMATICA"/>
    <n v="-4731.5"/>
    <n v="4741.0899999999965"/>
    <n v="1.4133333333333375"/>
    <n v="0.85000000000000142"/>
    <s v="GUSTAVO CARRASCO"/>
    <s v="PA 18"/>
  </r>
  <r>
    <d v="2026-02-21T00:00:00"/>
    <n v="150"/>
    <x v="0"/>
    <s v="AGUAJE 4"/>
    <x v="1"/>
    <s v="22"/>
    <x v="3"/>
    <n v="5.36"/>
    <s v="ASC"/>
    <n v="73"/>
    <d v="2025-12-10T00:00:00"/>
    <s v="CH PC 7"/>
    <n v="0.5"/>
    <n v="5"/>
    <n v="804000"/>
    <n v="150000"/>
    <n v="15"/>
    <s v="MEGALATINA"/>
    <s v="TEXCUMAR"/>
    <s v="UNICO"/>
    <n v="5600"/>
    <n v="6066.03"/>
    <n v="23"/>
    <n v="23.78"/>
    <n v="1131.7220149253731"/>
    <n v="115810.66526492851"/>
    <n v="24800"/>
    <n v="24396.22"/>
    <n v="29"/>
    <n v="27.36"/>
    <n v="4551.5335820895525"/>
    <n v="404820.31725146202"/>
    <n v="30462.25"/>
    <n v="520630.9825163905"/>
    <n v="5683.2555970149251"/>
    <n v="2.6235616438356164"/>
    <n v="77.852816397464721"/>
    <n v="64.755097327909255"/>
    <n v="38745.845000000001"/>
    <n v="44.916683704763855"/>
    <n v="1.271929847598257"/>
    <m/>
    <s v="AUTOMATICA"/>
    <n v="466.02999999999975"/>
    <n v="-403.77999999999884"/>
    <n v="0.78000000000000114"/>
    <n v="-1.6400000000000006"/>
    <s v="SANTIAGO OBRIEN"/>
    <s v="CH 22"/>
  </r>
  <r>
    <d v="2026-02-22T00:00:00"/>
    <n v="151"/>
    <x v="0"/>
    <s v="AGUAJE 4"/>
    <x v="1"/>
    <s v="25"/>
    <x v="3"/>
    <n v="2.2000000000000002"/>
    <s v="ASC"/>
    <n v="74"/>
    <d v="2025-12-10T00:00:00"/>
    <s v="CH 7"/>
    <n v="0.5"/>
    <n v="5"/>
    <n v="396000"/>
    <n v="180000"/>
    <n v="18"/>
    <s v="MEGALATINA"/>
    <s v="TEXCUMAR"/>
    <s v="UNICO"/>
    <n v="4800"/>
    <n v="5324.71"/>
    <n v="25"/>
    <n v="25.43"/>
    <n v="2420.3227272727272"/>
    <n v="96651.666235933779"/>
    <n v="11200"/>
    <n v="10467.1"/>
    <n v="31"/>
    <n v="28.36"/>
    <n v="4757.772727272727"/>
    <n v="167562.17912552893"/>
    <n v="15791.810000000001"/>
    <n v="264213.84536146268"/>
    <n v="7178.0954545454542"/>
    <n v="2.6827027027027026"/>
    <n v="97.001289926289928"/>
    <n v="66.720668020571381"/>
    <n v="22597.15"/>
    <n v="62.960687960687963"/>
    <n v="1.4309411017483114"/>
    <m/>
    <s v="AUTOMATICA"/>
    <n v="524.71"/>
    <n v="-732.89999999999964"/>
    <n v="0.42999999999999972"/>
    <n v="-2.6400000000000006"/>
    <s v="SANTIAGO OBRIEN"/>
    <s v="CH 25"/>
  </r>
  <r>
    <d v="2026-02-22T00:00:00"/>
    <n v="152"/>
    <x v="0"/>
    <s v="AGUAJE 4"/>
    <x v="1"/>
    <s v="16"/>
    <x v="11"/>
    <n v="11"/>
    <s v="ASC-BAP"/>
    <n v="81"/>
    <d v="2025-12-03T00:00:00"/>
    <s v="TA PC14"/>
    <n v="0.6"/>
    <n v="10"/>
    <n v="1540000"/>
    <n v="140000"/>
    <n v="14"/>
    <s v="PRONAUPLIO"/>
    <s v="SEMACUA"/>
    <s v="UNICO"/>
    <n v="25850"/>
    <n v="25646"/>
    <n v="25.5"/>
    <n v="27.055"/>
    <n v="2331.4545454545455"/>
    <n v="431363.35270474246"/>
    <n v="65300"/>
    <n v="64677.05"/>
    <n v="40"/>
    <n v="41.14"/>
    <n v="5879.7318181818182"/>
    <n v="713742.84637822083"/>
    <n v="90323.05"/>
    <n v="1145106.1990829632"/>
    <n v="8211.1863636363632"/>
    <n v="3.5553086419753086"/>
    <n v="101.37267115600449"/>
    <n v="74.357545394997601"/>
    <n v="116678.455"/>
    <n v="59.399551066217725"/>
    <n v="1.2917904676602483"/>
    <m/>
    <s v="AUTOMATICA"/>
    <n v="-204"/>
    <n v="-622.94999999999709"/>
    <n v="1.5549999999999997"/>
    <n v="1.1400000000000006"/>
    <s v="ALFONSO GRUNAUER"/>
    <s v="TA 16"/>
  </r>
  <r>
    <d v="2026-02-22T00:00:00"/>
    <n v="153"/>
    <x v="0"/>
    <s v="AGUAJE 4"/>
    <x v="1"/>
    <s v="14"/>
    <x v="7"/>
    <n v="8.61"/>
    <s v="ASC-BAP"/>
    <n v="92"/>
    <d v="2025-11-22T00:00:00"/>
    <s v="DO PS 15"/>
    <n v="0.9"/>
    <n v="2"/>
    <n v="1489530"/>
    <n v="173000"/>
    <n v="17.3"/>
    <s v="GENESIS"/>
    <s v="TEXCUMAR"/>
    <s v="UNICO"/>
    <n v="28800"/>
    <n v="27892.86"/>
    <n v="22"/>
    <n v="23.22"/>
    <n v="3239.5888501742165"/>
    <n v="549573.52487922704"/>
    <n v="40670"/>
    <n v="41695.480000000003"/>
    <n v="43"/>
    <n v="42.06"/>
    <n v="4842.6806039488974"/>
    <n v="450065.33333333337"/>
    <n v="69588.34"/>
    <n v="999638.85821256042"/>
    <n v="8082.2694541231131"/>
    <n v="3.2002173913043479"/>
    <n v="87.850754936120794"/>
    <n v="67.111025505532652"/>
    <n v="97829.125"/>
    <n v="56.020552441549263"/>
    <n v="1.4058263927548782"/>
    <m/>
    <s v="AUTOMATICA"/>
    <n v="-907.13999999999942"/>
    <n v="1025.4800000000032"/>
    <n v="1.2199999999999989"/>
    <n v="-0.93999999999999773"/>
    <s v="JOSE CEDEÑO"/>
    <s v="DO 14"/>
  </r>
  <r>
    <d v="2026-02-23T00:00:00"/>
    <n v="154"/>
    <x v="0"/>
    <s v="AGUAJE 4"/>
    <x v="1"/>
    <s v="12"/>
    <x v="3"/>
    <n v="6.08"/>
    <s v="ASC"/>
    <n v="76"/>
    <d v="2025-12-09T00:00:00"/>
    <s v="CH 5"/>
    <n v="0.52"/>
    <n v="5"/>
    <n v="1094400"/>
    <n v="180000"/>
    <n v="18"/>
    <s v="EMPAGRAN"/>
    <s v="EMPAGRAN"/>
    <s v="UNICO"/>
    <n v="16650"/>
    <n v="17117.330000000002"/>
    <n v="23.25"/>
    <n v="20.73"/>
    <n v="2815.3503289473688"/>
    <n v="382195.08784752688"/>
    <n v="27500"/>
    <n v="28304.61"/>
    <n v="28"/>
    <n v="26.42"/>
    <n v="4655.363486842105"/>
    <n v="486385.04693414073"/>
    <n v="45421.94"/>
    <n v="868580.13478166761"/>
    <n v="7470.7138157894742"/>
    <n v="2.4334210526315792"/>
    <n v="98.298865997229925"/>
    <n v="79.365874888675762"/>
    <n v="63051.560000000005"/>
    <n v="61.894044321329638"/>
    <n v="1.3881300534499408"/>
    <m/>
    <s v="AUTOMATICA"/>
    <n v="467.33000000000175"/>
    <n v="804.61000000000058"/>
    <n v="-2.5199999999999996"/>
    <n v="-1.5799999999999983"/>
    <s v="SANTIAGO OBRIEN"/>
    <s v="CH 12"/>
  </r>
  <r>
    <d v="2026-02-23T00:00:00"/>
    <n v="155"/>
    <x v="0"/>
    <s v="AGUAJE 4"/>
    <x v="1"/>
    <s v="10"/>
    <x v="7"/>
    <n v="4.0199999999999996"/>
    <s v="ASC-BAP"/>
    <n v="89"/>
    <d v="2025-11-26T00:00:00"/>
    <s v="DO PC 0 - TU PC 7"/>
    <n v="0.99"/>
    <n v="7"/>
    <n v="793154"/>
    <n v="197301.99004975127"/>
    <n v="19.730199004975127"/>
    <s v="TECSERV/MAKROLAB"/>
    <s v="EMPAGRAN - SEMACUA/TEXCUMAR"/>
    <s v="COMBINADO"/>
    <n v="16900"/>
    <n v="15606.31"/>
    <n v="25"/>
    <n v="30.549999999999997"/>
    <n v="3882.166666666667"/>
    <n v="225208.26129321172"/>
    <n v="17550"/>
    <n v="18621.490000000002"/>
    <n v="35"/>
    <n v="39.32"/>
    <n v="4632.2114427860706"/>
    <n v="215009.0656154629"/>
    <n v="34227.800000000003"/>
    <n v="440217.32690867461"/>
    <n v="8514.3781094527385"/>
    <n v="3.0925842696629218"/>
    <n v="95.667169769131888"/>
    <n v="55.502125300846316"/>
    <n v="50099.535000000003"/>
    <n v="63.516686231762549"/>
    <n v="1.4637088857595288"/>
    <m/>
    <s v="AUTOMATICA"/>
    <n v="-1293.6900000000005"/>
    <n v="1071.4900000000016"/>
    <n v="5.5499999999999972"/>
    <n v="4.32"/>
    <s v="JOSE CEDEÑO"/>
    <s v="DO 10"/>
  </r>
  <r>
    <d v="2026-02-23T00:00:00"/>
    <n v="156"/>
    <x v="0"/>
    <s v="AGUAJE 4"/>
    <x v="1"/>
    <s v="01"/>
    <x v="0"/>
    <n v="4.8"/>
    <s v="CONVENCIONAL"/>
    <n v="66"/>
    <d v="2025-12-19T00:00:00"/>
    <s v="PR PS 01 CORRAL"/>
    <n v="0.5"/>
    <n v="36"/>
    <n v="960000"/>
    <n v="200000"/>
    <n v="20"/>
    <s v="GABSO"/>
    <s v="TEXCUMAR"/>
    <s v="UNICO"/>
    <n v="3600"/>
    <n v="4010.39"/>
    <n v="17"/>
    <n v="20.079999999999998"/>
    <n v="835.4979166666667"/>
    <n v="90673.160358565743"/>
    <n v="9900"/>
    <n v="10802.89"/>
    <n v="21"/>
    <n v="22.62"/>
    <n v="2250.6020833333332"/>
    <n v="216821.93015030943"/>
    <n v="14813.279999999999"/>
    <n v="307495.0905088752"/>
    <n v="3086.1"/>
    <n v="2.3990909090909089"/>
    <n v="46.759090909090908"/>
    <n v="32.030738594674503"/>
    <n v="32892.632000000005"/>
    <n v="47.095959595959606"/>
    <n v="2.2204827020079287"/>
    <m/>
    <s v="AUTOMATICA"/>
    <n v="410.38999999999987"/>
    <n v="902.88999999999942"/>
    <n v="3.0799999999999983"/>
    <n v="1.620000000000001"/>
    <s v="WILMER TORRES"/>
    <s v="PR 01"/>
  </r>
  <r>
    <d v="2026-02-23T00:00:00"/>
    <n v="157"/>
    <x v="0"/>
    <s v="AGUAJE 4"/>
    <x v="1"/>
    <s v="13"/>
    <x v="4"/>
    <n v="9.18"/>
    <s v="CONVENCIONAL"/>
    <n v="73"/>
    <d v="2025-12-12T00:00:00"/>
    <s v="DE 14"/>
    <n v="0.7"/>
    <n v="7"/>
    <n v="1377000"/>
    <n v="150000"/>
    <n v="15"/>
    <s v="GENESIS"/>
    <s v="TEXCUMAR"/>
    <s v="UNICO"/>
    <n v="10000"/>
    <n v="9683.18"/>
    <n v="22"/>
    <n v="24"/>
    <n v="1054.8126361655775"/>
    <n v="183173.48833333331"/>
    <n v="6600"/>
    <n v="7184.71"/>
    <n v="30"/>
    <n v="28.18"/>
    <n v="782.64814814814815"/>
    <n v="115750.82824698367"/>
    <n v="16867.89"/>
    <n v="298924.31658031698"/>
    <n v="1837.4607843137255"/>
    <n v="2.7021917808219178"/>
    <n v="25.170695675530485"/>
    <n v="21.708374479325851"/>
    <n v="73413.180000000008"/>
    <n v="49.691109320440503"/>
    <n v="4.3522444123123885"/>
    <m/>
    <s v="AUTOMATICA"/>
    <n v="-316.81999999999971"/>
    <n v="584.71"/>
    <n v="2"/>
    <n v="-1.8200000000000003"/>
    <s v="CARLOS FLORES"/>
    <s v="DE 13"/>
  </r>
  <r>
    <d v="2026-02-24T00:00:00"/>
    <n v="158"/>
    <x v="0"/>
    <s v="AGUAJE 4"/>
    <x v="1"/>
    <s v="16"/>
    <x v="7"/>
    <n v="4.74"/>
    <s v="ASC-BAP"/>
    <n v="91"/>
    <d v="2025-11-25T00:00:00"/>
    <s v="DO PS 15 - TU PC 7"/>
    <n v="0.92"/>
    <n v="2"/>
    <n v="938453"/>
    <n v="197985.86497890294"/>
    <n v="19.798586497890295"/>
    <s v="GENESIS/MAKROLAB"/>
    <s v="TEXCUMAR"/>
    <s v="COMBINADO"/>
    <n v="20300"/>
    <n v="18271.05"/>
    <n v="22.25"/>
    <n v="22.14"/>
    <n v="3854.6518987341769"/>
    <n v="386218.34315677884"/>
    <n v="22900"/>
    <n v="22909.11"/>
    <n v="36"/>
    <n v="37.24"/>
    <n v="4833.1455696202529"/>
    <n v="279289.36466165411"/>
    <n v="41180.160000000003"/>
    <n v="665507.70781843294"/>
    <n v="8687.7974683544307"/>
    <n v="2.8646153846153846"/>
    <n v="95.470301850048685"/>
    <n v="70.915400965038515"/>
    <n v="64705.01"/>
    <n v="68.043770575416147"/>
    <n v="1.5712666002269053"/>
    <m/>
    <s v="AUTOMATICA"/>
    <n v="-2028.9500000000007"/>
    <n v="9.1100000000005821"/>
    <n v="-0.10999999999999943"/>
    <n v="1.240000000000002"/>
    <s v="JOSE CEDEÑO"/>
    <s v="DO 16"/>
  </r>
  <r>
    <d v="2026-02-25T00:00:00"/>
    <n v="159"/>
    <x v="0"/>
    <s v="AGUAJE 4"/>
    <x v="1"/>
    <s v="12"/>
    <x v="4"/>
    <n v="8.77"/>
    <s v="CONVENCIONAL"/>
    <n v="75"/>
    <d v="2025-12-12T00:00:00"/>
    <s v="DE PS 11"/>
    <n v="1.7"/>
    <n v="5"/>
    <n v="1315500"/>
    <n v="150000"/>
    <n v="15"/>
    <s v="PRONAUPLIO"/>
    <s v="EMPAGRAN"/>
    <s v="UNICO"/>
    <n v="21000"/>
    <n v="19267.45"/>
    <n v="26.5"/>
    <n v="26.490000000000002"/>
    <n v="2196.9726339794756"/>
    <n v="310260.04028580326"/>
    <n v="500"/>
    <n v="333.74"/>
    <n v="32"/>
    <n v="32.89"/>
    <n v="38.054732041049036"/>
    <n v="4606.8093645484951"/>
    <n v="19601.190000000002"/>
    <n v="314866.84965035174"/>
    <n v="2235.0273660205248"/>
    <n v="3.0697333333333336"/>
    <n v="29.800364880273666"/>
    <n v="23.935146305613966"/>
    <n v="72035.305000000008"/>
    <n v="49.676928924363366"/>
    <n v="3.6750475353792296"/>
    <m/>
    <s v="AUTOMATICA"/>
    <n v="-1732.5499999999993"/>
    <n v="-166.26"/>
    <n v="-9.9999999999980105E-3"/>
    <n v="0.89000000000000057"/>
    <s v="CARLOS FLORES"/>
    <s v="DE 12"/>
  </r>
  <r>
    <d v="2026-02-27T00:00:00"/>
    <n v="160"/>
    <x v="0"/>
    <s v="AGUAJE 4"/>
    <x v="1"/>
    <s v="10"/>
    <x v="9"/>
    <n v="3.57"/>
    <s v="ASC-BAP"/>
    <n v="82"/>
    <d v="2025-12-07T00:00:00"/>
    <s v="CA 1B"/>
    <n v="0.66"/>
    <n v="9"/>
    <n v="606900"/>
    <n v="170000"/>
    <n v="17"/>
    <s v="EMPAGRAN"/>
    <s v="EMPAGRAN"/>
    <s v="UNICO"/>
    <n v="8150"/>
    <n v="9425.2799999999988"/>
    <n v="21"/>
    <n v="21.619999999999997"/>
    <n v="2640.1344537815125"/>
    <n v="195356.17330161852"/>
    <n v="20600"/>
    <n v="22412.07"/>
    <n v="38"/>
    <n v="39.1"/>
    <n v="6277.8907563025214"/>
    <n v="260232.21943734013"/>
    <n v="31837.35"/>
    <n v="455588.39273895865"/>
    <n v="8918.0252100840335"/>
    <n v="3.337804878048781"/>
    <n v="108.7564050010248"/>
    <n v="75.068115462013282"/>
    <n v="40939.421999999999"/>
    <n v="63.435130149620832"/>
    <n v="1.2858928899547231"/>
    <m/>
    <s v="AUTOMATICA"/>
    <n v="1275.2799999999988"/>
    <n v="1812.0699999999997"/>
    <n v="0.61999999999999744"/>
    <n v="1.1000000000000014"/>
    <s v="VICTOR QUINTANA"/>
    <s v="RO 10"/>
  </r>
  <r>
    <d v="2026-02-28T00:00:00"/>
    <n v="161"/>
    <x v="0"/>
    <s v="AGUAJE 5"/>
    <x v="1"/>
    <s v="21"/>
    <x v="6"/>
    <n v="4.5"/>
    <s v="CONVENCIONAL"/>
    <n v="37"/>
    <d v="2026-01-22T00:00:00"/>
    <s v="WA PS 18"/>
    <n v="1.1399999999999999"/>
    <n v="66"/>
    <n v="540000"/>
    <n v="120000"/>
    <n v="12"/>
    <s v="TECSERV"/>
    <s v="SEMACUA"/>
    <s v="UNICO"/>
    <n v="850"/>
    <n v="881.69"/>
    <n v="19"/>
    <n v="21.12"/>
    <n v="195.93111111111114"/>
    <n v="18952.995265151516"/>
    <n v="5600"/>
    <n v="6384.04"/>
    <n v="19"/>
    <n v="21.5"/>
    <n v="1418.6755555555555"/>
    <n v="134807.17023255816"/>
    <n v="7265.73"/>
    <n v="153760.16549770968"/>
    <n v="1614.6066666666666"/>
    <n v="4.0675675675675675"/>
    <n v="43.638018018018016"/>
    <n v="28.474104721798088"/>
    <n v="7627.9160000000002"/>
    <n v="20.780780780780781"/>
    <n v="1.0498485355222393"/>
    <m/>
    <s v="AUTOMATICA"/>
    <n v="31.690000000000055"/>
    <n v="784.04"/>
    <n v="2.120000000000001"/>
    <n v="2.5"/>
    <s v="JUNIOR ESQUIVEL"/>
    <s v="WA 21"/>
  </r>
  <r>
    <d v="2026-03-02T00:00:00"/>
    <n v="162"/>
    <x v="0"/>
    <s v="AGUAJE 5"/>
    <x v="2"/>
    <s v="10"/>
    <x v="1"/>
    <n v="6.71"/>
    <s v="ASC-BAP"/>
    <n v="86"/>
    <d v="2025-12-06T00:00:00"/>
    <s v="TI 30 - TA 1"/>
    <n v="0.26"/>
    <n v="7"/>
    <n v="1241350"/>
    <n v="185000"/>
    <n v="18.5"/>
    <s v="MAKROLAB"/>
    <s v="TEXCUMAR"/>
    <s v="UNICO"/>
    <n v="19850"/>
    <n v="20470.53"/>
    <n v="22.5"/>
    <n v="24.05"/>
    <n v="3050.7496274217583"/>
    <n v="387413.55946338282"/>
    <n v="41600"/>
    <n v="46193.48"/>
    <n v="34.5"/>
    <n v="35.14"/>
    <n v="6884.2742175856938"/>
    <n v="596808.19351166766"/>
    <n v="66664.010000000009"/>
    <n v="984221.75297505048"/>
    <n v="9935.0238450074521"/>
    <n v="2.8602325581395349"/>
    <n v="115.523533081482"/>
    <n v="79.286402140818495"/>
    <n v="89275.277000000002"/>
    <n v="70.174678542959143"/>
    <n v="1.3391825214234785"/>
    <m/>
    <s v="AUTOMATICA"/>
    <n v="620.52999999999884"/>
    <n v="4593.4800000000032"/>
    <n v="1.5500000000000007"/>
    <n v="0.64000000000000057"/>
    <s v="ALFONSO GRUNAUER"/>
    <s v="TI 10"/>
  </r>
  <r>
    <d v="2026-03-03T00:00:00"/>
    <n v="163"/>
    <x v="0"/>
    <s v="AGUAJE 5"/>
    <x v="2"/>
    <s v="19"/>
    <x v="8"/>
    <n v="5.5"/>
    <s v="ASC-BAP"/>
    <n v="88"/>
    <d v="2025-12-05T00:00:00"/>
    <s v="PA PS 13"/>
    <n v="0.23"/>
    <n v="30"/>
    <n v="770000"/>
    <n v="140000"/>
    <n v="14"/>
    <s v="DEONES"/>
    <s v="TEXCUMAR"/>
    <s v="UNICO"/>
    <n v="9900"/>
    <n v="9691.3799999999992"/>
    <n v="20"/>
    <n v="22.85"/>
    <n v="1762.0690909090908"/>
    <n v="180932.71296880083"/>
    <n v="18000"/>
    <n v="19112.740000000002"/>
    <n v="30"/>
    <n v="31.85"/>
    <n v="3475.0436363636368"/>
    <n v="272439.0568288854"/>
    <n v="28804.120000000003"/>
    <n v="453371.76979768625"/>
    <n v="5237.1127272727281"/>
    <n v="2.5335227272727274"/>
    <n v="59.512644628099181"/>
    <n v="58.879450623076139"/>
    <n v="46957.98"/>
    <n v="44.008264462809912"/>
    <n v="1.6302522000324953"/>
    <m/>
    <s v="AUTOMATICA"/>
    <n v="-208.6200000000008"/>
    <n v="1112.7400000000016"/>
    <n v="2.8500000000000014"/>
    <n v="1.8500000000000014"/>
    <s v="GUSTAVO CARRASCO"/>
    <s v="PA 19"/>
  </r>
  <r>
    <d v="2026-03-03T00:00:00"/>
    <n v="164"/>
    <x v="0"/>
    <s v="AGUAJE 5"/>
    <x v="2"/>
    <s v="03"/>
    <x v="7"/>
    <n v="4.24"/>
    <s v="ASC-BAP"/>
    <n v="66"/>
    <d v="2025-12-27T00:00:00"/>
    <s v="DO PS2"/>
    <n v="6.21"/>
    <n v="1"/>
    <n v="551207"/>
    <n v="130001.65094339622"/>
    <n v="13.000165094339621"/>
    <s v="EMPAGRAN"/>
    <s v="EMPAGRAN"/>
    <s v="UNICO"/>
    <n v="7800"/>
    <n v="6992.25"/>
    <n v="22"/>
    <n v="28.72"/>
    <n v="1649.1155660377358"/>
    <n v="110532.0856545961"/>
    <n v="19000"/>
    <n v="17922.189999999999"/>
    <n v="35"/>
    <n v="34.56"/>
    <n v="4226.9316037735844"/>
    <n v="235436.17650462961"/>
    <n v="24914.44"/>
    <n v="345968.26215922571"/>
    <n v="5876.0471698113206"/>
    <n v="3.6654545454545455"/>
    <n v="89.031017724413942"/>
    <n v="62.765578477636474"/>
    <n v="36761.705000000002"/>
    <n v="59.587621497998853"/>
    <n v="1.4755180128471683"/>
    <m/>
    <s v="AUTOMATICA"/>
    <n v="-807.75"/>
    <n v="-1077.8100000000013"/>
    <n v="6.7199999999999989"/>
    <n v="-0.43999999999999773"/>
    <s v="JOSE CEDEÑO"/>
    <s v="DO 03"/>
  </r>
  <r>
    <d v="2026-03-03T00:00:00"/>
    <n v="165"/>
    <x v="0"/>
    <s v="AGUAJE 5"/>
    <x v="2"/>
    <s v="12"/>
    <x v="0"/>
    <n v="3.4"/>
    <s v="CONVENCIONAL"/>
    <n v="74"/>
    <d v="2025-12-19T00:00:00"/>
    <s v="PR PS 12"/>
    <n v="0.5"/>
    <n v="34"/>
    <n v="680000"/>
    <n v="200000"/>
    <n v="20"/>
    <s v="GABSO"/>
    <s v="TEXCUMAR"/>
    <s v="UNICO"/>
    <n v="3200"/>
    <n v="3510.62"/>
    <n v="16"/>
    <n v="18.079999999999998"/>
    <n v="1032.535294117647"/>
    <n v="88153.842920353985"/>
    <n v="8000"/>
    <n v="9161.1"/>
    <n v="22"/>
    <n v="24.58"/>
    <n v="2694.4411764705883"/>
    <n v="169208.27502034177"/>
    <n v="12671.720000000001"/>
    <n v="257362.11794069575"/>
    <n v="3726.9764705882358"/>
    <n v="2.325135135135135"/>
    <n v="50.364546899841024"/>
    <n v="37.847370285396437"/>
    <n v="26003.257000000001"/>
    <n v="46.879968203497612"/>
    <n v="2.0520700425830114"/>
    <m/>
    <s v="AUTOMATICA"/>
    <n v="310.61999999999989"/>
    <n v="1161.1000000000004"/>
    <n v="2.0799999999999983"/>
    <n v="2.5799999999999983"/>
    <s v="WILMER TORRES"/>
    <s v="PR 12"/>
  </r>
  <r>
    <d v="2026-03-04T00:00:00"/>
    <n v="166"/>
    <x v="0"/>
    <s v="AGUAJE 5"/>
    <x v="2"/>
    <s v="16"/>
    <x v="5"/>
    <n v="4.7"/>
    <s v="CONVENCIONAL"/>
    <n v="97"/>
    <d v="2025-11-27T00:00:00"/>
    <s v="ME 12 - 8"/>
    <n v="0.32500000000000001"/>
    <n v="4"/>
    <n v="658000"/>
    <n v="140000"/>
    <n v="14"/>
    <s v="GENESIS"/>
    <s v="TEXCUMAR"/>
    <s v="UNICO"/>
    <n v="16100"/>
    <n v="16389.47"/>
    <n v="24.5"/>
    <n v="26.905000000000001"/>
    <n v="3487.1212765957448"/>
    <n v="314676.6724935493"/>
    <n v="24700"/>
    <n v="23653.5"/>
    <n v="38"/>
    <n v="40.1"/>
    <n v="5032.6595744680853"/>
    <n v="267797.73067331669"/>
    <n v="40042.97"/>
    <n v="582474.40316686593"/>
    <n v="8519.7808510638297"/>
    <n v="2.8938144329896907"/>
    <n v="87.832792279008558"/>
    <n v="88.521945770040418"/>
    <n v="61949.26"/>
    <n v="61.636323755209474"/>
    <n v="1.5470695605246065"/>
    <m/>
    <s v="AUTOMATICA"/>
    <n v="289.47000000000116"/>
    <n v="-1046.5"/>
    <n v="2.4050000000000011"/>
    <n v="2.1000000000000014"/>
    <s v="NESTOR MOGOLLON"/>
    <s v="ME 16"/>
  </r>
  <r>
    <d v="2026-03-04T00:00:00"/>
    <n v="167"/>
    <x v="0"/>
    <s v="AGUAJE 5"/>
    <x v="2"/>
    <s v="02"/>
    <x v="8"/>
    <n v="2.65"/>
    <s v="ASC-BAP"/>
    <n v="74"/>
    <d v="2025-12-20T00:00:00"/>
    <s v="MA PC 12"/>
    <n v="0.9"/>
    <n v="4"/>
    <n v="397500"/>
    <n v="150000"/>
    <n v="15"/>
    <s v="TECSERV"/>
    <s v="TEXCUMAR"/>
    <s v="UNICO"/>
    <n v="5400"/>
    <n v="5334.34"/>
    <n v="22.5"/>
    <n v="23.86"/>
    <n v="2012.9584905660379"/>
    <n v="101264.1003767467"/>
    <n v="10400"/>
    <n v="10278.620000000001"/>
    <n v="37"/>
    <n v="36.9"/>
    <n v="3878.7245283018874"/>
    <n v="126463.23794037942"/>
    <n v="15612.960000000001"/>
    <n v="227727.33831712612"/>
    <n v="5891.6830188679251"/>
    <n v="3.4905405405405405"/>
    <n v="79.617338092809803"/>
    <n v="57.289896431981411"/>
    <n v="19510.710000000003"/>
    <n v="45.130035696073435"/>
    <n v="1.2496483690472531"/>
    <m/>
    <s v="AUTOMATICA"/>
    <n v="-65.659999999999854"/>
    <n v="-121.3799999999992"/>
    <n v="1.3599999999999994"/>
    <n v="-0.10000000000000142"/>
    <s v="GUSTAVO CARRASCO"/>
    <s v="PA 02"/>
  </r>
  <r>
    <d v="2026-03-05T00:00:00"/>
    <n v="168"/>
    <x v="0"/>
    <s v="AGUAJE 5"/>
    <x v="2"/>
    <s v="04"/>
    <x v="9"/>
    <n v="25.38"/>
    <s v="ASC-BAP"/>
    <n v="83"/>
    <d v="2025-12-12T00:00:00"/>
    <s v="RO PC 2 - 16"/>
    <n v="0.54"/>
    <n v="6"/>
    <n v="4010040"/>
    <n v="158000"/>
    <n v="15.8"/>
    <s v="GRILSAN"/>
    <s v="AQUAGEN"/>
    <s v="UNICO"/>
    <n v="20200"/>
    <n v="19166.28"/>
    <n v="18"/>
    <n v="20.28"/>
    <n v="755.17257683215132"/>
    <n v="429067.60946745554"/>
    <n v="108600"/>
    <n v="116887.2"/>
    <n v="42"/>
    <n v="42.49"/>
    <n v="4605.4846335697403"/>
    <n v="1248924.1892209931"/>
    <n v="136053.47999999998"/>
    <n v="1677991.7986884485"/>
    <n v="5360.6572104018906"/>
    <n v="3.5834939759036146"/>
    <n v="64.586231450625192"/>
    <n v="41.844764608045018"/>
    <n v="198033.7065"/>
    <n v="42.642200005696552"/>
    <n v="1.4555578181462174"/>
    <m/>
    <m/>
    <n v="-1033.7200000000012"/>
    <n v="8287.1999999999971"/>
    <n v="2.2800000000000011"/>
    <n v="0.49000000000000199"/>
    <s v="VICTOR QUINTANA"/>
    <s v="RO 04"/>
  </r>
  <r>
    <d v="2026-03-05T00:00:00"/>
    <n v="169"/>
    <x v="0"/>
    <s v="AGUAJE 5"/>
    <x v="2"/>
    <s v="04"/>
    <x v="4"/>
    <n v="7.76"/>
    <s v="CONVENCIONAL"/>
    <n v="85"/>
    <d v="2025-12-10T00:00:00"/>
    <s v="DE 02"/>
    <n v="0.6"/>
    <n v="3"/>
    <n v="1241600"/>
    <n v="160000"/>
    <n v="16"/>
    <s v="EMPAGRAN"/>
    <s v="EMPAGRAN"/>
    <s v="UNICO"/>
    <n v="14200"/>
    <n v="13731.2"/>
    <n v="23"/>
    <n v="23.34"/>
    <n v="1769.4845360824743"/>
    <n v="294231.66519328317"/>
    <n v="6100"/>
    <n v="6201.78"/>
    <n v="31"/>
    <n v="31.32"/>
    <n v="799.19845360824741"/>
    <n v="89898.088122605361"/>
    <n v="19932.98"/>
    <n v="384129.75331588852"/>
    <n v="2568.6829896907216"/>
    <n v="2.5792941176470587"/>
    <n v="30.219799878714372"/>
    <n v="30.93828554412762"/>
    <n v="75728.010000000009"/>
    <n v="52.077016373559736"/>
    <n v="3.7991313892854963"/>
    <m/>
    <s v="AUTOMATICA"/>
    <n v="-468.79999999999927"/>
    <n v="101.77999999999975"/>
    <n v="0.33999999999999986"/>
    <n v="0.32000000000000028"/>
    <s v="CARLOS FLORES"/>
    <s v="DE 04"/>
  </r>
  <r>
    <d v="2026-03-06T00:00:00"/>
    <n v="170"/>
    <x v="0"/>
    <s v="AGUAJE 5"/>
    <x v="2"/>
    <s v="11"/>
    <x v="5"/>
    <n v="3"/>
    <s v="CONVENCIONAL"/>
    <n v="94"/>
    <d v="2025-12-02T00:00:00"/>
    <s v="ME 8"/>
    <n v="0.15"/>
    <n v="8"/>
    <n v="480000"/>
    <n v="160000"/>
    <n v="16"/>
    <s v="GENESIS"/>
    <s v="TEXCUMAR"/>
    <s v="UNICO"/>
    <n v="11200"/>
    <n v="10649.05"/>
    <n v="25"/>
    <n v="24.43"/>
    <n v="3549.6833333333329"/>
    <n v="200759.10304052447"/>
    <n v="14800"/>
    <n v="15970.98"/>
    <n v="33"/>
    <n v="33.520000000000003"/>
    <n v="5323.66"/>
    <n v="216313.39260143196"/>
    <n v="26620.03"/>
    <n v="417072.49564195646"/>
    <n v="8873.3433333333323"/>
    <n v="2.4961702127659575"/>
    <n v="94.397269503546084"/>
    <n v="86.890103258740922"/>
    <n v="39820.587500000001"/>
    <n v="64.051418439716315"/>
    <n v="1.4958881526429535"/>
    <m/>
    <s v="AUTOMATICA"/>
    <n v="-550.95000000000073"/>
    <n v="1170.9799999999996"/>
    <n v="-0.57000000000000028"/>
    <n v="0.52000000000000313"/>
    <s v="NESTOR MOGOLLON"/>
    <s v="ME 11"/>
  </r>
  <r>
    <d v="2026-03-06T00:00:00"/>
    <n v="171"/>
    <x v="0"/>
    <s v="AGUAJE 5"/>
    <x v="2"/>
    <s v="17"/>
    <x v="7"/>
    <n v="5.01"/>
    <s v="ASC-BAP"/>
    <n v="82"/>
    <d v="2025-12-14T00:00:00"/>
    <s v="DO PC 2 - TU PC 7"/>
    <n v="0.65"/>
    <n v="8"/>
    <n v="932312"/>
    <n v="186090.21956087826"/>
    <n v="18.609021956087826"/>
    <s v="MAKROLAB/ACUATECSA"/>
    <s v="TEXCUMAR"/>
    <s v="COMBINADO"/>
    <n v="19400"/>
    <n v="18431.77"/>
    <n v="21.5"/>
    <n v="23.240000000000002"/>
    <n v="3678.9960079840321"/>
    <n v="363521.22560790624"/>
    <n v="19800"/>
    <n v="19764.400000000001"/>
    <n v="35"/>
    <n v="36.29"/>
    <n v="3944.9900199600802"/>
    <n v="247259.23394874626"/>
    <n v="38196.17"/>
    <n v="610780.45955665247"/>
    <n v="7623.9860279441118"/>
    <n v="3.0979268292682929"/>
    <n v="92.975439365172093"/>
    <n v="65.512452865205262"/>
    <n v="56437.760000000002"/>
    <n v="62.314395599045817"/>
    <n v="1.4775764166930874"/>
    <m/>
    <s v="AUTOMATICA"/>
    <n v="-968.22999999999956"/>
    <n v="-35.599999999998545"/>
    <n v="1.740000000000002"/>
    <n v="1.2899999999999991"/>
    <s v="JOSE CEDEÑO"/>
    <s v="DO 17"/>
  </r>
  <r>
    <d v="2026-03-07T00:00:00"/>
    <n v="172"/>
    <x v="0"/>
    <s v="AGUAJE 5"/>
    <x v="2"/>
    <s v="10"/>
    <x v="14"/>
    <n v="11.52"/>
    <s v="ASC-BAP"/>
    <n v="90"/>
    <d v="2025-12-07T00:00:00"/>
    <s v="MA PC 8"/>
    <n v="0.96"/>
    <n v="11"/>
    <n v="1498125"/>
    <n v="130045.57291666667"/>
    <n v="13.004557291666668"/>
    <s v="GENESIS"/>
    <s v="TEXCUMAR"/>
    <s v="UNICO"/>
    <n v="38200"/>
    <n v="37348.160000000003"/>
    <n v="25"/>
    <n v="26.953333333333337"/>
    <n v="3242.0277777777783"/>
    <n v="644011.56244667061"/>
    <n v="33200"/>
    <n v="32538.240000000002"/>
    <n v="33"/>
    <n v="37.4"/>
    <n v="2824.5000000000005"/>
    <n v="394982.91336898401"/>
    <n v="69886.400000000009"/>
    <n v="1038994.4758156546"/>
    <n v="6066.5277777777792"/>
    <n v="2.9088888888888889"/>
    <n v="67.405864197530875"/>
    <n v="69.352989624741241"/>
    <n v="99813.264999999999"/>
    <n v="43.668016975308646"/>
    <n v="1.4282215853155977"/>
    <m/>
    <m/>
    <n v="-851.83999999999651"/>
    <n v="-661.7599999999984"/>
    <n v="1.9533333333333367"/>
    <n v="4.3999999999999986"/>
    <s v="GUSTAVO CARRASCO"/>
    <s v="MA 10"/>
  </r>
  <r>
    <d v="2026-03-07T00:00:00"/>
    <n v="173"/>
    <x v="0"/>
    <s v="AGUAJE 5"/>
    <x v="2"/>
    <s v="18"/>
    <x v="4"/>
    <n v="5.94"/>
    <s v="CONVENCIONAL"/>
    <n v="85"/>
    <d v="2025-12-12T00:00:00"/>
    <s v="DE 17"/>
    <n v="0.65"/>
    <n v="8"/>
    <n v="950400"/>
    <n v="160000"/>
    <n v="16"/>
    <s v="DEONES"/>
    <s v="TEXCUMAR"/>
    <s v="UNICO"/>
    <n v="12000"/>
    <n v="11134.78"/>
    <n v="22.5"/>
    <n v="25.324999999999999"/>
    <n v="1874.5420875420875"/>
    <n v="207808.80005665054"/>
    <n v="8800"/>
    <n v="9625.7800000000007"/>
    <n v="35"/>
    <n v="39.5"/>
    <n v="1620.5016835016836"/>
    <n v="110635.54734177215"/>
    <n v="20760.560000000001"/>
    <n v="318444.34739842266"/>
    <n v="3495.0437710437709"/>
    <n v="3.2529411764705882"/>
    <n v="41.118162012279655"/>
    <n v="33.506349684177465"/>
    <n v="67405.645000000004"/>
    <n v="60.556545850663497"/>
    <n v="3.2468124655596959"/>
    <m/>
    <s v="AUTOMATICA"/>
    <n v="-865.21999999999935"/>
    <n v="825.78000000000065"/>
    <n v="2.8249999999999993"/>
    <n v="4.5"/>
    <s v="CARLOS FLORES"/>
    <s v="DE 18"/>
  </r>
  <r>
    <d v="2026-03-08T00:00:00"/>
    <n v="174"/>
    <x v="0"/>
    <s v="AGUAJE 5"/>
    <x v="2"/>
    <s v="19"/>
    <x v="3"/>
    <n v="10"/>
    <s v="ASC"/>
    <n v="78"/>
    <d v="2025-12-20T00:00:00"/>
    <s v="CH PS 17"/>
    <n v="0.55000000000000004"/>
    <n v="6"/>
    <n v="1750000"/>
    <n v="175000"/>
    <n v="17.5"/>
    <s v="EMPAGRAN"/>
    <s v="EMPAGRAN"/>
    <s v="UNICO"/>
    <n v="23200"/>
    <n v="24852.879999999997"/>
    <n v="22"/>
    <n v="22.33"/>
    <n v="2485.2879999999996"/>
    <n v="520892.40636338835"/>
    <n v="46800"/>
    <n v="46931.54"/>
    <n v="32"/>
    <n v="29.8"/>
    <n v="4693.1540000000005"/>
    <n v="714997.28724832216"/>
    <n v="71784.42"/>
    <n v="1235889.6936117106"/>
    <n v="7178.442"/>
    <n v="2.6743589743589746"/>
    <n v="92.031307692307692"/>
    <n v="70.622268206383467"/>
    <n v="98435.39"/>
    <n v="57.243589743589745"/>
    <n v="1.3712639873666179"/>
    <m/>
    <s v="AUTOMATICA"/>
    <n v="1652.8799999999974"/>
    <n v="131.54000000000087"/>
    <n v="0.32999999999999829"/>
    <n v="-2.1999999999999993"/>
    <s v="SANTIAGO OBRIEN"/>
    <s v="CH 19"/>
  </r>
  <r>
    <d v="2026-03-08T00:00:00"/>
    <n v="175"/>
    <x v="0"/>
    <s v="AGUAJE 5"/>
    <x v="2"/>
    <s v="15"/>
    <x v="4"/>
    <n v="7.5"/>
    <s v="CONVENCIONAL"/>
    <n v="56"/>
    <d v="2026-01-11T00:00:00"/>
    <s v="DE PS 14"/>
    <n v="3.5"/>
    <n v="3"/>
    <n v="900000"/>
    <n v="120000"/>
    <n v="12"/>
    <s v="EMPAGRAN"/>
    <s v="EMPAGRAN"/>
    <s v="UNICO"/>
    <n v="10000"/>
    <n v="9994.7999999999993"/>
    <n v="23"/>
    <n v="25.16"/>
    <n v="1332.6399999999999"/>
    <n v="180351.31955484895"/>
    <n v="5100"/>
    <n v="4949.3900000000003"/>
    <n v="30"/>
    <n v="33.130000000000003"/>
    <n v="659.9186666666667"/>
    <n v="67824.420766676718"/>
    <n v="14944.189999999999"/>
    <n v="248175.74032152566"/>
    <n v="1992.5586666666666"/>
    <n v="4.1412500000000003"/>
    <n v="35.581404761904757"/>
    <n v="27.575082257947297"/>
    <n v="57760.520000000004"/>
    <n v="62.380952380952387"/>
    <n v="3.8650820151510392"/>
    <m/>
    <s v="AUTOMATICA"/>
    <n v="-5.2000000000007276"/>
    <n v="-150.60999999999967"/>
    <n v="2.16"/>
    <n v="3.1300000000000026"/>
    <s v="CARLOS FLORES"/>
    <s v="DE 15"/>
  </r>
  <r>
    <d v="2026-03-08T00:00:00"/>
    <n v="176"/>
    <x v="0"/>
    <s v="AGUAJE 5"/>
    <x v="2"/>
    <s v="01"/>
    <x v="7"/>
    <n v="4.5999999999999996"/>
    <s v="ASC-BAP"/>
    <n v="76"/>
    <d v="2025-12-22T00:00:00"/>
    <s v="DO PS 2"/>
    <n v="6.7"/>
    <n v="6"/>
    <n v="691135"/>
    <n v="150246.73913043478"/>
    <n v="15.024673913043479"/>
    <s v="EMPAGRAN"/>
    <s v="EMPAGRAN"/>
    <s v="UNICO"/>
    <n v="15350"/>
    <n v="14570.51"/>
    <n v="24.5"/>
    <n v="26.35"/>
    <n v="3167.5021739130439"/>
    <n v="266736.1098913665"/>
    <n v="16000"/>
    <n v="17168.09"/>
    <n v="45"/>
    <n v="40.08"/>
    <n v="3732.1934782608701"/>
    <n v="194468.88373253495"/>
    <n v="31738.6"/>
    <n v="461204.99362390145"/>
    <n v="6899.695652173913"/>
    <n v="3.6915789473684208"/>
    <n v="90.785469107551492"/>
    <n v="66.731534884487317"/>
    <n v="48887.005000000005"/>
    <n v="63.429633867276891"/>
    <n v="1.5403012420207574"/>
    <m/>
    <s v="AUTOMATICA"/>
    <n v="-779.48999999999978"/>
    <n v="1168.0900000000001"/>
    <n v="1.8500000000000014"/>
    <n v="-4.9200000000000017"/>
    <s v="JOSE CEDEÑO"/>
    <s v="DO 01"/>
  </r>
  <r>
    <d v="2026-03-08T00:00:00"/>
    <n v="177"/>
    <x v="0"/>
    <s v="AGUAJE 5"/>
    <x v="2"/>
    <s v="01"/>
    <x v="14"/>
    <n v="8.9"/>
    <s v="ASC-BAP"/>
    <n v="93"/>
    <d v="2025-12-05T00:00:00"/>
    <s v="PA PS13"/>
    <n v="0.22"/>
    <n v="14"/>
    <n v="1289127"/>
    <n v="144845.73033707865"/>
    <n v="14.484573033707866"/>
    <s v="DEONES"/>
    <s v="TEXCUMAR"/>
    <s v="UNICO"/>
    <n v="26500"/>
    <n v="27075.879999999997"/>
    <n v="21"/>
    <n v="21.873333333333335"/>
    <n v="3042.2337078651681"/>
    <n v="567529.80574714136"/>
    <n v="30300"/>
    <n v="30368.45"/>
    <n v="32"/>
    <n v="33.54"/>
    <n v="3412.1853932584268"/>
    <n v="411069.65712581994"/>
    <n v="57444.33"/>
    <n v="978599.4628729613"/>
    <n v="6454.4191011235953"/>
    <n v="2.524516129032258"/>
    <n v="69.402355926060167"/>
    <n v="75.911796345353196"/>
    <n v="76499.62000000001"/>
    <n v="41.923402198864324"/>
    <n v="1.3317175080638943"/>
    <m/>
    <s v="AUTOMATICA"/>
    <n v="575.87999999999738"/>
    <n v="68.450000000000728"/>
    <n v="0.87333333333333485"/>
    <n v="1.5399999999999991"/>
    <s v="GUSTAVO CARRASCO"/>
    <s v="MA 01"/>
  </r>
  <r>
    <d v="2026-03-08T00:00:00"/>
    <n v="178"/>
    <x v="0"/>
    <s v="AGUAJE 5"/>
    <x v="2"/>
    <s v="07"/>
    <x v="0"/>
    <n v="4"/>
    <s v="CONVENCIONAL"/>
    <n v="70"/>
    <d v="2025-12-28T00:00:00"/>
    <s v="PR 1"/>
    <n v="0.55000000000000004"/>
    <n v="12"/>
    <n v="720000"/>
    <n v="180000"/>
    <n v="18"/>
    <s v="MEGALATINA"/>
    <s v="TEXCUMAR"/>
    <s v="UNICO"/>
    <n v="2900"/>
    <n v="2647.38"/>
    <n v="16"/>
    <n v="17.64"/>
    <n v="661.84500000000003"/>
    <n v="68135.517006802722"/>
    <n v="15800"/>
    <n v="18099.12"/>
    <n v="21"/>
    <n v="22.26"/>
    <n v="4524.78"/>
    <n v="369137.48787061992"/>
    <n v="20746.5"/>
    <n v="437273.00487742265"/>
    <n v="5186.625"/>
    <n v="2.226"/>
    <n v="74.094642857142858"/>
    <n v="60.732361788530923"/>
    <n v="30021.140500000001"/>
    <n v="48.633928571428569"/>
    <n v="1.4470460318607958"/>
    <m/>
    <s v="AUTOMATICA"/>
    <n v="-252.61999999999989"/>
    <n v="2299.119999999999"/>
    <n v="1.6400000000000006"/>
    <n v="1.2600000000000016"/>
    <s v="WILMER TORRES"/>
    <s v="PR 07"/>
  </r>
  <r>
    <d v="2026-03-09T00:00:00"/>
    <n v="179"/>
    <x v="0"/>
    <s v="AGUAJE 5"/>
    <x v="2"/>
    <s v="02"/>
    <x v="3"/>
    <n v="7.5"/>
    <s v="ASC"/>
    <n v="73"/>
    <d v="2025-12-26T00:00:00"/>
    <s v="CH PC 4 - 1"/>
    <n v="0.48"/>
    <n v="12"/>
    <n v="1170000"/>
    <n v="156000"/>
    <n v="15.6"/>
    <s v="ACUATECSA/NARIHUALA"/>
    <s v="TEXCUMAR"/>
    <s v="COMBINADO"/>
    <n v="9400"/>
    <n v="10985.09"/>
    <n v="21.5"/>
    <n v="20.85"/>
    <n v="1464.6786666666667"/>
    <n v="239195.72470023981"/>
    <n v="41000"/>
    <n v="40930.300000000003"/>
    <n v="29.2"/>
    <n v="29.02"/>
    <n v="5457.3733333333339"/>
    <n v="640329.29703652661"/>
    <n v="51915.39"/>
    <n v="879525.02173676644"/>
    <n v="6922.0519999999997"/>
    <n v="2.7827397260273972"/>
    <n v="94.822630136986291"/>
    <n v="75.173078780920207"/>
    <n v="69444.900000000009"/>
    <n v="57.534246575342479"/>
    <n v="1.3376553657788184"/>
    <m/>
    <s v="AUTOMATICA"/>
    <n v="1585.0900000000001"/>
    <n v="-69.69999999999709"/>
    <n v="-0.64999999999999858"/>
    <n v="-0.17999999999999972"/>
    <s v="SANTIAGO OBRIEN"/>
    <s v="CH 02"/>
  </r>
  <r>
    <d v="2026-03-09T00:00:00"/>
    <n v="180"/>
    <x v="0"/>
    <s v="AGUAJE 5"/>
    <x v="2"/>
    <s v="16"/>
    <x v="4"/>
    <n v="5.92"/>
    <s v="CONVENCIONAL"/>
    <n v="87"/>
    <d v="2025-12-12T00:00:00"/>
    <s v="DE 17"/>
    <n v="0.65"/>
    <n v="9"/>
    <n v="947200"/>
    <n v="160000"/>
    <n v="16"/>
    <s v="DEONES"/>
    <s v="TEXCUMAR"/>
    <s v="UNICO"/>
    <n v="12800"/>
    <n v="11780.76"/>
    <n v="27"/>
    <n v="28.006666666666671"/>
    <n v="1989.9932432432433"/>
    <n v="197176.91947448766"/>
    <n v="13000"/>
    <n v="12512.83"/>
    <n v="35"/>
    <n v="34.880000000000003"/>
    <n v="2113.6537162162163"/>
    <n v="162867.68405963303"/>
    <n v="24293.59"/>
    <n v="360044.60353412072"/>
    <n v="4103.6469594594591"/>
    <n v="2.8064367816091957"/>
    <n v="47.16835585585585"/>
    <n v="38.011465744734032"/>
    <n v="68728.404999999999"/>
    <n v="60.529279279279272"/>
    <n v="2.829075694452734"/>
    <m/>
    <s v="AUTOMATICA"/>
    <n v="-1019.2399999999998"/>
    <n v="-487.17000000000007"/>
    <n v="1.0066666666666713"/>
    <n v="-0.11999999999999744"/>
    <s v="CARLOS FLORES"/>
    <s v="DE 16"/>
  </r>
  <r>
    <d v="2026-03-09T00:00:00"/>
    <n v="181"/>
    <x v="0"/>
    <s v="AGUAJE 5"/>
    <x v="2"/>
    <s v="04"/>
    <x v="5"/>
    <n v="4.5"/>
    <s v="CONVENCIONAL"/>
    <n v="79"/>
    <d v="2025-12-20T00:00:00"/>
    <s v="ME PC 3"/>
    <n v="0.5"/>
    <n v="10"/>
    <n v="810000"/>
    <n v="180000"/>
    <n v="18"/>
    <s v="BIOLACAM"/>
    <s v="TEXCUMAR"/>
    <s v="UNICO"/>
    <n v="16000"/>
    <n v="14342.56"/>
    <n v="27"/>
    <n v="27.55"/>
    <n v="3187.2355555555555"/>
    <n v="240815.66730350466"/>
    <n v="21900"/>
    <n v="21600.5"/>
    <n v="40"/>
    <n v="39.5"/>
    <n v="4800.1111111111113"/>
    <n v="248269.03797468354"/>
    <n v="35943.06"/>
    <n v="489084.70527818822"/>
    <n v="7987.3466666666664"/>
    <n v="3.4999999999999996"/>
    <n v="101.10565400843882"/>
    <n v="60.380827812122007"/>
    <n v="52028.560000000005"/>
    <n v="66.385372714486635"/>
    <n v="1.4475272834310715"/>
    <m/>
    <m/>
    <n v="-1657.4400000000005"/>
    <n v="-299.5"/>
    <n v="0.55000000000000071"/>
    <n v="-0.5"/>
    <s v="NESTOR MOGOLLON"/>
    <s v="ME 04"/>
  </r>
  <r>
    <d v="2026-03-10T00:00:00"/>
    <n v="182"/>
    <x v="0"/>
    <s v="AGUAJE 5"/>
    <x v="2"/>
    <s v="20"/>
    <x v="0"/>
    <n v="4"/>
    <s v="CONVENCIONAL"/>
    <n v="72"/>
    <d v="2025-12-28T00:00:00"/>
    <s v="PR 4"/>
    <n v="0.45"/>
    <n v="13"/>
    <n v="720000"/>
    <n v="180000"/>
    <n v="18"/>
    <s v="AMBARTEK"/>
    <s v="TEXCUMAR"/>
    <s v="UNICO"/>
    <n v="3000"/>
    <n v="3049.34"/>
    <n v="15"/>
    <n v="16.02"/>
    <n v="762.33500000000004"/>
    <n v="86417.001248439454"/>
    <n v="11200"/>
    <n v="12005.44"/>
    <n v="25"/>
    <n v="23.94"/>
    <n v="3001.36"/>
    <n v="227672.08688387633"/>
    <n v="15054.78"/>
    <n v="314089.08813231578"/>
    <n v="3763.6950000000002"/>
    <n v="2.3275000000000001"/>
    <n v="52.273541666666667"/>
    <n v="43.623484462821636"/>
    <n v="25633.986500000003"/>
    <n v="40.373263888888886"/>
    <n v="1.7027141213621191"/>
    <m/>
    <m/>
    <n v="49.340000000000146"/>
    <n v="805.44000000000051"/>
    <n v="1.0199999999999996"/>
    <n v="-1.0599999999999987"/>
    <s v="WILMER TORRES"/>
    <s v="PR 20"/>
  </r>
  <r>
    <d v="2026-03-10T00:00:00"/>
    <n v="183"/>
    <x v="0"/>
    <s v="AGUAJE 5"/>
    <x v="2"/>
    <s v="08"/>
    <x v="4"/>
    <n v="8.15"/>
    <s v="CONVENCIONAL"/>
    <n v="83"/>
    <d v="2025-12-17T00:00:00"/>
    <s v="DE 4"/>
    <n v="0.32"/>
    <n v="6"/>
    <n v="1222500"/>
    <n v="150000"/>
    <n v="15"/>
    <s v="EMPAGRAN"/>
    <s v="EMPAGRAN"/>
    <s v="UNICO"/>
    <n v="1750"/>
    <n v="1888.03"/>
    <n v="19"/>
    <n v="21.2"/>
    <n v="231.66012269938648"/>
    <n v="40432.340566037739"/>
    <n v="36000"/>
    <n v="39026.97"/>
    <n v="32"/>
    <n v="34.409999999999997"/>
    <n v="4788.5852760736198"/>
    <n v="514915.55884917179"/>
    <n v="40915"/>
    <n v="555347.89941520954"/>
    <n v="5020.2453987730059"/>
    <n v="2.9020481927710837"/>
    <n v="60.484884322566337"/>
    <n v="45.427231036008955"/>
    <n v="76609.850000000006"/>
    <n v="51.371128686525239"/>
    <n v="1.8724147623121106"/>
    <m/>
    <m/>
    <n v="138.02999999999997"/>
    <n v="3026.9700000000012"/>
    <n v="2.1999999999999993"/>
    <n v="2.4099999999999966"/>
    <s v="CARLOS FLORES"/>
    <s v="DE 08"/>
  </r>
  <r>
    <d v="2026-03-10T00:00:00"/>
    <n v="184"/>
    <x v="0"/>
    <s v="AGUAJE 5"/>
    <x v="2"/>
    <s v="05"/>
    <x v="2"/>
    <n v="9.4"/>
    <s v="ASC-BAP"/>
    <n v="90"/>
    <d v="2025-12-10T00:00:00"/>
    <s v="CA 6 - 1A"/>
    <n v="0.52"/>
    <n v="6"/>
    <n v="1410000"/>
    <n v="150000"/>
    <n v="15"/>
    <s v="MEGALATINA"/>
    <s v="TEXCUMAR"/>
    <s v="UNICO"/>
    <n v="5600"/>
    <n v="5453.13"/>
    <n v="18"/>
    <n v="18.46"/>
    <n v="580.12021276595749"/>
    <n v="134112.73131094256"/>
    <n v="52900"/>
    <n v="54214.04"/>
    <n v="39"/>
    <n v="36.6"/>
    <n v="5767.451063829787"/>
    <n v="672491.0972677595"/>
    <n v="59667.17"/>
    <n v="806603.82857870206"/>
    <n v="6347.5712765957442"/>
    <n v="2.8466666666666667"/>
    <n v="70.528569739952715"/>
    <n v="57.205945289269643"/>
    <n v="79255.37000000001"/>
    <n v="42.494089834515364"/>
    <n v="1.3282910853657046"/>
    <m/>
    <m/>
    <n v="-146.86999999999989"/>
    <n v="1314.0400000000009"/>
    <n v="0.46000000000000085"/>
    <n v="-2.3999999999999986"/>
    <s v="VICTOR QUINTANA"/>
    <s v="CA 05"/>
  </r>
  <r>
    <d v="2026-03-10T00:00:00"/>
    <n v="185"/>
    <x v="0"/>
    <s v="AGUAJE 5"/>
    <x v="2"/>
    <s v="02"/>
    <x v="5"/>
    <n v="2.2999999999999998"/>
    <s v="CONVENCIONAL"/>
    <n v="80"/>
    <d v="2025-12-20T00:00:00"/>
    <s v="ME PC 3"/>
    <n v="0.5"/>
    <n v="10"/>
    <n v="368000"/>
    <n v="160000"/>
    <n v="16"/>
    <s v="BIOLACAM"/>
    <s v="TEXCUMAR"/>
    <s v="UNICO"/>
    <n v="2500"/>
    <n v="2239.12"/>
    <n v="28"/>
    <n v="25.88"/>
    <n v="973.53043478260872"/>
    <n v="39279.771251931998"/>
    <n v="10300"/>
    <n v="10276.4"/>
    <n v="45"/>
    <n v="45.37"/>
    <n v="4468"/>
    <n v="102831.95062816839"/>
    <n v="12515.52"/>
    <n v="142111.72188010038"/>
    <n v="5441.5304347826095"/>
    <n v="3.9698749999999996"/>
    <n v="68.019130434782625"/>
    <n v="38.617315728288148"/>
    <n v="22707.38"/>
    <n v="55.978260869565226"/>
    <n v="1.8143377182889724"/>
    <m/>
    <m/>
    <n v="-260.88000000000011"/>
    <n v="-23.600000000000364"/>
    <n v="-2.120000000000001"/>
    <n v="0.36999999999999744"/>
    <s v="NESTOR MOGOLLON"/>
    <s v="ME 02"/>
  </r>
  <r>
    <d v="2026-03-11T00:00:00"/>
    <n v="186"/>
    <x v="0"/>
    <s v="AGUAJE 5"/>
    <x v="2"/>
    <s v="30"/>
    <x v="0"/>
    <n v="7.4"/>
    <s v="CONVENCIONAL"/>
    <n v="61"/>
    <d v="2026-01-09T00:00:00"/>
    <s v="PR 5"/>
    <n v="0.4"/>
    <n v="10"/>
    <n v="1332000"/>
    <n v="180000"/>
    <n v="18"/>
    <s v="EMPAGRAN"/>
    <s v="EMPAGRAN"/>
    <s v="UNICO"/>
    <n v="0"/>
    <n v="0"/>
    <n v="0"/>
    <n v="0"/>
    <n v="0"/>
    <n v="0"/>
    <n v="23600"/>
    <n v="26046.42"/>
    <n v="18"/>
    <n v="19.739999999999998"/>
    <n v="3519.786486486486"/>
    <n v="599041.27051671734"/>
    <n v="26046.42"/>
    <n v="599041.27051671734"/>
    <n v="3519.786486486486"/>
    <n v="2.2652459016393443"/>
    <n v="57.701417811253869"/>
    <n v="44.973068357110911"/>
    <n v="40553.617000000006"/>
    <n v="40.750996898537885"/>
    <n v="1.5569747013217174"/>
    <m/>
    <m/>
    <n v="0"/>
    <n v="2446.4199999999983"/>
    <n v="0"/>
    <n v="1.7399999999999984"/>
    <s v="WILMER TORRES"/>
    <s v="PR 30"/>
  </r>
  <r>
    <d v="2026-03-11T00:00:00"/>
    <n v="187"/>
    <x v="0"/>
    <s v="AGUAJE 5"/>
    <x v="2"/>
    <s v="01"/>
    <x v="10"/>
    <n v="4.5"/>
    <s v="CONVENCIONAL"/>
    <n v="68"/>
    <d v="2026-01-02T00:00:00"/>
    <s v="GT PC 2"/>
    <n v="0.54"/>
    <n v="14"/>
    <n v="675000"/>
    <n v="150000"/>
    <n v="15"/>
    <s v="TECSERV"/>
    <s v="EMPAGRAN"/>
    <s v="UNICO"/>
    <n v="0"/>
    <n v="0"/>
    <n v="0"/>
    <n v="0"/>
    <n v="0"/>
    <n v="0"/>
    <n v="19300"/>
    <n v="20145.169999999998"/>
    <n v="31"/>
    <n v="33.25"/>
    <n v="4476.7044444444437"/>
    <n v="275064.87759398494"/>
    <n v="20145.169999999998"/>
    <n v="275064.87759398494"/>
    <n v="4476.7044444444437"/>
    <n v="3.4227941176470589"/>
    <n v="65.833888888888879"/>
    <n v="40.750352236145922"/>
    <n v="27667.730000000003"/>
    <n v="41.013071895424837"/>
    <n v="1.3734175487225972"/>
    <m/>
    <m/>
    <n v="0"/>
    <n v="845.16999999999825"/>
    <n v="0"/>
    <n v="2.25"/>
    <s v="JULIO SANTOS"/>
    <s v="GT 01"/>
  </r>
  <r>
    <d v="2026-03-11T00:00:00"/>
    <n v="188"/>
    <x v="0"/>
    <s v="AGUAJE 5"/>
    <x v="2"/>
    <s v="01"/>
    <x v="5"/>
    <n v="1.2"/>
    <s v="CONVENCIONAL"/>
    <n v="81"/>
    <d v="2025-12-20T00:00:00"/>
    <s v="ME PC 3"/>
    <n v="0.5"/>
    <n v="9"/>
    <n v="192000"/>
    <n v="160000"/>
    <n v="16"/>
    <s v="BIOLACAM"/>
    <s v="TEXCUMAR"/>
    <s v="UNICO"/>
    <n v="1500"/>
    <n v="1406.88"/>
    <n v="23"/>
    <n v="24.58"/>
    <n v="1172.4000000000001"/>
    <n v="25985.497152156226"/>
    <n v="5300"/>
    <n v="5105.9399999999996"/>
    <n v="45"/>
    <n v="42.34"/>
    <n v="4254.95"/>
    <n v="54749.569201700513"/>
    <n v="6512.82"/>
    <n v="80735.066353856731"/>
    <n v="5427.35"/>
    <n v="3.6590123456790127"/>
    <n v="67.004320987654324"/>
    <n v="42.049513725967046"/>
    <n v="16754.96"/>
    <n v="78.189300411522623"/>
    <n v="2.5726121710718246"/>
    <m/>
    <m/>
    <n v="-93.119999999999891"/>
    <n v="-194.0600000000004"/>
    <n v="1.5799999999999983"/>
    <n v="-2.6599999999999966"/>
    <s v="NESTOR MOGOLLON"/>
    <s v="ME 01"/>
  </r>
  <r>
    <d v="2026-03-11T00:00:00"/>
    <n v="189"/>
    <x v="0"/>
    <s v="AGUAJE 5"/>
    <x v="2"/>
    <s v="10"/>
    <x v="5"/>
    <n v="8.5"/>
    <s v="CONVENCIONAL"/>
    <n v="80"/>
    <d v="2025-12-21T00:00:00"/>
    <s v="ME PS12"/>
    <n v="0.5"/>
    <n v="5"/>
    <n v="1445000"/>
    <n v="170000"/>
    <n v="17"/>
    <s v="GABSO"/>
    <s v="TEXCUMAR"/>
    <s v="UNICO"/>
    <n v="28500"/>
    <n v="25978.29"/>
    <n v="29.5"/>
    <n v="30.645000000000003"/>
    <n v="3056.2694117647061"/>
    <n v="390818.72561091522"/>
    <n v="26400"/>
    <n v="27152.560000000001"/>
    <n v="49"/>
    <n v="51"/>
    <n v="3194.4188235294118"/>
    <n v="241711.0243137255"/>
    <n v="53130.850000000006"/>
    <n v="632529.74992464075"/>
    <n v="6250.6882352941184"/>
    <n v="4.4624999999999995"/>
    <n v="78.133602941176477"/>
    <n v="43.773685115892093"/>
    <n v="74818.612500000003"/>
    <n v="49.908088235294116"/>
    <n v="1.408195285789706"/>
    <m/>
    <m/>
    <n v="-2521.7099999999991"/>
    <n v="752.56000000000131"/>
    <n v="1.1450000000000031"/>
    <n v="2"/>
    <s v="NESTOR MOGOLLON"/>
    <s v="ME 10"/>
  </r>
  <r>
    <d v="2026-03-11T00:00:00"/>
    <n v="190"/>
    <x v="0"/>
    <s v="AGUAJE 5"/>
    <x v="2"/>
    <s v="10"/>
    <x v="4"/>
    <n v="8.8699999999999992"/>
    <s v="CONVENCIONAL"/>
    <n v="58"/>
    <d v="2026-01-12T00:00:00"/>
    <s v="DE PS 11"/>
    <n v="2.5"/>
    <n v="13"/>
    <n v="1153100"/>
    <n v="130000.00000000001"/>
    <n v="13.000000000000002"/>
    <s v="EMPAGRAN"/>
    <s v="EMPAGRAN"/>
    <s v="UNICO"/>
    <n v="7500"/>
    <n v="6829.79"/>
    <n v="18"/>
    <n v="21.08"/>
    <n v="769.9875986471252"/>
    <n v="147093.20018975335"/>
    <n v="26600"/>
    <n v="26384.6"/>
    <n v="28"/>
    <n v="28.24"/>
    <n v="2974.5885005636978"/>
    <n v="424171.68555240793"/>
    <n v="33214.39"/>
    <n v="571264.88574216131"/>
    <n v="3744.5760992108235"/>
    <n v="3.4082758620689648"/>
    <n v="64.561656882945229"/>
    <n v="49.541660371360791"/>
    <n v="70877.89"/>
    <n v="62.49271080356101"/>
    <n v="2.1339512783465238"/>
    <m/>
    <m/>
    <n v="-670.21"/>
    <n v="-215.40000000000146"/>
    <n v="3.0799999999999983"/>
    <n v="0.23999999999999844"/>
    <s v="CARLOS FLORES"/>
    <s v="DE 10"/>
  </r>
  <r>
    <d v="2026-03-12T00:00:00"/>
    <n v="191"/>
    <x v="0"/>
    <s v="AGUAJE 5"/>
    <x v="2"/>
    <s v="18"/>
    <x v="0"/>
    <n v="4"/>
    <s v="CONVENCIONAL"/>
    <n v="74"/>
    <d v="2025-12-28T00:00:00"/>
    <s v="PR 4"/>
    <n v="0.45"/>
    <n v="14"/>
    <n v="720000"/>
    <n v="180000"/>
    <n v="18"/>
    <s v="AMBARTEK"/>
    <s v="TEXCUMAR"/>
    <s v="UNICO"/>
    <n v="2850"/>
    <n v="2883.72"/>
    <n v="14"/>
    <n v="16.100000000000001"/>
    <n v="720.93"/>
    <n v="81317.321739130421"/>
    <n v="12700"/>
    <n v="13680.08"/>
    <n v="23"/>
    <n v="23.6"/>
    <n v="3420.02"/>
    <n v="263167.64067796612"/>
    <n v="16563.8"/>
    <n v="344484.96241709654"/>
    <n v="4140.95"/>
    <n v="2.2324324324324327"/>
    <n v="55.95878378378378"/>
    <n v="47.845133669041182"/>
    <n v="28455.874500000002"/>
    <n v="43.606418918918919"/>
    <n v="1.717955692534322"/>
    <m/>
    <m/>
    <n v="33.7199999999998"/>
    <n v="980.07999999999993"/>
    <n v="2.1000000000000014"/>
    <n v="0.60000000000000142"/>
    <s v="WILMER TORRES"/>
    <s v="PR 18"/>
  </r>
  <r>
    <d v="2026-03-12T00:00:00"/>
    <n v="192"/>
    <x v="0"/>
    <s v="AGUAJE 5"/>
    <x v="2"/>
    <s v="07"/>
    <x v="3"/>
    <n v="3.3"/>
    <s v="ASC"/>
    <n v="80"/>
    <d v="2025-12-22T00:00:00"/>
    <s v="CH 3"/>
    <n v="0.55000000000000004"/>
    <n v="5"/>
    <n v="396000"/>
    <n v="120000"/>
    <n v="12"/>
    <s v="GABSO"/>
    <s v="TEXCUMAR"/>
    <s v="UNICO"/>
    <n v="2800"/>
    <n v="3222.7"/>
    <n v="26"/>
    <n v="26.8"/>
    <n v="976.57575757575762"/>
    <n v="54593.499999999993"/>
    <n v="16800"/>
    <n v="17691.36"/>
    <n v="34"/>
    <n v="31.26"/>
    <n v="5361.0181818181827"/>
    <n v="256937.85796545105"/>
    <n v="20914.060000000001"/>
    <n v="311531.35796545102"/>
    <n v="6337.5939393939398"/>
    <n v="2.7352500000000002"/>
    <n v="79.219924242424241"/>
    <n v="78.66953483976036"/>
    <n v="29596.755000000001"/>
    <n v="50.852272727272734"/>
    <n v="1.4151606622530488"/>
    <m/>
    <m/>
    <n v="422.69999999999982"/>
    <n v="891.36000000000058"/>
    <n v="0.80000000000000071"/>
    <n v="-2.7399999999999984"/>
    <s v="SANTIAGO OBRIEN"/>
    <s v="CH 07"/>
  </r>
  <r>
    <d v="2026-03-12T00:00:00"/>
    <n v="193"/>
    <x v="0"/>
    <s v="AGUAJE 5"/>
    <x v="2"/>
    <s v="05"/>
    <x v="9"/>
    <n v="20.8"/>
    <s v="ASC-BAP"/>
    <n v="78"/>
    <d v="2025-12-24T00:00:00"/>
    <s v="RO PC 1 - CA 20"/>
    <n v="0.47"/>
    <n v="5"/>
    <n v="3212000"/>
    <n v="154423.07692307691"/>
    <n v="15.442307692307692"/>
    <s v="PRONAUPLIO"/>
    <s v="TEXCUMAR"/>
    <s v="UNICO"/>
    <n v="0"/>
    <n v="0"/>
    <n v="0"/>
    <n v="0"/>
    <n v="0"/>
    <n v="0"/>
    <n v="94000"/>
    <n v="104794.4"/>
    <n v="37"/>
    <n v="33.82"/>
    <n v="5038.1923076923076"/>
    <n v="1406761.0171496153"/>
    <n v="104794.4"/>
    <n v="1406761.0171496153"/>
    <n v="5038.1923076923076"/>
    <n v="3.0351282051282054"/>
    <n v="64.592209072978306"/>
    <n v="43.797042875143688"/>
    <n v="133348.5379"/>
    <n v="37.282112919132146"/>
    <n v="1.2724777077782783"/>
    <m/>
    <m/>
    <n v="0"/>
    <n v="10794.399999999994"/>
    <n v="0"/>
    <n v="-3.1799999999999997"/>
    <s v="VICTOR QUINTANA"/>
    <s v="RO 05"/>
  </r>
  <r>
    <d v="2026-03-13T00:00:00"/>
    <n v="194"/>
    <x v="0"/>
    <s v="AGUAJE 5"/>
    <x v="2"/>
    <s v="03"/>
    <x v="3"/>
    <n v="6.45"/>
    <s v="ASC"/>
    <n v="82"/>
    <d v="2025-12-21T00:00:00"/>
    <s v="CH 02"/>
    <n v="0.7"/>
    <n v="5"/>
    <n v="1161000"/>
    <n v="180000"/>
    <n v="18"/>
    <s v="TECSERV"/>
    <s v="TEXCUMAR"/>
    <s v="UNICO"/>
    <n v="19500"/>
    <n v="20645.740000000002"/>
    <n v="22.5"/>
    <n v="21.27"/>
    <n v="3200.8899224806205"/>
    <n v="441114.95925372164"/>
    <n v="29500"/>
    <n v="33566.879999999997"/>
    <n v="32"/>
    <n v="33.18"/>
    <n v="5204.1674418604644"/>
    <n v="459293.65641952981"/>
    <n v="54212.619999999995"/>
    <n v="900408.61567325145"/>
    <n v="8405.0573643410844"/>
    <n v="2.832439024390244"/>
    <n v="102.50069956513518"/>
    <n v="77.554574993389451"/>
    <n v="73578.525000000009"/>
    <n v="63.102665910380026"/>
    <n v="1.3572213444028349"/>
    <m/>
    <m/>
    <n v="1145.7400000000016"/>
    <n v="4066.8799999999974"/>
    <n v="-1.2300000000000004"/>
    <n v="1.1799999999999997"/>
    <s v="SANTIAGO OBRIEN"/>
    <s v="CH 03"/>
  </r>
  <r>
    <d v="2026-03-13T00:00:00"/>
    <n v="195"/>
    <x v="0"/>
    <s v="AGUAJE 5"/>
    <x v="2"/>
    <s v="29"/>
    <x v="7"/>
    <n v="6.1"/>
    <s v="BAP"/>
    <n v="78"/>
    <d v="2025-12-25T00:00:00"/>
    <s v="DO 2"/>
    <n v="0.54"/>
    <n v="13"/>
    <n v="1097988"/>
    <n v="179998.03278688525"/>
    <n v="17.999803278688525"/>
    <s v="ACUATECSA"/>
    <s v="TEXCUMAR"/>
    <s v="UNICO"/>
    <n v="21200"/>
    <n v="21332.230000000003"/>
    <n v="21.5"/>
    <n v="23.39"/>
    <n v="3497.0868852459025"/>
    <n v="413314.63969372667"/>
    <n v="37400"/>
    <n v="37757.300000000003"/>
    <n v="30"/>
    <n v="30.78"/>
    <n v="6189.7213114754104"/>
    <n v="556914.04158544517"/>
    <n v="59089.530000000006"/>
    <n v="970228.68127917184"/>
    <n v="9686.8081967213129"/>
    <n v="2.7623076923076924"/>
    <n v="124.18984867591426"/>
    <n v="88.36423360539203"/>
    <n v="77436.574999999997"/>
    <n v="73.82303488860866"/>
    <n v="1.3104957003381139"/>
    <m/>
    <m/>
    <n v="132.2300000000032"/>
    <n v="357.30000000000291"/>
    <n v="1.8900000000000006"/>
    <n v="0.78000000000000114"/>
    <s v="JOSE CEDEÑO"/>
    <s v="DO 29"/>
  </r>
  <r>
    <d v="2026-03-13T00:00:00"/>
    <n v="196"/>
    <x v="0"/>
    <s v="AGUAJE 5"/>
    <x v="2"/>
    <s v="13"/>
    <x v="8"/>
    <n v="5.2"/>
    <s v="ASC-BAP"/>
    <n v="74"/>
    <d v="2025-12-29T00:00:00"/>
    <s v="PA 4"/>
    <n v="0.7"/>
    <n v="184"/>
    <n v="780000"/>
    <n v="150000"/>
    <n v="15"/>
    <s v="GENESIS"/>
    <s v="TEXCUMAR"/>
    <s v="UNICO"/>
    <n v="6250"/>
    <n v="6261.6"/>
    <n v="23"/>
    <n v="22.06"/>
    <n v="1204.1538461538462"/>
    <n v="128865.20398912061"/>
    <n v="20400"/>
    <n v="22269.84"/>
    <n v="30"/>
    <n v="30.02"/>
    <n v="4282.6615384615379"/>
    <n v="336792.38374417054"/>
    <n v="28531.440000000002"/>
    <n v="465657.58773329115"/>
    <n v="5486.8153846153846"/>
    <n v="2.8397297297297297"/>
    <n v="74.146153846153851"/>
    <n v="59.699690735037322"/>
    <n v="37533.315000000002"/>
    <n v="44.243762993762992"/>
    <n v="1.3155072088895619"/>
    <m/>
    <m/>
    <n v="11.600000000000364"/>
    <n v="1869.8400000000001"/>
    <n v="-0.94000000000000128"/>
    <n v="1.9999999999999574E-2"/>
    <s v="GUSTAVO CARRASCO"/>
    <s v="PA 13"/>
  </r>
  <r>
    <d v="2026-03-13T00:00:00"/>
    <n v="197"/>
    <x v="0"/>
    <s v="AGUAJE 5"/>
    <x v="2"/>
    <s v="10"/>
    <x v="0"/>
    <n v="11.4"/>
    <s v="CONVENCIONAL"/>
    <n v="76"/>
    <d v="2025-12-27T00:00:00"/>
    <s v="PR 3"/>
    <n v="0.35"/>
    <n v="10"/>
    <n v="2160000"/>
    <n v="189473.68421052632"/>
    <n v="18.947368421052634"/>
    <s v="LARVASLAB"/>
    <s v="TEXCUMAR"/>
    <s v="UNICO"/>
    <n v="8000"/>
    <n v="7494.82"/>
    <n v="16"/>
    <n v="18.84"/>
    <n v="657.44035087719294"/>
    <n v="180607.65817409765"/>
    <n v="30300"/>
    <n v="34917.99"/>
    <n v="23.5"/>
    <n v="23.42"/>
    <n v="3062.9815789473682"/>
    <n v="676890.15627668647"/>
    <n v="42412.81"/>
    <n v="857497.81445078412"/>
    <n v="3720.4219298245612"/>
    <n v="2.1571052631578946"/>
    <n v="48.952920129270545"/>
    <n v="39.698972891240004"/>
    <n v="71429.040000000008"/>
    <n v="37.396121883656512"/>
    <n v="1.6841383534832992"/>
    <m/>
    <m/>
    <n v="-505.18000000000029"/>
    <n v="4617.989999999998"/>
    <n v="2.84"/>
    <n v="-7.9999999999998295E-2"/>
    <s v="WILMER TORRES"/>
    <s v="PR 10"/>
  </r>
  <r>
    <d v="2026-03-13T00:00:00"/>
    <n v="198"/>
    <x v="0"/>
    <s v="AGUAJE 5"/>
    <x v="2"/>
    <s v="04"/>
    <x v="1"/>
    <n v="6.55"/>
    <s v="ASC-BAP"/>
    <n v="85"/>
    <d v="2025-12-18T00:00:00"/>
    <s v="TI 34 - 33"/>
    <n v="0.47"/>
    <n v="7"/>
    <n v="1572000"/>
    <n v="240000"/>
    <n v="24"/>
    <s v="BIOLACAM"/>
    <s v="TEXCUMAR"/>
    <s v="UNICO"/>
    <n v="26100"/>
    <n v="27394.639999999999"/>
    <n v="24"/>
    <n v="25.75"/>
    <n v="4182.3877862595418"/>
    <n v="484350.10406322672"/>
    <n v="38250"/>
    <n v="40569.699999999997"/>
    <n v="38"/>
    <n v="38.159999999999997"/>
    <n v="6193.8473282442746"/>
    <n v="482668.86268343811"/>
    <n v="67964.34"/>
    <n v="967018.96674666484"/>
    <n v="10376.235114503817"/>
    <n v="3.1425882352941175"/>
    <n v="122.0733542882802"/>
    <n v="61.515201446988854"/>
    <n v="106647.52500000001"/>
    <n v="86.888190390660085"/>
    <n v="1.5691688464862605"/>
    <m/>
    <m/>
    <n v="1294.6399999999994"/>
    <n v="2319.6999999999971"/>
    <n v="1.75"/>
    <n v="0.15999999999999659"/>
    <s v="ALFONSO GRUNAUER"/>
    <s v="TI 04"/>
  </r>
  <r>
    <d v="2026-03-13T00:00:00"/>
    <n v="199"/>
    <x v="0"/>
    <s v="AGUAJE 5"/>
    <x v="2"/>
    <s v="05"/>
    <x v="5"/>
    <n v="3.47"/>
    <s v="CONVENCIONAL"/>
    <n v="62"/>
    <d v="2026-01-10T00:00:00"/>
    <s v="ME PS 6"/>
    <n v="3.5"/>
    <n v="22"/>
    <n v="381700"/>
    <n v="110000"/>
    <n v="11"/>
    <s v="GABSO"/>
    <s v="TEXCUMAR"/>
    <s v="UNICO"/>
    <n v="0"/>
    <n v="0"/>
    <n v="0"/>
    <n v="0"/>
    <n v="0"/>
    <n v="0"/>
    <n v="21000"/>
    <n v="21175.29"/>
    <n v="45"/>
    <n v="42.32"/>
    <n v="6102.3890489913547"/>
    <n v="227164.02788279773"/>
    <n v="21175.29"/>
    <n v="227164.02788279773"/>
    <n v="6102.3890489913547"/>
    <n v="4.7780645161290316"/>
    <n v="98.425629822441209"/>
    <n v="59.513761562168646"/>
    <n v="28935.375"/>
    <n v="61.006786278702236"/>
    <n v="1.3664688889738936"/>
    <m/>
    <m/>
    <n v="0"/>
    <n v="175.29000000000087"/>
    <n v="0"/>
    <n v="-2.6799999999999997"/>
    <s v="NESTOR MOGOLLON"/>
    <s v="ME 05"/>
  </r>
  <r>
    <d v="2026-03-15T00:00:00"/>
    <n v="200"/>
    <x v="0"/>
    <s v="AGUAJE 6"/>
    <x v="2"/>
    <s v="06"/>
    <x v="3"/>
    <n v="4.53"/>
    <s v="ASC"/>
    <n v="83"/>
    <d v="2025-12-22T00:00:00"/>
    <s v="CH PC 3"/>
    <n v="0.55000000000000004"/>
    <n v="4"/>
    <n v="815400"/>
    <n v="180000"/>
    <n v="18"/>
    <s v="GABSO"/>
    <s v="TEXCUMAR"/>
    <s v="UNICO"/>
    <n v="13200"/>
    <n v="13004.73"/>
    <n v="21"/>
    <n v="20.810000000000002"/>
    <n v="2870.8013245033112"/>
    <n v="287264.37365264422"/>
    <n v="19700"/>
    <n v="18383.810000000001"/>
    <n v="30"/>
    <n v="28.42"/>
    <n v="4058.2362030905078"/>
    <n v="293675.21956368751"/>
    <n v="31388.54"/>
    <n v="580939.59321633168"/>
    <n v="6929.0375275938186"/>
    <n v="2.3968674698795183"/>
    <n v="83.482379850527934"/>
    <n v="71.245964338524857"/>
    <n v="49217.695"/>
    <n v="59.376579164339475"/>
    <n v="1.5680147913856457"/>
    <m/>
    <m/>
    <n v="-195.27000000000044"/>
    <n v="-1316.1899999999987"/>
    <n v="-0.18999999999999773"/>
    <n v="-1.5799999999999983"/>
    <s v="SANTIAGO OBRIEN"/>
    <s v="CH 06"/>
  </r>
  <r>
    <d v="2026-03-16T00:00:00"/>
    <n v="201"/>
    <x v="0"/>
    <s v="AGUAJE 6"/>
    <x v="2"/>
    <s v="07"/>
    <x v="5"/>
    <n v="4.5999999999999996"/>
    <s v="CONVENCIONAL"/>
    <n v="65"/>
    <d v="2026-01-10T00:00:00"/>
    <s v="ME PC 6"/>
    <n v="3.5"/>
    <n v="12"/>
    <n v="506000"/>
    <n v="110000.00000000001"/>
    <n v="11.000000000000002"/>
    <s v="GABSO"/>
    <s v="TEXCUMAR"/>
    <s v="UNICO"/>
    <n v="0"/>
    <n v="0"/>
    <n v="0"/>
    <n v="0"/>
    <n v="0"/>
    <n v="0"/>
    <n v="29500"/>
    <n v="30132.43"/>
    <n v="40"/>
    <n v="41.39"/>
    <n v="6550.5282608695661"/>
    <n v="330517.59410485625"/>
    <n v="30132.43"/>
    <n v="330517.59410485625"/>
    <n v="6550.5282608695661"/>
    <n v="4.4573846153846155"/>
    <n v="100.77735785953179"/>
    <n v="65.319682629418224"/>
    <n v="44257.345000000001"/>
    <n v="67.140468227424748"/>
    <n v="1.4687612316696663"/>
    <m/>
    <m/>
    <n v="0"/>
    <n v="632.43000000000029"/>
    <n v="0"/>
    <n v="1.3900000000000006"/>
    <s v="NESTOR MOGOLLON"/>
    <s v="ME 07"/>
  </r>
  <r>
    <d v="2026-03-16T00:00:00"/>
    <n v="202"/>
    <x v="0"/>
    <s v="AGUAJE 6"/>
    <x v="2"/>
    <s v="28"/>
    <x v="0"/>
    <n v="7.3"/>
    <s v="CONVENCIONAL"/>
    <n v="66"/>
    <d v="2026-01-09T00:00:00"/>
    <s v="PR PC 5"/>
    <n v="0.4"/>
    <n v="7"/>
    <n v="1241000"/>
    <n v="170000"/>
    <n v="17"/>
    <s v="EMPAGRAN"/>
    <s v="EMPAGRAN"/>
    <s v="UNICO"/>
    <n v="0"/>
    <n v="0"/>
    <n v="0"/>
    <n v="0"/>
    <n v="0"/>
    <n v="0"/>
    <n v="25800"/>
    <n v="30085.91"/>
    <n v="22"/>
    <n v="25.29"/>
    <n v="4121.3575342465756"/>
    <n v="540095.02332937927"/>
    <n v="30085.91"/>
    <n v="540095.02332937927"/>
    <n v="4121.3575342465756"/>
    <n v="2.6822727272727271"/>
    <n v="62.444811124948117"/>
    <n v="43.520952725977381"/>
    <n v="44080.976999999999"/>
    <n v="41.500622665006226"/>
    <n v="1.4651701411059197"/>
    <m/>
    <m/>
    <n v="0"/>
    <n v="4285.91"/>
    <n v="0"/>
    <n v="3.2899999999999991"/>
    <s v="WILMER TORRES"/>
    <s v="PR 28"/>
  </r>
  <r>
    <d v="2026-03-16T00:00:00"/>
    <n v="203"/>
    <x v="0"/>
    <s v="AGUAJE 6"/>
    <x v="2"/>
    <s v="12"/>
    <x v="11"/>
    <n v="6.75"/>
    <s v="ASC-BAP"/>
    <n v="73"/>
    <d v="2026-01-02T00:00:00"/>
    <s v="TA 1"/>
    <n v="0.38"/>
    <n v="7"/>
    <n v="1120000"/>
    <n v="165925.92592592593"/>
    <n v="16.592592592592592"/>
    <s v="NARIHUALA"/>
    <s v="TEXCUMAR"/>
    <s v="UNICO"/>
    <n v="22100"/>
    <n v="23511.690000000002"/>
    <n v="23.25"/>
    <n v="23.67"/>
    <n v="3483.2133333333336"/>
    <n v="451480.52135978022"/>
    <n v="31200"/>
    <n v="34784.300000000003"/>
    <n v="30.5"/>
    <n v="32.22"/>
    <n v="5153.2296296296299"/>
    <n v="490132.59466170083"/>
    <n v="58295.990000000005"/>
    <n v="941613.11602148111"/>
    <n v="8636.4429629629631"/>
    <n v="3.0895890410958904"/>
    <n v="118.30743784880771"/>
    <n v="84.07259964477511"/>
    <n v="80908.820000000007"/>
    <n v="74.479959411466268"/>
    <n v="1.3878968347565588"/>
    <m/>
    <m/>
    <n v="1411.6900000000023"/>
    <n v="3584.3000000000029"/>
    <n v="0.42000000000000171"/>
    <n v="1.7199999999999989"/>
    <s v="ALFONSO GRUNAUER"/>
    <s v="TA 12"/>
  </r>
  <r>
    <d v="2026-03-16T00:00:00"/>
    <n v="204"/>
    <x v="0"/>
    <s v="AGUAJE 6"/>
    <x v="2"/>
    <s v="15"/>
    <x v="9"/>
    <n v="14.9"/>
    <s v="ASC-BAP"/>
    <n v="81"/>
    <d v="2025-12-25T00:00:00"/>
    <s v="RO PC 9"/>
    <n v="0.38"/>
    <n v="4"/>
    <n v="2533000"/>
    <n v="170000"/>
    <n v="17"/>
    <s v="GENESIS"/>
    <s v="TEXCUMAR"/>
    <s v="UNICO"/>
    <n v="0"/>
    <n v="0"/>
    <n v="0"/>
    <n v="0"/>
    <n v="0"/>
    <n v="0"/>
    <n v="75000"/>
    <n v="79011.08"/>
    <n v="38"/>
    <n v="34.520000000000003"/>
    <n v="5302.7570469798657"/>
    <n v="1039137.6106604866"/>
    <n v="79011.08"/>
    <n v="1039137.6106604866"/>
    <n v="5302.7570469798657"/>
    <n v="2.98320987654321"/>
    <n v="65.466136382467482"/>
    <n v="41.023987787622843"/>
    <n v="119432.0004"/>
    <n v="44.88690032314193"/>
    <n v="1.5115854687722279"/>
    <m/>
    <m/>
    <n v="0"/>
    <n v="4011.0800000000017"/>
    <n v="0"/>
    <n v="-3.4799999999999969"/>
    <s v="VICTOR QUINTANA"/>
    <s v="RO 15"/>
  </r>
  <r>
    <d v="2026-03-17T00:00:00"/>
    <n v="205"/>
    <x v="0"/>
    <s v="AGUAJE 6"/>
    <x v="2"/>
    <s v="14"/>
    <x v="2"/>
    <n v="2.2999999999999998"/>
    <s v="ASC-BAP"/>
    <n v="70"/>
    <d v="2026-01-06T00:00:00"/>
    <s v="CA 15"/>
    <n v="0.52"/>
    <n v="7"/>
    <n v="391000"/>
    <n v="170000"/>
    <n v="17"/>
    <s v="AQUANOVA"/>
    <s v="TEXCUMAR"/>
    <s v="UNICO"/>
    <n v="2500"/>
    <n v="2931.58"/>
    <n v="29"/>
    <n v="31.76"/>
    <n v="1274.6000000000001"/>
    <n v="41906.086901763221"/>
    <n v="9200"/>
    <n v="10840.16"/>
    <n v="38"/>
    <n v="41.12"/>
    <n v="4713.1130434782608"/>
    <n v="119684.64591439688"/>
    <n v="13771.74"/>
    <n v="161590.7328161601"/>
    <n v="5987.7130434782612"/>
    <n v="4.1120000000000001"/>
    <n v="85.538757763975156"/>
    <n v="41.327553149913072"/>
    <n v="19135.928"/>
    <n v="53.913043478260875"/>
    <n v="1.3895069177896184"/>
    <m/>
    <m/>
    <n v="431.57999999999993"/>
    <n v="1640.1599999999999"/>
    <n v="2.7600000000000016"/>
    <n v="3.1199999999999974"/>
    <s v="VICTOR QUINTANA"/>
    <s v="CA 14"/>
  </r>
  <r>
    <d v="2026-03-17T00:00:00"/>
    <n v="206"/>
    <x v="0"/>
    <s v="AGUAJE 6"/>
    <x v="2"/>
    <s v="01"/>
    <x v="4"/>
    <n v="7.6"/>
    <s v="CONVENCIONAL"/>
    <n v="85"/>
    <d v="2025-12-22T00:00:00"/>
    <s v="DE 1"/>
    <n v="0.8"/>
    <n v="7"/>
    <n v="1292000"/>
    <n v="170000"/>
    <n v="17"/>
    <s v="TECSERV"/>
    <s v="TEXCUMAR"/>
    <s v="UNICO"/>
    <n v="19000"/>
    <n v="18167.28"/>
    <n v="22"/>
    <n v="22.28"/>
    <n v="2390.4315789473685"/>
    <n v="385975.84832420392"/>
    <n v="25200"/>
    <n v="25040.61"/>
    <n v="31"/>
    <n v="33.22"/>
    <n v="3294.8171052631583"/>
    <n v="342216.64479229378"/>
    <n v="43207.89"/>
    <n v="728192.49311649776"/>
    <n v="5685.2486842105263"/>
    <n v="2.7357647058823531"/>
    <n v="66.885278637770895"/>
    <n v="56.361648074032331"/>
    <n v="80688.36"/>
    <n v="56.65634674922601"/>
    <n v="1.8674450430233922"/>
    <m/>
    <m/>
    <n v="-832.72000000000116"/>
    <n v="-159.38999999999942"/>
    <n v="0.28000000000000114"/>
    <n v="2.2199999999999989"/>
    <s v="CARLOS FLORES"/>
    <s v="DE 01"/>
  </r>
  <r>
    <d v="2026-03-17T00:00:00"/>
    <n v="207"/>
    <x v="0"/>
    <s v="AGUAJE 6"/>
    <x v="2"/>
    <s v="18"/>
    <x v="7"/>
    <n v="9.5500000000000007"/>
    <s v="ASC-BAP"/>
    <n v="91"/>
    <d v="2025-12-16T00:00:00"/>
    <s v="DO PC 3"/>
    <n v="0.51"/>
    <n v="4"/>
    <n v="1615999"/>
    <n v="169214.55497382197"/>
    <n v="16.921455497382198"/>
    <s v="TECSERV"/>
    <s v="TEXCUMAR"/>
    <s v="UNICO"/>
    <n v="38600"/>
    <n v="36416.04"/>
    <n v="27.5"/>
    <n v="28.35"/>
    <n v="3813.197905759162"/>
    <n v="578472.26476447529"/>
    <n v="36900"/>
    <n v="37723.51"/>
    <n v="37"/>
    <n v="35.799999999999997"/>
    <n v="3950.1057591623035"/>
    <n v="478393.11564245814"/>
    <n v="74139.55"/>
    <n v="1056865.3804069334"/>
    <n v="7763.3036649214655"/>
    <n v="2.7538461538461538"/>
    <n v="85.311029284851273"/>
    <n v="65.400125891596062"/>
    <n v="104994.07500000001"/>
    <n v="54.801219722685687"/>
    <n v="1.4161682260008324"/>
    <m/>
    <m/>
    <n v="-2183.9599999999991"/>
    <n v="823.51000000000204"/>
    <n v="0.85000000000000142"/>
    <n v="-1.2000000000000028"/>
    <s v="JOSE CEDEÑO"/>
    <s v="DO 18"/>
  </r>
  <r>
    <d v="2026-03-17T00:00:00"/>
    <n v="208"/>
    <x v="0"/>
    <s v="AGUAJE 6"/>
    <x v="2"/>
    <s v="19"/>
    <x v="0"/>
    <n v="3"/>
    <s v="CONVENCIONAL"/>
    <n v="77"/>
    <d v="2025-12-30T00:00:00"/>
    <s v="PR PC2"/>
    <n v="0.35"/>
    <n v="9"/>
    <n v="540000"/>
    <n v="180000"/>
    <n v="18"/>
    <s v="NEMEN"/>
    <s v="TEXCUMAR"/>
    <s v="UNICO"/>
    <n v="2700"/>
    <n v="2807.09"/>
    <n v="16"/>
    <n v="21.21"/>
    <n v="935.69666666666672"/>
    <n v="60085.754832626124"/>
    <n v="8100"/>
    <n v="9289.9699999999993"/>
    <n v="24"/>
    <n v="28.74"/>
    <n v="3096.6566666666663"/>
    <n v="146751.78775226165"/>
    <n v="12097.06"/>
    <n v="206837.54258488776"/>
    <n v="4032.353333333333"/>
    <n v="2.6127272727272728"/>
    <n v="52.368225108225104"/>
    <n v="38.303248626831063"/>
    <n v="20508.291499999999"/>
    <n v="40.270562770562769"/>
    <n v="1.6953120427608031"/>
    <m/>
    <m/>
    <n v="107.09000000000015"/>
    <n v="1189.9699999999993"/>
    <n v="5.2100000000000009"/>
    <n v="4.7399999999999984"/>
    <s v="WILMER TORRES"/>
    <s v="PR 19"/>
  </r>
  <r>
    <d v="2026-03-18T00:00:00"/>
    <n v="209"/>
    <x v="0"/>
    <s v="AGUAJE 6"/>
    <x v="2"/>
    <s v="19"/>
    <x v="4"/>
    <n v="5"/>
    <s v="CONVENCIONAL"/>
    <n v="67"/>
    <d v="2026-01-10T00:00:00"/>
    <s v="DE 25"/>
    <n v="0.8"/>
    <n v="4"/>
    <n v="800000"/>
    <n v="160000"/>
    <n v="16"/>
    <s v="EMPAGRAN"/>
    <s v="EMPAGRAN"/>
    <s v="UNICO"/>
    <n v="10600"/>
    <n v="10568.51"/>
    <n v="21"/>
    <n v="22.12"/>
    <n v="2113.7020000000002"/>
    <n v="216912.45660036165"/>
    <n v="25800"/>
    <n v="27740.33"/>
    <n v="32"/>
    <n v="31.8"/>
    <n v="5548.0660000000007"/>
    <n v="396041.18930817611"/>
    <n v="38308.840000000004"/>
    <n v="612953.64590853779"/>
    <n v="7661.7680000000009"/>
    <n v="3.3223880597014928"/>
    <n v="114.35474626865673"/>
    <n v="76.619205738567217"/>
    <n v="52138.79"/>
    <n v="70.597014925373131"/>
    <n v="1.3610119753038723"/>
    <m/>
    <m/>
    <n v="-31.489999999999782"/>
    <n v="1940.3300000000017"/>
    <n v="1.120000000000001"/>
    <n v="-0.19999999999999929"/>
    <s v="CARLOS FLORES"/>
    <s v="DE 19"/>
  </r>
  <r>
    <d v="2026-03-18T00:00:00"/>
    <n v="210"/>
    <x v="0"/>
    <s v="AGUAJE 6"/>
    <x v="2"/>
    <s v="13"/>
    <x v="0"/>
    <n v="9.8000000000000007"/>
    <s v="CONVENCIONAL"/>
    <n v="78"/>
    <d v="2025-12-30T00:00:00"/>
    <s v="PR PC2"/>
    <n v="0.35"/>
    <n v="8"/>
    <n v="1764000"/>
    <n v="180000"/>
    <n v="18"/>
    <s v="NEMEN"/>
    <s v="TEXCUMAR"/>
    <s v="UNICO"/>
    <n v="7650"/>
    <n v="7798.73"/>
    <n v="15"/>
    <n v="16.88"/>
    <n v="795.788775510204"/>
    <n v="209752.57227488153"/>
    <n v="27000"/>
    <n v="32446.73"/>
    <n v="20"/>
    <n v="22.3"/>
    <n v="3310.8908163265305"/>
    <n v="660574.68251121079"/>
    <n v="40245.46"/>
    <n v="870327.25478609232"/>
    <n v="4106.6795918367343"/>
    <n v="2.0012820512820513"/>
    <n v="52.649738356881208"/>
    <n v="49.338279749778472"/>
    <n v="67791.45"/>
    <n v="40.227629513343793"/>
    <n v="1.6844496248769425"/>
    <m/>
    <m/>
    <n v="148.72999999999956"/>
    <n v="5446.73"/>
    <n v="1.879999999999999"/>
    <n v="2.3000000000000007"/>
    <s v="WILMER TORRES"/>
    <s v="PR 13"/>
  </r>
  <r>
    <d v="2026-03-18T00:00:00"/>
    <n v="211"/>
    <x v="0"/>
    <s v="AGUAJE 6"/>
    <x v="2"/>
    <s v="15"/>
    <x v="1"/>
    <n v="9.16"/>
    <s v="ASC-BAP"/>
    <n v="86"/>
    <d v="2025-12-22T00:00:00"/>
    <s v="TI 38 - 36"/>
    <n v="0.46"/>
    <n v="7"/>
    <n v="2198400"/>
    <n v="240000"/>
    <n v="24"/>
    <s v="TECSERV"/>
    <s v="TEXCUMAR"/>
    <s v="UNICO"/>
    <n v="44050"/>
    <n v="45724.35"/>
    <n v="23"/>
    <n v="23"/>
    <n v="4991.7412663755458"/>
    <n v="907265.61761163082"/>
    <n v="54650"/>
    <n v="55834.6"/>
    <n v="34"/>
    <n v="28.7"/>
    <n v="6095.4803493449781"/>
    <n v="883237.22648083617"/>
    <n v="101558.95"/>
    <n v="1790502.8440924669"/>
    <n v="11087.221615720524"/>
    <n v="2.3360465116279068"/>
    <n v="128.92118157814562"/>
    <n v="81.445726168689362"/>
    <n v="140212.56"/>
    <n v="80.735249314512018"/>
    <n v="1.3806026942972529"/>
    <m/>
    <m/>
    <n v="1674.3499999999985"/>
    <n v="1184.5999999999985"/>
    <n v="0"/>
    <n v="-5.3000000000000007"/>
    <s v="ALFONSO GRUNAUER"/>
    <s v="TI 15"/>
  </r>
  <r>
    <d v="2026-03-18T00:00:00"/>
    <n v="212"/>
    <x v="0"/>
    <s v="AGUAJE 6"/>
    <x v="2"/>
    <s v="19"/>
    <x v="1"/>
    <n v="1.76"/>
    <s v="ASC-BAP"/>
    <n v="70"/>
    <d v="2026-01-07T00:00:00"/>
    <s v="TI PC 18"/>
    <n v="0.98"/>
    <n v="4"/>
    <n v="299200"/>
    <n v="170000"/>
    <n v="17"/>
    <s v="AQUANOVA"/>
    <s v="TEXCUMAR"/>
    <s v="UNICO"/>
    <n v="2550"/>
    <n v="2654.16"/>
    <n v="25"/>
    <n v="27.7"/>
    <n v="1508.0454545454545"/>
    <n v="43501.394945848369"/>
    <n v="10600"/>
    <n v="11245.42"/>
    <n v="37"/>
    <n v="37.92"/>
    <n v="6389.443181818182"/>
    <n v="134636.62130801685"/>
    <n v="13899.58"/>
    <n v="178138.01625386521"/>
    <n v="7897.488636363636"/>
    <n v="3.7920000000000003"/>
    <n v="112.82126623376622"/>
    <n v="59.538107036719659"/>
    <n v="19433.549000000003"/>
    <n v="71.550324675324674"/>
    <n v="1.3981392962952839"/>
    <m/>
    <m/>
    <n v="104.15999999999985"/>
    <n v="645.42000000000007"/>
    <n v="2.6999999999999993"/>
    <n v="0.92000000000000171"/>
    <s v="ALFONSO GRUNAUER"/>
    <s v="TI 19"/>
  </r>
  <r>
    <d v="2026-03-18T00:00:00"/>
    <n v="213"/>
    <x v="0"/>
    <s v="AGUAJE 6"/>
    <x v="2"/>
    <s v="19"/>
    <x v="5"/>
    <n v="3"/>
    <s v="CONVENCIONAL"/>
    <n v="62"/>
    <d v="2026-01-15T00:00:00"/>
    <s v="ME 12"/>
    <n v="1"/>
    <n v="8"/>
    <n v="450000"/>
    <n v="150000"/>
    <n v="15"/>
    <s v="TECSERV"/>
    <s v="SEMACUA"/>
    <s v="UNICO"/>
    <n v="0"/>
    <n v="0"/>
    <n v="0"/>
    <n v="0"/>
    <n v="0"/>
    <n v="0"/>
    <n v="7600"/>
    <n v="8076.23"/>
    <n v="40"/>
    <n v="40.020000000000003"/>
    <n v="2692.0766666666664"/>
    <n v="91619.400799600189"/>
    <n v="8076.23"/>
    <n v="91619.400799600189"/>
    <n v="2692.0766666666664"/>
    <n v="4.5183870967741937"/>
    <n v="43.420591397849456"/>
    <n v="20.359866844355597"/>
    <n v="18849.330000000002"/>
    <n v="45.967741935483872"/>
    <n v="2.3339268445797114"/>
    <m/>
    <m/>
    <n v="0"/>
    <n v="476.22999999999956"/>
    <n v="0"/>
    <n v="2.0000000000003126E-2"/>
    <s v="NESTOR MOGOLLON"/>
    <s v="ME 19"/>
  </r>
  <r>
    <d v="2026-03-19T00:00:00"/>
    <n v="214"/>
    <x v="0"/>
    <s v="AGUAJE 6"/>
    <x v="2"/>
    <s v="02"/>
    <x v="4"/>
    <n v="6.5"/>
    <s v="CONVENCIONAL"/>
    <n v="75"/>
    <d v="2026-01-03T00:00:00"/>
    <s v="DE PC02"/>
    <n v="0.38"/>
    <n v="16"/>
    <n v="780000"/>
    <n v="120000"/>
    <n v="12"/>
    <s v="GENESIS"/>
    <s v="TEXCUMAR"/>
    <s v="UNICO"/>
    <n v="5000"/>
    <n v="5070.29"/>
    <n v="22"/>
    <n v="25.86"/>
    <n v="780.04461538461533"/>
    <n v="89014.372003093595"/>
    <n v="23000"/>
    <n v="24953"/>
    <n v="31"/>
    <n v="36.520000000000003"/>
    <n v="3838.9230769230771"/>
    <n v="310204.32639649505"/>
    <n v="30023.29"/>
    <n v="399218.69839958864"/>
    <n v="4618.9676923076922"/>
    <n v="3.4085333333333341"/>
    <n v="61.586235897435898"/>
    <n v="51.181884410203672"/>
    <n v="56768.450000000004"/>
    <n v="52.820512820512818"/>
    <n v="1.8908137649138386"/>
    <m/>
    <m/>
    <n v="70.289999999999964"/>
    <n v="1953"/>
    <n v="3.8599999999999994"/>
    <n v="5.5200000000000031"/>
    <s v="CARLOS FLORES"/>
    <s v="DE 02"/>
  </r>
  <r>
    <d v="2026-03-20T00:00:00"/>
    <n v="215"/>
    <x v="0"/>
    <s v="AGUAJE 6"/>
    <x v="2"/>
    <s v="23"/>
    <x v="4"/>
    <n v="5.5"/>
    <s v="CONVENCIONAL"/>
    <n v="69"/>
    <d v="2026-01-10T00:00:00"/>
    <s v="DE 25"/>
    <n v="0.8"/>
    <n v="15"/>
    <n v="880000"/>
    <n v="160000"/>
    <n v="16"/>
    <s v="EMPAGRAN"/>
    <s v="EMPAGRAN"/>
    <s v="UNICO"/>
    <n v="6000"/>
    <n v="6087.82"/>
    <n v="21"/>
    <n v="23.54"/>
    <n v="1106.8763636363635"/>
    <n v="117411.65165675446"/>
    <n v="22500"/>
    <n v="23736.3"/>
    <n v="32"/>
    <n v="33.86"/>
    <n v="4315.6909090909094"/>
    <n v="318259.89958653279"/>
    <n v="29824.12"/>
    <n v="435671.55124328728"/>
    <n v="5422.5672727272722"/>
    <n v="3.4350724637681158"/>
    <n v="78.587931488801047"/>
    <n v="49.508130823100828"/>
    <n v="51863.215000000004"/>
    <n v="61.989459815546766"/>
    <n v="1.7389688279151239"/>
    <m/>
    <m/>
    <n v="87.819999999999709"/>
    <n v="1236.2999999999993"/>
    <n v="2.5399999999999991"/>
    <n v="1.8599999999999994"/>
    <s v="CARLOS FLORES"/>
    <s v="DE 23"/>
  </r>
  <r>
    <d v="2026-03-20T00:00:00"/>
    <n v="216"/>
    <x v="0"/>
    <s v="AGUAJE 6"/>
    <x v="2"/>
    <s v="17"/>
    <x v="1"/>
    <n v="2.85"/>
    <s v="ASC-BAP"/>
    <n v="72"/>
    <d v="2026-01-07T00:00:00"/>
    <s v="TI PC 18"/>
    <n v="0.98"/>
    <n v="3"/>
    <n v="484500"/>
    <n v="170000"/>
    <n v="17"/>
    <s v="AQUANOVA"/>
    <s v="TEXCUMAR"/>
    <s v="UNICO"/>
    <n v="4000"/>
    <n v="4240.5200000000004"/>
    <n v="25"/>
    <n v="27.48"/>
    <n v="1487.901754385965"/>
    <n v="70058.081513828249"/>
    <n v="18400"/>
    <n v="18629.919999999998"/>
    <n v="35.5"/>
    <n v="36.08"/>
    <n v="6536.8140350877184"/>
    <n v="234423.0509977827"/>
    <n v="22870.44"/>
    <n v="304481.13251161098"/>
    <n v="8024.7157894736838"/>
    <n v="3.5077777777777772"/>
    <n v="111.45438596491228"/>
    <n v="62.844402995172544"/>
    <n v="33498.897000000004"/>
    <n v="74.049707602339197"/>
    <n v="1.4647246401905694"/>
    <m/>
    <m/>
    <n v="240.52000000000044"/>
    <n v="229.91999999999825"/>
    <n v="2.4800000000000004"/>
    <n v="0.57999999999999829"/>
    <s v="ALFONSO GRUNAUER"/>
    <s v="TI 17"/>
  </r>
  <r>
    <d v="2026-03-21T00:00:00"/>
    <n v="217"/>
    <x v="0"/>
    <s v="AGUAJE 6"/>
    <x v="2"/>
    <s v="16"/>
    <x v="1"/>
    <n v="13.44"/>
    <s v="ASC-BAP"/>
    <n v="84"/>
    <d v="2025-12-27T00:00:00"/>
    <s v="TI PC 35 - 37"/>
    <n v="0.48"/>
    <n v="8"/>
    <n v="2486400"/>
    <n v="185000"/>
    <n v="18.5"/>
    <s v="AMBARTEK"/>
    <s v="TEXCUMAR"/>
    <s v="UNICO"/>
    <n v="58000"/>
    <n v="61488.600000000006"/>
    <n v="25.333333333333332"/>
    <n v="25.36"/>
    <n v="4575.0446428571431"/>
    <n v="1157894.923704077"/>
    <n v="66100"/>
    <n v="66719.95"/>
    <n v="36"/>
    <n v="35.96"/>
    <n v="4964.2819940476193"/>
    <n v="842348.64571746369"/>
    <n v="128208.55"/>
    <n v="2000243.5694215407"/>
    <n v="9539.3266369047633"/>
    <n v="2.9966666666666666"/>
    <n v="113.56341234410432"/>
    <n v="80.447376505049093"/>
    <n v="162975.05500000002"/>
    <n v="65.480619331065753"/>
    <n v="1.2711715014326268"/>
    <m/>
    <m/>
    <n v="3488.6000000000058"/>
    <n v="619.94999999999709"/>
    <n v="2.6666666666667282E-2"/>
    <n v="-3.9999999999999147E-2"/>
    <s v="ALFONSO GRUNAUER"/>
    <s v="TI 16"/>
  </r>
  <r>
    <d v="2026-03-22T00:00:00"/>
    <n v="218"/>
    <x v="0"/>
    <s v="AGUAJE 6"/>
    <x v="2"/>
    <s v="06"/>
    <x v="8"/>
    <n v="9.3000000000000007"/>
    <s v="ASC-BAP"/>
    <n v="83"/>
    <d v="2025-12-29T00:00:00"/>
    <s v="MA 3 - PA 4"/>
    <n v="1.88"/>
    <n v="15"/>
    <n v="1488000"/>
    <n v="160000"/>
    <n v="16"/>
    <s v="ACUATECSA/GENESIS"/>
    <s v="TEXCUMAR"/>
    <s v="COMBINADO"/>
    <n v="27600"/>
    <n v="28233.190000000002"/>
    <n v="26.333333333333332"/>
    <n v="28.013333333333332"/>
    <n v="3035.8268817204303"/>
    <n v="468037.5460397125"/>
    <n v="25100"/>
    <n v="26417.37"/>
    <n v="36"/>
    <n v="38.54"/>
    <n v="2840.5774193548382"/>
    <n v="311195.79605604568"/>
    <n v="54650.559999999998"/>
    <n v="779233.34209575818"/>
    <n v="5876.4043010752684"/>
    <n v="3.2503614457831325"/>
    <n v="70.800051820183953"/>
    <n v="52.367832130091273"/>
    <n v="74680.824999999997"/>
    <n v="43.885218292524932"/>
    <n v="1.3665152745003895"/>
    <m/>
    <m/>
    <n v="633.19000000000233"/>
    <n v="1317.369999999999"/>
    <n v="1.6799999999999997"/>
    <n v="2.5399999999999991"/>
    <s v="GUSTAVO CARRASCO"/>
    <s v="PA 06"/>
  </r>
  <r>
    <d v="2026-03-22T00:00:00"/>
    <n v="219"/>
    <x v="0"/>
    <s v="AGUAJE 6"/>
    <x v="2"/>
    <s v="18"/>
    <x v="11"/>
    <n v="11.4"/>
    <s v="ASC-BAP"/>
    <n v="84"/>
    <d v="2025-12-28T00:00:00"/>
    <s v="TA 5"/>
    <n v="0.4"/>
    <n v="8"/>
    <n v="1824000"/>
    <n v="160000"/>
    <n v="16"/>
    <s v="AMBARTEK"/>
    <s v="TEXCUMAR"/>
    <s v="UNICO"/>
    <n v="48200"/>
    <n v="51122.91"/>
    <n v="24.333333333333332"/>
    <n v="25.736666666666668"/>
    <n v="4484.4657894736847"/>
    <n v="911184.17236626311"/>
    <n v="57150"/>
    <n v="60049.120000000003"/>
    <n v="36"/>
    <n v="38.11"/>
    <n v="5267.4666666666672"/>
    <n v="715358.18630280765"/>
    <n v="111172.03"/>
    <n v="1626542.3586690708"/>
    <n v="9751.93245614035"/>
    <n v="3.1758333333333333"/>
    <n v="116.09443400167083"/>
    <n v="89.174471418260453"/>
    <n v="155369.185"/>
    <n v="73.595446950710112"/>
    <n v="1.3975564267379124"/>
    <m/>
    <m/>
    <n v="2922.9100000000035"/>
    <n v="2899.1200000000026"/>
    <n v="1.403333333333336"/>
    <n v="2.1099999999999994"/>
    <s v="ALFONSO GRUNAUER"/>
    <s v="TA 18"/>
  </r>
  <r>
    <d v="2026-03-23T00:00:00"/>
    <n v="220"/>
    <x v="0"/>
    <s v="AGUAJE 6"/>
    <x v="2"/>
    <s v="17"/>
    <x v="8"/>
    <n v="8.8000000000000007"/>
    <s v="ASC-BAP"/>
    <n v="89"/>
    <d v="2025-12-24T00:00:00"/>
    <s v="PA 26"/>
    <n v="1.05"/>
    <n v="7"/>
    <n v="1232000"/>
    <n v="140000"/>
    <n v="14"/>
    <s v="GENESIS"/>
    <s v="TEXCUMAR"/>
    <s v="UNICO"/>
    <n v="24500"/>
    <n v="24893"/>
    <n v="24.666666666666668"/>
    <n v="27.613333333333333"/>
    <n v="2828.7499999999995"/>
    <n v="414552.24257464625"/>
    <n v="24400"/>
    <n v="23496.14"/>
    <n v="34"/>
    <n v="34.72"/>
    <n v="2670.0159090909087"/>
    <n v="307236.3928571429"/>
    <n v="48389.14"/>
    <n v="721788.63543178909"/>
    <n v="5498.7659090909083"/>
    <n v="2.7307865168539327"/>
    <n v="61.78388661899897"/>
    <n v="58.586739888943917"/>
    <n v="68893.75"/>
    <n v="39.900408580183857"/>
    <n v="1.423744046701388"/>
    <m/>
    <m/>
    <n v="393"/>
    <n v="-903.86000000000058"/>
    <n v="2.9466666666666654"/>
    <n v="0.71999999999999886"/>
    <s v="GUSTAVO CARRASCO"/>
    <s v="PA 17"/>
  </r>
  <r>
    <d v="2026-03-24T00:00:00"/>
    <n v="221"/>
    <x v="0"/>
    <s v="AGUAJE 6"/>
    <x v="2"/>
    <s v="24"/>
    <x v="7"/>
    <n v="14.61"/>
    <s v="ASC-BAP"/>
    <n v="88"/>
    <d v="2025-12-26T00:00:00"/>
    <s v="DO 6"/>
    <n v="0.67"/>
    <n v="3"/>
    <n v="2600580"/>
    <n v="178000"/>
    <n v="17.8"/>
    <s v="GENESIS"/>
    <s v="TEXCUMAR"/>
    <s v="UNICO"/>
    <n v="44000"/>
    <n v="44064.020000000004"/>
    <n v="29.75"/>
    <n v="33.090000000000003"/>
    <n v="3016.0177960301166"/>
    <n v="623967.16751921817"/>
    <n v="50600"/>
    <n v="51469.99"/>
    <n v="38"/>
    <n v="38.18"/>
    <n v="3522.9288158795343"/>
    <n v="612031.83499214251"/>
    <n v="95534.010000000009"/>
    <n v="1235999.0025113607"/>
    <n v="6538.9466119096514"/>
    <n v="3.0370454545454546"/>
    <n v="74.306211498973312"/>
    <n v="47.527820813486251"/>
    <n v="122465.53000000001"/>
    <n v="43.206707734428477"/>
    <n v="1.2819050514052535"/>
    <m/>
    <m/>
    <n v="64.020000000004075"/>
    <n v="869.98999999999796"/>
    <n v="3.3400000000000034"/>
    <n v="0.17999999999999972"/>
    <s v="JOSE CEDEÑO"/>
    <s v="DO 24"/>
  </r>
  <r>
    <d v="2026-03-24T00:00:00"/>
    <n v="222"/>
    <x v="0"/>
    <s v="AGUAJE 6"/>
    <x v="2"/>
    <s v="26"/>
    <x v="7"/>
    <n v="6.91"/>
    <s v="ASC-BAP"/>
    <n v="79"/>
    <d v="2026-01-04T00:00:00"/>
    <s v="DO 13"/>
    <n v="1.28"/>
    <n v="9"/>
    <n v="1174700"/>
    <n v="170000"/>
    <n v="17"/>
    <s v="GENESIS"/>
    <s v="TEXCUMAR"/>
    <s v="UNICO"/>
    <n v="21000"/>
    <n v="20117.71"/>
    <n v="25"/>
    <n v="25.549999999999997"/>
    <n v="2911.3907380607811"/>
    <n v="359530.87521777005"/>
    <n v="31300"/>
    <n v="34077.879999999997"/>
    <n v="40"/>
    <n v="44.96"/>
    <n v="4931.675832127351"/>
    <n v="344113.82384341635"/>
    <n v="54195.59"/>
    <n v="703644.6990611864"/>
    <n v="7843.0665701881326"/>
    <n v="3.9837974683544304"/>
    <n v="99.279323673267498"/>
    <n v="59.89994884320987"/>
    <n v="66909.61"/>
    <n v="55.597281503599625"/>
    <n v="1.2345951026642574"/>
    <m/>
    <m/>
    <n v="-882.29000000000087"/>
    <n v="2777.8799999999974"/>
    <n v="0.54999999999999716"/>
    <n v="4.9600000000000009"/>
    <s v="JOSE CEDEÑO"/>
    <s v="DO 26"/>
  </r>
  <r>
    <d v="2026-03-24T00:00:00"/>
    <n v="223"/>
    <x v="0"/>
    <s v="AGUAJE 6"/>
    <x v="2"/>
    <s v="08"/>
    <x v="11"/>
    <n v="8"/>
    <s v="ASC-BAP"/>
    <n v="66"/>
    <d v="2026-01-17T00:00:00"/>
    <s v="TA PC 9"/>
    <n v="5"/>
    <n v="5"/>
    <n v="1440000"/>
    <n v="180000"/>
    <n v="18"/>
    <s v="LARVASLAB"/>
    <s v="TEXCUMAR"/>
    <s v="UNICO"/>
    <n v="36950"/>
    <n v="39503.1"/>
    <n v="25.666666666666668"/>
    <n v="26.83666666666667"/>
    <n v="4937.8874999999998"/>
    <n v="697378.81078599533"/>
    <n v="42300"/>
    <n v="45724.61"/>
    <n v="38"/>
    <n v="40.76"/>
    <n v="5715.5762500000001"/>
    <n v="509297.66781158006"/>
    <n v="85227.709999999992"/>
    <n v="1206676.4785975753"/>
    <n v="10653.463749999999"/>
    <n v="4.3230303030303023"/>
    <n v="161.4161174242424"/>
    <n v="83.796977680387172"/>
    <n v="102403.67"/>
    <n v="87.973484848484844"/>
    <n v="1.2015302300155666"/>
    <m/>
    <m/>
    <n v="2553.0999999999985"/>
    <n v="3424.6100000000006"/>
    <n v="1.1700000000000017"/>
    <n v="2.759999999999998"/>
    <s v="ALFONSO GRUNAUER"/>
    <s v="TA 08"/>
  </r>
  <r>
    <d v="2026-03-25T00:00:00"/>
    <n v="224"/>
    <x v="0"/>
    <s v="AGUAJE 6"/>
    <x v="2"/>
    <s v="05"/>
    <x v="4"/>
    <n v="7.67"/>
    <s v="CONVENCIONAL"/>
    <n v="80"/>
    <d v="2026-01-04T00:00:00"/>
    <s v="DE 3"/>
    <n v="0.27"/>
    <n v="15"/>
    <n v="1227200"/>
    <n v="160000"/>
    <n v="16"/>
    <s v="GRILSAN"/>
    <s v="AQUAGEN"/>
    <s v="UNICO"/>
    <n v="20800"/>
    <n v="19873.620000000003"/>
    <n v="24"/>
    <n v="24.54"/>
    <n v="2591.0847457627124"/>
    <n v="392593.94235474017"/>
    <n v="26700"/>
    <n v="25806.079999999998"/>
    <n v="33"/>
    <n v="36.6"/>
    <n v="3364.5475880052149"/>
    <n v="320108.20546448079"/>
    <n v="45679.7"/>
    <n v="712702.14781922102"/>
    <n v="5955.6323337679269"/>
    <n v="3.2025000000000001"/>
    <n v="74.445404172099089"/>
    <n v="58.075468368580594"/>
    <n v="65283.717500000006"/>
    <n v="48.260267275097782"/>
    <n v="1.4291625711202134"/>
    <m/>
    <m/>
    <n v="-926.37999999999738"/>
    <n v="-893.92000000000189"/>
    <n v="0.53999999999999915"/>
    <n v="3.6000000000000014"/>
    <s v="CARLOS FLORES"/>
    <s v="DE 05"/>
  </r>
  <r>
    <d v="2026-03-25T00:00:00"/>
    <n v="225"/>
    <x v="0"/>
    <s v="AGUAJE 6"/>
    <x v="2"/>
    <s v="13"/>
    <x v="10"/>
    <n v="2.25"/>
    <s v="CONVENCIONAL"/>
    <n v="82"/>
    <d v="2026-01-02T00:00:00"/>
    <s v="GT PC 6"/>
    <n v="0.4"/>
    <n v="17"/>
    <n v="337500"/>
    <n v="150000"/>
    <n v="15"/>
    <s v="AQUANOVA"/>
    <s v="TEXCUMAR"/>
    <s v="UNICO"/>
    <n v="6200"/>
    <n v="6860"/>
    <n v="27.5"/>
    <n v="27.84"/>
    <n v="3048.8888888888887"/>
    <n v="113517.90008460321"/>
    <n v="7600"/>
    <n v="7794.52"/>
    <n v="32"/>
    <n v="30.9"/>
    <n v="3464.2311111111112"/>
    <n v="114521.42653721683"/>
    <n v="14654.52"/>
    <n v="228039.32662182004"/>
    <n v="6513.12"/>
    <n v="2.6378048780487804"/>
    <n v="79.428292682926823"/>
    <n v="67.56720788794668"/>
    <n v="21660.195"/>
    <n v="53.252032520325209"/>
    <n v="1.4780555760270551"/>
    <m/>
    <m/>
    <n v="660"/>
    <n v="194.52000000000044"/>
    <n v="0.33999999999999986"/>
    <n v="-1.1000000000000014"/>
    <s v="JULIO SANTOS"/>
    <s v="GT 13"/>
  </r>
  <r>
    <d v="2026-03-25T00:00:00"/>
    <n v="226"/>
    <x v="0"/>
    <s v="AGUAJE 6"/>
    <x v="2"/>
    <s v="01"/>
    <x v="6"/>
    <n v="4.5"/>
    <s v="CONVENCIONAL"/>
    <n v="76"/>
    <d v="2026-01-08T00:00:00"/>
    <s v="WA PS 9"/>
    <n v="1.35"/>
    <n v="51"/>
    <n v="742500"/>
    <n v="165000"/>
    <n v="16.5"/>
    <s v="MEGALATINA"/>
    <s v="TEXCUMAR"/>
    <s v="UNICO"/>
    <n v="0"/>
    <n v="0"/>
    <n v="0"/>
    <n v="0"/>
    <n v="0"/>
    <n v="0"/>
    <n v="17800"/>
    <n v="20474.09"/>
    <n v="18"/>
    <n v="18.399999999999999"/>
    <n v="4549.7977777777778"/>
    <n v="505175.9163043478"/>
    <n v="20474.09"/>
    <n v="505175.9163043478"/>
    <n v="4549.7977777777778"/>
    <n v="1.6947368421052629"/>
    <n v="59.865760233918131"/>
    <n v="68.037160445030011"/>
    <n v="31071.632400000002"/>
    <n v="41.210526315789473"/>
    <n v="1.5176074931779631"/>
    <m/>
    <m/>
    <n v="0"/>
    <n v="2674.09"/>
    <n v="0"/>
    <n v="0.39999999999999858"/>
    <s v="JUNIOR ESQUIVEL"/>
    <s v="WA 01"/>
  </r>
  <r>
    <d v="2026-03-26T00:00:00"/>
    <n v="227"/>
    <x v="0"/>
    <s v="AGUAJE 6"/>
    <x v="2"/>
    <s v="12"/>
    <x v="10"/>
    <n v="8"/>
    <s v="CONVENCIONAL"/>
    <n v="83"/>
    <d v="2026-01-02T00:00:00"/>
    <s v="GT PC 6"/>
    <n v="0.4"/>
    <n v="13"/>
    <n v="1200000"/>
    <n v="150000"/>
    <n v="15"/>
    <s v="AQUANOVA"/>
    <s v="TEXCUMAR"/>
    <s v="UNICO"/>
    <n v="8000"/>
    <n v="8960.41"/>
    <n v="27"/>
    <n v="26.2"/>
    <n v="1120.05125"/>
    <n v="155268.17328244276"/>
    <n v="32700"/>
    <n v="34479.31"/>
    <n v="30"/>
    <n v="30.06"/>
    <n v="4309.9137499999997"/>
    <n v="520745.40053226874"/>
    <n v="43439.72"/>
    <n v="676013.57381471153"/>
    <n v="5429.9650000000001"/>
    <n v="2.5351807228915662"/>
    <n v="65.42126506024097"/>
    <n v="56.334464484559298"/>
    <n v="78153.070000000007"/>
    <n v="53.388554216867469"/>
    <n v="1.7991154178710178"/>
    <m/>
    <m/>
    <n v="960.40999999999985"/>
    <n v="1779.3099999999977"/>
    <n v="-0.80000000000000071"/>
    <n v="5.9999999999998721E-2"/>
    <s v="JULIO SANTOS"/>
    <s v="GT 12"/>
  </r>
  <r>
    <d v="2026-03-26T00:00:00"/>
    <n v="228"/>
    <x v="0"/>
    <s v="AGUAJE 6"/>
    <x v="2"/>
    <s v="20"/>
    <x v="1"/>
    <n v="3.9"/>
    <s v="ASC-BAP"/>
    <n v="87"/>
    <d v="2025-12-29T00:00:00"/>
    <s v="TI 39"/>
    <n v="0.44"/>
    <n v="8"/>
    <n v="780000"/>
    <n v="200000"/>
    <n v="20"/>
    <s v="EMPAGRAN"/>
    <s v="EMPAGRAN"/>
    <s v="UNICO"/>
    <n v="15200"/>
    <n v="15963.23"/>
    <n v="23"/>
    <n v="24.2"/>
    <n v="4093.1358974358973"/>
    <n v="301094.85655477806"/>
    <n v="28250"/>
    <n v="29494.82"/>
    <n v="33"/>
    <n v="33.729999999999997"/>
    <n v="7562.7743589743586"/>
    <n v="396995.20545508451"/>
    <n v="45458.05"/>
    <n v="698090.06200986262"/>
    <n v="11655.910256410258"/>
    <n v="2.7139080459770111"/>
    <n v="133.97597995873861"/>
    <n v="89.498725898700343"/>
    <n v="65897.698600000003"/>
    <n v="88.096080165045692"/>
    <n v="1.449637602140875"/>
    <m/>
    <m/>
    <n v="763.22999999999956"/>
    <n v="1244.8199999999997"/>
    <n v="1.1999999999999993"/>
    <n v="0.72999999999999687"/>
    <s v="ALFONSO GRUNAUER"/>
    <s v="TI 20"/>
  </r>
  <r>
    <d v="2026-03-27T00:00:00"/>
    <n v="229"/>
    <x v="0"/>
    <s v="AGUAJE 6"/>
    <x v="2"/>
    <s v="10"/>
    <x v="10"/>
    <n v="5.75"/>
    <s v="CONVENCIONAL"/>
    <n v="82"/>
    <d v="2026-01-04T00:00:00"/>
    <s v="GT 5"/>
    <n v="0.62"/>
    <n v="14"/>
    <n v="862500"/>
    <n v="150000"/>
    <n v="15"/>
    <s v="TECSERV"/>
    <s v="EMPAGRAN"/>
    <s v="UNICO"/>
    <n v="9800"/>
    <n v="10920.76"/>
    <n v="23.25"/>
    <n v="24.46"/>
    <n v="1899.2626086956523"/>
    <n v="212531.01301498662"/>
    <n v="23250"/>
    <n v="25440.07"/>
    <n v="33"/>
    <n v="31.46"/>
    <n v="4424.3599999999997"/>
    <n v="367126.24856961216"/>
    <n v="36360.83"/>
    <n v="579657.2615845988"/>
    <n v="6323.6226086956522"/>
    <n v="2.6856097560975614"/>
    <n v="77.117348886532341"/>
    <n v="67.20663902430131"/>
    <n v="55555.920000000006"/>
    <n v="53.446447507953344"/>
    <n v="1.527905716123642"/>
    <m/>
    <m/>
    <n v="1120.7600000000002"/>
    <n v="2190.0699999999997"/>
    <n v="1.2100000000000009"/>
    <n v="-1.5399999999999991"/>
    <s v="JULIO SANTOS"/>
    <s v="GT 10"/>
  </r>
  <r>
    <d v="2026-03-27T00:00:00"/>
    <n v="230"/>
    <x v="0"/>
    <s v="AGUAJE 6"/>
    <x v="2"/>
    <s v="13"/>
    <x v="5"/>
    <n v="1.6"/>
    <s v="CONVENCIONAL"/>
    <n v="71"/>
    <d v="2026-01-15T00:00:00"/>
    <s v="ME 12"/>
    <n v="1"/>
    <n v="8"/>
    <n v="240000"/>
    <n v="150000"/>
    <n v="15"/>
    <s v="TECSERV"/>
    <s v="SEMACUA"/>
    <s v="UNICO"/>
    <n v="2900"/>
    <n v="2999.06"/>
    <n v="37"/>
    <n v="36.1"/>
    <n v="1874.4124999999999"/>
    <n v="37716.710249307478"/>
    <n v="6600"/>
    <n v="5952.99"/>
    <n v="41"/>
    <n v="40.58"/>
    <n v="3720.6187499999996"/>
    <n v="66600.72597338591"/>
    <n v="8952.0499999999993"/>
    <n v="104317.43622269339"/>
    <n v="5595.0312499999991"/>
    <n v="4.0008450704225353"/>
    <n v="78.803257042253506"/>
    <n v="43.465598426122241"/>
    <n v="16754.96"/>
    <n v="66.90140845070421"/>
    <n v="1.8716338715713161"/>
    <m/>
    <m/>
    <n v="99.059999999999945"/>
    <n v="-647.01000000000022"/>
    <n v="-0.89999999999999858"/>
    <n v="-0.42000000000000171"/>
    <s v="NESTOR MOGOLLON"/>
    <s v="ME 13"/>
  </r>
  <r>
    <d v="2026-03-27T00:00:00"/>
    <n v="231"/>
    <x v="0"/>
    <s v="AGUAJE 6"/>
    <x v="2"/>
    <s v="05"/>
    <x v="1"/>
    <n v="10.88"/>
    <s v="ASC-BAP"/>
    <n v="92"/>
    <d v="2025-12-25T00:00:00"/>
    <s v="TI 31 - 32"/>
    <n v="0.45"/>
    <n v="8"/>
    <n v="1849600"/>
    <n v="170000"/>
    <n v="17"/>
    <s v="LARVASLAB"/>
    <s v="TEXCUMAR"/>
    <s v="UNICO"/>
    <n v="61200"/>
    <n v="63679.14"/>
    <n v="26"/>
    <n v="26.830000000000002"/>
    <n v="5852.8621323529405"/>
    <n v="1114768.2189861094"/>
    <n v="46000"/>
    <n v="46392.28"/>
    <n v="41"/>
    <n v="38.9"/>
    <n v="4263.9963235294117"/>
    <n v="541442.03393316199"/>
    <n v="110071.42"/>
    <n v="1656210.2529192714"/>
    <n v="10116.858455882351"/>
    <n v="2.9597826086956522"/>
    <n v="109.9658527813299"/>
    <n v="89.544239452815276"/>
    <n v="160935.80000000002"/>
    <n v="72.929987212276217"/>
    <n v="1.4621034233954646"/>
    <m/>
    <m/>
    <n v="2479.1399999999994"/>
    <n v="392.27999999999884"/>
    <n v="0.83000000000000185"/>
    <n v="-2.1000000000000014"/>
    <s v="ALFONSO GRUNAUER"/>
    <s v="TI 05"/>
  </r>
  <r>
    <d v="2026-03-28T00:00:00"/>
    <n v="232"/>
    <x v="0"/>
    <s v="AGUAJE 6"/>
    <x v="2"/>
    <s v="12"/>
    <x v="2"/>
    <n v="0.63"/>
    <s v="ASC-BAP"/>
    <n v="82"/>
    <d v="2026-01-05T00:00:00"/>
    <s v="CA 1B - PC15"/>
    <n v="0.62"/>
    <n v="7"/>
    <n v="81900"/>
    <n v="130000"/>
    <n v="13"/>
    <s v="AQUANOVA"/>
    <s v="TEXCUMAR"/>
    <s v="UNICO"/>
    <n v="0"/>
    <n v="0"/>
    <n v="0"/>
    <n v="0"/>
    <n v="0"/>
    <n v="0"/>
    <n v="3500"/>
    <n v="3644.5"/>
    <n v="36"/>
    <n v="40.6"/>
    <n v="5784.9206349206352"/>
    <n v="40753.768472906406"/>
    <n v="3644.5"/>
    <n v="40753.768472906406"/>
    <n v="5784.9206349206352"/>
    <n v="3.4658536585365858"/>
    <n v="70.54781262098335"/>
    <n v="49.760401065819785"/>
    <n v="6937.8762000000006"/>
    <n v="60.91753774680604"/>
    <n v="1.9036565235286049"/>
    <m/>
    <m/>
    <n v="0"/>
    <n v="144.5"/>
    <n v="0"/>
    <n v="4.6000000000000014"/>
    <s v="VICTOR QUINTANA"/>
    <s v="CA 12"/>
  </r>
  <r>
    <d v="2026-03-28T00:00:00"/>
    <n v="233"/>
    <x v="0"/>
    <s v="AGUAJE 6"/>
    <x v="2"/>
    <s v="13"/>
    <x v="2"/>
    <n v="0.87"/>
    <s v="ASC-BAP"/>
    <n v="82"/>
    <d v="2026-01-05T00:00:00"/>
    <s v="CA 1B - PC15"/>
    <n v="0.62"/>
    <n v="7"/>
    <n v="113100"/>
    <n v="130000"/>
    <n v="13"/>
    <s v="AQUANOVA"/>
    <s v="TEXCUMAR"/>
    <s v="UNICO"/>
    <n v="0"/>
    <n v="0"/>
    <n v="0"/>
    <n v="0"/>
    <n v="0"/>
    <n v="0"/>
    <n v="4000"/>
    <n v="4348.13"/>
    <n v="33"/>
    <n v="36.82"/>
    <n v="4997.8505747126437"/>
    <n v="53613.552960347639"/>
    <n v="4348.13"/>
    <n v="53613.552960347639"/>
    <n v="4997.8505747126437"/>
    <n v="3.1431707317073174"/>
    <n v="60.949397252593215"/>
    <n v="47.403671936646894"/>
    <n v="7120.8580000000002"/>
    <n v="45.276142416596578"/>
    <n v="1.6376828659676688"/>
    <m/>
    <m/>
    <n v="0"/>
    <n v="348.13000000000011"/>
    <n v="0"/>
    <n v="3.8200000000000003"/>
    <s v="VICTOR QUINTANA"/>
    <s v="CA 13"/>
  </r>
  <r>
    <d v="2026-03-28T00:00:00"/>
    <n v="234"/>
    <x v="0"/>
    <s v="AGUAJE 6"/>
    <x v="2"/>
    <s v="11"/>
    <x v="10"/>
    <n v="4.42"/>
    <s v="CONVENCIONAL"/>
    <n v="83"/>
    <d v="2026-01-04T00:00:00"/>
    <s v="GT PC 5"/>
    <n v="0.62"/>
    <n v="15"/>
    <n v="663000"/>
    <n v="150000"/>
    <n v="15"/>
    <s v="TECSERV"/>
    <s v="EMPAGRAN"/>
    <s v="UNICO"/>
    <n v="11100"/>
    <n v="11400.009999999998"/>
    <n v="21"/>
    <n v="22.58"/>
    <n v="2579.1877828054294"/>
    <n v="231068.81652333555"/>
    <n v="11100"/>
    <n v="11440.800000000001"/>
    <n v="25"/>
    <n v="28.11"/>
    <n v="2588.4162895927607"/>
    <n v="184778.48452508004"/>
    <n v="22840.809999999998"/>
    <n v="415847.3010484156"/>
    <n v="5167.6040723981896"/>
    <n v="2.370722891566265"/>
    <n v="62.260290028893849"/>
    <n v="62.72206652313961"/>
    <n v="44698.264999999999"/>
    <n v="55.266314125279401"/>
    <n v="1.956947455015825"/>
    <m/>
    <m/>
    <n v="300.0099999999984"/>
    <n v="340.80000000000109"/>
    <n v="1.5799999999999983"/>
    <n v="3.1099999999999994"/>
    <s v="JULIO SANTOS"/>
    <s v="GT 11"/>
  </r>
  <r>
    <d v="2026-03-29T00:00:00"/>
    <n v="235"/>
    <x v="0"/>
    <s v="AGUAJE 7"/>
    <x v="2"/>
    <s v="21"/>
    <x v="2"/>
    <n v="4"/>
    <s v="ASC-BAP"/>
    <n v="82"/>
    <d v="2026-01-06T00:00:00"/>
    <s v="CA 15"/>
    <n v="0.52"/>
    <n v="6"/>
    <n v="700000"/>
    <n v="175000"/>
    <n v="17.5"/>
    <s v="AQUANOVA"/>
    <s v="TEXCUMAR"/>
    <s v="UNICO"/>
    <n v="0"/>
    <n v="0"/>
    <n v="0"/>
    <n v="0"/>
    <n v="0"/>
    <n v="0"/>
    <n v="23000"/>
    <n v="25540.16"/>
    <n v="40"/>
    <n v="39"/>
    <n v="6385.04"/>
    <n v="297313.65743589745"/>
    <n v="25540.16"/>
    <n v="297313.65743589745"/>
    <n v="6385.04"/>
    <n v="3.3292682926829271"/>
    <n v="77.866341463414628"/>
    <n v="42.473379633699636"/>
    <n v="40261.5075"/>
    <n v="55.678353658536587"/>
    <n v="1.5763999716524877"/>
    <m/>
    <m/>
    <n v="0"/>
    <n v="2540.16"/>
    <n v="0"/>
    <n v="-1"/>
    <s v="VICTOR QUINTANA"/>
    <s v="CA 21"/>
  </r>
  <r>
    <d v="2026-03-30T00:00:00"/>
    <n v="236"/>
    <x v="0"/>
    <s v="AGUAJE 7"/>
    <x v="2"/>
    <s v="02"/>
    <x v="10"/>
    <n v="4"/>
    <s v="CONVENCIONAL"/>
    <n v="81"/>
    <d v="2026-01-08T00:00:00"/>
    <s v="GT PC 3"/>
    <n v="0.47"/>
    <n v="16"/>
    <n v="600000"/>
    <n v="150000"/>
    <n v="15"/>
    <s v="GENESIS"/>
    <s v="TEXCUMAR"/>
    <s v="UNICO"/>
    <n v="8200"/>
    <n v="8892.7599999999984"/>
    <n v="24.5"/>
    <n v="27.060000000000002"/>
    <n v="2223.1899999999996"/>
    <n v="153355.19260605791"/>
    <n v="14100"/>
    <n v="16100.33"/>
    <n v="32"/>
    <n v="35.93"/>
    <n v="4025.0825"/>
    <n v="203438.62566100754"/>
    <n v="24993.089999999997"/>
    <n v="356793.81826706545"/>
    <n v="6248.2724999999991"/>
    <n v="3.1050617283950617"/>
    <n v="77.139166666666654"/>
    <n v="59.465636377844241"/>
    <n v="39021.420000000006"/>
    <n v="54.629629629629626"/>
    <n v="1.5612883400972033"/>
    <m/>
    <m/>
    <n v="692.7599999999984"/>
    <n v="2000.33"/>
    <n v="2.5600000000000023"/>
    <n v="3.9299999999999997"/>
    <s v="JULIO SANTOS"/>
    <s v="GT 02"/>
  </r>
  <r>
    <d v="2026-03-30T00:00:00"/>
    <n v="237"/>
    <x v="0"/>
    <s v="AGUAJE 7"/>
    <x v="2"/>
    <s v="12"/>
    <x v="1"/>
    <n v="3.81"/>
    <s v="ASC-BAP"/>
    <n v="86"/>
    <d v="2026-01-03T00:00:00"/>
    <s v="TI 30"/>
    <n v="0.64"/>
    <n v="7"/>
    <n v="876300"/>
    <n v="230000"/>
    <n v="23"/>
    <s v="NARIHUALA"/>
    <s v="TEXCUMAR"/>
    <s v="UNICO"/>
    <n v="10200"/>
    <n v="11234.810000000001"/>
    <n v="22"/>
    <n v="22.55"/>
    <n v="2948.7690288713916"/>
    <n v="238864.20090426219"/>
    <n v="24800"/>
    <n v="25465.66"/>
    <n v="35.200000000000003"/>
    <n v="34.54"/>
    <n v="6683.9002624671912"/>
    <n v="334725.23566878983"/>
    <n v="36700.47"/>
    <n v="573589.43657305208"/>
    <n v="9632.6692913385832"/>
    <n v="2.811395348837209"/>
    <n v="112.00778245742539"/>
    <n v="65.455829804068472"/>
    <n v="58532.130000000005"/>
    <n v="81.02911554660318"/>
    <n v="1.5948605017864894"/>
    <m/>
    <m/>
    <n v="1034.8100000000013"/>
    <n v="665.65999999999985"/>
    <n v="0.55000000000000071"/>
    <n v="-0.66000000000000369"/>
    <s v="ALFONSO GRUNAUER"/>
    <s v="TI 12"/>
  </r>
  <r>
    <d v="2026-03-31T00:00:00"/>
    <n v="238"/>
    <x v="0"/>
    <s v="AGUAJE 7"/>
    <x v="2"/>
    <s v="11"/>
    <x v="9"/>
    <n v="2"/>
    <s v="ASC-BAP"/>
    <n v="74"/>
    <d v="2026-01-16T00:00:00"/>
    <s v="RO 16"/>
    <n v="0.92"/>
    <n v="8"/>
    <n v="340000"/>
    <n v="170000"/>
    <n v="17"/>
    <s v="BIOLACAM"/>
    <s v="TEXCUMAR"/>
    <s v="UNICO"/>
    <n v="2000"/>
    <n v="2946.8"/>
    <n v="27"/>
    <n v="28.42"/>
    <n v="1473.4"/>
    <n v="47074.144968332163"/>
    <n v="8200"/>
    <n v="9543.85"/>
    <n v="29"/>
    <n v="28.6"/>
    <n v="4771.9250000000002"/>
    <n v="151500.27622377622"/>
    <n v="12490.650000000001"/>
    <n v="198574.42119210839"/>
    <n v="6245.3250000000007"/>
    <n v="2.7054054054054055"/>
    <n v="84.396283783783787"/>
    <n v="58.404241527090704"/>
    <n v="18155.9833"/>
    <n v="55.645270270270274"/>
    <n v="1.4535659313166247"/>
    <m/>
    <m/>
    <n v="946.80000000000018"/>
    <n v="1343.8500000000004"/>
    <n v="1.4200000000000017"/>
    <n v="-0.39999999999999858"/>
    <s v="VICTOR QUINTANA"/>
    <s v="RO 11"/>
  </r>
  <r>
    <d v="2026-03-31T00:00:00"/>
    <n v="239"/>
    <x v="0"/>
    <s v="AGUAJE 7"/>
    <x v="2"/>
    <s v="10"/>
    <x v="3"/>
    <n v="7.8"/>
    <s v="ASC"/>
    <n v="87"/>
    <d v="2026-01-03T00:00:00"/>
    <s v="CH 4"/>
    <n v="0.48"/>
    <n v="7"/>
    <n v="1404000"/>
    <n v="180000"/>
    <n v="18"/>
    <s v="NARIHUALA"/>
    <s v="TEXCUMAR"/>
    <s v="UNICO"/>
    <n v="42400"/>
    <n v="40298.22"/>
    <n v="24"/>
    <n v="25.126666666666665"/>
    <n v="5166.4384615384615"/>
    <n v="707228.8518694716"/>
    <n v="17600"/>
    <n v="18789.560000000001"/>
    <n v="30"/>
    <n v="30"/>
    <n v="2408.917948717949"/>
    <n v="284348.67466666666"/>
    <n v="59087.78"/>
    <n v="991577.52653613826"/>
    <n v="7575.3564102564105"/>
    <n v="2.4137931034482758"/>
    <n v="87.073062186855296"/>
    <n v="70.625179952716394"/>
    <n v="91876.705000000002"/>
    <n v="61.413203654582965"/>
    <n v="1.554918885089269"/>
    <m/>
    <m/>
    <n v="-2101.7799999999988"/>
    <n v="1189.5600000000013"/>
    <n v="1.1266666666666652"/>
    <n v="0"/>
    <s v="SANTIAGO OBRIEN"/>
    <s v="CH 10"/>
  </r>
  <r>
    <d v="2026-04-01T00:00:00"/>
    <n v="240"/>
    <x v="0"/>
    <s v="AGUAJE 7"/>
    <x v="3"/>
    <s v="22"/>
    <x v="7"/>
    <n v="6.85"/>
    <s v="ASC-BAP"/>
    <n v="86"/>
    <d v="2026-01-05T00:00:00"/>
    <s v="DO 5"/>
    <n v="1.21"/>
    <n v="2"/>
    <n v="1507000"/>
    <n v="220000"/>
    <n v="22"/>
    <s v="EMPAGRAN"/>
    <s v="EMPAGRAN"/>
    <s v="UNICO"/>
    <n v="37700"/>
    <n v="39100.210000000006"/>
    <n v="25.333333333333332"/>
    <n v="26.326666666666664"/>
    <n v="5708.0598540146002"/>
    <n v="687196.4271531147"/>
    <n v="41900"/>
    <n v="42283.43"/>
    <n v="36"/>
    <n v="36.03"/>
    <n v="6172.7635036496358"/>
    <n v="532797.03635859"/>
    <n v="81383.640000000014"/>
    <n v="1219993.4635117047"/>
    <n v="11880.823357664236"/>
    <n v="2.9326744186046509"/>
    <n v="138.14910881004926"/>
    <n v="80.955107067797258"/>
    <n v="107970.285"/>
    <n v="83.135291122050589"/>
    <n v="1.3266829180901714"/>
    <m/>
    <m/>
    <n v="1400.2100000000064"/>
    <n v="383.43000000000029"/>
    <n v="0.99333333333333229"/>
    <n v="3.0000000000001137E-2"/>
    <s v="JOSE CEDEÑO"/>
    <s v="DO 22"/>
  </r>
  <r>
    <d v="2026-04-01T00:00:00"/>
    <n v="241"/>
    <x v="0"/>
    <s v="AGUAJE 7"/>
    <x v="3"/>
    <s v="11"/>
    <x v="6"/>
    <n v="10.3"/>
    <s v="CONVENCIONAL"/>
    <n v="95"/>
    <d v="2025-12-27T00:00:00"/>
    <s v="WA PS 10"/>
    <n v="0.72"/>
    <n v="68"/>
    <n v="1648000"/>
    <n v="160000"/>
    <n v="16"/>
    <s v="TECSERV"/>
    <s v="TEXCUMAR"/>
    <s v="UNICO"/>
    <n v="26800"/>
    <n v="27849.59"/>
    <n v="22"/>
    <n v="21.66"/>
    <n v="2703.843689320388"/>
    <n v="584833.55833621114"/>
    <n v="24900"/>
    <n v="28544.33"/>
    <n v="30"/>
    <n v="31.58"/>
    <n v="2771.2941747572813"/>
    <n v="410358.63901203295"/>
    <n v="56393.919999999998"/>
    <n v="995192.19734824402"/>
    <n v="5475.1378640776693"/>
    <n v="2.3269473684210524"/>
    <n v="57.633030148185995"/>
    <n v="60.38787605268471"/>
    <n v="90646.53820000001"/>
    <n v="42.020439448134894"/>
    <n v="1.6073814021085964"/>
    <m/>
    <m/>
    <n v="1049.5900000000001"/>
    <n v="3644.3300000000017"/>
    <n v="-0.33999999999999986"/>
    <n v="1.5799999999999983"/>
    <s v="JUNIOR ESQUIVEL"/>
    <s v="WA 11"/>
  </r>
  <r>
    <d v="2026-04-02T00:00:00"/>
    <n v="242"/>
    <x v="0"/>
    <s v="AGUAJE 7"/>
    <x v="3"/>
    <s v="10"/>
    <x v="2"/>
    <n v="2.36"/>
    <s v="ASC-BAP"/>
    <n v="75"/>
    <d v="2026-01-17T00:00:00"/>
    <s v="CA PS 1A"/>
    <n v="0.51"/>
    <n v="6"/>
    <n v="495600"/>
    <n v="210000"/>
    <n v="21"/>
    <s v="EMPAGRAN"/>
    <s v="EMPAGRAN"/>
    <s v="UNICO"/>
    <n v="1500"/>
    <n v="1541.26"/>
    <n v="22"/>
    <n v="38.86"/>
    <n v="653.07627118644075"/>
    <n v="18006.485846628926"/>
    <n v="11700"/>
    <n v="13656.88"/>
    <n v="33"/>
    <n v="35.24"/>
    <n v="5786.8135593220341"/>
    <n v="175942.77866061291"/>
    <n v="15198.14"/>
    <n v="193949.26450724184"/>
    <n v="6439.8898305084749"/>
    <n v="3.2890666666666672"/>
    <n v="85.865197740113004"/>
    <n v="39.134234162074627"/>
    <n v="21665.7065"/>
    <n v="55.522598870056498"/>
    <n v="1.4255498699182927"/>
    <m/>
    <m/>
    <n v="41.259999999999991"/>
    <n v="1956.8799999999992"/>
    <n v="16.86"/>
    <n v="2.240000000000002"/>
    <s v="VICTOR QUINTANA"/>
    <s v="CA 10"/>
  </r>
  <r>
    <d v="2026-04-02T00:00:00"/>
    <n v="243"/>
    <x v="0"/>
    <s v="AGUAJE 7"/>
    <x v="3"/>
    <s v="14"/>
    <x v="3"/>
    <n v="5.0999999999999996"/>
    <s v="ASC"/>
    <n v="89"/>
    <d v="2026-01-03T00:00:00"/>
    <s v="CH 6"/>
    <n v="0.53"/>
    <n v="6"/>
    <n v="918000"/>
    <n v="180000"/>
    <n v="18"/>
    <s v="NARIHUALA"/>
    <s v="TEXCUMAR"/>
    <s v="UNICO"/>
    <n v="12800"/>
    <n v="13184.89"/>
    <n v="20"/>
    <n v="19.420000000000002"/>
    <n v="2585.2725490196081"/>
    <n v="313313.05510645418"/>
    <n v="24700"/>
    <n v="25976.04"/>
    <n v="29"/>
    <n v="32.06"/>
    <n v="5093.3411764705888"/>
    <n v="367845.35745477228"/>
    <n v="39160.93"/>
    <n v="681158.4125612264"/>
    <n v="7678.6137254901969"/>
    <n v="2.5215730337078655"/>
    <n v="86.276558713372992"/>
    <n v="74.200262806233809"/>
    <n v="61453.225000000006"/>
    <n v="61.412205331570831"/>
    <n v="1.5692483554399757"/>
    <m/>
    <m/>
    <n v="384.88999999999942"/>
    <n v="1276.0400000000009"/>
    <n v="-0.57999999999999829"/>
    <n v="3.0600000000000023"/>
    <s v="SANTIAGO OBRIEN"/>
    <s v="CH 14"/>
  </r>
  <r>
    <d v="2026-04-02T00:00:00"/>
    <n v="244"/>
    <x v="0"/>
    <s v="AGUAJE 7"/>
    <x v="3"/>
    <s v="15"/>
    <x v="8"/>
    <n v="22.5"/>
    <s v="ASC-BAP"/>
    <n v="93"/>
    <d v="2025-12-30T00:00:00"/>
    <s v="PA 16"/>
    <n v="0.6"/>
    <n v="9"/>
    <n v="3416666"/>
    <n v="151851.82222222222"/>
    <n v="15.185182222222222"/>
    <s v="EMPAGRAN"/>
    <s v="EMPAGRAN"/>
    <s v="UNICO"/>
    <n v="107650"/>
    <n v="110278.9"/>
    <n v="24"/>
    <n v="24.108000000000001"/>
    <n v="4901.2844444444445"/>
    <n v="2080165.4010796682"/>
    <n v="25400"/>
    <n v="27175.75"/>
    <n v="29"/>
    <n v="26.06"/>
    <n v="1207.8111111111111"/>
    <n v="473437.85495011514"/>
    <n v="137454.65"/>
    <n v="2553603.2560297833"/>
    <n v="6109.0955555555556"/>
    <n v="1.9615053763440857"/>
    <n v="65.689199522102754"/>
    <n v="74.739622076895529"/>
    <n v="188768.875"/>
    <n v="40.919952210274793"/>
    <n v="1.373317490532332"/>
    <m/>
    <m/>
    <n v="2628.8999999999942"/>
    <n v="1775.75"/>
    <n v="0.10800000000000054"/>
    <n v="-2.9400000000000013"/>
    <s v="GUSTAVO CARRASCO"/>
    <s v="PA 15"/>
  </r>
  <r>
    <d v="2026-04-03T00:00:00"/>
    <n v="245"/>
    <x v="0"/>
    <s v="AGUAJE 7"/>
    <x v="3"/>
    <s v="03"/>
    <x v="10"/>
    <n v="7.52"/>
    <s v="CONVENCIONAL"/>
    <n v="85"/>
    <d v="2026-01-08T00:00:00"/>
    <s v="GT PC 3"/>
    <n v="0.47"/>
    <n v="15"/>
    <n v="1128000"/>
    <n v="150000"/>
    <n v="15"/>
    <s v="GENESIS"/>
    <s v="TEXCUMAR"/>
    <s v="UNICO"/>
    <n v="15800"/>
    <n v="16486.8"/>
    <n v="19"/>
    <n v="19.085000000000001"/>
    <n v="2192.3936170212764"/>
    <n v="391937.35402022349"/>
    <n v="27200"/>
    <n v="31524.12"/>
    <n v="26"/>
    <n v="26.82"/>
    <n v="4192.0372340425529"/>
    <n v="533629.77181208052"/>
    <n v="48010.92"/>
    <n v="925567.12583230401"/>
    <n v="6384.4308510638302"/>
    <n v="2.2087058823529411"/>
    <n v="75.110951188986235"/>
    <n v="82.053823212083685"/>
    <n v="81074.165000000008"/>
    <n v="57.532853566958707"/>
    <n v="1.6886609338042264"/>
    <m/>
    <m/>
    <n v="686.79999999999927"/>
    <n v="4324.119999999999"/>
    <n v="8.5000000000000853E-2"/>
    <n v="0.82000000000000028"/>
    <s v="JULIO SANTOS"/>
    <s v="GT 03"/>
  </r>
  <r>
    <d v="2026-04-03T00:00:00"/>
    <n v="246"/>
    <x v="0"/>
    <s v="AGUAJE 7"/>
    <x v="3"/>
    <s v="15"/>
    <x v="0"/>
    <n v="8.1"/>
    <s v="CONVENCIONAL"/>
    <n v="74"/>
    <d v="2026-01-19T00:00:00"/>
    <s v="PR PC 3"/>
    <n v="0.43"/>
    <n v="12"/>
    <n v="1458000"/>
    <n v="180000"/>
    <n v="18"/>
    <s v="TECSERV"/>
    <s v="SEMACUA"/>
    <s v="UNICO"/>
    <n v="0"/>
    <n v="0"/>
    <n v="0"/>
    <n v="0"/>
    <n v="0"/>
    <n v="0"/>
    <n v="33800"/>
    <n v="39479.160000000003"/>
    <n v="24"/>
    <n v="26.04"/>
    <n v="4873.9703703703708"/>
    <n v="688307.93548387103"/>
    <n v="39479.160000000003"/>
    <n v="688307.93548387103"/>
    <n v="4873.9703703703708"/>
    <n v="2.4632432432432432"/>
    <n v="65.864464464464476"/>
    <n v="47.209049072967836"/>
    <n v="55445.69"/>
    <n v="41.958625291958626"/>
    <n v="1.4044293242308092"/>
    <m/>
    <m/>
    <n v="0"/>
    <n v="5679.1600000000035"/>
    <n v="0"/>
    <n v="2.0399999999999991"/>
    <s v="WILMER TORRES"/>
    <s v="PR 15"/>
  </r>
  <r>
    <d v="2026-04-03T00:00:00"/>
    <n v="247"/>
    <x v="0"/>
    <s v="AGUAJE 7"/>
    <x v="3"/>
    <s v="14"/>
    <x v="9"/>
    <n v="9.3000000000000007"/>
    <s v="BAP"/>
    <n v="49"/>
    <d v="2026-02-13T00:00:00"/>
    <s v="RO 9"/>
    <n v="0.5"/>
    <n v="10"/>
    <n v="1656000"/>
    <n v="178064.51612903224"/>
    <n v="17.806451612903224"/>
    <s v="BIOLACAM"/>
    <s v="TEXCUMAR"/>
    <s v="UNICO"/>
    <n v="10550"/>
    <n v="12263.460000000001"/>
    <n v="17.5"/>
    <n v="17.989999999999998"/>
    <n v="1318.6516129032259"/>
    <n v="346980.05795434618"/>
    <n v="25500"/>
    <n v="30087.51"/>
    <n v="21"/>
    <n v="22.74"/>
    <n v="3235.2161290322579"/>
    <n v="600691.71240105538"/>
    <n v="42350.97"/>
    <n v="947671.77035540156"/>
    <n v="4553.8677419354835"/>
    <n v="3.2485714285714282"/>
    <n v="92.936076366030278"/>
    <n v="57.226556180881737"/>
    <n v="59358.855000000003"/>
    <n v="59.084924292297558"/>
    <n v="1.4015937533426035"/>
    <m/>
    <m/>
    <n v="1713.4600000000009"/>
    <n v="4587.5099999999984"/>
    <n v="0.48999999999999844"/>
    <n v="1.7399999999999984"/>
    <s v="VICTOR QUINTANA"/>
    <s v="RO 14"/>
  </r>
  <r>
    <d v="2026-04-04T00:00:00"/>
    <n v="248"/>
    <x v="0"/>
    <s v="AGUAJE 7"/>
    <x v="3"/>
    <s v="08"/>
    <x v="10"/>
    <n v="3.6"/>
    <s v="CONVENCIONAL"/>
    <n v="85"/>
    <d v="2026-01-09T00:00:00"/>
    <s v="GT PC 1"/>
    <n v="0.62"/>
    <n v="16"/>
    <n v="540000"/>
    <n v="150000"/>
    <n v="15"/>
    <s v="GRILSAN"/>
    <s v="AQUAGEN"/>
    <s v="UNICO"/>
    <n v="8000"/>
    <n v="8610.5"/>
    <n v="24"/>
    <n v="24.79"/>
    <n v="2391.8055555555557"/>
    <n v="159358.3431095691"/>
    <n v="16100"/>
    <n v="17430.53"/>
    <n v="35"/>
    <n v="34.97"/>
    <n v="4841.8138888888889"/>
    <n v="226292.84014869886"/>
    <n v="26041.03"/>
    <n v="385651.18325826793"/>
    <n v="7233.6194444444436"/>
    <n v="2.8798823529411766"/>
    <n v="85.101405228758153"/>
    <n v="71.416885788568138"/>
    <n v="40123.72"/>
    <n v="59.477124183006538"/>
    <n v="1.5407885171976685"/>
    <m/>
    <m/>
    <n v="610.5"/>
    <n v="1330.5299999999988"/>
    <n v="0.78999999999999915"/>
    <n v="-3.0000000000001137E-2"/>
    <s v="JULIO SANTOS"/>
    <s v="GT 08"/>
  </r>
  <r>
    <d v="2026-04-04T00:00:00"/>
    <n v="249"/>
    <x v="0"/>
    <s v="AGUAJE 7"/>
    <x v="3"/>
    <s v="02"/>
    <x v="0"/>
    <n v="3"/>
    <s v="CONVENCIONAL"/>
    <n v="75"/>
    <d v="2026-01-19T00:00:00"/>
    <s v="PR 4"/>
    <n v="0.43"/>
    <n v="4"/>
    <n v="540000"/>
    <n v="180000"/>
    <n v="18"/>
    <s v="GABSO"/>
    <s v="TEXCUMAR"/>
    <s v="UNICO"/>
    <n v="0"/>
    <n v="0"/>
    <n v="0"/>
    <n v="0"/>
    <n v="0"/>
    <n v="0"/>
    <n v="12500"/>
    <n v="14630.85"/>
    <n v="25"/>
    <n v="25.62"/>
    <n v="4876.95"/>
    <n v="259266.42857142858"/>
    <n v="14630.85"/>
    <n v="259266.42857142858"/>
    <n v="4876.95"/>
    <n v="2.3912000000000004"/>
    <n v="65.025999999999996"/>
    <n v="48.012301587301586"/>
    <n v="22674.311000000002"/>
    <n v="45.711111111111116"/>
    <n v="1.5497603351821665"/>
    <m/>
    <m/>
    <n v="0"/>
    <n v="2130.8500000000004"/>
    <n v="0"/>
    <n v="0.62000000000000099"/>
    <s v="WILMER TORRES"/>
    <s v="PR 02"/>
  </r>
  <r>
    <d v="2026-04-04T00:00:00"/>
    <n v="250"/>
    <x v="0"/>
    <s v="AGUAJE 7"/>
    <x v="3"/>
    <s v="03"/>
    <x v="0"/>
    <n v="2.5"/>
    <s v="CONVENCIONAL"/>
    <n v="78"/>
    <d v="2026-01-16T00:00:00"/>
    <s v="PR 4"/>
    <n v="0.43"/>
    <n v="11"/>
    <n v="450000"/>
    <n v="180000"/>
    <n v="18"/>
    <s v="GABSO"/>
    <s v="TEXCUMAR"/>
    <s v="UNICO"/>
    <n v="0"/>
    <n v="0"/>
    <n v="0"/>
    <n v="0"/>
    <n v="0"/>
    <n v="0"/>
    <n v="13000"/>
    <n v="15089.4"/>
    <n v="26"/>
    <n v="26.22"/>
    <n v="6035.76"/>
    <n v="261273.36384439358"/>
    <n v="15089.4"/>
    <n v="261273.36384439358"/>
    <n v="6035.76"/>
    <n v="2.3530769230769231"/>
    <n v="77.381538461538469"/>
    <n v="58.060747520976349"/>
    <n v="22828.633000000002"/>
    <n v="53.102564102564102"/>
    <n v="1.5128920301668722"/>
    <m/>
    <m/>
    <n v="0"/>
    <n v="2089.3999999999996"/>
    <n v="0"/>
    <n v="0.21999999999999886"/>
    <s v="WILMER TORRES"/>
    <s v="PR 03"/>
  </r>
  <r>
    <d v="2026-04-04T00:00:00"/>
    <n v="251"/>
    <x v="0"/>
    <s v="AGUAJE 7"/>
    <x v="3"/>
    <s v="36"/>
    <x v="6"/>
    <n v="10"/>
    <s v="CONVENCIONAL"/>
    <n v="99"/>
    <d v="2025-12-26T00:00:00"/>
    <s v="WA PC 18"/>
    <n v="0.63"/>
    <n v="53"/>
    <n v="1550000"/>
    <n v="155000"/>
    <n v="15.5"/>
    <s v="TECSERV"/>
    <s v="TEXCUMAR"/>
    <s v="UNICO"/>
    <n v="30321"/>
    <n v="35784.409999999996"/>
    <n v="26"/>
    <n v="25.67"/>
    <n v="3578.4409999999998"/>
    <n v="625785.12001639185"/>
    <n v="17850"/>
    <n v="21725.439999999999"/>
    <n v="31"/>
    <n v="28.96"/>
    <n v="2172.5439999999999"/>
    <n v="340585.28176795581"/>
    <n v="57509.849999999991"/>
    <n v="966370.4017843476"/>
    <n v="5750.9849999999988"/>
    <n v="2.047676767676768"/>
    <n v="58.090757575757564"/>
    <n v="62.34647753447404"/>
    <n v="88611.6924"/>
    <n v="40.6"/>
    <n v="1.5408089640296403"/>
    <m/>
    <m/>
    <n v="5463.4099999999962"/>
    <n v="3875.4399999999987"/>
    <n v="-0.32999999999999829"/>
    <n v="-2.0399999999999991"/>
    <s v="JUNIOR ESQUIVEL"/>
    <s v="WA 36"/>
  </r>
  <r>
    <d v="2026-04-04T00:00:00"/>
    <n v="257"/>
    <x v="0"/>
    <s v="AGUAJE 7"/>
    <x v="3"/>
    <s v="17"/>
    <x v="2"/>
    <n v="7.5"/>
    <s v="ASC-BAP"/>
    <n v="83"/>
    <d v="2026-01-11T00:00:00"/>
    <s v="CA PC 6"/>
    <n v="0.46"/>
    <n v="6"/>
    <n v="1350000"/>
    <n v="180000"/>
    <n v="18"/>
    <s v="DEONES"/>
    <s v="TEXCUMAR"/>
    <s v="UNICO"/>
    <n v="23200"/>
    <n v="24052.02"/>
    <n v="27.333333333333332"/>
    <n v="28.78"/>
    <n v="3206.9360000000001"/>
    <n v="377001.73887248145"/>
    <n v="20800"/>
    <n v="24503.24"/>
    <n v="33"/>
    <n v="34.619999999999997"/>
    <n v="3267.0986666666668"/>
    <n v="321330.7614095899"/>
    <n v="48555.26"/>
    <n v="698332.5002820713"/>
    <n v="6474.0346666666674"/>
    <n v="2.919759036144578"/>
    <n v="78.000417670682737"/>
    <n v="51.728333354227509"/>
    <n v="75865.797500000001"/>
    <n v="55.281124497991961"/>
    <n v="1.5624630060677256"/>
    <m/>
    <m/>
    <n v="852.02000000000044"/>
    <n v="3703.2400000000016"/>
    <n v="1.446666666666669"/>
    <n v="1.6199999999999974"/>
    <s v="VICTOR QUINTANA"/>
    <s v="CA 17"/>
  </r>
  <r>
    <d v="2026-04-04T00:00:00"/>
    <n v="252"/>
    <x v="0"/>
    <s v="AGUAJE 7"/>
    <x v="3"/>
    <s v="09"/>
    <x v="5"/>
    <n v="7.6"/>
    <s v="CONVENCIONAL"/>
    <n v="46"/>
    <d v="2026-02-17T00:00:00"/>
    <s v="ME PC 8"/>
    <n v="4"/>
    <n v="9"/>
    <n v="1064000"/>
    <n v="140000"/>
    <n v="14"/>
    <s v="GENESIS"/>
    <s v="TEXCUMAR"/>
    <s v="UNICO"/>
    <n v="27400"/>
    <n v="27071.879999999997"/>
    <n v="25"/>
    <n v="25.515000000000001"/>
    <n v="3562.0894736842101"/>
    <n v="454598.55441506766"/>
    <n v="12400"/>
    <n v="12770.9"/>
    <n v="30"/>
    <n v="30.92"/>
    <n v="1680.3815789473686"/>
    <n v="187515.80206985769"/>
    <n v="39842.78"/>
    <n v="642114.35648492537"/>
    <n v="5242.4710526315794"/>
    <n v="4.7052173913043482"/>
    <n v="113.96676201372999"/>
    <n v="60.349093654598249"/>
    <n v="36431.014999999999"/>
    <n v="47.268306636155607"/>
    <n v="0.91436930354759383"/>
    <m/>
    <m/>
    <n v="-328.12000000000262"/>
    <n v="370.89999999999964"/>
    <n v="0.51500000000000057"/>
    <n v="0.92000000000000171"/>
    <s v="NESTOR MOGOLLON"/>
    <s v="ME 09"/>
  </r>
  <r>
    <d v="2026-04-05T00:00:00"/>
    <n v="253"/>
    <x v="0"/>
    <s v="AGUAJE 7"/>
    <x v="3"/>
    <s v="18"/>
    <x v="2"/>
    <n v="5.5"/>
    <s v="ASC-BAP"/>
    <n v="84"/>
    <d v="2026-01-11T00:00:00"/>
    <s v="CA PC 8 - 6"/>
    <n v="0.7"/>
    <n v="3"/>
    <n v="990000"/>
    <n v="180000"/>
    <n v="18"/>
    <s v="GENESIS/DEONES"/>
    <s v="TEXCUMAR"/>
    <s v="COMBINADO"/>
    <n v="5150"/>
    <n v="5866.24"/>
    <n v="31"/>
    <n v="30.7"/>
    <n v="1066.5890909090908"/>
    <n v="86751.562214983715"/>
    <n v="27200"/>
    <n v="31238.97"/>
    <n v="32.5"/>
    <n v="34.18"/>
    <n v="5679.8127272727279"/>
    <n v="414935.41193680518"/>
    <n v="37105.21"/>
    <n v="501686.97415178886"/>
    <n v="6746.4018181818183"/>
    <n v="2.8483333333333332"/>
    <n v="80.314307359307364"/>
    <n v="50.675451934524126"/>
    <n v="58256.555"/>
    <n v="57.196969696969703"/>
    <n v="1.5700370648757951"/>
    <m/>
    <m/>
    <n v="716.23999999999978"/>
    <n v="4038.9700000000012"/>
    <n v="-0.30000000000000071"/>
    <n v="1.6799999999999997"/>
    <s v="VICTOR QUINTANA"/>
    <s v="CA 18"/>
  </r>
  <r>
    <d v="2026-04-05T00:00:00"/>
    <n v="254"/>
    <x v="0"/>
    <s v="AGUAJE 7"/>
    <x v="3"/>
    <s v="16"/>
    <x v="0"/>
    <n v="5"/>
    <s v="CONVENCIONAL"/>
    <n v="76"/>
    <d v="2026-01-19T00:00:00"/>
    <s v="PR PC 3"/>
    <n v="0.43"/>
    <n v="14"/>
    <n v="600000"/>
    <n v="120000"/>
    <n v="12"/>
    <s v="TECSERV"/>
    <s v="SEMACUA"/>
    <s v="UNICO"/>
    <n v="0"/>
    <n v="0"/>
    <n v="0"/>
    <n v="0"/>
    <n v="0"/>
    <n v="0"/>
    <n v="13200"/>
    <n v="14695.539999999999"/>
    <n v="24"/>
    <n v="22.52"/>
    <n v="2939.1079999999997"/>
    <n v="296259.99822380103"/>
    <n v="14695.539999999999"/>
    <n v="296259.99822380103"/>
    <n v="2939.1079999999997"/>
    <n v="2.0742105263157895"/>
    <n v="38.672473684210523"/>
    <n v="49.376666370633501"/>
    <n v="29684.939000000002"/>
    <n v="35.434210526315788"/>
    <n v="2.0199964751210233"/>
    <m/>
    <m/>
    <n v="0"/>
    <n v="1495.5399999999991"/>
    <n v="0"/>
    <n v="-1.4800000000000004"/>
    <s v="WILMER TORRES"/>
    <s v="PR 16"/>
  </r>
  <r>
    <d v="2026-04-05T00:00:00"/>
    <n v="255"/>
    <x v="0"/>
    <s v="AGUAJE 7"/>
    <x v="3"/>
    <s v="09"/>
    <x v="10"/>
    <n v="3.8"/>
    <s v="CONVENCIONAL"/>
    <n v="86"/>
    <d v="2026-01-09T00:00:00"/>
    <s v="GT PC 1"/>
    <n v="0.62"/>
    <n v="21"/>
    <n v="532000"/>
    <n v="140000"/>
    <n v="14"/>
    <s v="GRILSAN"/>
    <s v="AQUAGEN"/>
    <s v="UNICO"/>
    <n v="4150"/>
    <n v="4586.2700000000004"/>
    <n v="25"/>
    <n v="25.36"/>
    <n v="1206.913157894737"/>
    <n v="82104.360410094654"/>
    <n v="16500"/>
    <n v="18023.650000000001"/>
    <n v="33"/>
    <n v="32.18"/>
    <n v="4743.0657894736851"/>
    <n v="254280.20820385334"/>
    <n v="22609.920000000002"/>
    <n v="336384.56861394801"/>
    <n v="5949.9789473684223"/>
    <n v="2.619302325581395"/>
    <n v="69.185801713586301"/>
    <n v="63.230182070290972"/>
    <n v="38800.959999999999"/>
    <n v="53.855569155446766"/>
    <n v="1.7161033740942027"/>
    <m/>
    <m/>
    <n v="436.27000000000044"/>
    <n v="1523.6500000000015"/>
    <n v="0.35999999999999943"/>
    <n v="-0.82000000000000028"/>
    <s v="JULIO SANTOS"/>
    <s v="GT 09"/>
  </r>
  <r>
    <d v="2026-04-05T00:00:00"/>
    <n v="256"/>
    <x v="0"/>
    <s v="AGUAJE 7"/>
    <x v="3"/>
    <s v="18"/>
    <x v="3"/>
    <n v="10.6"/>
    <s v="ASC"/>
    <n v="83"/>
    <d v="2026-01-12T00:00:00"/>
    <s v="CH 7"/>
    <n v="0.56999999999999995"/>
    <n v="6"/>
    <n v="1272000"/>
    <n v="120000"/>
    <n v="12"/>
    <s v="DEONES"/>
    <s v="TEXCUMAR"/>
    <s v="UNICO"/>
    <n v="8200"/>
    <n v="8759.6200000000008"/>
    <n v="22"/>
    <n v="22.9"/>
    <n v="826.37924528301892"/>
    <n v="173662.33537117907"/>
    <n v="34400"/>
    <n v="33247.97"/>
    <n v="38"/>
    <n v="36.75"/>
    <n v="3136.6009433962267"/>
    <n v="410736.82666666666"/>
    <n v="42007.590000000004"/>
    <n v="584399.1620378457"/>
    <n v="3962.9801886792457"/>
    <n v="3.0993975903614457"/>
    <n v="47.746749261195731"/>
    <n v="45.943330348887237"/>
    <n v="84325.950000000012"/>
    <n v="43.475789952261877"/>
    <n v="2.0073979487992526"/>
    <m/>
    <m/>
    <n v="559.6200000000008"/>
    <n v="-1152.0299999999988"/>
    <n v="0.89999999999999858"/>
    <n v="-1.25"/>
    <s v="SANTIAGO OBRIEN"/>
    <s v="CH 18"/>
  </r>
  <r>
    <d v="2026-04-05T00:00:00"/>
    <n v="258"/>
    <x v="0"/>
    <s v="AGUAJE 7"/>
    <x v="3"/>
    <s v="14"/>
    <x v="6"/>
    <n v="6"/>
    <s v="CONVENCIONAL"/>
    <n v="79"/>
    <d v="2026-01-16T00:00:00"/>
    <s v="WA PC 5 - 7 - 8 - PS 23"/>
    <n v="0.71"/>
    <n v="9"/>
    <n v="900000"/>
    <n v="150000"/>
    <n v="15"/>
    <s v="BIOLACAM"/>
    <s v="TEXCUMAR"/>
    <s v="UNICO"/>
    <n v="5600"/>
    <n v="5861.94"/>
    <n v="22"/>
    <n v="23.28"/>
    <n v="976.9899999999999"/>
    <n v="114317.90206185565"/>
    <n v="15500"/>
    <n v="17337.3"/>
    <n v="35"/>
    <n v="29.32"/>
    <n v="2889.5499999999997"/>
    <n v="268456.14597544336"/>
    <n v="23199.239999999998"/>
    <n v="382774.04803729901"/>
    <n v="3866.5399999999995"/>
    <n v="2.5979746835443036"/>
    <n v="48.943544303797459"/>
    <n v="42.530449781922115"/>
    <n v="46737.520000000004"/>
    <n v="44.725738396624472"/>
    <n v="2.0146142718468365"/>
    <m/>
    <m/>
    <n v="261.9399999999996"/>
    <n v="1837.2999999999993"/>
    <n v="1.2800000000000011"/>
    <n v="-5.68"/>
    <s v="JUNIOR ESQUIVEL"/>
    <s v="WA 14"/>
  </r>
  <r>
    <d v="2026-04-06T00:00:00"/>
    <n v="259"/>
    <x v="0"/>
    <s v="AGUAJE 7"/>
    <x v="3"/>
    <s v="14"/>
    <x v="0"/>
    <n v="4.5999999999999996"/>
    <s v="CONVENCIONAL"/>
    <n v="77"/>
    <d v="2026-01-19T00:00:00"/>
    <s v="PR PC 3"/>
    <n v="0.43"/>
    <n v="16"/>
    <n v="828000"/>
    <n v="180000"/>
    <n v="18"/>
    <s v="TECSERV"/>
    <s v="SEMACUA"/>
    <s v="UNICO"/>
    <n v="0"/>
    <n v="0"/>
    <n v="0"/>
    <n v="0"/>
    <n v="0"/>
    <n v="0"/>
    <n v="16800"/>
    <n v="19916.61"/>
    <n v="28"/>
    <n v="29.26"/>
    <n v="4329.6978260869573"/>
    <n v="309027.37320574158"/>
    <n v="19916.61"/>
    <n v="309027.37320574158"/>
    <n v="4329.6978260869573"/>
    <n v="2.66"/>
    <n v="56.229841897233214"/>
    <n v="37.322146522432561"/>
    <n v="33631.173000000003"/>
    <n v="43.068887634105025"/>
    <n v="1.688599264633891"/>
    <m/>
    <m/>
    <n v="0"/>
    <n v="3116.6100000000006"/>
    <n v="0"/>
    <n v="1.2600000000000016"/>
    <s v="WILMER TORRES"/>
    <s v="PR 14"/>
  </r>
  <r>
    <d v="2026-04-06T00:00:00"/>
    <n v="260"/>
    <x v="0"/>
    <s v="AGUAJE 7"/>
    <x v="3"/>
    <s v="38"/>
    <x v="6"/>
    <n v="16.8"/>
    <s v="CONVENCIONAL"/>
    <n v="92"/>
    <d v="2026-01-04T00:00:00"/>
    <s v="WA 17"/>
    <n v="0.8"/>
    <n v="42"/>
    <n v="2520000"/>
    <n v="150000"/>
    <n v="15"/>
    <s v="LARVASLAB"/>
    <s v="TEXCUMAR"/>
    <s v="UNICO"/>
    <n v="38950"/>
    <n v="41400.800000000003"/>
    <n v="21.5"/>
    <n v="22.535"/>
    <n v="2464.3333333333335"/>
    <n v="849861.45460435189"/>
    <n v="37350"/>
    <n v="44190.73"/>
    <n v="33"/>
    <n v="31.68"/>
    <n v="2630.4005952380953"/>
    <n v="633288.87058080814"/>
    <n v="85591.53"/>
    <n v="1483150.3251851602"/>
    <n v="5094.7339285714279"/>
    <n v="2.4104347826086956"/>
    <n v="55.377542701863348"/>
    <n v="58.855171634331747"/>
    <n v="129229.24280000001"/>
    <n v="37.925724637681157"/>
    <n v="1.5098368121238166"/>
    <m/>
    <m/>
    <n v="2450.8000000000029"/>
    <n v="6840.7300000000032"/>
    <n v="1.0350000000000001"/>
    <n v="-1.3200000000000003"/>
    <s v="JUNIOR ESQUIVEL"/>
    <s v="WA 38"/>
  </r>
  <r>
    <d v="2026-04-07T00:00:00"/>
    <n v="261"/>
    <x v="0"/>
    <s v="AGUAJE 7"/>
    <x v="3"/>
    <s v="25"/>
    <x v="7"/>
    <n v="14.77"/>
    <s v="ASC-BAP"/>
    <n v="89"/>
    <d v="2026-01-08T00:00:00"/>
    <s v="DO PC 9 - 8"/>
    <n v="0.59"/>
    <n v="10"/>
    <n v="2658644"/>
    <n v="180002.97901150983"/>
    <n v="18.000297901150983"/>
    <s v="EMPAGRAN"/>
    <s v="EMPAGRAN"/>
    <s v="UNICO"/>
    <n v="55900"/>
    <n v="57584.29"/>
    <n v="24.25"/>
    <n v="24.549999999999997"/>
    <n v="3898.7332430602573"/>
    <n v="1051324.2431504331"/>
    <n v="69300"/>
    <n v="74257.13"/>
    <n v="37"/>
    <n v="35.880000000000003"/>
    <n v="5027.5646580907251"/>
    <n v="939596.90691192867"/>
    <n v="131841.42000000001"/>
    <n v="1990921.1500623617"/>
    <n v="8926.2979011509833"/>
    <n v="2.8220224719101128"/>
    <n v="100.29548203540431"/>
    <n v="74.884834150881503"/>
    <n v="189264.91"/>
    <n v="65.308513308939311"/>
    <n v="1.4355496929568869"/>
    <m/>
    <m/>
    <n v="1684.2900000000009"/>
    <n v="4957.1300000000047"/>
    <n v="0.29999999999999716"/>
    <n v="-1.1199999999999974"/>
    <s v="JOSE CEDEÑO"/>
    <s v="DO 25"/>
  </r>
  <r>
    <d v="2026-04-07T00:00:00"/>
    <n v="262"/>
    <x v="0"/>
    <s v="AGUAJE 7"/>
    <x v="3"/>
    <s v="17"/>
    <x v="0"/>
    <n v="5"/>
    <s v="CONVENCIONAL"/>
    <n v="75"/>
    <d v="2026-01-22T00:00:00"/>
    <s v="PR PC 23"/>
    <n v="0.3"/>
    <n v="11"/>
    <n v="850000"/>
    <n v="170000"/>
    <n v="17"/>
    <s v="EMPAGRAN"/>
    <s v="EMPAGRAN"/>
    <s v="UNICO"/>
    <n v="0"/>
    <n v="0"/>
    <n v="0"/>
    <n v="0"/>
    <n v="0"/>
    <n v="0"/>
    <n v="19700"/>
    <n v="20885.839999999997"/>
    <n v="26"/>
    <n v="32.39"/>
    <n v="4177.1679999999997"/>
    <n v="292749.96480395173"/>
    <n v="20885.839999999997"/>
    <n v="292749.96480395173"/>
    <n v="4177.1679999999997"/>
    <n v="3.0230666666666668"/>
    <n v="55.695573333333328"/>
    <n v="34.441172329876672"/>
    <n v="34182.323000000004"/>
    <n v="41.346666666666671"/>
    <n v="1.6366266810432335"/>
    <m/>
    <m/>
    <n v="0"/>
    <n v="1185.8399999999965"/>
    <n v="0"/>
    <n v="6.3900000000000006"/>
    <s v="WILMER TORRES"/>
    <s v="PR 17"/>
  </r>
  <r>
    <d v="2026-04-07T00:00:00"/>
    <n v="263"/>
    <x v="0"/>
    <s v="AGUAJE 7"/>
    <x v="3"/>
    <s v="13"/>
    <x v="9"/>
    <n v="4.8"/>
    <s v="ASC-BAP"/>
    <n v="81"/>
    <d v="2026-01-16T00:00:00"/>
    <s v="RO 16"/>
    <n v="0.92"/>
    <n v="7"/>
    <n v="816000"/>
    <n v="170000"/>
    <n v="17"/>
    <s v="BIOLACAM"/>
    <s v="TEXCUMAR"/>
    <s v="UNICO"/>
    <n v="5100"/>
    <n v="6002.52"/>
    <n v="19"/>
    <n v="20.78"/>
    <n v="1250.5250000000001"/>
    <n v="131142.64100096247"/>
    <n v="23200"/>
    <n v="27622.46"/>
    <n v="37"/>
    <n v="36.43"/>
    <n v="5754.6791666666668"/>
    <n v="344238.17842437554"/>
    <n v="33624.979999999996"/>
    <n v="475380.81942533801"/>
    <n v="7005.2041666666664"/>
    <n v="3.1482716049382717"/>
    <n v="86.484002057613168"/>
    <n v="58.257453360948283"/>
    <n v="49223.2065"/>
    <n v="57.426697530864196"/>
    <n v="1.4638880528702176"/>
    <m/>
    <m/>
    <n v="902.52000000000044"/>
    <n v="4422.4599999999991"/>
    <n v="1.7800000000000011"/>
    <n v="-0.57000000000000028"/>
    <s v="VICTOR QUINTANA"/>
    <s v="RO 13"/>
  </r>
  <r>
    <d v="2026-04-08T00:00:00"/>
    <n v="264"/>
    <x v="0"/>
    <s v="AGUAJE 7"/>
    <x v="3"/>
    <s v="12"/>
    <x v="9"/>
    <n v="5.2"/>
    <s v="ASC-BAP"/>
    <n v="82"/>
    <d v="2026-01-16T00:00:00"/>
    <s v="RO 16"/>
    <n v="0.92"/>
    <n v="6"/>
    <n v="884000"/>
    <n v="170000"/>
    <n v="17"/>
    <s v="BIOLACAM"/>
    <s v="TEXCUMAR"/>
    <s v="UNICO"/>
    <n v="4000"/>
    <n v="4477.57"/>
    <n v="20"/>
    <n v="22.94"/>
    <n v="861.07115384615372"/>
    <n v="88614.50653879685"/>
    <n v="32150"/>
    <n v="32640.31"/>
    <n v="39"/>
    <n v="39.03"/>
    <n v="6276.9826923076926"/>
    <n v="379674.62823469128"/>
    <n v="37117.880000000005"/>
    <n v="468289.13477348816"/>
    <n v="7138.0538461538472"/>
    <n v="3.3318292682926831"/>
    <n v="87.049437148217649"/>
    <n v="52.973884024150244"/>
    <n v="51560.082500000004"/>
    <n v="54.848733583489675"/>
    <n v="1.3890901770251964"/>
    <m/>
    <m/>
    <n v="477.56999999999971"/>
    <n v="490.31000000000131"/>
    <n v="2.9400000000000013"/>
    <n v="3.0000000000001137E-2"/>
    <s v="VICTOR QUINTANA"/>
    <s v="RO 12"/>
  </r>
  <r>
    <d v="2026-04-08T00:00:00"/>
    <n v="265"/>
    <x v="0"/>
    <s v="AGUAJE 7"/>
    <x v="3"/>
    <s v="09"/>
    <x v="7"/>
    <n v="7.95"/>
    <s v="ASC-BAP"/>
    <n v="81"/>
    <d v="2026-01-17T00:00:00"/>
    <s v="DO PS15"/>
    <n v="1.99"/>
    <n v="4"/>
    <n v="1431050"/>
    <n v="180006.28930817608"/>
    <n v="18.000628930817609"/>
    <s v="TECSERV"/>
    <s v="SEMACUA"/>
    <s v="UNICO"/>
    <n v="23800"/>
    <n v="26692.760000000002"/>
    <n v="28"/>
    <n v="29.78"/>
    <n v="3357.5798742138368"/>
    <n v="424962.34272979025"/>
    <n v="37350"/>
    <n v="40201.81"/>
    <n v="38"/>
    <n v="37.979999999999997"/>
    <n v="5056.8314465408803"/>
    <n v="480558.76092680357"/>
    <n v="66894.570000000007"/>
    <n v="905521.10365659383"/>
    <n v="8414.411320754718"/>
    <n v="3.2822222222222219"/>
    <n v="103.88162124388541"/>
    <n v="63.276692195003235"/>
    <n v="84766.87000000001"/>
    <n v="59.709604782980044"/>
    <n v="1.2671711620240627"/>
    <m/>
    <m/>
    <n v="2892.760000000002"/>
    <n v="2851.8099999999977"/>
    <n v="1.7800000000000011"/>
    <n v="-2.0000000000003126E-2"/>
    <s v="JOSE CEDEÑO"/>
    <s v="DO 09"/>
  </r>
  <r>
    <d v="2026-04-08T00:00:00"/>
    <n v="266"/>
    <x v="0"/>
    <s v="AGUAJE 7"/>
    <x v="3"/>
    <s v="21"/>
    <x v="10"/>
    <n v="3.32"/>
    <s v="CONVENCIONAL"/>
    <n v="80"/>
    <d v="2026-01-18T00:00:00"/>
    <s v="GT PC 9"/>
    <n v="1.1000000000000001"/>
    <n v="8"/>
    <n v="531200"/>
    <n v="160000"/>
    <n v="16"/>
    <s v="AQUANOVA"/>
    <s v="TEXCUMAR"/>
    <s v="UNICO"/>
    <n v="8450"/>
    <n v="9477.0400000000009"/>
    <n v="22.5"/>
    <n v="23.28"/>
    <n v="2854.530120481928"/>
    <n v="188249.76614029438"/>
    <n v="10750"/>
    <n v="11563.14"/>
    <n v="34"/>
    <n v="35.1"/>
    <n v="3482.8734939759038"/>
    <n v="149563.12136752135"/>
    <n v="21040.18"/>
    <n v="337812.88750781573"/>
    <n v="6337.4036144578313"/>
    <n v="3.07125"/>
    <n v="79.217545180722894"/>
    <n v="63.594293582043626"/>
    <n v="33620.15"/>
    <n v="57.4171686746988"/>
    <n v="1.5979022042587088"/>
    <m/>
    <m/>
    <n v="1027.0400000000009"/>
    <n v="813.13999999999942"/>
    <n v="0.78000000000000114"/>
    <n v="1.1000000000000014"/>
    <s v="JULIO SANTOS"/>
    <s v="GT 21"/>
  </r>
  <r>
    <d v="2026-04-08T00:00:00"/>
    <n v="267"/>
    <x v="0"/>
    <s v="AGUAJE 7"/>
    <x v="3"/>
    <s v="21"/>
    <x v="0"/>
    <n v="1.7"/>
    <s v="CONVENCIONAL"/>
    <n v="76"/>
    <d v="2026-01-22T00:00:00"/>
    <s v="PR PC 23"/>
    <n v="0.3"/>
    <n v="10"/>
    <n v="306000"/>
    <n v="180000"/>
    <n v="18"/>
    <s v="EMPAGRAN"/>
    <s v="EMPAGRAN "/>
    <s v="UNICO"/>
    <n v="0"/>
    <n v="0"/>
    <n v="0"/>
    <n v="0"/>
    <n v="0"/>
    <n v="0"/>
    <n v="7000"/>
    <n v="8534.59"/>
    <n v="31"/>
    <n v="35.22"/>
    <n v="5020.3470588235296"/>
    <n v="110014.30607609313"/>
    <n v="8534.59"/>
    <n v="110014.30607609313"/>
    <n v="5020.3470588235296"/>
    <n v="3.2439473684210522"/>
    <n v="66.057198142414862"/>
    <n v="35.952387606566383"/>
    <n v="13745.681"/>
    <n v="48.258513931888551"/>
    <n v="1.6105848084090741"/>
    <m/>
    <m/>
    <n v="0"/>
    <n v="1534.5900000000001"/>
    <n v="0"/>
    <n v="4.2199999999999989"/>
    <s v="WILMER TORRES"/>
    <s v="PR 21"/>
  </r>
  <r>
    <d v="2026-04-08T00:00:00"/>
    <n v="268"/>
    <x v="0"/>
    <s v="AGUAJE 7"/>
    <x v="3"/>
    <s v="22"/>
    <x v="0"/>
    <n v="2.54"/>
    <s v="CONVENCIONAL"/>
    <n v="76"/>
    <d v="2026-01-22T00:00:00"/>
    <s v="PR PC 23"/>
    <n v="0.3"/>
    <n v="10"/>
    <n v="457000"/>
    <n v="179921.25984251968"/>
    <n v="17.992125984251967"/>
    <s v="EMPAGRAN"/>
    <s v="EMPAGRAN"/>
    <s v="UNICO"/>
    <n v="0"/>
    <n v="0"/>
    <n v="0"/>
    <n v="0"/>
    <n v="0"/>
    <n v="0"/>
    <n v="9350"/>
    <n v="11336.42"/>
    <n v="27"/>
    <n v="30.2"/>
    <n v="4463.1574803149606"/>
    <n v="170421.67814569536"/>
    <n v="11336.42"/>
    <n v="170421.67814569536"/>
    <n v="4463.1574803149606"/>
    <n v="2.7815789473684207"/>
    <n v="58.725756319933694"/>
    <n v="37.291395655513213"/>
    <n v="18221.019"/>
    <n v="42.814960629921259"/>
    <n v="1.6072992179188845"/>
    <m/>
    <m/>
    <n v="0"/>
    <n v="1986.42"/>
    <n v="0"/>
    <n v="3.1999999999999993"/>
    <s v="WILMER TORRES"/>
    <s v="PR 22"/>
  </r>
  <r>
    <d v="2026-04-09T00:00:00"/>
    <n v="269"/>
    <x v="0"/>
    <s v="AGUAJE 7"/>
    <x v="3"/>
    <s v="12"/>
    <x v="8"/>
    <n v="17"/>
    <s v="ASC-BAP"/>
    <n v="93"/>
    <d v="2026-01-06T00:00:00"/>
    <s v="PA 7"/>
    <n v="0.65"/>
    <n v="11"/>
    <n v="2380000"/>
    <n v="140000"/>
    <n v="14"/>
    <s v="NEMEN"/>
    <s v="TEXCUMAR"/>
    <s v="UNICO"/>
    <n v="57900"/>
    <n v="56918.299999999996"/>
    <n v="26.375"/>
    <n v="28.099999999999998"/>
    <n v="3348.1352941176469"/>
    <n v="979397.63574712374"/>
    <n v="33750"/>
    <n v="37261.660000000003"/>
    <n v="33"/>
    <n v="32.630000000000003"/>
    <n v="2191.8623529411766"/>
    <n v="518442.95556236588"/>
    <n v="94179.959999999992"/>
    <n v="1497840.5913094897"/>
    <n v="5539.9976470588226"/>
    <n v="2.4560215053763441"/>
    <n v="59.569867172675515"/>
    <n v="62.934478626449142"/>
    <n v="154542.46000000002"/>
    <n v="44.339025932953831"/>
    <n v="1.6409272206104146"/>
    <m/>
    <m/>
    <n v="-981.70000000000437"/>
    <n v="3511.6600000000035"/>
    <n v="1.7249999999999979"/>
    <n v="-0.36999999999999744"/>
    <s v="GUSTAVO CARRASCO"/>
    <s v="PA 12"/>
  </r>
  <r>
    <d v="2026-04-09T00:00:00"/>
    <n v="270"/>
    <x v="0"/>
    <s v="AGUAJE 7"/>
    <x v="3"/>
    <s v="05"/>
    <x v="0"/>
    <n v="2.56"/>
    <s v="CONVENCIONAL"/>
    <n v="83"/>
    <d v="2026-01-16T00:00:00"/>
    <s v="PR 4"/>
    <n v="0.43"/>
    <n v="10"/>
    <n v="460800"/>
    <n v="180000"/>
    <n v="18"/>
    <s v="GABSO"/>
    <s v="TEXCUMAR"/>
    <s v="UNICO"/>
    <n v="0"/>
    <n v="0"/>
    <n v="0"/>
    <n v="0"/>
    <n v="0"/>
    <n v="0"/>
    <n v="12100"/>
    <n v="13716.76"/>
    <n v="21"/>
    <n v="21.76"/>
    <n v="5358.109375"/>
    <n v="286186.07720588235"/>
    <n v="13716.76"/>
    <n v="286186.07720588235"/>
    <n v="5358.109375"/>
    <n v="1.8351807228915664"/>
    <n v="64.555534638554221"/>
    <n v="62.106353560304328"/>
    <n v="25088.348000000002"/>
    <n v="53.557981927710841"/>
    <n v="1.8290287210682408"/>
    <m/>
    <m/>
    <n v="0"/>
    <n v="1616.7600000000002"/>
    <n v="0"/>
    <n v="0.76000000000000156"/>
    <s v="WILMER TORRES"/>
    <s v="PR 05"/>
  </r>
  <r>
    <d v="2026-04-10T00:00:00"/>
    <n v="271"/>
    <x v="0"/>
    <s v="AGUAJE 7"/>
    <x v="3"/>
    <s v="24"/>
    <x v="3"/>
    <n v="5.54"/>
    <s v="ASC"/>
    <n v="76"/>
    <d v="2026-01-24T00:00:00"/>
    <s v="CH PS 17"/>
    <n v="0.57999999999999996"/>
    <n v="10"/>
    <n v="664800"/>
    <n v="120000"/>
    <n v="12"/>
    <s v="LARVASLAB"/>
    <s v="TEXCUMAR"/>
    <s v="UNICO"/>
    <n v="6300"/>
    <n v="6789.85"/>
    <n v="26.8"/>
    <n v="25"/>
    <n v="1225.6046931407943"/>
    <n v="123303.67600000002"/>
    <n v="19450"/>
    <n v="17644.82"/>
    <n v="34"/>
    <n v="33.78"/>
    <n v="3184.9855595667868"/>
    <n v="237144.70929544108"/>
    <n v="24434.67"/>
    <n v="360448.38529544108"/>
    <n v="4410.5902527075805"/>
    <n v="3.111315789473684"/>
    <n v="58.034082272468162"/>
    <n v="54.219071193658408"/>
    <n v="41501.595000000001"/>
    <n v="44.710716321489649"/>
    <n v="1.6984716797894142"/>
    <m/>
    <m/>
    <n v="489.85000000000036"/>
    <n v="-1805.1800000000003"/>
    <n v="-1.8000000000000007"/>
    <n v="-0.21999999999999886"/>
    <s v="SANTIAGO OBRIEN"/>
    <s v="CH 24"/>
  </r>
  <r>
    <d v="2026-04-10T00:00:00"/>
    <n v="272"/>
    <x v="0"/>
    <s v="AGUAJE 7"/>
    <x v="3"/>
    <s v="14"/>
    <x v="8"/>
    <n v="11"/>
    <s v="ASC-BAP"/>
    <n v="80"/>
    <d v="2026-01-20T00:00:00"/>
    <s v="PA 26"/>
    <n v="0.4"/>
    <n v="12"/>
    <n v="1870000"/>
    <n v="170000"/>
    <n v="17"/>
    <s v="LARVASLAB"/>
    <s v="TEXCUMAR"/>
    <s v="UNICO"/>
    <n v="29500"/>
    <n v="32460.5"/>
    <n v="19.666666666666668"/>
    <n v="20.62"/>
    <n v="2950.9545454545455"/>
    <n v="717015.86314884736"/>
    <n v="27100"/>
    <n v="26690.55"/>
    <n v="31"/>
    <n v="33.94"/>
    <n v="2426.4136363636362"/>
    <n v="357027.39245727757"/>
    <n v="59151.05"/>
    <n v="1074043.2556061249"/>
    <n v="5377.3681818181822"/>
    <n v="2.9697499999999999"/>
    <n v="67.217102272727274"/>
    <n v="57.435468214231278"/>
    <n v="84987.33"/>
    <n v="43.80681818181818"/>
    <n v="1.4367848077084007"/>
    <m/>
    <m/>
    <n v="2960.5"/>
    <n v="-409.45000000000073"/>
    <n v="0.95333333333333314"/>
    <n v="2.9399999999999977"/>
    <s v="GUSTAVO CARRASCO"/>
    <s v="PA 14"/>
  </r>
  <r>
    <d v="2026-04-10T00:00:00"/>
    <n v="273"/>
    <x v="0"/>
    <s v="AGUAJE 7"/>
    <x v="3"/>
    <s v="02"/>
    <x v="6"/>
    <n v="6"/>
    <s v="CONVENCIONAL"/>
    <n v="92"/>
    <d v="2026-01-08T00:00:00"/>
    <s v="WA PS 9 - 5"/>
    <n v="1.18"/>
    <n v="50"/>
    <n v="900000"/>
    <n v="150000"/>
    <n v="15"/>
    <s v="MEGALATINA/DEONES"/>
    <s v="TEXCUMAR"/>
    <s v="COMBINADO"/>
    <n v="18900"/>
    <n v="21521.239999999998"/>
    <n v="21.5"/>
    <n v="22.73"/>
    <n v="3586.873333333333"/>
    <n v="434666.17416288512"/>
    <n v="14850"/>
    <n v="13748.720000000001"/>
    <n v="33"/>
    <n v="32.630000000000003"/>
    <n v="2291.4533333333334"/>
    <n v="191293.86699356421"/>
    <n v="35269.96"/>
    <n v="625960.04115644936"/>
    <n v="5878.3266666666668"/>
    <n v="2.4827173913043481"/>
    <n v="63.89485507246377"/>
    <n v="69.551115684049918"/>
    <n v="53686.419200000004"/>
    <n v="44.115942028985508"/>
    <n v="1.5221570764469254"/>
    <m/>
    <m/>
    <n v="2621.239999999998"/>
    <n v="-1101.2799999999988"/>
    <n v="1.2300000000000004"/>
    <n v="-0.36999999999999744"/>
    <s v="JUNIOR ESQUIVEL"/>
    <s v="WA 02"/>
  </r>
  <r>
    <d v="2026-04-11T00:00:00"/>
    <n v="274"/>
    <x v="0"/>
    <s v="AGUAJE 7"/>
    <x v="3"/>
    <s v="21"/>
    <x v="3"/>
    <n v="5.15"/>
    <s v="ASC"/>
    <n v="77"/>
    <d v="2026-01-24T00:00:00"/>
    <s v="CH PS 17"/>
    <n v="0.57999999999999996"/>
    <n v="12"/>
    <n v="927000"/>
    <n v="180000"/>
    <n v="18"/>
    <s v="LARVASLAB"/>
    <s v="TEXCUMAR"/>
    <s v="UNICO"/>
    <n v="11550"/>
    <n v="12525.79"/>
    <n v="24.5"/>
    <n v="24.08"/>
    <n v="2432.1922330097086"/>
    <n v="248851.51294287166"/>
    <n v="15900"/>
    <n v="18534.240000000002"/>
    <n v="30"/>
    <n v="29.9"/>
    <n v="3598.8815533980583"/>
    <n v="281422.90836120408"/>
    <n v="31060.030000000002"/>
    <n v="530274.42130407575"/>
    <n v="6031.0737864077673"/>
    <n v="2.7181818181818183"/>
    <n v="78.325633589711259"/>
    <n v="57.203281694075059"/>
    <n v="51808.100000000006"/>
    <n v="59.261127222292266"/>
    <n v="1.6679990328405994"/>
    <m/>
    <m/>
    <n v="975.79000000000087"/>
    <n v="2634.2400000000016"/>
    <n v="-0.42000000000000171"/>
    <n v="-0.10000000000000142"/>
    <s v="SANTIAGO OBRIEN"/>
    <s v="CH 21"/>
  </r>
  <r>
    <d v="2026-04-11T00:00:00"/>
    <n v="275"/>
    <x v="0"/>
    <s v="AGUAJE 7"/>
    <x v="3"/>
    <s v="07"/>
    <x v="9"/>
    <n v="8.93"/>
    <s v="ASC-BAP"/>
    <n v="80"/>
    <d v="2026-01-21T00:00:00"/>
    <s v="CA PS 20"/>
    <n v="0.55000000000000004"/>
    <n v="7"/>
    <n v="1786000"/>
    <n v="200000"/>
    <n v="20"/>
    <s v="PRONAUPLIO"/>
    <s v="SEMACUA"/>
    <s v="UNICO"/>
    <n v="34000"/>
    <n v="35178.42"/>
    <n v="24"/>
    <n v="26.013333333333335"/>
    <n v="3939.3527435610304"/>
    <n v="599751.17291967873"/>
    <n v="36700"/>
    <n v="37866.86"/>
    <n v="31"/>
    <n v="32.01"/>
    <n v="4240.4098544232929"/>
    <n v="537068.24242424255"/>
    <n v="73045.279999999999"/>
    <n v="1136819.4153439212"/>
    <n v="8179.7625979843224"/>
    <n v="2.8008749999999996"/>
    <n v="102.24703247480403"/>
    <n v="63.6517029867817"/>
    <n v="94963.145000000004"/>
    <n v="60.295352743561033"/>
    <n v="1.3000586074829203"/>
    <m/>
    <m/>
    <n v="1178.4199999999983"/>
    <n v="1166.8600000000006"/>
    <n v="2.0133333333333354"/>
    <n v="1.009999999999998"/>
    <s v="VICTOR QUINTANA"/>
    <s v="RO 07"/>
  </r>
  <r>
    <d v="2026-04-13T00:00:00"/>
    <n v="276"/>
    <x v="0"/>
    <s v="AGUAJE 7"/>
    <x v="3"/>
    <s v="20"/>
    <x v="3"/>
    <n v="6.45"/>
    <s v="ASC"/>
    <n v="91"/>
    <d v="2026-01-12T00:00:00"/>
    <s v="CH 7"/>
    <n v="0.56999999999999995"/>
    <n v="6"/>
    <n v="1293259"/>
    <n v="200505.27131782947"/>
    <n v="20.050527131782946"/>
    <s v="DEONES"/>
    <s v="TEXCUMAR"/>
    <s v="UNICO"/>
    <n v="19900"/>
    <n v="20724.75"/>
    <n v="24.75"/>
    <n v="24.75"/>
    <n v="3213.1395348837209"/>
    <n v="392595.06450459542"/>
    <n v="23500"/>
    <n v="25202.79"/>
    <n v="34"/>
    <n v="35.15"/>
    <n v="3907.4093023255814"/>
    <n v="325521.0998577525"/>
    <n v="45927.54"/>
    <n v="718116.16436234792"/>
    <n v="7120.5488372093023"/>
    <n v="2.7038461538461536"/>
    <n v="78.247789419882437"/>
    <n v="55.527637106128623"/>
    <n v="77050.77"/>
    <n v="59.545106056733957"/>
    <n v="1.6776594174214425"/>
    <m/>
    <m/>
    <n v="824.75"/>
    <n v="1702.7900000000009"/>
    <n v="0"/>
    <n v="1.1499999999999986"/>
    <s v="SANTIAGO OBRIEN"/>
    <s v="CH 20"/>
  </r>
  <r>
    <d v="2026-04-14T00:00:00"/>
    <n v="277"/>
    <x v="0"/>
    <s v="AGUAJE 8"/>
    <x v="3"/>
    <s v="27"/>
    <x v="4"/>
    <n v="13.5"/>
    <s v="CONVENCIONAL"/>
    <n v="90"/>
    <d v="2026-01-14T00:00:00"/>
    <s v="DE 17"/>
    <n v="0.8"/>
    <n v="5"/>
    <n v="2160000"/>
    <n v="160000"/>
    <n v="16"/>
    <s v="BIOLACAM"/>
    <s v="TEXCUMAR"/>
    <s v="UNICO"/>
    <n v="42100"/>
    <n v="39485.589999999997"/>
    <n v="25"/>
    <n v="25.14"/>
    <n v="2924.8585185185184"/>
    <n v="751596.03821198409"/>
    <n v="44400"/>
    <n v="50151.83"/>
    <n v="38"/>
    <n v="37.99"/>
    <n v="3714.9503703703704"/>
    <n v="599340.11108186364"/>
    <n v="89637.42"/>
    <n v="1350936.1492938478"/>
    <n v="6639.8088888888888"/>
    <n v="2.9547777777777777"/>
    <n v="73.775654320987655"/>
    <n v="62.543340245085545"/>
    <n v="148645.155"/>
    <n v="55.493827160493829"/>
    <n v="1.6582935452626817"/>
    <m/>
    <m/>
    <n v="-2614.4100000000035"/>
    <n v="5751.8300000000017"/>
    <n v="0.14000000000000057"/>
    <n v="-9.9999999999980105E-3"/>
    <s v="CARLOS FLORES"/>
    <s v="DE 27"/>
  </r>
  <r>
    <d v="2026-04-14T00:00:00"/>
    <n v="278"/>
    <x v="0"/>
    <s v="AGUAJE 8"/>
    <x v="3"/>
    <s v="28"/>
    <x v="7"/>
    <n v="7.74"/>
    <s v="ASC-BAP"/>
    <n v="92"/>
    <d v="2026-01-12T00:00:00"/>
    <s v="DO PC0"/>
    <n v="0.6"/>
    <n v="2"/>
    <n v="1315800"/>
    <n v="170000"/>
    <n v="17"/>
    <s v="GRILSAN"/>
    <s v="AQUAGEN"/>
    <s v="UNICO"/>
    <n v="24400"/>
    <n v="25225.11"/>
    <n v="22"/>
    <n v="24.58"/>
    <n v="3259.0581395348836"/>
    <n v="484507.92165531561"/>
    <n v="28900"/>
    <n v="29516.58"/>
    <n v="36"/>
    <n v="40"/>
    <n v="3813.5116279069771"/>
    <n v="335013.18300000002"/>
    <n v="54741.69"/>
    <n v="819521.10465531563"/>
    <n v="7072.5697674418607"/>
    <n v="3.0434782608695654"/>
    <n v="76.875758341759351"/>
    <n v="62.283105688958472"/>
    <n v="102513.90000000001"/>
    <n v="65.301651499831479"/>
    <n v="1.8726842375527684"/>
    <m/>
    <m/>
    <n v="825.11000000000058"/>
    <n v="616.58000000000175"/>
    <n v="2.5799999999999983"/>
    <n v="4"/>
    <s v="JOSE CEDEÑO"/>
    <s v="DO 28"/>
  </r>
  <r>
    <d v="2026-04-14T00:00:00"/>
    <n v="279"/>
    <x v="0"/>
    <s v="AGUAJE 8"/>
    <x v="3"/>
    <s v="04"/>
    <x v="10"/>
    <n v="6.62"/>
    <s v="CONVENCIONAL"/>
    <n v="81"/>
    <d v="2026-01-23T00:00:00"/>
    <s v="GT PC 04"/>
    <n v="0.56999999999999995"/>
    <n v="12"/>
    <n v="1059200"/>
    <n v="160000"/>
    <n v="16"/>
    <s v="LARVASLAB"/>
    <s v="TEXCUMAR"/>
    <s v="UNICO"/>
    <n v="7200"/>
    <n v="7793.25"/>
    <n v="19"/>
    <n v="21.04"/>
    <n v="1177.2280966767371"/>
    <n v="168162.33365019012"/>
    <n v="31800"/>
    <n v="32550.02"/>
    <n v="30"/>
    <n v="30.12"/>
    <n v="4916.9214501510578"/>
    <n v="490627.79150066403"/>
    <n v="40343.270000000004"/>
    <n v="658790.12515085412"/>
    <n v="6094.1495468277953"/>
    <n v="2.6029629629629629"/>
    <n v="75.23641415836785"/>
    <n v="62.196952903215077"/>
    <n v="63547.595000000001"/>
    <n v="53.755921077169816"/>
    <n v="1.5751721414748976"/>
    <m/>
    <m/>
    <n v="593.25"/>
    <n v="750.02000000000044"/>
    <n v="2.0399999999999991"/>
    <n v="0.12000000000000099"/>
    <s v="JULIO SANTOS"/>
    <s v="GT 04"/>
  </r>
  <r>
    <d v="2026-04-14T00:00:00"/>
    <n v="280"/>
    <x v="0"/>
    <s v="AGUAJE 8"/>
    <x v="3"/>
    <s v="24"/>
    <x v="0"/>
    <n v="7.3"/>
    <s v="CONVENCIONAL"/>
    <n v="80"/>
    <d v="2026-01-24T00:00:00"/>
    <s v="PR 26"/>
    <n v="0.35"/>
    <n v="4"/>
    <n v="1050000"/>
    <n v="143835.61643835617"/>
    <n v="14.383561643835616"/>
    <s v="NEMEN"/>
    <s v="TEXCUMAR"/>
    <s v="UNICO"/>
    <n v="0"/>
    <n v="0"/>
    <n v="0"/>
    <n v="0"/>
    <n v="0"/>
    <n v="0"/>
    <n v="18800"/>
    <n v="21640.66"/>
    <n v="27"/>
    <n v="31.36"/>
    <n v="2964.4739726027397"/>
    <n v="313292.71811224491"/>
    <n v="21640.66"/>
    <n v="313292.71811224491"/>
    <n v="2964.4739726027397"/>
    <n v="2.7439999999999998"/>
    <n v="37.055924657534248"/>
    <n v="29.837401724975702"/>
    <n v="37158.533000000003"/>
    <n v="28.861301369863014"/>
    <n v="1.7170702279875014"/>
    <m/>
    <m/>
    <n v="0"/>
    <n v="2840.66"/>
    <n v="0"/>
    <n v="4.3599999999999994"/>
    <s v="WILMER TORRES"/>
    <s v="PR 24"/>
  </r>
  <r>
    <d v="2026-04-14T00:00:00"/>
    <n v="281"/>
    <x v="0"/>
    <s v="AGUAJE 8"/>
    <x v="3"/>
    <s v="19"/>
    <x v="6"/>
    <n v="5.5"/>
    <s v="CONVENCIONAL"/>
    <n v="82"/>
    <d v="2026-01-22T00:00:00"/>
    <s v="WA PS 18"/>
    <n v="1.1299999999999999"/>
    <n v="38"/>
    <n v="797500"/>
    <n v="145000"/>
    <n v="14.5"/>
    <s v="TECSERV"/>
    <s v="SEMACUA"/>
    <s v="UNICO"/>
    <n v="6500"/>
    <n v="7034.4"/>
    <n v="22"/>
    <n v="23.53"/>
    <n v="1278.9818181818182"/>
    <n v="135725.35486612833"/>
    <n v="18700"/>
    <n v="21152.18"/>
    <n v="41"/>
    <n v="41.08"/>
    <n v="3845.8509090909092"/>
    <n v="233765.57254138269"/>
    <n v="28186.58"/>
    <n v="369490.92740751104"/>
    <n v="5124.8327272727274"/>
    <n v="3.5068292682926829"/>
    <n v="62.497960088691798"/>
    <n v="46.331150772101701"/>
    <n v="41750.714800000002"/>
    <n v="41.991130820399114"/>
    <n v="1.4812266972438657"/>
    <m/>
    <m/>
    <n v="534.39999999999964"/>
    <n v="2452.1800000000003"/>
    <n v="1.5300000000000011"/>
    <n v="7.9999999999998295E-2"/>
    <s v="JUNIOR ESQUIVEL"/>
    <s v="WA 19"/>
  </r>
  <r>
    <d v="2026-04-15T00:00:00"/>
    <n v="282"/>
    <x v="0"/>
    <s v="AGUAJE 8"/>
    <x v="3"/>
    <s v="23"/>
    <x v="3"/>
    <n v="6.1"/>
    <s v="ASC"/>
    <n v="81"/>
    <d v="2026-01-24T00:00:00"/>
    <s v="CH PS 17"/>
    <n v="0.57999999999999996"/>
    <n v="11"/>
    <n v="1098000"/>
    <n v="180000"/>
    <n v="18"/>
    <s v="LARVASLAB"/>
    <s v="TEXCUMAR"/>
    <s v="UNICO"/>
    <n v="16100"/>
    <n v="17632.5"/>
    <n v="26.3"/>
    <n v="26.82"/>
    <n v="2890.5737704918033"/>
    <n v="301486.32098058256"/>
    <n v="23600"/>
    <n v="24156.080000000002"/>
    <n v="33"/>
    <n v="31.66"/>
    <n v="3960.0131147540988"/>
    <n v="346394.83006948832"/>
    <n v="41788.58"/>
    <n v="647881.15105007088"/>
    <n v="6850.5868852459025"/>
    <n v="2.7360493827160495"/>
    <n v="84.575146731430891"/>
    <n v="59.005569312392616"/>
    <n v="66578.92"/>
    <n v="61.121230520137615"/>
    <n v="1.5932324094286046"/>
    <m/>
    <m/>
    <n v="1532.5"/>
    <n v="556.08000000000175"/>
    <n v="0.51999999999999957"/>
    <n v="-1.3399999999999999"/>
    <s v="SANTIAGO OBRIEN"/>
    <s v="CH 23"/>
  </r>
  <r>
    <d v="2026-04-15T00:00:00"/>
    <n v="283"/>
    <x v="0"/>
    <s v="AGUAJE 8"/>
    <x v="3"/>
    <s v="27"/>
    <x v="7"/>
    <n v="5.34"/>
    <s v="ASC-BAP"/>
    <n v="64"/>
    <d v="2026-02-10T00:00:00"/>
    <s v="DO PC 13"/>
    <n v="1.01"/>
    <n v="1"/>
    <n v="961200"/>
    <n v="180000"/>
    <n v="18"/>
    <s v="PRICMARSA"/>
    <s v="TEXCUMAR"/>
    <s v="UNICO"/>
    <n v="17500"/>
    <n v="17458.349999999999"/>
    <n v="21"/>
    <n v="22.72"/>
    <n v="3269.3539325842694"/>
    <n v="356944.23124843009"/>
    <n v="8000"/>
    <n v="8619.83"/>
    <n v="32"/>
    <n v="34.5"/>
    <n v="1614.2003745318352"/>
    <n v="113431.96579710144"/>
    <n v="26078.18"/>
    <n v="470376.19704553153"/>
    <n v="4883.5543071161046"/>
    <n v="3.7734375"/>
    <n v="76.305536048689135"/>
    <n v="48.936350087966247"/>
    <n v="43761.310000000005"/>
    <n v="58.081694756554306"/>
    <n v="1.6780814458677715"/>
    <m/>
    <m/>
    <n v="-41.650000000001455"/>
    <n v="619.82999999999993"/>
    <n v="1.7199999999999989"/>
    <n v="2.5"/>
    <s v="JOSE CEDEÑO"/>
    <s v="DO 27"/>
  </r>
  <r>
    <d v="2026-04-15T00:00:00"/>
    <n v="284"/>
    <x v="0"/>
    <s v="AGUAJE 8"/>
    <x v="3"/>
    <s v="12"/>
    <x v="7"/>
    <n v="7.8"/>
    <s v="ASC-BAP"/>
    <n v="81"/>
    <d v="2026-01-24T00:00:00"/>
    <s v="DO PS 15 - DO PC 6"/>
    <n v="1.4550000000000001"/>
    <n v="3"/>
    <n v="1256929"/>
    <n v="161144.74358974359"/>
    <n v="16.114474358974359"/>
    <s v="TECSERV - PRONAUPLIO"/>
    <s v="SEMACUA / EMPAGRAN"/>
    <s v="UNICO"/>
    <n v="39800"/>
    <n v="40030.21"/>
    <n v="33.333333333333336"/>
    <n v="34.72"/>
    <n v="5132.0782051282049"/>
    <n v="518353.57538308634"/>
    <n v="15900"/>
    <n v="14766.36"/>
    <n v="38"/>
    <n v="39.200000000000003"/>
    <n v="1893.123076923077"/>
    <n v="171018.55714285714"/>
    <n v="54796.57"/>
    <n v="689372.13252594345"/>
    <n v="7025.2012820512819"/>
    <n v="3.3876543209876546"/>
    <n v="86.730880025324467"/>
    <n v="54.845749642656308"/>
    <n v="88459.575000000012"/>
    <n v="63.509021842355182"/>
    <n v="1.6143268638894737"/>
    <m/>
    <m/>
    <n v="230.20999999999913"/>
    <n v="-1133.6399999999994"/>
    <n v="1.3866666666666632"/>
    <n v="1.2000000000000028"/>
    <s v="JOSE CEDEÑO"/>
    <s v="DO 12"/>
  </r>
  <r>
    <d v="2026-04-15T00:00:00"/>
    <n v="285"/>
    <x v="0"/>
    <s v="AGUAJE 8"/>
    <x v="3"/>
    <s v="05"/>
    <x v="10"/>
    <n v="4.3"/>
    <s v="CONVENCIONAL"/>
    <n v="82"/>
    <d v="2026-01-23T00:00:00"/>
    <s v="GT 4"/>
    <n v="0.56999999999999995"/>
    <n v="7"/>
    <n v="645000"/>
    <n v="150000"/>
    <n v="15"/>
    <s v="LARVASLAB"/>
    <s v="TEXCUMAR"/>
    <s v="UNICO"/>
    <n v="4200"/>
    <n v="4483.4399999999996"/>
    <n v="21"/>
    <n v="23.4"/>
    <n v="1042.6604651162791"/>
    <n v="86986.4"/>
    <n v="18400"/>
    <n v="20455.73"/>
    <n v="35"/>
    <n v="34.86"/>
    <n v="4757.1465116279069"/>
    <n v="266405.66322432586"/>
    <n v="24939.17"/>
    <n v="353392.06322432589"/>
    <n v="5799.8069767441857"/>
    <n v="2.9758536585365856"/>
    <n v="70.72935337492909"/>
    <n v="54.789467166562154"/>
    <n v="37967.621200000001"/>
    <n v="48.842881452070337"/>
    <n v="1.5224091740021823"/>
    <m/>
    <m/>
    <n v="283.4399999999996"/>
    <n v="2055.7299999999996"/>
    <n v="2.3999999999999986"/>
    <n v="-0.14000000000000057"/>
    <s v="JULIO SANTOS"/>
    <s v="GT 05"/>
  </r>
  <r>
    <d v="2026-04-15T00:00:00"/>
    <n v="286"/>
    <x v="0"/>
    <s v="AGUAJE 8"/>
    <x v="3"/>
    <s v="27"/>
    <x v="0"/>
    <n v="8.0500000000000007"/>
    <s v="CONVENCIONAL"/>
    <n v="74"/>
    <d v="2026-01-31T00:00:00"/>
    <s v="PR PC 6"/>
    <n v="0.3"/>
    <n v="13"/>
    <n v="1207500"/>
    <n v="150000"/>
    <n v="15"/>
    <s v="EMPAGRAM"/>
    <s v="EMPAGRAM"/>
    <s v="UNICO"/>
    <n v="0"/>
    <n v="0"/>
    <n v="0"/>
    <n v="0"/>
    <n v="0"/>
    <n v="0"/>
    <n v="20800"/>
    <n v="25677.01"/>
    <n v="25"/>
    <n v="28.08"/>
    <n v="3189.6906832298132"/>
    <n v="415148.2386039886"/>
    <n v="25677.01"/>
    <n v="415148.2386039886"/>
    <n v="3189.6906832298132"/>
    <n v="2.6562162162162162"/>
    <n v="43.103928151754232"/>
    <n v="34.380806509647087"/>
    <n v="43595.965000000004"/>
    <n v="33.196239717978848"/>
    <n v="1.6978598754294214"/>
    <m/>
    <m/>
    <n v="0"/>
    <n v="4877.0099999999984"/>
    <n v="0"/>
    <n v="3.0799999999999983"/>
    <s v="WILMER TORRES"/>
    <s v="PR 27"/>
  </r>
  <r>
    <d v="2026-04-15T00:00:00"/>
    <n v="287"/>
    <x v="0"/>
    <s v="AGUAJE 8"/>
    <x v="3"/>
    <s v="13"/>
    <x v="1"/>
    <n v="4.51"/>
    <s v="ASC-BAP"/>
    <n v="76"/>
    <d v="2026-01-29T00:00:00"/>
    <s v="TI 32 - 37"/>
    <n v="0.55000000000000004"/>
    <n v="1"/>
    <n v="766700"/>
    <n v="170000"/>
    <n v="17"/>
    <s v="EMPAGRAN"/>
    <s v="EMPAGRAN"/>
    <s v="UNICO"/>
    <n v="12800"/>
    <n v="14189.59"/>
    <n v="21"/>
    <n v="21.35"/>
    <n v="3146.2505543237253"/>
    <n v="301981.76918103453"/>
    <n v="24900"/>
    <n v="27841.95"/>
    <n v="29"/>
    <n v="29.33"/>
    <n v="6173.3813747228387"/>
    <n v="430966.42686668946"/>
    <n v="42031.54"/>
    <n v="732948.19604772399"/>
    <n v="9319.6319290465635"/>
    <n v="2.7014473684210523"/>
    <n v="122.62673590850741"/>
    <n v="95.597782189607926"/>
    <n v="52700.963000000003"/>
    <n v="69.742677091842694"/>
    <n v="1.2538432567543327"/>
    <m/>
    <m/>
    <n v="1389.5900000000001"/>
    <n v="2941.9500000000007"/>
    <n v="0.35000000000000142"/>
    <n v="0.32999999999999829"/>
    <s v="ALFONSO GRUNAUER"/>
    <s v="TI 13"/>
  </r>
  <r>
    <d v="2026-04-15T00:00:00"/>
    <n v="288"/>
    <x v="0"/>
    <s v="AGUAJE 8"/>
    <x v="3"/>
    <s v="12"/>
    <x v="6"/>
    <n v="6"/>
    <s v="CONVENCIONAL"/>
    <n v="86"/>
    <d v="2026-01-19T00:00:00"/>
    <s v="WA PS 6"/>
    <n v="1.1000000000000001"/>
    <n v="47"/>
    <n v="1050000"/>
    <n v="175000"/>
    <n v="17.5"/>
    <s v="TECSERV"/>
    <s v="SEMACUA"/>
    <s v="UNICO"/>
    <n v="8000"/>
    <n v="8784.1200000000008"/>
    <n v="22"/>
    <n v="21.1"/>
    <n v="1464.0200000000002"/>
    <n v="189004.28815165878"/>
    <n v="22500"/>
    <n v="25949.9"/>
    <n v="33"/>
    <n v="29.18"/>
    <n v="4324.9833333333336"/>
    <n v="403744.16038382461"/>
    <n v="34734.020000000004"/>
    <n v="592748.44853548333"/>
    <n v="5789.003333333334"/>
    <n v="2.3751162790697671"/>
    <n v="67.313992248062021"/>
    <n v="56.452233193855548"/>
    <n v="62910.465600000003"/>
    <n v="55.302325581395351"/>
    <n v="1.8112060049484624"/>
    <m/>
    <m/>
    <n v="784.1200000000008"/>
    <n v="3449.9000000000015"/>
    <n v="-0.89999999999999858"/>
    <n v="-3.8200000000000003"/>
    <s v="JUNIOR ESQUIVEL"/>
    <s v="WA 12"/>
  </r>
  <r>
    <d v="2026-04-16T00:00:00"/>
    <n v="289"/>
    <x v="0"/>
    <s v="AGUAJE 8"/>
    <x v="3"/>
    <s v="07"/>
    <x v="10"/>
    <n v="4.42"/>
    <s v="CONVENCIONAL"/>
    <n v="85"/>
    <d v="2026-01-21T00:00:00"/>
    <s v="GT PC 07"/>
    <n v="0.8"/>
    <n v="7"/>
    <n v="663000"/>
    <n v="150000"/>
    <n v="15"/>
    <s v="TECSERV"/>
    <s v="SEMACUA"/>
    <s v="UNICO"/>
    <n v="4400"/>
    <n v="4549.7299999999996"/>
    <n v="17"/>
    <n v="19.48"/>
    <n v="1029.3506787330316"/>
    <n v="106035.80184804926"/>
    <n v="20500"/>
    <n v="22526.29"/>
    <n v="30"/>
    <n v="30.74"/>
    <n v="5096.4457013574665"/>
    <n v="332691.46584255045"/>
    <n v="27076.02"/>
    <n v="438727.26769059972"/>
    <n v="6125.7963800904981"/>
    <n v="2.5315294117647058"/>
    <n v="72.068192706947031"/>
    <n v="66.173041883951683"/>
    <n v="43099.93"/>
    <n v="52.036199095022624"/>
    <n v="1.5918118689526748"/>
    <m/>
    <m/>
    <n v="149.72999999999956"/>
    <n v="2026.2900000000009"/>
    <n v="2.4800000000000004"/>
    <n v="0.73999999999999844"/>
    <s v="JULIO SANTOS"/>
    <s v="GT 07"/>
  </r>
  <r>
    <d v="2026-04-16T00:00:00"/>
    <n v="290"/>
    <x v="0"/>
    <s v="AGUAJE 8"/>
    <x v="3"/>
    <s v="29"/>
    <x v="0"/>
    <n v="6.35"/>
    <s v="CONVENCIONAL"/>
    <n v="74"/>
    <d v="2026-02-01T00:00:00"/>
    <s v="PR 25"/>
    <n v="0.5"/>
    <n v="19"/>
    <n v="889000"/>
    <n v="140000"/>
    <n v="14"/>
    <s v="ACUATECSA"/>
    <s v="TEXCUMAR"/>
    <s v="UNICO"/>
    <n v="0"/>
    <n v="0"/>
    <n v="0"/>
    <n v="0"/>
    <n v="0"/>
    <n v="0"/>
    <n v="20200"/>
    <n v="22392.48"/>
    <n v="32"/>
    <n v="31"/>
    <n v="3526.3748031496066"/>
    <n v="327941.48129032255"/>
    <n v="22392.48"/>
    <n v="327941.48129032255"/>
    <n v="3526.3748031496066"/>
    <n v="2.9324324324324325"/>
    <n v="47.653713556075765"/>
    <n v="36.888805544468227"/>
    <n v="37478.200000000004"/>
    <n v="36.177910193658228"/>
    <n v="1.673695812165513"/>
    <m/>
    <m/>
    <n v="0"/>
    <n v="2192.4799999999996"/>
    <n v="0"/>
    <n v="-1"/>
    <s v="WILMER TORRES"/>
    <s v="PR 29"/>
  </r>
  <r>
    <d v="2026-04-16T00:00:00"/>
    <n v="291"/>
    <x v="0"/>
    <s v="AGUAJE 8"/>
    <x v="3"/>
    <s v="10"/>
    <x v="11"/>
    <n v="8"/>
    <s v="ASC-BAP"/>
    <n v="75"/>
    <d v="2026-01-31T00:00:00"/>
    <s v="TI 35 - 37"/>
    <n v="0.75"/>
    <n v="4"/>
    <n v="1280000"/>
    <n v="160000"/>
    <n v="16"/>
    <s v="GENESIS"/>
    <s v="TEXCUMAR"/>
    <s v="UNICO"/>
    <n v="38500"/>
    <n v="40461.740000000005"/>
    <n v="26.333333333333332"/>
    <n v="26.813333333333333"/>
    <n v="5057.7175000000007"/>
    <n v="693780.65886106982"/>
    <n v="31150"/>
    <n v="30880.25"/>
    <n v="36"/>
    <n v="35.799999999999997"/>
    <n v="3860.03125"/>
    <n v="391609.874301676"/>
    <n v="71341.990000000005"/>
    <n v="1085390.5331627459"/>
    <n v="8917.7487500000007"/>
    <n v="3.3413333333333335"/>
    <n v="118.90331666666667"/>
    <n v="84.79613540333952"/>
    <n v="97277.975000000006"/>
    <n v="73.541666666666671"/>
    <n v="1.3635444567778388"/>
    <m/>
    <m/>
    <n v="1961.7400000000052"/>
    <n v="-269.75"/>
    <n v="0.48000000000000043"/>
    <n v="-0.20000000000000284"/>
    <s v="ALFONSO GRUNAUER"/>
    <s v="TA 10"/>
  </r>
  <r>
    <d v="2026-04-16T00:00:00"/>
    <n v="292"/>
    <x v="0"/>
    <s v="AGUAJE 8"/>
    <x v="3"/>
    <s v="03"/>
    <x v="6"/>
    <n v="3.5"/>
    <s v="CONVENCIONAL"/>
    <n v="92"/>
    <d v="2026-01-14T00:00:00"/>
    <s v="WA PC 3"/>
    <n v="0.6"/>
    <n v="29"/>
    <n v="595000"/>
    <n v="170000"/>
    <n v="17"/>
    <s v="GRILSAN"/>
    <s v="AQUAGEN"/>
    <s v="UNICO"/>
    <n v="11400"/>
    <n v="12084.41"/>
    <n v="22.5"/>
    <n v="24.45"/>
    <n v="3452.6885714285713"/>
    <n v="222184.88258677238"/>
    <n v="13200"/>
    <n v="15051.54"/>
    <n v="32"/>
    <n v="30.36"/>
    <n v="4300.4400000000005"/>
    <n v="225079.02371541504"/>
    <n v="27135.95"/>
    <n v="447263.90630218742"/>
    <n v="7753.1285714285714"/>
    <n v="2.31"/>
    <n v="84.273136645962737"/>
    <n v="75.170404420535704"/>
    <n v="44274.981800000001"/>
    <n v="62.369565217391305"/>
    <n v="1.6315987389422519"/>
    <m/>
    <m/>
    <n v="684.40999999999985"/>
    <n v="1851.5400000000009"/>
    <n v="1.9499999999999993"/>
    <n v="-1.6400000000000006"/>
    <s v="JUNIOR ESQUIVEL"/>
    <s v="WA 03"/>
  </r>
  <r>
    <d v="2026-04-17T00:00:00"/>
    <n v="293"/>
    <x v="0"/>
    <s v="AGUAJE 8"/>
    <x v="3"/>
    <s v="30"/>
    <x v="7"/>
    <n v="8.5399999999999991"/>
    <s v="ASC-BAP"/>
    <n v="89"/>
    <d v="2026-01-18T00:00:00"/>
    <s v="DO 07"/>
    <n v="0.95"/>
    <n v="3"/>
    <n v="1333731"/>
    <n v="156174.59016393445"/>
    <n v="15.617459016393445"/>
    <s v="EMPAGRAN"/>
    <s v="EMPAGRAN"/>
    <s v="UNICO"/>
    <n v="22800"/>
    <n v="23938.120000000003"/>
    <n v="25"/>
    <n v="25.954999999999998"/>
    <n v="2803.0585480093682"/>
    <n v="433284.28331725625"/>
    <n v="17450"/>
    <n v="18908.96"/>
    <n v="38"/>
    <n v="38.54"/>
    <n v="2214.1639344262298"/>
    <n v="222746.9600415153"/>
    <n v="42847.08"/>
    <n v="656031.24335877155"/>
    <n v="5017.2224824355981"/>
    <n v="3.03123595505618"/>
    <n v="56.373286319501105"/>
    <n v="49.187673028427135"/>
    <n v="77987.725000000006"/>
    <n v="46.542378233297377"/>
    <n v="1.8201409524289638"/>
    <m/>
    <m/>
    <n v="1138.1200000000026"/>
    <n v="1458.9599999999991"/>
    <n v="0.95499999999999829"/>
    <n v="0.53999999999999915"/>
    <s v="JOSE CEDEÑO"/>
    <s v="DO 30"/>
  </r>
  <r>
    <d v="2026-04-17T00:00:00"/>
    <n v="294"/>
    <x v="0"/>
    <s v="AGUAJE 8"/>
    <x v="3"/>
    <s v="31"/>
    <x v="0"/>
    <n v="8.15"/>
    <s v="CONVENCIONAL"/>
    <n v="75"/>
    <d v="2026-02-01T00:00:00"/>
    <s v="PR 25"/>
    <n v="0.5"/>
    <n v="18"/>
    <n v="1141000"/>
    <n v="140000"/>
    <n v="14"/>
    <s v="ACUATECSA"/>
    <s v="TEXCUMAR"/>
    <s v="UNICO"/>
    <n v="0"/>
    <n v="0"/>
    <n v="0"/>
    <n v="0"/>
    <n v="0"/>
    <n v="0"/>
    <n v="25000"/>
    <n v="30371.61"/>
    <n v="25"/>
    <n v="27.4"/>
    <n v="3726.5779141104294"/>
    <n v="503237.62554744526"/>
    <n v="30371.61"/>
    <n v="503237.62554744526"/>
    <n v="3726.5779141104294"/>
    <n v="2.5573333333333332"/>
    <n v="49.687705521472395"/>
    <n v="44.10496279995138"/>
    <n v="44422.69"/>
    <n v="32.965235173824134"/>
    <n v="1.4626386286403652"/>
    <m/>
    <m/>
    <n v="0"/>
    <n v="5371.6100000000006"/>
    <n v="0"/>
    <n v="2.3999999999999986"/>
    <s v="WILMER TORRES"/>
    <s v="PR 31"/>
  </r>
  <r>
    <d v="2026-04-17T00:00:00"/>
    <n v="295"/>
    <x v="0"/>
    <s v="AGUAJE 8"/>
    <x v="3"/>
    <s v="01"/>
    <x v="1"/>
    <n v="7.84"/>
    <s v="ASC-BAP"/>
    <n v="80"/>
    <d v="2026-01-27T00:00:00"/>
    <s v="TI 36 - 38"/>
    <n v="0.56000000000000005"/>
    <n v="5"/>
    <n v="1411200"/>
    <n v="180000"/>
    <n v="18"/>
    <s v="EMPAGRAN"/>
    <s v="EMPAGRAN"/>
    <s v="UNICO"/>
    <n v="22500"/>
    <n v="23580.129999999997"/>
    <n v="24"/>
    <n v="24.98"/>
    <n v="3007.6696428571427"/>
    <n v="432924.75728276023"/>
    <n v="37500"/>
    <n v="37761.89"/>
    <n v="30"/>
    <n v="30.38"/>
    <n v="4816.5676020408164"/>
    <n v="564315.27518104017"/>
    <n v="61342.02"/>
    <n v="997240.03246380039"/>
    <n v="7824.2372448979586"/>
    <n v="2.6582499999999998"/>
    <n v="97.802965561224482"/>
    <n v="70.666102073681998"/>
    <n v="91490.900000000009"/>
    <n v="66.167091836734699"/>
    <n v="1.4914882163971779"/>
    <m/>
    <m/>
    <n v="1080.1299999999974"/>
    <n v="261.88999999999942"/>
    <n v="0.98000000000000043"/>
    <n v="0.37999999999999901"/>
    <s v="ALFONSO GRUNAUER"/>
    <s v="TI 01"/>
  </r>
  <r>
    <d v="2026-04-17T00:00:00"/>
    <n v="296"/>
    <x v="0"/>
    <s v="AGUAJE 8"/>
    <x v="3"/>
    <s v="15"/>
    <x v="10"/>
    <n v="2.69"/>
    <s v="CONVENCIONAL"/>
    <n v="79"/>
    <d v="2026-01-28T00:00:00"/>
    <s v="GT PC 06"/>
    <n v="0.45"/>
    <n v="15"/>
    <n v="376600"/>
    <n v="140000"/>
    <n v="14"/>
    <s v="TEXCUMAR"/>
    <s v="NEMEN "/>
    <s v="UNICO"/>
    <n v="0"/>
    <n v="0"/>
    <n v="0"/>
    <n v="0"/>
    <n v="0"/>
    <n v="0"/>
    <n v="11950"/>
    <n v="13920.52"/>
    <n v="33"/>
    <n v="33.04"/>
    <n v="5174.9144981412646"/>
    <n v="191280.7530266344"/>
    <n v="13920.52"/>
    <n v="191280.7530266344"/>
    <n v="5174.9144981412646"/>
    <n v="2.9275949367088603"/>
    <n v="65.505246811914745"/>
    <n v="50.791490447858308"/>
    <n v="21219.279999999999"/>
    <n v="45.291996931839073"/>
    <n v="1.524316620356136"/>
    <m/>
    <m/>
    <n v="0"/>
    <n v="1970.5200000000004"/>
    <n v="0"/>
    <n v="3.9999999999999147E-2"/>
    <s v="JULIO SANTOS"/>
    <s v="GT 15"/>
  </r>
  <r>
    <d v="2026-04-17T00:00:00"/>
    <n v="297"/>
    <x v="0"/>
    <s v="AGUAJE 8"/>
    <x v="3"/>
    <s v="07"/>
    <x v="6"/>
    <n v="4.4000000000000004"/>
    <s v="CONVENCIONAL"/>
    <n v="88"/>
    <d v="2026-01-19T00:00:00"/>
    <s v="WA PS 6"/>
    <n v="1.1000000000000001"/>
    <n v="33"/>
    <n v="770000"/>
    <n v="175000"/>
    <n v="17.5"/>
    <s v="TECSERV"/>
    <s v="SEMACUA"/>
    <s v="UNICO"/>
    <n v="5950"/>
    <n v="6333.41"/>
    <n v="17"/>
    <n v="15.76"/>
    <n v="1439.4113636363634"/>
    <n v="182447.21700507615"/>
    <n v="11850"/>
    <n v="13472.28"/>
    <n v="32"/>
    <n v="29.62"/>
    <n v="3061.8818181818183"/>
    <n v="206496.12153950034"/>
    <n v="19805.690000000002"/>
    <n v="388943.33854457649"/>
    <n v="4501.2931818181823"/>
    <n v="2.3561363636363639"/>
    <n v="51.151058884297527"/>
    <n v="50.512121888906037"/>
    <n v="38767.891000000003"/>
    <n v="45.415805785123958"/>
    <n v="1.9574117841892911"/>
    <m/>
    <m/>
    <n v="383.40999999999985"/>
    <n v="1622.2800000000007"/>
    <n v="-1.2400000000000002"/>
    <n v="-2.379999999999999"/>
    <s v="JUNIOR ESQUIVEL"/>
    <s v="WA 07"/>
  </r>
  <r>
    <d v="2026-04-17T00:00:00"/>
    <n v="298"/>
    <x v="0"/>
    <s v="AGUAJE 8"/>
    <x v="3"/>
    <s v="24"/>
    <x v="4"/>
    <n v="5.3"/>
    <s v="CONVENCIONAL"/>
    <n v="68"/>
    <d v="2026-02-08T00:00:00"/>
    <s v="DE 25"/>
    <n v="0.65"/>
    <n v="11"/>
    <n v="583000"/>
    <n v="110000"/>
    <n v="11"/>
    <s v="PRICMARSA"/>
    <s v="TEXCUMAR"/>
    <s v="UNICO"/>
    <n v="10800"/>
    <n v="10375.43"/>
    <n v="20"/>
    <n v="21.759999999999998"/>
    <n v="1957.6283018867925"/>
    <n v="214717.2943793895"/>
    <n v="18650"/>
    <n v="18018"/>
    <n v="29"/>
    <n v="31.94"/>
    <n v="3399.6226415094343"/>
    <n v="256110.58234189104"/>
    <n v="28393.43"/>
    <n v="470827.87672128051"/>
    <n v="5357.2509433962268"/>
    <n v="3.2879411764705888"/>
    <n v="78.783102108768048"/>
    <n v="80.759498579979507"/>
    <n v="46351.715000000004"/>
    <n v="58.337957824639297"/>
    <n v="1.6324802956176836"/>
    <m/>
    <m/>
    <n v="-424.56999999999971"/>
    <n v="-632"/>
    <n v="1.759999999999998"/>
    <n v="2.9400000000000013"/>
    <s v="CARLOS FLORES"/>
    <s v="DE 24"/>
  </r>
  <r>
    <d v="2026-04-18T00:00:00"/>
    <n v="299"/>
    <x v="0"/>
    <s v="AGUAJE 8"/>
    <x v="3"/>
    <s v="18"/>
    <x v="10"/>
    <n v="4.47"/>
    <s v="CONVENCIONAL"/>
    <n v="80"/>
    <d v="2026-01-28T00:00:00"/>
    <s v="GT 6"/>
    <n v="0.45"/>
    <n v="16"/>
    <n v="670500"/>
    <n v="150000"/>
    <n v="15"/>
    <s v="NEMEN"/>
    <s v="TEXCUMAR"/>
    <s v="UNICO"/>
    <n v="4900"/>
    <n v="4970.47"/>
    <n v="24"/>
    <n v="25.94"/>
    <n v="1111.9619686800895"/>
    <n v="86992.805705474166"/>
    <n v="12300"/>
    <n v="13491.84"/>
    <n v="30"/>
    <n v="29.42"/>
    <n v="3018.3087248322149"/>
    <n v="208201.74575118968"/>
    <n v="18462.310000000001"/>
    <n v="295194.55145666387"/>
    <n v="4130.2706935123051"/>
    <n v="2.5742500000000001"/>
    <n v="51.628383668903815"/>
    <n v="44.026033028585218"/>
    <n v="36651.480000000003"/>
    <n v="46.490498512262647"/>
    <n v="1.9852055349520186"/>
    <m/>
    <m/>
    <n v="70.470000000000255"/>
    <n v="1191.8400000000001"/>
    <n v="1.9400000000000013"/>
    <n v="-0.57999999999999829"/>
    <s v="JULIO SANTOS"/>
    <s v="GT 18"/>
  </r>
  <r>
    <d v="2026-04-18T00:00:00"/>
    <n v="300"/>
    <x v="0"/>
    <s v="AGUAJE 8"/>
    <x v="3"/>
    <s v="08"/>
    <x v="8"/>
    <n v="4.3"/>
    <s v="ASC-BAP"/>
    <n v="79"/>
    <d v="2026-01-29T00:00:00"/>
    <s v="PA PC 7"/>
    <n v="0.5"/>
    <n v="4"/>
    <n v="566450"/>
    <n v="131732.5581395349"/>
    <n v="13.173255813953491"/>
    <s v="NEMEN"/>
    <s v="TEXCUMAR"/>
    <s v="UNICO"/>
    <n v="10450"/>
    <n v="12152.75"/>
    <n v="23.25"/>
    <n v="25.12"/>
    <n v="2826.2209302325582"/>
    <n v="224449.8051427739"/>
    <n v="15500"/>
    <n v="17164.77"/>
    <n v="34"/>
    <n v="34.14"/>
    <n v="3991.8069767441862"/>
    <n v="228260.26889279438"/>
    <n v="29317.52"/>
    <n v="452710.07403556828"/>
    <n v="6818.0279069767448"/>
    <n v="3.0250632911392406"/>
    <n v="86.304150721224616"/>
    <n v="79.920570930456051"/>
    <n v="37202.620000000003"/>
    <n v="49.676178192566617"/>
    <n v="1.2689552185860196"/>
    <m/>
    <m/>
    <n v="1702.75"/>
    <n v="1664.7700000000004"/>
    <n v="1.870000000000001"/>
    <n v="0.14000000000000057"/>
    <s v="GUSTAVO CARRASCO"/>
    <s v="PA 08"/>
  </r>
  <r>
    <d v="2026-04-18T00:00:00"/>
    <n v="301"/>
    <x v="0"/>
    <s v="AGUAJE 8"/>
    <x v="3"/>
    <s v="32"/>
    <x v="0"/>
    <n v="8.25"/>
    <s v="CONVENCIONAL"/>
    <n v="75"/>
    <d v="2026-02-02T00:00:00"/>
    <s v="PR PC 5"/>
    <n v="0.35"/>
    <n v="14"/>
    <n v="1155000"/>
    <n v="140000"/>
    <n v="14"/>
    <s v="ACUATECSA"/>
    <s v="TEXCUMAR"/>
    <s v="UNICO"/>
    <n v="0"/>
    <n v="0"/>
    <n v="0"/>
    <n v="0"/>
    <n v="0"/>
    <n v="0"/>
    <n v="23400"/>
    <n v="25331.68"/>
    <n v="25"/>
    <n v="26.32"/>
    <n v="3070.5066666666667"/>
    <n v="436952.23100303952"/>
    <n v="25331.68"/>
    <n v="436952.23100303952"/>
    <n v="3070.5066666666667"/>
    <n v="2.4565333333333337"/>
    <n v="40.940088888888887"/>
    <n v="37.831361991605149"/>
    <n v="48280.74"/>
    <n v="35.393939393939384"/>
    <n v="1.9059430720741775"/>
    <m/>
    <m/>
    <n v="0"/>
    <n v="1931.6800000000003"/>
    <n v="0"/>
    <n v="1.3200000000000003"/>
    <s v="WILMER TORRES"/>
    <s v="PR 32"/>
  </r>
  <r>
    <d v="2026-04-18T00:00:00"/>
    <n v="302"/>
    <x v="0"/>
    <s v="AGUAJE 8"/>
    <x v="3"/>
    <s v="06"/>
    <x v="11"/>
    <n v="4.55"/>
    <s v="ASC-BAP"/>
    <n v="80"/>
    <d v="2026-01-28T00:00:00"/>
    <s v="TA PC 5"/>
    <n v="0.52"/>
    <n v="10"/>
    <n v="819000"/>
    <n v="180000"/>
    <n v="18"/>
    <s v="NEMEN"/>
    <s v="TEXCUMAR"/>
    <s v="UNICO"/>
    <n v="15500"/>
    <n v="17525.03"/>
    <n v="23.1"/>
    <n v="24.34"/>
    <n v="3851.6549450549451"/>
    <n v="335752.53281881812"/>
    <n v="20150"/>
    <n v="23081.82"/>
    <n v="32"/>
    <n v="29.02"/>
    <n v="5072.9274725274727"/>
    <n v="361100.83666436939"/>
    <n v="40606.85"/>
    <n v="696853.36948318756"/>
    <n v="8924.5824175824182"/>
    <n v="2.53925"/>
    <n v="111.55728021978022"/>
    <n v="85.085881499778708"/>
    <n v="72531.34"/>
    <n v="90.384615384615387"/>
    <n v="1.7861848431976377"/>
    <m/>
    <m/>
    <n v="2025.0299999999988"/>
    <n v="2931.8199999999997"/>
    <n v="1.2399999999999984"/>
    <n v="-2.9800000000000004"/>
    <s v="ALFONSO GRUNAUER"/>
    <s v="TA 06"/>
  </r>
  <r>
    <d v="2026-04-18T00:00:00"/>
    <n v="303"/>
    <x v="0"/>
    <s v="AGUAJE 8"/>
    <x v="3"/>
    <s v="16"/>
    <x v="6"/>
    <n v="8"/>
    <s v="CONVENCIONAL"/>
    <n v="92"/>
    <d v="2026-01-16T00:00:00"/>
    <s v="WA PS 23 - PC 09"/>
    <n v="0.71"/>
    <n v="56"/>
    <n v="1325000"/>
    <n v="165625"/>
    <n v="16.5625"/>
    <s v="BIOLACAM/GRILSAN"/>
    <s v="TEXCUMAR/AQUAGEN"/>
    <s v="COMBINADO"/>
    <n v="14400"/>
    <n v="15417.3"/>
    <n v="27.5"/>
    <n v="26.87"/>
    <n v="1927.1624999999999"/>
    <n v="268676.3420412835"/>
    <n v="16750"/>
    <n v="19018.14"/>
    <n v="42"/>
    <n v="40.42"/>
    <n v="2377.2674999999999"/>
    <n v="213612.95299356754"/>
    <n v="34435.440000000002"/>
    <n v="482289.29503485106"/>
    <n v="4304.43"/>
    <n v="3.0754347826086961"/>
    <n v="46.787282608695655"/>
    <n v="36.399192078101969"/>
    <n v="63558.618000000002"/>
    <n v="39.171195652173914"/>
    <n v="1.8457327102543193"/>
    <m/>
    <m/>
    <n v="1017.2999999999993"/>
    <n v="2268.1399999999994"/>
    <n v="-0.62999999999999901"/>
    <n v="-1.5799999999999983"/>
    <s v="JUNIOR ESQUIVEL"/>
    <s v="WA 16"/>
  </r>
  <r>
    <d v="2026-04-18T00:00:00"/>
    <n v="304"/>
    <x v="0"/>
    <s v="AGUAJE 8"/>
    <x v="3"/>
    <s v="01"/>
    <x v="11"/>
    <n v="3"/>
    <s v="ASC-BAP"/>
    <n v="80"/>
    <d v="2026-01-28T00:00:00"/>
    <s v="TA 5"/>
    <n v="0.52"/>
    <n v="9"/>
    <n v="480000"/>
    <n v="160000"/>
    <n v="16"/>
    <s v="NEMEN"/>
    <s v="TEXCUMAR"/>
    <s v="UNICO"/>
    <n v="8950"/>
    <n v="10120.150000000001"/>
    <n v="22.5"/>
    <n v="23.93"/>
    <n v="3373.3833333333337"/>
    <n v="191387.98132835462"/>
    <n v="15900"/>
    <n v="16641.990000000002"/>
    <n v="40"/>
    <n v="40.04"/>
    <n v="5547.3300000000008"/>
    <n v="188697.88861138863"/>
    <n v="26762.140000000003"/>
    <n v="380085.86993974325"/>
    <n v="8920.713333333335"/>
    <n v="3.5034999999999998"/>
    <n v="111.50891666666669"/>
    <n v="79.184556237446515"/>
    <n v="36640.449999999997"/>
    <n v="69.249996220024784"/>
    <n v="1.3691151006608586"/>
    <m/>
    <m/>
    <n v="1170.1500000000015"/>
    <n v="741.9900000000016"/>
    <n v="1.4299999999999997"/>
    <n v="3.9999999999999147E-2"/>
    <s v="ALFONSO GRUNAUER"/>
    <s v="TA 01"/>
  </r>
  <r>
    <d v="2026-04-18T00:00:00"/>
    <n v="305"/>
    <x v="0"/>
    <s v="AGUAJE 8"/>
    <x v="3"/>
    <s v="06"/>
    <x v="7"/>
    <n v="5.23"/>
    <s v="ASC-BAP"/>
    <n v="92"/>
    <d v="2026-01-16T00:00:00"/>
    <s v="DO 01"/>
    <n v="0.8"/>
    <n v="7"/>
    <n v="941400"/>
    <n v="179999.99999999997"/>
    <n v="17.999999999999996"/>
    <s v="BIOLACAM"/>
    <s v="TEXCUMAR"/>
    <s v="UNICO"/>
    <n v="18800"/>
    <n v="19441.82"/>
    <n v="25"/>
    <n v="25.58"/>
    <n v="3717.3652007648179"/>
    <n v="340649.56002265617"/>
    <n v="16500"/>
    <n v="15019.98"/>
    <n v="42"/>
    <n v="43.05"/>
    <n v="2871.8891013384318"/>
    <n v="158398.8599303136"/>
    <n v="34461.800000000003"/>
    <n v="499048.41995296977"/>
    <n v="6589.2543021032507"/>
    <n v="3.2755434782608694"/>
    <n v="71.62232937068751"/>
    <n v="53.011304435199676"/>
    <n v="58477.02"/>
    <n v="55.127197331418074"/>
    <n v="1.6968649345071933"/>
    <m/>
    <m/>
    <n v="641.81999999999971"/>
    <n v="-1480.0200000000004"/>
    <n v="0.57999999999999829"/>
    <n v="1.0499999999999972"/>
    <s v="JOSE CEDEÑO"/>
    <s v="DO 06"/>
  </r>
  <r>
    <d v="2026-04-19T00:00:00"/>
    <n v="306"/>
    <x v="0"/>
    <s v="AGUAJE 8"/>
    <x v="3"/>
    <s v="10"/>
    <x v="8"/>
    <n v="2.5"/>
    <s v="ASC-BAP"/>
    <n v="80"/>
    <d v="2026-01-29T00:00:00"/>
    <s v="PA PC 7"/>
    <n v="0.5"/>
    <n v="9"/>
    <n v="380800"/>
    <n v="152320"/>
    <n v="15.231999999999999"/>
    <s v="NEMEN"/>
    <s v="TEXCUMAR"/>
    <s v="UNICO"/>
    <n v="6100"/>
    <n v="6391.5499999999993"/>
    <n v="22.75"/>
    <n v="25.71"/>
    <n v="2556.62"/>
    <n v="114186.51929131891"/>
    <n v="8300"/>
    <n v="9377.19"/>
    <n v="32"/>
    <n v="34.06"/>
    <n v="3750.8760000000002"/>
    <n v="124992.4914856136"/>
    <n v="15768.74"/>
    <n v="239179.01077693253"/>
    <n v="6307.4960000000001"/>
    <n v="2.9802500000000003"/>
    <n v="78.843699999999998"/>
    <n v="62.809614174614637"/>
    <n v="23258.53"/>
    <n v="52.749999999999986"/>
    <n v="1.474977074896282"/>
    <m/>
    <m/>
    <n v="291.54999999999927"/>
    <n v="1077.1900000000005"/>
    <n v="2.9600000000000009"/>
    <n v="2.0600000000000023"/>
    <s v="GUSTAVO CARRASCO"/>
    <s v="PA 10"/>
  </r>
  <r>
    <d v="2026-04-19T00:00:00"/>
    <n v="307"/>
    <x v="0"/>
    <s v="AGUAJE 8"/>
    <x v="3"/>
    <s v="15"/>
    <x v="11"/>
    <n v="6"/>
    <s v="ASC-BAP"/>
    <n v="77"/>
    <d v="2026-02-01T00:00:00"/>
    <s v="TA 14"/>
    <n v="0.42"/>
    <n v="9"/>
    <n v="900000"/>
    <n v="150000"/>
    <n v="15"/>
    <s v="EMPAGRAN"/>
    <s v="EMPAGRAN"/>
    <s v="UNICO"/>
    <n v="10200"/>
    <n v="10142.69"/>
    <n v="25"/>
    <n v="25.86"/>
    <n v="1690.4483333333335"/>
    <n v="178065.78731631863"/>
    <n v="30000"/>
    <n v="34145.53"/>
    <n v="39"/>
    <n v="39.479999999999997"/>
    <n v="5690.9216666666662"/>
    <n v="392656.29736575484"/>
    <n v="44288.22"/>
    <n v="570722.08468207344"/>
    <n v="7381.37"/>
    <n v="3.5890909090909089"/>
    <n v="95.861948051948048"/>
    <n v="63.413564964674826"/>
    <n v="63327.13"/>
    <n v="62.175319766265972"/>
    <n v="1.4298865477095262"/>
    <m/>
    <m/>
    <n v="-57.309999999999491"/>
    <n v="4145.5299999999988"/>
    <n v="0.85999999999999943"/>
    <n v="0.47999999999999687"/>
    <s v="ALFONSO GRUNAUER"/>
    <s v="TA 15"/>
  </r>
  <r>
    <d v="2026-04-19T00:00:00"/>
    <n v="308"/>
    <x v="0"/>
    <s v="AGUAJE 8"/>
    <x v="3"/>
    <s v="29"/>
    <x v="6"/>
    <n v="5"/>
    <s v="CONVENCIONAL"/>
    <n v="92"/>
    <d v="2026-01-17T00:00:00"/>
    <s v="WA PS 27"/>
    <n v="0.82"/>
    <n v="34"/>
    <n v="800000"/>
    <n v="160000"/>
    <n v="16"/>
    <s v="BIOLACAM"/>
    <s v="TEXCUMAR"/>
    <s v="UNICO"/>
    <n v="6750"/>
    <n v="7116.38"/>
    <n v="27"/>
    <n v="27.6"/>
    <n v="1423.2760000000001"/>
    <n v="117059.29420289854"/>
    <n v="20000"/>
    <n v="22109.360000000001"/>
    <n v="40"/>
    <n v="38.76"/>
    <n v="4421.8720000000003"/>
    <n v="258969.28379772961"/>
    <n v="29225.74"/>
    <n v="376028.57800062816"/>
    <n v="5845.1480000000001"/>
    <n v="2.9491304347826088"/>
    <n v="63.534217391304352"/>
    <n v="47.00357225007852"/>
    <n v="52756.08"/>
    <n v="52.021741102595755"/>
    <n v="1.8051238394648006"/>
    <m/>
    <m/>
    <n v="366.38000000000011"/>
    <n v="2109.3600000000006"/>
    <n v="0.60000000000000142"/>
    <n v="-1.240000000000002"/>
    <s v="JUNIOR ESQUIVEL"/>
    <s v="WA 29"/>
  </r>
  <r>
    <d v="2026-04-20T00:00:00"/>
    <n v="309"/>
    <x v="0"/>
    <s v="AGUAJE 8"/>
    <x v="3"/>
    <s v="11"/>
    <x v="8"/>
    <n v="5.8"/>
    <s v="ASC-BAP"/>
    <n v="81"/>
    <d v="2026-01-29T00:00:00"/>
    <s v="PA PC 7"/>
    <n v="0.5"/>
    <n v="10"/>
    <n v="910400"/>
    <n v="156965.5172413793"/>
    <n v="15.696551724137931"/>
    <s v="NEMEN"/>
    <s v="TEXCUMAR"/>
    <s v="UNICO"/>
    <n v="12200"/>
    <n v="13127.84"/>
    <n v="21"/>
    <n v="23.24"/>
    <n v="2263.4206896551723"/>
    <n v="261661.86519763118"/>
    <n v="23800"/>
    <n v="22681.97"/>
    <n v="31"/>
    <n v="31.99"/>
    <n v="3910.684482758621"/>
    <n v="321901.04345107853"/>
    <n v="35809.81"/>
    <n v="583562.90864870977"/>
    <n v="6174.1051724137933"/>
    <n v="2.7645679012345679"/>
    <n v="76.223520647083873"/>
    <n v="64.099616503592898"/>
    <n v="49272.81"/>
    <n v="47.573435504469977"/>
    <n v="1.3759584315024291"/>
    <m/>
    <m/>
    <n v="927.84000000000015"/>
    <n v="-1118.0299999999988"/>
    <n v="2.2399999999999984"/>
    <n v="0.98999999999999844"/>
    <s v="GUSTAVO CARRASCO"/>
    <s v="PA 11"/>
  </r>
  <r>
    <d v="2026-04-20T00:00:00"/>
    <n v="310"/>
    <x v="0"/>
    <s v="AGUAJE 8"/>
    <x v="3"/>
    <s v="05"/>
    <x v="6"/>
    <n v="7"/>
    <s v="CONVENCIONAL"/>
    <n v="96"/>
    <d v="2026-01-14T00:00:00"/>
    <s v="WA PC 3"/>
    <n v="0.6"/>
    <n v="21"/>
    <n v="1295000"/>
    <n v="185000"/>
    <n v="18.5"/>
    <s v="GRILSAN"/>
    <s v="AQUAGEN"/>
    <s v="UNICO"/>
    <n v="22600"/>
    <n v="23994.33"/>
    <n v="22.5"/>
    <n v="23.29"/>
    <n v="3427.761428571429"/>
    <n v="479240.68698851916"/>
    <n v="17100"/>
    <n v="19150.52"/>
    <n v="31"/>
    <n v="32.22"/>
    <n v="2735.7885714285717"/>
    <n v="269842.8330229671"/>
    <n v="43144.850000000006"/>
    <n v="749083.52001148625"/>
    <n v="6163.5500000000011"/>
    <n v="2.3493750000000002"/>
    <n v="64.20364583333334"/>
    <n v="57.844287259574223"/>
    <n v="67535.72"/>
    <n v="45.586311953793576"/>
    <n v="1.5653251778601616"/>
    <m/>
    <m/>
    <n v="1394.3300000000017"/>
    <n v="2050.5200000000004"/>
    <n v="0.78999999999999915"/>
    <n v="1.2199999999999989"/>
    <s v="JUNIOR ESQUIVEL"/>
    <s v="WA 05"/>
  </r>
  <r>
    <d v="2026-04-20T00:00:00"/>
    <n v="311"/>
    <x v="0"/>
    <s v="AGUAJE 8"/>
    <x v="3"/>
    <s v="15"/>
    <x v="3"/>
    <n v="1.65"/>
    <s v="ASC"/>
    <n v="72"/>
    <d v="2026-02-07T00:00:00"/>
    <s v="CH PC 5"/>
    <n v="0.7"/>
    <n v="6"/>
    <n v="297000"/>
    <n v="180000"/>
    <n v="18"/>
    <s v="PRICMARSA"/>
    <s v="TEXCUMAR"/>
    <s v="UNICO"/>
    <n v="2000"/>
    <n v="2345.62"/>
    <n v="22"/>
    <n v="21.48"/>
    <n v="1421.5878787878787"/>
    <n v="49576.88454376164"/>
    <n v="9300"/>
    <n v="9917.2099999999991"/>
    <n v="31"/>
    <n v="32.6"/>
    <n v="6010.4303030303026"/>
    <n v="138110.83865030674"/>
    <n v="12262.829999999998"/>
    <n v="187687.72319406839"/>
    <n v="7432.0181818181809"/>
    <n v="3.1694444444444443"/>
    <n v="103.22247474747473"/>
    <n v="63.194519593962418"/>
    <n v="20337.439999999999"/>
    <n v="77.651534242298993"/>
    <n v="1.658462198366935"/>
    <m/>
    <m/>
    <n v="345.61999999999989"/>
    <n v="617.20999999999913"/>
    <n v="-0.51999999999999957"/>
    <n v="1.6000000000000014"/>
    <s v="SANTIAGO OBRIEN"/>
    <s v="CH 15"/>
  </r>
  <r>
    <d v="2026-04-21T00:00:00"/>
    <n v="312"/>
    <x v="0"/>
    <s v="AGUAJE 8"/>
    <x v="3"/>
    <s v="05"/>
    <x v="3"/>
    <n v="5.4"/>
    <s v="ASC"/>
    <n v="77"/>
    <d v="2026-02-03T00:00:00"/>
    <s v="CH PC 3"/>
    <n v="0.64"/>
    <n v="5"/>
    <n v="972000"/>
    <n v="180000"/>
    <n v="18"/>
    <s v="ACUATECSA"/>
    <s v="TEXCUMAR"/>
    <s v="UNICO"/>
    <n v="15200"/>
    <n v="16277.89"/>
    <n v="21.85"/>
    <n v="24.740000000000002"/>
    <n v="3014.4240740740738"/>
    <n v="302116.96283607872"/>
    <n v="18900"/>
    <n v="19420.63"/>
    <n v="30"/>
    <n v="29"/>
    <n v="3596.4129629629629"/>
    <n v="304033.31103448273"/>
    <n v="35698.520000000004"/>
    <n v="606150.2738705615"/>
    <n v="6610.8370370370376"/>
    <n v="2.6363636363636362"/>
    <n v="85.855026455026461"/>
    <n v="62.361139287094801"/>
    <n v="61783.91"/>
    <n v="67.400186945682734"/>
    <n v="1.7307134861613309"/>
    <m/>
    <m/>
    <n v="1077.8899999999994"/>
    <n v="520.63000000000102"/>
    <n v="2.8900000000000006"/>
    <n v="-1"/>
    <s v="SANTIAGO OBRIEN"/>
    <s v="CH 05"/>
  </r>
  <r>
    <d v="2026-04-21T00:00:00"/>
    <n v="313"/>
    <x v="0"/>
    <s v="AGUAJE 8"/>
    <x v="3"/>
    <s v="24"/>
    <x v="6"/>
    <n v="4.5999999999999996"/>
    <s v="CONVENCIONAL"/>
    <n v="95"/>
    <d v="2026-01-16T00:00:00"/>
    <s v="WA PS 23"/>
    <n v="0.71"/>
    <n v="26"/>
    <n v="782000"/>
    <n v="170000"/>
    <n v="17"/>
    <s v="BIOLACAM"/>
    <s v="TEXCUMAR"/>
    <s v="UNICO"/>
    <n v="15550"/>
    <n v="16245.099999999999"/>
    <n v="20.5"/>
    <n v="20.72"/>
    <n v="3531.5434782608695"/>
    <n v="357128.81661420863"/>
    <n v="12600"/>
    <n v="13348.13"/>
    <n v="33"/>
    <n v="35.799999999999997"/>
    <n v="2901.7673913043477"/>
    <n v="169275.1681564246"/>
    <n v="29593.229999999996"/>
    <n v="526403.98477063328"/>
    <n v="6433.3108695652172"/>
    <n v="2.6378947368421053"/>
    <n v="67.719061784897022"/>
    <n v="67.315087566577148"/>
    <n v="47484.88"/>
    <n v="49.288330142238479"/>
    <n v="1.604585913737703"/>
    <m/>
    <m/>
    <n v="695.09999999999854"/>
    <n v="748.1299999999992"/>
    <n v="0.21999999999999886"/>
    <n v="2.7999999999999972"/>
    <s v="JUNIOR ESQUIVEL"/>
    <s v="WA 24"/>
  </r>
  <r>
    <d v="2026-04-22T00:00:00"/>
    <n v="314"/>
    <x v="0"/>
    <s v="AGUAJE 8"/>
    <x v="3"/>
    <s v="08"/>
    <x v="3"/>
    <n v="2.4"/>
    <s v="ASC"/>
    <n v="74"/>
    <d v="2026-02-07T00:00:00"/>
    <s v="CH PC 5"/>
    <n v="0.7"/>
    <n v="8"/>
    <n v="432000"/>
    <n v="180000"/>
    <n v="18"/>
    <s v="PRICMARSA"/>
    <s v="TEXCUMAR"/>
    <s v="UNICO"/>
    <n v="6700"/>
    <n v="7114.17"/>
    <n v="22.5"/>
    <n v="22.28"/>
    <n v="2964.2375000000002"/>
    <n v="145403.16586380772"/>
    <n v="10600"/>
    <n v="11101.82"/>
    <n v="31"/>
    <n v="29.11"/>
    <n v="4625.7583333333332"/>
    <n v="173144.15252490554"/>
    <n v="18215.989999999998"/>
    <n v="318547.31838871329"/>
    <n v="7589.9958333333325"/>
    <n v="2.7536486486486487"/>
    <n v="102.56751126126125"/>
    <n v="73.737805182572529"/>
    <n v="26344.97"/>
    <n v="67.286036036036037"/>
    <n v="1.4462551856912529"/>
    <m/>
    <m/>
    <n v="414.17000000000007"/>
    <n v="501.81999999999971"/>
    <n v="-0.21999999999999886"/>
    <n v="-1.8900000000000006"/>
    <s v="SANTIAGO OBRIEN"/>
    <s v="CH 08"/>
  </r>
  <r>
    <d v="2026-04-22T00:00:00"/>
    <n v="315"/>
    <x v="0"/>
    <s v="AGUAJE 8"/>
    <x v="3"/>
    <s v="08"/>
    <x v="6"/>
    <n v="4.7"/>
    <s v="CONVENCIONAL"/>
    <n v="93"/>
    <d v="2026-01-19T00:00:00"/>
    <s v="WA PS 18"/>
    <n v="1.1299999999999999"/>
    <n v="32"/>
    <n v="752000"/>
    <n v="160000"/>
    <n v="16"/>
    <s v="TECSERV"/>
    <s v="SEMACUA"/>
    <s v="UNICO"/>
    <n v="13700"/>
    <n v="14506.76"/>
    <n v="24"/>
    <n v="23.7"/>
    <n v="3086.5446808510637"/>
    <n v="279357.03431271389"/>
    <n v="10150"/>
    <n v="11754.1"/>
    <n v="35"/>
    <n v="35.18"/>
    <n v="2500.872340425532"/>
    <n v="151687.36213757819"/>
    <n v="26260.86"/>
    <n v="431044.39645029209"/>
    <n v="5587.4170212765957"/>
    <n v="2.6479569892473118"/>
    <n v="60.079752916952643"/>
    <n v="57.319733570517563"/>
    <n v="37063.74"/>
    <n v="38.462599353158808"/>
    <n v="1.4113680968559292"/>
    <m/>
    <m/>
    <n v="806.76000000000022"/>
    <n v="1604.1000000000004"/>
    <n v="-0.30000000000000071"/>
    <n v="0.17999999999999972"/>
    <s v="JUNIOR ESQUIVEL"/>
    <s v="WA 08"/>
  </r>
  <r>
    <d v="2026-04-22T00:00:00"/>
    <n v="316"/>
    <x v="0"/>
    <s v="AGUAJE 8"/>
    <x v="3"/>
    <s v="06"/>
    <x v="1"/>
    <n v="6.08"/>
    <s v="ASC-BAP"/>
    <n v="98"/>
    <d v="2026-01-14T00:00:00"/>
    <s v="TI 33 - 34"/>
    <n v="0.55000000000000004"/>
    <n v="8"/>
    <n v="1124800"/>
    <n v="185000"/>
    <n v="18.5"/>
    <s v="TECSERV"/>
    <s v="EMPAGRAN"/>
    <s v="UNICO"/>
    <n v="25550"/>
    <n v="26672.14"/>
    <n v="26"/>
    <n v="26.38"/>
    <n v="4386.8651315789475"/>
    <n v="474047.57895973529"/>
    <n v="30400"/>
    <n v="31032.31"/>
    <n v="40"/>
    <n v="37.200000000000003"/>
    <n v="5103.9983552631584"/>
    <n v="378727.65430107526"/>
    <n v="57704.45"/>
    <n v="852775.23326081061"/>
    <n v="9490.863486842105"/>
    <n v="2.6571428571428575"/>
    <n v="96.845545784103109"/>
    <n v="75.815721306971071"/>
    <n v="94246.650000000009"/>
    <n v="71.747448979591837"/>
    <n v="1.6332648521907758"/>
    <m/>
    <m/>
    <n v="1122.1399999999994"/>
    <n v="632.31000000000131"/>
    <n v="0.37999999999999901"/>
    <n v="-2.7999999999999972"/>
    <s v="ALFONSO GRUNAUER"/>
    <s v="TI 06"/>
  </r>
  <r>
    <d v="2026-04-23T00:00:00"/>
    <n v="317"/>
    <x v="0"/>
    <s v="AGUAJE 8"/>
    <x v="3"/>
    <s v="03"/>
    <x v="1"/>
    <n v="6.55"/>
    <s v="ASC-BAP"/>
    <n v="77"/>
    <d v="2026-02-05T00:00:00"/>
    <s v="TI 33 - 34"/>
    <n v="0.25"/>
    <n v="7"/>
    <n v="1146250"/>
    <n v="175000"/>
    <n v="17.5"/>
    <s v="NARIHUALA"/>
    <s v="TEXCUMAR"/>
    <s v="UNICO"/>
    <n v="18950"/>
    <n v="20259.370000000003"/>
    <n v="22.5"/>
    <n v="23.34"/>
    <n v="3093.0335877862599"/>
    <n v="413102.72281072591"/>
    <n v="28300"/>
    <n v="28519.7"/>
    <n v="31"/>
    <n v="31.72"/>
    <n v="4354.1526717557254"/>
    <n v="408194.94955863809"/>
    <n v="48779.070000000007"/>
    <n v="821297.67236936395"/>
    <n v="7447.1862595419861"/>
    <n v="2.8836363636363633"/>
    <n v="96.716704669376441"/>
    <n v="71.650832922081918"/>
    <n v="68474.876000000004"/>
    <n v="61.584217309408153"/>
    <n v="1.4037757587424278"/>
    <m/>
    <m/>
    <n v="1309.3700000000026"/>
    <n v="219.70000000000073"/>
    <n v="0.83999999999999986"/>
    <n v="0.71999999999999886"/>
    <s v="ALFONSO GRUNAUER"/>
    <s v="TI 03"/>
  </r>
  <r>
    <d v="2026-04-23T00:00:00"/>
    <n v="318"/>
    <x v="0"/>
    <s v="AGUAJE 8"/>
    <x v="3"/>
    <s v="07"/>
    <x v="1"/>
    <n v="2.72"/>
    <s v="ASC-BAP"/>
    <n v="99"/>
    <d v="2026-01-14T00:00:00"/>
    <s v="TI 34"/>
    <n v="0.55000000000000004"/>
    <n v="7"/>
    <n v="489600"/>
    <n v="180000"/>
    <n v="18"/>
    <s v="TECSERV"/>
    <s v="EMPAGRAN"/>
    <s v="UNICO"/>
    <n v="8100"/>
    <n v="9195.66"/>
    <n v="22"/>
    <n v="22.939999999999998"/>
    <n v="3380.7573529411761"/>
    <n v="177250.99484624702"/>
    <n v="14500"/>
    <n v="15481.12"/>
    <n v="41"/>
    <n v="40.1"/>
    <n v="5691.5882352941171"/>
    <n v="175272.53067331671"/>
    <n v="24676.78"/>
    <n v="352523.5255195637"/>
    <n v="9072.3455882352937"/>
    <n v="2.8353535353535357"/>
    <n v="91.639854426619124"/>
    <n v="72.002354068538338"/>
    <n v="37037.279999999999"/>
    <n v="62.388591800356501"/>
    <n v="1.5008959839979121"/>
    <m/>
    <m/>
    <n v="1095.6599999999999"/>
    <n v="981.1200000000008"/>
    <n v="0.93999999999999773"/>
    <n v="-0.89999999999999858"/>
    <s v="ALFONSO GRUNAUER"/>
    <s v="TI 07"/>
  </r>
  <r>
    <d v="2026-04-23T00:00:00"/>
    <n v="319"/>
    <x v="0"/>
    <s v="AGUAJE 8"/>
    <x v="3"/>
    <s v="13"/>
    <x v="11"/>
    <n v="4.0999999999999996"/>
    <s v="ASC-BAP"/>
    <n v="79"/>
    <d v="2026-02-03T00:00:00"/>
    <s v="TA 4"/>
    <n v="0.33"/>
    <n v="13"/>
    <n v="672000"/>
    <n v="163902.43902439025"/>
    <n v="16.390243902439025"/>
    <s v="ACUATECSA"/>
    <s v="TEXCUMAR"/>
    <s v="UNICO"/>
    <n v="20450"/>
    <n v="22771.200000000001"/>
    <n v="26.833333333333332"/>
    <n v="28.073333333333334"/>
    <n v="5553.9512195121961"/>
    <n v="368813.61381345795"/>
    <n v="1900"/>
    <n v="2034.71"/>
    <n v="33"/>
    <n v="32.700000000000003"/>
    <n v="496.27073170731711"/>
    <n v="28249.490519877672"/>
    <n v="24805.91"/>
    <n v="397063.10433333565"/>
    <n v="6050.2219512195124"/>
    <n v="2.8974683544303796"/>
    <n v="76.585087990120414"/>
    <n v="59.086771478174946"/>
    <n v="39627.685000000005"/>
    <n v="55.495523309663483"/>
    <n v="1.5975098272951891"/>
    <m/>
    <m/>
    <n v="2321.2000000000007"/>
    <n v="134.71000000000004"/>
    <n v="1.240000000000002"/>
    <n v="-0.29999999999999716"/>
    <s v="ALFONSO GRUNAUER"/>
    <s v="TA 13"/>
  </r>
  <r>
    <d v="2026-04-23T00:00:00"/>
    <n v="320"/>
    <x v="0"/>
    <s v="AGUAJE 8"/>
    <x v="3"/>
    <s v="16"/>
    <x v="3"/>
    <n v="7"/>
    <s v="ASC"/>
    <n v="83"/>
    <d v="2026-01-30T00:00:00"/>
    <s v="CH PC 6"/>
    <n v="0.7"/>
    <n v="6"/>
    <n v="1260000"/>
    <n v="180000"/>
    <n v="18"/>
    <s v="NEMEN"/>
    <s v="TEXCUMAR"/>
    <s v="UNICO"/>
    <n v="16150"/>
    <n v="17471.3"/>
    <n v="21"/>
    <n v="19.439999999999998"/>
    <n v="2495.9"/>
    <n v="414136.63798018813"/>
    <n v="31800"/>
    <n v="34837.29"/>
    <n v="31"/>
    <n v="30.38"/>
    <n v="4976.755714285714"/>
    <n v="520609.92955892038"/>
    <n v="52308.59"/>
    <n v="934746.56753910845"/>
    <n v="7472.6557142857137"/>
    <n v="2.5621686746987948"/>
    <n v="90.031996557659198"/>
    <n v="74.186235518976858"/>
    <n v="81239.510000000009"/>
    <n v="63.425129087779695"/>
    <n v="1.5530816257903342"/>
    <m/>
    <m/>
    <n v="1321.2999999999993"/>
    <n v="3037.2900000000009"/>
    <n v="-1.5600000000000023"/>
    <n v="-0.62000000000000099"/>
    <s v="SANTIAGO OBRIEN"/>
    <s v="CH 16"/>
  </r>
  <r>
    <d v="2026-04-23T00:00:00"/>
    <n v="321"/>
    <x v="0"/>
    <s v="AGUAJE 8"/>
    <x v="3"/>
    <s v="20"/>
    <x v="7"/>
    <n v="9.18"/>
    <s v="ASC-BAP"/>
    <n v="95"/>
    <d v="2026-01-18T00:00:00"/>
    <s v="DO 03"/>
    <n v="0.77"/>
    <n v="7"/>
    <n v="1572073"/>
    <n v="171249.78213507627"/>
    <n v="17.124978213507628"/>
    <s v="EMPAGRAN"/>
    <s v="EMPAGRAN"/>
    <s v="UNICO"/>
    <n v="56100"/>
    <n v="54614.8"/>
    <n v="28.666666666666668"/>
    <n v="29.600000000000005"/>
    <n v="5949.3246187363839"/>
    <n v="829415.2747249417"/>
    <n v="21750"/>
    <n v="22553.439999999999"/>
    <n v="38"/>
    <n v="37.04"/>
    <n v="2456.8017429193901"/>
    <n v="276437.95248380129"/>
    <n v="77168.240000000005"/>
    <n v="1105853.2272087429"/>
    <n v="8406.1263616557735"/>
    <n v="2.7292631578947368"/>
    <n v="88.485540649008144"/>
    <n v="70.343630811593542"/>
    <n v="121032.54000000001"/>
    <n v="62.9514963880289"/>
    <n v="1.5684242636608015"/>
    <m/>
    <m/>
    <n v="-1485.1999999999971"/>
    <n v="803.43999999999869"/>
    <n v="0.93333333333333712"/>
    <n v="-0.96000000000000085"/>
    <s v="JOSE CEDEÑO"/>
    <s v="DO 20"/>
  </r>
  <r>
    <d v="2026-04-23T00:00:00"/>
    <n v="322"/>
    <x v="0"/>
    <s v="AGUAJE 8"/>
    <x v="3"/>
    <s v="08"/>
    <x v="7"/>
    <n v="7.95"/>
    <s v="ASC-BAP"/>
    <n v="91"/>
    <d v="2026-01-22T00:00:00"/>
    <s v="DO PC 02"/>
    <n v="1.1499999999999999"/>
    <n v="8"/>
    <n v="1321409"/>
    <n v="166214.96855345913"/>
    <n v="16.621496855345914"/>
    <s v="GABSO"/>
    <s v="TEXCUMAR"/>
    <s v="UNICO"/>
    <n v="33400"/>
    <n v="35948.29"/>
    <n v="27"/>
    <n v="31.106666666666666"/>
    <n v="4521.7974842767298"/>
    <n v="541289.33755121753"/>
    <n v="28000"/>
    <n v="28801.43"/>
    <n v="35"/>
    <n v="35.79"/>
    <n v="3622.8213836477985"/>
    <n v="365349.23777591507"/>
    <n v="64749.72"/>
    <n v="906638.5753271326"/>
    <n v="8144.6188679245279"/>
    <n v="2.753076923076923"/>
    <n v="89.501306240928884"/>
    <n v="68.611502973502724"/>
    <n v="105049.19"/>
    <n v="65.864952657405496"/>
    <n v="1.622388328474625"/>
    <m/>
    <m/>
    <n v="2548.2900000000009"/>
    <n v="801.43000000000029"/>
    <n v="4.1066666666666656"/>
    <n v="0.78999999999999915"/>
    <s v="JOSE CEDEÑO"/>
    <s v="DO 08"/>
  </r>
  <r>
    <d v="2026-04-23T00:00:00"/>
    <n v="323"/>
    <x v="0"/>
    <s v="AGUAJE 8"/>
    <x v="3"/>
    <s v="20"/>
    <x v="6"/>
    <n v="3.6"/>
    <s v="CONVENCIONAL"/>
    <n v="97"/>
    <d v="2026-01-16T00:00:00"/>
    <s v="WA PS 23"/>
    <n v="0.71"/>
    <s v="NUEVO"/>
    <n v="612000"/>
    <n v="170000"/>
    <n v="17"/>
    <s v="BIOLACAM"/>
    <s v="TEXCUMAR"/>
    <s v="UNICO"/>
    <n v="12000"/>
    <n v="13934.91"/>
    <n v="23.5"/>
    <n v="24.39"/>
    <n v="3870.8083333333334"/>
    <n v="260238.88420660337"/>
    <n v="11000"/>
    <n v="11685.25"/>
    <n v="33"/>
    <n v="32.880000000000003"/>
    <n v="3245.9027777777778"/>
    <n v="161347.4300486618"/>
    <n v="25620.16"/>
    <n v="421586.31425526517"/>
    <n v="7116.7111111111108"/>
    <n v="2.3727835051546391"/>
    <n v="73.368155784650625"/>
    <n v="68.886652656089069"/>
    <n v="40154.58"/>
    <n v="52.15921536132042"/>
    <n v="1.5673040293269052"/>
    <m/>
    <m/>
    <n v="1934.9099999999999"/>
    <n v="685.25"/>
    <n v="0.89000000000000057"/>
    <n v="-0.11999999999999744"/>
    <s v="JUNIOR ESQUIVEL"/>
    <s v="WA 20"/>
  </r>
  <r>
    <d v="2026-04-24T00:00:00"/>
    <n v="324"/>
    <x v="0"/>
    <s v="AGUAJE 8"/>
    <x v="3"/>
    <s v="04"/>
    <x v="2"/>
    <n v="10.3"/>
    <s v="ASC-BAP"/>
    <n v="68"/>
    <d v="2026-02-15T00:00:00"/>
    <s v="CA PC06 - 1A"/>
    <n v="0.48"/>
    <n v="9"/>
    <n v="1806000"/>
    <n v="175339.80582524271"/>
    <n v="17.533980582524272"/>
    <s v="EMPAGRAN"/>
    <s v="EMPAGRAN"/>
    <s v="UNICO"/>
    <n v="9250"/>
    <n v="9775.77"/>
    <n v="22"/>
    <n v="24.96"/>
    <n v="949.10388349514562"/>
    <n v="177812.48317307691"/>
    <n v="44200"/>
    <n v="46853.11"/>
    <n v="28"/>
    <n v="26.24"/>
    <n v="4548.8456310679612"/>
    <n v="810644.50990853668"/>
    <n v="56628.880000000005"/>
    <n v="988456.99308161356"/>
    <n v="5497.9495145631072"/>
    <n v="2.7011764705882353"/>
    <n v="80.852198743575102"/>
    <n v="54.731837933644158"/>
    <n v="81499.649999999994"/>
    <n v="52.781266033592694"/>
    <n v="1.4391888026039008"/>
    <m/>
    <m/>
    <n v="525.77000000000044"/>
    <n v="2653.1100000000006"/>
    <n v="2.9600000000000009"/>
    <n v="-1.7600000000000016"/>
    <s v="VICTOR QUINTANA"/>
    <s v="CA 04"/>
  </r>
  <r>
    <d v="2026-04-24T00:00:00"/>
    <n v="325"/>
    <x v="0"/>
    <s v="AGUAJE 8"/>
    <x v="3"/>
    <s v="35"/>
    <x v="6"/>
    <n v="6.5"/>
    <s v="CONVENCIONAL"/>
    <n v="94"/>
    <d v="2026-01-20T00:00:00"/>
    <s v="WA 14 - 13"/>
    <n v="1.105"/>
    <s v="NUEVO"/>
    <n v="1007500"/>
    <n v="155000"/>
    <n v="15.5"/>
    <s v="TECSERV"/>
    <s v="SEMACUA"/>
    <s v="UNICO"/>
    <n v="19250"/>
    <n v="20337.2"/>
    <n v="26"/>
    <n v="26.05"/>
    <n v="3128.8"/>
    <n v="350462.10528377234"/>
    <n v="15750"/>
    <n v="16740.919999999998"/>
    <n v="42"/>
    <n v="42.98"/>
    <n v="2575.5261538461536"/>
    <n v="176835.21824104234"/>
    <n v="37078.119999999995"/>
    <n v="527297.32352481468"/>
    <n v="5704.3261538461529"/>
    <n v="3.2006382978723402"/>
    <n v="60.684320785597372"/>
    <n v="52.337203327525032"/>
    <n v="57279.92"/>
    <n v="42.523733666238407"/>
    <n v="1.544844236978574"/>
    <m/>
    <m/>
    <n v="1087.2000000000007"/>
    <n v="990.91999999999825"/>
    <n v="5.0000000000000711E-2"/>
    <n v="0.97999999999999687"/>
    <s v="JUNIOR ESQUIVEL"/>
    <s v="WA 35"/>
  </r>
  <r>
    <d v="2026-04-24T00:00:00"/>
    <n v="326"/>
    <x v="0"/>
    <s v="AGUAJE 8"/>
    <x v="3"/>
    <s v="27"/>
    <x v="11"/>
    <n v="5.75"/>
    <s v="ASC-BAP"/>
    <n v="83"/>
    <d v="2026-01-31T00:00:00"/>
    <s v="TA 1"/>
    <n v="0.2"/>
    <n v="11"/>
    <n v="977500"/>
    <n v="170000"/>
    <n v="17"/>
    <s v="ACUATECSA"/>
    <s v="TEXCUMAR"/>
    <s v="UNICO"/>
    <n v="14000"/>
    <n v="14077.79"/>
    <n v="19"/>
    <n v="19.994999999999997"/>
    <n v="2448.3113043478261"/>
    <n v="320087.23719696491"/>
    <n v="26350"/>
    <n v="26267.35"/>
    <n v="31"/>
    <n v="30.36"/>
    <n v="4568.2347826086952"/>
    <n v="392798.97562582343"/>
    <n v="40345.14"/>
    <n v="712886.21282278839"/>
    <n v="7016.5460869565213"/>
    <n v="2.560481927710843"/>
    <n v="84.536699842849657"/>
    <n v="72.929535838648434"/>
    <n v="69720.47"/>
    <n v="66.265055488768738"/>
    <n v="1.7281008319713353"/>
    <m/>
    <m/>
    <n v="77.790000000000873"/>
    <n v="-82.650000000001455"/>
    <n v="0.99499999999999744"/>
    <n v="-0.64000000000000057"/>
    <s v="ALFONSO GRUNAUER"/>
    <s v="TA 27"/>
  </r>
  <r>
    <d v="2026-04-24T00:00:00"/>
    <n v="327"/>
    <x v="0"/>
    <s v="AGUAJE 8"/>
    <x v="3"/>
    <s v="13"/>
    <x v="4"/>
    <n v="9.18"/>
    <s v="CONVENCIONAL"/>
    <n v="55"/>
    <d v="2026-02-28T00:00:00"/>
    <s v="DE 14"/>
    <n v="6"/>
    <n v="5"/>
    <n v="1000000"/>
    <n v="108932.46187363834"/>
    <n v="10.893246187363834"/>
    <s v="TECSERV"/>
    <s v="TEXCUMAR"/>
    <s v="UNICO"/>
    <n v="0"/>
    <n v="0"/>
    <n v="0"/>
    <n v="0"/>
    <n v="0"/>
    <n v="0"/>
    <n v="32800"/>
    <n v="35841.03"/>
    <n v="35"/>
    <n v="32.380000000000003"/>
    <n v="3904.251633986928"/>
    <n v="502527.10376775783"/>
    <n v="35841.03"/>
    <n v="502527.10376775783"/>
    <n v="3904.251633986928"/>
    <n v="4.1210909090909098"/>
    <n v="70.986393345216868"/>
    <n v="50.252710376775781"/>
    <n v="52469.48"/>
    <n v="47.138047138047135"/>
    <n v="1.4639501152729151"/>
    <m/>
    <m/>
    <n v="0"/>
    <n v="3041.0299999999988"/>
    <n v="0"/>
    <n v="-2.6199999999999974"/>
    <s v="CARLOS FLORES"/>
    <s v="DE 13"/>
  </r>
  <r>
    <d v="2026-04-24T00:00:00"/>
    <n v="328"/>
    <x v="0"/>
    <s v="AGUAJE 8"/>
    <x v="3"/>
    <s v="04"/>
    <x v="7"/>
    <n v="9.81"/>
    <s v="ASC-BAP"/>
    <n v="72"/>
    <d v="2026-02-11T00:00:00"/>
    <s v="PS 2"/>
    <n v="2.37"/>
    <n v="4"/>
    <n v="1765823"/>
    <n v="180002.34454638124"/>
    <n v="18.000234454638125"/>
    <s v="EMPAGRAN"/>
    <s v="EMPAGRAN"/>
    <s v="UNICO"/>
    <n v="61850"/>
    <n v="65193.899999999994"/>
    <n v="26.75"/>
    <n v="27.364999999999998"/>
    <n v="6645.6574923547387"/>
    <n v="1109602.1598299069"/>
    <n v="600"/>
    <n v="672.87"/>
    <n v="30"/>
    <n v="29.32"/>
    <n v="68.590214067278282"/>
    <n v="10418.928376534788"/>
    <n v="65866.76999999999"/>
    <n v="1120021.0882064416"/>
    <n v="6714.2477064220166"/>
    <n v="2.8505555555555553"/>
    <n v="93.253440366972455"/>
    <n v="63.42770981046467"/>
    <n v="95293.835000000006"/>
    <n v="61.197474232642421"/>
    <n v="1.4467664802752591"/>
    <m/>
    <m/>
    <n v="3343.8999999999942"/>
    <n v="72.87"/>
    <n v="0.61499999999999844"/>
    <n v="-0.67999999999999972"/>
    <s v="JOSE CEDEÑO"/>
    <s v="DO 04"/>
  </r>
  <r>
    <d v="2026-04-24T00:00:00"/>
    <n v="329"/>
    <x v="0"/>
    <s v="AGUAJE 8"/>
    <x v="3"/>
    <s v="14"/>
    <x v="1"/>
    <n v="4.7"/>
    <s v="ASC-BAP"/>
    <n v="89"/>
    <d v="2026-01-25T00:00:00"/>
    <s v="TI 30"/>
    <n v="0.36"/>
    <n v="8"/>
    <n v="799000"/>
    <n v="170000"/>
    <n v="17"/>
    <s v="NEMEN"/>
    <s v="TEXCUMAR"/>
    <s v="UNICO"/>
    <n v="13050"/>
    <n v="13687.44"/>
    <n v="20.75"/>
    <n v="20.27"/>
    <n v="2912.2212765957447"/>
    <n v="309292.67707027117"/>
    <n v="23700"/>
    <n v="24879.59"/>
    <n v="32"/>
    <n v="30.7"/>
    <n v="5293.5297872340425"/>
    <n v="367926.18436482083"/>
    <n v="38567.03"/>
    <n v="677218.86143509205"/>
    <n v="8205.7510638297863"/>
    <n v="2.4146067415730337"/>
    <n v="92.199450155390863"/>
    <n v="84.758305561338176"/>
    <n v="56713.34"/>
    <n v="61.49892963897949"/>
    <n v="1.4705135448594304"/>
    <m/>
    <m/>
    <n v="637.44000000000051"/>
    <n v="1179.5900000000001"/>
    <n v="-0.48000000000000043"/>
    <n v="-1.3000000000000007"/>
    <s v="ALFONSO GRUNAUER"/>
    <s v="TI 14"/>
  </r>
  <r>
    <d v="2026-04-25T00:00:00"/>
    <n v="330"/>
    <x v="0"/>
    <s v="AGUAJE 8"/>
    <x v="3"/>
    <s v="24"/>
    <x v="11"/>
    <n v="7.15"/>
    <s v="ASC-BAP"/>
    <n v="81"/>
    <d v="2026-02-03T00:00:00"/>
    <s v="TA 4"/>
    <n v="0.35"/>
    <n v="12"/>
    <n v="1208205"/>
    <n v="168979.72027972026"/>
    <n v="16.897972027972028"/>
    <s v="ACUATECSA"/>
    <s v="TEXCUMAR"/>
    <s v="UNICO"/>
    <n v="18400"/>
    <n v="18875.599999999999"/>
    <n v="22.75"/>
    <n v="23.5"/>
    <n v="2639.9440559440554"/>
    <n v="380655.58486583835"/>
    <n v="29350"/>
    <n v="31474.959999999999"/>
    <n v="32"/>
    <n v="32.299999999999997"/>
    <n v="4402.0923076923073"/>
    <n v="442403.46253869974"/>
    <n v="50350.559999999998"/>
    <n v="823059.04740453814"/>
    <n v="7042.0363636363627"/>
    <n v="2.7913580246913576"/>
    <n v="86.938720538720531"/>
    <n v="68.122466585102543"/>
    <n v="79310.485000000001"/>
    <n v="62.116895450228782"/>
    <n v="1.575165896863908"/>
    <m/>
    <m/>
    <n v="475.59999999999854"/>
    <n v="2124.9599999999991"/>
    <n v="0.75"/>
    <n v="0.29999999999999716"/>
    <s v="ALFONSO GRUNAUER"/>
    <s v="TA 24"/>
  </r>
  <r>
    <d v="2026-04-25T00:00:00"/>
    <n v="331"/>
    <x v="0"/>
    <s v="AGUAJE 8"/>
    <x v="3"/>
    <s v="07"/>
    <x v="7"/>
    <n v="6.31"/>
    <s v="ASC-BAP"/>
    <n v="93"/>
    <d v="2026-01-22T00:00:00"/>
    <s v="DO PC 1"/>
    <n v="1.06"/>
    <n v="8"/>
    <n v="866415"/>
    <n v="137308.24088748021"/>
    <n v="13.730824088748021"/>
    <s v="BIOLACAM"/>
    <s v="TEXCUMAR"/>
    <s v="UNICO"/>
    <n v="33050"/>
    <n v="31876.95"/>
    <n v="40.5"/>
    <n v="38.76"/>
    <n v="5051.8145800316961"/>
    <n v="388930.96308426815"/>
    <n v="6400"/>
    <n v="6622.54"/>
    <n v="50"/>
    <n v="48.4"/>
    <n v="1049.5309033280507"/>
    <n v="62120.519834710751"/>
    <n v="38499.49"/>
    <n v="451051.4829189789"/>
    <n v="6101.3454833597461"/>
    <n v="3.6430107526881716"/>
    <n v="65.605865412470393"/>
    <n v="52.059519158714807"/>
    <n v="55611.035000000003"/>
    <n v="42.985191622786843"/>
    <n v="1.4444616019588832"/>
    <m/>
    <m/>
    <n v="-1173.0499999999993"/>
    <n v="222.53999999999996"/>
    <n v="-1.740000000000002"/>
    <n v="-1.6000000000000014"/>
    <s v="JOSE CEDEÑO"/>
    <s v="DO 07"/>
  </r>
  <r>
    <d v="2026-04-26T00:00:00"/>
    <n v="332"/>
    <x v="0"/>
    <s v="AGUAJE 8"/>
    <x v="3"/>
    <s v="04"/>
    <x v="3"/>
    <n v="4.82"/>
    <s v="ASC"/>
    <n v="76"/>
    <d v="2026-02-09T00:00:00"/>
    <s v="CH PC 2"/>
    <n v="0.56000000000000005"/>
    <n v="10"/>
    <n v="867600"/>
    <n v="180000"/>
    <n v="18"/>
    <s v="BIOLACAM"/>
    <s v="TEXCUMAR"/>
    <s v="UNICO"/>
    <n v="5600"/>
    <n v="6083.61"/>
    <n v="20"/>
    <n v="20.58"/>
    <n v="1262.1597510373442"/>
    <n v="134205.97376093295"/>
    <n v="21400"/>
    <n v="21537.7"/>
    <n v="23.5"/>
    <n v="23.08"/>
    <n v="4468.4024896265555"/>
    <n v="423661.86308492208"/>
    <n v="27621.31"/>
    <n v="557867.836845855"/>
    <n v="5730.5622406639004"/>
    <n v="2.1257894736842102"/>
    <n v="75.402134745577641"/>
    <n v="64.300119507359952"/>
    <n v="54067.815000000002"/>
    <n v="66.949661498143698"/>
    <n v="1.9574674408997981"/>
    <m/>
    <m/>
    <n v="483.60999999999967"/>
    <n v="137.70000000000073"/>
    <n v="0.57999999999999829"/>
    <n v="-0.42000000000000171"/>
    <s v="SANTIAGO OBRIEN"/>
    <s v="CH 04"/>
  </r>
  <r>
    <d v="2026-04-26T00:00:00"/>
    <n v="333"/>
    <x v="0"/>
    <s v="AGUAJE 8"/>
    <x v="3"/>
    <s v="03"/>
    <x v="9"/>
    <n v="9.89"/>
    <s v="ASC-BAP"/>
    <n v="71"/>
    <d v="2026-02-14T00:00:00"/>
    <s v="RO PC02"/>
    <n v="0.5"/>
    <n v="4"/>
    <n v="1824000"/>
    <n v="184428.71587462083"/>
    <n v="18.442871587462083"/>
    <s v="BIOLACAM"/>
    <s v="TEXCUMAR"/>
    <s v="UNICO"/>
    <n v="32200"/>
    <n v="31284.67"/>
    <n v="23.25"/>
    <n v="24.44"/>
    <n v="3163.2628918099085"/>
    <n v="564024.37088881305"/>
    <n v="34200"/>
    <n v="38555.58"/>
    <n v="28"/>
    <n v="27.36"/>
    <n v="3898.4408493427704"/>
    <n v="639774.60964912281"/>
    <n v="69840.25"/>
    <n v="1203798.9805379359"/>
    <n v="7061.703741152679"/>
    <n v="2.6974647887323946"/>
    <n v="99.460616072572947"/>
    <n v="65.997751125983328"/>
    <n v="100695.10500000001"/>
    <n v="65.046497386747177"/>
    <n v="1.4417918750290843"/>
    <m/>
    <m/>
    <n v="-915.33000000000175"/>
    <n v="4355.5800000000017"/>
    <n v="1.1900000000000013"/>
    <n v="-0.64000000000000057"/>
    <s v="VICTOR QUINTANA"/>
    <s v="RO 03"/>
  </r>
  <r>
    <d v="2026-04-26T00:00:00"/>
    <n v="334"/>
    <x v="0"/>
    <s v="AGUAJE 8"/>
    <x v="3"/>
    <s v="03"/>
    <x v="11"/>
    <n v="4.5"/>
    <s v="ASC-BAP"/>
    <n v="82"/>
    <d v="2026-02-03T00:00:00"/>
    <s v="TA 2"/>
    <n v="0.4"/>
    <n v="7"/>
    <n v="675000"/>
    <n v="150000"/>
    <n v="15"/>
    <s v="ACUATECSA"/>
    <s v="TEXCUMAR"/>
    <s v="UNICO"/>
    <n v="12200"/>
    <n v="12848.92"/>
    <n v="22"/>
    <n v="23.204999999999998"/>
    <n v="2855.3155555555554"/>
    <n v="251775.06136789738"/>
    <n v="16950"/>
    <n v="18117.95"/>
    <n v="31"/>
    <n v="32.200000000000003"/>
    <n v="4026.2111111111112"/>
    <n v="255451.84161490682"/>
    <n v="30966.870000000003"/>
    <n v="507226.90298280423"/>
    <n v="6881.5266666666676"/>
    <n v="2.7487804878048783"/>
    <n v="83.921056910569121"/>
    <n v="75.144726367822841"/>
    <n v="49383.040000000001"/>
    <n v="60.704607046070457"/>
    <n v="1.5947055675953041"/>
    <m/>
    <m/>
    <n v="648.92000000000007"/>
    <n v="1167.9500000000007"/>
    <n v="1.2049999999999983"/>
    <n v="1.2000000000000028"/>
    <s v="ALFONSO GRUNAUER"/>
    <s v="TA 03"/>
  </r>
  <r>
    <d v="2026-04-26T00:00:00"/>
    <n v="335"/>
    <x v="0"/>
    <s v="AGUAJE 8"/>
    <x v="3"/>
    <s v="11"/>
    <x v="1"/>
    <n v="7"/>
    <s v="ASC-BAP"/>
    <n v="91"/>
    <d v="2026-01-25T00:00:00"/>
    <s v="TI PC 31- 32"/>
    <n v="0.34"/>
    <n v="9"/>
    <n v="1260000"/>
    <n v="180000"/>
    <n v="18"/>
    <s v="EMPAGRAN"/>
    <s v="EMPAGRAN"/>
    <s v="UNICO"/>
    <n v="15800"/>
    <n v="16716.29"/>
    <n v="24"/>
    <n v="23.93"/>
    <n v="2388.0414285714287"/>
    <n v="322557.17045746127"/>
    <n v="44350"/>
    <n v="46016.38"/>
    <n v="33"/>
    <n v="33.78"/>
    <n v="6573.7685714285708"/>
    <n v="618455.78804026044"/>
    <n v="62732.67"/>
    <n v="941012.9584977217"/>
    <n v="8961.81"/>
    <n v="2.5984615384615384"/>
    <n v="98.481428571428566"/>
    <n v="74.683568134739815"/>
    <n v="95459.180000000008"/>
    <n v="67.974882260596544"/>
    <n v="1.5216820836734672"/>
    <m/>
    <m/>
    <n v="916.29000000000087"/>
    <n v="1666.3799999999974"/>
    <n v="-7.0000000000000284E-2"/>
    <n v="0.78000000000000114"/>
    <s v="ALFONSO GRUNAUER"/>
    <s v="TI 11"/>
  </r>
  <r>
    <d v="2026-04-27T00:00:00"/>
    <n v="336"/>
    <x v="0"/>
    <s v="AGUAJE 8"/>
    <x v="3"/>
    <s v="11"/>
    <x v="11"/>
    <n v="1.7"/>
    <s v="ASC-BAP"/>
    <n v="76"/>
    <d v="2026-02-10T00:00:00"/>
    <s v="TI PC 39"/>
    <n v="0.32"/>
    <n v="5"/>
    <n v="255000"/>
    <n v="150000"/>
    <n v="15"/>
    <s v="BIOLACAM"/>
    <s v="TEXCUMAR"/>
    <s v="UNICO"/>
    <n v="5050"/>
    <n v="6113.99"/>
    <n v="25"/>
    <n v="23.619999999999997"/>
    <n v="3596.464705882353"/>
    <n v="114595.23041910357"/>
    <n v="4900"/>
    <n v="5776.95"/>
    <n v="33.5"/>
    <n v="34.119999999999997"/>
    <n v="3398.205882352941"/>
    <n v="76867.974794841735"/>
    <n v="11890.939999999999"/>
    <n v="191463.2052139453"/>
    <n v="6994.6705882352935"/>
    <n v="3.142631578947368"/>
    <n v="92.035139318885442"/>
    <n v="75.083609887821694"/>
    <n v="15553.45"/>
    <n v="54.605252625456089"/>
    <n v="1.3080084501309401"/>
    <m/>
    <m/>
    <n v="1063.9899999999998"/>
    <n v="876.94999999999982"/>
    <n v="-1.3800000000000026"/>
    <n v="0.61999999999999744"/>
    <s v="ALFONSO GRUNAUER"/>
    <s v="TA 11"/>
  </r>
  <r>
    <d v="2026-04-28T00:00:00"/>
    <n v="337"/>
    <x v="0"/>
    <s v="AGUAJE 9"/>
    <x v="3"/>
    <s v="19"/>
    <x v="7"/>
    <n v="8.8699999999999992"/>
    <s v="ASC-BAP"/>
    <n v="87"/>
    <d v="2026-01-31T00:00:00"/>
    <s v="DO PC 4"/>
    <n v="1.2"/>
    <n v="3"/>
    <n v="1552250"/>
    <n v="175000.00000000003"/>
    <n v="17.500000000000004"/>
    <s v="LARVASLAB"/>
    <s v="TEXCUMAR"/>
    <s v="UNICO"/>
    <n v="61400"/>
    <n v="60589.630000000005"/>
    <n v="29"/>
    <n v="30.096666666666664"/>
    <n v="6830.848928974071"/>
    <n v="867124.93573031761"/>
    <n v="5000"/>
    <n v="5425.98"/>
    <n v="38"/>
    <n v="36.78"/>
    <n v="611.72266065388953"/>
    <n v="66976.47960848287"/>
    <n v="66015.61"/>
    <n v="934101.41533880052"/>
    <n v="7442.5715896279598"/>
    <n v="2.9593103448275864"/>
    <n v="85.546799880781151"/>
    <n v="60.177253363749429"/>
    <n v="100419.53"/>
    <n v="59.026292941466131"/>
    <n v="1.5211482556928582"/>
    <m/>
    <m/>
    <n v="-810.36999999999534"/>
    <n v="425.97999999999956"/>
    <n v="1.096666666666664"/>
    <n v="-1.2199999999999989"/>
    <s v="JOSE CEDEÑO"/>
    <s v="DO 19"/>
  </r>
  <r>
    <d v="2026-04-28T00:00:00"/>
    <n v="338"/>
    <x v="0"/>
    <s v="AGUAJE 9"/>
    <x v="3"/>
    <s v="20"/>
    <x v="4"/>
    <n v="3.8"/>
    <s v="CONVENCIONAL"/>
    <n v="77"/>
    <d v="2026-02-10T00:00:00"/>
    <s v="DE 2"/>
    <n v="0.55000000000000004"/>
    <n v="10"/>
    <n v="494000"/>
    <n v="130000"/>
    <n v="13"/>
    <s v="NARIHUALA"/>
    <s v="TEXCUMAR"/>
    <s v="UNICO"/>
    <n v="3650"/>
    <n v="3410.56"/>
    <n v="18"/>
    <n v="19.739999999999998"/>
    <n v="897.51578947368421"/>
    <n v="78439.424518743675"/>
    <n v="10150"/>
    <n v="10618.12"/>
    <n v="38"/>
    <n v="37.78"/>
    <n v="2794.242105263158"/>
    <n v="127597.31286394919"/>
    <n v="14028.68"/>
    <n v="206036.73738269287"/>
    <n v="3691.7578947368424"/>
    <n v="3.4345454545454546"/>
    <n v="47.944907723855096"/>
    <n v="41.707841575443901"/>
    <n v="34832.68"/>
    <n v="53.998632946001372"/>
    <n v="2.4829620463222484"/>
    <m/>
    <m/>
    <n v="-239.44000000000005"/>
    <n v="468.1200000000008"/>
    <n v="1.7399999999999984"/>
    <n v="-0.21999999999999886"/>
    <s v="CARLOS FLORES"/>
    <s v="DE 20"/>
  </r>
  <r>
    <d v="2026-04-29T00:00:00"/>
    <n v="339"/>
    <x v="0"/>
    <s v="AGUAJE 9"/>
    <x v="3"/>
    <s v="05"/>
    <x v="7"/>
    <n v="3.84"/>
    <s v="ASC-BAP"/>
    <n v="86"/>
    <d v="2026-02-02T00:00:00"/>
    <s v="TU PC 7"/>
    <n v="0.7"/>
    <n v="5"/>
    <n v="691200"/>
    <n v="180000"/>
    <n v="18"/>
    <s v="NARIHUALA"/>
    <s v="TEXCUMAR"/>
    <s v="UNICO"/>
    <n v="25300"/>
    <n v="27109.9"/>
    <n v="28.666666666666668"/>
    <n v="29.613333333333333"/>
    <n v="7059.869791666667"/>
    <n v="427652.33983405575"/>
    <n v="3550"/>
    <n v="3420.89"/>
    <n v="38"/>
    <n v="35.6"/>
    <n v="890.85677083333337"/>
    <n v="43625.956741573034"/>
    <n v="30530.79"/>
    <n v="471278.2965756288"/>
    <n v="7950.7265625000009"/>
    <n v="2.8976744186046512"/>
    <n v="92.450308866279087"/>
    <n v="68.182623925872221"/>
    <n v="48831.89"/>
    <n v="67.072432170542641"/>
    <n v="1.5994309351313869"/>
    <m/>
    <m/>
    <n v="1809.9000000000015"/>
    <n v="-129.11000000000013"/>
    <n v="0.94666666666666544"/>
    <n v="-2.3999999999999986"/>
    <s v="JOSE CEDEÑO"/>
    <s v="DO 05"/>
  </r>
  <r>
    <d v="2026-04-29T00:00:00"/>
    <n v="340"/>
    <x v="0"/>
    <s v="AGUAJE 9"/>
    <x v="3"/>
    <s v="17"/>
    <x v="11"/>
    <n v="1.5"/>
    <s v="ASC-BAP"/>
    <n v="78"/>
    <d v="2026-02-10T00:00:00"/>
    <s v="TI PC 09"/>
    <n v="0.32"/>
    <n v="5"/>
    <n v="225000"/>
    <n v="150000"/>
    <n v="15"/>
    <s v="TECSERV"/>
    <s v="TEXCUMAR"/>
    <s v="UNICO"/>
    <n v="0"/>
    <n v="0"/>
    <n v="0"/>
    <n v="0"/>
    <n v="0"/>
    <n v="0"/>
    <n v="9950"/>
    <n v="10646.87"/>
    <n v="34.5"/>
    <n v="34.36"/>
    <n v="7097.9133333333339"/>
    <n v="140677.50232828871"/>
    <n v="10646.87"/>
    <n v="140677.50232828871"/>
    <n v="7097.9133333333339"/>
    <n v="3.0835897435897435"/>
    <n v="90.998888888888899"/>
    <n v="62.523334368128317"/>
    <n v="16997.47"/>
    <n v="65.897451405026487"/>
    <n v="1.5964757717526372"/>
    <m/>
    <m/>
    <n v="0"/>
    <n v="696.8700000000008"/>
    <n v="0"/>
    <n v="-0.14000000000000057"/>
    <s v="ALFONSO GRUNAUER"/>
    <s v="TA PC 17"/>
  </r>
  <r>
    <d v="2026-04-30T00:00:00"/>
    <n v="341"/>
    <x v="0"/>
    <s v="AGUAJE 9"/>
    <x v="3"/>
    <s v="23"/>
    <x v="7"/>
    <n v="13.72"/>
    <s v="ASC-BAP"/>
    <n v="100"/>
    <d v="2026-01-20T00:00:00"/>
    <s v="DO PC 6"/>
    <n v="0.6"/>
    <n v="3"/>
    <n v="2480108"/>
    <n v="180765.88921282798"/>
    <n v="18.076588921282799"/>
    <s v="PRONAUPLIO"/>
    <s v="EMPAGRAN"/>
    <s v="UNICO"/>
    <n v="109200"/>
    <n v="106074.93000000001"/>
    <n v="28.4"/>
    <n v="28.196000000000005"/>
    <n v="7731.4088921282801"/>
    <n v="1740838.2200640738"/>
    <n v="8400"/>
    <n v="7981.58"/>
    <n v="38"/>
    <n v="33.74"/>
    <n v="581.74781341107871"/>
    <n v="107398.85358624777"/>
    <n v="114056.51000000001"/>
    <n v="1848237.0736503215"/>
    <n v="8313.1567055393589"/>
    <n v="2.3618000000000001"/>
    <n v="83.131567055393589"/>
    <n v="74.52244312144154"/>
    <n v="169147.94"/>
    <n v="55.922013314857956"/>
    <n v="1.4830187246655189"/>
    <m/>
    <m/>
    <n v="-3125.0699999999924"/>
    <n v="-418.42000000000007"/>
    <n v="-0.20399999999999352"/>
    <n v="-4.259999999999998"/>
    <s v="JOSE CEDEÑO"/>
    <s v="DO 23"/>
  </r>
  <r>
    <d v="2026-04-30T00:00:00"/>
    <n v="342"/>
    <x v="0"/>
    <s v="AGUAJE 9"/>
    <x v="3"/>
    <s v="03"/>
    <x v="2"/>
    <n v="9.2200000000000006"/>
    <s v="ASC-BAP"/>
    <n v="77"/>
    <d v="2026-02-12T00:00:00"/>
    <s v="CA 15 - 1B"/>
    <n v="0.52"/>
    <n v="8"/>
    <n v="1844000"/>
    <n v="200000"/>
    <n v="20"/>
    <s v="BIOLACAM"/>
    <s v="TEXCUMAR"/>
    <s v="UNICO"/>
    <n v="29950"/>
    <n v="33195.15"/>
    <n v="25"/>
    <n v="24.71"/>
    <n v="3600.3416485900216"/>
    <n v="588214.34254106821"/>
    <n v="16450"/>
    <n v="21045.11"/>
    <n v="30"/>
    <n v="28.76"/>
    <n v="2282.5498915401299"/>
    <n v="332214.18428372737"/>
    <n v="54240.26"/>
    <n v="920428.52682479564"/>
    <n v="5882.891540130152"/>
    <n v="2.6145454545454547"/>
    <n v="76.40118883285912"/>
    <n v="49.914779111973736"/>
    <n v="96561.48"/>
    <n v="61.695354537003105"/>
    <n v="1.7802547406668034"/>
    <m/>
    <m/>
    <n v="3245.1500000000015"/>
    <n v="4595.1100000000006"/>
    <n v="-0.28999999999999915"/>
    <n v="-1.2399999999999984"/>
    <s v="VICTOR QUINTANA"/>
    <s v="CA 03"/>
  </r>
  <r>
    <d v="2026-05-01T00:00:00"/>
    <n v="343"/>
    <x v="0"/>
    <s v="AGUAJE 9"/>
    <x v="4"/>
    <s v="21"/>
    <x v="4"/>
    <n v="5.4"/>
    <s v="CONVENCIONAL"/>
    <n v="82"/>
    <d v="2026-02-08T00:00:00"/>
    <s v="DE 25"/>
    <n v="0.65"/>
    <n v="9"/>
    <n v="648000"/>
    <n v="119999.99999999999"/>
    <n v="11.999999999999998"/>
    <s v="PRICMARSA"/>
    <s v="TEXCUMAR"/>
    <s v="UNICO"/>
    <n v="22450"/>
    <n v="23949.73"/>
    <n v="24.666666666666668"/>
    <n v="24.873333333333335"/>
    <n v="4435.135185185185"/>
    <n v="414584.38514286472"/>
    <n v="3200"/>
    <n v="3419.37"/>
    <n v="34"/>
    <n v="32.56"/>
    <n v="633.21666666666658"/>
    <n v="47677.947788697784"/>
    <n v="27369.1"/>
    <n v="462262.3329315625"/>
    <n v="5068.3518518518513"/>
    <n v="2.7795121951219515"/>
    <n v="61.809168925022576"/>
    <n v="71.336779773389267"/>
    <n v="49603.5"/>
    <n v="50.813008130081293"/>
    <n v="1.8123906156943415"/>
    <m/>
    <m/>
    <n v="1499.7299999999996"/>
    <n v="219.36999999999989"/>
    <n v="0.206666666666667"/>
    <n v="-1.4399999999999977"/>
    <s v="CARLOS FLORES"/>
    <s v="DE 21"/>
  </r>
  <r>
    <d v="2026-05-02T00:00:00"/>
    <n v="344"/>
    <x v="0"/>
    <s v="AGUAJE 9"/>
    <x v="4"/>
    <s v="02"/>
    <x v="12"/>
    <n v="4.3"/>
    <s v="ASC-BAP"/>
    <n v="80"/>
    <d v="2026-02-11T00:00:00"/>
    <s v="PA 16"/>
    <n v="0.5"/>
    <n v="13"/>
    <n v="792000"/>
    <n v="184186.04651162791"/>
    <n v="18.418604651162791"/>
    <s v="BIOLACAM"/>
    <s v="TEXCUMAR"/>
    <s v="UNICO"/>
    <n v="17250"/>
    <n v="17982.77"/>
    <n v="20"/>
    <n v="21.58666666666667"/>
    <n v="4182.039534883721"/>
    <n v="381470.80000230693"/>
    <n v="18300"/>
    <n v="20583.75"/>
    <n v="32"/>
    <n v="32.49"/>
    <n v="4786.9186046511632"/>
    <n v="287627.65466297319"/>
    <n v="38566.520000000004"/>
    <n v="669098.45466528018"/>
    <n v="8968.958139534885"/>
    <n v="2.8428750000000003"/>
    <n v="112.11197674418607"/>
    <n v="84.482128114303052"/>
    <n v="48611.43"/>
    <n v="64.098837209302332"/>
    <n v="1.2604567381241552"/>
    <m/>
    <m/>
    <n v="732.77000000000044"/>
    <n v="2283.75"/>
    <n v="1.5866666666666696"/>
    <n v="0.49000000000000199"/>
    <s v="GUSTAVO CARRASCO"/>
    <s v="TU 02"/>
  </r>
  <r>
    <d v="2026-05-02T00:00:00"/>
    <n v="345"/>
    <x v="0"/>
    <s v="AGUAJE 9"/>
    <x v="4"/>
    <s v="09"/>
    <x v="4"/>
    <n v="7.45"/>
    <s v="CONVENCIONAL"/>
    <n v="87"/>
    <d v="2026-02-04T00:00:00"/>
    <s v="DE 4"/>
    <n v="0.5"/>
    <n v="11"/>
    <n v="1043000"/>
    <n v="140000"/>
    <n v="14"/>
    <s v="EMPAGRAN"/>
    <s v="EMPAGRAN"/>
    <s v="UNICO"/>
    <n v="15200"/>
    <n v="14982.939999999999"/>
    <n v="23.666666666666668"/>
    <n v="25.033333333333331"/>
    <n v="2011.13288590604"/>
    <n v="312423.51422764227"/>
    <n v="16000"/>
    <n v="16193.800000000001"/>
    <n v="31"/>
    <n v="32.880000000000003"/>
    <n v="2173.6644295302012"/>
    <n v="223600.52311435522"/>
    <n v="31176.739999999998"/>
    <n v="536024.03734199749"/>
    <n v="4184.7973154362417"/>
    <n v="2.6455172413793107"/>
    <n v="48.101118568232664"/>
    <n v="51.392525152636381"/>
    <n v="74019.45"/>
    <n v="51.801284066936844"/>
    <n v="2.3741882570146848"/>
    <m/>
    <m/>
    <n v="-217.06000000000131"/>
    <n v="193.80000000000109"/>
    <n v="1.3666666666666636"/>
    <n v="1.8800000000000026"/>
    <s v="CARLOS FLORES"/>
    <s v="DE 09"/>
  </r>
  <r>
    <d v="2026-05-03T00:00:00"/>
    <n v="346"/>
    <x v="0"/>
    <s v="AGUAJE 9"/>
    <x v="4"/>
    <s v="05"/>
    <x v="8"/>
    <n v="3.3"/>
    <s v="ASC-BAP"/>
    <n v="80"/>
    <d v="2026-02-12T00:00:00"/>
    <s v="PA PC 4"/>
    <n v="0.75"/>
    <n v="9"/>
    <n v="618390"/>
    <n v="187390.90909090909"/>
    <n v="18.739090909090908"/>
    <s v="BIOLACAM"/>
    <s v="TEXCUMAR"/>
    <s v="UNICO"/>
    <n v="11200"/>
    <n v="11967.41"/>
    <n v="21.666666666666668"/>
    <n v="21.846666666666668"/>
    <n v="3626.4878787878788"/>
    <n v="262193.03645509738"/>
    <n v="11100"/>
    <n v="11680.57"/>
    <n v="30"/>
    <n v="31.84"/>
    <n v="3539.5666666666666"/>
    <n v="166550.84108040202"/>
    <n v="23647.98"/>
    <n v="428743.8775354994"/>
    <n v="7166.0545454545454"/>
    <n v="2.786"/>
    <n v="89.57568181818182"/>
    <n v="69.33227858398412"/>
    <n v="32903.660000000003"/>
    <n v="56.53409949994365"/>
    <n v="1.3913941063887911"/>
    <m/>
    <m/>
    <n v="767.40999999999985"/>
    <n v="580.56999999999971"/>
    <n v="0.17999999999999972"/>
    <n v="1.8399999999999999"/>
    <s v="GUSTAVO CARRASCO"/>
    <s v="PA 05"/>
  </r>
  <r>
    <d v="2026-05-03T00:00:00"/>
    <n v="347"/>
    <x v="0"/>
    <s v="AGUAJE 9"/>
    <x v="4"/>
    <s v="01"/>
    <x v="12"/>
    <n v="7.4"/>
    <s v="ASC-BAP"/>
    <n v="81"/>
    <d v="2026-02-11T00:00:00"/>
    <s v="PA 16"/>
    <n v="0.5"/>
    <n v="11"/>
    <n v="1355000"/>
    <n v="183108.10810810811"/>
    <n v="18.310810810810811"/>
    <s v="BIOLACAM"/>
    <s v="TEXCUMAR"/>
    <s v="UNICO"/>
    <n v="30600"/>
    <n v="32704.080000000002"/>
    <n v="23.25"/>
    <n v="24.935000000000002"/>
    <n v="4419.4702702702707"/>
    <n v="707757.60827766475"/>
    <n v="27700"/>
    <n v="25446.120000000003"/>
    <n v="33"/>
    <n v="34.18"/>
    <n v="3438.6648648648652"/>
    <n v="337991.17846693977"/>
    <n v="58150.200000000004"/>
    <n v="1045748.7867446046"/>
    <n v="7858.135135135135"/>
    <n v="2.9538271604938271"/>
    <n v="97.014014014014009"/>
    <n v="77.17703223207414"/>
    <n v="79586.06"/>
    <n v="60.226893560226891"/>
    <n v="1.3686291706649332"/>
    <m/>
    <m/>
    <n v="2104.0800000000017"/>
    <n v="-2253.8799999999974"/>
    <n v="1.6850000000000023"/>
    <n v="1.1799999999999997"/>
    <s v="GUSTAVO CARRASCO"/>
    <s v="TU 01"/>
  </r>
  <r>
    <d v="2026-05-03T00:00:00"/>
    <n v="348"/>
    <x v="0"/>
    <s v="AGUAJE 9"/>
    <x v="4"/>
    <s v="12"/>
    <x v="4"/>
    <n v="8.77"/>
    <s v="CONVENCIONAL"/>
    <n v="63"/>
    <d v="2026-03-01T00:00:00"/>
    <s v="DE PS 11"/>
    <n v="6"/>
    <n v="4"/>
    <n v="1052400"/>
    <n v="120000"/>
    <n v="12"/>
    <s v="TECSERV"/>
    <s v="SEMACUA"/>
    <s v="UNICO"/>
    <n v="8400"/>
    <n v="8639.7099999999991"/>
    <n v="25"/>
    <n v="27.655000000000001"/>
    <n v="985.14367160775362"/>
    <n v="184065.14969497887"/>
    <n v="44200"/>
    <n v="43782.45"/>
    <n v="31"/>
    <n v="33.54"/>
    <n v="4992.2976054732044"/>
    <n v="592642.58497316635"/>
    <n v="52422.159999999996"/>
    <n v="776707.73466814519"/>
    <n v="5977.4412770809577"/>
    <n v="3.7266666666666666"/>
    <n v="94.880020271126313"/>
    <n v="73.803471557216383"/>
    <n v="68893.75"/>
    <n v="56.560062261316538"/>
    <n v="1.3142104407754278"/>
    <m/>
    <m/>
    <n v="239.70999999999913"/>
    <n v="-417.55000000000291"/>
    <n v="2.6550000000000011"/>
    <n v="2.5399999999999991"/>
    <s v="CARLOS FLORES"/>
    <s v="DE 12"/>
  </r>
  <r>
    <d v="2026-05-04T00:00:00"/>
    <n v="349"/>
    <x v="0"/>
    <s v="AGUAJE 9"/>
    <x v="4"/>
    <s v="03"/>
    <x v="12"/>
    <n v="3.43"/>
    <s v="ASC-BAP"/>
    <n v="87"/>
    <d v="2026-02-06T00:00:00"/>
    <s v="MA 8"/>
    <n v="0.35"/>
    <n v="7"/>
    <n v="605714"/>
    <n v="176593.00291545189"/>
    <n v="17.65930029154519"/>
    <s v="NARIHUALA"/>
    <s v="TEXCUMAR"/>
    <s v="UNICO"/>
    <n v="12350"/>
    <n v="12707.71"/>
    <n v="17.666666666666668"/>
    <n v="18.146666666666668"/>
    <n v="3704.8717201166178"/>
    <n v="322004.88218188268"/>
    <n v="15900"/>
    <n v="16250.79"/>
    <n v="30"/>
    <n v="29.38"/>
    <n v="4737.8396501457728"/>
    <n v="251118.40231449966"/>
    <n v="28958.5"/>
    <n v="573123.28449638234"/>
    <n v="8442.7113702623901"/>
    <n v="2.3639080459770114"/>
    <n v="97.042659428303338"/>
    <n v="94.619454808107832"/>
    <n v="39947.35"/>
    <n v="60.721822635990577"/>
    <n v="1.3794688951430494"/>
    <m/>
    <m/>
    <n v="357.70999999999913"/>
    <n v="350.79000000000087"/>
    <n v="0.48000000000000043"/>
    <n v="-0.62000000000000099"/>
    <s v="GUSTAVO CARRASCO"/>
    <s v="TU 03"/>
  </r>
  <r>
    <d v="2026-05-04T00:00:00"/>
    <n v="350"/>
    <x v="0"/>
    <s v="AGUAJE 9"/>
    <x v="4"/>
    <s v="22"/>
    <x v="4"/>
    <n v="5.7"/>
    <s v="CONVENCIONAL"/>
    <n v="85"/>
    <d v="2026-02-08T00:00:00"/>
    <s v="DE 25"/>
    <n v="0.65"/>
    <n v="9"/>
    <n v="798000"/>
    <n v="140000"/>
    <n v="14"/>
    <s v="PRICMARSA"/>
    <s v="TEXCUMAR"/>
    <s v="UNICO"/>
    <n v="11400"/>
    <n v="11440.09"/>
    <n v="19"/>
    <n v="21.17"/>
    <n v="2007.0333333333333"/>
    <n v="245183.77129390815"/>
    <n v="14100"/>
    <n v="15123.18"/>
    <n v="35"/>
    <n v="31.5"/>
    <n v="2653.1894736842105"/>
    <n v="217965.83238095237"/>
    <n v="26563.27"/>
    <n v="463149.60367486055"/>
    <n v="4660.2228070175433"/>
    <n v="2.5941176470588236"/>
    <n v="54.826150670794625"/>
    <n v="58.038797452990046"/>
    <n v="52745.06"/>
    <n v="49.380809634644208"/>
    <n v="1.985638816305372"/>
    <m/>
    <m/>
    <n v="40.090000000000146"/>
    <n v="1023.1800000000003"/>
    <n v="2.1700000000000017"/>
    <n v="-3.5"/>
    <s v="CARLOS FLORES"/>
    <s v="DE 22"/>
  </r>
  <r>
    <d v="2026-05-04T00:00:00"/>
    <n v="351"/>
    <x v="0"/>
    <s v="AGUAJE 9"/>
    <x v="4"/>
    <s v="07"/>
    <x v="4"/>
    <n v="10.23"/>
    <s v="CONVENCIONAL"/>
    <n v="89"/>
    <d v="2026-02-04T00:00:00"/>
    <s v="DE  4"/>
    <n v="0.5"/>
    <n v="18"/>
    <n v="1329900"/>
    <n v="130000"/>
    <n v="13"/>
    <s v="EMPAGRAN"/>
    <s v="EMPAGRAN"/>
    <s v="UNICO"/>
    <n v="28600"/>
    <n v="29667.29"/>
    <n v="21.666666666666668"/>
    <n v="21.686666666666667"/>
    <n v="2900.0283479960899"/>
    <n v="667248.27509464312"/>
    <n v="17900"/>
    <n v="18180.46"/>
    <n v="31"/>
    <n v="31.6"/>
    <n v="1777.171065493646"/>
    <n v="261200.27974683544"/>
    <n v="47847.75"/>
    <n v="928448.55484147859"/>
    <n v="4677.1994134897359"/>
    <n v="2.4853932584269667"/>
    <n v="52.552802398761081"/>
    <n v="69.813411146813948"/>
    <n v="97663.78"/>
    <n v="48.656188561951517"/>
    <n v="2.0411363125747815"/>
    <m/>
    <m/>
    <n v="1067.2900000000009"/>
    <n v="280.45999999999913"/>
    <n v="1.9999999999999574E-2"/>
    <n v="0.60000000000000142"/>
    <s v="CARLOS FLORES"/>
    <s v="DE 07"/>
  </r>
  <r>
    <d v="2026-05-05T00:00:00"/>
    <n v="352"/>
    <x v="0"/>
    <s v="AGUAJE 9"/>
    <x v="4"/>
    <s v="08"/>
    <x v="9"/>
    <n v="12.79"/>
    <s v="ASC-BAP"/>
    <n v="77"/>
    <d v="2026-02-17T00:00:00"/>
    <s v="RO PC 16"/>
    <n v="0.6"/>
    <n v="8"/>
    <n v="2000000"/>
    <n v="156372.16575449571"/>
    <n v="15.637216575449571"/>
    <s v="AMBARTEK"/>
    <s v="PRONAUPLIO"/>
    <s v="UNICO"/>
    <n v="22300"/>
    <n v="23619.56"/>
    <n v="22.5"/>
    <n v="23.66"/>
    <n v="1846.7208756841285"/>
    <n v="451525.92900075024"/>
    <n v="58600"/>
    <n v="57651.01"/>
    <n v="30"/>
    <n v="32.54"/>
    <n v="4507.506645817045"/>
    <n v="804350.29317762749"/>
    <n v="81270.570000000007"/>
    <n v="1255876.2221783777"/>
    <n v="6354.2275215011741"/>
    <n v="2.958181818181818"/>
    <n v="82.522435344171086"/>
    <n v="62.793811108918888"/>
    <n v="118056.33"/>
    <n v="54.374866728267826"/>
    <n v="1.4526332225798342"/>
    <m/>
    <m/>
    <n v="1319.5600000000013"/>
    <n v="-948.98999999999796"/>
    <n v="1.1600000000000001"/>
    <n v="2.5399999999999991"/>
    <s v="VICTOR QUINTANA"/>
    <s v="RO 08"/>
  </r>
  <r>
    <d v="2026-05-05T00:00:00"/>
    <n v="353"/>
    <x v="0"/>
    <s v="AGUAJE 9"/>
    <x v="4"/>
    <s v="4A"/>
    <x v="12"/>
    <n v="6.17"/>
    <s v="ASC-BAP"/>
    <n v="88"/>
    <d v="2026-02-06T00:00:00"/>
    <s v="MA 8"/>
    <n v="0.35"/>
    <n v="8"/>
    <n v="1178571"/>
    <n v="191016.36952998379"/>
    <n v="19.10163695299838"/>
    <s v="NARIHUALA"/>
    <s v="TEXCUMAR"/>
    <s v="UNICO"/>
    <n v="34900"/>
    <n v="36077.379999999997"/>
    <n v="22"/>
    <n v="24.130000000000003"/>
    <n v="5847.2252836304697"/>
    <n v="686099.61023325648"/>
    <n v="16300"/>
    <n v="17638.95"/>
    <n v="33"/>
    <n v="33.89"/>
    <n v="2858.8249594813615"/>
    <n v="236296.34995573916"/>
    <n v="53716.33"/>
    <n v="922395.96018899558"/>
    <n v="8706.0502431118312"/>
    <n v="2.6957954545454546"/>
    <n v="98.932389126270806"/>
    <n v="78.26392811200985"/>
    <n v="69059.09"/>
    <n v="57.693011883039041"/>
    <n v="1.2856256188760475"/>
    <m/>
    <m/>
    <n v="1177.3799999999974"/>
    <n v="1338.9500000000007"/>
    <n v="2.1300000000000026"/>
    <n v="0.89000000000000057"/>
    <s v="GUSTAVO CARRASCO"/>
    <s v="TU 4A"/>
  </r>
  <r>
    <d v="2026-05-05T00:00:00"/>
    <n v="354"/>
    <x v="0"/>
    <s v="AGUAJE 9"/>
    <x v="4"/>
    <s v="03"/>
    <x v="4"/>
    <n v="5.7"/>
    <s v="CONVENCIONAL"/>
    <n v="84"/>
    <d v="2026-02-10T00:00:00"/>
    <s v="DE 2"/>
    <n v="0.55000000000000004"/>
    <n v="9"/>
    <n v="798000"/>
    <n v="140000"/>
    <n v="14"/>
    <s v="NARIHUALA"/>
    <s v="TEXCUMAR"/>
    <s v="UNICO"/>
    <n v="12500"/>
    <n v="12626.86"/>
    <n v="20"/>
    <n v="19.234999999999999"/>
    <n v="2215.2385964912282"/>
    <n v="298993.86026563367"/>
    <n v="13300"/>
    <n v="14806.6"/>
    <n v="33"/>
    <n v="34.520000000000003"/>
    <n v="2597.6491228070176"/>
    <n v="194733.38354577057"/>
    <n v="27433.46"/>
    <n v="493727.24381140422"/>
    <n v="4812.8877192982454"/>
    <n v="2.8766666666666669"/>
    <n v="57.296282372598156"/>
    <n v="61.870581931253668"/>
    <n v="59910.01"/>
    <n v="56.756479256443441"/>
    <n v="2.183829892401469"/>
    <m/>
    <m/>
    <n v="126.86000000000058"/>
    <n v="1506.6000000000004"/>
    <n v="-0.76500000000000057"/>
    <n v="1.5200000000000031"/>
    <s v="CARLOS FLORES"/>
    <s v="DE 03"/>
  </r>
  <r>
    <d v="2026-05-06T00:00:00"/>
    <n v="355"/>
    <x v="0"/>
    <s v="AGUAJE 9"/>
    <x v="4"/>
    <s v="13"/>
    <x v="7"/>
    <n v="5.7"/>
    <s v="ASC-BAP"/>
    <n v="72"/>
    <d v="2026-02-23T00:00:00"/>
    <s v="DO PS 15"/>
    <n v="1"/>
    <n v="11"/>
    <n v="1026000"/>
    <n v="180000"/>
    <n v="18"/>
    <s v="GENESIS"/>
    <s v="TEXCUMAR"/>
    <s v="UNICO"/>
    <n v="7000"/>
    <n v="6762.71"/>
    <n v="20"/>
    <n v="23.96"/>
    <n v="1186.4403508771929"/>
    <n v="128141.49999999999"/>
    <n v="38000"/>
    <n v="39893.089999999997"/>
    <n v="33"/>
    <n v="33.869999999999997"/>
    <n v="6998.7877192982451"/>
    <n v="534734.65780927078"/>
    <n v="46655.799999999996"/>
    <n v="662876.15780927078"/>
    <n v="8185.228070175438"/>
    <n v="3.2929166666666663"/>
    <n v="113.68372319688109"/>
    <n v="64.607812651975706"/>
    <n v="71153.464999999997"/>
    <n v="78.642787524366469"/>
    <n v="1.5250722311052431"/>
    <m/>
    <m/>
    <n v="-237.28999999999996"/>
    <n v="1893.0899999999965"/>
    <n v="3.9600000000000009"/>
    <n v="0.86999999999999744"/>
    <s v="JOSE CEDEÑO"/>
    <s v="DO 13"/>
  </r>
  <r>
    <d v="2026-05-06T00:00:00"/>
    <n v="356"/>
    <x v="0"/>
    <s v="AGUAJE 9"/>
    <x v="4"/>
    <s v="14"/>
    <x v="7"/>
    <n v="8.61"/>
    <s v="ASC-BAP"/>
    <n v="70"/>
    <d v="2026-02-25T00:00:00"/>
    <s v="DO PS 15"/>
    <n v="1.03"/>
    <n v="2"/>
    <n v="1549800"/>
    <n v="180000"/>
    <n v="18"/>
    <s v="GENESIS"/>
    <s v="TEXCUMAR"/>
    <s v="UNICO"/>
    <n v="12000"/>
    <n v="11439.39"/>
    <n v="20"/>
    <n v="21.72"/>
    <n v="1328.6167247386759"/>
    <n v="239110.63812154694"/>
    <n v="21000"/>
    <n v="22990.06"/>
    <n v="34"/>
    <n v="39.6"/>
    <n v="2670.1579558652734"/>
    <n v="263572.91010101011"/>
    <n v="34429.449999999997"/>
    <n v="502683.54822255706"/>
    <n v="3998.774680603949"/>
    <n v="3.96"/>
    <n v="57.125352580056415"/>
    <n v="32.435381870083688"/>
    <n v="56492.87"/>
    <n v="42.517003039679572"/>
    <n v="1.6408298709389784"/>
    <m/>
    <m/>
    <n v="-560.61000000000058"/>
    <n v="1990.0600000000013"/>
    <n v="1.7199999999999989"/>
    <n v="5.6000000000000014"/>
    <s v="JOSE CEDEÑO"/>
    <s v="DO 14"/>
  </r>
  <r>
    <d v="2026-05-06T00:00:00"/>
    <n v="357"/>
    <x v="0"/>
    <s v="AGUAJE 9"/>
    <x v="4"/>
    <s v="11"/>
    <x v="3"/>
    <n v="6.38"/>
    <s v="ASC"/>
    <n v="76"/>
    <d v="2026-02-19T00:00:00"/>
    <s v="CH PC 6"/>
    <n v="0.35"/>
    <n v="9"/>
    <n v="1148400"/>
    <n v="180000"/>
    <n v="18"/>
    <s v="TECSERV"/>
    <s v="SEMACUA"/>
    <s v="UNICO"/>
    <n v="13600"/>
    <n v="14787.31"/>
    <n v="19"/>
    <n v="19.880000000000003"/>
    <n v="2317.7601880877742"/>
    <n v="344202.61001553782"/>
    <n v="26300"/>
    <n v="27547.5"/>
    <n v="23"/>
    <n v="23.77"/>
    <n v="4317.7899686520377"/>
    <n v="526149.13756836345"/>
    <n v="42334.81"/>
    <n v="870351.74758390128"/>
    <n v="6635.5501567398114"/>
    <n v="2.1893421052631576"/>
    <n v="87.309870483418578"/>
    <n v="75.788205118765347"/>
    <n v="63988.52"/>
    <n v="59.860176266262009"/>
    <n v="1.5114871189926209"/>
    <m/>
    <m/>
    <n v="1187.3099999999995"/>
    <n v="1247.5"/>
    <n v="0.88000000000000256"/>
    <n v="0.76999999999999957"/>
    <s v="SANTIAGO OBRIEN"/>
    <s v="CH 11"/>
  </r>
  <r>
    <d v="2026-05-06T00:00:00"/>
    <n v="358"/>
    <x v="0"/>
    <s v="AGUAJE 9"/>
    <x v="4"/>
    <s v="06"/>
    <x v="4"/>
    <n v="8.69"/>
    <s v="CONVENCIONAL"/>
    <n v="72"/>
    <d v="2026-02-23T00:00:00"/>
    <s v="DE PC 3"/>
    <n v="0.8"/>
    <n v="18"/>
    <n v="1390000"/>
    <n v="159953.97008055236"/>
    <n v="15.995397008055235"/>
    <s v="LARVASLAB"/>
    <s v="TEXCUMAR"/>
    <s v="UNICO"/>
    <n v="8000"/>
    <n v="8031.31"/>
    <n v="17"/>
    <n v="18.559999999999999"/>
    <n v="924.20138089758348"/>
    <n v="196455.53556034484"/>
    <n v="20200"/>
    <n v="23609.360000000001"/>
    <n v="28"/>
    <n v="30.06"/>
    <n v="2716.8423475258919"/>
    <n v="356575.16433799069"/>
    <n v="31640.670000000002"/>
    <n v="553030.6998983355"/>
    <n v="3641.0437284234758"/>
    <n v="2.9224999999999999"/>
    <n v="50.570051783659387"/>
    <n v="39.786381287650038"/>
    <n v="72476.22"/>
    <n v="52.542829772431396"/>
    <n v="2.2906032015124835"/>
    <m/>
    <m/>
    <n v="31.3100000000004"/>
    <n v="3409.3600000000006"/>
    <n v="1.5599999999999987"/>
    <n v="2.0599999999999987"/>
    <s v="CARLOS FLORES"/>
    <s v="DE 06"/>
  </r>
  <r>
    <d v="2026-05-06T00:00:00"/>
    <n v="359"/>
    <x v="0"/>
    <s v="AGUAJE 9"/>
    <x v="4"/>
    <s v="09"/>
    <x v="0"/>
    <n v="9"/>
    <s v="CONVENCIONAL"/>
    <n v="86"/>
    <d v="2026-02-09T00:00:00"/>
    <s v="PR PC 8"/>
    <n v="0.4"/>
    <n v="16"/>
    <n v="1530000"/>
    <n v="170000"/>
    <n v="17"/>
    <s v="EMPAGRAN"/>
    <s v="EMPAGRAN"/>
    <s v="UNICO"/>
    <n v="5250"/>
    <n v="6085.26"/>
    <n v="14"/>
    <n v="21.46"/>
    <n v="676.14"/>
    <n v="128737.56011183598"/>
    <n v="27200"/>
    <n v="33672.44"/>
    <n v="30"/>
    <n v="32.06"/>
    <n v="3741.3822222222225"/>
    <n v="476833.67935121647"/>
    <n v="39757.700000000004"/>
    <n v="605571.23946305248"/>
    <n v="4417.5222222222228"/>
    <n v="2.6095348837209302"/>
    <n v="51.366537467700262"/>
    <n v="39.579819572748526"/>
    <n v="74901.289999999994"/>
    <n v="43.895351767422632"/>
    <n v="1.8839442422474133"/>
    <m/>
    <m/>
    <n v="835.26000000000022"/>
    <n v="6472.4400000000023"/>
    <n v="7.4600000000000009"/>
    <n v="2.0600000000000023"/>
    <s v="WILMER TORRES"/>
    <s v="PR 09"/>
  </r>
  <r>
    <d v="2026-05-07T00:00:00"/>
    <n v="360"/>
    <x v="0"/>
    <s v="AGUAJE 9"/>
    <x v="4"/>
    <s v="09"/>
    <x v="3"/>
    <n v="9.4"/>
    <s v="ASC"/>
    <n v="78"/>
    <d v="2026-02-18T00:00:00"/>
    <s v="CH 4"/>
    <n v="0.35"/>
    <n v="7"/>
    <n v="1692000"/>
    <n v="180000"/>
    <n v="18"/>
    <s v="LARDEMA"/>
    <s v="PRONAUPLIO"/>
    <s v="UNICO"/>
    <n v="10500"/>
    <n v="10496.18"/>
    <n v="16.5"/>
    <n v="16.34"/>
    <n v="1116.6148936170212"/>
    <n v="291631.92900856794"/>
    <n v="43600"/>
    <n v="44814.75"/>
    <n v="25"/>
    <n v="25.12"/>
    <n v="4767.5265957446809"/>
    <n v="809948.10907643312"/>
    <n v="55310.93"/>
    <n v="1101580.0380850011"/>
    <n v="5884.141489361702"/>
    <n v="2.2543589743589747"/>
    <n v="75.437711402073106"/>
    <n v="65.10520319651306"/>
    <n v="96781.94"/>
    <n v="59.87452264048008"/>
    <n v="1.7497796547626301"/>
    <m/>
    <m/>
    <n v="-3.819999999999709"/>
    <n v="1214.75"/>
    <n v="-0.16000000000000014"/>
    <n v="0.12000000000000099"/>
    <s v="SANTIAGO OBRIEN"/>
    <s v="CH 09"/>
  </r>
  <r>
    <d v="2026-05-07T00:00:00"/>
    <n v="361"/>
    <x v="0"/>
    <s v="AGUAJE 9"/>
    <x v="4"/>
    <s v="16"/>
    <x v="7"/>
    <n v="4.74"/>
    <s v="ASC-BAP"/>
    <n v="60"/>
    <d v="2026-03-08T00:00:00"/>
    <s v="DO PS 15"/>
    <n v="0.72"/>
    <n v="12"/>
    <n v="1054035"/>
    <n v="222370.25316455695"/>
    <n v="22.237025316455696"/>
    <s v="GENESIS"/>
    <s v="TEXCUMAR"/>
    <s v="UNICO"/>
    <n v="5700"/>
    <n v="4904.92"/>
    <n v="19"/>
    <n v="22.24"/>
    <n v="1034.7932489451478"/>
    <n v="100127.41366906476"/>
    <n v="19500"/>
    <n v="21676.31"/>
    <n v="34"/>
    <n v="32.74"/>
    <n v="4573.0611814345993"/>
    <n v="300581.69639584603"/>
    <n v="26581.230000000003"/>
    <n v="400709.11006491078"/>
    <n v="5607.8544303797471"/>
    <n v="3.819666666666667"/>
    <n v="93.464240506329119"/>
    <n v="38.01667971793259"/>
    <n v="42989.700000000004"/>
    <n v="68.565400843881861"/>
    <n v="1.6172953621784996"/>
    <m/>
    <m/>
    <n v="-795.07999999999993"/>
    <n v="2176.3100000000013"/>
    <n v="3.2399999999999984"/>
    <n v="-1.259999999999998"/>
    <s v="JOSE CEDEÑO"/>
    <s v="DO 16"/>
  </r>
  <r>
    <d v="2026-05-07T00:00:00"/>
    <n v="362"/>
    <x v="0"/>
    <s v="AGUAJE 9"/>
    <x v="4"/>
    <s v="02"/>
    <x v="13"/>
    <n v="4.2"/>
    <s v="CONVENCIONAL"/>
    <n v="73"/>
    <d v="2026-02-23T00:00:00"/>
    <s v="PA PS 9"/>
    <n v="0.6"/>
    <n v="16"/>
    <n v="673333"/>
    <n v="160317.38095238095"/>
    <n v="16.031738095238094"/>
    <s v="LARDEMA"/>
    <s v="PRONAUPLIO"/>
    <s v="UNICO"/>
    <n v="7700"/>
    <n v="8268.4500000000007"/>
    <n v="20"/>
    <n v="21.5"/>
    <n v="1968.6785714285716"/>
    <n v="175143.17061753361"/>
    <n v="16750"/>
    <n v="18882.32"/>
    <n v="29"/>
    <n v="30.43"/>
    <n v="4495.7904761904756"/>
    <n v="281714.53434111073"/>
    <n v="27150.77"/>
    <n v="456857.70495864435"/>
    <n v="6464.4690476190472"/>
    <n v="2.9179452054794521"/>
    <n v="88.55437051532941"/>
    <n v="67.85018779098074"/>
    <n v="36375.9"/>
    <n v="53.816046966731896"/>
    <n v="1.3397741574180033"/>
    <m/>
    <m/>
    <n v="568.45000000000073"/>
    <n v="2132.3199999999997"/>
    <n v="1.5"/>
    <n v="1.4299999999999997"/>
    <s v="GUSTAVO CARRASCO"/>
    <s v="BA 02"/>
  </r>
  <r>
    <d v="2026-05-07T00:00:00"/>
    <n v="363"/>
    <x v="0"/>
    <s v="AGUAJE 9"/>
    <x v="4"/>
    <s v="03"/>
    <x v="13"/>
    <n v="3"/>
    <s v="CONVENCIONAL"/>
    <n v="73"/>
    <d v="2026-02-23T00:00:00"/>
    <s v="PA PS 9"/>
    <n v="0.6"/>
    <n v="17"/>
    <n v="480000"/>
    <n v="160000"/>
    <n v="16"/>
    <s v="LARDEMA"/>
    <s v="PRONAUPLIO"/>
    <s v="UNICO"/>
    <n v="4300"/>
    <n v="4654.3099999999995"/>
    <n v="20.5"/>
    <n v="21.869999999999997"/>
    <n v="1551.4366666666665"/>
    <n v="97305.463256820396"/>
    <n v="11700"/>
    <n v="12254.21"/>
    <n v="26"/>
    <n v="29.36"/>
    <n v="4084.7366666666662"/>
    <n v="189489.48705722071"/>
    <n v="16908.519999999997"/>
    <n v="286794.95031404111"/>
    <n v="5636.1733333333323"/>
    <n v="2.8153424657534245"/>
    <n v="77.207853881278524"/>
    <n v="59.748947982091892"/>
    <n v="27006.350000000002"/>
    <n v="55.93607305936073"/>
    <n v="1.5972036582740541"/>
    <m/>
    <m/>
    <n v="354.30999999999949"/>
    <n v="554.20999999999913"/>
    <n v="1.3699999999999974"/>
    <n v="3.3599999999999994"/>
    <s v="GUSTAVO CARRASCO"/>
    <s v="BA 03"/>
  </r>
  <r>
    <d v="2026-05-07T00:00:00"/>
    <n v="364"/>
    <x v="0"/>
    <s v="AGUAJE 9"/>
    <x v="4"/>
    <s v="06"/>
    <x v="0"/>
    <n v="7.5"/>
    <s v="CONVENCIONAL"/>
    <n v="80"/>
    <d v="2026-02-16T00:00:00"/>
    <s v="PR PC 01"/>
    <n v="0.4"/>
    <n v="5"/>
    <n v="1500000"/>
    <n v="200000"/>
    <n v="20"/>
    <s v="GRILSAN"/>
    <s v="TEXCUMAR"/>
    <s v="UNICO"/>
    <n v="5000"/>
    <n v="5507.18"/>
    <n v="16"/>
    <n v="20.14"/>
    <n v="734.29066666666665"/>
    <n v="124143.9781529295"/>
    <n v="29900"/>
    <n v="32112.07"/>
    <n v="30"/>
    <n v="31.4"/>
    <n v="4281.6093333333329"/>
    <n v="464295.53439490445"/>
    <n v="37619.25"/>
    <n v="588439.51254783396"/>
    <n v="5015.8999999999996"/>
    <n v="2.7474999999999996"/>
    <n v="62.698749999999997"/>
    <n v="39.229300836522263"/>
    <n v="62886.215000000004"/>
    <n v="47.541666666666671"/>
    <n v="1.6716498866936476"/>
    <m/>
    <m/>
    <n v="507.18000000000029"/>
    <n v="2212.0699999999997"/>
    <n v="4.1400000000000006"/>
    <n v="1.3999999999999986"/>
    <s v="WILMER TORRES"/>
    <s v="PR 06"/>
  </r>
  <r>
    <d v="2026-05-08T00:00:00"/>
    <n v="365"/>
    <x v="0"/>
    <s v="AGUAJE 9"/>
    <x v="4"/>
    <s v="07"/>
    <x v="2"/>
    <n v="7.72"/>
    <s v="ASC-BAP"/>
    <n v="77"/>
    <d v="2026-02-20T00:00:00"/>
    <s v="RO PC01 - CA PC 08"/>
    <n v="0.6"/>
    <n v="11"/>
    <n v="1312400"/>
    <n v="170000"/>
    <n v="17"/>
    <s v="PRONAUPLIO"/>
    <s v="SEMACUA"/>
    <s v="UNICO"/>
    <n v="12900"/>
    <n v="13929.470000000001"/>
    <n v="20.5"/>
    <n v="21.78"/>
    <n v="1804.3354922279796"/>
    <n v="295101.48109660909"/>
    <n v="37000"/>
    <n v="41797.57"/>
    <n v="30"/>
    <n v="31.5"/>
    <n v="5414.193005181347"/>
    <n v="602415.77079365088"/>
    <n v="55727.040000000001"/>
    <n v="897517.25189026003"/>
    <n v="7218.5284974093265"/>
    <n v="2.8636363636363638"/>
    <n v="93.74712334297827"/>
    <n v="68.387477285146304"/>
    <n v="73633.64"/>
    <n v="56.187335980082096"/>
    <n v="1.3213269536655814"/>
    <m/>
    <m/>
    <n v="1029.4700000000012"/>
    <n v="4797.57"/>
    <n v="1.2800000000000011"/>
    <n v="1.5"/>
    <s v="VICTOR QUINTANA"/>
    <s v="CA 07"/>
  </r>
  <r>
    <d v="2026-05-08T00:00:00"/>
    <n v="366"/>
    <x v="0"/>
    <s v="AGUAJE 9"/>
    <x v="4"/>
    <s v="05"/>
    <x v="13"/>
    <n v="4"/>
    <s v="CONVENCIONAL"/>
    <n v="74"/>
    <d v="2026-02-23T00:00:00"/>
    <s v="PA PS 9"/>
    <n v="0.6"/>
    <n v="15"/>
    <n v="690909"/>
    <n v="172727.25"/>
    <n v="17.272725000000001"/>
    <s v="LARDEMA"/>
    <s v="PRONAUPLIO"/>
    <s v="UNICO"/>
    <n v="7400"/>
    <n v="8147.57"/>
    <n v="18"/>
    <n v="20.91"/>
    <n v="2036.8924999999999"/>
    <n v="176888.302781643"/>
    <n v="19100"/>
    <n v="19696.78"/>
    <n v="28"/>
    <n v="28.45"/>
    <n v="4924.1949999999997"/>
    <n v="314317.68435852369"/>
    <n v="27844.35"/>
    <n v="491205.98714016669"/>
    <n v="6961.0874999999996"/>
    <n v="2.6912162162162163"/>
    <n v="94.068749999999994"/>
    <n v="71.095612756552114"/>
    <n v="37367.97"/>
    <n v="57.263513513513516"/>
    <n v="1.3420306094414127"/>
    <m/>
    <m/>
    <n v="747.56999999999971"/>
    <n v="596.77999999999884"/>
    <n v="2.91"/>
    <n v="0.44999999999999929"/>
    <s v="GUSTAVO CARRASCO"/>
    <s v="BA 05"/>
  </r>
  <r>
    <d v="2026-05-11T00:00:00"/>
    <n v="367"/>
    <x v="0"/>
    <s v="AGUAJE 9"/>
    <x v="4"/>
    <s v="17"/>
    <x v="7"/>
    <n v="5.01"/>
    <s v="ASC-BAP"/>
    <n v="59"/>
    <d v="2026-03-13T00:00:00"/>
    <s v="DO PS 15"/>
    <n v="2.5"/>
    <n v="7"/>
    <n v="1002000"/>
    <n v="200000"/>
    <n v="20"/>
    <s v="GENESIS"/>
    <s v="TEXCUMAR"/>
    <s v="UNICO"/>
    <n v="10800"/>
    <n v="10268.379999999999"/>
    <n v="19.25"/>
    <n v="21.84"/>
    <n v="2049.576846307385"/>
    <n v="212756.74561403506"/>
    <n v="18250"/>
    <n v="20504.330000000002"/>
    <n v="30"/>
    <n v="29.46"/>
    <n v="4092.6806387225556"/>
    <n v="315986.61982348945"/>
    <n v="30772.71"/>
    <n v="528743.36543752451"/>
    <n v="6142.2574850299407"/>
    <n v="3.4952542372881354"/>
    <n v="104.10605906830408"/>
    <n v="52.76879894586073"/>
    <n v="44312.46"/>
    <n v="67.999594032274445"/>
    <n v="1.4399921228907042"/>
    <m/>
    <m/>
    <n v="-531.6200000000008"/>
    <n v="2254.3300000000017"/>
    <n v="2.59"/>
    <n v="-0.53999999999999915"/>
    <s v="JOSE CEDEÑO"/>
    <s v="DO 17"/>
  </r>
  <r>
    <d v="2026-05-11T00:00:00"/>
    <n v="368"/>
    <x v="0"/>
    <s v="AGUAJE 9"/>
    <x v="4"/>
    <s v="08"/>
    <x v="1"/>
    <n v="6.2"/>
    <s v="ASC-BAP"/>
    <n v="78"/>
    <d v="2026-02-22T00:00:00"/>
    <s v="TI PC 31-32"/>
    <n v="0.9"/>
    <n v="7"/>
    <n v="1116000"/>
    <n v="180000"/>
    <n v="18"/>
    <s v="TECSERV"/>
    <s v="SEMACUA"/>
    <s v="UNICO"/>
    <n v="27200"/>
    <n v="27204.079999999998"/>
    <n v="26.333333333333332"/>
    <n v="27.599999999999998"/>
    <n v="4387.7548387096767"/>
    <n v="454059.75657543191"/>
    <n v="13700"/>
    <n v="15554.3"/>
    <n v="35"/>
    <n v="36.11"/>
    <n v="2508.7580645161288"/>
    <n v="195559.46275270006"/>
    <n v="42758.38"/>
    <n v="649619.21932813199"/>
    <n v="6896.5129032258055"/>
    <n v="3.2406410256410259"/>
    <n v="88.416832092638529"/>
    <n v="58.209607466678492"/>
    <n v="64815.240000000005"/>
    <n v="60.794044665012407"/>
    <n v="1.5158488230845044"/>
    <m/>
    <m/>
    <n v="4.0799999999981083"/>
    <n v="1854.2999999999993"/>
    <n v="1.2666666666666657"/>
    <n v="1.1099999999999994"/>
    <s v="ALFONSO GRUNAUER"/>
    <s v="TI 08"/>
  </r>
  <r>
    <d v="2026-05-12T00:00:00"/>
    <n v="369"/>
    <x v="0"/>
    <s v="AGUAJE 9"/>
    <x v="4"/>
    <s v="04"/>
    <x v="13"/>
    <n v="10"/>
    <s v="CONVENCIONAL"/>
    <n v="78"/>
    <d v="2026-02-23T00:00:00"/>
    <s v="PA PS 09"/>
    <n v="0.6"/>
    <n v="18"/>
    <n v="1718666"/>
    <n v="171866.6"/>
    <n v="17.18666"/>
    <s v="TEXCUMAR"/>
    <s v="PRONAUPLIO"/>
    <s v="UNICO"/>
    <n v="16650"/>
    <n v="16779.739999999998"/>
    <n v="18"/>
    <n v="19.71"/>
    <n v="1677.9739999999997"/>
    <n v="382564.40277116175"/>
    <n v="39800"/>
    <n v="42860.84"/>
    <n v="28"/>
    <n v="26.76"/>
    <n v="4286.0839999999998"/>
    <n v="727160.73841554555"/>
    <n v="59640.579999999994"/>
    <n v="1109725.1411867072"/>
    <n v="5964.0579999999991"/>
    <n v="2.4015384615384616"/>
    <n v="76.462282051282045"/>
    <n v="64.56898205856794"/>
    <n v="88349.345000000001"/>
    <n v="51.378205128205131"/>
    <n v="1.4813629411383995"/>
    <m/>
    <m/>
    <n v="129.73999999999796"/>
    <n v="3060.8399999999965"/>
    <n v="1.7100000000000009"/>
    <n v="-1.2399999999999984"/>
    <s v="GUSTAVO CARRASCO"/>
    <s v="BA 04"/>
  </r>
  <r>
    <d v="2026-05-12T00:00:00"/>
    <n v="370"/>
    <x v="0"/>
    <s v="AGUAJE 9"/>
    <x v="4"/>
    <s v="09"/>
    <x v="2"/>
    <n v="11.4"/>
    <s v="ASC-BAP"/>
    <n v="82"/>
    <d v="2026-02-19T00:00:00"/>
    <s v="CA PC 20"/>
    <n v="0.5"/>
    <n v="11"/>
    <n v="2166000"/>
    <n v="190000"/>
    <n v="19"/>
    <s v="GRILSAN"/>
    <s v="TEXCUMAR"/>
    <s v="UNICO"/>
    <n v="18300"/>
    <n v="20176.77"/>
    <n v="21"/>
    <n v="23.96"/>
    <n v="1769.8921052631579"/>
    <n v="385991.66071901715"/>
    <n v="36300"/>
    <n v="40056.29"/>
    <n v="30"/>
    <n v="35.06"/>
    <n v="3513.7096491228071"/>
    <n v="518698.10781517398"/>
    <n v="60233.06"/>
    <n v="904689.76853419119"/>
    <n v="5283.6017543859643"/>
    <n v="2.9929268292682929"/>
    <n v="64.434167736414196"/>
    <n v="41.76776401358223"/>
    <n v="110560.69"/>
    <n v="53.64783910997005"/>
    <n v="1.8355482852772216"/>
    <m/>
    <m/>
    <n v="1876.7700000000004"/>
    <n v="3756.2900000000009"/>
    <n v="2.9600000000000009"/>
    <n v="5.0600000000000023"/>
    <s v="VICTOR QUINTANA"/>
    <s v="CA 09"/>
  </r>
  <r>
    <d v="2026-05-12T00:00:00"/>
    <n v="371"/>
    <x v="0"/>
    <s v="AGUAJE 9"/>
    <x v="4"/>
    <s v="01"/>
    <x v="3"/>
    <n v="7.54"/>
    <s v="ASC"/>
    <n v="84"/>
    <d v="2026-02-17T00:00:00"/>
    <s v="CH PC 1"/>
    <n v="0.43"/>
    <n v="8"/>
    <n v="1357200"/>
    <n v="180000"/>
    <n v="18"/>
    <s v="LARVASLAB"/>
    <s v="TEXCUMAR"/>
    <s v="UNICO"/>
    <n v="13500"/>
    <n v="14321.58"/>
    <n v="20.25"/>
    <n v="20.75"/>
    <n v="1899.4137931034484"/>
    <n v="331706.7069030733"/>
    <n v="28500"/>
    <n v="30582.639999999999"/>
    <n v="26"/>
    <n v="25.42"/>
    <n v="4056.053050397878"/>
    <n v="546204.50668764755"/>
    <n v="44904.22"/>
    <n v="877911.2135907209"/>
    <n v="5955.4668435013264"/>
    <n v="2.1183333333333336"/>
    <n v="70.898414803587215"/>
    <n v="64.685471086849461"/>
    <n v="82948.074999999997"/>
    <n v="59.405393457117597"/>
    <n v="1.8472222655242647"/>
    <m/>
    <m/>
    <n v="821.57999999999993"/>
    <n v="2082.6399999999994"/>
    <n v="0.5"/>
    <n v="-0.57999999999999829"/>
    <s v="SANTIAGO OBRIEN"/>
    <s v="CH 01"/>
  </r>
  <r>
    <d v="2026-05-12T00:00:00"/>
    <n v="372"/>
    <x v="0"/>
    <s v="AGUAJE 9"/>
    <x v="4"/>
    <s v="14"/>
    <x v="5"/>
    <n v="1.4"/>
    <s v="CONVENCIONAL"/>
    <n v="74"/>
    <d v="2026-02-27T00:00:00"/>
    <s v="ME PC 12"/>
    <n v="0.57499999999999996"/>
    <n v="13"/>
    <n v="406000"/>
    <n v="290000"/>
    <n v="29"/>
    <s v="genesis /DEONES"/>
    <s v="TEXCUMAR"/>
    <s v="COMBINADO"/>
    <n v="3300"/>
    <n v="3296.65"/>
    <n v="23.5"/>
    <n v="24.310000000000002"/>
    <n v="2354.75"/>
    <n v="62927.066743359421"/>
    <n v="6200"/>
    <n v="6008.3"/>
    <n v="28.5"/>
    <n v="30.34"/>
    <n v="4291.6428571428578"/>
    <n v="89906.664469347408"/>
    <n v="9304.9500000000007"/>
    <n v="152833.73121270683"/>
    <n v="6646.3928571428578"/>
    <n v="2.87"/>
    <n v="89.816119691119695"/>
    <n v="37.643776160765228"/>
    <n v="13888.980000000001"/>
    <n v="60.810810810810814"/>
    <n v="1.4926442377444264"/>
    <m/>
    <m/>
    <n v="-3.3499999999999091"/>
    <n v="-191.69999999999982"/>
    <n v="0.81000000000000227"/>
    <n v="1.8399999999999999"/>
    <s v="NESTOR MOGOLLON"/>
    <s v="ME 14"/>
  </r>
  <r>
    <d v="2026-05-12T00:00:00"/>
    <n v="373"/>
    <x v="0"/>
    <s v="AGUAJE 9"/>
    <x v="4"/>
    <s v="02"/>
    <x v="1"/>
    <n v="8.36"/>
    <s v="ASC-BAP"/>
    <n v="80"/>
    <d v="2026-02-21T00:00:00"/>
    <s v="TI 18"/>
    <n v="0.6"/>
    <n v="8"/>
    <n v="1504800"/>
    <n v="180000"/>
    <n v="18"/>
    <s v="TECSERV"/>
    <s v="SEMACUA"/>
    <s v="UNICO"/>
    <n v="31500"/>
    <n v="35950.39"/>
    <n v="20.833333333333332"/>
    <n v="21.5"/>
    <n v="4300.2858851674646"/>
    <n v="781871.75735813344"/>
    <n v="37500"/>
    <n v="41175.4"/>
    <n v="32"/>
    <n v="32.520000000000003"/>
    <n v="4925.287081339713"/>
    <n v="574834.92004920053"/>
    <n v="77125.790000000008"/>
    <n v="1356706.6774073341"/>
    <n v="9225.5729665071794"/>
    <n v="2.8455000000000004"/>
    <n v="115.31966208133974"/>
    <n v="90.158604293416673"/>
    <n v="102789.47500000001"/>
    <n v="69.714413875598083"/>
    <n v="1.3327510162294609"/>
    <m/>
    <m/>
    <n v="4450.3899999999994"/>
    <n v="3675.4000000000015"/>
    <n v="0.66666666666666785"/>
    <n v="0.52000000000000313"/>
    <s v="ALFONSO GRUNAUER"/>
    <s v="TI 02"/>
  </r>
  <r>
    <d v="2026-05-13T00:00:00"/>
    <n v="374"/>
    <x v="0"/>
    <s v="AGUAJE 10"/>
    <x v="4"/>
    <s v="11"/>
    <x v="7"/>
    <n v="13.43"/>
    <s v="ASC-BAP"/>
    <n v="84"/>
    <d v="2026-02-18T00:00:00"/>
    <s v="DO PC2"/>
    <n v="0.66"/>
    <n v="6"/>
    <n v="2425946"/>
    <n v="180636.33655994045"/>
    <n v="18.063633655994046"/>
    <s v="TECSERV"/>
    <s v="EMPAGRAN"/>
    <s v="UNICO"/>
    <n v="30700"/>
    <n v="30708"/>
    <n v="27"/>
    <n v="30.009999999999998"/>
    <n v="2286.5227103499628"/>
    <n v="464263.28984611941"/>
    <n v="31300"/>
    <n v="32494.25"/>
    <n v="30"/>
    <n v="34.76"/>
    <n v="2419.5271779597915"/>
    <n v="424407.06271576526"/>
    <n v="63202.25"/>
    <n v="888670.35256188468"/>
    <n v="4706.0498883097544"/>
    <n v="2.8966666666666665"/>
    <n v="56.024403432258978"/>
    <n v="36.631909884304299"/>
    <n v="141425.09"/>
    <n v="56.864517959082363"/>
    <n v="2.237659102326262"/>
    <m/>
    <m/>
    <n v="8"/>
    <n v="1194.25"/>
    <n v="3.009999999999998"/>
    <n v="4.759999999999998"/>
    <s v="JOSE CEDEÑO"/>
    <s v="DO 11"/>
  </r>
  <r>
    <d v="2026-05-13T00:00:00"/>
    <n v="375"/>
    <x v="0"/>
    <s v="AGUAJE 10"/>
    <x v="4"/>
    <s v="15"/>
    <x v="5"/>
    <n v="2.6"/>
    <s v="CONVENCIONAL"/>
    <n v="75"/>
    <d v="2026-02-27T00:00:00"/>
    <s v="ME PC 12"/>
    <n v="0.65"/>
    <n v="12"/>
    <n v="338000"/>
    <n v="130000"/>
    <n v="13"/>
    <s v="DEONES"/>
    <s v="TEXCUMAR"/>
    <s v="UNICO"/>
    <n v="5550"/>
    <n v="5426.1"/>
    <n v="24"/>
    <n v="27.92"/>
    <n v="2086.9615384615386"/>
    <n v="90737.937089155137"/>
    <n v="10000"/>
    <n v="10035.61"/>
    <n v="30.5"/>
    <n v="34.94"/>
    <n v="3859.85"/>
    <n v="130399.74069834003"/>
    <n v="15461.710000000001"/>
    <n v="221137.67778749517"/>
    <n v="5946.8115384615385"/>
    <n v="3.2610666666666668"/>
    <n v="79.290820512820517"/>
    <n v="65.425348457838808"/>
    <n v="22597.15"/>
    <n v="52.564102564102562"/>
    <n v="1.4614909993784646"/>
    <m/>
    <m/>
    <n v="-123.89999999999964"/>
    <n v="35.610000000000582"/>
    <n v="3.9200000000000017"/>
    <n v="4.4399999999999977"/>
    <s v="NESTOR MOGOLLON"/>
    <s v="ME 15"/>
  </r>
  <r>
    <d v="2026-05-13T00:00:00"/>
    <n v="376"/>
    <x v="0"/>
    <s v="AGUAJE 10"/>
    <x v="4"/>
    <s v="18"/>
    <x v="5"/>
    <n v="3.05"/>
    <s v="CONVENCIONAL"/>
    <n v="75"/>
    <d v="2026-02-27T00:00:00"/>
    <s v="ME PC 12"/>
    <n v="0.65"/>
    <n v="12"/>
    <n v="457500"/>
    <n v="150000"/>
    <n v="15"/>
    <s v="DEONES"/>
    <s v="TEXCUMAR"/>
    <s v="UNICO"/>
    <n v="7750"/>
    <n v="7958.5300000000007"/>
    <n v="25"/>
    <n v="29.96"/>
    <n v="2609.3540983606563"/>
    <n v="124722.32442360024"/>
    <n v="10200"/>
    <n v="9933.77"/>
    <n v="30.8"/>
    <n v="35.799999999999997"/>
    <n v="3256.9737704918034"/>
    <n v="125975.74245810058"/>
    <n v="17892.300000000003"/>
    <n v="250698.06688170083"/>
    <n v="5866.3278688524606"/>
    <n v="3.3413333333333335"/>
    <n v="78.217704918032808"/>
    <n v="54.797391668131326"/>
    <n v="29321.18"/>
    <n v="58.142076502732245"/>
    <n v="1.6387596899224803"/>
    <m/>
    <m/>
    <n v="208.53000000000065"/>
    <n v="-266.22999999999956"/>
    <n v="4.9600000000000009"/>
    <n v="4.9999999999999964"/>
    <s v="NESTOR MOGOLLON"/>
    <s v="ME 18"/>
  </r>
  <r>
    <d v="2026-05-13T00:00:00"/>
    <n v="377"/>
    <x v="0"/>
    <s v="AGUAJE 10"/>
    <x v="4"/>
    <s v="19"/>
    <x v="8"/>
    <n v="5.5"/>
    <s v="ASC-BAP"/>
    <n v="65"/>
    <d v="2026-03-09T00:00:00"/>
    <s v="PA 7"/>
    <n v="1.4"/>
    <n v="6"/>
    <n v="892000"/>
    <n v="162181.81818181818"/>
    <n v="16.218181818181819"/>
    <s v="DEONES"/>
    <s v="TEXCUMAR"/>
    <s v="UNICO"/>
    <n v="6500"/>
    <n v="7213.3200000000006"/>
    <n v="19.5"/>
    <n v="22.96"/>
    <n v="1311.5127272727275"/>
    <n v="152286.62338549431"/>
    <n v="11800"/>
    <n v="13189.75"/>
    <n v="29.5"/>
    <n v="33.72"/>
    <n v="2398.1363636363635"/>
    <n v="177584.41577698695"/>
    <n v="20403.07"/>
    <n v="329871.03916248126"/>
    <n v="3709.6490909090908"/>
    <n v="3.631384615384615"/>
    <n v="57.071524475524477"/>
    <n v="36.981058202071893"/>
    <n v="35108.255000000005"/>
    <n v="44.545454545454554"/>
    <n v="1.720733938569049"/>
    <m/>
    <m/>
    <n v="713.32000000000062"/>
    <n v="1389.75"/>
    <n v="3.4600000000000009"/>
    <n v="4.2199999999999989"/>
    <s v="GUSTAVO CARRASCO"/>
    <s v="PA 19"/>
  </r>
  <r>
    <d v="2026-05-13T00:00:00"/>
    <n v="378"/>
    <x v="0"/>
    <s v="AGUAJE 10"/>
    <x v="4"/>
    <s v="09"/>
    <x v="1"/>
    <n v="6.7"/>
    <s v="ASC-BAP"/>
    <n v="82"/>
    <d v="2026-02-20T00:00:00"/>
    <s v="TI PC 30"/>
    <n v="0.55000000000000004"/>
    <n v="6"/>
    <n v="1273000"/>
    <n v="190000"/>
    <n v="19"/>
    <s v="LARDEMA"/>
    <s v="PRONAUPLIO"/>
    <s v="UNICO"/>
    <n v="16400"/>
    <n v="17743.32"/>
    <n v="19.55"/>
    <n v="20.34"/>
    <n v="2648.2567164179104"/>
    <n v="393708.14707434684"/>
    <n v="36550"/>
    <n v="40755.9"/>
    <n v="33"/>
    <n v="33.54"/>
    <n v="6082.9701492537315"/>
    <n v="551674.97316636855"/>
    <n v="58499.22"/>
    <n v="945383.12024071533"/>
    <n v="8731.2268656716424"/>
    <n v="2.8631707317073172"/>
    <n v="106.47837641062978"/>
    <n v="74.264188549938353"/>
    <n v="82066.235000000001"/>
    <n v="67.755733527484537"/>
    <n v="1.4028603287360071"/>
    <m/>
    <m/>
    <n v="1343.3199999999997"/>
    <n v="4205.9000000000015"/>
    <n v="0.78999999999999915"/>
    <n v="0.53999999999999915"/>
    <s v="ALFONSO GRUNAUER"/>
    <s v="TI 09"/>
  </r>
  <r>
    <d v="2026-05-13T00:00:00"/>
    <n v="379"/>
    <x v="0"/>
    <s v="AGUAJE 10"/>
    <x v="4"/>
    <s v="10"/>
    <x v="6"/>
    <n v="2"/>
    <s v="CONVENCIONAL"/>
    <n v="88"/>
    <d v="2026-02-14T00:00:00"/>
    <s v="WA PC 05"/>
    <n v="0.77"/>
    <s v="NUEVO"/>
    <n v="420000"/>
    <n v="210000"/>
    <n v="21"/>
    <s v="BIOLACAM"/>
    <s v="TEXCUMAR"/>
    <s v="UNICO"/>
    <n v="3200"/>
    <n v="3498.4"/>
    <n v="21"/>
    <n v="22.7"/>
    <n v="1749.2"/>
    <n v="69968"/>
    <n v="10200"/>
    <n v="10958.17"/>
    <n v="31"/>
    <n v="31.18"/>
    <n v="5479.085"/>
    <n v="159557.70301475303"/>
    <n v="14456.57"/>
    <n v="229525.70301475303"/>
    <n v="7228.2849999999999"/>
    <n v="2.4802272727272729"/>
    <n v="82.139602272727274"/>
    <n v="54.648976908274527"/>
    <n v="23337.8956"/>
    <n v="60.147727272727273"/>
    <n v="1.6143452838398042"/>
    <m/>
    <m/>
    <n v="298.40000000000009"/>
    <n v="758.17000000000007"/>
    <n v="1.6999999999999993"/>
    <n v="0.17999999999999972"/>
    <s v="JUNIOR ESQUIVEL"/>
    <s v="WA 10"/>
  </r>
  <r>
    <d v="2026-05-14T00:00:00"/>
    <n v="380"/>
    <x v="0"/>
    <s v="AGUAJE 10"/>
    <x v="4"/>
    <s v="25"/>
    <x v="3"/>
    <n v="2.2000000000000002"/>
    <s v="ASC"/>
    <n v="73"/>
    <d v="2026-03-02T00:00:00"/>
    <s v="CH 7"/>
    <n v="0.62"/>
    <n v="7"/>
    <n v="396000"/>
    <n v="180000"/>
    <n v="18"/>
    <s v="ACUATECSA"/>
    <s v="TEXCUMAR"/>
    <s v="UNICO"/>
    <n v="6200"/>
    <n v="6630.16"/>
    <n v="20.25"/>
    <n v="21.299999999999997"/>
    <n v="3013.7090909090907"/>
    <n v="141209.81695544557"/>
    <n v="8500"/>
    <n v="9269.6299999999992"/>
    <n v="33"/>
    <n v="34.840000000000003"/>
    <n v="4213.4681818181807"/>
    <n v="120792.53788748563"/>
    <n v="15899.789999999999"/>
    <n v="262002.35484293121"/>
    <n v="7227.1772727272719"/>
    <n v="3.3408219178082192"/>
    <n v="99.002428393524269"/>
    <n v="66.16221081892202"/>
    <n v="22431.8"/>
    <n v="63.35615026161193"/>
    <n v="1.4108236649666444"/>
    <m/>
    <m/>
    <n v="430.15999999999985"/>
    <n v="769.6299999999992"/>
    <n v="1.0499999999999972"/>
    <n v="1.8400000000000034"/>
    <s v="SANTIAGO OBRIEN"/>
    <s v="CH 25"/>
  </r>
  <r>
    <d v="2026-05-14T00:00:00"/>
    <n v="381"/>
    <x v="0"/>
    <s v="AGUAJE 10"/>
    <x v="4"/>
    <s v="03"/>
    <x v="8"/>
    <n v="8.4"/>
    <s v="ASC-BAP"/>
    <n v="79"/>
    <d v="2026-02-24T00:00:00"/>
    <s v="MA PC 3"/>
    <n v="0.4"/>
    <n v="6"/>
    <n v="1386000"/>
    <n v="165000"/>
    <n v="16.5"/>
    <s v="DEONES"/>
    <s v="TEXCUMAR"/>
    <s v="UNICO"/>
    <n v="23300"/>
    <n v="24600.690000000002"/>
    <n v="20.666666666666668"/>
    <n v="22.62"/>
    <n v="2928.6535714285715"/>
    <n v="493779.37582343724"/>
    <n v="23150"/>
    <n v="23705.05"/>
    <n v="28"/>
    <n v="32.04"/>
    <n v="2822.0297619047615"/>
    <n v="335895.52746566792"/>
    <n v="48305.740000000005"/>
    <n v="829674.90328910516"/>
    <n v="5750.6833333333334"/>
    <n v="2.8389873417721518"/>
    <n v="72.79345991561182"/>
    <n v="59.861104133413065"/>
    <n v="72751.8"/>
    <n v="49.728752260397826"/>
    <n v="1.5060694650366602"/>
    <m/>
    <m/>
    <n v="1300.6900000000023"/>
    <n v="555.04999999999927"/>
    <n v="1.9533333333333331"/>
    <n v="4.0399999999999991"/>
    <s v="GUSTAVO CARRASCO"/>
    <s v="PA 03"/>
  </r>
  <r>
    <d v="2026-05-14T00:00:00"/>
    <n v="382"/>
    <x v="0"/>
    <s v="AGUAJE 10"/>
    <x v="4"/>
    <s v="26"/>
    <x v="11"/>
    <n v="4"/>
    <s v="ASC-BAP"/>
    <n v="78"/>
    <d v="2026-02-25T00:00:00"/>
    <s v="TA PC 5"/>
    <n v="0.5"/>
    <n v="11"/>
    <n v="640000"/>
    <n v="160000"/>
    <n v="16"/>
    <s v="EMPAGRAM"/>
    <s v="EMPAGRAM"/>
    <s v="UNICO"/>
    <n v="11400"/>
    <n v="11666.25"/>
    <n v="22.15"/>
    <n v="23.65"/>
    <n v="2916.5625"/>
    <n v="238095.2529210778"/>
    <n v="15450"/>
    <n v="16533.61"/>
    <n v="31"/>
    <n v="33.74"/>
    <n v="4133.4025000000001"/>
    <n v="222473.59039715471"/>
    <n v="28199.86"/>
    <n v="460568.84331823251"/>
    <n v="7049.9650000000001"/>
    <n v="3.0279487179487181"/>
    <n v="90.384166666666673"/>
    <n v="71.963881768473826"/>
    <n v="41556.71"/>
    <n v="60.416666666666664"/>
    <n v="1.4736495145720581"/>
    <m/>
    <m/>
    <n v="266.25"/>
    <n v="1083.6100000000006"/>
    <n v="1.5"/>
    <n v="2.740000000000002"/>
    <s v="ALFONSO GRUNAUER"/>
    <s v="TA 26"/>
  </r>
  <r>
    <d v="2026-05-14T00:00:00"/>
    <n v="383"/>
    <x v="0"/>
    <s v="AGUAJE 10"/>
    <x v="4"/>
    <s v="7A"/>
    <x v="11"/>
    <n v="12.5"/>
    <s v="ASC-BAP"/>
    <n v="78"/>
    <d v="2026-02-25T00:00:00"/>
    <s v="TA PC 5"/>
    <n v="0.5"/>
    <n v="9"/>
    <n v="2125000"/>
    <n v="170000"/>
    <n v="17"/>
    <s v="EMPAGRAN"/>
    <s v="EMPAGRAN"/>
    <s v="UNICO"/>
    <n v="31000"/>
    <n v="33173.94"/>
    <n v="19.5"/>
    <n v="21.594999999999999"/>
    <n v="2653.9152000000004"/>
    <n v="717450.9137675995"/>
    <n v="56900"/>
    <n v="64012.72"/>
    <n v="30"/>
    <n v="31.59"/>
    <n v="5121.0176000000001"/>
    <n v="919967.54922443803"/>
    <n v="97186.66"/>
    <n v="1637418.4629920376"/>
    <n v="7774.9328000000005"/>
    <n v="2.835"/>
    <n v="99.678625641025647"/>
    <n v="77.054986493742945"/>
    <n v="132738.97"/>
    <n v="61.753848014757018"/>
    <n v="1.3658147116075394"/>
    <m/>
    <m/>
    <n v="2173.9400000000023"/>
    <n v="7112.7200000000012"/>
    <n v="2.0949999999999989"/>
    <n v="1.5899999999999999"/>
    <s v="ALFONSO GRUNAUER"/>
    <s v="TA 7A"/>
  </r>
  <r>
    <d v="2026-05-14T00:00:00"/>
    <n v="384"/>
    <x v="0"/>
    <s v="AGUAJE 10"/>
    <x v="4"/>
    <s v="21"/>
    <x v="6"/>
    <n v="4.5"/>
    <s v="CONVENCIONAL"/>
    <n v="71"/>
    <d v="2026-03-04T00:00:00"/>
    <s v="WA 22"/>
    <n v="3.15"/>
    <n v="37"/>
    <n v="675000"/>
    <n v="150000"/>
    <n v="15"/>
    <s v="TECSERV"/>
    <s v="EMPAGRAM"/>
    <s v="UNICO"/>
    <n v="5600"/>
    <n v="6213.7"/>
    <n v="23"/>
    <n v="22.86"/>
    <n v="1380.8222222222221"/>
    <n v="123404.19072615923"/>
    <n v="11500"/>
    <n v="11382.49"/>
    <n v="31"/>
    <n v="31.56"/>
    <n v="2529.442222222222"/>
    <n v="163740.50887198988"/>
    <n v="17596.189999999999"/>
    <n v="287144.69959814911"/>
    <n v="3910.2644444444441"/>
    <n v="3.111549295774648"/>
    <n v="55.074147104851328"/>
    <n v="42.539955496022088"/>
    <n v="34428"/>
    <n v="48.877741333847837"/>
    <n v="1.9565599143905585"/>
    <m/>
    <m/>
    <n v="613.69999999999982"/>
    <n v="-117.51000000000022"/>
    <n v="-0.14000000000000057"/>
    <n v="0.55999999999999872"/>
    <s v="JUNIOR ESQUIVEL"/>
    <s v="WA 21"/>
  </r>
  <r>
    <d v="2026-05-14T00:00:00"/>
    <n v="385"/>
    <x v="0"/>
    <s v="AGUAJE 10"/>
    <x v="4"/>
    <s v="37"/>
    <x v="6"/>
    <n v="12"/>
    <s v="CONVENCIONAL"/>
    <n v="94"/>
    <d v="2026-02-09T00:00:00"/>
    <s v="WA PC 17"/>
    <n v="0.67"/>
    <n v="22"/>
    <n v="2172000"/>
    <n v="181000"/>
    <n v="18.100000000000001"/>
    <s v="EMPAGRAN"/>
    <s v="EMPAGRAN"/>
    <s v="UNICO"/>
    <n v="27850"/>
    <n v="29350.39"/>
    <n v="24.5"/>
    <n v="23.424999999999997"/>
    <n v="2445.8658333333333"/>
    <n v="569554.62422607187"/>
    <n v="24000"/>
    <n v="28820.17"/>
    <n v="30"/>
    <n v="29.12"/>
    <n v="2401.6808333333333"/>
    <n v="449325.45260989008"/>
    <n v="58170.559999999998"/>
    <n v="1018880.076835962"/>
    <n v="4847.5466666666662"/>
    <n v="2.1685106382978723"/>
    <n v="51.569645390070917"/>
    <n v="46.909764126885911"/>
    <n v="110459.28"/>
    <n v="44.418440359712086"/>
    <n v="1.8988863095008885"/>
    <m/>
    <m/>
    <n v="1500.3899999999994"/>
    <n v="4820.1699999999983"/>
    <n v="-1.0750000000000028"/>
    <n v="-0.87999999999999901"/>
    <s v="JUNIOR ESQUIVEL"/>
    <s v="WA 37"/>
  </r>
  <r>
    <d v="2026-05-15T00:00:00"/>
    <n v="386"/>
    <x v="0"/>
    <s v="AGUAJE 10"/>
    <x v="4"/>
    <s v="09"/>
    <x v="8"/>
    <n v="4.07"/>
    <s v="ASC-BAP"/>
    <n v="71"/>
    <d v="2026-03-05T00:00:00"/>
    <s v="PA 21"/>
    <n v="4.7"/>
    <s v="NUEVO"/>
    <n v="488468"/>
    <n v="120016.7076167076"/>
    <n v="12.001670761670761"/>
    <s v="TECSERV"/>
    <s v="SEMACUA"/>
    <s v="UNICO"/>
    <n v="5300"/>
    <n v="5577.53"/>
    <n v="31"/>
    <n v="32.28"/>
    <n v="1370.4004914004913"/>
    <n v="78444.814745972733"/>
    <n v="14500"/>
    <n v="15345.5"/>
    <n v="37"/>
    <n v="38.49"/>
    <n v="3770.3931203931202"/>
    <n v="181004.3387892959"/>
    <n v="20923.03"/>
    <n v="259449.15353526862"/>
    <n v="5140.7936117936115"/>
    <n v="3.7947887323943665"/>
    <n v="72.405543828079033"/>
    <n v="53.114872117573441"/>
    <n v="29706.98"/>
    <n v="46.631130331919842"/>
    <n v="1.4198220812186382"/>
    <m/>
    <m/>
    <n v="277.52999999999975"/>
    <n v="845.5"/>
    <n v="1.2800000000000011"/>
    <n v="1.490000000000002"/>
    <s v="GUSTAVO CARRASCO"/>
    <s v="PA 09"/>
  </r>
  <r>
    <d v="2026-05-15T00:00:00"/>
    <n v="387"/>
    <x v="0"/>
    <s v="AGUAJE 10"/>
    <x v="4"/>
    <s v="16"/>
    <x v="11"/>
    <n v="11"/>
    <s v="ASC-BAP"/>
    <n v="75"/>
    <d v="2026-03-01T00:00:00"/>
    <s v="TA PC 14"/>
    <n v="0.65"/>
    <n v="6"/>
    <n v="1760000"/>
    <n v="160000"/>
    <n v="16"/>
    <s v="ACUATECSA"/>
    <s v="TEXCUMAR"/>
    <s v="UNICO"/>
    <n v="22750"/>
    <n v="24101.17"/>
    <n v="19.5"/>
    <n v="20.43"/>
    <n v="2191.0154545454543"/>
    <n v="534357.19898560783"/>
    <n v="43000"/>
    <n v="46549.73"/>
    <n v="33"/>
    <n v="35.020000000000003"/>
    <n v="4231.7936363636363"/>
    <n v="603471.65676756133"/>
    <n v="70650.899999999994"/>
    <n v="1137828.8557531692"/>
    <n v="6422.8090909090906"/>
    <n v="3.268533333333334"/>
    <n v="85.637454545454545"/>
    <n v="64.649366804157339"/>
    <n v="104795.66"/>
    <n v="57.618181268367252"/>
    <n v="1.4832883940615054"/>
    <m/>
    <m/>
    <n v="1351.1699999999983"/>
    <n v="3549.7300000000032"/>
    <n v="0.92999999999999972"/>
    <n v="2.0200000000000031"/>
    <s v="ALFONSO GRUNAUER"/>
    <s v="TA 16"/>
  </r>
  <r>
    <d v="2026-05-16T00:00:00"/>
    <n v="388"/>
    <x v="0"/>
    <s v="AGUAJE 10"/>
    <x v="4"/>
    <s v="01"/>
    <x v="13"/>
    <n v="5"/>
    <s v="CONVENCIONAL"/>
    <n v="79"/>
    <d v="2026-02-26T00:00:00"/>
    <s v="PA 07"/>
    <n v="0.5"/>
    <n v="12"/>
    <n v="775000"/>
    <n v="155000"/>
    <n v="15.5"/>
    <s v="DEONES"/>
    <s v="TEXCUMAR"/>
    <s v="UNICO"/>
    <n v="9450"/>
    <n v="9833.7000000000007"/>
    <n v="19.5"/>
    <n v="20.97"/>
    <n v="1966.7400000000002"/>
    <n v="211605.70074074075"/>
    <n v="19500"/>
    <n v="21770.35"/>
    <n v="35"/>
    <n v="35.08"/>
    <n v="4354.07"/>
    <n v="281748.54332953249"/>
    <n v="31604.05"/>
    <n v="493354.24407027324"/>
    <n v="6320.8099999999995"/>
    <n v="3.1083544303797463"/>
    <n v="80.010253164556957"/>
    <n v="63.65861213809977"/>
    <n v="43926.65"/>
    <n v="50.443032232949058"/>
    <n v="1.3899057241081445"/>
    <m/>
    <m/>
    <n v="383.70000000000073"/>
    <n v="2270.3499999999985"/>
    <n v="1.4699999999999989"/>
    <n v="7.9999999999998295E-2"/>
    <s v="GUSTAVO CARRASCO"/>
    <s v="BA 01"/>
  </r>
  <r>
    <d v="2026-05-16T00:00:00"/>
    <n v="389"/>
    <x v="0"/>
    <s v="AGUAJE 10"/>
    <x v="4"/>
    <s v="13"/>
    <x v="3"/>
    <n v="6.3"/>
    <s v="ASC"/>
    <n v="86"/>
    <d v="2026-02-19T00:00:00"/>
    <s v="CH PC 6"/>
    <n v="0.35"/>
    <n v="7"/>
    <n v="1134000"/>
    <n v="180000"/>
    <n v="18"/>
    <s v="TECSERV"/>
    <s v="SEMACUA"/>
    <s v="UNICO"/>
    <n v="15300"/>
    <n v="16252.68"/>
    <n v="24.166666666666668"/>
    <n v="26.973333333333333"/>
    <n v="2579.7904761904765"/>
    <n v="312606.23582636309"/>
    <n v="30000"/>
    <n v="32025.4"/>
    <n v="32"/>
    <n v="33.049999999999997"/>
    <n v="5083.396825396826"/>
    <n v="439925.31316187605"/>
    <n v="48278.080000000002"/>
    <n v="752531.54898823914"/>
    <n v="7663.1873015873025"/>
    <n v="2.690116279069767"/>
    <n v="89.106829088224444"/>
    <n v="66.36080678908634"/>
    <n v="74129.679999999993"/>
    <n v="62.061650549990993"/>
    <n v="1.5354728274198144"/>
    <m/>
    <m/>
    <n v="952.68000000000029"/>
    <n v="2025.4000000000015"/>
    <n v="2.8066666666666649"/>
    <n v="1.0499999999999972"/>
    <s v="SANTIAGO OBRIEN"/>
    <s v="CH 13"/>
  </r>
  <r>
    <d v="2026-05-16T00:00:00"/>
    <n v="390"/>
    <x v="0"/>
    <s v="AGUAJE 10"/>
    <x v="4"/>
    <s v="10"/>
    <x v="9"/>
    <n v="3.57"/>
    <s v="ASC-BAP"/>
    <n v="71"/>
    <d v="2026-03-06T00:00:00"/>
    <s v="CA 1B"/>
    <n v="0.51"/>
    <n v="7"/>
    <n v="600000"/>
    <n v="168067.22689075631"/>
    <n v="16.806722689075631"/>
    <s v="EMPAGRAN"/>
    <s v="EMPAGRAN"/>
    <s v="UNICO"/>
    <n v="4600"/>
    <n v="5268.55"/>
    <n v="18"/>
    <n v="19.299999999999997"/>
    <n v="1475.7843137254904"/>
    <n v="126941.88270761195"/>
    <n v="15450"/>
    <n v="15698.79"/>
    <n v="32"/>
    <n v="34.32"/>
    <n v="4397.4201680672277"/>
    <n v="207670.47377622378"/>
    <n v="20967.34"/>
    <n v="334612.35648383573"/>
    <n v="5873.2044817927172"/>
    <n v="3.3836619718309859"/>
    <n v="82.721189884404467"/>
    <n v="55.768726080639283"/>
    <n v="33091.050000000003"/>
    <n v="59.218060576747149"/>
    <n v="1.5782187917017612"/>
    <m/>
    <m/>
    <n v="668.55000000000018"/>
    <n v="248.79000000000087"/>
    <n v="1.2999999999999972"/>
    <n v="2.3200000000000003"/>
    <s v="VICTOR QUINTANA"/>
    <s v="RO 10"/>
  </r>
  <r>
    <d v="2026-05-16T00:00:00"/>
    <n v="391"/>
    <x v="0"/>
    <s v="AGUAJE 10"/>
    <x v="4"/>
    <s v="28"/>
    <x v="6"/>
    <n v="7"/>
    <s v="CONVENCIONAL"/>
    <n v="80"/>
    <d v="2026-02-25T00:00:00"/>
    <s v="WA PS 23 - WA PC 11"/>
    <n v="0.72"/>
    <s v="NUEVO"/>
    <n v="1120000"/>
    <n v="160000"/>
    <n v="16"/>
    <s v="MEGALATINA/LARVASLAB"/>
    <s v="TEXCUMAR"/>
    <s v="COMBINADO"/>
    <n v="9600"/>
    <n v="10673.49"/>
    <n v="20"/>
    <n v="20.9"/>
    <n v="1524.7842857142857"/>
    <n v="231854.75885167465"/>
    <n v="20650"/>
    <n v="22366.46"/>
    <n v="28"/>
    <n v="29.58"/>
    <n v="3195.2085714285713"/>
    <n v="343285.08586883033"/>
    <n v="33039.949999999997"/>
    <n v="575139.84472050495"/>
    <n v="4719.9928571428563"/>
    <n v="2.5882499999999999"/>
    <n v="58.999910714285704"/>
    <n v="51.351771850045083"/>
    <n v="53299"/>
    <n v="43.171906792291438"/>
    <n v="1.6131683007994868"/>
    <m/>
    <m/>
    <n v="1073.4899999999998"/>
    <n v="1716.4599999999991"/>
    <n v="0.89999999999999858"/>
    <n v="1.5799999999999983"/>
    <s v="JUNIOR ESQUIVEL"/>
    <s v="WA 28"/>
  </r>
  <r>
    <d v="2026-05-17T00:00:00"/>
    <n v="392"/>
    <x v="0"/>
    <s v="AGUAJE 10"/>
    <x v="4"/>
    <s v="11"/>
    <x v="14"/>
    <n v="3.4"/>
    <s v="ASC-BAP"/>
    <n v="84"/>
    <d v="2026-02-22T00:00:00"/>
    <s v="MA 12"/>
    <n v="0.8"/>
    <n v="9"/>
    <n v="544000"/>
    <n v="160000"/>
    <n v="16"/>
    <s v="PRONAUPLIO"/>
    <s v="SEMACUA"/>
    <s v="UNICO"/>
    <n v="7650"/>
    <n v="7741.76"/>
    <n v="19"/>
    <n v="19.93"/>
    <n v="2276.9882352941177"/>
    <n v="177013.62546142685"/>
    <n v="20200"/>
    <n v="20200"/>
    <n v="28"/>
    <n v="28"/>
    <n v="5941.1764705882351"/>
    <n v="327528.57142857142"/>
    <n v="27941.760000000002"/>
    <n v="504542.19688999827"/>
    <n v="8218.1647058823546"/>
    <n v="2.3333333333333335"/>
    <n v="97.835294117647081"/>
    <n v="92.746727369484987"/>
    <n v="34937"/>
    <n v="55.487812470538422"/>
    <n v="1.2503507295173961"/>
    <m/>
    <m/>
    <n v="91.760000000000218"/>
    <n v="0"/>
    <n v="0.92999999999999972"/>
    <n v="0"/>
    <s v="GUSTAVO CARRASCO"/>
    <s v="MA 11"/>
  </r>
  <r>
    <d v="2026-05-17T00:00:00"/>
    <n v="393"/>
    <x v="0"/>
    <s v="AGUAJE 10"/>
    <x v="4"/>
    <s v="12"/>
    <x v="3"/>
    <n v="6.08"/>
    <s v="ASC"/>
    <n v="75"/>
    <d v="2026-03-03T00:00:00"/>
    <s v="CH PC 5"/>
    <n v="0.84"/>
    <n v="8"/>
    <n v="1033600"/>
    <n v="170000"/>
    <n v="17"/>
    <s v="TECSERV"/>
    <s v="SEMACUA"/>
    <s v="UNICO"/>
    <n v="6100"/>
    <n v="6149.75"/>
    <n v="19"/>
    <n v="19.38"/>
    <n v="1011.4720394736842"/>
    <n v="144065.35087719298"/>
    <n v="28700"/>
    <n v="28700"/>
    <n v="30"/>
    <n v="30"/>
    <n v="4720.394736842105"/>
    <n v="434326.66666666669"/>
    <n v="34849.75"/>
    <n v="578392.01754385966"/>
    <n v="5731.8667763157891"/>
    <n v="2.8000000000000003"/>
    <n v="76.424890350877192"/>
    <n v="55.958980025528213"/>
    <n v="55666.15"/>
    <n v="55.372807017543856"/>
    <n v="1.5973184886548684"/>
    <m/>
    <m/>
    <n v="49.75"/>
    <n v="0"/>
    <n v="0.37999999999999901"/>
    <n v="0"/>
    <s v="SANTIAGO OBRIEN"/>
    <s v="CH 12"/>
  </r>
  <r>
    <d v="2026-05-19T00:00:00"/>
    <n v="394"/>
    <x v="0"/>
    <s v="AGUAJE 10"/>
    <x v="4"/>
    <s v="16"/>
    <x v="2"/>
    <n v="8"/>
    <s v="ASC-BAP"/>
    <n v="77"/>
    <d v="2026-03-03T00:00:00"/>
    <s v="CA PC 15"/>
    <n v="0.25"/>
    <n v="11"/>
    <n v="1360000"/>
    <n v="170000"/>
    <n v="17"/>
    <s v="GENESIS"/>
    <s v="TEXCUMAR"/>
    <s v="UNICO"/>
    <n v="11500"/>
    <n v="11995.05"/>
    <n v="23"/>
    <n v="23.786666666666665"/>
    <n v="1499.3812499999999"/>
    <n v="275885.30751573568"/>
    <n v="26600"/>
    <n v="26600"/>
    <n v="32"/>
    <n v="32"/>
    <n v="3325"/>
    <n v="377387.5"/>
    <n v="38595.050000000003"/>
    <n v="653272.80751573574"/>
    <n v="4824.3812500000004"/>
    <n v="2.9090909090909092"/>
    <n v="62.654301948051952"/>
    <n v="48.034765258509978"/>
    <n v="63905.84"/>
    <n v="47.057628029232845"/>
    <n v="1.6558040474102247"/>
    <m/>
    <m/>
    <n v="495.04999999999927"/>
    <n v="0"/>
    <n v="0.78666666666666529"/>
    <n v="0"/>
    <s v="VICTOR QUINTANA"/>
    <s v="CA 16"/>
  </r>
  <r>
    <d v="2026-05-19T00:00:00"/>
    <n v="395"/>
    <x v="0"/>
    <s v="AGUAJE 10"/>
    <x v="4"/>
    <s v="02"/>
    <x v="7"/>
    <n v="4.72"/>
    <s v="ASC-BAP"/>
    <n v="93"/>
    <d v="2026-02-15T00:00:00"/>
    <s v="DO PS 2"/>
    <n v="3.32"/>
    <s v="NUEVO"/>
    <n v="850000"/>
    <n v="180084.74576271189"/>
    <n v="18.008474576271187"/>
    <s v="TECSERV"/>
    <s v="SEMACUA"/>
    <s v="UNICO"/>
    <n v="17000"/>
    <n v="20159.91"/>
    <n v="20.5"/>
    <n v="21.734999999999999"/>
    <n v="4271.1673728813557"/>
    <n v="445782.63968531473"/>
    <n v="17900"/>
    <n v="17900"/>
    <n v="38"/>
    <n v="38"/>
    <n v="3792.3728813559323"/>
    <n v="213857.89473684211"/>
    <n v="38059.910000000003"/>
    <n v="659640.53442215687"/>
    <n v="8063.5402542372894"/>
    <n v="2.8602150537634405"/>
    <n v="86.704733916529989"/>
    <n v="77.604768755547866"/>
    <n v="59083.28"/>
    <n v="61.053398942956072"/>
    <n v="1.5523757150240238"/>
    <m/>
    <m/>
    <n v="3159.91"/>
    <n v="0"/>
    <n v="1.2349999999999994"/>
    <n v="0"/>
    <s v="JOSE CEDEÑO"/>
    <s v="DO 02"/>
  </r>
  <r>
    <d v="2026-05-19T00:00:00"/>
    <n v="396"/>
    <x v="0"/>
    <s v="AGUAJE 10"/>
    <x v="4"/>
    <s v="21"/>
    <x v="7"/>
    <n v="7.78"/>
    <s v="ASC-BAP"/>
    <n v="91"/>
    <d v="2026-02-17T00:00:00"/>
    <s v="DO PC 05"/>
    <n v="0.71"/>
    <n v="6"/>
    <n v="1408450"/>
    <n v="181034.70437017994"/>
    <n v="18.103470437017993"/>
    <s v="AMBARTEK"/>
    <s v="PRONAUPLIO"/>
    <s v="UNICO"/>
    <n v="25900"/>
    <n v="27231.32"/>
    <n v="27"/>
    <n v="27.893333333333334"/>
    <n v="3500.1696658097685"/>
    <n v="527178.61414412316"/>
    <n v="35800"/>
    <n v="36661"/>
    <n v="35"/>
    <n v="35"/>
    <n v="4712.2107969151666"/>
    <n v="475545.54285714286"/>
    <n v="63892.32"/>
    <n v="1002724.157001266"/>
    <n v="8212.3804627249356"/>
    <n v="2.6923076923076925"/>
    <n v="90.245939150823475"/>
    <n v="71.193450743815262"/>
    <n v="104057.12"/>
    <n v="66.668549959038387"/>
    <n v="1.6286326744748039"/>
    <m/>
    <m/>
    <n v="1331.3199999999997"/>
    <n v="861"/>
    <n v="0.89333333333333442"/>
    <n v="0"/>
    <s v="JOSE CEDEÑO"/>
    <s v="DO 21"/>
  </r>
  <r>
    <d v="2026-05-19T00:00:00"/>
    <n v="397"/>
    <x v="0"/>
    <s v="AGUAJE 10"/>
    <x v="4"/>
    <s v="05"/>
    <x v="5"/>
    <n v="3.47"/>
    <s v="CONVENCIONAL"/>
    <n v="56"/>
    <d v="2026-03-24T00:00:00"/>
    <s v="ME PC 06"/>
    <n v="5"/>
    <n v="4"/>
    <n v="416400"/>
    <n v="120000"/>
    <n v="12"/>
    <s v="PRONAUPLIO"/>
    <s v="SEMACUA"/>
    <s v="UNICO"/>
    <n v="3000"/>
    <n v="2818.9"/>
    <n v="21"/>
    <n v="23.76"/>
    <n v="812.36311239193083"/>
    <n v="53862.819865319863"/>
    <n v="14650"/>
    <n v="14650"/>
    <n v="31"/>
    <n v="31"/>
    <n v="4221.9020172910659"/>
    <n v="214551.61290322582"/>
    <n v="17468.900000000001"/>
    <n v="268414.4327685457"/>
    <n v="5034.2651296829972"/>
    <n v="3.875"/>
    <n v="89.897591601482091"/>
    <n v="64.460718724434614"/>
    <n v="23368.76"/>
    <n v="54.549197200494014"/>
    <n v="1.3377350605933973"/>
    <m/>
    <m/>
    <n v="-181.09999999999991"/>
    <n v="0"/>
    <n v="2.7600000000000016"/>
    <n v="0"/>
    <s v="NESTOR MOGOLLON"/>
    <s v="ME 05"/>
  </r>
  <r>
    <d v="2026-05-19T00:00:00"/>
    <n v="398"/>
    <x v="0"/>
    <s v="AGUAJE 10"/>
    <x v="4"/>
    <s v="06"/>
    <x v="12"/>
    <n v="5"/>
    <s v="ASC-BAP"/>
    <n v="86"/>
    <d v="2026-02-22T00:00:00"/>
    <s v="TU PC 7"/>
    <n v="0.4"/>
    <n v="11"/>
    <n v="900000"/>
    <n v="180000"/>
    <n v="18"/>
    <s v="EMPAGRAN"/>
    <s v="EMPAGRAN"/>
    <s v="UNICO"/>
    <n v="19850"/>
    <n v="20169.05"/>
    <n v="18.833333333333332"/>
    <n v="21.406666666666666"/>
    <n v="4033.81"/>
    <n v="434094.18976261187"/>
    <n v="20500"/>
    <n v="20500"/>
    <n v="29.5"/>
    <n v="29.5"/>
    <n v="4100"/>
    <n v="315491.5254237288"/>
    <n v="40669.050000000003"/>
    <n v="749585.71518634073"/>
    <n v="8133.81"/>
    <n v="2.4011627906976742"/>
    <n v="94.579186046511637"/>
    <n v="83.287301687371198"/>
    <n v="56768.45"/>
    <n v="59.883720930232549"/>
    <n v="1.3958636850381307"/>
    <m/>
    <m/>
    <n v="319.04999999999927"/>
    <n v="0"/>
    <n v="2.5733333333333341"/>
    <n v="0"/>
    <s v="GUSTAVO CARRASCO"/>
    <s v="TU 06"/>
  </r>
  <r>
    <d v="2026-05-19T00:00:00"/>
    <n v="399"/>
    <x v="0"/>
    <s v="AGUAJE 10"/>
    <x v="4"/>
    <s v="31"/>
    <x v="6"/>
    <n v="5"/>
    <s v="CONVENCIONAL"/>
    <n v="94"/>
    <d v="2026-02-14T00:00:00"/>
    <s v="WA 12"/>
    <n v="0.5"/>
    <s v="NUEVO"/>
    <n v="875000"/>
    <n v="175000"/>
    <n v="17.5"/>
    <s v="TECSERV"/>
    <s v="EMPAGRAN"/>
    <s v="UNICO"/>
    <n v="7000"/>
    <n v="7772.25"/>
    <n v="21"/>
    <n v="21.7"/>
    <n v="1554.45"/>
    <n v="162608.36405529955"/>
    <n v="16900"/>
    <n v="16900"/>
    <n v="31"/>
    <n v="31"/>
    <n v="3380"/>
    <n v="247503.22580645161"/>
    <n v="24672.25"/>
    <n v="410111.58986175118"/>
    <n v="4934.45"/>
    <n v="2.3085106382978724"/>
    <n v="52.494148936170212"/>
    <n v="46.869895984200134"/>
    <n v="47352.6"/>
    <n v="45.699996718659811"/>
    <n v="1.9192655716442562"/>
    <m/>
    <m/>
    <n v="772.25"/>
    <n v="0"/>
    <n v="0.69999999999999929"/>
    <n v="0"/>
    <s v="JUNIOR ESQUIVEL"/>
    <s v="WA 31"/>
  </r>
  <r>
    <d v="2026-05-19T00:00:00"/>
    <n v="400"/>
    <x v="0"/>
    <s v="AGUAJE 10"/>
    <x v="4"/>
    <s v="13"/>
    <x v="6"/>
    <n v="9"/>
    <s v="CONVENCIONAL"/>
    <n v="87"/>
    <d v="2026-02-21T00:00:00"/>
    <s v="WA PS9"/>
    <n v="0.6"/>
    <n v="11"/>
    <n v="1647000"/>
    <n v="183000"/>
    <n v="18.3"/>
    <s v="LARVASLAB"/>
    <s v="TEXCUMAR"/>
    <s v="UNICO"/>
    <n v="0"/>
    <n v="0"/>
    <n v="30"/>
    <n v="30"/>
    <n v="0"/>
    <n v="0"/>
    <n v="27000"/>
    <n v="27000"/>
    <n v="30"/>
    <n v="30"/>
    <n v="3000"/>
    <n v="408600"/>
    <n v="27000"/>
    <n v="408600"/>
    <n v="3000"/>
    <n v="2.4137931034482758"/>
    <n v="34.482758620689658"/>
    <n v="24.808743169398905"/>
    <n v="60895.46"/>
    <n v="35.277138513005838"/>
    <n v="2.2553874074074072"/>
    <m/>
    <m/>
    <n v="0"/>
    <n v="0"/>
    <n v="0"/>
    <n v="0"/>
    <s v="JUNIOR ESQUIVEL"/>
    <s v="WA 13"/>
  </r>
  <r>
    <d v="2026-05-20T00:00:00"/>
    <n v="401"/>
    <x v="0"/>
    <s v="AGUAJE 10"/>
    <x v="4"/>
    <s v="22"/>
    <x v="3"/>
    <n v="5.36"/>
    <s v="ASC"/>
    <n v="79"/>
    <d v="2026-03-02T00:00:00"/>
    <s v="CH PC 7"/>
    <n v="0.62"/>
    <s v="NUEVO"/>
    <n v="1018400"/>
    <n v="190000"/>
    <n v="19"/>
    <s v="ACUATECSA"/>
    <s v="TEXCUMAR"/>
    <s v="UNICO"/>
    <n v="0"/>
    <n v="0"/>
    <n v="0"/>
    <n v="0"/>
    <n v="0"/>
    <n v="0"/>
    <n v="19250"/>
    <n v="19250"/>
    <n v="28.5"/>
    <n v="28.5"/>
    <n v="3591.4179104477612"/>
    <n v="306649.12280701753"/>
    <n v="19250"/>
    <n v="306649.12280701753"/>
    <n v="3591.4179104477612"/>
    <n v="2.5253164556962022"/>
    <n v="45.460986208199508"/>
    <n v="30.110872231639586"/>
    <n v="45521"/>
    <n v="48.762965586323041"/>
    <n v="2.3647272727272726"/>
    <m/>
    <m/>
    <n v="0"/>
    <n v="0"/>
    <n v="0"/>
    <n v="0"/>
    <s v="SANTIAGO OBRIEN"/>
    <s v="CH 22"/>
  </r>
  <r>
    <d v="2026-05-20T00:00:00"/>
    <n v="402"/>
    <x v="0"/>
    <s v="AGUAJE 10"/>
    <x v="4"/>
    <s v="03"/>
    <x v="7"/>
    <n v="4.24"/>
    <s v="ASC-BAP"/>
    <n v="70"/>
    <d v="2026-03-11T00:00:00"/>
    <s v="DO PS 2"/>
    <n v="5.85"/>
    <n v="5"/>
    <n v="823539"/>
    <n v="194230.89622641509"/>
    <n v="19.423089622641509"/>
    <s v="TECSERV"/>
    <s v="SEMACUA"/>
    <s v="UNICO"/>
    <n v="12800"/>
    <n v="13390.15"/>
    <n v="19"/>
    <n v="21.25"/>
    <n v="3158.0542452830186"/>
    <n v="290549.41308875091"/>
    <n v="17850"/>
    <n v="17850"/>
    <n v="38"/>
    <n v="38"/>
    <n v="4209.9056603773579"/>
    <n v="213260.52631578947"/>
    <n v="31240.15"/>
    <n v="503809.93940454035"/>
    <n v="7367.9599056603774"/>
    <n v="3.8"/>
    <n v="105.25657008086253"/>
    <n v="61.176208947547153"/>
    <n v="44200"/>
    <n v="67.55050026494466"/>
    <n v="1.4148459594464176"/>
    <m/>
    <m/>
    <n v="590.14999999999964"/>
    <n v="0"/>
    <n v="2.25"/>
    <n v="0"/>
    <s v="JOSE CEDEÑO"/>
    <s v="DO 03"/>
  </r>
  <r>
    <d v="2026-05-20T00:00:00"/>
    <n v="403"/>
    <x v="0"/>
    <s v="AGUAJE 10"/>
    <x v="4"/>
    <s v="17"/>
    <x v="10"/>
    <n v="5.9"/>
    <s v="CONVENCIONAL"/>
    <n v="79"/>
    <d v="2026-03-02T00:00:00"/>
    <s v="GT 7"/>
    <n v="0.51"/>
    <n v="16"/>
    <n v="973500"/>
    <n v="165000"/>
    <n v="16.5"/>
    <s v="TECSERV"/>
    <s v="SEMACUA"/>
    <s v="UNICO"/>
    <n v="6400"/>
    <n v="6577.11"/>
    <n v="25"/>
    <n v="24.9"/>
    <n v="1114.7644067796609"/>
    <n v="119919.99759036145"/>
    <n v="22200"/>
    <n v="22200"/>
    <n v="30"/>
    <n v="30"/>
    <n v="3762.7118644067796"/>
    <n v="335960"/>
    <n v="28777.11"/>
    <n v="455879.99759036145"/>
    <n v="4877.4762711864405"/>
    <n v="2.6582278481012658"/>
    <n v="61.740205964385325"/>
    <n v="46.828967395003744"/>
    <n v="50496"/>
    <n v="49.141461798498476"/>
    <n v="1.7547279765063273"/>
    <m/>
    <m/>
    <n v="177.10999999999967"/>
    <n v="0"/>
    <n v="-0.10000000000000142"/>
    <n v="0"/>
    <s v="JULIO SANTOS"/>
    <s v="GT 17"/>
  </r>
  <r>
    <d v="2026-05-20T00:00:00"/>
    <n v="404"/>
    <x v="0"/>
    <s v="AGUAJE 10"/>
    <x v="4"/>
    <s v="09"/>
    <x v="14"/>
    <n v="4.6500000000000004"/>
    <s v="ASC-BAP"/>
    <n v="83"/>
    <d v="2026-02-26T00:00:00"/>
    <s v="PA 16 / MA PC 07"/>
    <n v="0.4"/>
    <n v="6"/>
    <n v="744300"/>
    <n v="160064.51612903224"/>
    <n v="16.006451612903223"/>
    <s v="TECSERV/GENESIS"/>
    <s v="TEXCUMAR/SEMACUA"/>
    <s v="COMBINADO"/>
    <n v="13150"/>
    <n v="13598.25"/>
    <n v="17.333333333333332"/>
    <n v="17.873333333333335"/>
    <n v="2924.3548387096771"/>
    <n v="334870.20980013721"/>
    <n v="14400"/>
    <n v="14400"/>
    <n v="27"/>
    <n v="27"/>
    <n v="3096.7741935483868"/>
    <n v="242133.33333333334"/>
    <n v="27998.25"/>
    <n v="577003.54313347058"/>
    <n v="6021.1290322580644"/>
    <n v="2.2771084337349397"/>
    <n v="72.543723280217648"/>
    <n v="77.522980402186022"/>
    <n v="44372"/>
    <n v="52.149260699139738"/>
    <n v="1.5848133365478199"/>
    <m/>
    <m/>
    <n v="448.25"/>
    <n v="0"/>
    <n v="0.5400000000000027"/>
    <n v="0"/>
    <s v="GUSTAVO CARRASCO"/>
    <s v="MA 09"/>
  </r>
  <r>
    <d v="2026-05-20T00:00:00"/>
    <n v="405"/>
    <x v="0"/>
    <s v="AGUAJE 10"/>
    <x v="4"/>
    <s v="07"/>
    <x v="5"/>
    <n v="4.5999999999999996"/>
    <s v="CONVENCIONAL"/>
    <n v="57"/>
    <d v="2026-03-24T00:00:00"/>
    <s v="ME PS 06"/>
    <n v="5"/>
    <n v="7"/>
    <n v="552000"/>
    <n v="120000.00000000001"/>
    <n v="12.000000000000002"/>
    <s v="PRONAUPLIO"/>
    <s v="SEMACUA"/>
    <s v="UNICO"/>
    <n v="4200"/>
    <n v="4009.29"/>
    <n v="22"/>
    <n v="23.2"/>
    <n v="871.58478260869572"/>
    <n v="78457.657758620684"/>
    <n v="16000"/>
    <n v="16000"/>
    <n v="31"/>
    <n v="31"/>
    <n v="3478.2608695652175"/>
    <n v="234322.5806451613"/>
    <n v="20009.29"/>
    <n v="312780.23840378202"/>
    <n v="4349.8456521739135"/>
    <n v="3.8070175438596494"/>
    <n v="76.313081617086198"/>
    <n v="56.663086667351813"/>
    <n v="25903"/>
    <n v="44.811303291854983"/>
    <n v="1.2945486821371472"/>
    <m/>
    <m/>
    <n v="-190.71000000000004"/>
    <n v="0"/>
    <n v="1.1999999999999993"/>
    <n v="0"/>
    <s v="NESTOR MOGOLLON"/>
    <s v="ME 07"/>
  </r>
  <r>
    <d v="2026-05-20T00:00:00"/>
    <n v="406"/>
    <x v="0"/>
    <s v="AGUAJE 10"/>
    <x v="4"/>
    <s v="04"/>
    <x v="6"/>
    <n v="8"/>
    <s v="CONVENCIONAL"/>
    <n v="94"/>
    <d v="2026-02-15T00:00:00"/>
    <s v="WA PC 04"/>
    <n v="0.68"/>
    <n v="26"/>
    <n v="1464000"/>
    <n v="183000"/>
    <n v="18.3"/>
    <s v="TECSERV"/>
    <s v="EMPAGRAN"/>
    <s v="UNICO"/>
    <n v="11300"/>
    <n v="12388.64"/>
    <n v="22"/>
    <n v="22.83"/>
    <n v="1548.58"/>
    <n v="246361.91677617171"/>
    <n v="24900"/>
    <n v="24900"/>
    <n v="35"/>
    <n v="35"/>
    <n v="3112.5"/>
    <n v="322988.57142857142"/>
    <n v="37288.639999999999"/>
    <n v="569350.48820474313"/>
    <n v="4661.08"/>
    <n v="2.6063829787234041"/>
    <n v="49.585957446808507"/>
    <n v="38.890060669722892"/>
    <n v="71921"/>
    <n v="43.381850521443553"/>
    <n v="1.9287643636238812"/>
    <m/>
    <m/>
    <n v="1088.6399999999994"/>
    <n v="0"/>
    <n v="0.82999999999999829"/>
    <n v="0"/>
    <s v="JUNIOR ESQUIVEL"/>
    <s v="WA 04"/>
  </r>
  <r>
    <d v="2026-05-21T00:00:00"/>
    <n v="407"/>
    <x v="0"/>
    <s v="AGUAJE 10"/>
    <x v="4"/>
    <s v="14"/>
    <x v="10"/>
    <n v="5.26"/>
    <s v="CONVENCIONAL"/>
    <n v="79"/>
    <d v="2026-03-03T00:00:00"/>
    <s v="GT 6"/>
    <n v="0.74"/>
    <n v="16"/>
    <n v="841600"/>
    <n v="160000"/>
    <n v="16"/>
    <s v="ACUATECSA"/>
    <s v="TEXCUMAR"/>
    <s v="UNICO"/>
    <n v="6300"/>
    <n v="5718.51"/>
    <n v="24"/>
    <n v="24.94"/>
    <n v="1087.1692015209126"/>
    <n v="104097.97674418605"/>
    <n v="19900"/>
    <n v="19900"/>
    <n v="30"/>
    <n v="30"/>
    <n v="3783.2699619771865"/>
    <n v="301153.33333333331"/>
    <n v="25618.510000000002"/>
    <n v="405251.31007751939"/>
    <n v="4870.4391634980993"/>
    <n v="2.6582278481012658"/>
    <n v="61.651128651874679"/>
    <n v="48.152484562442893"/>
    <n v="44753.380000000005"/>
    <n v="48.852096067767242"/>
    <n v="1.7469158042368584"/>
    <m/>
    <m/>
    <n v="-581.48999999999978"/>
    <n v="0"/>
    <n v="0.94000000000000128"/>
    <n v="0"/>
    <s v="JULIO SANTOS"/>
    <s v="GT 14"/>
  </r>
  <r>
    <d v="2026-05-21T00:00:00"/>
    <n v="408"/>
    <x v="0"/>
    <s v="AGUAJE 10"/>
    <x v="4"/>
    <s v="10"/>
    <x v="7"/>
    <n v="4.0199999999999996"/>
    <s v="ASC-BAP"/>
    <n v="81"/>
    <d v="2026-03-01T00:00:00"/>
    <s v="DO PC1"/>
    <n v="0.72"/>
    <n v="6"/>
    <n v="743700"/>
    <n v="185000.00000000003"/>
    <n v="18.500000000000004"/>
    <s v="DEONES"/>
    <s v="TEXCUMAR"/>
    <s v="UNICO"/>
    <n v="12700"/>
    <n v="14171.18"/>
    <n v="22.75"/>
    <n v="24.92"/>
    <n v="3525.1691542288563"/>
    <n v="266416.57790569332"/>
    <n v="0"/>
    <n v="0"/>
    <n v="36"/>
    <n v="36"/>
    <n v="0"/>
    <n v="0"/>
    <n v="14171.18"/>
    <n v="266416.57790569332"/>
    <n v="3525.1691542288563"/>
    <n v="3.1111111111111112"/>
    <n v="43.52060684233156"/>
    <n v="35.82312463435435"/>
    <n v="46897"/>
    <n v="65.328725672415317"/>
    <n v="3.3093221594814262"/>
    <m/>
    <m/>
    <n v="1471.1800000000003"/>
    <n v="0"/>
    <n v="2.1700000000000017"/>
    <n v="0"/>
    <s v="JOSE CEDEÑO"/>
    <s v="DO 10"/>
  </r>
  <r>
    <d v="2026-05-21T00:00:00"/>
    <n v="409"/>
    <x v="0"/>
    <s v="AGUAJE 10"/>
    <x v="4"/>
    <s v="33"/>
    <x v="6"/>
    <n v="11.5"/>
    <s v="CONVENCIONAL"/>
    <n v="96"/>
    <d v="2026-02-14T00:00:00"/>
    <s v="WA PC12 - PS27"/>
    <n v="0.47"/>
    <s v="NUEVO"/>
    <n v="2241000"/>
    <n v="194869.5652173913"/>
    <n v="19.486956521739131"/>
    <s v="TECSERV/GRILSAN"/>
    <s v="EMPAGRAN/TEXCUMAR"/>
    <s v="COMBINADO"/>
    <n v="16000"/>
    <n v="17952.91"/>
    <n v="22"/>
    <n v="22.64"/>
    <n v="1561.1226086956522"/>
    <n v="360009.76766784448"/>
    <n v="30100"/>
    <n v="30100"/>
    <n v="30"/>
    <n v="30"/>
    <n v="2617.391304347826"/>
    <n v="455513.33333333331"/>
    <n v="48052.91"/>
    <n v="815523.1010011778"/>
    <n v="4178.5139130434782"/>
    <n v="2.1875"/>
    <n v="43.526186594202898"/>
    <n v="36.391035296795081"/>
    <n v="95827"/>
    <n v="39.372139544851542"/>
    <n v="1.9941976458865862"/>
    <m/>
    <m/>
    <n v="1952.9099999999999"/>
    <n v="0"/>
    <n v="0.64000000000000057"/>
    <n v="0"/>
    <s v="JUNIOR ESQUIVEL"/>
    <s v="WA 33"/>
  </r>
  <r>
    <d v="2026-05-22T00:00:00"/>
    <n v="410"/>
    <x v="0"/>
    <s v="AGUAJE 10"/>
    <x v="4"/>
    <s v="06"/>
    <x v="10"/>
    <n v="9.8000000000000007"/>
    <s v="CONVENCIONAL"/>
    <n v="78"/>
    <d v="2026-03-05T00:00:00"/>
    <s v="GT PC 05"/>
    <n v="0.88"/>
    <n v="17"/>
    <n v="1568000"/>
    <n v="160000"/>
    <n v="16"/>
    <s v="TECSERV"/>
    <s v="SEMACUA"/>
    <s v="UNICO"/>
    <n v="20700"/>
    <n v="21894.07"/>
    <n v="25.5"/>
    <n v="26.9"/>
    <n v="2234.088775510204"/>
    <n v="370750.30155038764"/>
    <n v="32700"/>
    <n v="32700"/>
    <n v="31"/>
    <n v="31"/>
    <n v="3336.7346938775509"/>
    <n v="478896.77419354836"/>
    <n v="54594.07"/>
    <n v="849647.075743936"/>
    <n v="5570.8234693877548"/>
    <n v="2.7820512820512824"/>
    <n v="71.420813710099424"/>
    <n v="54.18667574897551"/>
    <n v="86861.24"/>
    <n v="51.543694400837254"/>
    <n v="1.5910380010136633"/>
    <m/>
    <m/>
    <n v="1194.0699999999997"/>
    <n v="0"/>
    <n v="1.3999999999999986"/>
    <n v="0"/>
    <s v="JULIO SANTOS"/>
    <s v="GT 06"/>
  </r>
  <r>
    <d v="2026-05-22T00:00:00"/>
    <n v="411"/>
    <x v="0"/>
    <s v="AGUAJE 10"/>
    <x v="4"/>
    <s v="34"/>
    <x v="6"/>
    <n v="5.2"/>
    <s v="CONVENCIONAL"/>
    <n v="95"/>
    <d v="2026-02-16T00:00:00"/>
    <s v="WA 13"/>
    <n v="0.55000000000000004"/>
    <s v="NUEVO"/>
    <n v="910000"/>
    <n v="175000"/>
    <n v="17.5"/>
    <s v="AMBARTEK"/>
    <s v="PRONAUPLIO"/>
    <s v="UNICO"/>
    <n v="7200"/>
    <n v="7438.1"/>
    <n v="21"/>
    <n v="20.100000000000001"/>
    <n v="1430.4038461538462"/>
    <n v="168004.84577114429"/>
    <n v="0"/>
    <n v="0"/>
    <n v="32"/>
    <n v="32"/>
    <n v="0"/>
    <n v="0"/>
    <n v="7438.1"/>
    <n v="168004.84577114429"/>
    <n v="1430.4038461538462"/>
    <n v="2.3578947368421055"/>
    <n v="15.056882591093117"/>
    <n v="18.462070963862011"/>
    <n v="58618.109400000001"/>
    <n v="53.823886639676111"/>
    <n v="7.8807907126820016"/>
    <m/>
    <m/>
    <n v="238.10000000000036"/>
    <n v="0"/>
    <n v="-0.89999999999999858"/>
    <n v="0"/>
    <s v="JUNIOR ESQUIVEL"/>
    <s v="WA 34"/>
  </r>
  <r>
    <d v="2026-05-22T00:00:00"/>
    <n v="412"/>
    <x v="0"/>
    <s v="AGUAJE 10"/>
    <x v="4"/>
    <s v="08"/>
    <x v="11"/>
    <n v="8"/>
    <s v="ASC-BAP"/>
    <n v="55"/>
    <d v="2026-03-28T00:00:00"/>
    <s v="TA PC 09"/>
    <n v="7.5"/>
    <n v="4"/>
    <n v="1040000"/>
    <n v="130000"/>
    <n v="13"/>
    <s v="TECSERV"/>
    <s v="SEMACUA"/>
    <s v="UNICO"/>
    <n v="21000"/>
    <n v="21598.2"/>
    <n v="29"/>
    <n v="29.15"/>
    <n v="2699.7750000000001"/>
    <n v="338769.73390557943"/>
    <n v="18100"/>
    <n v="18100"/>
    <n v="35"/>
    <n v="35"/>
    <n v="2262.5"/>
    <n v="234782.85714285713"/>
    <n v="39698.199999999997"/>
    <n v="573552.59104843659"/>
    <n v="4962.2749999999996"/>
    <n v="4.454545454545455"/>
    <n v="90.223181818181814"/>
    <n v="55.149287600811213"/>
    <n v="67846.565000000002"/>
    <n v="69.943181818181813"/>
    <n v="1.7090589749661196"/>
    <m/>
    <m/>
    <n v="598.20000000000073"/>
    <n v="0"/>
    <n v="0.14999999999999858"/>
    <n v="0"/>
    <s v="ALFONSO GRUNAUER"/>
    <s v="TA 08"/>
  </r>
  <r>
    <d v="2026-05-23T00:00:00"/>
    <n v="413"/>
    <x v="0"/>
    <s v="AGUAJE 10"/>
    <x v="4"/>
    <s v="16"/>
    <x v="10"/>
    <n v="2.4"/>
    <s v="CONVENCIONAL"/>
    <n v="82"/>
    <d v="2026-03-02T00:00:00"/>
    <s v="GT 7"/>
    <n v="0.51"/>
    <n v="16"/>
    <n v="396000"/>
    <n v="165000"/>
    <n v="16.5"/>
    <s v="TECSERV"/>
    <s v="SEMACUA"/>
    <s v="UNICO"/>
    <n v="4950"/>
    <n v="5718.7"/>
    <n v="24"/>
    <n v="24.189999999999998"/>
    <n v="2382.7916666666665"/>
    <n v="110827.48259016735"/>
    <n v="7400"/>
    <n v="7400"/>
    <n v="29"/>
    <n v="29"/>
    <n v="3083.3333333333335"/>
    <n v="115848.27586206897"/>
    <n v="13118.7"/>
    <n v="226675.7584522363"/>
    <n v="5466.1250000000009"/>
    <n v="2.475609756097561"/>
    <n v="66.660060975609767"/>
    <n v="57.241353144504117"/>
    <n v="24146.98"/>
    <n v="55.655479046398916"/>
    <n v="1.8406534184027379"/>
    <m/>
    <m/>
    <n v="768.69999999999982"/>
    <n v="0"/>
    <n v="0.18999999999999773"/>
    <n v="0"/>
    <s v="JULIO SANTOS"/>
    <s v="GT 16"/>
  </r>
  <r>
    <d v="2026-05-24T00:00:00"/>
    <n v="414"/>
    <x v="0"/>
    <s v="AGUAJE 10"/>
    <x v="4"/>
    <s v="19"/>
    <x v="10"/>
    <n v="3.35"/>
    <s v="CONVENCIONAL"/>
    <n v="78"/>
    <d v="2026-03-07T00:00:00"/>
    <s v="GT PC 08"/>
    <n v="0.8"/>
    <n v="18"/>
    <n v="402000"/>
    <n v="120000"/>
    <n v="12"/>
    <s v="TECSERV"/>
    <s v="SEMACUA"/>
    <s v="UNICO"/>
    <n v="4300"/>
    <n v="5100.84"/>
    <n v="26"/>
    <n v="27.48"/>
    <n v="1522.6388059701492"/>
    <n v="84271.519650655013"/>
    <n v="12500"/>
    <n v="12500"/>
    <n v="30"/>
    <n v="30"/>
    <n v="3731.3432835820895"/>
    <n v="189166.66666666666"/>
    <n v="17600.84"/>
    <n v="273438.18631732167"/>
    <n v="5253.9820895522389"/>
    <n v="2.6923076923076925"/>
    <n v="67.358744737849221"/>
    <n v="68.019449332667079"/>
    <n v="27147"/>
    <n v="47.12513747218658"/>
    <n v="1.5423695687251291"/>
    <m/>
    <m/>
    <n v="800.84000000000015"/>
    <n v="0"/>
    <n v="1.4800000000000004"/>
    <n v="0"/>
    <s v="JULIO SANTOS"/>
    <s v="GT 19"/>
  </r>
  <r>
    <d v="2026-05-24T00:00:00"/>
    <n v="415"/>
    <x v="0"/>
    <s v="AGUAJE 10"/>
    <x v="4"/>
    <s v="01"/>
    <x v="0"/>
    <n v="4.8"/>
    <s v="CONVENCIONAL"/>
    <n v="77"/>
    <d v="2026-03-08T00:00:00"/>
    <s v="PC 03"/>
    <n v="0.5"/>
    <n v="13"/>
    <n v="816000"/>
    <n v="170000"/>
    <n v="17"/>
    <s v="EMPAGRAN"/>
    <s v="EMPAGRAN"/>
    <s v="UNICO"/>
    <n v="5200"/>
    <n v="6333.3"/>
    <n v="15"/>
    <n v="16.440000000000001"/>
    <n v="1319.4375"/>
    <n v="174897.70072992702"/>
    <n v="15300"/>
    <n v="15300"/>
    <n v="28"/>
    <n v="28"/>
    <n v="3187.5"/>
    <n v="248078.57142857142"/>
    <n v="21633.3"/>
    <n v="422976.27215849841"/>
    <n v="4506.9375"/>
    <n v="2.5454545454545454"/>
    <n v="58.531655844155843"/>
    <n v="51.835327470404216"/>
    <n v="37583"/>
    <n v="46.124288333759438"/>
    <n v="1.7372754041223484"/>
    <m/>
    <m/>
    <n v="1133.3000000000002"/>
    <n v="0"/>
    <n v="1.4400000000000013"/>
    <n v="0"/>
    <s v="WILMER TORRES"/>
    <s v="PR 01"/>
  </r>
  <r>
    <d v="2026-05-24T00:00:00"/>
    <n v="416"/>
    <x v="0"/>
    <s v="AGUAJE 10"/>
    <x v="4"/>
    <s v="32"/>
    <x v="6"/>
    <n v="10"/>
    <s v="CONVENCIONAL"/>
    <n v="88"/>
    <d v="2026-02-25T00:00:00"/>
    <s v="WA PS 23 - PC 18"/>
    <n v="1.22"/>
    <n v="10"/>
    <n v="1700000"/>
    <n v="170000"/>
    <n v="17"/>
    <s v="MEGALATINA /LARVASLAB"/>
    <s v="TEXCUMAR"/>
    <s v="COMBINADO"/>
    <n v="10400"/>
    <n v="10819.34"/>
    <n v="22"/>
    <n v="24.54"/>
    <n v="1081.934"/>
    <n v="200162.19885900573"/>
    <n v="28450"/>
    <n v="28450"/>
    <n v="33"/>
    <n v="33"/>
    <n v="2845"/>
    <n v="391403.03030303027"/>
    <n v="39269.339999999997"/>
    <n v="591565.22916203598"/>
    <n v="3926.9339999999997"/>
    <n v="2.625"/>
    <n v="44.624249999999996"/>
    <n v="34.797954656590349"/>
    <n v="77845"/>
    <n v="40.125295868968188"/>
    <n v="1.9823353282739156"/>
    <m/>
    <m/>
    <n v="419.34000000000015"/>
    <n v="0"/>
    <n v="2.5399999999999991"/>
    <n v="0"/>
    <s v="JUNIOR ESQUIVEL"/>
    <s v="WA 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81C62-9A31-480F-904F-4DA36EDC27DA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3:E28" firstHeaderRow="0" firstDataRow="1" firstDataCol="1" rowPageCount="1" colPageCount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7">
        <item h="1" m="1" x="5"/>
        <item x="2"/>
        <item h="1" x="0"/>
        <item m="1" x="4"/>
        <item h="1" x="1"/>
        <item h="1" x="3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dataField="1" compact="0" numFmtId="2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axis="axisRow" compact="0" outline="0" showAll="0">
      <items count="368">
        <item x="127"/>
        <item x="105"/>
        <item x="103"/>
        <item x="100"/>
        <item x="107"/>
        <item x="142"/>
        <item x="98"/>
        <item x="101"/>
        <item x="182"/>
        <item x="111"/>
        <item x="110"/>
        <item x="28"/>
        <item x="223"/>
        <item x="224"/>
        <item x="202"/>
        <item x="146"/>
        <item x="3"/>
        <item x="8"/>
        <item x="226"/>
        <item m="1" x="306"/>
        <item m="1" x="287"/>
        <item m="1" x="274"/>
        <item x="112"/>
        <item x="177"/>
        <item x="192"/>
        <item x="88"/>
        <item x="77"/>
        <item x="198"/>
        <item x="190"/>
        <item x="89"/>
        <item x="116"/>
        <item x="229"/>
        <item x="114"/>
        <item x="153"/>
        <item x="120"/>
        <item x="232"/>
        <item x="93"/>
        <item x="71"/>
        <item x="203"/>
        <item x="208"/>
        <item x="94"/>
        <item x="168"/>
        <item x="216"/>
        <item x="143"/>
        <item x="68"/>
        <item x="181"/>
        <item x="72"/>
        <item x="188"/>
        <item x="158"/>
        <item x="156"/>
        <item x="18"/>
        <item x="178"/>
        <item x="172"/>
        <item x="10"/>
        <item x="91"/>
        <item x="90"/>
        <item x="82"/>
        <item x="209"/>
        <item x="78"/>
        <item m="1" x="292"/>
        <item x="23"/>
        <item x="174"/>
        <item x="255"/>
        <item x="163"/>
        <item x="106"/>
        <item x="79"/>
        <item x="19"/>
        <item x="20"/>
        <item x="42"/>
        <item x="38"/>
        <item x="154"/>
        <item x="121"/>
        <item x="63"/>
        <item x="122"/>
        <item x="152"/>
        <item m="1" x="347"/>
        <item x="157"/>
        <item x="170"/>
        <item x="204"/>
        <item x="80"/>
        <item x="29"/>
        <item x="117"/>
        <item x="230"/>
        <item x="53"/>
        <item x="214"/>
        <item x="239"/>
        <item x="215"/>
        <item x="104"/>
        <item x="25"/>
        <item x="193"/>
        <item x="46"/>
        <item m="1" x="280"/>
        <item m="1" x="279"/>
        <item x="175"/>
        <item m="1" x="318"/>
        <item m="1" x="301"/>
        <item m="1" x="283"/>
        <item x="147"/>
        <item x="171"/>
        <item x="123"/>
        <item m="1" x="319"/>
        <item m="1" x="303"/>
        <item m="1" x="285"/>
        <item m="1" x="270"/>
        <item m="1" x="365"/>
        <item m="1" x="349"/>
        <item m="1" x="331"/>
        <item m="1" x="313"/>
        <item m="1" x="343"/>
        <item m="1" x="327"/>
        <item m="1" x="291"/>
        <item m="1" x="277"/>
        <item m="1" x="262"/>
        <item m="1" x="355"/>
        <item m="1" x="337"/>
        <item m="1" x="317"/>
        <item m="1" x="300"/>
        <item m="1" x="335"/>
        <item m="1" x="315"/>
        <item m="1" x="299"/>
        <item m="1" x="282"/>
        <item m="1" x="266"/>
        <item x="166"/>
        <item x="145"/>
        <item m="1" x="351"/>
        <item x="95"/>
        <item x="211"/>
        <item m="1" x="296"/>
        <item x="64"/>
        <item x="69"/>
        <item x="61"/>
        <item x="58"/>
        <item x="240"/>
        <item x="194"/>
        <item x="21"/>
        <item x="233"/>
        <item x="213"/>
        <item x="148"/>
        <item x="162"/>
        <item x="155"/>
        <item x="48"/>
        <item x="7"/>
        <item x="11"/>
        <item x="118"/>
        <item x="176"/>
        <item x="73"/>
        <item x="195"/>
        <item x="130"/>
        <item x="164"/>
        <item x="206"/>
        <item x="1"/>
        <item x="15"/>
        <item x="4"/>
        <item x="31"/>
        <item x="189"/>
        <item x="205"/>
        <item x="180"/>
        <item x="34"/>
        <item x="35"/>
        <item x="49"/>
        <item x="115"/>
        <item x="167"/>
        <item x="191"/>
        <item x="45"/>
        <item x="97"/>
        <item x="159"/>
        <item x="22"/>
        <item x="27"/>
        <item x="24"/>
        <item x="96"/>
        <item x="201"/>
        <item x="60"/>
        <item x="75"/>
        <item x="56"/>
        <item x="36"/>
        <item x="76"/>
        <item x="99"/>
        <item x="200"/>
        <item x="65"/>
        <item x="70"/>
        <item x="151"/>
        <item m="1" x="366"/>
        <item x="212"/>
        <item m="1" x="332"/>
        <item m="1" x="361"/>
        <item m="1" x="344"/>
        <item m="1" x="328"/>
        <item m="1" x="311"/>
        <item x="66"/>
        <item m="1" x="278"/>
        <item x="131"/>
        <item x="62"/>
        <item x="140"/>
        <item x="67"/>
        <item x="126"/>
        <item x="83"/>
        <item x="196"/>
        <item x="222"/>
        <item x="12"/>
        <item x="16"/>
        <item x="138"/>
        <item x="133"/>
        <item x="161"/>
        <item x="50"/>
        <item x="228"/>
        <item x="74"/>
        <item x="54"/>
        <item x="207"/>
        <item x="210"/>
        <item x="5"/>
        <item m="1" x="260"/>
        <item x="2"/>
        <item x="220"/>
        <item x="92"/>
        <item x="87"/>
        <item x="84"/>
        <item m="1" x="362"/>
        <item m="1" x="345"/>
        <item x="119"/>
        <item m="1" x="269"/>
        <item m="1" x="334"/>
        <item m="1" x="261"/>
        <item m="1" x="275"/>
        <item m="1" x="297"/>
        <item m="1" x="322"/>
        <item m="1" x="294"/>
        <item x="55"/>
        <item m="1" x="364"/>
        <item m="1" x="326"/>
        <item m="1" x="273"/>
        <item m="1" x="259"/>
        <item m="1" x="324"/>
        <item m="1" x="307"/>
        <item m="1" x="348"/>
        <item m="1" x="357"/>
        <item m="1" x="338"/>
        <item m="1" x="325"/>
        <item m="1" x="363"/>
        <item m="1" x="312"/>
        <item m="1" x="284"/>
        <item m="1" x="320"/>
        <item m="1" x="340"/>
        <item m="1" x="356"/>
        <item m="1" x="350"/>
        <item m="1" x="341"/>
        <item m="1" x="289"/>
        <item m="1" x="286"/>
        <item m="1" x="263"/>
        <item m="1" x="354"/>
        <item m="1" x="305"/>
        <item m="1" x="308"/>
        <item m="1" x="329"/>
        <item m="1" x="268"/>
        <item m="1" x="295"/>
        <item m="1" x="309"/>
        <item m="1" x="314"/>
        <item m="1" x="304"/>
        <item m="1" x="267"/>
        <item x="129"/>
        <item x="14"/>
        <item m="1" x="352"/>
        <item m="1" x="336"/>
        <item m="1" x="272"/>
        <item x="13"/>
        <item m="1" x="339"/>
        <item m="1" x="321"/>
        <item m="1" x="310"/>
        <item m="1" x="281"/>
        <item m="1" x="265"/>
        <item m="1" x="302"/>
        <item m="1" x="359"/>
        <item m="1" x="358"/>
        <item m="1" x="330"/>
        <item m="1" x="290"/>
        <item m="1" x="342"/>
        <item x="179"/>
        <item m="1" x="360"/>
        <item m="1" x="353"/>
        <item m="1" x="298"/>
        <item x="186"/>
        <item x="183"/>
        <item m="1" x="276"/>
        <item m="1" x="333"/>
        <item m="1" x="346"/>
        <item m="1" x="316"/>
        <item x="199"/>
        <item m="1" x="264"/>
        <item x="108"/>
        <item m="1" x="288"/>
        <item m="1" x="323"/>
        <item m="1" x="271"/>
        <item x="135"/>
        <item x="197"/>
        <item m="1" x="293"/>
        <item x="0"/>
        <item x="6"/>
        <item x="9"/>
        <item x="17"/>
        <item x="26"/>
        <item x="30"/>
        <item x="32"/>
        <item x="33"/>
        <item x="37"/>
        <item x="39"/>
        <item x="40"/>
        <item x="41"/>
        <item x="43"/>
        <item x="44"/>
        <item x="47"/>
        <item x="59"/>
        <item x="81"/>
        <item x="51"/>
        <item x="52"/>
        <item x="57"/>
        <item x="85"/>
        <item x="86"/>
        <item x="102"/>
        <item x="109"/>
        <item x="113"/>
        <item x="124"/>
        <item x="125"/>
        <item x="128"/>
        <item x="132"/>
        <item x="134"/>
        <item x="136"/>
        <item x="137"/>
        <item x="139"/>
        <item x="141"/>
        <item x="144"/>
        <item x="149"/>
        <item x="150"/>
        <item x="160"/>
        <item x="165"/>
        <item x="169"/>
        <item x="173"/>
        <item x="184"/>
        <item x="185"/>
        <item x="187"/>
        <item x="217"/>
        <item x="218"/>
        <item x="219"/>
        <item x="221"/>
        <item x="225"/>
        <item x="227"/>
        <item x="231"/>
        <item x="234"/>
        <item x="235"/>
        <item x="236"/>
        <item x="237"/>
        <item x="238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6"/>
        <item x="257"/>
        <item x="258"/>
        <item t="default"/>
      </items>
    </pivotField>
    <pivotField compact="0" outline="0" showAll="0"/>
  </pivotFields>
  <rowFields count="1">
    <field x="48"/>
  </rowFields>
  <rowItems count="25"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295"/>
    </i>
    <i>
      <x v="296"/>
    </i>
    <i>
      <x v="300"/>
    </i>
    <i>
      <x v="302"/>
    </i>
    <i>
      <x v="305"/>
    </i>
    <i>
      <x v="329"/>
    </i>
    <i>
      <x v="330"/>
    </i>
    <i>
      <x v="33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8" item="1" hier="-1"/>
  </pageFields>
  <dataFields count="4">
    <dataField name="Promedio de DENSIDAD" fld="15" subtotal="average" baseField="0" baseItem="0" numFmtId="1"/>
    <dataField name="Promedio de DIAS" fld="9" subtotal="average" baseField="0" baseItem="0" numFmtId="164"/>
    <dataField name="Promedio de SOBREVIVENCIA" fld="37" subtotal="average" baseField="0" baseItem="0" numFmtId="164"/>
    <dataField name="Promedio de GRAMOS PLANTA" fld="29" subtotal="average" baseField="0" baseItem="0" numFmtId="164"/>
  </dataFields>
  <formats count="8">
    <format dxfId="612">
      <pivotArea outline="0" fieldPosition="0">
        <references count="1">
          <reference field="4294967294" count="1" selected="0">
            <x v="2"/>
          </reference>
        </references>
      </pivotArea>
    </format>
    <format dxfId="611">
      <pivotArea field="48" grandRow="1" outline="0" axis="axisRow" fieldPosition="0">
        <references count="1">
          <reference field="4294967294" count="2" selected="0">
            <x v="0"/>
            <x v="1"/>
          </reference>
        </references>
      </pivotArea>
    </format>
    <format dxfId="610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60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8">
      <pivotArea outline="0" fieldPosition="0">
        <references count="1">
          <reference field="4294967294" count="1" selected="0">
            <x v="0"/>
          </reference>
        </references>
      </pivotArea>
    </format>
    <format dxfId="6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06">
      <pivotArea outline="0" fieldPosition="0">
        <references count="1">
          <reference field="4294967294" count="1" selected="0">
            <x v="3"/>
          </reference>
        </references>
      </pivotArea>
    </format>
    <format dxfId="605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00C5ED-6486-47FD-B347-AD130A1F314D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compact="0" compactData="0" multipleFieldFilters="0">
  <location ref="A5:E21" firstHeaderRow="0" firstDataRow="1" firstDataCol="1"/>
  <pivotFields count="49">
    <pivotField compact="0" numFmtId="14" outline="0" showAll="0"/>
    <pivotField compact="0" outline="0" showAll="0"/>
    <pivotField compact="0" outline="0" showAll="0">
      <items count="5">
        <item m="1" x="2"/>
        <item m="1" x="3"/>
        <item m="1" x="1"/>
        <item x="0"/>
        <item t="default"/>
      </items>
    </pivotField>
    <pivotField compact="0" outline="0" showAll="0"/>
    <pivotField compact="0" outline="0" showAll="0">
      <items count="10">
        <item h="1" x="0"/>
        <item x="1"/>
        <item h="1" x="2"/>
        <item h="1" x="3"/>
        <item h="1" x="4"/>
        <item h="1" m="1" x="7"/>
        <item h="1" m="1" x="6"/>
        <item h="1" m="1" x="8"/>
        <item h="1" m="1" x="5"/>
        <item t="default"/>
      </items>
    </pivotField>
    <pivotField compact="0" outline="0" showAll="0"/>
    <pivotField axis="axisRow" compact="0" outline="0" showAll="0">
      <items count="21">
        <item x="13"/>
        <item x="2"/>
        <item x="3"/>
        <item x="4"/>
        <item x="7"/>
        <item x="10"/>
        <item m="1" x="16"/>
        <item m="1" x="15"/>
        <item m="1" x="19"/>
        <item x="14"/>
        <item x="5"/>
        <item m="1" x="18"/>
        <item m="1" x="17"/>
        <item x="8"/>
        <item x="0"/>
        <item x="9"/>
        <item x="11"/>
        <item x="1"/>
        <item x="12"/>
        <item x="6"/>
        <item t="default"/>
      </items>
    </pivotField>
    <pivotField compact="0" numFmtId="2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numFmtId="166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dataField="1" compact="0" numFmtId="3" outline="0" showAll="0"/>
    <pivotField compact="0" numFmtId="4" outline="0" showAll="0"/>
    <pivotField compact="0" numFmtId="4" outline="0" showAll="0"/>
    <pivotField dataField="1" compact="0" numFmtId="2" outline="0" showAll="0"/>
    <pivotField compact="0" outline="0" showAll="0"/>
    <pivotField compact="0" numFmtId="3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/>
    <dataField name="Promedio de FCA" fld="40" subtotal="average" baseField="0" baseItem="0" numFmtId="164"/>
    <dataField name="Promedio de SOBREVIVENCIA" fld="37" subtotal="average" baseField="0" baseItem="0" numFmtId="169"/>
    <dataField name="Promedio de DIAS" fld="9" subtotal="average" baseField="0" baseItem="0" numFmtId="169"/>
  </dataFields>
  <formats count="25">
    <format dxfId="598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597">
      <pivotArea outline="0" fieldPosition="0">
        <references count="1">
          <reference field="4294967294" count="1" selected="0">
            <x v="1"/>
          </reference>
        </references>
      </pivotArea>
    </format>
    <format dxfId="596">
      <pivotArea field="6" grandRow="1" outline="0" axis="axisRow" fieldPosition="0">
        <references count="1">
          <reference field="4294967294" count="1" selected="0">
            <x v="0"/>
          </reference>
        </references>
      </pivotArea>
    </format>
    <format dxfId="595">
      <pivotArea outline="0" fieldPosition="0">
        <references count="1">
          <reference field="4294967294" count="1" selected="0">
            <x v="2"/>
          </reference>
        </references>
      </pivotArea>
    </format>
    <format dxfId="594">
      <pivotArea outline="0" fieldPosition="0">
        <references count="1">
          <reference field="4294967294" count="1" selected="0">
            <x v="3"/>
          </reference>
        </references>
      </pivotArea>
    </format>
    <format dxfId="59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92">
      <pivotArea outline="0" fieldPosition="0">
        <references count="1">
          <reference field="6" count="0" selected="0"/>
        </references>
      </pivotArea>
    </format>
    <format dxfId="591">
      <pivotArea outline="0" fieldPosition="0">
        <references count="2">
          <reference field="4294967294" count="1" selected="0">
            <x v="1"/>
          </reference>
          <reference field="6" count="1" selected="0">
            <x v="14"/>
          </reference>
        </references>
      </pivotArea>
    </format>
    <format dxfId="590">
      <pivotArea outline="0" fieldPosition="0">
        <references count="1">
          <reference field="6" count="0" selected="0"/>
        </references>
      </pivotArea>
    </format>
    <format dxfId="589">
      <pivotArea outline="0" fieldPosition="0">
        <references count="2">
          <reference field="4294967294" count="1" selected="0">
            <x v="0"/>
          </reference>
          <reference field="6" count="0" selected="0"/>
        </references>
      </pivotArea>
    </format>
    <format dxfId="588">
      <pivotArea outline="0" fieldPosition="0">
        <references count="2">
          <reference field="4294967294" count="1" selected="0">
            <x v="0"/>
          </reference>
          <reference field="6" count="2" selected="0">
            <x v="1"/>
            <x v="2"/>
          </reference>
        </references>
      </pivotArea>
    </format>
    <format dxfId="587">
      <pivotArea outline="0" fieldPosition="0">
        <references count="2">
          <reference field="4294967294" count="1" selected="0">
            <x v="0"/>
          </reference>
          <reference field="6" count="2" selected="0">
            <x v="15"/>
            <x v="16"/>
          </reference>
        </references>
      </pivotArea>
    </format>
    <format dxfId="586">
      <pivotArea outline="0" fieldPosition="0">
        <references count="2">
          <reference field="4294967294" count="3" selected="0">
            <x v="1"/>
            <x v="2"/>
            <x v="3"/>
          </reference>
          <reference field="6" count="3" selected="0">
            <x v="15"/>
            <x v="16"/>
            <x v="17"/>
          </reference>
        </references>
      </pivotArea>
    </format>
    <format dxfId="585">
      <pivotArea outline="0" fieldPosition="0">
        <references count="2">
          <reference field="4294967294" count="1" selected="0">
            <x v="1"/>
          </reference>
          <reference field="6" count="2" selected="0">
            <x v="12"/>
            <x v="13"/>
          </reference>
        </references>
      </pivotArea>
    </format>
    <format dxfId="584">
      <pivotArea outline="0" fieldPosition="0">
        <references count="2">
          <reference field="4294967294" count="1" selected="0">
            <x v="1"/>
          </reference>
          <reference field="6" count="2" selected="0">
            <x v="9"/>
            <x v="10"/>
          </reference>
        </references>
      </pivotArea>
    </format>
    <format dxfId="583">
      <pivotArea outline="0" fieldPosition="0">
        <references count="2">
          <reference field="4294967294" count="1" selected="0">
            <x v="1"/>
          </reference>
          <reference field="6" count="2" selected="0">
            <x v="4"/>
            <x v="5"/>
          </reference>
        </references>
      </pivotArea>
    </format>
    <format dxfId="582">
      <pivotArea outline="0" fieldPosition="0">
        <references count="2">
          <reference field="4294967294" count="1" selected="0">
            <x v="1"/>
          </reference>
          <reference field="6" count="2" selected="0">
            <x v="0"/>
            <x v="1"/>
          </reference>
        </references>
      </pivotArea>
    </format>
    <format dxfId="581">
      <pivotArea outline="0" fieldPosition="0">
        <references count="2">
          <reference field="4294967294" count="2" selected="0">
            <x v="2"/>
            <x v="3"/>
          </reference>
          <reference field="6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580">
      <pivotArea outline="0" fieldPosition="0">
        <references count="2">
          <reference field="4294967294" count="1" selected="0">
            <x v="2"/>
          </reference>
          <reference field="6" count="3" selected="0">
            <x v="9"/>
            <x v="10"/>
            <x v="11"/>
          </reference>
        </references>
      </pivotArea>
    </format>
    <format dxfId="579">
      <pivotArea outline="0" fieldPosition="0">
        <references count="2">
          <reference field="4294967294" count="1" selected="0">
            <x v="2"/>
          </reference>
          <reference field="6" count="2" selected="0">
            <x v="13"/>
            <x v="14"/>
          </reference>
        </references>
      </pivotArea>
    </format>
    <format dxfId="578">
      <pivotArea outline="0" fieldPosition="0">
        <references count="2">
          <reference field="4294967294" count="1" selected="0">
            <x v="3"/>
          </reference>
          <reference field="6" count="8" selected="0"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57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76">
      <pivotArea field="6" type="button" dataOnly="0" labelOnly="1" outline="0" axis="axisRow" fieldPosition="0"/>
    </format>
    <format dxfId="57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74">
      <pivotArea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5F719-8395-408F-81F7-71E38FFF97F0}" name="TablaDinámica2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8" indent="0" compact="0" compactData="0" multipleFieldFilters="0">
  <location ref="A3:E19" firstHeaderRow="0" firstDataRow="1" firstDataCol="1"/>
  <pivotFields count="5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>
      <items count="11">
        <item x="0"/>
        <item x="1"/>
        <item x="2"/>
        <item x="3"/>
        <item x="4"/>
        <item m="1" x="7"/>
        <item m="1" x="6"/>
        <item m="1" x="9"/>
        <item m="1" x="8"/>
        <item m="1" x="5"/>
        <item t="default"/>
      </items>
    </pivotField>
    <pivotField compact="0" outline="0" showAll="0"/>
    <pivotField axis="axisRow" compact="0" outline="0" showAll="0">
      <items count="25">
        <item x="13"/>
        <item x="2"/>
        <item x="3"/>
        <item x="4"/>
        <item x="7"/>
        <item m="1" x="18"/>
        <item m="1" x="16"/>
        <item m="1" x="21"/>
        <item x="14"/>
        <item x="5"/>
        <item m="1" x="20"/>
        <item m="1" x="19"/>
        <item x="8"/>
        <item x="0"/>
        <item m="1" x="23"/>
        <item m="1" x="22"/>
        <item m="1" x="17"/>
        <item x="9"/>
        <item x="11"/>
        <item x="1"/>
        <item x="12"/>
        <item m="1" x="15"/>
        <item x="6"/>
        <item x="10"/>
        <item t="default"/>
      </items>
    </pivotField>
    <pivotField compact="0" outline="0" showAll="0"/>
    <pivotField compact="0" outline="0" showAll="0"/>
    <pivotField dataField="1"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numFmtId="169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3" outline="0" showAll="0"/>
    <pivotField compact="0" numFmtId="43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2" outline="0" showAll="0"/>
    <pivotField compact="0" outline="0" showAll="0"/>
    <pivotField compact="0" numFmtId="3" outline="0" showAll="0"/>
    <pivotField compact="0" numFmtId="169" outline="0" showAll="0"/>
    <pivotField compact="0" numFmtId="3" outline="0" showAll="0"/>
    <pivotField dataField="1" compact="0" outline="0" showAll="0"/>
    <pivotField compact="0" numFmtId="4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dataField="1" compact="0" numFmtId="2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8"/>
    </i>
    <i>
      <x v="9"/>
    </i>
    <i>
      <x v="12"/>
    </i>
    <i>
      <x v="13"/>
    </i>
    <i>
      <x v="17"/>
    </i>
    <i>
      <x v="18"/>
    </i>
    <i>
      <x v="19"/>
    </i>
    <i>
      <x v="20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omedio de LBS/HA" fld="34" subtotal="average" baseField="0" baseItem="0" numFmtId="169"/>
    <dataField name="Promedio de FCA" fld="40" subtotal="average" baseField="0" baseItem="0" numFmtId="164"/>
    <dataField name="Promedio de SOBREVIVENCIA" fld="37" subtotal="average" baseField="0" baseItem="0"/>
    <dataField name="Promedio de DIAS" fld="9" subtotal="average" baseField="0" baseItem="0" numFmtId="169"/>
  </dataFields>
  <formats count="6"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outline="0" fieldPosition="0">
        <references count="1">
          <reference field="4294967294" count="1" selected="0">
            <x v="0"/>
          </reference>
        </references>
      </pivotArea>
    </format>
    <format dxfId="3">
      <pivotArea outline="0" fieldPosition="0">
        <references count="1">
          <reference field="4294967294" count="1" selected="0">
            <x v="3"/>
          </reference>
        </references>
      </pivotArea>
    </format>
    <format dxfId="2">
      <pivotArea outline="0" fieldPosition="0">
        <references count="1">
          <reference field="6" count="0" selected="0"/>
        </references>
      </pivotArea>
    </format>
    <format dxfId="1">
      <pivotArea outline="0" fieldPosition="0">
        <references count="1">
          <reference field="6" count="0" selected="0"/>
        </references>
      </pivotArea>
    </format>
  </formats>
  <conditionalFormats count="6"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2">
            <reference field="4294967294" count="1" selected="0">
              <x v="1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6" count="20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0" type="dateBetween" evalOrder="-1" id="6" name="FECHA">
      <autoFilter ref="A1">
        <filterColumn colId="0">
          <customFilters and="1">
            <customFilter operator="greaterThanOrEqual" val="44958"/>
            <customFilter operator="lessThanOrEqual" val="449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4074669-FAE0-4196-853A-EBA5BFE8BD4D}" sourceName="MES">
  <pivotTables>
    <pivotTable tabId="32" name="TablaDinámica2"/>
  </pivotTables>
  <data>
    <tabular pivotCacheId="2074533393">
      <items count="10">
        <i x="0" s="1"/>
        <i x="1" s="1"/>
        <i x="2" s="1"/>
        <i x="3" s="1"/>
        <i x="4" s="1"/>
        <i x="7" s="1" nd="1"/>
        <i x="6" s="1" nd="1"/>
        <i x="9" s="1" nd="1"/>
        <i x="8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13124089-52EF-4D5B-AAA4-611502DB0E4A}" sourceName="AÑO">
  <pivotTables>
    <pivotTable tabId="33" name="TablaDinámica1"/>
  </pivotTables>
  <data>
    <tabular pivotCacheId="789561165">
      <items count="4">
        <i x="0" s="1"/>
        <i x="2" s="1" nd="1"/>
        <i x="3" s="1" nd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47A8F1E0-6D48-4669-A3E5-C5DE455B4963}" sourceName="MES">
  <pivotTables>
    <pivotTable tabId="33" name="TablaDinámica1"/>
  </pivotTables>
  <data>
    <tabular pivotCacheId="789561165">
      <items count="9">
        <i x="0"/>
        <i x="1" s="1"/>
        <i x="2"/>
        <i x="3"/>
        <i x="4"/>
        <i x="7" nd="1"/>
        <i x="6" nd="1"/>
        <i x="8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5F03B9AC-B896-490D-9B02-2DAEA4526581}" cache="SegmentaciónDeDatos_AÑO" caption="AÑO" rowHeight="228600"/>
  <slicer name="MES 1" xr10:uid="{5378ABFE-BD80-4184-910C-EDA6833A2B81}" cache="SegmentaciónDeDatos_MES1" caption="MES" rowHeight="228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18EC39A5-B728-471C-8B1E-2147F5A50946}" cache="SegmentaciónDeDatos_MES" caption="MES" startItem="2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F43882-F24B-4D13-A442-136545C2074F}" name="TablaPrincipal" displayName="TablaPrincipal" ref="A2:AX427" totalsRowShown="0" headerRowDxfId="541" dataDxfId="540" tableBorderDxfId="539">
  <autoFilter ref="A2:AX427" xr:uid="{2B55E65A-08FE-427A-BC99-BC6F53C42DB9}">
    <filterColumn colId="3">
      <filters>
        <filter val="AGUAJE 10"/>
        <filter val="AGUAJE 9"/>
      </filters>
    </filterColumn>
  </autoFilter>
  <sortState ref="A3:AX356">
    <sortCondition ref="A2:A356"/>
  </sortState>
  <tableColumns count="50">
    <tableColumn id="1" xr3:uid="{819509C7-F3E8-4E74-AEDF-24DB64B1EFF0}" name="FECHA" dataDxfId="538" totalsRowDxfId="537"/>
    <tableColumn id="50" xr3:uid="{784100ED-03BE-49A0-8A99-51FC0E292FD0}" name="ID" dataDxfId="536" totalsRowDxfId="535"/>
    <tableColumn id="2" xr3:uid="{6D372FAC-0BE6-43AF-A76A-0CACF6D81A57}" name="AÑO" dataDxfId="534">
      <calculatedColumnFormula>YEAR(TablaPrincipal[[#This Row],[FECHA]])</calculatedColumnFormula>
    </tableColumn>
    <tableColumn id="3" xr3:uid="{594D1F81-61A2-423C-8730-3348843BD5A3}" name="AGUAJE " dataDxfId="533" totalsRowDxfId="532"/>
    <tableColumn id="4" xr3:uid="{F5B602B0-4CC9-441B-BA21-95808330BA40}" name="MES" dataDxfId="531">
      <calculatedColumnFormula>UPPER(TEXT(TablaPrincipal[[#This Row],[FECHA]],"MMMM"))</calculatedColumnFormula>
    </tableColumn>
    <tableColumn id="5" xr3:uid="{E047B3F2-8268-4F49-A4F4-C2AE13D33C8D}" name="PISCINA" dataDxfId="530">
      <calculatedColumnFormula>IFERROR(VLOOKUP(TablaPrincipal[[#This Row],[CODIGO]],COSECHAS!A:J,9,0),"-")</calculatedColumnFormula>
    </tableColumn>
    <tableColumn id="6" xr3:uid="{332480F1-0401-456B-938D-9762C3D123CD}" name="SECTOR" dataDxfId="529" totalsRowDxfId="528">
      <calculatedColumnFormula>IFERROR(VLOOKUP(TablaPrincipal[[#This Row],[CODIGO]],COSECHAS!A:I,8,0),"-")</calculatedColumnFormula>
    </tableColumn>
    <tableColumn id="7" xr3:uid="{957BB8FD-C4BA-4348-82BD-9985E2AF726A}" name="HAS" dataDxfId="527" totalsRowDxfId="526">
      <calculatedColumnFormula>IFERROR(VLOOKUP(TablaPrincipal[[#This Row],[CODIGO]],DATOS!A:B,2,0),"-")</calculatedColumnFormula>
    </tableColumn>
    <tableColumn id="8" xr3:uid="{BD949A79-5A3D-4AA5-B7C4-FA844543BDF7}" name="Certificación" dataDxfId="525" totalsRowDxfId="524">
      <calculatedColumnFormula>IFERROR(VLOOKUP(TablaPrincipal[[#This Row],[CODIGO]],Tabla8[[#Headers],[#Data]],3,0),"-")</calculatedColumnFormula>
    </tableColumn>
    <tableColumn id="9" xr3:uid="{F7C5AD82-D433-409B-8116-92933E02A1A0}" name="DIAS" dataDxfId="523" totalsRowDxfId="522">
      <calculatedColumnFormula>IFERROR(TablaPrincipal[[#This Row],[FECHA]]-TablaPrincipal[[#This Row],[FECHA DE SIEMBRA]],"-")</calculatedColumnFormula>
    </tableColumn>
    <tableColumn id="10" xr3:uid="{3A264F35-37F2-4E06-9957-A52D176D9099}" name="FECHA DE SIEMBRA" dataDxfId="521" totalsRowDxfId="520">
      <calculatedColumnFormula>VLOOKUP(TablaPrincipal[[#This Row],[CODIGO]]&amp;TablaPrincipal[[#This Row],[AGUAJE ]],Tabla4[#All],4,0)</calculatedColumnFormula>
    </tableColumn>
    <tableColumn id="11" xr3:uid="{83C49A61-59D0-452C-BE52-B0485C55ED12}" name="PRE" dataDxfId="519" totalsRowDxfId="518">
      <calculatedColumnFormula>VLOOKUP(TablaPrincipal[[#This Row],[CODIGO]]&amp;TablaPrincipal[[#This Row],[AGUAJE ]],Tabla4[#All],15,0)</calculatedColumnFormula>
    </tableColumn>
    <tableColumn id="12" xr3:uid="{0EA42510-BAD1-4F6D-B0A4-B5DE8A49EF31}" name="PESO DE SIEMBRA" dataDxfId="517">
      <calculatedColumnFormula>VLOOKUP(TablaPrincipal[[#This Row],[CODIGO]]&amp;TablaPrincipal[[#This Row],[AGUAJE ]],Tabla4[#All],14,0)</calculatedColumnFormula>
    </tableColumn>
    <tableColumn id="13" xr3:uid="{F2F94FBA-EED4-4B0D-97B2-D8FE99D4F740}" name="DIAS SECOS" dataDxfId="516"/>
    <tableColumn id="14" xr3:uid="{53826179-CDED-42F4-9747-93B4AC7D1E5B}" name="ANIM SEMBRADOS" dataDxfId="515" totalsRowDxfId="514">
      <calculatedColumnFormula>VLOOKUP(TablaPrincipal[[#This Row],[CODIGO]]&amp;TablaPrincipal[[#This Row],[AGUAJE ]],Tabla4[#All],5,0)</calculatedColumnFormula>
    </tableColumn>
    <tableColumn id="15" xr3:uid="{706B1211-D34C-4EC3-B979-8FF4A73C6E50}" name="DENSIDAD" dataDxfId="513" totalsRowDxfId="512" dataCellStyle="Millares">
      <calculatedColumnFormula>IFERROR(TablaPrincipal[[#This Row],[ANIM SEMBRADOS]]/TablaPrincipal[[#This Row],[HAS]],"-")</calculatedColumnFormula>
    </tableColumn>
    <tableColumn id="16" xr3:uid="{696D4689-E9B1-4599-85DA-73BC578587C9}" name="DENSIDAD M2" dataDxfId="511" totalsRowDxfId="510">
      <calculatedColumnFormula>IFERROR(TablaPrincipal[[#This Row],[DENSIDAD]]/10000,"-")</calculatedColumnFormula>
    </tableColumn>
    <tableColumn id="17" xr3:uid="{52323037-452B-4B6B-89E0-0F4C3B52E078}" name="LABORATORIO" dataDxfId="509" totalsRowDxfId="508">
      <calculatedColumnFormula>VLOOKUP(TablaPrincipal[[#This Row],[CODIGO]]&amp;TablaPrincipal[[#This Row],[AGUAJE ]],Tabla4[#All],8,0)</calculatedColumnFormula>
    </tableColumn>
    <tableColumn id="18" xr3:uid="{109F847A-E745-4865-9E0F-330277A9B15B}" name="NAUPLIO" dataDxfId="507" totalsRowDxfId="506">
      <calculatedColumnFormula>VLOOKUP(TablaPrincipal[[#This Row],[CODIGO]]&amp;TablaPrincipal[[#This Row],[AGUAJE ]],Tabla4[#All],7,0)</calculatedColumnFormula>
    </tableColumn>
    <tableColumn id="19" xr3:uid="{322B23DE-2603-4751-BC72-234EED1E5E89}" name="TIPO DE SIEMBRA" dataDxfId="505" totalsRowDxfId="504">
      <calculatedColumnFormula>IF(ISNUMBER(FIND("/",TablaPrincipal[[#This Row],[LABORATORIO]])),"COMBINADO","UNICO")</calculatedColumnFormula>
    </tableColumn>
    <tableColumn id="20" xr3:uid="{7F6010A8-A6FA-4F69-A3DD-65A144254914}" name="LIBRAS RALEO CAMARONERA" dataDxfId="0" totalsRowDxfId="503">
      <calculatedColumnFormula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calculatedColumnFormula>
    </tableColumn>
    <tableColumn id="21" xr3:uid="{93D1E3B2-E3BA-420E-A8DA-35E571BD889A}" name="LIBRAS RALEO PLANTA" dataDxfId="502" totalsRowDxfId="501">
      <calculatedColumnFormula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2" xr3:uid="{44AD920B-B2B4-4A11-A885-7D6AEBF67F60}" name="GRAMAJE RALEO CAMARONERA" dataDxfId="500" totalsRowDxfId="499">
      <calculatedColumnFormula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3" xr3:uid="{4A46089C-591F-429D-A7DC-EF7C297FB388}" name="GRAMAJE RALEO PLANTA" dataDxfId="498">
      <calculatedColumnFormula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calculatedColumnFormula>
    </tableColumn>
    <tableColumn id="24" xr3:uid="{4AB80701-D63A-47CE-827E-284497226716}" name="LBS/HA RALEO" dataDxfId="497" totalsRowDxfId="496">
      <calculatedColumnFormula>IFERROR(TablaPrincipal[[#This Row],[LIBRAS RALEO PLANTA]]/TablaPrincipal[[#This Row],[HAS]],"-")</calculatedColumnFormula>
    </tableColumn>
    <tableColumn id="25" xr3:uid="{216EC20A-1D88-41DA-96FC-DB99D4894509}" name="CAM COSECHADOS RALEO" dataDxfId="495" totalsRowDxfId="494">
      <calculatedColumnFormula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calculatedColumnFormula>
    </tableColumn>
    <tableColumn id="26" xr3:uid="{D51926D2-5985-49F4-8C61-0DCCA88EBD99}" name="LIBRAS CAMARONERA" dataDxfId="493">
      <calculatedColumnFormula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7" xr3:uid="{28FFA137-DAEB-47FF-91B7-2741839BA8E2}" name="LIBRAS PLANTA" dataDxfId="492">
      <calculatedColumnFormula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calculatedColumnFormula>
    </tableColumn>
    <tableColumn id="28" xr3:uid="{FC7730A0-47BB-4566-9EF3-F0E2E8D7D6DE}" name="GRAMAJE CAMARONERA" dataDxfId="491">
      <calculatedColumnFormula>SUMIFS(COSECHAS!F:F,COSECHAS!A:A,'BASE 2026'!AW:AW,COSECHAS!G:G,"="&amp;A:A)</calculatedColumnFormula>
    </tableColumn>
    <tableColumn id="29" xr3:uid="{082C263D-9C4B-4E9F-8F2C-9F20C5D37187}" name="GRAMOS PLANTA" dataDxfId="490" totalsRowDxfId="489">
      <calculatedColumnFormula>SUMIFS(COSECHAS!M:M,COSECHAS!A:A,'BASE 2026'!AW:AW,COSECHAS!G:G,"="&amp;A:A)</calculatedColumnFormula>
    </tableColumn>
    <tableColumn id="30" xr3:uid="{806896D9-879D-4DEE-A18C-96619DE1071E}" name="LBS/HA COSECHA" dataDxfId="488" totalsRowDxfId="487">
      <calculatedColumnFormula>IFERROR(TablaPrincipal[[#This Row],[LIBRAS PLANTA]]/TablaPrincipal[[#This Row],[HAS]],"-")</calculatedColumnFormula>
    </tableColumn>
    <tableColumn id="31" xr3:uid="{4CC0C1B1-7AF3-45D7-8B26-79AF4FDED5A8}" name="CAM COSECHADOS" dataDxfId="486" totalsRowDxfId="485">
      <calculatedColumnFormula>IFERROR(TablaPrincipal[[#This Row],[LIBRAS PLANTA]]*454/TablaPrincipal[[#This Row],[GRAMOS PLANTA]],"-")</calculatedColumnFormula>
    </tableColumn>
    <tableColumn id="32" xr3:uid="{A2B3FCFC-B87C-40BC-879B-A623866ABE02}" name="LIBRAS TOTALES" dataDxfId="484">
      <calculatedColumnFormula>TablaPrincipal[[#This Row],[LIBRAS RALEO PLANTA]]+TablaPrincipal[[#This Row],[LIBRAS PLANTA]]</calculatedColumnFormula>
    </tableColumn>
    <tableColumn id="33" xr3:uid="{84D51C1C-73D3-4EC6-AB97-50B2A11E57A7}" name="CAM COSECHADOS TOTALES" dataDxfId="483" totalsRowDxfId="482">
      <calculatedColumnFormula>IFERROR(TablaPrincipal[[#This Row],[CAM COSECHADOS RALEO]]+TablaPrincipal[[#This Row],[CAM COSECHADOS]],"-")</calculatedColumnFormula>
    </tableColumn>
    <tableColumn id="34" xr3:uid="{E9167F0D-7340-4311-A68F-F9E754F3C7E5}" name="LBS/HA" dataDxfId="481" totalsRowDxfId="480">
      <calculatedColumnFormula>IFERROR((TablaPrincipal[[#This Row],[LIBRAS RALEO PLANTA]]+TablaPrincipal[[#This Row],[LIBRAS PLANTA]])/TablaPrincipal[[#This Row],[HAS]],"0")</calculatedColumnFormula>
    </tableColumn>
    <tableColumn id="35" xr3:uid="{8E4A3D21-4D3B-4205-BFEA-C87BFC46DD59}" name="INCREM" dataDxfId="479" totalsRowDxfId="478">
      <calculatedColumnFormula>IFERROR(AD3/(J3/7),"-")</calculatedColumnFormula>
    </tableColumn>
    <tableColumn id="36" xr3:uid="{CFE257F4-E597-4C03-99F4-3ABDA3130DBB}" name="LBS/HA/DIA" dataDxfId="477" totalsRowDxfId="476">
      <calculatedColumnFormula>IFERROR(TablaPrincipal[[#This Row],[LBS/HA]]/TablaPrincipal[[#This Row],[DIAS]],"-")</calculatedColumnFormula>
    </tableColumn>
    <tableColumn id="37" xr3:uid="{7A218127-F279-4DE4-A28A-8E2D472B8C61}" name="SOBREVIVENCIA" dataDxfId="475" totalsRowDxfId="474">
      <calculatedColumnFormula>IFERROR(TablaPrincipal[[#This Row],[CAM COSECHADOS TOTALES]]/TablaPrincipal[[#This Row],[ANIM SEMBRADOS]]*100,"-")</calculatedColumnFormula>
    </tableColumn>
    <tableColumn id="38" xr3:uid="{B04861EF-7B29-47A8-B983-6F6DFACD183E}" name="BALANCEADO ACUMULADO (LBS)" dataDxfId="473" totalsRowDxfId="472"/>
    <tableColumn id="39" xr3:uid="{BE8FE809-12C5-4B32-BF21-001F69EAD2AC}" name="KG/HA" dataDxfId="471">
      <calculatedColumnFormula>IFERROR(((TablaPrincipal[[#This Row],[BALANCEADO ACUMULADO (LBS)]]/2.2046)/TablaPrincipal[[#This Row],[HAS]])/TablaPrincipal[[#This Row],[DIAS]],"-")</calculatedColumnFormula>
    </tableColumn>
    <tableColumn id="40" xr3:uid="{FD882160-E040-4BF6-A78F-0E1CA273BE66}" name="FCA" dataDxfId="470">
      <calculatedColumnFormula>IFERROR(TablaPrincipal[[#This Row],[BALANCEADO ACUMULADO (LBS)]]/TablaPrincipal[[#This Row],[LIBRAS TOTALES]],"-")</calculatedColumnFormula>
    </tableColumn>
    <tableColumn id="49" xr3:uid="{7E9FE8F0-2849-463C-89A1-9B2BB7A16D36}" name="PROVEEDOR BALANCEADO" dataDxfId="469"/>
    <tableColumn id="48" xr3:uid="{24D09430-DA8A-483E-855B-965A004D67AD}" name="MODO ALIMENTACION" dataDxfId="468"/>
    <tableColumn id="41" xr3:uid="{24A29DB7-DDC6-4839-B9A4-C3346E510DC7}" name="DIF RALEO" dataDxfId="467" totalsRowDxfId="466">
      <calculatedColumnFormula>TablaPrincipal[[#This Row],[LIBRAS RALEO PLANTA]]-TablaPrincipal[[#This Row],[LIBRAS RALEO CAMARONERA]]</calculatedColumnFormula>
    </tableColumn>
    <tableColumn id="42" xr3:uid="{A5FD0AF8-4304-46B6-B065-7A2101FCE366}" name="DIF LIQUID" dataDxfId="465" totalsRowDxfId="464">
      <calculatedColumnFormula>TablaPrincipal[[#This Row],[LIBRAS PLANTA]]-TablaPrincipal[[#This Row],[LIBRAS CAMARONERA]]</calculatedColumnFormula>
    </tableColumn>
    <tableColumn id="43" xr3:uid="{9DBC29F7-3D8A-4BFA-B888-5D0DF822D098}" name="DIF RALEO GR" dataDxfId="463" totalsRowDxfId="462">
      <calculatedColumnFormula>TablaPrincipal[[#This Row],[GRAMAJE RALEO PLANTA]]-TablaPrincipal[[#This Row],[GRAMAJE RALEO CAMARONERA]]</calculatedColumnFormula>
    </tableColumn>
    <tableColumn id="44" xr3:uid="{DDF16A49-1940-44B9-BC87-541D01C614A8}" name="DIF LIQUID GR" dataDxfId="461" totalsRowDxfId="460">
      <calculatedColumnFormula>TablaPrincipal[[#This Row],[GRAMOS PLANTA]]-TablaPrincipal[[#This Row],[GRAMAJE CAMARONERA]]</calculatedColumnFormula>
    </tableColumn>
    <tableColumn id="45" xr3:uid="{485FB7F0-0B7A-44A8-950C-59BA932E0532}" name="JEFE DE SECTOR" dataDxfId="459" totalsRowDxfId="458">
      <calculatedColumnFormula>+VLOOKUP(TablaPrincipal[[#This Row],[CODIGO]],TablaCosechas[#All],10,0)</calculatedColumnFormula>
    </tableColumn>
    <tableColumn id="46" xr3:uid="{FED1C0EF-7031-4B41-803B-0129A2FA33BB}" name="CODIGO" dataDxfId="457" totalsRowDxfId="456"/>
    <tableColumn id="47" xr3:uid="{FA7D1ADF-E861-45E5-AC2C-47948B5B0CA4}" name="JEFE SECTOR" dataDxfId="455" totalsRowDxfId="454">
      <calculatedColumnFormula>+VLOOKUP(TablaPrincipal[[#This Row],[CODIGO]],TablaCosechas[#All],10,0)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C70790-9C7D-401C-B786-C64F08B4F227}" name="TablaCosechas" displayName="TablaCosechas" ref="A1:R1952" totalsRowShown="0" headerRowDxfId="185" dataDxfId="183" headerRowBorderDxfId="184" tableBorderDxfId="182">
  <autoFilter ref="A1:R1952" xr:uid="{A2766EE8-DE8B-4069-8A41-818A36D97D49}"/>
  <sortState ref="A2:R1952">
    <sortCondition ref="G1:G1952"/>
  </sortState>
  <tableColumns count="18">
    <tableColumn id="1" xr3:uid="{D0CCBAE9-6EB5-44F1-9039-33B816361699}" name="SECTOR/PISCINA" dataDxfId="181"/>
    <tableColumn id="17" xr3:uid="{CF2DDDF0-6D13-4D6C-A049-D4761C82842F}" name="ID" dataDxfId="180">
      <calculatedColumnFormula>ROW() - ROW(TablaCosechas[[#Headers],[ID]]) - 4</calculatedColumnFormula>
    </tableColumn>
    <tableColumn id="2" xr3:uid="{75ADDF90-1B0C-42DD-A46D-E475BB53DEB9}" name="COD" dataDxfId="179">
      <calculatedColumnFormula>LEFT(A2,2)</calculatedColumnFormula>
    </tableColumn>
    <tableColumn id="3" xr3:uid="{B87D425E-DE6B-4E0A-AA2D-39526BED96BC}" name="ACTIVIDAD" dataDxfId="178"/>
    <tableColumn id="4" xr3:uid="{79C9774A-685A-4E77-9634-5B3BA264D232}" name="libras" dataDxfId="177"/>
    <tableColumn id="5" xr3:uid="{0CDBF300-C5A9-4248-ACEB-8E0FD7D87FB6}" name="w" dataDxfId="176"/>
    <tableColumn id="16" xr3:uid="{32F6E377-E4CD-4D26-AD54-26592843D961}" name="COSECHA" dataDxfId="175"/>
    <tableColumn id="15" xr3:uid="{603EEA21-280E-426E-8A03-72BEA091A737}" name="SECTOR" dataDxfId="174">
      <calculatedColumnFormula>VLOOKUP(TablaCosechas[[#This Row],[COD]],DATOS!$E$3:$F$27,2,0)</calculatedColumnFormula>
    </tableColumn>
    <tableColumn id="10" xr3:uid="{5014BC22-6019-4FDE-9250-C5F0AAF1E9A1}" name="PISCINA" dataDxfId="173">
      <calculatedColumnFormula>RIGHT(TablaCosechas[[#This Row],[SECTOR/PISCINA]],2)</calculatedColumnFormula>
    </tableColumn>
    <tableColumn id="8" xr3:uid="{D14350D9-6C82-4D36-86C2-1CA756F59616}" name="JEFE DE SECTOR" dataDxfId="172">
      <calculatedColumnFormula>VLOOKUP(TablaCosechas[[#This Row],[COD]],Tabla7[#All],4,0)</calculatedColumnFormula>
    </tableColumn>
    <tableColumn id="9" xr3:uid="{E0F5E129-2CE4-4FA2-AB0E-7A1E305F7A8C}" name="ANIMALES" dataDxfId="171">
      <calculatedColumnFormula>(TablaCosechas[[#This Row],[libras planta]]*454)/M2</calculatedColumnFormula>
    </tableColumn>
    <tableColumn id="11" xr3:uid="{29468AC3-96B2-43A3-AAC9-20055B3D346F}" name="libras planta" dataDxfId="170" dataCellStyle="Millares"/>
    <tableColumn id="12" xr3:uid="{832B9621-7A42-44F6-862A-723A9C24E8B9}" name="W planta" dataDxfId="169" dataCellStyle="Millares"/>
    <tableColumn id="13" xr3:uid="{7AEBAA88-17B2-439E-8F89-90CDFD39467A}" name="MES" dataDxfId="168">
      <calculatedColumnFormula>UPPER(TEXT(TablaCosechas[[#This Row],[COSECHA]],"MMMM"))</calculatedColumnFormula>
    </tableColumn>
    <tableColumn id="14" xr3:uid="{88F39286-330B-4F7F-98F8-31596760346C}" name="CERTIFICADO" dataDxfId="167">
      <calculatedColumnFormula>IF(A2="DO 29","BAP",IF(A2="RO 14","BAP",(VLOOKUP(TablaCosechas[[#This Row],[COD]],Tabla7[[CODIGO]:[CERTIFICACION]],3,0))))</calculatedColumnFormula>
    </tableColumn>
    <tableColumn id="6" xr3:uid="{0DEFC996-9CDB-47A3-A141-862421D3F6FF}" name="DIF LBRS" dataDxfId="166">
      <calculatedColumnFormula>+L2-E2</calculatedColumnFormula>
    </tableColumn>
    <tableColumn id="7" xr3:uid="{CF676CBA-B479-4557-A2DC-7618EB78B2B1}" name="DIF W" dataDxfId="165">
      <calculatedColumnFormula>+M2-F2</calculatedColumnFormula>
    </tableColumn>
    <tableColumn id="19" xr3:uid="{B63CD2D0-5A44-438A-A016-0B4C28F5E94D}" name="BALANCEADO" dataDxfId="16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94A58A-F936-420C-9252-C5575FE1DA76}" name="Tabla4" displayName="Tabla4" ref="A1:R497" totalsRowShown="0" headerRowDxfId="63" dataDxfId="62">
  <autoFilter ref="A1:R497" xr:uid="{AC9F5EB1-8DB3-4352-854D-6841B8753730}">
    <filterColumn colId="1">
      <filters>
        <filter val="PA 02"/>
      </filters>
    </filterColumn>
  </autoFilter>
  <sortState ref="A230:R230">
    <sortCondition ref="B1:B392"/>
  </sortState>
  <tableColumns count="18">
    <tableColumn id="1" xr3:uid="{1671D5DB-6999-480E-8FFB-7AB6C3D0F475}" name="Columna1" dataDxfId="61">
      <calculatedColumnFormula>+Tabla4[[#This Row],[PISCINA]]&amp;Tabla4[[#This Row],[AGUAJE]]</calculatedColumnFormula>
    </tableColumn>
    <tableColumn id="16" xr3:uid="{2CC605D5-2098-43A6-8B66-56FF54CB6E6D}" name="PISCINA" dataDxfId="60" totalsRowDxfId="59"/>
    <tableColumn id="2" xr3:uid="{45A2B955-E038-4D36-B8C6-584DDDF7DFDB}" name="Columna3" dataDxfId="58">
      <calculatedColumnFormula>+MID(A2,1,2)</calculatedColumnFormula>
    </tableColumn>
    <tableColumn id="3" xr3:uid="{3334AB83-593E-4B1C-8D83-6558A4E1D965}" name="transferencia" dataDxfId="57" totalsRowDxfId="56"/>
    <tableColumn id="4" xr3:uid="{0568E6AA-735A-4AC3-A3B2-E698D7F9EF61}" name="LARVA" dataDxfId="55" totalsRowDxfId="54"/>
    <tableColumn id="5" xr3:uid="{CDCBDA41-EBA2-43D9-BCEB-D0B5D20DA5AD}" name="ABLACION" dataDxfId="53" totalsRowDxfId="52"/>
    <tableColumn id="6" xr3:uid="{03CEA07F-96DF-4490-915E-1232C16A350C}" name="NAUPLIo" dataDxfId="51" totalsRowDxfId="50"/>
    <tableColumn id="7" xr3:uid="{9FB3DC4D-67D9-4D82-AFF9-BEA3BCD62CFF}" name="LABORATORIO" dataDxfId="49" totalsRowDxfId="48"/>
    <tableColumn id="19" xr3:uid="{2910AAE2-2CCF-4611-A651-5660363D7606}" name="COD LABORATORIO" dataDxfId="47" totalsRowDxfId="46">
      <calculatedColumnFormula>IFERROR(VLOOKUP(H2,DATOS!$E$117:$F$168,2,0),"")</calculatedColumnFormula>
    </tableColumn>
    <tableColumn id="8" xr3:uid="{4FC85A82-4F45-4852-9215-76E3A8903072}" name="sobrevivencia" dataDxfId="45" totalsRowDxfId="44"/>
    <tableColumn id="9" xr3:uid="{F9A0573E-5198-4873-B758-9FEDA063B517}" name="DIAS RW/PC" dataDxfId="43">
      <calculatedColumnFormula>+D2-L2</calculatedColumnFormula>
    </tableColumn>
    <tableColumn id="10" xr3:uid="{0F82483D-F6D1-43D1-9AFD-49030CD8F407}" name="siembra" dataDxfId="42" totalsRowDxfId="41"/>
    <tableColumn id="11" xr3:uid="{170B9377-5814-4854-A204-AE450AEB189C}" name="Dias PRo" dataDxfId="40" totalsRowDxfId="39">
      <calculatedColumnFormula>+D2-L2</calculatedColumnFormula>
    </tableColumn>
    <tableColumn id="12" xr3:uid="{99E67172-C6E3-4E17-89DF-4AB879502A12}" name="w" dataDxfId="38" dataCellStyle="Millares"/>
    <tableColumn id="13" xr3:uid="{C273EA42-7858-4734-8E95-4B5073282537}" name="PRECRIADERO" dataDxfId="37" totalsRowDxfId="36"/>
    <tableColumn id="14" xr3:uid="{62B5E0D7-EA7B-4183-95D7-421E9388BCCA}" name="mes" dataDxfId="35" totalsRowDxfId="34">
      <calculatedColumnFormula>+UPPER(TEXT(Tabla4[[#This Row],[transferencia]],"mmmm"))</calculatedColumnFormula>
    </tableColumn>
    <tableColumn id="15" xr3:uid="{0E145BE8-06E3-42AE-9236-FA81C5E0E1F9}" name="AGUAJE" dataDxfId="33" totalsRowDxfId="32"/>
    <tableColumn id="17" xr3:uid="{FEB8069E-6F04-4982-9870-09C8A3F82875}" name="Columna2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87BC7-EDBA-4974-AC9A-CFE1EDCCAF01}" name="Tabla7" displayName="Tabla7" ref="E2:J27" totalsRowShown="0">
  <autoFilter ref="E2:J27" xr:uid="{F975A7D6-3B31-4312-9B07-EEDF800B02F9}"/>
  <sortState ref="E3:J38">
    <sortCondition ref="H2:H38"/>
  </sortState>
  <tableColumns count="6">
    <tableColumn id="1" xr3:uid="{F7AF9560-AC1F-4CBF-91FA-626BBA10F809}" name="CODIGO"/>
    <tableColumn id="2" xr3:uid="{BE5AF0EE-B2DA-4CF0-A56B-11F0EF33C11B}" name="SECTOR"/>
    <tableColumn id="3" xr3:uid="{EA537993-A56B-46F9-8442-4397F46CE87A}" name="CERTIFICACION"/>
    <tableColumn id="4" xr3:uid="{F64DEFBF-488A-43D8-B8C6-E3FB9101EB4D}" name="Columna1"/>
    <tableColumn id="5" xr3:uid="{17025D3A-3390-4A85-B810-6E2DF989F806}" name="Columna2" dataDxfId="27"/>
    <tableColumn id="6" xr3:uid="{B7FCAC85-7A8B-47C3-A3F2-8BD55FD35F96}" name="FIN" data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A7EA1D-EA09-437E-9D14-04B6C9F2EC31}" name="Tabla8" displayName="Tabla8" ref="A1:C455" totalsRowCount="1">
  <autoFilter ref="A1:C454" xr:uid="{CB287CAF-2108-47D0-B955-B3CCFEB210AC}"/>
  <sortState ref="A2:C445">
    <sortCondition ref="A1:A445"/>
  </sortState>
  <tableColumns count="3">
    <tableColumn id="1" xr3:uid="{03B134C0-8D21-4E73-B4B9-95FC4CFB1ABD}" name="sector/pisc" dataDxfId="25" totalsRowDxfId="24"/>
    <tableColumn id="2" xr3:uid="{88CE9BBB-F165-4771-9ECA-E5C4B5B9B4D1}" name="has" totalsRowFunction="sum" dataDxfId="23" totalsRowDxfId="22"/>
    <tableColumn id="3" xr3:uid="{EF186501-C3A2-4920-AC9C-887F52318522}" name="CERTIFICA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23AB6-CD33-4A02-8359-6F02ACE43B04}" name="Tabla1" displayName="Tabla1" ref="M1:O2" totalsRowShown="0" dataDxfId="21">
  <autoFilter ref="M1:O2" xr:uid="{3586A721-0B74-4A28-AE33-3B5BC8D85671}"/>
  <tableColumns count="3">
    <tableColumn id="1" xr3:uid="{646E1637-C18E-499F-9E35-30BC67D72AAE}" name="inicio" dataDxfId="20"/>
    <tableColumn id="2" xr3:uid="{56DA0112-8002-48E6-9A04-776622721335}" name="fin" dataDxfId="19"/>
    <tableColumn id="3" xr3:uid="{64875783-0EC3-4CED-A0D9-147F1E104A74}" name="aguaje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AF03C1-2F90-45F1-8655-756596160262}" name="Tabla74" displayName="Tabla74" ref="E77:J113" totalsRowShown="0">
  <autoFilter ref="E77:J113" xr:uid="{89AF03C1-2F90-45F1-8655-756596160262}"/>
  <sortState ref="E78:J105">
    <sortCondition ref="H2:H32"/>
  </sortState>
  <tableColumns count="6">
    <tableColumn id="1" xr3:uid="{FB460DF8-A145-4E80-8A0F-4D9B7EB3BB53}" name="CODIGO"/>
    <tableColumn id="2" xr3:uid="{E608E9A9-32A9-4E51-A913-86EFD442F6C7}" name="SECTOR"/>
    <tableColumn id="3" xr3:uid="{965BC6BA-D87B-4AB2-8C3D-C3EFC6800215}" name="CERTIFICACION"/>
    <tableColumn id="4" xr3:uid="{E693B390-5EDD-4524-ACBB-17AEE873FD55}" name="Columna1"/>
    <tableColumn id="5" xr3:uid="{0CBD91B3-5F6C-4430-AF49-1F6EB2C87D03}" name="Columna2" dataDxfId="17"/>
    <tableColumn id="6" xr3:uid="{8BBD48D3-9D96-4E3E-98C5-38B81B8087B6}" name="FIN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844481-75F0-4782-986A-DD51975CFFB7}" name="Tabla6" displayName="Tabla6" ref="E30:G55" totalsRowShown="0" headerRowDxfId="15">
  <autoFilter ref="E30:G55" xr:uid="{DE844481-75F0-4782-986A-DD51975CFFB7}">
    <filterColumn colId="0">
      <filters>
        <filter val="NEMEN"/>
      </filters>
    </filterColumn>
  </autoFilter>
  <tableColumns count="3">
    <tableColumn id="1" xr3:uid="{3A0BBBFB-A3ED-4DB1-81FB-6CB8AE5B5760}" name="LABORATORIO" dataDxfId="14"/>
    <tableColumn id="2" xr3:uid="{32F12BED-B00E-4F27-8276-8555DBD2FFCC}" name="FECHA CADUCIDAD" dataDxfId="13"/>
    <tableColumn id="3" xr3:uid="{51AEB59D-E838-4871-80B3-FDE69E6BA22D}" name="FECHA DE EMIS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640" dT="2026-04-19T13:55:53.65" personId="{FCF8ECD5-8786-41B9-B4BC-0F6D4DFA71BD}" id="{32DE3C71-A70A-4602-BB4E-97D13CD23672}">
    <text>CON REPAÑA</text>
  </threadedComment>
  <threadedComment ref="L1640" dT="2026-04-19T13:55:53.65" personId="{FCF8ECD5-8786-41B9-B4BC-0F6D4DFA71BD}" id="{21720087-D16E-49A7-97B5-164D6AF56A4C}">
    <text>CON REPAÑA</text>
  </threadedComment>
  <threadedComment ref="E1642" dT="2026-04-20T14:58:58.22" personId="{FCF8ECD5-8786-41B9-B4BC-0F6D4DFA71BD}" id="{343762F3-796E-44DD-92FF-B9D897BE315B}">
    <text>PESCA + REPAÑA</text>
  </threadedComment>
  <threadedComment ref="L1642" dT="2026-04-20T14:58:58.22" personId="{FCF8ECD5-8786-41B9-B4BC-0F6D4DFA71BD}" id="{9BCF1C2C-9A55-4560-8F80-DAEF410A2751}">
    <text>PESCA + REPAÑA</text>
  </threadedComment>
  <threadedComment ref="E1649" dT="2026-04-19T13:59:16.95" personId="{FCF8ECD5-8786-41B9-B4BC-0F6D4DFA71BD}" id="{E0CD845D-208E-4FA0-80E3-8489A8B0E249}">
    <text>PESCA SUSPENDIDA POR MUDA</text>
  </threadedComment>
  <threadedComment ref="L1649" dT="2026-04-19T13:59:16.95" personId="{FCF8ECD5-8786-41B9-B4BC-0F6D4DFA71BD}" id="{C5AF810F-6480-4C12-9609-ED66F74C27FC}">
    <text>PESCA SUSPENDIDA POR MUDA</text>
  </threadedComment>
  <threadedComment ref="E1656" dT="2026-04-20T15:15:05.41" personId="{FCF8ECD5-8786-41B9-B4BC-0F6D4DFA71BD}" id="{5E918534-8926-427F-A367-DF0091784FDC}">
    <text>SUSPENDIDA POR MUDA</text>
  </threadedComment>
  <threadedComment ref="E1671" dT="2026-04-22T22:46:40.16" personId="{FCF8ECD5-8786-41B9-B4BC-0F6D4DFA71BD}" id="{6483E2EE-1346-4953-9576-54D8CC40D0E2}">
    <text>CAMARON VIVO</text>
  </threadedComment>
  <threadedComment ref="E1673" dT="2026-04-22T14:25:54.49" personId="{FCF8ECD5-8786-41B9-B4BC-0F6D4DFA71BD}" id="{465633AA-9678-4541-8442-4C0EFDD33670}">
    <text>PESCA SUSPENDIDA POR MUDA</text>
  </threadedComment>
  <threadedComment ref="E1747" dT="2026-05-01T15:15:45.47" personId="{FCF8ECD5-8786-41B9-B4BC-0F6D4DFA71BD}" id="{44BB1327-5B4B-4EF0-BF34-DDD62DFBF6DA}">
    <text xml:space="preserve">PESCA SUSPENDIDA POR MUDA
</text>
  </threadedComment>
  <threadedComment ref="L1747" dT="2026-05-01T15:15:45.47" personId="{FCF8ECD5-8786-41B9-B4BC-0F6D4DFA71BD}" id="{9D182A58-6B84-4455-96AB-960D2CAD3016}">
    <text xml:space="preserve">PESCA SUSPENDIDA POR MUDA
</text>
  </threadedComment>
  <threadedComment ref="E1757" dT="2026-05-02T14:13:30.69" personId="{FCF8ECD5-8786-41B9-B4BC-0F6D4DFA71BD}" id="{FDAF2131-66ED-4E29-98F7-6A20021C3C3B}">
    <text>RALEO SUSPENDIDO POR MUDA</text>
  </threadedComment>
  <threadedComment ref="E1759" dT="2026-05-02T14:13:14.99" personId="{FCF8ECD5-8786-41B9-B4BC-0F6D4DFA71BD}" id="{5C3063F3-3CF5-4585-8D58-826564A5D293}">
    <text>POR PESCAR REPAÑA</text>
  </threadedComment>
  <threadedComment ref="E1760" dT="2026-05-02T14:13:55.35" personId="{FCF8ECD5-8786-41B9-B4BC-0F6D4DFA71BD}" id="{5779BB76-77E9-4653-B3B4-B7FD144436F5}">
    <text xml:space="preserve">LIQUIDACIÓN DE LA PISCINA
</text>
  </threadedComment>
  <threadedComment ref="E1794" dT="2026-05-06T21:45:21.48" personId="{FCF8ECD5-8786-41B9-B4BC-0F6D4DFA71BD}" id="{CBE9A9AC-73F7-4392-BEED-52535CECC9B7}">
    <text>POR LIQUIDAR</text>
  </threadedComment>
  <threadedComment ref="E1863" dT="2026-05-16T18:49:20.77" personId="{FCF8ECD5-8786-41B9-B4BC-0F6D4DFA71BD}" id="{D7296EA3-FA4B-4989-93CD-D304042C98E1}">
    <text xml:space="preserve">PESCA SUSPENDIDA POR MUDA
</text>
  </threadedComment>
  <threadedComment ref="E1870" dT="2026-05-17T14:29:24.94" personId="{FCF8ECD5-8786-41B9-B4BC-0F6D4DFA71BD}" id="{746FA9C2-ADD7-4C58-8F68-AA51AE986C15}">
    <text xml:space="preserve">SUSPENDIDO POR BAJA ACTIVIDAD
</text>
  </threadedComment>
  <threadedComment ref="L1870" dT="2026-05-17T14:29:24.94" personId="{FCF8ECD5-8786-41B9-B4BC-0F6D4DFA71BD}" id="{97FE88C3-A365-4522-BF6E-2BDBE3FE65A6}">
    <text xml:space="preserve">SUSPENDIDO POR BAJA ACTIVIDAD
</text>
  </threadedComment>
  <threadedComment ref="E1871" dT="2026-05-17T18:03:24.58" personId="{FCF8ECD5-8786-41B9-B4BC-0F6D4DFA71BD}" id="{F95EA5FA-EF28-4F27-B790-D45DEA50AFEA}">
    <text>PESCA VIVA + PESCA CONVENCIONAL</text>
  </threadedComment>
  <threadedComment ref="L1871" dT="2026-05-17T18:03:24.58" personId="{FCF8ECD5-8786-41B9-B4BC-0F6D4DFA71BD}" id="{B1D9C60E-F54D-4D43-925C-E9507183DAB6}">
    <text>PESCA VIVA + PESCA CONVENCIONAL</text>
  </threadedComment>
  <threadedComment ref="E1875" dT="2026-05-17T14:29:03.31" personId="{FCF8ECD5-8786-41B9-B4BC-0F6D4DFA71BD}" id="{5230B838-1B2B-4277-B8C9-F6EC1D72A2BC}">
    <text>SUSPENDIDO POR MUDA</text>
  </threadedComment>
  <threadedComment ref="L1875" dT="2026-05-17T14:29:03.31" personId="{FCF8ECD5-8786-41B9-B4BC-0F6D4DFA71BD}" id="{4C5990C4-02E5-41FD-8268-3E6DA899C59C}">
    <text>SUSPENDIDO POR MUDA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3EAA-C2DE-4624-A996-298B7F28925F}">
  <sheetPr codeName="Hoja1"/>
  <dimension ref="A1:E106"/>
  <sheetViews>
    <sheetView workbookViewId="0">
      <selection activeCell="C56" sqref="C56"/>
    </sheetView>
  </sheetViews>
  <sheetFormatPr baseColWidth="10" defaultColWidth="9.140625" defaultRowHeight="15" x14ac:dyDescent="0.25"/>
  <cols>
    <col min="1" max="1" width="12.5703125" bestFit="1" customWidth="1"/>
    <col min="2" max="2" width="22.28515625" style="5" bestFit="1" customWidth="1"/>
    <col min="3" max="3" width="18.5703125" style="11" bestFit="1" customWidth="1"/>
    <col min="4" max="4" width="27.5703125" bestFit="1" customWidth="1"/>
    <col min="5" max="5" width="30.28515625" style="11" bestFit="1" customWidth="1"/>
    <col min="6" max="7" width="7.7109375" bestFit="1" customWidth="1"/>
    <col min="8" max="8" width="12.5703125" bestFit="1" customWidth="1"/>
    <col min="9" max="11" width="7.7109375" bestFit="1" customWidth="1"/>
    <col min="12" max="12" width="12.5703125" bestFit="1" customWidth="1"/>
    <col min="13" max="13" width="11.42578125" bestFit="1" customWidth="1"/>
    <col min="14" max="14" width="7.7109375" bestFit="1" customWidth="1"/>
    <col min="15" max="15" width="12.5703125" bestFit="1" customWidth="1"/>
    <col min="16" max="16" width="11.42578125" bestFit="1" customWidth="1"/>
    <col min="17" max="17" width="7.7109375" bestFit="1" customWidth="1"/>
    <col min="18" max="20" width="12.5703125" bestFit="1" customWidth="1"/>
    <col min="21" max="22" width="7.7109375" bestFit="1" customWidth="1"/>
    <col min="23" max="23" width="12.5703125" bestFit="1" customWidth="1"/>
    <col min="24" max="24" width="7.7109375" bestFit="1" customWidth="1"/>
    <col min="25" max="27" width="12.5703125" bestFit="1" customWidth="1"/>
    <col min="28" max="28" width="7.7109375" bestFit="1" customWidth="1"/>
    <col min="29" max="30" width="12.5703125" bestFit="1" customWidth="1"/>
    <col min="31" max="31" width="7.7109375" bestFit="1" customWidth="1"/>
    <col min="32" max="32" width="12.5703125" bestFit="1" customWidth="1"/>
    <col min="33" max="34" width="7.7109375" bestFit="1" customWidth="1"/>
    <col min="35" max="35" width="12.5703125" bestFit="1" customWidth="1"/>
    <col min="36" max="36" width="7.7109375" bestFit="1" customWidth="1"/>
    <col min="37" max="44" width="12.5703125" bestFit="1" customWidth="1"/>
    <col min="45" max="46" width="7.7109375" bestFit="1" customWidth="1"/>
    <col min="47" max="48" width="12.5703125" bestFit="1" customWidth="1"/>
    <col min="49" max="51" width="7.7109375" bestFit="1" customWidth="1"/>
    <col min="52" max="52" width="12.5703125" bestFit="1" customWidth="1"/>
    <col min="53" max="53" width="7.7109375" bestFit="1" customWidth="1"/>
    <col min="54" max="56" width="12.5703125" bestFit="1" customWidth="1"/>
    <col min="57" max="58" width="7.7109375" bestFit="1" customWidth="1"/>
    <col min="59" max="59" width="12.5703125" bestFit="1" customWidth="1"/>
    <col min="60" max="60" width="7.7109375" bestFit="1" customWidth="1"/>
    <col min="61" max="61" width="9.28515625" bestFit="1" customWidth="1"/>
    <col min="62" max="64" width="12.5703125" bestFit="1" customWidth="1"/>
    <col min="65" max="66" width="7.7109375" bestFit="1" customWidth="1"/>
    <col min="67" max="67" width="12.5703125" bestFit="1" customWidth="1"/>
    <col min="68" max="70" width="7.7109375" bestFit="1" customWidth="1"/>
    <col min="71" max="71" width="12.5703125" bestFit="1" customWidth="1"/>
    <col min="72" max="76" width="7.7109375" bestFit="1" customWidth="1"/>
    <col min="77" max="77" width="11.42578125" bestFit="1" customWidth="1"/>
    <col min="78" max="79" width="12.5703125" bestFit="1" customWidth="1"/>
    <col min="80" max="80" width="7.7109375" bestFit="1" customWidth="1"/>
    <col min="81" max="81" width="12.5703125" bestFit="1" customWidth="1"/>
    <col min="82" max="82" width="7.7109375" bestFit="1" customWidth="1"/>
    <col min="83" max="83" width="12.5703125" bestFit="1" customWidth="1"/>
    <col min="84" max="86" width="7.7109375" bestFit="1" customWidth="1"/>
    <col min="87" max="89" width="12.5703125" bestFit="1" customWidth="1"/>
    <col min="90" max="90" width="7.7109375" bestFit="1" customWidth="1"/>
    <col min="91" max="91" width="12.5703125" bestFit="1" customWidth="1"/>
    <col min="92" max="92" width="7.7109375" bestFit="1" customWidth="1"/>
    <col min="93" max="94" width="12.5703125" bestFit="1" customWidth="1"/>
    <col min="95" max="95" width="7.7109375" bestFit="1" customWidth="1"/>
    <col min="96" max="97" width="12.5703125" bestFit="1" customWidth="1"/>
    <col min="98" max="98" width="7.7109375" bestFit="1" customWidth="1"/>
    <col min="99" max="99" width="12.5703125" bestFit="1" customWidth="1"/>
    <col min="100" max="100" width="7.7109375" bestFit="1" customWidth="1"/>
    <col min="101" max="101" width="1.85546875" bestFit="1" customWidth="1"/>
    <col min="102" max="102" width="12.85546875" bestFit="1" customWidth="1"/>
  </cols>
  <sheetData>
    <row r="1" spans="1:5" x14ac:dyDescent="0.25">
      <c r="A1" s="10" t="s">
        <v>0</v>
      </c>
      <c r="B1" t="s">
        <v>1</v>
      </c>
    </row>
    <row r="3" spans="1:5" x14ac:dyDescent="0.25">
      <c r="A3" s="10" t="s">
        <v>2</v>
      </c>
      <c r="B3" s="5" t="s">
        <v>3</v>
      </c>
      <c r="C3" s="11" t="s">
        <v>4</v>
      </c>
      <c r="D3" t="s">
        <v>5</v>
      </c>
      <c r="E3" s="11" t="s">
        <v>6</v>
      </c>
    </row>
    <row r="4" spans="1:5" x14ac:dyDescent="0.25">
      <c r="A4" t="s">
        <v>7</v>
      </c>
      <c r="B4" s="5">
        <v>180000</v>
      </c>
      <c r="C4" s="11">
        <v>82.5</v>
      </c>
      <c r="D4" s="11">
        <v>73.817177424954281</v>
      </c>
      <c r="E4" s="11">
        <v>27.32</v>
      </c>
    </row>
    <row r="5" spans="1:5" x14ac:dyDescent="0.25">
      <c r="A5" t="s">
        <v>8</v>
      </c>
      <c r="B5" s="5">
        <v>156000</v>
      </c>
      <c r="C5" s="11">
        <v>73</v>
      </c>
      <c r="D5" s="11">
        <v>75.173078780920207</v>
      </c>
      <c r="E5" s="11">
        <v>29.02</v>
      </c>
    </row>
    <row r="6" spans="1:5" x14ac:dyDescent="0.25">
      <c r="A6" t="s">
        <v>9</v>
      </c>
      <c r="B6" s="5">
        <v>180000</v>
      </c>
      <c r="C6" s="11">
        <v>82</v>
      </c>
      <c r="D6" s="11">
        <v>77.554574993389451</v>
      </c>
      <c r="E6" s="11">
        <v>33.18</v>
      </c>
    </row>
    <row r="7" spans="1:5" x14ac:dyDescent="0.25">
      <c r="A7" t="s">
        <v>10</v>
      </c>
      <c r="B7" s="5">
        <v>190000</v>
      </c>
      <c r="C7" s="11">
        <v>77.5</v>
      </c>
      <c r="D7" s="11">
        <v>67.808012106477193</v>
      </c>
      <c r="E7" s="11">
        <v>26.65</v>
      </c>
    </row>
    <row r="8" spans="1:5" x14ac:dyDescent="0.25">
      <c r="A8" t="s">
        <v>11</v>
      </c>
      <c r="B8" s="5">
        <v>180000</v>
      </c>
      <c r="C8" s="11">
        <v>82.5</v>
      </c>
      <c r="D8" s="11">
        <v>65.130988754622109</v>
      </c>
      <c r="E8" s="11">
        <v>32.32</v>
      </c>
    </row>
    <row r="9" spans="1:5" x14ac:dyDescent="0.25">
      <c r="A9" t="s">
        <v>12</v>
      </c>
      <c r="B9" s="5">
        <v>180000</v>
      </c>
      <c r="C9" s="11">
        <v>83</v>
      </c>
      <c r="D9" s="11">
        <v>71.245964338524857</v>
      </c>
      <c r="E9" s="11">
        <v>28.42</v>
      </c>
    </row>
    <row r="10" spans="1:5" x14ac:dyDescent="0.25">
      <c r="A10" t="s">
        <v>13</v>
      </c>
      <c r="B10" s="5">
        <v>120000</v>
      </c>
      <c r="C10" s="11">
        <v>80</v>
      </c>
      <c r="D10" s="11">
        <v>78.66953483976036</v>
      </c>
      <c r="E10" s="11">
        <v>31.26</v>
      </c>
    </row>
    <row r="11" spans="1:5" x14ac:dyDescent="0.25">
      <c r="A11" t="s">
        <v>14</v>
      </c>
      <c r="B11" s="5">
        <v>180000</v>
      </c>
      <c r="C11" s="11">
        <v>76</v>
      </c>
      <c r="D11" s="11">
        <v>69.208674673826309</v>
      </c>
      <c r="E11" s="11">
        <v>30.759999999999998</v>
      </c>
    </row>
    <row r="12" spans="1:5" x14ac:dyDescent="0.25">
      <c r="A12" t="s">
        <v>15</v>
      </c>
      <c r="B12" s="5">
        <v>177500</v>
      </c>
      <c r="C12" s="11">
        <v>74.5</v>
      </c>
      <c r="D12" s="11">
        <v>67.224085652376715</v>
      </c>
      <c r="E12" s="11">
        <v>26.605</v>
      </c>
    </row>
    <row r="13" spans="1:5" x14ac:dyDescent="0.25">
      <c r="A13" t="s">
        <v>16</v>
      </c>
      <c r="B13" s="5">
        <v>180000</v>
      </c>
      <c r="C13" s="11">
        <v>87</v>
      </c>
      <c r="D13" s="11">
        <v>70.625179952716394</v>
      </c>
      <c r="E13" s="11">
        <v>30</v>
      </c>
    </row>
    <row r="14" spans="1:5" x14ac:dyDescent="0.25">
      <c r="A14" t="s">
        <v>17</v>
      </c>
      <c r="B14" s="5">
        <v>178871.47335423197</v>
      </c>
      <c r="C14" s="11">
        <v>73</v>
      </c>
      <c r="D14" s="11">
        <v>64.679545535624484</v>
      </c>
      <c r="E14" s="11">
        <v>27.344999999999999</v>
      </c>
    </row>
    <row r="15" spans="1:5" x14ac:dyDescent="0.25">
      <c r="A15" t="s">
        <v>18</v>
      </c>
      <c r="B15" s="5">
        <v>175000</v>
      </c>
      <c r="C15" s="11">
        <v>75.5</v>
      </c>
      <c r="D15" s="11">
        <v>67.662427457101984</v>
      </c>
      <c r="E15" s="11">
        <v>28.21</v>
      </c>
    </row>
    <row r="16" spans="1:5" x14ac:dyDescent="0.25">
      <c r="A16" t="s">
        <v>19</v>
      </c>
      <c r="B16" s="5">
        <v>180000</v>
      </c>
      <c r="C16" s="11">
        <v>79</v>
      </c>
      <c r="D16" s="11">
        <v>62.838071405633862</v>
      </c>
      <c r="E16" s="11">
        <v>31.839999999999996</v>
      </c>
    </row>
    <row r="17" spans="1:5" x14ac:dyDescent="0.25">
      <c r="A17" t="s">
        <v>20</v>
      </c>
      <c r="B17" s="5">
        <v>180000</v>
      </c>
      <c r="C17" s="11">
        <v>89</v>
      </c>
      <c r="D17" s="11">
        <v>74.200262806233809</v>
      </c>
      <c r="E17" s="11">
        <v>32.06</v>
      </c>
    </row>
    <row r="18" spans="1:5" x14ac:dyDescent="0.25">
      <c r="A18" t="s">
        <v>21</v>
      </c>
      <c r="B18" s="5">
        <v>180000</v>
      </c>
      <c r="C18" s="11">
        <v>76</v>
      </c>
      <c r="D18" s="11">
        <v>71.083979054143541</v>
      </c>
      <c r="E18" s="11">
        <v>33.340000000000003</v>
      </c>
    </row>
    <row r="19" spans="1:5" x14ac:dyDescent="0.25">
      <c r="A19" t="s">
        <v>22</v>
      </c>
      <c r="B19" s="5">
        <v>180000</v>
      </c>
      <c r="C19" s="11">
        <v>84.5</v>
      </c>
      <c r="D19" s="11">
        <v>68.762999306797411</v>
      </c>
      <c r="E19" s="11">
        <v>32.69</v>
      </c>
    </row>
    <row r="20" spans="1:5" x14ac:dyDescent="0.25">
      <c r="A20" t="s">
        <v>23</v>
      </c>
      <c r="B20" s="5">
        <v>125000</v>
      </c>
      <c r="C20" s="11">
        <v>85.5</v>
      </c>
      <c r="D20" s="11">
        <v>54.924051225629981</v>
      </c>
      <c r="E20" s="11">
        <v>35.524999999999999</v>
      </c>
    </row>
    <row r="21" spans="1:5" x14ac:dyDescent="0.25">
      <c r="A21" t="s">
        <v>24</v>
      </c>
      <c r="B21" s="5">
        <v>190252.63565891475</v>
      </c>
      <c r="C21" s="11">
        <v>90</v>
      </c>
      <c r="D21" s="11">
        <v>65.795413040689596</v>
      </c>
      <c r="E21" s="11">
        <v>34.484999999999999</v>
      </c>
    </row>
    <row r="22" spans="1:5" x14ac:dyDescent="0.25">
      <c r="A22" t="s">
        <v>25</v>
      </c>
      <c r="B22" s="5">
        <v>160000</v>
      </c>
      <c r="C22" s="11">
        <v>77.5</v>
      </c>
      <c r="D22" s="11">
        <v>56.31698360451098</v>
      </c>
      <c r="E22" s="11">
        <v>32.29</v>
      </c>
    </row>
    <row r="23" spans="1:5" x14ac:dyDescent="0.25">
      <c r="A23" t="s">
        <v>26</v>
      </c>
      <c r="B23" s="5">
        <v>180000</v>
      </c>
      <c r="C23" s="11">
        <v>80.5</v>
      </c>
      <c r="D23" s="11">
        <v>60.698139424863129</v>
      </c>
      <c r="E23" s="11">
        <v>33.69</v>
      </c>
    </row>
    <row r="24" spans="1:5" x14ac:dyDescent="0.25">
      <c r="A24" t="s">
        <v>27</v>
      </c>
      <c r="B24" s="5">
        <v>140000</v>
      </c>
      <c r="C24" s="11">
        <v>75</v>
      </c>
      <c r="D24" s="11">
        <v>52.493475191732024</v>
      </c>
      <c r="E24" s="11">
        <v>33.53</v>
      </c>
    </row>
    <row r="25" spans="1:5" x14ac:dyDescent="0.25">
      <c r="A25" t="s">
        <v>28</v>
      </c>
      <c r="B25" s="5">
        <v>170000</v>
      </c>
      <c r="C25" s="11">
        <v>76</v>
      </c>
      <c r="D25" s="11">
        <v>47.432984779774422</v>
      </c>
      <c r="E25" s="11">
        <v>27.93</v>
      </c>
    </row>
    <row r="26" spans="1:5" x14ac:dyDescent="0.25">
      <c r="A26" t="s">
        <v>29</v>
      </c>
      <c r="B26" s="5">
        <v>180000</v>
      </c>
      <c r="C26" s="11">
        <v>73.5</v>
      </c>
      <c r="D26" s="11">
        <v>66.4414394197467</v>
      </c>
      <c r="E26" s="11">
        <v>31.6</v>
      </c>
    </row>
    <row r="27" spans="1:5" x14ac:dyDescent="0.25">
      <c r="A27" t="s">
        <v>30</v>
      </c>
      <c r="B27" s="5">
        <v>175000</v>
      </c>
      <c r="C27" s="11">
        <v>78</v>
      </c>
      <c r="D27" s="11">
        <v>70.622268206383467</v>
      </c>
      <c r="E27" s="11">
        <v>29.8</v>
      </c>
    </row>
    <row r="28" spans="1:5" x14ac:dyDescent="0.25">
      <c r="A28" t="s">
        <v>31</v>
      </c>
      <c r="B28" s="5">
        <v>172298.73702503156</v>
      </c>
      <c r="C28" s="11">
        <v>79.268292682926827</v>
      </c>
      <c r="D28" s="11">
        <v>65.432384391096065</v>
      </c>
      <c r="E28" s="11">
        <v>30.878048780487795</v>
      </c>
    </row>
    <row r="29" spans="1:5" x14ac:dyDescent="0.25">
      <c r="B29"/>
      <c r="C29"/>
      <c r="E29"/>
    </row>
    <row r="30" spans="1:5" x14ac:dyDescent="0.25">
      <c r="B30"/>
      <c r="C30"/>
      <c r="E30"/>
    </row>
    <row r="31" spans="1:5" x14ac:dyDescent="0.25">
      <c r="B31"/>
      <c r="C31"/>
      <c r="E31"/>
    </row>
    <row r="32" spans="1:5" x14ac:dyDescent="0.25">
      <c r="B32"/>
      <c r="C32"/>
      <c r="E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77C0-CBD1-4B89-8753-6EC664382723}">
  <sheetPr codeName="Hoja4">
    <tabColor rgb="FFFFFF00"/>
  </sheetPr>
  <dimension ref="A5:E25"/>
  <sheetViews>
    <sheetView workbookViewId="0">
      <selection activeCell="B19" sqref="B19"/>
    </sheetView>
  </sheetViews>
  <sheetFormatPr baseColWidth="10" defaultColWidth="9.140625" defaultRowHeight="15" x14ac:dyDescent="0.25"/>
  <cols>
    <col min="1" max="1" width="13.5703125" bestFit="1" customWidth="1"/>
    <col min="2" max="2" width="19.42578125" bestFit="1" customWidth="1"/>
    <col min="3" max="3" width="16.42578125" bestFit="1" customWidth="1"/>
    <col min="4" max="4" width="14" bestFit="1" customWidth="1"/>
    <col min="5" max="5" width="18.5703125" style="44" bestFit="1" customWidth="1"/>
    <col min="6" max="6" width="6.7109375" bestFit="1" customWidth="1"/>
    <col min="7" max="7" width="6.140625" bestFit="1" customWidth="1"/>
    <col min="8" max="8" width="11.140625" bestFit="1" customWidth="1"/>
    <col min="9" max="9" width="12.85546875" bestFit="1" customWidth="1"/>
  </cols>
  <sheetData>
    <row r="5" spans="1:5" s="9" customFormat="1" ht="45" x14ac:dyDescent="0.25">
      <c r="A5" s="102" t="s">
        <v>32</v>
      </c>
      <c r="B5" s="9" t="s">
        <v>33</v>
      </c>
      <c r="C5" s="9" t="s">
        <v>34</v>
      </c>
      <c r="D5" s="103" t="s">
        <v>5</v>
      </c>
      <c r="E5" s="104" t="s">
        <v>4</v>
      </c>
    </row>
    <row r="6" spans="1:5" x14ac:dyDescent="0.25">
      <c r="A6" t="s">
        <v>35</v>
      </c>
      <c r="B6" s="100">
        <v>5545.8434576719565</v>
      </c>
      <c r="C6" s="99">
        <v>1.5440795876122519</v>
      </c>
      <c r="D6" s="98">
        <v>48.535037505608216</v>
      </c>
      <c r="E6" s="98">
        <v>84</v>
      </c>
    </row>
    <row r="7" spans="1:5" x14ac:dyDescent="0.25">
      <c r="A7" t="s">
        <v>36</v>
      </c>
      <c r="B7" s="98">
        <v>6334.5939682091184</v>
      </c>
      <c r="C7" s="99">
        <v>1.4282172004019</v>
      </c>
      <c r="D7" s="98">
        <v>53.968445084840027</v>
      </c>
      <c r="E7" s="98">
        <v>80.599999999999994</v>
      </c>
    </row>
    <row r="8" spans="1:5" x14ac:dyDescent="0.25">
      <c r="A8" t="s">
        <v>37</v>
      </c>
      <c r="B8" s="98">
        <v>7438.2315738676471</v>
      </c>
      <c r="C8" s="101">
        <v>1.3383048060316995</v>
      </c>
      <c r="D8" s="98">
        <v>69.3741440746807</v>
      </c>
      <c r="E8" s="98">
        <v>74.625</v>
      </c>
    </row>
    <row r="9" spans="1:5" x14ac:dyDescent="0.25">
      <c r="A9" t="s">
        <v>38</v>
      </c>
      <c r="B9" s="98">
        <v>3990.4981615817055</v>
      </c>
      <c r="C9" s="101">
        <v>2.8557889140777921</v>
      </c>
      <c r="D9" s="98">
        <v>38.786094386294423</v>
      </c>
      <c r="E9" s="98">
        <v>81.75</v>
      </c>
    </row>
    <row r="10" spans="1:5" x14ac:dyDescent="0.25">
      <c r="A10" t="s">
        <v>39</v>
      </c>
      <c r="B10" s="100">
        <v>8731.7895992273752</v>
      </c>
      <c r="C10" s="99">
        <v>1.4222304875602303</v>
      </c>
      <c r="D10" s="98">
        <v>70.345020859644308</v>
      </c>
      <c r="E10" s="98">
        <v>88.75</v>
      </c>
    </row>
    <row r="11" spans="1:5" x14ac:dyDescent="0.25">
      <c r="A11" t="s">
        <v>40</v>
      </c>
      <c r="B11" s="100">
        <v>5462.821299580658</v>
      </c>
      <c r="C11" s="99">
        <v>1.722537053970165</v>
      </c>
      <c r="D11" s="98">
        <v>58.94775851092777</v>
      </c>
      <c r="E11" s="98">
        <v>79.5</v>
      </c>
    </row>
    <row r="12" spans="1:5" x14ac:dyDescent="0.25">
      <c r="A12" t="s">
        <v>41</v>
      </c>
      <c r="B12" s="100">
        <v>6199.2383934218842</v>
      </c>
      <c r="C12" s="99">
        <v>1.3420385705349047</v>
      </c>
      <c r="D12" s="98">
        <v>57.780796973348586</v>
      </c>
      <c r="E12" s="98">
        <v>86.5</v>
      </c>
    </row>
    <row r="13" spans="1:5" x14ac:dyDescent="0.25">
      <c r="A13" t="s">
        <v>42</v>
      </c>
      <c r="B13" s="100">
        <v>5020.0331046951169</v>
      </c>
      <c r="C13" s="99">
        <v>1.7219679038351483</v>
      </c>
      <c r="D13" s="98">
        <v>46.076810512135864</v>
      </c>
      <c r="E13" s="98">
        <v>71.166666666666671</v>
      </c>
    </row>
    <row r="14" spans="1:5" x14ac:dyDescent="0.25">
      <c r="A14" t="s">
        <v>43</v>
      </c>
      <c r="B14" s="100">
        <v>5596.8738014515739</v>
      </c>
      <c r="C14" s="99">
        <v>1.474186996352902</v>
      </c>
      <c r="D14" s="98">
        <v>64.436536229645057</v>
      </c>
      <c r="E14" s="98">
        <v>89</v>
      </c>
    </row>
    <row r="15" spans="1:5" x14ac:dyDescent="0.25">
      <c r="A15" t="s">
        <v>44</v>
      </c>
      <c r="B15" s="100">
        <v>3215.5499999999997</v>
      </c>
      <c r="C15" s="101">
        <v>1.8173259879493215</v>
      </c>
      <c r="D15" s="98">
        <v>34.72466271737575</v>
      </c>
      <c r="E15" s="98">
        <v>70</v>
      </c>
    </row>
    <row r="16" spans="1:5" x14ac:dyDescent="0.25">
      <c r="A16" t="s">
        <v>45</v>
      </c>
      <c r="B16" s="98">
        <v>7594.9968061836116</v>
      </c>
      <c r="C16" s="99">
        <v>1.4433657048625266</v>
      </c>
      <c r="D16" s="98">
        <v>61.141943703786637</v>
      </c>
      <c r="E16" s="98">
        <v>86.5</v>
      </c>
    </row>
    <row r="17" spans="1:5" x14ac:dyDescent="0.25">
      <c r="A17" t="s">
        <v>46</v>
      </c>
      <c r="B17" s="98">
        <v>7920.3158480213915</v>
      </c>
      <c r="C17" s="99">
        <v>1.3947172092871871</v>
      </c>
      <c r="D17" s="98">
        <v>63.570486947328348</v>
      </c>
      <c r="E17" s="98">
        <v>78.8</v>
      </c>
    </row>
    <row r="18" spans="1:5" x14ac:dyDescent="0.25">
      <c r="A18" t="s">
        <v>47</v>
      </c>
      <c r="B18" s="100">
        <v>10018.65411847231</v>
      </c>
      <c r="C18" s="99">
        <v>1.2816399993576109</v>
      </c>
      <c r="D18" s="98">
        <v>89.282570909134606</v>
      </c>
      <c r="E18" s="98">
        <v>83</v>
      </c>
    </row>
    <row r="19" spans="1:5" x14ac:dyDescent="0.25">
      <c r="A19" t="s">
        <v>48</v>
      </c>
      <c r="B19" s="100">
        <v>8029.6399999999994</v>
      </c>
      <c r="C19" s="101">
        <v>1.3123861094644345</v>
      </c>
      <c r="D19" s="100">
        <v>62.269470438804433</v>
      </c>
      <c r="E19" s="100">
        <v>84</v>
      </c>
    </row>
    <row r="20" spans="1:5" x14ac:dyDescent="0.25">
      <c r="A20" t="s">
        <v>49</v>
      </c>
      <c r="B20" s="100">
        <v>3955.2278373015874</v>
      </c>
      <c r="C20" s="101">
        <v>1.3078931590977165</v>
      </c>
      <c r="D20" s="100">
        <v>43.849850673634037</v>
      </c>
      <c r="E20" s="100">
        <v>70.75</v>
      </c>
    </row>
    <row r="21" spans="1:5" x14ac:dyDescent="0.25">
      <c r="A21" t="s">
        <v>31</v>
      </c>
      <c r="B21" s="5">
        <v>6410.1639324188545</v>
      </c>
      <c r="C21" s="11">
        <v>1.5628613968140024</v>
      </c>
      <c r="D21" s="44">
        <v>58.015875703180889</v>
      </c>
      <c r="E21" s="44">
        <v>80.161764705882348</v>
      </c>
    </row>
    <row r="22" spans="1:5" x14ac:dyDescent="0.25">
      <c r="E22"/>
    </row>
    <row r="23" spans="1:5" x14ac:dyDescent="0.25">
      <c r="E23"/>
    </row>
    <row r="24" spans="1:5" x14ac:dyDescent="0.25">
      <c r="E24"/>
    </row>
    <row r="25" spans="1:5" x14ac:dyDescent="0.25">
      <c r="E25"/>
    </row>
  </sheetData>
  <conditionalFormatting pivot="1" sqref="B6:B24">
    <cfRule type="cellIs" dxfId="604" priority="6" operator="greaterThan">
      <formula>5000</formula>
    </cfRule>
  </conditionalFormatting>
  <conditionalFormatting pivot="1" sqref="B6:B24">
    <cfRule type="cellIs" dxfId="603" priority="5" operator="lessThan">
      <formula>4000</formula>
    </cfRule>
  </conditionalFormatting>
  <conditionalFormatting pivot="1" sqref="C6:C24">
    <cfRule type="cellIs" dxfId="602" priority="4" operator="lessThan">
      <formula>1.4</formula>
    </cfRule>
  </conditionalFormatting>
  <conditionalFormatting pivot="1" sqref="C6:C24">
    <cfRule type="cellIs" dxfId="601" priority="3" operator="greaterThan">
      <formula>1.65</formula>
    </cfRule>
  </conditionalFormatting>
  <conditionalFormatting pivot="1" sqref="D6:D24">
    <cfRule type="cellIs" dxfId="600" priority="2" operator="lessThan">
      <formula>60</formula>
    </cfRule>
  </conditionalFormatting>
  <conditionalFormatting pivot="1" sqref="D6:D24">
    <cfRule type="cellIs" dxfId="599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6C6C-3018-4C4C-80B1-C3805FC463EC}">
  <sheetPr codeName="Hoja5">
    <tabColor rgb="FF00B0F0"/>
    <pageSetUpPr fitToPage="1"/>
  </sheetPr>
  <dimension ref="A1:AX457"/>
  <sheetViews>
    <sheetView tabSelected="1" zoomScale="85" zoomScaleNormal="85" workbookViewId="0">
      <pane ySplit="2" topLeftCell="A405" activePane="bottomLeft" state="frozen"/>
      <selection activeCell="A1817" sqref="A1817"/>
      <selection pane="bottomLeft" activeCell="U410" sqref="U410"/>
    </sheetView>
  </sheetViews>
  <sheetFormatPr baseColWidth="10" defaultColWidth="9.140625" defaultRowHeight="15" x14ac:dyDescent="0.25"/>
  <cols>
    <col min="1" max="1" width="12" style="6" customWidth="1"/>
    <col min="2" max="2" width="12.42578125" customWidth="1"/>
    <col min="3" max="3" width="9.42578125" style="1" customWidth="1"/>
    <col min="4" max="4" width="10.7109375" style="1" bestFit="1" customWidth="1"/>
    <col min="5" max="5" width="11" style="1" bestFit="1" customWidth="1"/>
    <col min="6" max="6" width="14.140625" style="1" bestFit="1" customWidth="1"/>
    <col min="7" max="7" width="13.85546875" style="1" customWidth="1"/>
    <col min="8" max="8" width="9.140625" style="45" bestFit="1" customWidth="1"/>
    <col min="9" max="9" width="16.7109375" style="1" customWidth="1"/>
    <col min="10" max="10" width="9.7109375" style="1" customWidth="1"/>
    <col min="11" max="11" width="14" style="218" customWidth="1"/>
    <col min="12" max="12" width="20.5703125" style="1" customWidth="1"/>
    <col min="13" max="13" width="13.5703125" style="1" customWidth="1"/>
    <col min="14" max="14" width="15.7109375" style="1" customWidth="1"/>
    <col min="15" max="15" width="12.140625" style="122" customWidth="1"/>
    <col min="16" max="16" width="16.85546875" style="40" customWidth="1"/>
    <col min="17" max="17" width="18.42578125" style="224" customWidth="1"/>
    <col min="18" max="18" width="34.7109375" style="1" customWidth="1"/>
    <col min="19" max="19" width="22.140625" style="1" customWidth="1"/>
    <col min="20" max="20" width="13.5703125" style="1" customWidth="1"/>
    <col min="21" max="21" width="18.5703125" style="229" customWidth="1"/>
    <col min="22" max="22" width="12.5703125" style="229" customWidth="1"/>
    <col min="23" max="23" width="18.5703125" style="230" customWidth="1"/>
    <col min="24" max="24" width="14.7109375" style="230" customWidth="1"/>
    <col min="25" max="25" width="12.42578125" style="229" customWidth="1"/>
    <col min="26" max="26" width="17.5703125" style="229" customWidth="1"/>
    <col min="27" max="27" width="13.7109375" style="229" customWidth="1"/>
    <col min="28" max="28" width="13" style="231" customWidth="1"/>
    <col min="29" max="29" width="15.5703125" style="230" customWidth="1"/>
    <col min="30" max="30" width="9.28515625" style="230" customWidth="1"/>
    <col min="31" max="31" width="10.85546875" style="229" customWidth="1"/>
    <col min="32" max="32" width="13.7109375" style="229" customWidth="1"/>
    <col min="33" max="33" width="18.140625" style="229" customWidth="1"/>
    <col min="34" max="34" width="17" style="229" customWidth="1"/>
    <col min="35" max="35" width="11.140625" style="229" customWidth="1"/>
    <col min="36" max="36" width="11.42578125" style="230" customWidth="1"/>
    <col min="37" max="37" width="13.7109375" style="230" customWidth="1"/>
    <col min="38" max="38" width="14.85546875" style="230" customWidth="1"/>
    <col min="39" max="39" width="13.7109375" style="230" customWidth="1"/>
    <col min="40" max="40" width="9.5703125" style="1" customWidth="1"/>
    <col min="41" max="41" width="9.85546875" style="1" customWidth="1"/>
    <col min="42" max="42" width="15" style="1" hidden="1" customWidth="1"/>
    <col min="43" max="43" width="14.85546875" style="1" hidden="1" customWidth="1"/>
    <col min="44" max="44" width="12.7109375" style="1" hidden="1" customWidth="1"/>
    <col min="45" max="45" width="13.140625" style="1" hidden="1" customWidth="1"/>
    <col min="46" max="47" width="13.7109375" style="1" hidden="1" customWidth="1"/>
    <col min="48" max="48" width="20.28515625" style="1" hidden="1" customWidth="1"/>
    <col min="49" max="49" width="11.42578125" style="46" bestFit="1" customWidth="1"/>
    <col min="50" max="50" width="20.28515625" style="1" bestFit="1" customWidth="1"/>
  </cols>
  <sheetData>
    <row r="1" spans="1:50" x14ac:dyDescent="0.25">
      <c r="A1" s="308" t="s">
        <v>50</v>
      </c>
      <c r="B1" s="308"/>
      <c r="C1" s="308"/>
      <c r="D1" s="308"/>
      <c r="E1" s="308"/>
      <c r="F1" s="309" t="s">
        <v>51</v>
      </c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219"/>
      <c r="R1" s="216"/>
      <c r="S1" s="216"/>
      <c r="T1" s="216"/>
      <c r="U1" s="310" t="s">
        <v>52</v>
      </c>
      <c r="V1" s="310"/>
      <c r="W1" s="310"/>
      <c r="X1" s="310"/>
      <c r="Y1" s="310"/>
      <c r="Z1" s="310"/>
      <c r="AA1" s="311" t="s">
        <v>53</v>
      </c>
      <c r="AB1" s="312"/>
      <c r="AC1" s="311"/>
      <c r="AD1" s="311"/>
      <c r="AE1" s="311"/>
      <c r="AF1" s="311"/>
      <c r="AG1" s="225">
        <f>SUBTOTAL(9,TablaPrincipal[LIBRAS TOTALES])</f>
        <v>3297417.1699999995</v>
      </c>
      <c r="AH1" s="226"/>
      <c r="AI1" s="226"/>
      <c r="AJ1" s="225" t="s">
        <v>54</v>
      </c>
      <c r="AK1" s="226"/>
      <c r="AL1" s="226"/>
      <c r="AM1" s="226"/>
      <c r="AN1" s="226"/>
      <c r="AO1" s="226"/>
      <c r="AP1" s="226"/>
      <c r="AQ1" s="226"/>
      <c r="AR1" s="307" t="s">
        <v>55</v>
      </c>
      <c r="AS1" s="307"/>
      <c r="AT1" s="307"/>
      <c r="AU1" s="307"/>
      <c r="AW1" s="258"/>
    </row>
    <row r="2" spans="1:50" s="233" customFormat="1" ht="72.75" customHeight="1" x14ac:dyDescent="0.25">
      <c r="A2" s="217" t="s">
        <v>56</v>
      </c>
      <c r="B2" s="116" t="s">
        <v>57</v>
      </c>
      <c r="C2" s="115" t="s">
        <v>58</v>
      </c>
      <c r="D2" s="115" t="s">
        <v>59</v>
      </c>
      <c r="E2" s="115" t="s">
        <v>60</v>
      </c>
      <c r="F2" s="116" t="s">
        <v>61</v>
      </c>
      <c r="G2" s="116" t="s">
        <v>32</v>
      </c>
      <c r="H2" s="117" t="s">
        <v>62</v>
      </c>
      <c r="I2" s="117" t="s">
        <v>0</v>
      </c>
      <c r="J2" s="118" t="s">
        <v>63</v>
      </c>
      <c r="K2" s="217" t="s">
        <v>64</v>
      </c>
      <c r="L2" s="115" t="s">
        <v>65</v>
      </c>
      <c r="M2" s="115" t="s">
        <v>66</v>
      </c>
      <c r="N2" s="115" t="s">
        <v>67</v>
      </c>
      <c r="O2" s="232" t="s">
        <v>68</v>
      </c>
      <c r="P2" s="220" t="s">
        <v>69</v>
      </c>
      <c r="Q2" s="220" t="s">
        <v>70</v>
      </c>
      <c r="R2" s="119" t="s">
        <v>71</v>
      </c>
      <c r="S2" s="119" t="s">
        <v>72</v>
      </c>
      <c r="T2" s="119" t="s">
        <v>73</v>
      </c>
      <c r="U2" s="120" t="s">
        <v>74</v>
      </c>
      <c r="V2" s="120" t="s">
        <v>75</v>
      </c>
      <c r="W2" s="121" t="s">
        <v>76</v>
      </c>
      <c r="X2" s="121" t="s">
        <v>77</v>
      </c>
      <c r="Y2" s="120" t="s">
        <v>78</v>
      </c>
      <c r="Z2" s="120" t="s">
        <v>79</v>
      </c>
      <c r="AA2" s="120" t="s">
        <v>80</v>
      </c>
      <c r="AB2" s="227" t="s">
        <v>81</v>
      </c>
      <c r="AC2" s="121" t="s">
        <v>82</v>
      </c>
      <c r="AD2" s="121" t="s">
        <v>83</v>
      </c>
      <c r="AE2" s="120" t="s">
        <v>84</v>
      </c>
      <c r="AF2" s="120" t="s">
        <v>85</v>
      </c>
      <c r="AG2" s="120" t="s">
        <v>86</v>
      </c>
      <c r="AH2" s="120" t="s">
        <v>87</v>
      </c>
      <c r="AI2" s="120" t="s">
        <v>88</v>
      </c>
      <c r="AJ2" s="121" t="s">
        <v>89</v>
      </c>
      <c r="AK2" s="121" t="s">
        <v>90</v>
      </c>
      <c r="AL2" s="121" t="s">
        <v>91</v>
      </c>
      <c r="AM2" s="121" t="s">
        <v>92</v>
      </c>
      <c r="AN2" s="117" t="s">
        <v>93</v>
      </c>
      <c r="AO2" s="117" t="s">
        <v>94</v>
      </c>
      <c r="AP2" s="117" t="s">
        <v>95</v>
      </c>
      <c r="AQ2" s="117" t="s">
        <v>96</v>
      </c>
      <c r="AR2" s="116" t="s">
        <v>97</v>
      </c>
      <c r="AS2" s="116" t="s">
        <v>98</v>
      </c>
      <c r="AT2" s="116" t="s">
        <v>99</v>
      </c>
      <c r="AU2" s="116" t="s">
        <v>100</v>
      </c>
      <c r="AV2" s="116" t="s">
        <v>101</v>
      </c>
      <c r="AW2" s="116" t="s">
        <v>2</v>
      </c>
      <c r="AX2" s="175" t="s">
        <v>102</v>
      </c>
    </row>
    <row r="3" spans="1:50" hidden="1" x14ac:dyDescent="0.25">
      <c r="A3" s="196">
        <v>46024</v>
      </c>
      <c r="B3" s="183">
        <v>1</v>
      </c>
      <c r="C3" s="183">
        <f>YEAR(TablaPrincipal[[#This Row],[FECHA]])</f>
        <v>2026</v>
      </c>
      <c r="D3" s="183" t="s">
        <v>103</v>
      </c>
      <c r="E3" s="183" t="str">
        <f>UPPER(TEXT(TablaPrincipal[[#This Row],[FECHA]],"MMMM"))</f>
        <v>ENERO</v>
      </c>
      <c r="F3" s="183" t="str">
        <f>IFERROR(VLOOKUP(TablaPrincipal[[#This Row],[CODIGO]],COSECHAS!A:J,9,0),"-")</f>
        <v>28</v>
      </c>
      <c r="G3" s="183" t="str">
        <f>IFERROR(VLOOKUP(TablaPrincipal[[#This Row],[CODIGO]],COSECHAS!A:I,8,0),"-")</f>
        <v>PARGO ROJO</v>
      </c>
      <c r="H3" s="184">
        <f>IFERROR(VLOOKUP(TablaPrincipal[[#This Row],[CODIGO]],DATOS!A:B,2,0),"-")</f>
        <v>7.3</v>
      </c>
      <c r="I3" s="183" t="str">
        <f>IFERROR(VLOOKUP(TablaPrincipal[[#This Row],[CODIGO]],Tabla8[[#Headers],[#Data]],3,0),"-")</f>
        <v>CONVENCIONAL</v>
      </c>
      <c r="J3" s="183">
        <f>IFERROR(TablaPrincipal[[#This Row],[FECHA]]-TablaPrincipal[[#This Row],[FECHA DE SIEMBRA]],"-")</f>
        <v>76</v>
      </c>
      <c r="K3" s="196">
        <f>VLOOKUP(TablaPrincipal[[#This Row],[CODIGO]]&amp;TablaPrincipal[[#This Row],[AGUAJE ]],Tabla4[#All],4,0)</f>
        <v>45948</v>
      </c>
      <c r="L3" s="183" t="str">
        <f>VLOOKUP(TablaPrincipal[[#This Row],[CODIGO]]&amp;TablaPrincipal[[#This Row],[AGUAJE ]],Tabla4[#All],15,0)</f>
        <v>PR PC 5</v>
      </c>
      <c r="M3" s="184">
        <f>VLOOKUP(TablaPrincipal[[#This Row],[CODIGO]]&amp;TablaPrincipal[[#This Row],[AGUAJE ]],Tabla4[#All],14,0)</f>
        <v>0.3</v>
      </c>
      <c r="N3" s="183">
        <v>4</v>
      </c>
      <c r="O3" s="170">
        <f>VLOOKUP(TablaPrincipal[[#This Row],[CODIGO]]&amp;TablaPrincipal[[#This Row],[AGUAJE ]],Tabla4[#All],5,0)</f>
        <v>1058500</v>
      </c>
      <c r="P3" s="221">
        <f>IFERROR(TablaPrincipal[[#This Row],[ANIM SEMBRADOS]]/TablaPrincipal[[#This Row],[HAS]],"-")</f>
        <v>145000</v>
      </c>
      <c r="Q3" s="222">
        <f>IFERROR(TablaPrincipal[[#This Row],[DENSIDAD]]/10000,"-")</f>
        <v>14.5</v>
      </c>
      <c r="R3" s="183" t="str">
        <f>VLOOKUP(TablaPrincipal[[#This Row],[CODIGO]]&amp;TablaPrincipal[[#This Row],[AGUAJE ]],Tabla4[#All],8,0)</f>
        <v>AMBARTEK</v>
      </c>
      <c r="S3" s="183" t="str">
        <f>VLOOKUP(TablaPrincipal[[#This Row],[CODIGO]]&amp;TablaPrincipal[[#This Row],[AGUAJE ]],Tabla4[#All],7,0)</f>
        <v>TEXCUMAR</v>
      </c>
      <c r="T3" s="183" t="str">
        <f>IF(ISNUMBER(FIND("/",TablaPrincipal[[#This Row],[LABORATORIO]])),"COMBINADO","UNICO")</f>
        <v>UNICO</v>
      </c>
      <c r="U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" s="185">
        <f>IFERROR(TablaPrincipal[[#This Row],[LIBRAS RALEO PLANTA]]/TablaPrincipal[[#This Row],[HAS]],"-")</f>
        <v>0</v>
      </c>
      <c r="Z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22100</v>
      </c>
      <c r="AB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26270.68</v>
      </c>
      <c r="AC3" s="186">
        <f>SUMIFS(COSECHAS!F:F,COSECHAS!A:A,'BASE 2026'!AW:AW,COSECHAS!G:G,"="&amp;A:A)</f>
        <v>21</v>
      </c>
      <c r="AD3" s="186">
        <f>SUMIFS(COSECHAS!M:M,COSECHAS!A:A,'BASE 2026'!AW:AW,COSECHAS!G:G,"="&amp;A:A)</f>
        <v>21</v>
      </c>
      <c r="AE3" s="185">
        <f>IFERROR(TablaPrincipal[[#This Row],[LIBRAS PLANTA]]/TablaPrincipal[[#This Row],[HAS]],"-")</f>
        <v>3598.7232876712328</v>
      </c>
      <c r="AF3" s="185">
        <f>IFERROR(TablaPrincipal[[#This Row],[LIBRAS PLANTA]]*454/TablaPrincipal[[#This Row],[GRAMOS PLANTA]],"-")</f>
        <v>567947.08190476196</v>
      </c>
      <c r="AG3" s="185">
        <f>TablaPrincipal[[#This Row],[LIBRAS RALEO PLANTA]]+TablaPrincipal[[#This Row],[LIBRAS PLANTA]]</f>
        <v>26270.68</v>
      </c>
      <c r="AH3" s="185">
        <f>IFERROR(TablaPrincipal[[#This Row],[CAM COSECHADOS RALEO]]+TablaPrincipal[[#This Row],[CAM COSECHADOS]],"-")</f>
        <v>567947.08190476196</v>
      </c>
      <c r="AI3" s="185">
        <f>IFERROR((TablaPrincipal[[#This Row],[LIBRAS RALEO PLANTA]]+TablaPrincipal[[#This Row],[LIBRAS PLANTA]])/TablaPrincipal[[#This Row],[HAS]],"0")</f>
        <v>3598.7232876712328</v>
      </c>
      <c r="AJ3" s="186">
        <f t="shared" ref="AJ3:AJ66" si="0">IFERROR(AD3/(J3/7),"-")</f>
        <v>1.9342105263157894</v>
      </c>
      <c r="AK3" s="186">
        <f>IFERROR(TablaPrincipal[[#This Row],[LBS/HA]]/TablaPrincipal[[#This Row],[DIAS]],"-")</f>
        <v>47.351622206200432</v>
      </c>
      <c r="AL3" s="186">
        <f>IFERROR(TablaPrincipal[[#This Row],[CAM COSECHADOS TOTALES]]/TablaPrincipal[[#This Row],[ANIM SEMBRADOS]]*100,"-")</f>
        <v>53.655841464786199</v>
      </c>
      <c r="AM3" s="185">
        <v>39407.224999999999</v>
      </c>
      <c r="AN3" s="187">
        <f>IFERROR(((TablaPrincipal[[#This Row],[BALANCEADO ACUMULADO (LBS)]]/2.2046)/TablaPrincipal[[#This Row],[HAS]])/TablaPrincipal[[#This Row],[DIAS]],"-")</f>
        <v>32.218817591925017</v>
      </c>
      <c r="AO3" s="184">
        <f>IFERROR(TablaPrincipal[[#This Row],[BALANCEADO ACUMULADO (LBS)]]/TablaPrincipal[[#This Row],[LIBRAS TOTALES]],"-")</f>
        <v>1.5000458686261642</v>
      </c>
      <c r="AP3" s="184" t="s">
        <v>104</v>
      </c>
      <c r="AQ3" s="184" t="s">
        <v>105</v>
      </c>
      <c r="AR3" s="185">
        <f>TablaPrincipal[[#This Row],[LIBRAS RALEO PLANTA]]-TablaPrincipal[[#This Row],[LIBRAS RALEO CAMARONERA]]</f>
        <v>0</v>
      </c>
      <c r="AS3" s="185">
        <f>TablaPrincipal[[#This Row],[LIBRAS PLANTA]]-TablaPrincipal[[#This Row],[LIBRAS CAMARONERA]]</f>
        <v>4170.68</v>
      </c>
      <c r="AT3" s="187">
        <f>TablaPrincipal[[#This Row],[GRAMAJE RALEO PLANTA]]-TablaPrincipal[[#This Row],[GRAMAJE RALEO CAMARONERA]]</f>
        <v>0</v>
      </c>
      <c r="AU3" s="187">
        <f>TablaPrincipal[[#This Row],[GRAMOS PLANTA]]-TablaPrincipal[[#This Row],[GRAMAJE CAMARONERA]]</f>
        <v>0</v>
      </c>
      <c r="AV3" s="183" t="str">
        <f>+VLOOKUP(TablaPrincipal[[#This Row],[CODIGO]],TablaCosechas[#All],10,0)</f>
        <v>WILMER TORRES</v>
      </c>
      <c r="AW3" s="183" t="s">
        <v>106</v>
      </c>
      <c r="AX3" s="188" t="str">
        <f>+VLOOKUP(TablaPrincipal[[#This Row],[CODIGO]],TablaCosechas[#All],10,0)</f>
        <v>WILMER TORRES</v>
      </c>
    </row>
    <row r="4" spans="1:50" hidden="1" x14ac:dyDescent="0.25">
      <c r="A4" s="196">
        <v>46025</v>
      </c>
      <c r="B4" s="183">
        <v>2</v>
      </c>
      <c r="C4" s="183">
        <f>YEAR(TablaPrincipal[[#This Row],[FECHA]])</f>
        <v>2026</v>
      </c>
      <c r="D4" s="183" t="s">
        <v>103</v>
      </c>
      <c r="E4" s="183" t="str">
        <f>UPPER(TEXT(TablaPrincipal[[#This Row],[FECHA]],"MMMM"))</f>
        <v>ENERO</v>
      </c>
      <c r="F4" s="183" t="str">
        <f>IFERROR(VLOOKUP(TablaPrincipal[[#This Row],[CODIGO]],COSECHAS!A:J,9,0),"-")</f>
        <v>14</v>
      </c>
      <c r="G4" s="183" t="str">
        <f>IFERROR(VLOOKUP(TablaPrincipal[[#This Row],[CODIGO]],COSECHAS!A:I,8,0),"-")</f>
        <v>PARGO ROJO</v>
      </c>
      <c r="H4" s="184">
        <f>IFERROR(VLOOKUP(TablaPrincipal[[#This Row],[CODIGO]],DATOS!A:B,2,0),"-")</f>
        <v>4.5999999999999996</v>
      </c>
      <c r="I4" s="183" t="str">
        <f>IFERROR(VLOOKUP(TablaPrincipal[[#This Row],[CODIGO]],Tabla8[[#Headers],[#Data]],3,0),"-")</f>
        <v>CONVENCIONAL</v>
      </c>
      <c r="J4" s="183">
        <f>IFERROR(TablaPrincipal[[#This Row],[FECHA]]-TablaPrincipal[[#This Row],[FECHA DE SIEMBRA]],"-")</f>
        <v>73</v>
      </c>
      <c r="K4" s="196">
        <f>VLOOKUP(TablaPrincipal[[#This Row],[CODIGO]]&amp;TablaPrincipal[[#This Row],[AGUAJE ]],Tabla4[#All],4,0)</f>
        <v>45952</v>
      </c>
      <c r="L4" s="183" t="str">
        <f>VLOOKUP(TablaPrincipal[[#This Row],[CODIGO]]&amp;TablaPrincipal[[#This Row],[AGUAJE ]],Tabla4[#All],15,0)</f>
        <v>PR PC 3</v>
      </c>
      <c r="M4" s="184">
        <f>VLOOKUP(TablaPrincipal[[#This Row],[CODIGO]]&amp;TablaPrincipal[[#This Row],[AGUAJE ]],Tabla4[#All],14,0)</f>
        <v>0.38</v>
      </c>
      <c r="N4" s="183">
        <v>12</v>
      </c>
      <c r="O4" s="170">
        <f>VLOOKUP(TablaPrincipal[[#This Row],[CODIGO]]&amp;TablaPrincipal[[#This Row],[AGUAJE ]],Tabla4[#All],5,0)</f>
        <v>690000</v>
      </c>
      <c r="P4" s="221">
        <f>IFERROR(TablaPrincipal[[#This Row],[ANIM SEMBRADOS]]/TablaPrincipal[[#This Row],[HAS]],"-")</f>
        <v>150000</v>
      </c>
      <c r="Q4" s="222">
        <f>IFERROR(TablaPrincipal[[#This Row],[DENSIDAD]]/10000,"-")</f>
        <v>15</v>
      </c>
      <c r="R4" s="183" t="str">
        <f>VLOOKUP(TablaPrincipal[[#This Row],[CODIGO]]&amp;TablaPrincipal[[#This Row],[AGUAJE ]],Tabla4[#All],8,0)</f>
        <v>TECSERV</v>
      </c>
      <c r="S4" s="183" t="str">
        <f>VLOOKUP(TablaPrincipal[[#This Row],[CODIGO]]&amp;TablaPrincipal[[#This Row],[AGUAJE ]],Tabla4[#All],7,0)</f>
        <v>TEXCUMAR</v>
      </c>
      <c r="T4" s="183" t="str">
        <f>IF(ISNUMBER(FIND("/",TablaPrincipal[[#This Row],[LABORATORIO]])),"COMBINADO","UNICO")</f>
        <v>UNICO</v>
      </c>
      <c r="U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" s="185">
        <f>IFERROR(TablaPrincipal[[#This Row],[LIBRAS RALEO PLANTA]]/TablaPrincipal[[#This Row],[HAS]],"-")</f>
        <v>0</v>
      </c>
      <c r="Z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16150</v>
      </c>
      <c r="AB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16841.97</v>
      </c>
      <c r="AC4" s="186">
        <f>SUMIFS(COSECHAS!F:F,COSECHAS!A:A,'BASE 2026'!AW:AW,COSECHAS!G:G,"="&amp;A:A)</f>
        <v>20</v>
      </c>
      <c r="AD4" s="186">
        <f>SUMIFS(COSECHAS!M:M,COSECHAS!A:A,'BASE 2026'!AW:AW,COSECHAS!G:G,"="&amp;A:A)</f>
        <v>20.48</v>
      </c>
      <c r="AE4" s="185">
        <f>IFERROR(TablaPrincipal[[#This Row],[LIBRAS PLANTA]]/TablaPrincipal[[#This Row],[HAS]],"-")</f>
        <v>3661.2978260869572</v>
      </c>
      <c r="AF4" s="185">
        <f>IFERROR(TablaPrincipal[[#This Row],[LIBRAS PLANTA]]*454/TablaPrincipal[[#This Row],[GRAMOS PLANTA]],"-")</f>
        <v>373352.26464843756</v>
      </c>
      <c r="AG4" s="185">
        <f>TablaPrincipal[[#This Row],[LIBRAS RALEO PLANTA]]+TablaPrincipal[[#This Row],[LIBRAS PLANTA]]</f>
        <v>16841.97</v>
      </c>
      <c r="AH4" s="185">
        <f>IFERROR(TablaPrincipal[[#This Row],[CAM COSECHADOS RALEO]]+TablaPrincipal[[#This Row],[CAM COSECHADOS]],"-")</f>
        <v>373352.26464843756</v>
      </c>
      <c r="AI4" s="185">
        <f>IFERROR((TablaPrincipal[[#This Row],[LIBRAS RALEO PLANTA]]+TablaPrincipal[[#This Row],[LIBRAS PLANTA]])/TablaPrincipal[[#This Row],[HAS]],"0")</f>
        <v>3661.2978260869572</v>
      </c>
      <c r="AJ4" s="186">
        <f t="shared" si="0"/>
        <v>1.9638356164383561</v>
      </c>
      <c r="AK4" s="186">
        <f>IFERROR(TablaPrincipal[[#This Row],[LBS/HA]]/TablaPrincipal[[#This Row],[DIAS]],"-")</f>
        <v>50.154764740917223</v>
      </c>
      <c r="AL4" s="186">
        <f>IFERROR(TablaPrincipal[[#This Row],[CAM COSECHADOS TOTALES]]/TablaPrincipal[[#This Row],[ANIM SEMBRADOS]]*100,"-")</f>
        <v>54.1090238620924</v>
      </c>
      <c r="AM4" s="185">
        <v>25143.463</v>
      </c>
      <c r="AN4" s="187">
        <f>IFERROR(((TablaPrincipal[[#This Row],[BALANCEADO ACUMULADO (LBS)]]/2.2046)/TablaPrincipal[[#This Row],[HAS]])/TablaPrincipal[[#This Row],[DIAS]],"-")</f>
        <v>33.963668850506252</v>
      </c>
      <c r="AO4" s="184">
        <f>IFERROR(TablaPrincipal[[#This Row],[BALANCEADO ACUMULADO (LBS)]]/TablaPrincipal[[#This Row],[LIBRAS TOTALES]],"-")</f>
        <v>1.4929051055191285</v>
      </c>
      <c r="AP4" s="184" t="s">
        <v>104</v>
      </c>
      <c r="AQ4" s="184" t="s">
        <v>105</v>
      </c>
      <c r="AR4" s="185">
        <f>TablaPrincipal[[#This Row],[LIBRAS RALEO PLANTA]]-TablaPrincipal[[#This Row],[LIBRAS RALEO CAMARONERA]]</f>
        <v>0</v>
      </c>
      <c r="AS4" s="185">
        <f>TablaPrincipal[[#This Row],[LIBRAS PLANTA]]-TablaPrincipal[[#This Row],[LIBRAS CAMARONERA]]</f>
        <v>691.97000000000116</v>
      </c>
      <c r="AT4" s="187">
        <f>TablaPrincipal[[#This Row],[GRAMAJE RALEO PLANTA]]-TablaPrincipal[[#This Row],[GRAMAJE RALEO CAMARONERA]]</f>
        <v>0</v>
      </c>
      <c r="AU4" s="187">
        <f>TablaPrincipal[[#This Row],[GRAMOS PLANTA]]-TablaPrincipal[[#This Row],[GRAMAJE CAMARONERA]]</f>
        <v>0.48000000000000043</v>
      </c>
      <c r="AV4" s="183" t="str">
        <f>+VLOOKUP(TablaPrincipal[[#This Row],[CODIGO]],TablaCosechas[#All],10,0)</f>
        <v>WILMER TORRES</v>
      </c>
      <c r="AW4" s="183" t="s">
        <v>107</v>
      </c>
      <c r="AX4" s="188" t="str">
        <f>+VLOOKUP(TablaPrincipal[[#This Row],[CODIGO]],TablaCosechas[#All],10,0)</f>
        <v>WILMER TORRES</v>
      </c>
    </row>
    <row r="5" spans="1:50" hidden="1" x14ac:dyDescent="0.25">
      <c r="A5" s="196">
        <v>46025</v>
      </c>
      <c r="B5" s="183">
        <v>3</v>
      </c>
      <c r="C5" s="183">
        <f>YEAR(TablaPrincipal[[#This Row],[FECHA]])</f>
        <v>2026</v>
      </c>
      <c r="D5" s="183" t="s">
        <v>103</v>
      </c>
      <c r="E5" s="183" t="str">
        <f>UPPER(TEXT(TablaPrincipal[[#This Row],[FECHA]],"MMMM"))</f>
        <v>ENERO</v>
      </c>
      <c r="F5" s="183" t="str">
        <f>IFERROR(VLOOKUP(TablaPrincipal[[#This Row],[CODIGO]],COSECHAS!A:J,9,0),"-")</f>
        <v>19</v>
      </c>
      <c r="G5" s="183" t="str">
        <f>IFERROR(VLOOKUP(TablaPrincipal[[#This Row],[CODIGO]],COSECHAS!A:I,8,0),"-")</f>
        <v>TIBURON</v>
      </c>
      <c r="H5" s="184">
        <f>IFERROR(VLOOKUP(TablaPrincipal[[#This Row],[CODIGO]],DATOS!A:B,2,0),"-")</f>
        <v>1.76</v>
      </c>
      <c r="I5" s="183" t="str">
        <f>IFERROR(VLOOKUP(TablaPrincipal[[#This Row],[CODIGO]],Tabla8[[#Headers],[#Data]],3,0),"-")</f>
        <v>ASC-BAP</v>
      </c>
      <c r="J5" s="183">
        <f>IFERROR(TablaPrincipal[[#This Row],[FECHA]]-TablaPrincipal[[#This Row],[FECHA DE SIEMBRA]],"-")</f>
        <v>76</v>
      </c>
      <c r="K5" s="196">
        <f>VLOOKUP(TablaPrincipal[[#This Row],[CODIGO]]&amp;TablaPrincipal[[#This Row],[AGUAJE ]],Tabla4[#All],4,0)</f>
        <v>45949</v>
      </c>
      <c r="L5" s="183" t="str">
        <f>VLOOKUP(TablaPrincipal[[#This Row],[CODIGO]]&amp;TablaPrincipal[[#This Row],[AGUAJE ]],Tabla4[#All],15,0)</f>
        <v>TI PC 18</v>
      </c>
      <c r="M5" s="184">
        <f>VLOOKUP(TablaPrincipal[[#This Row],[CODIGO]]&amp;TablaPrincipal[[#This Row],[AGUAJE ]],Tabla4[#All],14,0)</f>
        <v>0.8</v>
      </c>
      <c r="N5" s="183">
        <v>7</v>
      </c>
      <c r="O5" s="170">
        <f>VLOOKUP(TablaPrincipal[[#This Row],[CODIGO]]&amp;TablaPrincipal[[#This Row],[AGUAJE ]],Tabla4[#All],5,0)</f>
        <v>316800</v>
      </c>
      <c r="P5" s="221">
        <f>IFERROR(TablaPrincipal[[#This Row],[ANIM SEMBRADOS]]/TablaPrincipal[[#This Row],[HAS]],"-")</f>
        <v>180000</v>
      </c>
      <c r="Q5" s="222">
        <f>IFERROR(TablaPrincipal[[#This Row],[DENSIDAD]]/10000,"-")</f>
        <v>18</v>
      </c>
      <c r="R5" s="183" t="str">
        <f>VLOOKUP(TablaPrincipal[[#This Row],[CODIGO]]&amp;TablaPrincipal[[#This Row],[AGUAJE ]],Tabla4[#All],8,0)</f>
        <v>ACUATECSA</v>
      </c>
      <c r="S5" s="183" t="str">
        <f>VLOOKUP(TablaPrincipal[[#This Row],[CODIGO]]&amp;TablaPrincipal[[#This Row],[AGUAJE ]],Tabla4[#All],7,0)</f>
        <v>TEXCUMAR</v>
      </c>
      <c r="T5" s="183" t="str">
        <f>IF(ISNUMBER(FIND("/",TablaPrincipal[[#This Row],[LABORATORIO]])),"COMBINADO","UNICO")</f>
        <v>UNICO</v>
      </c>
      <c r="U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" s="185">
        <f>IFERROR(TablaPrincipal[[#This Row],[LIBRAS RALEO PLANTA]]/TablaPrincipal[[#This Row],[HAS]],"-")</f>
        <v>0</v>
      </c>
      <c r="Z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13073.13</v>
      </c>
      <c r="AC5" s="186">
        <f>SUMIFS(COSECHAS!F:F,COSECHAS!A:A,'BASE 2026'!AW:AW,COSECHAS!G:G,"="&amp;A:A)</f>
        <v>41</v>
      </c>
      <c r="AD5" s="186">
        <f>SUMIFS(COSECHAS!M:M,COSECHAS!A:A,'BASE 2026'!AW:AW,COSECHAS!G:G,"="&amp;A:A)</f>
        <v>40.020000000000003</v>
      </c>
      <c r="AE5" s="185">
        <f>IFERROR(TablaPrincipal[[#This Row],[LIBRAS PLANTA]]/TablaPrincipal[[#This Row],[HAS]],"-")</f>
        <v>7427.9147727272721</v>
      </c>
      <c r="AF5" s="185">
        <f>IFERROR(TablaPrincipal[[#This Row],[LIBRAS PLANTA]]*454/TablaPrincipal[[#This Row],[GRAMOS PLANTA]],"-")</f>
        <v>148305.87256371812</v>
      </c>
      <c r="AG5" s="185">
        <f>TablaPrincipal[[#This Row],[LIBRAS RALEO PLANTA]]+TablaPrincipal[[#This Row],[LIBRAS PLANTA]]</f>
        <v>13073.13</v>
      </c>
      <c r="AH5" s="185">
        <f>IFERROR(TablaPrincipal[[#This Row],[CAM COSECHADOS RALEO]]+TablaPrincipal[[#This Row],[CAM COSECHADOS]],"-")</f>
        <v>148305.87256371812</v>
      </c>
      <c r="AI5" s="185">
        <f>IFERROR((TablaPrincipal[[#This Row],[LIBRAS RALEO PLANTA]]+TablaPrincipal[[#This Row],[LIBRAS PLANTA]])/TablaPrincipal[[#This Row],[HAS]],"0")</f>
        <v>7427.9147727272721</v>
      </c>
      <c r="AJ5" s="186">
        <f t="shared" si="0"/>
        <v>3.6860526315789475</v>
      </c>
      <c r="AK5" s="186">
        <f>IFERROR(TablaPrincipal[[#This Row],[LBS/HA]]/TablaPrincipal[[#This Row],[DIAS]],"-")</f>
        <v>97.735720693779896</v>
      </c>
      <c r="AL5" s="186">
        <f>IFERROR(TablaPrincipal[[#This Row],[CAM COSECHADOS TOTALES]]/TablaPrincipal[[#This Row],[ANIM SEMBRADOS]]*100,"-")</f>
        <v>46.813722400163549</v>
      </c>
      <c r="AM5" s="185">
        <v>18320.226000000002</v>
      </c>
      <c r="AN5" s="187">
        <f>IFERROR(((TablaPrincipal[[#This Row],[BALANCEADO ACUMULADO (LBS)]]/2.2046)/TablaPrincipal[[#This Row],[HAS]])/TablaPrincipal[[#This Row],[DIAS]],"-")</f>
        <v>62.126196172248804</v>
      </c>
      <c r="AO5" s="184">
        <f>IFERROR(TablaPrincipal[[#This Row],[BALANCEADO ACUMULADO (LBS)]]/TablaPrincipal[[#This Row],[LIBRAS TOTALES]],"-")</f>
        <v>1.4013649370885168</v>
      </c>
      <c r="AP5" s="184" t="s">
        <v>108</v>
      </c>
      <c r="AQ5" s="184" t="s">
        <v>105</v>
      </c>
      <c r="AR5" s="185">
        <f>TablaPrincipal[[#This Row],[LIBRAS RALEO PLANTA]]-TablaPrincipal[[#This Row],[LIBRAS RALEO CAMARONERA]]</f>
        <v>0</v>
      </c>
      <c r="AS5" s="185">
        <f>TablaPrincipal[[#This Row],[LIBRAS PLANTA]]-TablaPrincipal[[#This Row],[LIBRAS CAMARONERA]]</f>
        <v>973.1299999999992</v>
      </c>
      <c r="AT5" s="187">
        <f>TablaPrincipal[[#This Row],[GRAMAJE RALEO PLANTA]]-TablaPrincipal[[#This Row],[GRAMAJE RALEO CAMARONERA]]</f>
        <v>0</v>
      </c>
      <c r="AU5" s="187">
        <f>TablaPrincipal[[#This Row],[GRAMOS PLANTA]]-TablaPrincipal[[#This Row],[GRAMAJE CAMARONERA]]</f>
        <v>-0.97999999999999687</v>
      </c>
      <c r="AV5" s="183" t="str">
        <f>+VLOOKUP(TablaPrincipal[[#This Row],[CODIGO]],TablaCosechas[#All],10,0)</f>
        <v>ALFONSO GRUNAUER</v>
      </c>
      <c r="AW5" s="183" t="s">
        <v>109</v>
      </c>
      <c r="AX5" s="188" t="str">
        <f>+VLOOKUP(TablaPrincipal[[#This Row],[CODIGO]],TablaCosechas[#All],10,0)</f>
        <v>ALFONSO GRUNAUER</v>
      </c>
    </row>
    <row r="6" spans="1:50" hidden="1" x14ac:dyDescent="0.25">
      <c r="A6" s="196">
        <v>46026</v>
      </c>
      <c r="B6" s="183">
        <v>4</v>
      </c>
      <c r="C6" s="183">
        <f>YEAR(TablaPrincipal[[#This Row],[FECHA]])</f>
        <v>2026</v>
      </c>
      <c r="D6" s="183" t="s">
        <v>103</v>
      </c>
      <c r="E6" s="183" t="str">
        <f>UPPER(TEXT(TablaPrincipal[[#This Row],[FECHA]],"MMMM"))</f>
        <v>ENERO</v>
      </c>
      <c r="F6" s="183" t="str">
        <f>IFERROR(VLOOKUP(TablaPrincipal[[#This Row],[CODIGO]],COSECHAS!A:J,9,0),"-")</f>
        <v>17</v>
      </c>
      <c r="G6" s="183" t="str">
        <f>IFERROR(VLOOKUP(TablaPrincipal[[#This Row],[CODIGO]],COSECHAS!A:I,8,0),"-")</f>
        <v>CATANUDA</v>
      </c>
      <c r="H6" s="184">
        <f>IFERROR(VLOOKUP(TablaPrincipal[[#This Row],[CODIGO]],DATOS!A:B,2,0),"-")</f>
        <v>7.5</v>
      </c>
      <c r="I6" s="183" t="str">
        <f>IFERROR(VLOOKUP(TablaPrincipal[[#This Row],[CODIGO]],Tabla8[[#Headers],[#Data]],3,0),"-")</f>
        <v>ASC-BAP</v>
      </c>
      <c r="J6" s="183">
        <f>IFERROR(TablaPrincipal[[#This Row],[FECHA]]-TablaPrincipal[[#This Row],[FECHA DE SIEMBRA]],"-")</f>
        <v>86</v>
      </c>
      <c r="K6" s="196">
        <f>VLOOKUP(TablaPrincipal[[#This Row],[CODIGO]]&amp;TablaPrincipal[[#This Row],[AGUAJE ]],Tabla4[#All],4,0)</f>
        <v>45940</v>
      </c>
      <c r="L6" s="183" t="str">
        <f>VLOOKUP(TablaPrincipal[[#This Row],[CODIGO]]&amp;TablaPrincipal[[#This Row],[AGUAJE ]],Tabla4[#All],15,0)</f>
        <v>CA PC 2 - 1A - 20</v>
      </c>
      <c r="M6" s="184">
        <f>VLOOKUP(TablaPrincipal[[#This Row],[CODIGO]]&amp;TablaPrincipal[[#This Row],[AGUAJE ]],Tabla4[#All],14,0)</f>
        <v>0.51</v>
      </c>
      <c r="N6" s="183">
        <v>5</v>
      </c>
      <c r="O6" s="170">
        <f>VLOOKUP(TablaPrincipal[[#This Row],[CODIGO]]&amp;TablaPrincipal[[#This Row],[AGUAJE ]],Tabla4[#All],5,0)</f>
        <v>1304200</v>
      </c>
      <c r="P6" s="221">
        <f>IFERROR(TablaPrincipal[[#This Row],[ANIM SEMBRADOS]]/TablaPrincipal[[#This Row],[HAS]],"-")</f>
        <v>173893.33333333334</v>
      </c>
      <c r="Q6" s="222">
        <f>IFERROR(TablaPrincipal[[#This Row],[DENSIDAD]]/10000,"-")</f>
        <v>17.389333333333333</v>
      </c>
      <c r="R6" s="183" t="str">
        <f>VLOOKUP(TablaPrincipal[[#This Row],[CODIGO]]&amp;TablaPrincipal[[#This Row],[AGUAJE ]],Tabla4[#All],8,0)</f>
        <v>ACUATECSA/MEGALATINA</v>
      </c>
      <c r="S6" s="183" t="str">
        <f>VLOOKUP(TablaPrincipal[[#This Row],[CODIGO]]&amp;TablaPrincipal[[#This Row],[AGUAJE ]],Tabla4[#All],7,0)</f>
        <v>TEXCUMAR</v>
      </c>
      <c r="T6" s="183" t="str">
        <f>IF(ISNUMBER(FIND("/",TablaPrincipal[[#This Row],[LABORATORIO]])),"COMBINADO","UNICO")</f>
        <v>COMBINADO</v>
      </c>
      <c r="U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17500</v>
      </c>
      <c r="V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17902.04</v>
      </c>
      <c r="W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</v>
      </c>
      <c r="X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25.85</v>
      </c>
      <c r="Y6" s="185">
        <f>IFERROR(TablaPrincipal[[#This Row],[LIBRAS RALEO PLANTA]]/TablaPrincipal[[#This Row],[HAS]],"-")</f>
        <v>2386.9386666666669</v>
      </c>
      <c r="Z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323253.07662076608</v>
      </c>
      <c r="AA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33000</v>
      </c>
      <c r="AB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36172.269999999997</v>
      </c>
      <c r="AC6" s="186">
        <f>SUMIFS(COSECHAS!F:F,COSECHAS!A:A,'BASE 2026'!AW:AW,COSECHAS!G:G,"="&amp;A:A)</f>
        <v>31</v>
      </c>
      <c r="AD6" s="186">
        <f>SUMIFS(COSECHAS!M:M,COSECHAS!A:A,'BASE 2026'!AW:AW,COSECHAS!G:G,"="&amp;A:A)</f>
        <v>32.54</v>
      </c>
      <c r="AE6" s="185">
        <f>IFERROR(TablaPrincipal[[#This Row],[LIBRAS PLANTA]]/TablaPrincipal[[#This Row],[HAS]],"-")</f>
        <v>4822.9693333333325</v>
      </c>
      <c r="AF6" s="185">
        <f>IFERROR(TablaPrincipal[[#This Row],[LIBRAS PLANTA]]*454/TablaPrincipal[[#This Row],[GRAMOS PLANTA]],"-")</f>
        <v>504677.64535955741</v>
      </c>
      <c r="AG6" s="185">
        <f>TablaPrincipal[[#This Row],[LIBRAS RALEO PLANTA]]+TablaPrincipal[[#This Row],[LIBRAS PLANTA]]</f>
        <v>54074.31</v>
      </c>
      <c r="AH6" s="185">
        <f>IFERROR(TablaPrincipal[[#This Row],[CAM COSECHADOS RALEO]]+TablaPrincipal[[#This Row],[CAM COSECHADOS]],"-")</f>
        <v>827930.72198032355</v>
      </c>
      <c r="AI6" s="185">
        <f>IFERROR((TablaPrincipal[[#This Row],[LIBRAS RALEO PLANTA]]+TablaPrincipal[[#This Row],[LIBRAS PLANTA]])/TablaPrincipal[[#This Row],[HAS]],"0")</f>
        <v>7209.9079999999994</v>
      </c>
      <c r="AJ6" s="186">
        <f t="shared" si="0"/>
        <v>2.6486046511627905</v>
      </c>
      <c r="AK6" s="186">
        <f>IFERROR(TablaPrincipal[[#This Row],[LBS/HA]]/TablaPrincipal[[#This Row],[DIAS]],"-")</f>
        <v>83.836139534883714</v>
      </c>
      <c r="AL6" s="186">
        <f>IFERROR(TablaPrincipal[[#This Row],[CAM COSECHADOS TOTALES]]/TablaPrincipal[[#This Row],[ANIM SEMBRADOS]]*100,"-")</f>
        <v>63.481883298598653</v>
      </c>
      <c r="AM6" s="185">
        <v>73258.858000000007</v>
      </c>
      <c r="AN6" s="187">
        <f>IFERROR(((TablaPrincipal[[#This Row],[BALANCEADO ACUMULADO (LBS)]]/2.2046)/TablaPrincipal[[#This Row],[HAS]])/TablaPrincipal[[#This Row],[DIAS]],"-")</f>
        <v>51.519379844961243</v>
      </c>
      <c r="AO6" s="184">
        <f>IFERROR(TablaPrincipal[[#This Row],[BALANCEADO ACUMULADO (LBS)]]/TablaPrincipal[[#This Row],[LIBRAS TOTALES]],"-")</f>
        <v>1.3547811890711137</v>
      </c>
      <c r="AP6" s="184" t="s">
        <v>108</v>
      </c>
      <c r="AQ6" s="184" t="s">
        <v>105</v>
      </c>
      <c r="AR6" s="185">
        <f>TablaPrincipal[[#This Row],[LIBRAS RALEO PLANTA]]-TablaPrincipal[[#This Row],[LIBRAS RALEO CAMARONERA]]</f>
        <v>402.04000000000087</v>
      </c>
      <c r="AS6" s="185">
        <f>TablaPrincipal[[#This Row],[LIBRAS PLANTA]]-TablaPrincipal[[#This Row],[LIBRAS CAMARONERA]]</f>
        <v>3172.2699999999968</v>
      </c>
      <c r="AT6" s="187">
        <f>TablaPrincipal[[#This Row],[GRAMAJE RALEO PLANTA]]-TablaPrincipal[[#This Row],[GRAMAJE RALEO CAMARONERA]]</f>
        <v>4.1000000000000014</v>
      </c>
      <c r="AU6" s="187">
        <f>TablaPrincipal[[#This Row],[GRAMOS PLANTA]]-TablaPrincipal[[#This Row],[GRAMAJE CAMARONERA]]</f>
        <v>1.5399999999999991</v>
      </c>
      <c r="AV6" s="183" t="str">
        <f>+VLOOKUP(TablaPrincipal[[#This Row],[CODIGO]],TablaCosechas[#All],10,0)</f>
        <v>VICTOR QUINTANA</v>
      </c>
      <c r="AW6" s="183" t="s">
        <v>110</v>
      </c>
      <c r="AX6" s="188" t="str">
        <f>+VLOOKUP(TablaPrincipal[[#This Row],[CODIGO]],TablaCosechas[#All],10,0)</f>
        <v>VICTOR QUINTANA</v>
      </c>
    </row>
    <row r="7" spans="1:50" hidden="1" x14ac:dyDescent="0.25">
      <c r="A7" s="196">
        <v>46026</v>
      </c>
      <c r="B7" s="183">
        <v>5</v>
      </c>
      <c r="C7" s="183">
        <f>YEAR(TablaPrincipal[[#This Row],[FECHA]])</f>
        <v>2026</v>
      </c>
      <c r="D7" s="183" t="s">
        <v>103</v>
      </c>
      <c r="E7" s="183" t="str">
        <f>UPPER(TEXT(TablaPrincipal[[#This Row],[FECHA]],"MMMM"))</f>
        <v>ENERO</v>
      </c>
      <c r="F7" s="183" t="str">
        <f>IFERROR(VLOOKUP(TablaPrincipal[[#This Row],[CODIGO]],COSECHAS!A:J,9,0),"-")</f>
        <v>16</v>
      </c>
      <c r="G7" s="183" t="str">
        <f>IFERROR(VLOOKUP(TablaPrincipal[[#This Row],[CODIGO]],COSECHAS!A:I,8,0),"-")</f>
        <v>PARGO ROJO</v>
      </c>
      <c r="H7" s="184">
        <f>IFERROR(VLOOKUP(TablaPrincipal[[#This Row],[CODIGO]],DATOS!A:B,2,0),"-")</f>
        <v>5</v>
      </c>
      <c r="I7" s="183" t="str">
        <f>IFERROR(VLOOKUP(TablaPrincipal[[#This Row],[CODIGO]],Tabla8[[#Headers],[#Data]],3,0),"-")</f>
        <v>CONVENCIONAL</v>
      </c>
      <c r="J7" s="183">
        <f>IFERROR(TablaPrincipal[[#This Row],[FECHA]]-TablaPrincipal[[#This Row],[FECHA DE SIEMBRA]],"-")</f>
        <v>74</v>
      </c>
      <c r="K7" s="196">
        <f>VLOOKUP(TablaPrincipal[[#This Row],[CODIGO]]&amp;TablaPrincipal[[#This Row],[AGUAJE ]],Tabla4[#All],4,0)</f>
        <v>45952</v>
      </c>
      <c r="L7" s="183" t="str">
        <f>VLOOKUP(TablaPrincipal[[#This Row],[CODIGO]]&amp;TablaPrincipal[[#This Row],[AGUAJE ]],Tabla4[#All],15,0)</f>
        <v>PR PC 3</v>
      </c>
      <c r="M7" s="184">
        <f>VLOOKUP(TablaPrincipal[[#This Row],[CODIGO]]&amp;TablaPrincipal[[#This Row],[AGUAJE ]],Tabla4[#All],14,0)</f>
        <v>0.38</v>
      </c>
      <c r="N7" s="183">
        <v>11</v>
      </c>
      <c r="O7" s="170">
        <f>VLOOKUP(TablaPrincipal[[#This Row],[CODIGO]]&amp;TablaPrincipal[[#This Row],[AGUAJE ]],Tabla4[#All],5,0)</f>
        <v>400000</v>
      </c>
      <c r="P7" s="221">
        <f>IFERROR(TablaPrincipal[[#This Row],[ANIM SEMBRADOS]]/TablaPrincipal[[#This Row],[HAS]],"-")</f>
        <v>80000</v>
      </c>
      <c r="Q7" s="222">
        <f>IFERROR(TablaPrincipal[[#This Row],[DENSIDAD]]/10000,"-")</f>
        <v>8</v>
      </c>
      <c r="R7" s="183" t="str">
        <f>VLOOKUP(TablaPrincipal[[#This Row],[CODIGO]]&amp;TablaPrincipal[[#This Row],[AGUAJE ]],Tabla4[#All],8,0)</f>
        <v>TECSERV</v>
      </c>
      <c r="S7" s="183" t="str">
        <f>VLOOKUP(TablaPrincipal[[#This Row],[CODIGO]]&amp;TablaPrincipal[[#This Row],[AGUAJE ]],Tabla4[#All],7,0)</f>
        <v>TEXCUMAR</v>
      </c>
      <c r="T7" s="183" t="str">
        <f>IF(ISNUMBER(FIND("/",TablaPrincipal[[#This Row],[LABORATORIO]])),"COMBINADO","UNICO")</f>
        <v>UNICO</v>
      </c>
      <c r="U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" s="185">
        <f>IFERROR(TablaPrincipal[[#This Row],[LIBRAS RALEO PLANTA]]/TablaPrincipal[[#This Row],[HAS]],"-")</f>
        <v>0</v>
      </c>
      <c r="Z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11958.26</v>
      </c>
      <c r="AC7" s="186">
        <f>SUMIFS(COSECHAS!F:F,COSECHAS!A:A,'BASE 2026'!AW:AW,COSECHAS!G:G,"="&amp;A:A)</f>
        <v>28</v>
      </c>
      <c r="AD7" s="186">
        <f>SUMIFS(COSECHAS!M:M,COSECHAS!A:A,'BASE 2026'!AW:AW,COSECHAS!G:G,"="&amp;A:A)</f>
        <v>30.58</v>
      </c>
      <c r="AE7" s="185">
        <f>IFERROR(TablaPrincipal[[#This Row],[LIBRAS PLANTA]]/TablaPrincipal[[#This Row],[HAS]],"-")</f>
        <v>2391.652</v>
      </c>
      <c r="AF7" s="185">
        <f>IFERROR(TablaPrincipal[[#This Row],[LIBRAS PLANTA]]*454/TablaPrincipal[[#This Row],[GRAMOS PLANTA]],"-")</f>
        <v>177535.97253106607</v>
      </c>
      <c r="AG7" s="185">
        <f>TablaPrincipal[[#This Row],[LIBRAS RALEO PLANTA]]+TablaPrincipal[[#This Row],[LIBRAS PLANTA]]</f>
        <v>11958.26</v>
      </c>
      <c r="AH7" s="185">
        <f>IFERROR(TablaPrincipal[[#This Row],[CAM COSECHADOS RALEO]]+TablaPrincipal[[#This Row],[CAM COSECHADOS]],"-")</f>
        <v>177535.97253106607</v>
      </c>
      <c r="AI7" s="185">
        <f>IFERROR((TablaPrincipal[[#This Row],[LIBRAS RALEO PLANTA]]+TablaPrincipal[[#This Row],[LIBRAS PLANTA]])/TablaPrincipal[[#This Row],[HAS]],"0")</f>
        <v>2391.652</v>
      </c>
      <c r="AJ7" s="186">
        <f t="shared" si="0"/>
        <v>2.8927027027027026</v>
      </c>
      <c r="AK7" s="186">
        <f>IFERROR(TablaPrincipal[[#This Row],[LBS/HA]]/TablaPrincipal[[#This Row],[DIAS]],"-")</f>
        <v>32.319621621621621</v>
      </c>
      <c r="AL7" s="186">
        <f>IFERROR(TablaPrincipal[[#This Row],[CAM COSECHADOS TOTALES]]/TablaPrincipal[[#This Row],[ANIM SEMBRADOS]]*100,"-")</f>
        <v>44.38399313276652</v>
      </c>
      <c r="AM7" s="185">
        <v>18882.399000000001</v>
      </c>
      <c r="AN7" s="187">
        <f>IFERROR(((TablaPrincipal[[#This Row],[BALANCEADO ACUMULADO (LBS)]]/2.2046)/TablaPrincipal[[#This Row],[HAS]])/TablaPrincipal[[#This Row],[DIAS]],"-")</f>
        <v>23.148648648648649</v>
      </c>
      <c r="AO7" s="184">
        <f>IFERROR(TablaPrincipal[[#This Row],[BALANCEADO ACUMULADO (LBS)]]/TablaPrincipal[[#This Row],[LIBRAS TOTALES]],"-")</f>
        <v>1.5790256274742314</v>
      </c>
      <c r="AP7" s="184" t="s">
        <v>104</v>
      </c>
      <c r="AQ7" s="184" t="s">
        <v>105</v>
      </c>
      <c r="AR7" s="185">
        <f>TablaPrincipal[[#This Row],[LIBRAS RALEO PLANTA]]-TablaPrincipal[[#This Row],[LIBRAS RALEO CAMARONERA]]</f>
        <v>0</v>
      </c>
      <c r="AS7" s="185">
        <f>TablaPrincipal[[#This Row],[LIBRAS PLANTA]]-TablaPrincipal[[#This Row],[LIBRAS CAMARONERA]]</f>
        <v>1758.2600000000002</v>
      </c>
      <c r="AT7" s="187">
        <f>TablaPrincipal[[#This Row],[GRAMAJE RALEO PLANTA]]-TablaPrincipal[[#This Row],[GRAMAJE RALEO CAMARONERA]]</f>
        <v>0</v>
      </c>
      <c r="AU7" s="187">
        <f>TablaPrincipal[[#This Row],[GRAMOS PLANTA]]-TablaPrincipal[[#This Row],[GRAMAJE CAMARONERA]]</f>
        <v>2.5799999999999983</v>
      </c>
      <c r="AV7" s="183" t="str">
        <f>+VLOOKUP(TablaPrincipal[[#This Row],[CODIGO]],TablaCosechas[#All],10,0)</f>
        <v>WILMER TORRES</v>
      </c>
      <c r="AW7" s="183" t="s">
        <v>111</v>
      </c>
      <c r="AX7" s="188" t="str">
        <f>+VLOOKUP(TablaPrincipal[[#This Row],[CODIGO]],TablaCosechas[#All],10,0)</f>
        <v>WILMER TORRES</v>
      </c>
    </row>
    <row r="8" spans="1:50" hidden="1" x14ac:dyDescent="0.25">
      <c r="A8" s="196">
        <v>46026</v>
      </c>
      <c r="B8" s="183">
        <v>6</v>
      </c>
      <c r="C8" s="183">
        <f>YEAR(TablaPrincipal[[#This Row],[FECHA]])</f>
        <v>2026</v>
      </c>
      <c r="D8" s="183" t="s">
        <v>103</v>
      </c>
      <c r="E8" s="183" t="str">
        <f>UPPER(TEXT(TablaPrincipal[[#This Row],[FECHA]],"MMMM"))</f>
        <v>ENERO</v>
      </c>
      <c r="F8" s="183" t="str">
        <f>IFERROR(VLOOKUP(TablaPrincipal[[#This Row],[CODIGO]],COSECHAS!A:J,9,0),"-")</f>
        <v>17</v>
      </c>
      <c r="G8" s="183" t="str">
        <f>IFERROR(VLOOKUP(TablaPrincipal[[#This Row],[CODIGO]],COSECHAS!A:I,8,0),"-")</f>
        <v>TIBURON</v>
      </c>
      <c r="H8" s="184">
        <f>IFERROR(VLOOKUP(TablaPrincipal[[#This Row],[CODIGO]],DATOS!A:B,2,0),"-")</f>
        <v>2.85</v>
      </c>
      <c r="I8" s="183" t="str">
        <f>IFERROR(VLOOKUP(TablaPrincipal[[#This Row],[CODIGO]],Tabla8[[#Headers],[#Data]],3,0),"-")</f>
        <v>ASC-BAP</v>
      </c>
      <c r="J8" s="183">
        <f>IFERROR(TablaPrincipal[[#This Row],[FECHA]]-TablaPrincipal[[#This Row],[FECHA DE SIEMBRA]],"-")</f>
        <v>77</v>
      </c>
      <c r="K8" s="196">
        <f>VLOOKUP(TablaPrincipal[[#This Row],[CODIGO]]&amp;TablaPrincipal[[#This Row],[AGUAJE ]],Tabla4[#All],4,0)</f>
        <v>45949</v>
      </c>
      <c r="L8" s="183" t="str">
        <f>VLOOKUP(TablaPrincipal[[#This Row],[CODIGO]]&amp;TablaPrincipal[[#This Row],[AGUAJE ]],Tabla4[#All],15,0)</f>
        <v>TI PC 18</v>
      </c>
      <c r="M8" s="184">
        <f>VLOOKUP(TablaPrincipal[[#This Row],[CODIGO]]&amp;TablaPrincipal[[#This Row],[AGUAJE ]],Tabla4[#All],14,0)</f>
        <v>0.8</v>
      </c>
      <c r="N8" s="183">
        <v>6</v>
      </c>
      <c r="O8" s="170">
        <f>VLOOKUP(TablaPrincipal[[#This Row],[CODIGO]]&amp;TablaPrincipal[[#This Row],[AGUAJE ]],Tabla4[#All],5,0)</f>
        <v>541500</v>
      </c>
      <c r="P8" s="221">
        <f>IFERROR(TablaPrincipal[[#This Row],[ANIM SEMBRADOS]]/TablaPrincipal[[#This Row],[HAS]],"-")</f>
        <v>190000</v>
      </c>
      <c r="Q8" s="222">
        <f>IFERROR(TablaPrincipal[[#This Row],[DENSIDAD]]/10000,"-")</f>
        <v>19</v>
      </c>
      <c r="R8" s="183" t="str">
        <f>VLOOKUP(TablaPrincipal[[#This Row],[CODIGO]]&amp;TablaPrincipal[[#This Row],[AGUAJE ]],Tabla4[#All],8,0)</f>
        <v>ACUATECSA</v>
      </c>
      <c r="S8" s="183" t="str">
        <f>VLOOKUP(TablaPrincipal[[#This Row],[CODIGO]]&amp;TablaPrincipal[[#This Row],[AGUAJE ]],Tabla4[#All],7,0)</f>
        <v>TEXCUMAR</v>
      </c>
      <c r="T8" s="183" t="str">
        <f>IF(ISNUMBER(FIND("/",TablaPrincipal[[#This Row],[LABORATORIO]])),"COMBINADO","UNICO")</f>
        <v>UNICO</v>
      </c>
      <c r="U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" s="185">
        <f>IFERROR(TablaPrincipal[[#This Row],[LIBRAS RALEO PLANTA]]/TablaPrincipal[[#This Row],[HAS]],"-")</f>
        <v>0</v>
      </c>
      <c r="Z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22400</v>
      </c>
      <c r="AB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23175.62</v>
      </c>
      <c r="AC8" s="186">
        <f>SUMIFS(COSECHAS!F:F,COSECHAS!A:A,'BASE 2026'!AW:AW,COSECHAS!G:G,"="&amp;A:A)</f>
        <v>42</v>
      </c>
      <c r="AD8" s="186">
        <f>SUMIFS(COSECHAS!M:M,COSECHAS!A:A,'BASE 2026'!AW:AW,COSECHAS!G:G,"="&amp;A:A)</f>
        <v>39.5</v>
      </c>
      <c r="AE8" s="185">
        <f>IFERROR(TablaPrincipal[[#This Row],[LIBRAS PLANTA]]/TablaPrincipal[[#This Row],[HAS]],"-")</f>
        <v>8131.7964912280695</v>
      </c>
      <c r="AF8" s="185">
        <f>IFERROR(TablaPrincipal[[#This Row],[LIBRAS PLANTA]]*454/TablaPrincipal[[#This Row],[GRAMOS PLANTA]],"-")</f>
        <v>266372.9488607595</v>
      </c>
      <c r="AG8" s="185">
        <f>TablaPrincipal[[#This Row],[LIBRAS RALEO PLANTA]]+TablaPrincipal[[#This Row],[LIBRAS PLANTA]]</f>
        <v>23175.62</v>
      </c>
      <c r="AH8" s="185">
        <f>IFERROR(TablaPrincipal[[#This Row],[CAM COSECHADOS RALEO]]+TablaPrincipal[[#This Row],[CAM COSECHADOS]],"-")</f>
        <v>266372.9488607595</v>
      </c>
      <c r="AI8" s="185">
        <f>IFERROR((TablaPrincipal[[#This Row],[LIBRAS RALEO PLANTA]]+TablaPrincipal[[#This Row],[LIBRAS PLANTA]])/TablaPrincipal[[#This Row],[HAS]],"0")</f>
        <v>8131.7964912280695</v>
      </c>
      <c r="AJ8" s="186">
        <f t="shared" si="0"/>
        <v>3.5909090909090908</v>
      </c>
      <c r="AK8" s="186">
        <f>IFERROR(TablaPrincipal[[#This Row],[LBS/HA]]/TablaPrincipal[[#This Row],[DIAS]],"-")</f>
        <v>105.60774663932558</v>
      </c>
      <c r="AL8" s="186">
        <f>IFERROR(TablaPrincipal[[#This Row],[CAM COSECHADOS TOTALES]]/TablaPrincipal[[#This Row],[ANIM SEMBRADOS]]*100,"-")</f>
        <v>49.191680306696121</v>
      </c>
      <c r="AM8" s="185">
        <v>35549.175000000003</v>
      </c>
      <c r="AN8" s="187">
        <f>IFERROR(((TablaPrincipal[[#This Row],[BALANCEADO ACUMULADO (LBS)]]/2.2046)/TablaPrincipal[[#This Row],[HAS]])/TablaPrincipal[[#This Row],[DIAS]],"-")</f>
        <v>73.479152426520841</v>
      </c>
      <c r="AO8" s="184">
        <f>IFERROR(TablaPrincipal[[#This Row],[BALANCEADO ACUMULADO (LBS)]]/TablaPrincipal[[#This Row],[LIBRAS TOTALES]],"-")</f>
        <v>1.5339039473377629</v>
      </c>
      <c r="AP8" s="184" t="s">
        <v>108</v>
      </c>
      <c r="AQ8" s="184" t="s">
        <v>105</v>
      </c>
      <c r="AR8" s="185">
        <f>TablaPrincipal[[#This Row],[LIBRAS RALEO PLANTA]]-TablaPrincipal[[#This Row],[LIBRAS RALEO CAMARONERA]]</f>
        <v>0</v>
      </c>
      <c r="AS8" s="185">
        <f>TablaPrincipal[[#This Row],[LIBRAS PLANTA]]-TablaPrincipal[[#This Row],[LIBRAS CAMARONERA]]</f>
        <v>775.61999999999898</v>
      </c>
      <c r="AT8" s="187">
        <f>TablaPrincipal[[#This Row],[GRAMAJE RALEO PLANTA]]-TablaPrincipal[[#This Row],[GRAMAJE RALEO CAMARONERA]]</f>
        <v>0</v>
      </c>
      <c r="AU8" s="187">
        <f>TablaPrincipal[[#This Row],[GRAMOS PLANTA]]-TablaPrincipal[[#This Row],[GRAMAJE CAMARONERA]]</f>
        <v>-2.5</v>
      </c>
      <c r="AV8" s="183" t="str">
        <f>+VLOOKUP(TablaPrincipal[[#This Row],[CODIGO]],TablaCosechas[#All],10,0)</f>
        <v>ALFONSO GRUNAUER</v>
      </c>
      <c r="AW8" s="183" t="s">
        <v>112</v>
      </c>
      <c r="AX8" s="188" t="str">
        <f>+VLOOKUP(TablaPrincipal[[#This Row],[CODIGO]],TablaCosechas[#All],10,0)</f>
        <v>ALFONSO GRUNAUER</v>
      </c>
    </row>
    <row r="9" spans="1:50" hidden="1" x14ac:dyDescent="0.25">
      <c r="A9" s="196">
        <v>46027</v>
      </c>
      <c r="B9" s="183">
        <v>7</v>
      </c>
      <c r="C9" s="183">
        <f>YEAR(TablaPrincipal[[#This Row],[FECHA]])</f>
        <v>2026</v>
      </c>
      <c r="D9" s="183" t="s">
        <v>103</v>
      </c>
      <c r="E9" s="183" t="str">
        <f>UPPER(TEXT(TablaPrincipal[[#This Row],[FECHA]],"MMMM"))</f>
        <v>ENERO</v>
      </c>
      <c r="F9" s="183" t="str">
        <f>IFERROR(VLOOKUP(TablaPrincipal[[#This Row],[CODIGO]],COSECHAS!A:J,9,0),"-")</f>
        <v>18</v>
      </c>
      <c r="G9" s="183" t="str">
        <f>IFERROR(VLOOKUP(TablaPrincipal[[#This Row],[CODIGO]],COSECHAS!A:I,8,0),"-")</f>
        <v>CHERNA</v>
      </c>
      <c r="H9" s="184">
        <f>IFERROR(VLOOKUP(TablaPrincipal[[#This Row],[CODIGO]],DATOS!A:B,2,0),"-")</f>
        <v>10.6</v>
      </c>
      <c r="I9" s="183" t="str">
        <f>IFERROR(VLOOKUP(TablaPrincipal[[#This Row],[CODIGO]],Tabla8[[#Headers],[#Data]],3,0),"-")</f>
        <v>ASC</v>
      </c>
      <c r="J9" s="183">
        <f>IFERROR(TablaPrincipal[[#This Row],[FECHA]]-TablaPrincipal[[#This Row],[FECHA DE SIEMBRA]],"-")</f>
        <v>88</v>
      </c>
      <c r="K9" s="196">
        <f>VLOOKUP(TablaPrincipal[[#This Row],[CODIGO]]&amp;TablaPrincipal[[#This Row],[AGUAJE ]],Tabla4[#All],4,0)</f>
        <v>45939</v>
      </c>
      <c r="L9" s="183" t="str">
        <f>VLOOKUP(TablaPrincipal[[#This Row],[CODIGO]]&amp;TablaPrincipal[[#This Row],[AGUAJE ]],Tabla4[#All],15,0)</f>
        <v>CH PC 7</v>
      </c>
      <c r="M9" s="184">
        <f>VLOOKUP(TablaPrincipal[[#This Row],[CODIGO]]&amp;TablaPrincipal[[#This Row],[AGUAJE ]],Tabla4[#All],14,0)</f>
        <v>0.32</v>
      </c>
      <c r="N9" s="183">
        <v>4</v>
      </c>
      <c r="O9" s="170">
        <f>VLOOKUP(TablaPrincipal[[#This Row],[CODIGO]]&amp;TablaPrincipal[[#This Row],[AGUAJE ]],Tabla4[#All],5,0)</f>
        <v>1378000</v>
      </c>
      <c r="P9" s="221">
        <f>IFERROR(TablaPrincipal[[#This Row],[ANIM SEMBRADOS]]/TablaPrincipal[[#This Row],[HAS]],"-")</f>
        <v>130000</v>
      </c>
      <c r="Q9" s="222">
        <f>IFERROR(TablaPrincipal[[#This Row],[DENSIDAD]]/10000,"-")</f>
        <v>13</v>
      </c>
      <c r="R9" s="183" t="str">
        <f>VLOOKUP(TablaPrincipal[[#This Row],[CODIGO]]&amp;TablaPrincipal[[#This Row],[AGUAJE ]],Tabla4[#All],8,0)</f>
        <v>BIOLACAM</v>
      </c>
      <c r="S9" s="183" t="str">
        <f>VLOOKUP(TablaPrincipal[[#This Row],[CODIGO]]&amp;TablaPrincipal[[#This Row],[AGUAJE ]],Tabla4[#All],7,0)</f>
        <v>TEXCUMAR</v>
      </c>
      <c r="T9" s="183" t="str">
        <f>IF(ISNUMBER(FIND("/",TablaPrincipal[[#This Row],[LABORATORIO]])),"COMBINADO","UNICO")</f>
        <v>UNICO</v>
      </c>
      <c r="U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18000</v>
      </c>
      <c r="V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19667.099999999999</v>
      </c>
      <c r="W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26.6</v>
      </c>
      <c r="Y9" s="185">
        <f>IFERROR(TablaPrincipal[[#This Row],[LIBRAS RALEO PLANTA]]/TablaPrincipal[[#This Row],[HAS]],"-")</f>
        <v>1855.3867924528302</v>
      </c>
      <c r="Z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337615.42079518596</v>
      </c>
      <c r="AA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38700</v>
      </c>
      <c r="AB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41023.43</v>
      </c>
      <c r="AC9" s="186">
        <f>SUMIFS(COSECHAS!F:F,COSECHAS!A:A,'BASE 2026'!AW:AW,COSECHAS!G:G,"="&amp;A:A)</f>
        <v>36</v>
      </c>
      <c r="AD9" s="186">
        <f>SUMIFS(COSECHAS!M:M,COSECHAS!A:A,'BASE 2026'!AW:AW,COSECHAS!G:G,"="&amp;A:A)</f>
        <v>34.299999999999997</v>
      </c>
      <c r="AE9" s="185">
        <f>IFERROR(TablaPrincipal[[#This Row],[LIBRAS PLANTA]]/TablaPrincipal[[#This Row],[HAS]],"-")</f>
        <v>3870.1349056603776</v>
      </c>
      <c r="AF9" s="185">
        <f>IFERROR(TablaPrincipal[[#This Row],[LIBRAS PLANTA]]*454/TablaPrincipal[[#This Row],[GRAMOS PLANTA]],"-")</f>
        <v>542992.3387755102</v>
      </c>
      <c r="AG9" s="185">
        <f>TablaPrincipal[[#This Row],[LIBRAS RALEO PLANTA]]+TablaPrincipal[[#This Row],[LIBRAS PLANTA]]</f>
        <v>60690.53</v>
      </c>
      <c r="AH9" s="185">
        <f>IFERROR(TablaPrincipal[[#This Row],[CAM COSECHADOS RALEO]]+TablaPrincipal[[#This Row],[CAM COSECHADOS]],"-")</f>
        <v>880607.75957069616</v>
      </c>
      <c r="AI9" s="185">
        <f>IFERROR((TablaPrincipal[[#This Row],[LIBRAS RALEO PLANTA]]+TablaPrincipal[[#This Row],[LIBRAS PLANTA]])/TablaPrincipal[[#This Row],[HAS]],"0")</f>
        <v>5725.521698113208</v>
      </c>
      <c r="AJ9" s="186">
        <f t="shared" si="0"/>
        <v>2.7284090909090906</v>
      </c>
      <c r="AK9" s="186">
        <f>IFERROR(TablaPrincipal[[#This Row],[LBS/HA]]/TablaPrincipal[[#This Row],[DIAS]],"-")</f>
        <v>65.062746569468274</v>
      </c>
      <c r="AL9" s="186">
        <f>IFERROR(TablaPrincipal[[#This Row],[CAM COSECHADOS TOTALES]]/TablaPrincipal[[#This Row],[ANIM SEMBRADOS]]*100,"-")</f>
        <v>63.904772102372732</v>
      </c>
      <c r="AM9" s="185">
        <v>93364.81</v>
      </c>
      <c r="AN9" s="187">
        <f>IFERROR(((TablaPrincipal[[#This Row],[BALANCEADO ACUMULADO (LBS)]]/2.2046)/TablaPrincipal[[#This Row],[HAS]])/TablaPrincipal[[#This Row],[DIAS]],"-")</f>
        <v>45.400943396226417</v>
      </c>
      <c r="AO9" s="184">
        <f>IFERROR(TablaPrincipal[[#This Row],[BALANCEADO ACUMULADO (LBS)]]/TablaPrincipal[[#This Row],[LIBRAS TOTALES]],"-")</f>
        <v>1.5383752621702265</v>
      </c>
      <c r="AP9" s="184" t="s">
        <v>104</v>
      </c>
      <c r="AQ9" s="184" t="s">
        <v>105</v>
      </c>
      <c r="AR9" s="185">
        <f>TablaPrincipal[[#This Row],[LIBRAS RALEO PLANTA]]-TablaPrincipal[[#This Row],[LIBRAS RALEO CAMARONERA]]</f>
        <v>1667.0999999999985</v>
      </c>
      <c r="AS9" s="185">
        <f>TablaPrincipal[[#This Row],[LIBRAS PLANTA]]-TablaPrincipal[[#This Row],[LIBRAS CAMARONERA]]</f>
        <v>2323.4300000000003</v>
      </c>
      <c r="AT9" s="187">
        <f>TablaPrincipal[[#This Row],[GRAMAJE RALEO PLANTA]]-TablaPrincipal[[#This Row],[GRAMAJE RALEO CAMARONERA]]</f>
        <v>0.10000000000000142</v>
      </c>
      <c r="AU9" s="187">
        <f>TablaPrincipal[[#This Row],[GRAMOS PLANTA]]-TablaPrincipal[[#This Row],[GRAMAJE CAMARONERA]]</f>
        <v>-1.7000000000000028</v>
      </c>
      <c r="AV9" s="183" t="str">
        <f>+VLOOKUP(TablaPrincipal[[#This Row],[CODIGO]],TablaCosechas[#All],10,0)</f>
        <v>SANTIAGO OBRIEN</v>
      </c>
      <c r="AW9" s="183" t="s">
        <v>23</v>
      </c>
      <c r="AX9" s="188" t="str">
        <f>+VLOOKUP(TablaPrincipal[[#This Row],[CODIGO]],TablaCosechas[#All],10,0)</f>
        <v>SANTIAGO OBRIEN</v>
      </c>
    </row>
    <row r="10" spans="1:50" hidden="1" x14ac:dyDescent="0.25">
      <c r="A10" s="196">
        <v>46027</v>
      </c>
      <c r="B10" s="183">
        <v>8</v>
      </c>
      <c r="C10" s="183">
        <f>YEAR(TablaPrincipal[[#This Row],[FECHA]])</f>
        <v>2026</v>
      </c>
      <c r="D10" s="183" t="s">
        <v>103</v>
      </c>
      <c r="E10" s="183" t="str">
        <f>UPPER(TEXT(TablaPrincipal[[#This Row],[FECHA]],"MMMM"))</f>
        <v>ENERO</v>
      </c>
      <c r="F10" s="183" t="str">
        <f>IFERROR(VLOOKUP(TablaPrincipal[[#This Row],[CODIGO]],COSECHAS!A:J,9,0),"-")</f>
        <v>03</v>
      </c>
      <c r="G10" s="183" t="str">
        <f>IFERROR(VLOOKUP(TablaPrincipal[[#This Row],[CODIGO]],COSECHAS!A:I,8,0),"-")</f>
        <v>PARGO ROJO</v>
      </c>
      <c r="H10" s="184">
        <f>IFERROR(VLOOKUP(TablaPrincipal[[#This Row],[CODIGO]],DATOS!A:B,2,0),"-")</f>
        <v>2.5</v>
      </c>
      <c r="I10" s="183" t="str">
        <f>IFERROR(VLOOKUP(TablaPrincipal[[#This Row],[CODIGO]],Tabla8[[#Headers],[#Data]],3,0),"-")</f>
        <v>CONVENCIONAL</v>
      </c>
      <c r="J10" s="183">
        <f>IFERROR(TablaPrincipal[[#This Row],[FECHA]]-TablaPrincipal[[#This Row],[FECHA DE SIEMBRA]],"-")</f>
        <v>74</v>
      </c>
      <c r="K10" s="196">
        <f>VLOOKUP(TablaPrincipal[[#This Row],[CODIGO]]&amp;TablaPrincipal[[#This Row],[AGUAJE ]],Tabla4[#All],4,0)</f>
        <v>45953</v>
      </c>
      <c r="L10" s="183" t="str">
        <f>VLOOKUP(TablaPrincipal[[#This Row],[CODIGO]]&amp;TablaPrincipal[[#This Row],[AGUAJE ]],Tabla4[#All],15,0)</f>
        <v>PR PC 1</v>
      </c>
      <c r="M10" s="184">
        <f>VLOOKUP(TablaPrincipal[[#This Row],[CODIGO]]&amp;TablaPrincipal[[#This Row],[AGUAJE ]],Tabla4[#All],14,0)</f>
        <v>0.45</v>
      </c>
      <c r="N10" s="183">
        <v>10</v>
      </c>
      <c r="O10" s="170">
        <f>VLOOKUP(TablaPrincipal[[#This Row],[CODIGO]]&amp;TablaPrincipal[[#This Row],[AGUAJE ]],Tabla4[#All],5,0)</f>
        <v>325000</v>
      </c>
      <c r="P10" s="221">
        <f>IFERROR(TablaPrincipal[[#This Row],[ANIM SEMBRADOS]]/TablaPrincipal[[#This Row],[HAS]],"-")</f>
        <v>130000</v>
      </c>
      <c r="Q10" s="222">
        <f>IFERROR(TablaPrincipal[[#This Row],[DENSIDAD]]/10000,"-")</f>
        <v>13</v>
      </c>
      <c r="R10" s="183" t="str">
        <f>VLOOKUP(TablaPrincipal[[#This Row],[CODIGO]]&amp;TablaPrincipal[[#This Row],[AGUAJE ]],Tabla4[#All],8,0)</f>
        <v>TECSERV</v>
      </c>
      <c r="S10" s="183" t="str">
        <f>VLOOKUP(TablaPrincipal[[#This Row],[CODIGO]]&amp;TablaPrincipal[[#This Row],[AGUAJE ]],Tabla4[#All],7,0)</f>
        <v>TEXCUMAR</v>
      </c>
      <c r="T10" s="183" t="str">
        <f>IF(ISNUMBER(FIND("/",TablaPrincipal[[#This Row],[LABORATORIO]])),"COMBINADO","UNICO")</f>
        <v>UNICO</v>
      </c>
      <c r="U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" s="185">
        <f>IFERROR(TablaPrincipal[[#This Row],[LIBRAS RALEO PLANTA]]/TablaPrincipal[[#This Row],[HAS]],"-")</f>
        <v>0</v>
      </c>
      <c r="Z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5850</v>
      </c>
      <c r="AB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6806.33</v>
      </c>
      <c r="AC10" s="186">
        <f>SUMIFS(COSECHAS!F:F,COSECHAS!A:A,'BASE 2026'!AW:AW,COSECHAS!G:G,"="&amp;A:A)</f>
        <v>30</v>
      </c>
      <c r="AD10" s="186">
        <f>SUMIFS(COSECHAS!M:M,COSECHAS!A:A,'BASE 2026'!AW:AW,COSECHAS!G:G,"="&amp;A:A)</f>
        <v>31.74</v>
      </c>
      <c r="AE10" s="185">
        <f>IFERROR(TablaPrincipal[[#This Row],[LIBRAS PLANTA]]/TablaPrincipal[[#This Row],[HAS]],"-")</f>
        <v>2722.5320000000002</v>
      </c>
      <c r="AF10" s="185">
        <f>IFERROR(TablaPrincipal[[#This Row],[LIBRAS PLANTA]]*454/TablaPrincipal[[#This Row],[GRAMOS PLANTA]],"-")</f>
        <v>97355.822936357901</v>
      </c>
      <c r="AG10" s="185">
        <f>TablaPrincipal[[#This Row],[LIBRAS RALEO PLANTA]]+TablaPrincipal[[#This Row],[LIBRAS PLANTA]]</f>
        <v>6806.33</v>
      </c>
      <c r="AH10" s="185">
        <f>IFERROR(TablaPrincipal[[#This Row],[CAM COSECHADOS RALEO]]+TablaPrincipal[[#This Row],[CAM COSECHADOS]],"-")</f>
        <v>97355.822936357901</v>
      </c>
      <c r="AI10" s="185">
        <f>IFERROR((TablaPrincipal[[#This Row],[LIBRAS RALEO PLANTA]]+TablaPrincipal[[#This Row],[LIBRAS PLANTA]])/TablaPrincipal[[#This Row],[HAS]],"0")</f>
        <v>2722.5320000000002</v>
      </c>
      <c r="AJ10" s="186">
        <f t="shared" si="0"/>
        <v>3.0024324324324323</v>
      </c>
      <c r="AK10" s="186">
        <f>IFERROR(TablaPrincipal[[#This Row],[LBS/HA]]/TablaPrincipal[[#This Row],[DIAS]],"-")</f>
        <v>36.790972972972973</v>
      </c>
      <c r="AL10" s="186">
        <f>IFERROR(TablaPrincipal[[#This Row],[CAM COSECHADOS TOTALES]]/TablaPrincipal[[#This Row],[ANIM SEMBRADOS]]*100,"-")</f>
        <v>29.955637826571664</v>
      </c>
      <c r="AM10" s="185">
        <v>12136.323</v>
      </c>
      <c r="AN10" s="187">
        <f>IFERROR(((TablaPrincipal[[#This Row],[BALANCEADO ACUMULADO (LBS)]]/2.2046)/TablaPrincipal[[#This Row],[HAS]])/TablaPrincipal[[#This Row],[DIAS]],"-")</f>
        <v>29.756756756756758</v>
      </c>
      <c r="AO10" s="184">
        <f>IFERROR(TablaPrincipal[[#This Row],[BALANCEADO ACUMULADO (LBS)]]/TablaPrincipal[[#This Row],[LIBRAS TOTALES]],"-")</f>
        <v>1.7830935320503121</v>
      </c>
      <c r="AP10" s="184" t="s">
        <v>104</v>
      </c>
      <c r="AQ10" s="184" t="s">
        <v>105</v>
      </c>
      <c r="AR10" s="185">
        <f>TablaPrincipal[[#This Row],[LIBRAS RALEO PLANTA]]-TablaPrincipal[[#This Row],[LIBRAS RALEO CAMARONERA]]</f>
        <v>0</v>
      </c>
      <c r="AS10" s="185">
        <f>TablaPrincipal[[#This Row],[LIBRAS PLANTA]]-TablaPrincipal[[#This Row],[LIBRAS CAMARONERA]]</f>
        <v>956.32999999999993</v>
      </c>
      <c r="AT10" s="187">
        <f>TablaPrincipal[[#This Row],[GRAMAJE RALEO PLANTA]]-TablaPrincipal[[#This Row],[GRAMAJE RALEO CAMARONERA]]</f>
        <v>0</v>
      </c>
      <c r="AU10" s="187">
        <f>TablaPrincipal[[#This Row],[GRAMOS PLANTA]]-TablaPrincipal[[#This Row],[GRAMAJE CAMARONERA]]</f>
        <v>1.7399999999999984</v>
      </c>
      <c r="AV10" s="183" t="str">
        <f>+VLOOKUP(TablaPrincipal[[#This Row],[CODIGO]],TablaCosechas[#All],10,0)</f>
        <v>WILMER TORRES</v>
      </c>
      <c r="AW10" s="183" t="s">
        <v>113</v>
      </c>
      <c r="AX10" s="188" t="str">
        <f>+VLOOKUP(TablaPrincipal[[#This Row],[CODIGO]],TablaCosechas[#All],10,0)</f>
        <v>WILMER TORRES</v>
      </c>
    </row>
    <row r="11" spans="1:50" hidden="1" x14ac:dyDescent="0.25">
      <c r="A11" s="196">
        <v>46028</v>
      </c>
      <c r="B11" s="183">
        <v>9</v>
      </c>
      <c r="C11" s="183">
        <f>YEAR(TablaPrincipal[[#This Row],[FECHA]])</f>
        <v>2026</v>
      </c>
      <c r="D11" s="183" t="s">
        <v>103</v>
      </c>
      <c r="E11" s="183" t="str">
        <f>UPPER(TEXT(TablaPrincipal[[#This Row],[FECHA]],"MMMM"))</f>
        <v>ENERO</v>
      </c>
      <c r="F11" s="183" t="str">
        <f>IFERROR(VLOOKUP(TablaPrincipal[[#This Row],[CODIGO]],COSECHAS!A:J,9,0),"-")</f>
        <v>18</v>
      </c>
      <c r="G11" s="183" t="str">
        <f>IFERROR(VLOOKUP(TablaPrincipal[[#This Row],[CODIGO]],COSECHAS!A:I,8,0),"-")</f>
        <v>CATANUDA</v>
      </c>
      <c r="H11" s="184">
        <f>IFERROR(VLOOKUP(TablaPrincipal[[#This Row],[CODIGO]],DATOS!A:B,2,0),"-")</f>
        <v>5.5</v>
      </c>
      <c r="I11" s="183" t="str">
        <f>IFERROR(VLOOKUP(TablaPrincipal[[#This Row],[CODIGO]],Tabla8[[#Headers],[#Data]],3,0),"-")</f>
        <v>ASC-BAP</v>
      </c>
      <c r="J11" s="183">
        <f>IFERROR(TablaPrincipal[[#This Row],[FECHA]]-TablaPrincipal[[#This Row],[FECHA DE SIEMBRA]],"-")</f>
        <v>91</v>
      </c>
      <c r="K11" s="196">
        <f>VLOOKUP(TablaPrincipal[[#This Row],[CODIGO]]&amp;TablaPrincipal[[#This Row],[AGUAJE ]],Tabla4[#All],4,0)</f>
        <v>45937</v>
      </c>
      <c r="L11" s="183" t="str">
        <f>VLOOKUP(TablaPrincipal[[#This Row],[CODIGO]]&amp;TablaPrincipal[[#This Row],[AGUAJE ]],Tabla4[#All],15,0)</f>
        <v>CA PC 6</v>
      </c>
      <c r="M11" s="184">
        <f>VLOOKUP(TablaPrincipal[[#This Row],[CODIGO]]&amp;TablaPrincipal[[#This Row],[AGUAJE ]],Tabla4[#All],14,0)</f>
        <v>0.55000000000000004</v>
      </c>
      <c r="N11" s="183">
        <v>5</v>
      </c>
      <c r="O11" s="170">
        <f>VLOOKUP(TablaPrincipal[[#This Row],[CODIGO]]&amp;TablaPrincipal[[#This Row],[AGUAJE ]],Tabla4[#All],5,0)</f>
        <v>962500</v>
      </c>
      <c r="P11" s="221">
        <f>IFERROR(TablaPrincipal[[#This Row],[ANIM SEMBRADOS]]/TablaPrincipal[[#This Row],[HAS]],"-")</f>
        <v>175000</v>
      </c>
      <c r="Q11" s="222">
        <f>IFERROR(TablaPrincipal[[#This Row],[DENSIDAD]]/10000,"-")</f>
        <v>17.5</v>
      </c>
      <c r="R11" s="183" t="str">
        <f>VLOOKUP(TablaPrincipal[[#This Row],[CODIGO]]&amp;TablaPrincipal[[#This Row],[AGUAJE ]],Tabla4[#All],8,0)</f>
        <v>OCEANLAB</v>
      </c>
      <c r="S11" s="183" t="str">
        <f>VLOOKUP(TablaPrincipal[[#This Row],[CODIGO]]&amp;TablaPrincipal[[#This Row],[AGUAJE ]],Tabla4[#All],7,0)</f>
        <v>TEXCUMAR</v>
      </c>
      <c r="T11" s="183" t="str">
        <f>IF(ISNUMBER(FIND("/",TablaPrincipal[[#This Row],[LABORATORIO]])),"COMBINADO","UNICO")</f>
        <v>UNICO</v>
      </c>
      <c r="U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6400</v>
      </c>
      <c r="V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6553.71</v>
      </c>
      <c r="W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28.410000000000004</v>
      </c>
      <c r="Y11" s="185">
        <f>IFERROR(TablaPrincipal[[#This Row],[LIBRAS RALEO PLANTA]]/TablaPrincipal[[#This Row],[HAS]],"-")</f>
        <v>1191.5836363636363</v>
      </c>
      <c r="Z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136736.41268382352</v>
      </c>
      <c r="AA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27928.79</v>
      </c>
      <c r="AC11" s="186">
        <f>SUMIFS(COSECHAS!F:F,COSECHAS!A:A,'BASE 2026'!AW:AW,COSECHAS!G:G,"="&amp;A:A)</f>
        <v>36</v>
      </c>
      <c r="AD11" s="186">
        <f>SUMIFS(COSECHAS!M:M,COSECHAS!A:A,'BASE 2026'!AW:AW,COSECHAS!G:G,"="&amp;A:A)</f>
        <v>35.06</v>
      </c>
      <c r="AE11" s="185">
        <f>IFERROR(TablaPrincipal[[#This Row],[LIBRAS PLANTA]]/TablaPrincipal[[#This Row],[HAS]],"-")</f>
        <v>5077.9618181818187</v>
      </c>
      <c r="AF11" s="185">
        <f>IFERROR(TablaPrincipal[[#This Row],[LIBRAS PLANTA]]*454/TablaPrincipal[[#This Row],[GRAMOS PLANTA]],"-")</f>
        <v>361656.32230462064</v>
      </c>
      <c r="AG11" s="185">
        <f>TablaPrincipal[[#This Row],[LIBRAS RALEO PLANTA]]+TablaPrincipal[[#This Row],[LIBRAS PLANTA]]</f>
        <v>34482.5</v>
      </c>
      <c r="AH11" s="185">
        <f>IFERROR(TablaPrincipal[[#This Row],[CAM COSECHADOS RALEO]]+TablaPrincipal[[#This Row],[CAM COSECHADOS]],"-")</f>
        <v>498392.73498844414</v>
      </c>
      <c r="AI11" s="185">
        <f>IFERROR((TablaPrincipal[[#This Row],[LIBRAS RALEO PLANTA]]+TablaPrincipal[[#This Row],[LIBRAS PLANTA]])/TablaPrincipal[[#This Row],[HAS]],"0")</f>
        <v>6269.545454545455</v>
      </c>
      <c r="AJ11" s="186">
        <f t="shared" si="0"/>
        <v>2.6969230769230772</v>
      </c>
      <c r="AK11" s="186">
        <f>IFERROR(TablaPrincipal[[#This Row],[LBS/HA]]/TablaPrincipal[[#This Row],[DIAS]],"-")</f>
        <v>68.896103896103895</v>
      </c>
      <c r="AL11" s="186">
        <f>IFERROR(TablaPrincipal[[#This Row],[CAM COSECHADOS TOTALES]]/TablaPrincipal[[#This Row],[ANIM SEMBRADOS]]*100,"-")</f>
        <v>51.781063375422761</v>
      </c>
      <c r="AM11" s="185">
        <v>56713.335000000006</v>
      </c>
      <c r="AN11" s="187">
        <f>IFERROR(((TablaPrincipal[[#This Row],[BALANCEADO ACUMULADO (LBS)]]/2.2046)/TablaPrincipal[[#This Row],[HAS]])/TablaPrincipal[[#This Row],[DIAS]],"-")</f>
        <v>51.398601398601393</v>
      </c>
      <c r="AO11" s="184">
        <f>IFERROR(TablaPrincipal[[#This Row],[BALANCEADO ACUMULADO (LBS)]]/TablaPrincipal[[#This Row],[LIBRAS TOTALES]],"-")</f>
        <v>1.6446990502428771</v>
      </c>
      <c r="AP11" s="184" t="s">
        <v>104</v>
      </c>
      <c r="AQ11" s="184" t="s">
        <v>105</v>
      </c>
      <c r="AR11" s="185">
        <f>TablaPrincipal[[#This Row],[LIBRAS RALEO PLANTA]]-TablaPrincipal[[#This Row],[LIBRAS RALEO CAMARONERA]]</f>
        <v>153.71000000000004</v>
      </c>
      <c r="AS11" s="185">
        <f>TablaPrincipal[[#This Row],[LIBRAS PLANTA]]-TablaPrincipal[[#This Row],[LIBRAS CAMARONERA]]</f>
        <v>428.79000000000087</v>
      </c>
      <c r="AT11" s="187">
        <f>TablaPrincipal[[#This Row],[GRAMAJE RALEO PLANTA]]-TablaPrincipal[[#This Row],[GRAMAJE RALEO CAMARONERA]]</f>
        <v>1.4100000000000037</v>
      </c>
      <c r="AU11" s="187">
        <f>TablaPrincipal[[#This Row],[GRAMOS PLANTA]]-TablaPrincipal[[#This Row],[GRAMAJE CAMARONERA]]</f>
        <v>-0.93999999999999773</v>
      </c>
      <c r="AV11" s="183" t="str">
        <f>+VLOOKUP(TablaPrincipal[[#This Row],[CODIGO]],TablaCosechas[#All],10,0)</f>
        <v>VICTOR QUINTANA</v>
      </c>
      <c r="AW11" s="183" t="s">
        <v>114</v>
      </c>
      <c r="AX11" s="188" t="str">
        <f>+VLOOKUP(TablaPrincipal[[#This Row],[CODIGO]],TablaCosechas[#All],10,0)</f>
        <v>VICTOR QUINTANA</v>
      </c>
    </row>
    <row r="12" spans="1:50" hidden="1" x14ac:dyDescent="0.25">
      <c r="A12" s="196">
        <v>46028</v>
      </c>
      <c r="B12" s="183">
        <v>10</v>
      </c>
      <c r="C12" s="183">
        <f>YEAR(TablaPrincipal[[#This Row],[FECHA]])</f>
        <v>2026</v>
      </c>
      <c r="D12" s="183" t="s">
        <v>103</v>
      </c>
      <c r="E12" s="183" t="str">
        <f>UPPER(TEXT(TablaPrincipal[[#This Row],[FECHA]],"MMMM"))</f>
        <v>ENERO</v>
      </c>
      <c r="F12" s="183" t="str">
        <f>IFERROR(VLOOKUP(TablaPrincipal[[#This Row],[CODIGO]],COSECHAS!A:J,9,0),"-")</f>
        <v>20</v>
      </c>
      <c r="G12" s="183" t="str">
        <f>IFERROR(VLOOKUP(TablaPrincipal[[#This Row],[CODIGO]],COSECHAS!A:I,8,0),"-")</f>
        <v>CHERNA</v>
      </c>
      <c r="H12" s="184">
        <f>IFERROR(VLOOKUP(TablaPrincipal[[#This Row],[CODIGO]],DATOS!A:B,2,0),"-")</f>
        <v>6.45</v>
      </c>
      <c r="I12" s="183" t="str">
        <f>IFERROR(VLOOKUP(TablaPrincipal[[#This Row],[CODIGO]],Tabla8[[#Headers],[#Data]],3,0),"-")</f>
        <v>ASC</v>
      </c>
      <c r="J12" s="183">
        <f>IFERROR(TablaPrincipal[[#This Row],[FECHA]]-TablaPrincipal[[#This Row],[FECHA DE SIEMBRA]],"-")</f>
        <v>89</v>
      </c>
      <c r="K12" s="196">
        <f>VLOOKUP(TablaPrincipal[[#This Row],[CODIGO]]&amp;TablaPrincipal[[#This Row],[AGUAJE ]],Tabla4[#All],4,0)</f>
        <v>45939</v>
      </c>
      <c r="L12" s="183" t="str">
        <f>VLOOKUP(TablaPrincipal[[#This Row],[CODIGO]]&amp;TablaPrincipal[[#This Row],[AGUAJE ]],Tabla4[#All],15,0)</f>
        <v>CH PC 7</v>
      </c>
      <c r="M12" s="184">
        <f>VLOOKUP(TablaPrincipal[[#This Row],[CODIGO]]&amp;TablaPrincipal[[#This Row],[AGUAJE ]],Tabla4[#All],14,0)</f>
        <v>0.32</v>
      </c>
      <c r="N12" s="183">
        <v>6</v>
      </c>
      <c r="O12" s="170">
        <f>VLOOKUP(TablaPrincipal[[#This Row],[CODIGO]]&amp;TablaPrincipal[[#This Row],[AGUAJE ]],Tabla4[#All],5,0)</f>
        <v>1161000</v>
      </c>
      <c r="P12" s="221">
        <f>IFERROR(TablaPrincipal[[#This Row],[ANIM SEMBRADOS]]/TablaPrincipal[[#This Row],[HAS]],"-")</f>
        <v>180000</v>
      </c>
      <c r="Q12" s="222">
        <f>IFERROR(TablaPrincipal[[#This Row],[DENSIDAD]]/10000,"-")</f>
        <v>18</v>
      </c>
      <c r="R12" s="183" t="str">
        <f>VLOOKUP(TablaPrincipal[[#This Row],[CODIGO]]&amp;TablaPrincipal[[#This Row],[AGUAJE ]],Tabla4[#All],8,0)</f>
        <v>BIOLACAM</v>
      </c>
      <c r="S12" s="183" t="str">
        <f>VLOOKUP(TablaPrincipal[[#This Row],[CODIGO]]&amp;TablaPrincipal[[#This Row],[AGUAJE ]],Tabla4[#All],7,0)</f>
        <v>TEXCUMAR</v>
      </c>
      <c r="T12" s="183" t="str">
        <f>IF(ISNUMBER(FIND("/",TablaPrincipal[[#This Row],[LABORATORIO]])),"COMBINADO","UNICO")</f>
        <v>UNICO</v>
      </c>
      <c r="U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20300</v>
      </c>
      <c r="V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22447.63</v>
      </c>
      <c r="W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27.589999999999996</v>
      </c>
      <c r="Y12" s="185">
        <f>IFERROR(TablaPrincipal[[#This Row],[LIBRAS RALEO PLANTA]]/TablaPrincipal[[#This Row],[HAS]],"-")</f>
        <v>3480.2527131782945</v>
      </c>
      <c r="Z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382016.29402040003</v>
      </c>
      <c r="AA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36100</v>
      </c>
      <c r="AB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37326.949999999997</v>
      </c>
      <c r="AC12" s="186">
        <f>SUMIFS(COSECHAS!F:F,COSECHAS!A:A,'BASE 2026'!AW:AW,COSECHAS!G:G,"="&amp;A:A)</f>
        <v>35.5</v>
      </c>
      <c r="AD12" s="186">
        <f>SUMIFS(COSECHAS!M:M,COSECHAS!A:A,'BASE 2026'!AW:AW,COSECHAS!G:G,"="&amp;A:A)</f>
        <v>33.82</v>
      </c>
      <c r="AE12" s="185">
        <f>IFERROR(TablaPrincipal[[#This Row],[LIBRAS PLANTA]]/TablaPrincipal[[#This Row],[HAS]],"-")</f>
        <v>5787.124031007751</v>
      </c>
      <c r="AF12" s="185">
        <f>IFERROR(TablaPrincipal[[#This Row],[LIBRAS PLANTA]]*454/TablaPrincipal[[#This Row],[GRAMOS PLANTA]],"-")</f>
        <v>501077.3299822589</v>
      </c>
      <c r="AG12" s="185">
        <f>TablaPrincipal[[#This Row],[LIBRAS RALEO PLANTA]]+TablaPrincipal[[#This Row],[LIBRAS PLANTA]]</f>
        <v>59774.58</v>
      </c>
      <c r="AH12" s="185">
        <f>IFERROR(TablaPrincipal[[#This Row],[CAM COSECHADOS RALEO]]+TablaPrincipal[[#This Row],[CAM COSECHADOS]],"-")</f>
        <v>883093.62400265899</v>
      </c>
      <c r="AI12" s="185">
        <f>IFERROR((TablaPrincipal[[#This Row],[LIBRAS RALEO PLANTA]]+TablaPrincipal[[#This Row],[LIBRAS PLANTA]])/TablaPrincipal[[#This Row],[HAS]],"0")</f>
        <v>9267.3767441860473</v>
      </c>
      <c r="AJ12" s="186">
        <f t="shared" si="0"/>
        <v>2.66</v>
      </c>
      <c r="AK12" s="186">
        <f>IFERROR(TablaPrincipal[[#This Row],[LBS/HA]]/TablaPrincipal[[#This Row],[DIAS]],"-")</f>
        <v>104.12782858636008</v>
      </c>
      <c r="AL12" s="186">
        <f>IFERROR(TablaPrincipal[[#This Row],[CAM COSECHADOS TOTALES]]/TablaPrincipal[[#This Row],[ANIM SEMBRADOS]]*100,"-")</f>
        <v>76.063188975250569</v>
      </c>
      <c r="AM12" s="185">
        <v>86310.090000000011</v>
      </c>
      <c r="AN12" s="187">
        <f>IFERROR(((TablaPrincipal[[#This Row],[BALANCEADO ACUMULADO (LBS)]]/2.2046)/TablaPrincipal[[#This Row],[HAS]])/TablaPrincipal[[#This Row],[DIAS]],"-")</f>
        <v>68.199634178207475</v>
      </c>
      <c r="AO12" s="184">
        <f>IFERROR(TablaPrincipal[[#This Row],[BALANCEADO ACUMULADO (LBS)]]/TablaPrincipal[[#This Row],[LIBRAS TOTALES]],"-")</f>
        <v>1.4439263312264179</v>
      </c>
      <c r="AP12" s="184" t="s">
        <v>104</v>
      </c>
      <c r="AQ12" s="184" t="s">
        <v>105</v>
      </c>
      <c r="AR12" s="185">
        <f>TablaPrincipal[[#This Row],[LIBRAS RALEO PLANTA]]-TablaPrincipal[[#This Row],[LIBRAS RALEO CAMARONERA]]</f>
        <v>2147.630000000001</v>
      </c>
      <c r="AS12" s="185">
        <f>TablaPrincipal[[#This Row],[LIBRAS PLANTA]]-TablaPrincipal[[#This Row],[LIBRAS CAMARONERA]]</f>
        <v>1226.9499999999971</v>
      </c>
      <c r="AT12" s="187">
        <f>TablaPrincipal[[#This Row],[GRAMAJE RALEO PLANTA]]-TablaPrincipal[[#This Row],[GRAMAJE RALEO CAMARONERA]]</f>
        <v>8.9999999999996305E-2</v>
      </c>
      <c r="AU12" s="187">
        <f>TablaPrincipal[[#This Row],[GRAMOS PLANTA]]-TablaPrincipal[[#This Row],[GRAMAJE CAMARONERA]]</f>
        <v>-1.6799999999999997</v>
      </c>
      <c r="AV12" s="183" t="str">
        <f>+VLOOKUP(TablaPrincipal[[#This Row],[CODIGO]],TablaCosechas[#All],10,0)</f>
        <v>SANTIAGO OBRIEN</v>
      </c>
      <c r="AW12" s="183" t="s">
        <v>24</v>
      </c>
      <c r="AX12" s="188" t="str">
        <f>+VLOOKUP(TablaPrincipal[[#This Row],[CODIGO]],TablaCosechas[#All],10,0)</f>
        <v>SANTIAGO OBRIEN</v>
      </c>
    </row>
    <row r="13" spans="1:50" hidden="1" x14ac:dyDescent="0.25">
      <c r="A13" s="196">
        <v>46028</v>
      </c>
      <c r="B13" s="183">
        <v>11</v>
      </c>
      <c r="C13" s="183">
        <f>YEAR(TablaPrincipal[[#This Row],[FECHA]])</f>
        <v>2026</v>
      </c>
      <c r="D13" s="183" t="s">
        <v>103</v>
      </c>
      <c r="E13" s="183" t="str">
        <f>UPPER(TEXT(TablaPrincipal[[#This Row],[FECHA]],"MMMM"))</f>
        <v>ENERO</v>
      </c>
      <c r="F13" s="183" t="str">
        <f>IFERROR(VLOOKUP(TablaPrincipal[[#This Row],[CODIGO]],COSECHAS!A:J,9,0),"-")</f>
        <v>19</v>
      </c>
      <c r="G13" s="183" t="str">
        <f>IFERROR(VLOOKUP(TablaPrincipal[[#This Row],[CODIGO]],COSECHAS!A:I,8,0),"-")</f>
        <v>DELFIN</v>
      </c>
      <c r="H13" s="184">
        <f>IFERROR(VLOOKUP(TablaPrincipal[[#This Row],[CODIGO]],DATOS!A:B,2,0),"-")</f>
        <v>5</v>
      </c>
      <c r="I13" s="183" t="str">
        <f>IFERROR(VLOOKUP(TablaPrincipal[[#This Row],[CODIGO]],Tabla8[[#Headers],[#Data]],3,0),"-")</f>
        <v>CONVENCIONAL</v>
      </c>
      <c r="J13" s="183">
        <f>IFERROR(TablaPrincipal[[#This Row],[FECHA]]-TablaPrincipal[[#This Row],[FECHA DE SIEMBRA]],"-")</f>
        <v>95</v>
      </c>
      <c r="K13" s="196">
        <f>VLOOKUP(TablaPrincipal[[#This Row],[CODIGO]]&amp;TablaPrincipal[[#This Row],[AGUAJE ]],Tabla4[#All],4,0)</f>
        <v>45933</v>
      </c>
      <c r="L13" s="183" t="str">
        <f>VLOOKUP(TablaPrincipal[[#This Row],[CODIGO]]&amp;TablaPrincipal[[#This Row],[AGUAJE ]],Tabla4[#All],15,0)</f>
        <v>DE PC 25</v>
      </c>
      <c r="M13" s="184">
        <f>VLOOKUP(TablaPrincipal[[#This Row],[CODIGO]]&amp;TablaPrincipal[[#This Row],[AGUAJE ]],Tabla4[#All],14,0)</f>
        <v>0.9</v>
      </c>
      <c r="N13" s="183">
        <v>8</v>
      </c>
      <c r="O13" s="170">
        <f>VLOOKUP(TablaPrincipal[[#This Row],[CODIGO]]&amp;TablaPrincipal[[#This Row],[AGUAJE ]],Tabla4[#All],5,0)</f>
        <v>800000</v>
      </c>
      <c r="P13" s="221">
        <f>IFERROR(TablaPrincipal[[#This Row],[ANIM SEMBRADOS]]/TablaPrincipal[[#This Row],[HAS]],"-")</f>
        <v>160000</v>
      </c>
      <c r="Q13" s="222">
        <f>IFERROR(TablaPrincipal[[#This Row],[DENSIDAD]]/10000,"-")</f>
        <v>16</v>
      </c>
      <c r="R13" s="183" t="str">
        <f>VLOOKUP(TablaPrincipal[[#This Row],[CODIGO]]&amp;TablaPrincipal[[#This Row],[AGUAJE ]],Tabla4[#All],8,0)</f>
        <v>GABSO</v>
      </c>
      <c r="S13" s="183" t="str">
        <f>VLOOKUP(TablaPrincipal[[#This Row],[CODIGO]]&amp;TablaPrincipal[[#This Row],[AGUAJE ]],Tabla4[#All],7,0)</f>
        <v>TEXCUMAR</v>
      </c>
      <c r="T13" s="183" t="str">
        <f>IF(ISNUMBER(FIND("/",TablaPrincipal[[#This Row],[LABORATORIO]])),"COMBINADO","UNICO")</f>
        <v>UNICO</v>
      </c>
      <c r="U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6000</v>
      </c>
      <c r="V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6174.21</v>
      </c>
      <c r="W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32.340000000000003</v>
      </c>
      <c r="Y13" s="185">
        <f>IFERROR(TablaPrincipal[[#This Row],[LIBRAS RALEO PLANTA]]/TablaPrincipal[[#This Row],[HAS]],"-")</f>
        <v>1234.8420000000001</v>
      </c>
      <c r="Z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86675.675324675307</v>
      </c>
      <c r="AA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25052.9</v>
      </c>
      <c r="AC13" s="186">
        <f>SUMIFS(COSECHAS!F:F,COSECHAS!A:A,'BASE 2026'!AW:AW,COSECHAS!G:G,"="&amp;A:A)</f>
        <v>36</v>
      </c>
      <c r="AD13" s="186">
        <f>SUMIFS(COSECHAS!M:M,COSECHAS!A:A,'BASE 2026'!AW:AW,COSECHAS!G:G,"="&amp;A:A)</f>
        <v>35.316915087674481</v>
      </c>
      <c r="AE13" s="185">
        <f>IFERROR(TablaPrincipal[[#This Row],[LIBRAS PLANTA]]/TablaPrincipal[[#This Row],[HAS]],"-")</f>
        <v>5010.58</v>
      </c>
      <c r="AF13" s="185">
        <f>IFERROR(TablaPrincipal[[#This Row],[LIBRAS PLANTA]]*454/TablaPrincipal[[#This Row],[GRAMOS PLANTA]],"-")</f>
        <v>322055.77898760204</v>
      </c>
      <c r="AG13" s="185">
        <f>TablaPrincipal[[#This Row],[LIBRAS RALEO PLANTA]]+TablaPrincipal[[#This Row],[LIBRAS PLANTA]]</f>
        <v>31227.11</v>
      </c>
      <c r="AH13" s="185">
        <f>IFERROR(TablaPrincipal[[#This Row],[CAM COSECHADOS RALEO]]+TablaPrincipal[[#This Row],[CAM COSECHADOS]],"-")</f>
        <v>408731.45431227738</v>
      </c>
      <c r="AI13" s="185">
        <f>IFERROR((TablaPrincipal[[#This Row],[LIBRAS RALEO PLANTA]]+TablaPrincipal[[#This Row],[LIBRAS PLANTA]])/TablaPrincipal[[#This Row],[HAS]],"0")</f>
        <v>6245.4220000000005</v>
      </c>
      <c r="AJ13" s="186">
        <f t="shared" si="0"/>
        <v>2.6022990064602252</v>
      </c>
      <c r="AK13" s="186">
        <f>IFERROR(TablaPrincipal[[#This Row],[LBS/HA]]/TablaPrincipal[[#This Row],[DIAS]],"-")</f>
        <v>65.741284210526317</v>
      </c>
      <c r="AL13" s="186">
        <f>IFERROR(TablaPrincipal[[#This Row],[CAM COSECHADOS TOTALES]]/TablaPrincipal[[#This Row],[ANIM SEMBRADOS]]*100,"-")</f>
        <v>51.091431789034672</v>
      </c>
      <c r="AM13" s="185">
        <v>53020.630000000005</v>
      </c>
      <c r="AN13" s="187">
        <f>IFERROR(((TablaPrincipal[[#This Row],[BALANCEADO ACUMULADO (LBS)]]/2.2046)/TablaPrincipal[[#This Row],[HAS]])/TablaPrincipal[[#This Row],[DIAS]],"-")</f>
        <v>50.631578947368418</v>
      </c>
      <c r="AO13" s="184">
        <f>IFERROR(TablaPrincipal[[#This Row],[BALANCEADO ACUMULADO (LBS)]]/TablaPrincipal[[#This Row],[LIBRAS TOTALES]],"-")</f>
        <v>1.6979038406051665</v>
      </c>
      <c r="AP13" s="184" t="s">
        <v>108</v>
      </c>
      <c r="AQ13" s="184" t="s">
        <v>105</v>
      </c>
      <c r="AR13" s="185">
        <f>TablaPrincipal[[#This Row],[LIBRAS RALEO PLANTA]]-TablaPrincipal[[#This Row],[LIBRAS RALEO CAMARONERA]]</f>
        <v>174.21000000000004</v>
      </c>
      <c r="AS13" s="185">
        <f>TablaPrincipal[[#This Row],[LIBRAS PLANTA]]-TablaPrincipal[[#This Row],[LIBRAS CAMARONERA]]</f>
        <v>2052.9000000000015</v>
      </c>
      <c r="AT13" s="187">
        <f>TablaPrincipal[[#This Row],[GRAMAJE RALEO PLANTA]]-TablaPrincipal[[#This Row],[GRAMAJE RALEO CAMARONERA]]</f>
        <v>-0.65999999999999659</v>
      </c>
      <c r="AU13" s="187">
        <f>TablaPrincipal[[#This Row],[GRAMOS PLANTA]]-TablaPrincipal[[#This Row],[GRAMAJE CAMARONERA]]</f>
        <v>-0.68308491232551916</v>
      </c>
      <c r="AV13" s="183" t="str">
        <f>+VLOOKUP(TablaPrincipal[[#This Row],[CODIGO]],TablaCosechas[#All],10,0)</f>
        <v>CARLOS FLORES</v>
      </c>
      <c r="AW13" s="183" t="s">
        <v>115</v>
      </c>
      <c r="AX13" s="188" t="str">
        <f>+VLOOKUP(TablaPrincipal[[#This Row],[CODIGO]],TablaCosechas[#All],10,0)</f>
        <v>CARLOS FLORES</v>
      </c>
    </row>
    <row r="14" spans="1:50" hidden="1" x14ac:dyDescent="0.25">
      <c r="A14" s="196">
        <v>46028</v>
      </c>
      <c r="B14" s="183">
        <v>12</v>
      </c>
      <c r="C14" s="183">
        <f>YEAR(TablaPrincipal[[#This Row],[FECHA]])</f>
        <v>2026</v>
      </c>
      <c r="D14" s="183" t="s">
        <v>103</v>
      </c>
      <c r="E14" s="183" t="str">
        <f>UPPER(TEXT(TablaPrincipal[[#This Row],[FECHA]],"MMMM"))</f>
        <v>ENERO</v>
      </c>
      <c r="F14" s="183" t="str">
        <f>IFERROR(VLOOKUP(TablaPrincipal[[#This Row],[CODIGO]],COSECHAS!A:J,9,0),"-")</f>
        <v>05</v>
      </c>
      <c r="G14" s="183" t="str">
        <f>IFERROR(VLOOKUP(TablaPrincipal[[#This Row],[CODIGO]],COSECHAS!A:I,8,0),"-")</f>
        <v>PARGO ROJO</v>
      </c>
      <c r="H14" s="184">
        <f>IFERROR(VLOOKUP(TablaPrincipal[[#This Row],[CODIGO]],DATOS!A:B,2,0),"-")</f>
        <v>2.56</v>
      </c>
      <c r="I14" s="183" t="str">
        <f>IFERROR(VLOOKUP(TablaPrincipal[[#This Row],[CODIGO]],Tabla8[[#Headers],[#Data]],3,0),"-")</f>
        <v>CONVENCIONAL</v>
      </c>
      <c r="J14" s="183">
        <f>IFERROR(TablaPrincipal[[#This Row],[FECHA]]-TablaPrincipal[[#This Row],[FECHA DE SIEMBRA]],"-")</f>
        <v>75</v>
      </c>
      <c r="K14" s="196">
        <f>VLOOKUP(TablaPrincipal[[#This Row],[CODIGO]]&amp;TablaPrincipal[[#This Row],[AGUAJE ]],Tabla4[#All],4,0)</f>
        <v>45953</v>
      </c>
      <c r="L14" s="183" t="str">
        <f>VLOOKUP(TablaPrincipal[[#This Row],[CODIGO]]&amp;TablaPrincipal[[#This Row],[AGUAJE ]],Tabla4[#All],15,0)</f>
        <v>PR PC 1</v>
      </c>
      <c r="M14" s="184">
        <f>VLOOKUP(TablaPrincipal[[#This Row],[CODIGO]]&amp;TablaPrincipal[[#This Row],[AGUAJE ]],Tabla4[#All],14,0)</f>
        <v>0.45</v>
      </c>
      <c r="N14" s="183" t="s">
        <v>116</v>
      </c>
      <c r="O14" s="170">
        <f>VLOOKUP(TablaPrincipal[[#This Row],[CODIGO]]&amp;TablaPrincipal[[#This Row],[AGUAJE ]],Tabla4[#All],5,0)</f>
        <v>358000</v>
      </c>
      <c r="P14" s="221">
        <f>IFERROR(TablaPrincipal[[#This Row],[ANIM SEMBRADOS]]/TablaPrincipal[[#This Row],[HAS]],"-")</f>
        <v>139843.75</v>
      </c>
      <c r="Q14" s="222">
        <f>IFERROR(TablaPrincipal[[#This Row],[DENSIDAD]]/10000,"-")</f>
        <v>13.984375</v>
      </c>
      <c r="R14" s="183" t="str">
        <f>VLOOKUP(TablaPrincipal[[#This Row],[CODIGO]]&amp;TablaPrincipal[[#This Row],[AGUAJE ]],Tabla4[#All],8,0)</f>
        <v>TECSERV</v>
      </c>
      <c r="S14" s="183" t="str">
        <f>VLOOKUP(TablaPrincipal[[#This Row],[CODIGO]]&amp;TablaPrincipal[[#This Row],[AGUAJE ]],Tabla4[#All],7,0)</f>
        <v>TEXCUMAR</v>
      </c>
      <c r="T14" s="183" t="str">
        <f>IF(ISNUMBER(FIND("/",TablaPrincipal[[#This Row],[LABORATORIO]])),"COMBINADO","UNICO")</f>
        <v>UNICO</v>
      </c>
      <c r="U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" s="185">
        <f>IFERROR(TablaPrincipal[[#This Row],[LIBRAS RALEO PLANTA]]/TablaPrincipal[[#This Row],[HAS]],"-")</f>
        <v>0</v>
      </c>
      <c r="Z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</v>
      </c>
      <c r="AB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8315.84</v>
      </c>
      <c r="AC14" s="186">
        <f>SUMIFS(COSECHAS!F:F,COSECHAS!A:A,'BASE 2026'!AW:AW,COSECHAS!G:G,"="&amp;A:A)</f>
        <v>21</v>
      </c>
      <c r="AD14" s="186">
        <f>SUMIFS(COSECHAS!M:M,COSECHAS!A:A,'BASE 2026'!AW:AW,COSECHAS!G:G,"="&amp;A:A)</f>
        <v>20.32</v>
      </c>
      <c r="AE14" s="185">
        <f>IFERROR(TablaPrincipal[[#This Row],[LIBRAS PLANTA]]/TablaPrincipal[[#This Row],[HAS]],"-")</f>
        <v>3248.375</v>
      </c>
      <c r="AF14" s="185">
        <f>IFERROR(TablaPrincipal[[#This Row],[LIBRAS PLANTA]]*454/TablaPrincipal[[#This Row],[GRAMOS PLANTA]],"-")</f>
        <v>185796.8188976378</v>
      </c>
      <c r="AG14" s="185">
        <f>TablaPrincipal[[#This Row],[LIBRAS RALEO PLANTA]]+TablaPrincipal[[#This Row],[LIBRAS PLANTA]]</f>
        <v>8315.84</v>
      </c>
      <c r="AH14" s="185">
        <f>IFERROR(TablaPrincipal[[#This Row],[CAM COSECHADOS RALEO]]+TablaPrincipal[[#This Row],[CAM COSECHADOS]],"-")</f>
        <v>185796.8188976378</v>
      </c>
      <c r="AI14" s="185">
        <f>IFERROR((TablaPrincipal[[#This Row],[LIBRAS RALEO PLANTA]]+TablaPrincipal[[#This Row],[LIBRAS PLANTA]])/TablaPrincipal[[#This Row],[HAS]],"0")</f>
        <v>3248.375</v>
      </c>
      <c r="AJ14" s="186">
        <f t="shared" si="0"/>
        <v>1.8965333333333334</v>
      </c>
      <c r="AK14" s="186">
        <f>IFERROR(TablaPrincipal[[#This Row],[LBS/HA]]/TablaPrincipal[[#This Row],[DIAS]],"-")</f>
        <v>43.311666666666667</v>
      </c>
      <c r="AL14" s="186">
        <f>IFERROR(TablaPrincipal[[#This Row],[CAM COSECHADOS TOTALES]]/TablaPrincipal[[#This Row],[ANIM SEMBRADOS]]*100,"-")</f>
        <v>51.898552764703297</v>
      </c>
      <c r="AM14" s="185">
        <v>14539.337000000001</v>
      </c>
      <c r="AN14" s="187">
        <f>IFERROR(((TablaPrincipal[[#This Row],[BALANCEADO ACUMULADO (LBS)]]/2.2046)/TablaPrincipal[[#This Row],[HAS]])/TablaPrincipal[[#This Row],[DIAS]],"-")</f>
        <v>34.348958333333336</v>
      </c>
      <c r="AO14" s="184">
        <f>IFERROR(TablaPrincipal[[#This Row],[BALANCEADO ACUMULADO (LBS)]]/TablaPrincipal[[#This Row],[LIBRAS TOTALES]],"-")</f>
        <v>1.7483906616769924</v>
      </c>
      <c r="AP14" s="184" t="s">
        <v>108</v>
      </c>
      <c r="AQ14" s="184" t="s">
        <v>105</v>
      </c>
      <c r="AR14" s="185">
        <f>TablaPrincipal[[#This Row],[LIBRAS RALEO PLANTA]]-TablaPrincipal[[#This Row],[LIBRAS RALEO CAMARONERA]]</f>
        <v>0</v>
      </c>
      <c r="AS14" s="185">
        <f>TablaPrincipal[[#This Row],[LIBRAS PLANTA]]-TablaPrincipal[[#This Row],[LIBRAS CAMARONERA]]</f>
        <v>815.84000000000015</v>
      </c>
      <c r="AT14" s="187">
        <f>TablaPrincipal[[#This Row],[GRAMAJE RALEO PLANTA]]-TablaPrincipal[[#This Row],[GRAMAJE RALEO CAMARONERA]]</f>
        <v>0</v>
      </c>
      <c r="AU14" s="187">
        <f>TablaPrincipal[[#This Row],[GRAMOS PLANTA]]-TablaPrincipal[[#This Row],[GRAMAJE CAMARONERA]]</f>
        <v>-0.67999999999999972</v>
      </c>
      <c r="AV14" s="183" t="str">
        <f>+VLOOKUP(TablaPrincipal[[#This Row],[CODIGO]],TablaCosechas[#All],10,0)</f>
        <v>WILMER TORRES</v>
      </c>
      <c r="AW14" s="183" t="s">
        <v>117</v>
      </c>
      <c r="AX14" s="188" t="str">
        <f>+VLOOKUP(TablaPrincipal[[#This Row],[CODIGO]],TablaCosechas[#All],10,0)</f>
        <v>WILMER TORRES</v>
      </c>
    </row>
    <row r="15" spans="1:50" hidden="1" x14ac:dyDescent="0.25">
      <c r="A15" s="196">
        <v>46028</v>
      </c>
      <c r="B15" s="183">
        <v>13</v>
      </c>
      <c r="C15" s="183">
        <f>YEAR(TablaPrincipal[[#This Row],[FECHA]])</f>
        <v>2026</v>
      </c>
      <c r="D15" s="183" t="s">
        <v>103</v>
      </c>
      <c r="E15" s="183" t="str">
        <f>UPPER(TEXT(TablaPrincipal[[#This Row],[FECHA]],"MMMM"))</f>
        <v>ENERO</v>
      </c>
      <c r="F15" s="183" t="str">
        <f>IFERROR(VLOOKUP(TablaPrincipal[[#This Row],[CODIGO]],COSECHAS!A:J,9,0),"-")</f>
        <v>06</v>
      </c>
      <c r="G15" s="183" t="str">
        <f>IFERROR(VLOOKUP(TablaPrincipal[[#This Row],[CODIGO]],COSECHAS!A:I,8,0),"-")</f>
        <v>TIBURON</v>
      </c>
      <c r="H15" s="184">
        <f>IFERROR(VLOOKUP(TablaPrincipal[[#This Row],[CODIGO]],DATOS!A:B,2,0),"-")</f>
        <v>6.08</v>
      </c>
      <c r="I15" s="183" t="str">
        <f>IFERROR(VLOOKUP(TablaPrincipal[[#This Row],[CODIGO]],Tabla8[[#Headers],[#Data]],3,0),"-")</f>
        <v>ASC-BAP</v>
      </c>
      <c r="J15" s="183">
        <f>IFERROR(TablaPrincipal[[#This Row],[FECHA]]-TablaPrincipal[[#This Row],[FECHA DE SIEMBRA]],"-")</f>
        <v>93</v>
      </c>
      <c r="K15" s="196">
        <f>VLOOKUP(TablaPrincipal[[#This Row],[CODIGO]]&amp;TablaPrincipal[[#This Row],[AGUAJE ]],Tabla4[#All],4,0)</f>
        <v>45935</v>
      </c>
      <c r="L15" s="183" t="str">
        <f>VLOOKUP(TablaPrincipal[[#This Row],[CODIGO]]&amp;TablaPrincipal[[#This Row],[AGUAJE ]],Tabla4[#All],15,0)</f>
        <v>TI PC 33 - 34</v>
      </c>
      <c r="M15" s="184">
        <f>VLOOKUP(TablaPrincipal[[#This Row],[CODIGO]]&amp;TablaPrincipal[[#This Row],[AGUAJE ]],Tabla4[#All],14,0)</f>
        <v>0.54</v>
      </c>
      <c r="N15" s="183">
        <v>8</v>
      </c>
      <c r="O15" s="170">
        <f>VLOOKUP(TablaPrincipal[[#This Row],[CODIGO]]&amp;TablaPrincipal[[#This Row],[AGUAJE ]],Tabla4[#All],5,0)</f>
        <v>1033600</v>
      </c>
      <c r="P15" s="221">
        <f>IFERROR(TablaPrincipal[[#This Row],[ANIM SEMBRADOS]]/TablaPrincipal[[#This Row],[HAS]],"-")</f>
        <v>170000</v>
      </c>
      <c r="Q15" s="222">
        <f>IFERROR(TablaPrincipal[[#This Row],[DENSIDAD]]/10000,"-")</f>
        <v>17</v>
      </c>
      <c r="R15" s="183" t="str">
        <f>VLOOKUP(TablaPrincipal[[#This Row],[CODIGO]]&amp;TablaPrincipal[[#This Row],[AGUAJE ]],Tabla4[#All],8,0)</f>
        <v>OCEANLAB</v>
      </c>
      <c r="S15" s="183" t="str">
        <f>VLOOKUP(TablaPrincipal[[#This Row],[CODIGO]]&amp;TablaPrincipal[[#This Row],[AGUAJE ]],Tabla4[#All],7,0)</f>
        <v>TEXCUMAR</v>
      </c>
      <c r="T15" s="183" t="str">
        <f>IF(ISNUMBER(FIND("/",TablaPrincipal[[#This Row],[LABORATORIO]])),"COMBINADO","UNICO")</f>
        <v>UNICO</v>
      </c>
      <c r="U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9000</v>
      </c>
      <c r="V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8318.67</v>
      </c>
      <c r="W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23.64</v>
      </c>
      <c r="Y15" s="185">
        <f>IFERROR(TablaPrincipal[[#This Row],[LIBRAS RALEO PLANTA]]/TablaPrincipal[[#This Row],[HAS]],"-")</f>
        <v>1368.202302631579</v>
      </c>
      <c r="Z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159757.87563451778</v>
      </c>
      <c r="AA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45357.74</v>
      </c>
      <c r="AC15" s="186">
        <f>SUMIFS(COSECHAS!F:F,COSECHAS!A:A,'BASE 2026'!AW:AW,COSECHAS!G:G,"="&amp;A:A)</f>
        <v>37</v>
      </c>
      <c r="AD15" s="186">
        <f>SUMIFS(COSECHAS!M:M,COSECHAS!A:A,'BASE 2026'!AW:AW,COSECHAS!G:G,"="&amp;A:A)</f>
        <v>36.159999999999997</v>
      </c>
      <c r="AE15" s="185">
        <f>IFERROR(TablaPrincipal[[#This Row],[LIBRAS PLANTA]]/TablaPrincipal[[#This Row],[HAS]],"-")</f>
        <v>7460.1546052631575</v>
      </c>
      <c r="AF15" s="185">
        <f>IFERROR(TablaPrincipal[[#This Row],[LIBRAS PLANTA]]*454/TablaPrincipal[[#This Row],[GRAMOS PLANTA]],"-")</f>
        <v>569480.47455752222</v>
      </c>
      <c r="AG15" s="185">
        <f>TablaPrincipal[[#This Row],[LIBRAS RALEO PLANTA]]+TablaPrincipal[[#This Row],[LIBRAS PLANTA]]</f>
        <v>53676.409999999996</v>
      </c>
      <c r="AH15" s="185">
        <f>IFERROR(TablaPrincipal[[#This Row],[CAM COSECHADOS RALEO]]+TablaPrincipal[[#This Row],[CAM COSECHADOS]],"-")</f>
        <v>729238.35019203997</v>
      </c>
      <c r="AI15" s="185">
        <f>IFERROR((TablaPrincipal[[#This Row],[LIBRAS RALEO PLANTA]]+TablaPrincipal[[#This Row],[LIBRAS PLANTA]])/TablaPrincipal[[#This Row],[HAS]],"0")</f>
        <v>8828.3569078947367</v>
      </c>
      <c r="AJ15" s="186">
        <f t="shared" si="0"/>
        <v>2.7217204301075264</v>
      </c>
      <c r="AK15" s="186">
        <f>IFERROR(TablaPrincipal[[#This Row],[LBS/HA]]/TablaPrincipal[[#This Row],[DIAS]],"-")</f>
        <v>94.928568902093943</v>
      </c>
      <c r="AL15" s="186">
        <f>IFERROR(TablaPrincipal[[#This Row],[CAM COSECHADOS TOTALES]]/TablaPrincipal[[#This Row],[ANIM SEMBRADOS]]*100,"-")</f>
        <v>70.553245955112232</v>
      </c>
      <c r="AM15" s="185">
        <v>80192.324999999997</v>
      </c>
      <c r="AN15" s="187">
        <f>IFERROR(((TablaPrincipal[[#This Row],[BALANCEADO ACUMULADO (LBS)]]/2.2046)/TablaPrincipal[[#This Row],[HAS]])/TablaPrincipal[[#This Row],[DIAS]],"-")</f>
        <v>64.330432937181669</v>
      </c>
      <c r="AO15" s="184">
        <f>IFERROR(TablaPrincipal[[#This Row],[BALANCEADO ACUMULADO (LBS)]]/TablaPrincipal[[#This Row],[LIBRAS TOTALES]],"-")</f>
        <v>1.4939956863732131</v>
      </c>
      <c r="AP15" s="184" t="s">
        <v>108</v>
      </c>
      <c r="AQ15" s="184" t="s">
        <v>105</v>
      </c>
      <c r="AR15" s="185">
        <f>TablaPrincipal[[#This Row],[LIBRAS RALEO PLANTA]]-TablaPrincipal[[#This Row],[LIBRAS RALEO CAMARONERA]]</f>
        <v>-681.32999999999993</v>
      </c>
      <c r="AS15" s="185">
        <f>TablaPrincipal[[#This Row],[LIBRAS PLANTA]]-TablaPrincipal[[#This Row],[LIBRAS CAMARONERA]]</f>
        <v>3357.739999999998</v>
      </c>
      <c r="AT15" s="187">
        <f>TablaPrincipal[[#This Row],[GRAMAJE RALEO PLANTA]]-TablaPrincipal[[#This Row],[GRAMAJE RALEO CAMARONERA]]</f>
        <v>1.1400000000000006</v>
      </c>
      <c r="AU15" s="187">
        <f>TablaPrincipal[[#This Row],[GRAMOS PLANTA]]-TablaPrincipal[[#This Row],[GRAMAJE CAMARONERA]]</f>
        <v>-0.84000000000000341</v>
      </c>
      <c r="AV15" s="183" t="str">
        <f>+VLOOKUP(TablaPrincipal[[#This Row],[CODIGO]],TablaCosechas[#All],10,0)</f>
        <v>ALFONSO GRUNAUER</v>
      </c>
      <c r="AW15" s="183" t="s">
        <v>118</v>
      </c>
      <c r="AX15" s="188" t="str">
        <f>+VLOOKUP(TablaPrincipal[[#This Row],[CODIGO]],TablaCosechas[#All],10,0)</f>
        <v>ALFONSO GRUNAUER</v>
      </c>
    </row>
    <row r="16" spans="1:50" hidden="1" x14ac:dyDescent="0.25">
      <c r="A16" s="196">
        <v>46029</v>
      </c>
      <c r="B16" s="183">
        <v>14</v>
      </c>
      <c r="C16" s="183">
        <f>YEAR(TablaPrincipal[[#This Row],[FECHA]])</f>
        <v>2026</v>
      </c>
      <c r="D16" s="183" t="s">
        <v>103</v>
      </c>
      <c r="E16" s="183" t="str">
        <f>UPPER(TEXT(TablaPrincipal[[#This Row],[FECHA]],"MMMM"))</f>
        <v>ENERO</v>
      </c>
      <c r="F16" s="183" t="str">
        <f>IFERROR(VLOOKUP(TablaPrincipal[[#This Row],[CODIGO]],COSECHAS!A:J,9,0),"-")</f>
        <v>13</v>
      </c>
      <c r="G16" s="183" t="str">
        <f>IFERROR(VLOOKUP(TablaPrincipal[[#This Row],[CODIGO]],COSECHAS!A:I,8,0),"-")</f>
        <v>MERO</v>
      </c>
      <c r="H16" s="184">
        <f>IFERROR(VLOOKUP(TablaPrincipal[[#This Row],[CODIGO]],DATOS!A:B,2,0),"-")</f>
        <v>1.6</v>
      </c>
      <c r="I16" s="183" t="str">
        <f>IFERROR(VLOOKUP(TablaPrincipal[[#This Row],[CODIGO]],Tabla8[[#Headers],[#Data]],3,0),"-")</f>
        <v>CONVENCIONAL</v>
      </c>
      <c r="J16" s="183">
        <f>IFERROR(TablaPrincipal[[#This Row],[FECHA]]-TablaPrincipal[[#This Row],[FECHA DE SIEMBRA]],"-")</f>
        <v>93</v>
      </c>
      <c r="K16" s="196">
        <f>VLOOKUP(TablaPrincipal[[#This Row],[CODIGO]]&amp;TablaPrincipal[[#This Row],[AGUAJE ]],Tabla4[#All],4,0)</f>
        <v>45936</v>
      </c>
      <c r="L16" s="183" t="str">
        <f>VLOOKUP(TablaPrincipal[[#This Row],[CODIGO]]&amp;TablaPrincipal[[#This Row],[AGUAJE ]],Tabla4[#All],15,0)</f>
        <v>ME PC 12</v>
      </c>
      <c r="M16" s="184">
        <f>VLOOKUP(TablaPrincipal[[#This Row],[CODIGO]]&amp;TablaPrincipal[[#This Row],[AGUAJE ]],Tabla4[#All],14,0)</f>
        <v>0.55000000000000004</v>
      </c>
      <c r="N16" s="183" t="s">
        <v>116</v>
      </c>
      <c r="O16" s="170">
        <f>VLOOKUP(TablaPrincipal[[#This Row],[CODIGO]]&amp;TablaPrincipal[[#This Row],[AGUAJE ]],Tabla4[#All],5,0)</f>
        <v>256000</v>
      </c>
      <c r="P16" s="221">
        <f>IFERROR(TablaPrincipal[[#This Row],[ANIM SEMBRADOS]]/TablaPrincipal[[#This Row],[HAS]],"-")</f>
        <v>160000</v>
      </c>
      <c r="Q16" s="222">
        <f>IFERROR(TablaPrincipal[[#This Row],[DENSIDAD]]/10000,"-")</f>
        <v>16</v>
      </c>
      <c r="R16" s="183" t="str">
        <f>VLOOKUP(TablaPrincipal[[#This Row],[CODIGO]]&amp;TablaPrincipal[[#This Row],[AGUAJE ]],Tabla4[#All],8,0)</f>
        <v>TECSERV</v>
      </c>
      <c r="S16" s="183" t="str">
        <f>VLOOKUP(TablaPrincipal[[#This Row],[CODIGO]]&amp;TablaPrincipal[[#This Row],[AGUAJE ]],Tabla4[#All],7,0)</f>
        <v>PRONAUPLIO</v>
      </c>
      <c r="T16" s="183" t="str">
        <f>IF(ISNUMBER(FIND("/",TablaPrincipal[[#This Row],[LABORATORIO]])),"COMBINADO","UNICO")</f>
        <v>UNICO</v>
      </c>
      <c r="U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2000</v>
      </c>
      <c r="V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2055.0700000000002</v>
      </c>
      <c r="W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27.68</v>
      </c>
      <c r="Y16" s="185">
        <f>IFERROR(TablaPrincipal[[#This Row],[LIBRAS RALEO PLANTA]]/TablaPrincipal[[#This Row],[HAS]],"-")</f>
        <v>1284.41875</v>
      </c>
      <c r="Z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33706.711705202317</v>
      </c>
      <c r="AA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8566.75</v>
      </c>
      <c r="AC16" s="186">
        <f>SUMIFS(COSECHAS!F:F,COSECHAS!A:A,'BASE 2026'!AW:AW,COSECHAS!G:G,"="&amp;A:A)</f>
        <v>36.5</v>
      </c>
      <c r="AD16" s="186">
        <f>SUMIFS(COSECHAS!M:M,COSECHAS!A:A,'BASE 2026'!AW:AW,COSECHAS!G:G,"="&amp;A:A)</f>
        <v>36.92</v>
      </c>
      <c r="AE16" s="185">
        <f>IFERROR(TablaPrincipal[[#This Row],[LIBRAS PLANTA]]/TablaPrincipal[[#This Row],[HAS]],"-")</f>
        <v>5354.21875</v>
      </c>
      <c r="AF16" s="185">
        <f>IFERROR(TablaPrincipal[[#This Row],[LIBRAS PLANTA]]*454/TablaPrincipal[[#This Row],[GRAMOS PLANTA]],"-")</f>
        <v>105344.10888407366</v>
      </c>
      <c r="AG16" s="185">
        <f>TablaPrincipal[[#This Row],[LIBRAS RALEO PLANTA]]+TablaPrincipal[[#This Row],[LIBRAS PLANTA]]</f>
        <v>10621.82</v>
      </c>
      <c r="AH16" s="185">
        <f>IFERROR(TablaPrincipal[[#This Row],[CAM COSECHADOS RALEO]]+TablaPrincipal[[#This Row],[CAM COSECHADOS]],"-")</f>
        <v>139050.82058927597</v>
      </c>
      <c r="AI16" s="185">
        <f>IFERROR((TablaPrincipal[[#This Row],[LIBRAS RALEO PLANTA]]+TablaPrincipal[[#This Row],[LIBRAS PLANTA]])/TablaPrincipal[[#This Row],[HAS]],"0")</f>
        <v>6638.6374999999998</v>
      </c>
      <c r="AJ16" s="186">
        <f t="shared" si="0"/>
        <v>2.7789247311827956</v>
      </c>
      <c r="AK16" s="186">
        <f>IFERROR(TablaPrincipal[[#This Row],[LBS/HA]]/TablaPrincipal[[#This Row],[DIAS]],"-")</f>
        <v>71.383198924731175</v>
      </c>
      <c r="AL16" s="186">
        <f>IFERROR(TablaPrincipal[[#This Row],[CAM COSECHADOS TOTALES]]/TablaPrincipal[[#This Row],[ANIM SEMBRADOS]]*100,"-")</f>
        <v>54.316726792685934</v>
      </c>
      <c r="AM16" s="185">
        <v>16920.305</v>
      </c>
      <c r="AN16" s="187">
        <f>IFERROR(((TablaPrincipal[[#This Row],[BALANCEADO ACUMULADO (LBS)]]/2.2046)/TablaPrincipal[[#This Row],[HAS]])/TablaPrincipal[[#This Row],[DIAS]],"-")</f>
        <v>51.579301075268816</v>
      </c>
      <c r="AO16" s="184">
        <f>IFERROR(TablaPrincipal[[#This Row],[BALANCEADO ACUMULADO (LBS)]]/TablaPrincipal[[#This Row],[LIBRAS TOTALES]],"-")</f>
        <v>1.5929760624827007</v>
      </c>
      <c r="AP16" s="184" t="s">
        <v>104</v>
      </c>
      <c r="AQ16" s="184" t="s">
        <v>105</v>
      </c>
      <c r="AR16" s="185">
        <f>TablaPrincipal[[#This Row],[LIBRAS RALEO PLANTA]]-TablaPrincipal[[#This Row],[LIBRAS RALEO CAMARONERA]]</f>
        <v>55.070000000000164</v>
      </c>
      <c r="AS16" s="185">
        <f>TablaPrincipal[[#This Row],[LIBRAS PLANTA]]-TablaPrincipal[[#This Row],[LIBRAS CAMARONERA]]</f>
        <v>366.75</v>
      </c>
      <c r="AT16" s="187">
        <f>TablaPrincipal[[#This Row],[GRAMAJE RALEO PLANTA]]-TablaPrincipal[[#This Row],[GRAMAJE RALEO CAMARONERA]]</f>
        <v>0.67999999999999972</v>
      </c>
      <c r="AU16" s="187">
        <f>TablaPrincipal[[#This Row],[GRAMOS PLANTA]]-TablaPrincipal[[#This Row],[GRAMAJE CAMARONERA]]</f>
        <v>0.42000000000000171</v>
      </c>
      <c r="AV16" s="183" t="str">
        <f>+VLOOKUP(TablaPrincipal[[#This Row],[CODIGO]],TablaCosechas[#All],10,0)</f>
        <v>NESTOR MOGOLLON</v>
      </c>
      <c r="AW16" s="183" t="s">
        <v>119</v>
      </c>
      <c r="AX16" s="188" t="str">
        <f>+VLOOKUP(TablaPrincipal[[#This Row],[CODIGO]],TablaCosechas[#All],10,0)</f>
        <v>NESTOR MOGOLLON</v>
      </c>
    </row>
    <row r="17" spans="1:50" hidden="1" x14ac:dyDescent="0.25">
      <c r="A17" s="196">
        <v>46029</v>
      </c>
      <c r="B17" s="183">
        <v>15</v>
      </c>
      <c r="C17" s="183">
        <f>YEAR(TablaPrincipal[[#This Row],[FECHA]])</f>
        <v>2026</v>
      </c>
      <c r="D17" s="183" t="s">
        <v>103</v>
      </c>
      <c r="E17" s="183" t="str">
        <f>UPPER(TEXT(TablaPrincipal[[#This Row],[FECHA]],"MMMM"))</f>
        <v>ENERO</v>
      </c>
      <c r="F17" s="183" t="str">
        <f>IFERROR(VLOOKUP(TablaPrincipal[[#This Row],[CODIGO]],COSECHAS!A:J,9,0),"-")</f>
        <v>19</v>
      </c>
      <c r="G17" s="183" t="str">
        <f>IFERROR(VLOOKUP(TablaPrincipal[[#This Row],[CODIGO]],COSECHAS!A:I,8,0),"-")</f>
        <v>MERO</v>
      </c>
      <c r="H17" s="184">
        <f>IFERROR(VLOOKUP(TablaPrincipal[[#This Row],[CODIGO]],DATOS!A:B,2,0),"-")</f>
        <v>3</v>
      </c>
      <c r="I17" s="183" t="str">
        <f>IFERROR(VLOOKUP(TablaPrincipal[[#This Row],[CODIGO]],Tabla8[[#Headers],[#Data]],3,0),"-")</f>
        <v>CONVENCIONAL</v>
      </c>
      <c r="J17" s="183">
        <f>IFERROR(TablaPrincipal[[#This Row],[FECHA]]-TablaPrincipal[[#This Row],[FECHA DE SIEMBRA]],"-")</f>
        <v>93</v>
      </c>
      <c r="K17" s="196">
        <f>VLOOKUP(TablaPrincipal[[#This Row],[CODIGO]]&amp;TablaPrincipal[[#This Row],[AGUAJE ]],Tabla4[#All],4,0)</f>
        <v>45936</v>
      </c>
      <c r="L17" s="183" t="str">
        <f>VLOOKUP(TablaPrincipal[[#This Row],[CODIGO]]&amp;TablaPrincipal[[#This Row],[AGUAJE ]],Tabla4[#All],15,0)</f>
        <v>ME PC 12</v>
      </c>
      <c r="M17" s="184">
        <f>VLOOKUP(TablaPrincipal[[#This Row],[CODIGO]]&amp;TablaPrincipal[[#This Row],[AGUAJE ]],Tabla4[#All],14,0)</f>
        <v>0.55000000000000004</v>
      </c>
      <c r="N17" s="183" t="s">
        <v>116</v>
      </c>
      <c r="O17" s="170">
        <f>VLOOKUP(TablaPrincipal[[#This Row],[CODIGO]]&amp;TablaPrincipal[[#This Row],[AGUAJE ]],Tabla4[#All],5,0)</f>
        <v>360000</v>
      </c>
      <c r="P17" s="221">
        <f>IFERROR(TablaPrincipal[[#This Row],[ANIM SEMBRADOS]]/TablaPrincipal[[#This Row],[HAS]],"-")</f>
        <v>120000</v>
      </c>
      <c r="Q17" s="222">
        <f>IFERROR(TablaPrincipal[[#This Row],[DENSIDAD]]/10000,"-")</f>
        <v>12</v>
      </c>
      <c r="R17" s="183" t="str">
        <f>VLOOKUP(TablaPrincipal[[#This Row],[CODIGO]]&amp;TablaPrincipal[[#This Row],[AGUAJE ]],Tabla4[#All],8,0)</f>
        <v>TECSERV</v>
      </c>
      <c r="S17" s="183" t="str">
        <f>VLOOKUP(TablaPrincipal[[#This Row],[CODIGO]]&amp;TablaPrincipal[[#This Row],[AGUAJE ]],Tabla4[#All],7,0)</f>
        <v>PRONAUPLIO</v>
      </c>
      <c r="T17" s="183" t="str">
        <f>IF(ISNUMBER(FIND("/",TablaPrincipal[[#This Row],[LABORATORIO]])),"COMBINADO","UNICO")</f>
        <v>UNICO</v>
      </c>
      <c r="U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3500</v>
      </c>
      <c r="V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3606.7</v>
      </c>
      <c r="W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30.36</v>
      </c>
      <c r="Y17" s="185">
        <f>IFERROR(TablaPrincipal[[#This Row],[LIBRAS RALEO PLANTA]]/TablaPrincipal[[#This Row],[HAS]],"-")</f>
        <v>1202.2333333333333</v>
      </c>
      <c r="Z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53934.183135704872</v>
      </c>
      <c r="AA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14714.11</v>
      </c>
      <c r="AC17" s="186">
        <f>SUMIFS(COSECHAS!F:F,COSECHAS!A:A,'BASE 2026'!AW:AW,COSECHAS!G:G,"="&amp;A:A)</f>
        <v>39</v>
      </c>
      <c r="AD17" s="186">
        <f>SUMIFS(COSECHAS!M:M,COSECHAS!A:A,'BASE 2026'!AW:AW,COSECHAS!G:G,"="&amp;A:A)</f>
        <v>39.11</v>
      </c>
      <c r="AE17" s="185">
        <f>IFERROR(TablaPrincipal[[#This Row],[LIBRAS PLANTA]]/TablaPrincipal[[#This Row],[HAS]],"-")</f>
        <v>4904.7033333333338</v>
      </c>
      <c r="AF17" s="185">
        <f>IFERROR(TablaPrincipal[[#This Row],[LIBRAS PLANTA]]*454/TablaPrincipal[[#This Row],[GRAMOS PLANTA]],"-")</f>
        <v>170805.57248785478</v>
      </c>
      <c r="AG17" s="185">
        <f>TablaPrincipal[[#This Row],[LIBRAS RALEO PLANTA]]+TablaPrincipal[[#This Row],[LIBRAS PLANTA]]</f>
        <v>18320.810000000001</v>
      </c>
      <c r="AH17" s="185">
        <f>IFERROR(TablaPrincipal[[#This Row],[CAM COSECHADOS RALEO]]+TablaPrincipal[[#This Row],[CAM COSECHADOS]],"-")</f>
        <v>224739.75562355964</v>
      </c>
      <c r="AI17" s="185">
        <f>IFERROR((TablaPrincipal[[#This Row],[LIBRAS RALEO PLANTA]]+TablaPrincipal[[#This Row],[LIBRAS PLANTA]])/TablaPrincipal[[#This Row],[HAS]],"0")</f>
        <v>6106.9366666666674</v>
      </c>
      <c r="AJ17" s="186">
        <f t="shared" si="0"/>
        <v>2.9437634408602147</v>
      </c>
      <c r="AK17" s="186">
        <f>IFERROR(TablaPrincipal[[#This Row],[LBS/HA]]/TablaPrincipal[[#This Row],[DIAS]],"-")</f>
        <v>65.665985663082452</v>
      </c>
      <c r="AL17" s="186">
        <f>IFERROR(TablaPrincipal[[#This Row],[CAM COSECHADOS TOTALES]]/TablaPrincipal[[#This Row],[ANIM SEMBRADOS]]*100,"-")</f>
        <v>62.427709895433239</v>
      </c>
      <c r="AM17" s="185">
        <v>27144.137500000001</v>
      </c>
      <c r="AN17" s="187">
        <f>IFERROR(((TablaPrincipal[[#This Row],[BALANCEADO ACUMULADO (LBS)]]/2.2046)/TablaPrincipal[[#This Row],[HAS]])/TablaPrincipal[[#This Row],[DIAS]],"-")</f>
        <v>44.130824372759861</v>
      </c>
      <c r="AO17" s="184">
        <f>IFERROR(TablaPrincipal[[#This Row],[BALANCEADO ACUMULADO (LBS)]]/TablaPrincipal[[#This Row],[LIBRAS TOTALES]],"-")</f>
        <v>1.4816013866199147</v>
      </c>
      <c r="AP17" s="184" t="s">
        <v>104</v>
      </c>
      <c r="AQ17" s="184" t="s">
        <v>105</v>
      </c>
      <c r="AR17" s="185">
        <f>TablaPrincipal[[#This Row],[LIBRAS RALEO PLANTA]]-TablaPrincipal[[#This Row],[LIBRAS RALEO CAMARONERA]]</f>
        <v>106.69999999999982</v>
      </c>
      <c r="AS17" s="185">
        <f>TablaPrincipal[[#This Row],[LIBRAS PLANTA]]-TablaPrincipal[[#This Row],[LIBRAS CAMARONERA]]</f>
        <v>-785.88999999999942</v>
      </c>
      <c r="AT17" s="187">
        <f>TablaPrincipal[[#This Row],[GRAMAJE RALEO PLANTA]]-TablaPrincipal[[#This Row],[GRAMAJE RALEO CAMARONERA]]</f>
        <v>2.3599999999999994</v>
      </c>
      <c r="AU17" s="187">
        <f>TablaPrincipal[[#This Row],[GRAMOS PLANTA]]-TablaPrincipal[[#This Row],[GRAMAJE CAMARONERA]]</f>
        <v>0.10999999999999943</v>
      </c>
      <c r="AV17" s="183" t="str">
        <f>+VLOOKUP(TablaPrincipal[[#This Row],[CODIGO]],TablaCosechas[#All],10,0)</f>
        <v>NESTOR MOGOLLON</v>
      </c>
      <c r="AW17" s="183" t="s">
        <v>120</v>
      </c>
      <c r="AX17" s="188" t="str">
        <f>+VLOOKUP(TablaPrincipal[[#This Row],[CODIGO]],TablaCosechas[#All],10,0)</f>
        <v>NESTOR MOGOLLON</v>
      </c>
    </row>
    <row r="18" spans="1:50" hidden="1" x14ac:dyDescent="0.25">
      <c r="A18" s="196">
        <v>46029</v>
      </c>
      <c r="B18" s="183">
        <v>16</v>
      </c>
      <c r="C18" s="183">
        <f>YEAR(TablaPrincipal[[#This Row],[FECHA]])</f>
        <v>2026</v>
      </c>
      <c r="D18" s="183" t="s">
        <v>103</v>
      </c>
      <c r="E18" s="183" t="str">
        <f>UPPER(TEXT(TablaPrincipal[[#This Row],[FECHA]],"MMMM"))</f>
        <v>ENERO</v>
      </c>
      <c r="F18" s="183" t="str">
        <f>IFERROR(VLOOKUP(TablaPrincipal[[#This Row],[CODIGO]],COSECHAS!A:J,9,0),"-")</f>
        <v>15</v>
      </c>
      <c r="G18" s="183" t="str">
        <f>IFERROR(VLOOKUP(TablaPrincipal[[#This Row],[CODIGO]],COSECHAS!A:I,8,0),"-")</f>
        <v>PARGO ROJO</v>
      </c>
      <c r="H18" s="184">
        <f>IFERROR(VLOOKUP(TablaPrincipal[[#This Row],[CODIGO]],DATOS!A:B,2,0),"-")</f>
        <v>8.1</v>
      </c>
      <c r="I18" s="183" t="str">
        <f>IFERROR(VLOOKUP(TablaPrincipal[[#This Row],[CODIGO]],Tabla8[[#Headers],[#Data]],3,0),"-")</f>
        <v>CONVENCIONAL</v>
      </c>
      <c r="J18" s="183">
        <f>IFERROR(TablaPrincipal[[#This Row],[FECHA]]-TablaPrincipal[[#This Row],[FECHA DE SIEMBRA]],"-")</f>
        <v>77</v>
      </c>
      <c r="K18" s="196">
        <f>VLOOKUP(TablaPrincipal[[#This Row],[CODIGO]]&amp;TablaPrincipal[[#This Row],[AGUAJE ]],Tabla4[#All],4,0)</f>
        <v>45952</v>
      </c>
      <c r="L18" s="183" t="str">
        <f>VLOOKUP(TablaPrincipal[[#This Row],[CODIGO]]&amp;TablaPrincipal[[#This Row],[AGUAJE ]],Tabla4[#All],15,0)</f>
        <v>PR PC 3</v>
      </c>
      <c r="M18" s="184">
        <f>VLOOKUP(TablaPrincipal[[#This Row],[CODIGO]]&amp;TablaPrincipal[[#This Row],[AGUAJE ]],Tabla4[#All],14,0)</f>
        <v>0.38</v>
      </c>
      <c r="N18" s="183">
        <v>10</v>
      </c>
      <c r="O18" s="170">
        <f>VLOOKUP(TablaPrincipal[[#This Row],[CODIGO]]&amp;TablaPrincipal[[#This Row],[AGUAJE ]],Tabla4[#All],5,0)</f>
        <v>1215000</v>
      </c>
      <c r="P18" s="221">
        <f>IFERROR(TablaPrincipal[[#This Row],[ANIM SEMBRADOS]]/TablaPrincipal[[#This Row],[HAS]],"-")</f>
        <v>150000</v>
      </c>
      <c r="Q18" s="222">
        <f>IFERROR(TablaPrincipal[[#This Row],[DENSIDAD]]/10000,"-")</f>
        <v>15</v>
      </c>
      <c r="R18" s="183" t="str">
        <f>VLOOKUP(TablaPrincipal[[#This Row],[CODIGO]]&amp;TablaPrincipal[[#This Row],[AGUAJE ]],Tabla4[#All],8,0)</f>
        <v>TECSERV</v>
      </c>
      <c r="S18" s="183" t="str">
        <f>VLOOKUP(TablaPrincipal[[#This Row],[CODIGO]]&amp;TablaPrincipal[[#This Row],[AGUAJE ]],Tabla4[#All],7,0)</f>
        <v>TEXCUMAR</v>
      </c>
      <c r="T18" s="183" t="str">
        <f>IF(ISNUMBER(FIND("/",TablaPrincipal[[#This Row],[LABORATORIO]])),"COMBINADO","UNICO")</f>
        <v>UNICO</v>
      </c>
      <c r="U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" s="185">
        <f>IFERROR(TablaPrincipal[[#This Row],[LIBRAS RALEO PLANTA]]/TablaPrincipal[[#This Row],[HAS]],"-")</f>
        <v>0</v>
      </c>
      <c r="Z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24300</v>
      </c>
      <c r="AB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26788.91</v>
      </c>
      <c r="AC18" s="186">
        <f>SUMIFS(COSECHAS!F:F,COSECHAS!A:A,'BASE 2026'!AW:AW,COSECHAS!G:G,"="&amp;A:A)</f>
        <v>27</v>
      </c>
      <c r="AD18" s="186">
        <f>SUMIFS(COSECHAS!M:M,COSECHAS!A:A,'BASE 2026'!AW:AW,COSECHAS!G:G,"="&amp;A:A)</f>
        <v>27.36</v>
      </c>
      <c r="AE18" s="185">
        <f>IFERROR(TablaPrincipal[[#This Row],[LIBRAS PLANTA]]/TablaPrincipal[[#This Row],[HAS]],"-")</f>
        <v>3307.2728395061731</v>
      </c>
      <c r="AF18" s="185">
        <f>IFERROR(TablaPrincipal[[#This Row],[LIBRAS PLANTA]]*454/TablaPrincipal[[#This Row],[GRAMOS PLANTA]],"-")</f>
        <v>444523.57967836258</v>
      </c>
      <c r="AG18" s="185">
        <f>TablaPrincipal[[#This Row],[LIBRAS RALEO PLANTA]]+TablaPrincipal[[#This Row],[LIBRAS PLANTA]]</f>
        <v>26788.91</v>
      </c>
      <c r="AH18" s="185">
        <f>IFERROR(TablaPrincipal[[#This Row],[CAM COSECHADOS RALEO]]+TablaPrincipal[[#This Row],[CAM COSECHADOS]],"-")</f>
        <v>444523.57967836258</v>
      </c>
      <c r="AI18" s="185">
        <f>IFERROR((TablaPrincipal[[#This Row],[LIBRAS RALEO PLANTA]]+TablaPrincipal[[#This Row],[LIBRAS PLANTA]])/TablaPrincipal[[#This Row],[HAS]],"0")</f>
        <v>3307.2728395061731</v>
      </c>
      <c r="AJ18" s="186">
        <f t="shared" si="0"/>
        <v>2.4872727272727273</v>
      </c>
      <c r="AK18" s="186">
        <f>IFERROR(TablaPrincipal[[#This Row],[LBS/HA]]/TablaPrincipal[[#This Row],[DIAS]],"-")</f>
        <v>42.951595318261987</v>
      </c>
      <c r="AL18" s="186">
        <f>IFERROR(TablaPrincipal[[#This Row],[CAM COSECHADOS TOTALES]]/TablaPrincipal[[#This Row],[ANIM SEMBRADOS]]*100,"-")</f>
        <v>36.586302854186222</v>
      </c>
      <c r="AM18" s="185">
        <v>41556.71</v>
      </c>
      <c r="AN18" s="187">
        <f>IFERROR(((TablaPrincipal[[#This Row],[BALANCEADO ACUMULADO (LBS)]]/2.2046)/TablaPrincipal[[#This Row],[HAS]])/TablaPrincipal[[#This Row],[DIAS]],"-")</f>
        <v>30.222863556196891</v>
      </c>
      <c r="AO18" s="184">
        <f>IFERROR(TablaPrincipal[[#This Row],[BALANCEADO ACUMULADO (LBS)]]/TablaPrincipal[[#This Row],[LIBRAS TOTALES]],"-")</f>
        <v>1.5512654303590552</v>
      </c>
      <c r="AP18" s="184" t="s">
        <v>104</v>
      </c>
      <c r="AQ18" s="184" t="s">
        <v>105</v>
      </c>
      <c r="AR18" s="185">
        <f>TablaPrincipal[[#This Row],[LIBRAS RALEO PLANTA]]-TablaPrincipal[[#This Row],[LIBRAS RALEO CAMARONERA]]</f>
        <v>0</v>
      </c>
      <c r="AS18" s="185">
        <f>TablaPrincipal[[#This Row],[LIBRAS PLANTA]]-TablaPrincipal[[#This Row],[LIBRAS CAMARONERA]]</f>
        <v>2488.91</v>
      </c>
      <c r="AT18" s="187">
        <f>TablaPrincipal[[#This Row],[GRAMAJE RALEO PLANTA]]-TablaPrincipal[[#This Row],[GRAMAJE RALEO CAMARONERA]]</f>
        <v>0</v>
      </c>
      <c r="AU18" s="187">
        <f>TablaPrincipal[[#This Row],[GRAMOS PLANTA]]-TablaPrincipal[[#This Row],[GRAMAJE CAMARONERA]]</f>
        <v>0.35999999999999943</v>
      </c>
      <c r="AV18" s="183" t="str">
        <f>+VLOOKUP(TablaPrincipal[[#This Row],[CODIGO]],TablaCosechas[#All],10,0)</f>
        <v>WILMER TORRES</v>
      </c>
      <c r="AW18" s="183" t="s">
        <v>121</v>
      </c>
      <c r="AX18" s="188" t="str">
        <f>+VLOOKUP(TablaPrincipal[[#This Row],[CODIGO]],TablaCosechas[#All],10,0)</f>
        <v>WILMER TORRES</v>
      </c>
    </row>
    <row r="19" spans="1:50" hidden="1" x14ac:dyDescent="0.25">
      <c r="A19" s="196">
        <v>46029</v>
      </c>
      <c r="B19" s="183">
        <v>17</v>
      </c>
      <c r="C19" s="183">
        <f>YEAR(TablaPrincipal[[#This Row],[FECHA]])</f>
        <v>2026</v>
      </c>
      <c r="D19" s="183" t="s">
        <v>103</v>
      </c>
      <c r="E19" s="183" t="str">
        <f>UPPER(TEXT(TablaPrincipal[[#This Row],[FECHA]],"MMMM"))</f>
        <v>ENERO</v>
      </c>
      <c r="F19" s="183" t="str">
        <f>IFERROR(VLOOKUP(TablaPrincipal[[#This Row],[CODIGO]],COSECHAS!A:J,9,0),"-")</f>
        <v>07</v>
      </c>
      <c r="G19" s="183" t="str">
        <f>IFERROR(VLOOKUP(TablaPrincipal[[#This Row],[CODIGO]],COSECHAS!A:I,8,0),"-")</f>
        <v>TIBURON</v>
      </c>
      <c r="H19" s="184">
        <f>IFERROR(VLOOKUP(TablaPrincipal[[#This Row],[CODIGO]],DATOS!A:B,2,0),"-")</f>
        <v>2.72</v>
      </c>
      <c r="I19" s="183" t="str">
        <f>IFERROR(VLOOKUP(TablaPrincipal[[#This Row],[CODIGO]],Tabla8[[#Headers],[#Data]],3,0),"-")</f>
        <v>ASC-BAP</v>
      </c>
      <c r="J19" s="183">
        <f>IFERROR(TablaPrincipal[[#This Row],[FECHA]]-TablaPrincipal[[#This Row],[FECHA DE SIEMBRA]],"-")</f>
        <v>94</v>
      </c>
      <c r="K19" s="196">
        <f>VLOOKUP(TablaPrincipal[[#This Row],[CODIGO]]&amp;TablaPrincipal[[#This Row],[AGUAJE ]],Tabla4[#All],4,0)</f>
        <v>45935</v>
      </c>
      <c r="L19" s="183" t="str">
        <f>VLOOKUP(TablaPrincipal[[#This Row],[CODIGO]]&amp;TablaPrincipal[[#This Row],[AGUAJE ]],Tabla4[#All],15,0)</f>
        <v>TI PC 34</v>
      </c>
      <c r="M19" s="184">
        <f>VLOOKUP(TablaPrincipal[[#This Row],[CODIGO]]&amp;TablaPrincipal[[#This Row],[AGUAJE ]],Tabla4[#All],14,0)</f>
        <v>0.57999999999999996</v>
      </c>
      <c r="N19" s="183">
        <v>7</v>
      </c>
      <c r="O19" s="170">
        <f>VLOOKUP(TablaPrincipal[[#This Row],[CODIGO]]&amp;TablaPrincipal[[#This Row],[AGUAJE ]],Tabla4[#All],5,0)</f>
        <v>462400</v>
      </c>
      <c r="P19" s="221">
        <f>IFERROR(TablaPrincipal[[#This Row],[ANIM SEMBRADOS]]/TablaPrincipal[[#This Row],[HAS]],"-")</f>
        <v>170000</v>
      </c>
      <c r="Q19" s="222">
        <f>IFERROR(TablaPrincipal[[#This Row],[DENSIDAD]]/10000,"-")</f>
        <v>17</v>
      </c>
      <c r="R19" s="183" t="str">
        <f>VLOOKUP(TablaPrincipal[[#This Row],[CODIGO]]&amp;TablaPrincipal[[#This Row],[AGUAJE ]],Tabla4[#All],8,0)</f>
        <v>OCEANLAB</v>
      </c>
      <c r="S19" s="183" t="str">
        <f>VLOOKUP(TablaPrincipal[[#This Row],[CODIGO]]&amp;TablaPrincipal[[#This Row],[AGUAJE ]],Tabla4[#All],7,0)</f>
        <v>TEXCUMAR</v>
      </c>
      <c r="T19" s="183" t="str">
        <f>IF(ISNUMBER(FIND("/",TablaPrincipal[[#This Row],[LABORATORIO]])),"COMBINADO","UNICO")</f>
        <v>UNICO</v>
      </c>
      <c r="U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4600</v>
      </c>
      <c r="V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4978.58</v>
      </c>
      <c r="W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25.68</v>
      </c>
      <c r="Y19" s="185">
        <f>IFERROR(TablaPrincipal[[#This Row],[LIBRAS RALEO PLANTA]]/TablaPrincipal[[#This Row],[HAS]],"-")</f>
        <v>1830.3602941176468</v>
      </c>
      <c r="Z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88016.95171339564</v>
      </c>
      <c r="AA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21533.57</v>
      </c>
      <c r="AC19" s="186">
        <f>SUMIFS(COSECHAS!F:F,COSECHAS!A:A,'BASE 2026'!AW:AW,COSECHAS!G:G,"="&amp;A:A)</f>
        <v>37</v>
      </c>
      <c r="AD19" s="186">
        <f>SUMIFS(COSECHAS!M:M,COSECHAS!A:A,'BASE 2026'!AW:AW,COSECHAS!G:G,"="&amp;A:A)</f>
        <v>36.78</v>
      </c>
      <c r="AE19" s="185">
        <f>IFERROR(TablaPrincipal[[#This Row],[LIBRAS PLANTA]]/TablaPrincipal[[#This Row],[HAS]],"-")</f>
        <v>7916.7536764705874</v>
      </c>
      <c r="AF19" s="185">
        <f>IFERROR(TablaPrincipal[[#This Row],[LIBRAS PLANTA]]*454/TablaPrincipal[[#This Row],[GRAMOS PLANTA]],"-")</f>
        <v>265803.17509516038</v>
      </c>
      <c r="AG19" s="185">
        <f>TablaPrincipal[[#This Row],[LIBRAS RALEO PLANTA]]+TablaPrincipal[[#This Row],[LIBRAS PLANTA]]</f>
        <v>26512.15</v>
      </c>
      <c r="AH19" s="185">
        <f>IFERROR(TablaPrincipal[[#This Row],[CAM COSECHADOS RALEO]]+TablaPrincipal[[#This Row],[CAM COSECHADOS]],"-")</f>
        <v>353820.12680855603</v>
      </c>
      <c r="AI19" s="185">
        <f>IFERROR((TablaPrincipal[[#This Row],[LIBRAS RALEO PLANTA]]+TablaPrincipal[[#This Row],[LIBRAS PLANTA]])/TablaPrincipal[[#This Row],[HAS]],"0")</f>
        <v>9747.1139705882342</v>
      </c>
      <c r="AJ19" s="186">
        <f t="shared" si="0"/>
        <v>2.7389361702127659</v>
      </c>
      <c r="AK19" s="186">
        <f>IFERROR(TablaPrincipal[[#This Row],[LBS/HA]]/TablaPrincipal[[#This Row],[DIAS]],"-")</f>
        <v>103.69270181476845</v>
      </c>
      <c r="AL19" s="186">
        <f>IFERROR(TablaPrincipal[[#This Row],[CAM COSECHADOS TOTALES]]/TablaPrincipal[[#This Row],[ANIM SEMBRADOS]]*100,"-")</f>
        <v>76.51819351396108</v>
      </c>
      <c r="AM19" s="185">
        <v>38448.224000000002</v>
      </c>
      <c r="AN19" s="187">
        <f>IFERROR(((TablaPrincipal[[#This Row],[BALANCEADO ACUMULADO (LBS)]]/2.2046)/TablaPrincipal[[#This Row],[HAS]])/TablaPrincipal[[#This Row],[DIAS]],"-")</f>
        <v>68.210262828535662</v>
      </c>
      <c r="AO19" s="184">
        <f>IFERROR(TablaPrincipal[[#This Row],[BALANCEADO ACUMULADO (LBS)]]/TablaPrincipal[[#This Row],[LIBRAS TOTALES]],"-")</f>
        <v>1.4502114690811572</v>
      </c>
      <c r="AP19" s="184" t="s">
        <v>108</v>
      </c>
      <c r="AQ19" s="184" t="s">
        <v>105</v>
      </c>
      <c r="AR19" s="185">
        <f>TablaPrincipal[[#This Row],[LIBRAS RALEO PLANTA]]-TablaPrincipal[[#This Row],[LIBRAS RALEO CAMARONERA]]</f>
        <v>378.57999999999993</v>
      </c>
      <c r="AS19" s="185">
        <f>TablaPrincipal[[#This Row],[LIBRAS PLANTA]]-TablaPrincipal[[#This Row],[LIBRAS CAMARONERA]]</f>
        <v>733.56999999999971</v>
      </c>
      <c r="AT19" s="187">
        <f>TablaPrincipal[[#This Row],[GRAMAJE RALEO PLANTA]]-TablaPrincipal[[#This Row],[GRAMAJE RALEO CAMARONERA]]</f>
        <v>1.6799999999999997</v>
      </c>
      <c r="AU19" s="187">
        <f>TablaPrincipal[[#This Row],[GRAMOS PLANTA]]-TablaPrincipal[[#This Row],[GRAMAJE CAMARONERA]]</f>
        <v>-0.21999999999999886</v>
      </c>
      <c r="AV19" s="183" t="str">
        <f>+VLOOKUP(TablaPrincipal[[#This Row],[CODIGO]],TablaCosechas[#All],10,0)</f>
        <v>ALFONSO GRUNAUER</v>
      </c>
      <c r="AW19" s="183" t="s">
        <v>122</v>
      </c>
      <c r="AX19" s="188" t="str">
        <f>+VLOOKUP(TablaPrincipal[[#This Row],[CODIGO]],TablaCosechas[#All],10,0)</f>
        <v>ALFONSO GRUNAUER</v>
      </c>
    </row>
    <row r="20" spans="1:50" hidden="1" x14ac:dyDescent="0.25">
      <c r="A20" s="196">
        <v>46029</v>
      </c>
      <c r="B20" s="183">
        <v>18</v>
      </c>
      <c r="C20" s="183">
        <f>YEAR(TablaPrincipal[[#This Row],[FECHA]])</f>
        <v>2026</v>
      </c>
      <c r="D20" s="183" t="s">
        <v>103</v>
      </c>
      <c r="E20" s="183" t="str">
        <f>UPPER(TEXT(TablaPrincipal[[#This Row],[FECHA]],"MMMM"))</f>
        <v>ENERO</v>
      </c>
      <c r="F20" s="183" t="str">
        <f>IFERROR(VLOOKUP(TablaPrincipal[[#This Row],[CODIGO]],COSECHAS!A:J,9,0),"-")</f>
        <v>14</v>
      </c>
      <c r="G20" s="183" t="str">
        <f>IFERROR(VLOOKUP(TablaPrincipal[[#This Row],[CODIGO]],COSECHAS!A:I,8,0),"-")</f>
        <v>WAHOO</v>
      </c>
      <c r="H20" s="184">
        <f>IFERROR(VLOOKUP(TablaPrincipal[[#This Row],[CODIGO]],DATOS!A:B,2,0),"-")</f>
        <v>6</v>
      </c>
      <c r="I20" s="183" t="str">
        <f>IFERROR(VLOOKUP(TablaPrincipal[[#This Row],[CODIGO]],Tabla8[[#Headers],[#Data]],3,0),"-")</f>
        <v>CONVENCIONAL</v>
      </c>
      <c r="J20" s="183">
        <f>IFERROR(TablaPrincipal[[#This Row],[FECHA]]-TablaPrincipal[[#This Row],[FECHA DE SIEMBRA]],"-")</f>
        <v>91</v>
      </c>
      <c r="K20" s="196">
        <f>VLOOKUP(TablaPrincipal[[#This Row],[CODIGO]]&amp;TablaPrincipal[[#This Row],[AGUAJE ]],Tabla4[#All],4,0)</f>
        <v>45938</v>
      </c>
      <c r="L20" s="183" t="str">
        <f>VLOOKUP(TablaPrincipal[[#This Row],[CODIGO]]&amp;TablaPrincipal[[#This Row],[AGUAJE ]],Tabla4[#All],15,0)</f>
        <v>WA PC 6</v>
      </c>
      <c r="M20" s="184">
        <f>VLOOKUP(TablaPrincipal[[#This Row],[CODIGO]]&amp;TablaPrincipal[[#This Row],[AGUAJE ]],Tabla4[#All],14,0)</f>
        <v>0.3</v>
      </c>
      <c r="N20" s="183" t="s">
        <v>116</v>
      </c>
      <c r="O20" s="170">
        <f>VLOOKUP(TablaPrincipal[[#This Row],[CODIGO]]&amp;TablaPrincipal[[#This Row],[AGUAJE ]],Tabla4[#All],5,0)</f>
        <v>873000</v>
      </c>
      <c r="P20" s="221">
        <f>IFERROR(TablaPrincipal[[#This Row],[ANIM SEMBRADOS]]/TablaPrincipal[[#This Row],[HAS]],"-")</f>
        <v>145500</v>
      </c>
      <c r="Q20" s="222">
        <f>IFERROR(TablaPrincipal[[#This Row],[DENSIDAD]]/10000,"-")</f>
        <v>14.55</v>
      </c>
      <c r="R20" s="183" t="str">
        <f>VLOOKUP(TablaPrincipal[[#This Row],[CODIGO]]&amp;TablaPrincipal[[#This Row],[AGUAJE ]],Tabla4[#All],8,0)</f>
        <v>ACUATECSA</v>
      </c>
      <c r="S20" s="183" t="str">
        <f>VLOOKUP(TablaPrincipal[[#This Row],[CODIGO]]&amp;TablaPrincipal[[#This Row],[AGUAJE ]],Tabla4[#All],7,0)</f>
        <v>TEXCUMAR</v>
      </c>
      <c r="T20" s="183" t="str">
        <f>IF(ISNUMBER(FIND("/",TablaPrincipal[[#This Row],[LABORATORIO]])),"COMBINADO","UNICO")</f>
        <v>UNICO</v>
      </c>
      <c r="U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21.36</v>
      </c>
      <c r="Y20" s="185">
        <f>IFERROR(TablaPrincipal[[#This Row],[LIBRAS RALEO PLANTA]]/TablaPrincipal[[#This Row],[HAS]],"-")</f>
        <v>0</v>
      </c>
      <c r="Z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21460.639999999999</v>
      </c>
      <c r="AC20" s="186">
        <f>SUMIFS(COSECHAS!F:F,COSECHAS!A:A,'BASE 2026'!AW:AW,COSECHAS!G:G,"="&amp;A:A)</f>
        <v>21</v>
      </c>
      <c r="AD20" s="186">
        <f>SUMIFS(COSECHAS!M:M,COSECHAS!A:A,'BASE 2026'!AW:AW,COSECHAS!G:G,"="&amp;A:A)</f>
        <v>21.36</v>
      </c>
      <c r="AE20" s="185">
        <f>IFERROR(TablaPrincipal[[#This Row],[LIBRAS PLANTA]]/TablaPrincipal[[#This Row],[HAS]],"-")</f>
        <v>3576.7733333333331</v>
      </c>
      <c r="AF20" s="185">
        <f>IFERROR(TablaPrincipal[[#This Row],[LIBRAS PLANTA]]*454/TablaPrincipal[[#This Row],[GRAMOS PLANTA]],"-")</f>
        <v>456139.07116104872</v>
      </c>
      <c r="AG20" s="185">
        <f>TablaPrincipal[[#This Row],[LIBRAS RALEO PLANTA]]+TablaPrincipal[[#This Row],[LIBRAS PLANTA]]</f>
        <v>21460.639999999999</v>
      </c>
      <c r="AH20" s="185">
        <f>IFERROR(TablaPrincipal[[#This Row],[CAM COSECHADOS RALEO]]+TablaPrincipal[[#This Row],[CAM COSECHADOS]],"-")</f>
        <v>456139.07116104872</v>
      </c>
      <c r="AI20" s="185">
        <f>IFERROR((TablaPrincipal[[#This Row],[LIBRAS RALEO PLANTA]]+TablaPrincipal[[#This Row],[LIBRAS PLANTA]])/TablaPrincipal[[#This Row],[HAS]],"0")</f>
        <v>3576.7733333333331</v>
      </c>
      <c r="AJ20" s="186">
        <f t="shared" si="0"/>
        <v>1.6430769230769231</v>
      </c>
      <c r="AK20" s="186">
        <f>IFERROR(TablaPrincipal[[#This Row],[LBS/HA]]/TablaPrincipal[[#This Row],[DIAS]],"-")</f>
        <v>39.305201465201463</v>
      </c>
      <c r="AL20" s="186">
        <f>IFERROR(TablaPrincipal[[#This Row],[CAM COSECHADOS TOTALES]]/TablaPrincipal[[#This Row],[ANIM SEMBRADOS]]*100,"-")</f>
        <v>52.249607234942573</v>
      </c>
      <c r="AM20" s="185">
        <v>33260.800200000005</v>
      </c>
      <c r="AN20" s="187">
        <f>IFERROR(((TablaPrincipal[[#This Row],[BALANCEADO ACUMULADO (LBS)]]/2.2046)/TablaPrincipal[[#This Row],[HAS]])/TablaPrincipal[[#This Row],[DIAS]],"-")</f>
        <v>27.631868131868139</v>
      </c>
      <c r="AO20" s="184">
        <f>IFERROR(TablaPrincipal[[#This Row],[BALANCEADO ACUMULADO (LBS)]]/TablaPrincipal[[#This Row],[LIBRAS TOTALES]],"-")</f>
        <v>1.549851271909878</v>
      </c>
      <c r="AP20" s="184" t="s">
        <v>104</v>
      </c>
      <c r="AQ20" s="184" t="s">
        <v>123</v>
      </c>
      <c r="AR20" s="185">
        <f>TablaPrincipal[[#This Row],[LIBRAS RALEO PLANTA]]-TablaPrincipal[[#This Row],[LIBRAS RALEO CAMARONERA]]</f>
        <v>0</v>
      </c>
      <c r="AS20" s="185">
        <f>TablaPrincipal[[#This Row],[LIBRAS PLANTA]]-TablaPrincipal[[#This Row],[LIBRAS CAMARONERA]]</f>
        <v>2460.6399999999994</v>
      </c>
      <c r="AT20" s="187">
        <f>TablaPrincipal[[#This Row],[GRAMAJE RALEO PLANTA]]-TablaPrincipal[[#This Row],[GRAMAJE RALEO CAMARONERA]]</f>
        <v>0.35999999999999943</v>
      </c>
      <c r="AU20" s="187">
        <f>TablaPrincipal[[#This Row],[GRAMOS PLANTA]]-TablaPrincipal[[#This Row],[GRAMAJE CAMARONERA]]</f>
        <v>0.35999999999999943</v>
      </c>
      <c r="AV20" s="183" t="str">
        <f>+VLOOKUP(TablaPrincipal[[#This Row],[CODIGO]],TablaCosechas[#All],10,0)</f>
        <v>JUNIOR ESQUIVEL</v>
      </c>
      <c r="AW20" s="183" t="s">
        <v>124</v>
      </c>
      <c r="AX20" s="188" t="str">
        <f>+VLOOKUP(TablaPrincipal[[#This Row],[CODIGO]],TablaCosechas[#All],10,0)</f>
        <v>JUNIOR ESQUIVEL</v>
      </c>
    </row>
    <row r="21" spans="1:50" hidden="1" x14ac:dyDescent="0.25">
      <c r="A21" s="196">
        <v>46030</v>
      </c>
      <c r="B21" s="183">
        <v>19</v>
      </c>
      <c r="C21" s="183">
        <f>YEAR(TablaPrincipal[[#This Row],[FECHA]])</f>
        <v>2026</v>
      </c>
      <c r="D21" s="183" t="s">
        <v>103</v>
      </c>
      <c r="E21" s="183" t="str">
        <f>UPPER(TEXT(TablaPrincipal[[#This Row],[FECHA]],"MMMM"))</f>
        <v>ENERO</v>
      </c>
      <c r="F21" s="183" t="str">
        <f>IFERROR(VLOOKUP(TablaPrincipal[[#This Row],[CODIGO]],COSECHAS!A:J,9,0),"-")</f>
        <v>15</v>
      </c>
      <c r="G21" s="183" t="str">
        <f>IFERROR(VLOOKUP(TablaPrincipal[[#This Row],[CODIGO]],COSECHAS!A:I,8,0),"-")</f>
        <v>DELFIN</v>
      </c>
      <c r="H21" s="184">
        <f>IFERROR(VLOOKUP(TablaPrincipal[[#This Row],[CODIGO]],DATOS!A:B,2,0),"-")</f>
        <v>7.5</v>
      </c>
      <c r="I21" s="183" t="str">
        <f>IFERROR(VLOOKUP(TablaPrincipal[[#This Row],[CODIGO]],Tabla8[[#Headers],[#Data]],3,0),"-")</f>
        <v>CONVENCIONAL</v>
      </c>
      <c r="J21" s="183">
        <f>IFERROR(TablaPrincipal[[#This Row],[FECHA]]-TablaPrincipal[[#This Row],[FECHA DE SIEMBRA]],"-")</f>
        <v>71</v>
      </c>
      <c r="K21" s="196">
        <f>VLOOKUP(TablaPrincipal[[#This Row],[CODIGO]]&amp;TablaPrincipal[[#This Row],[AGUAJE ]],Tabla4[#All],4,0)</f>
        <v>45959</v>
      </c>
      <c r="L21" s="183" t="str">
        <f>VLOOKUP(TablaPrincipal[[#This Row],[CODIGO]]&amp;TablaPrincipal[[#This Row],[AGUAJE ]],Tabla4[#All],15,0)</f>
        <v>DE PS 14</v>
      </c>
      <c r="M21" s="184">
        <f>VLOOKUP(TablaPrincipal[[#This Row],[CODIGO]]&amp;TablaPrincipal[[#This Row],[AGUAJE ]],Tabla4[#All],14,0)</f>
        <v>2.6</v>
      </c>
      <c r="N21" s="183">
        <v>6</v>
      </c>
      <c r="O21" s="170">
        <f>VLOOKUP(TablaPrincipal[[#This Row],[CODIGO]]&amp;TablaPrincipal[[#This Row],[AGUAJE ]],Tabla4[#All],5,0)</f>
        <v>1125000</v>
      </c>
      <c r="P21" s="221">
        <f>IFERROR(TablaPrincipal[[#This Row],[ANIM SEMBRADOS]]/TablaPrincipal[[#This Row],[HAS]],"-")</f>
        <v>150000</v>
      </c>
      <c r="Q21" s="222">
        <f>IFERROR(TablaPrincipal[[#This Row],[DENSIDAD]]/10000,"-")</f>
        <v>15</v>
      </c>
      <c r="R21" s="183" t="str">
        <f>VLOOKUP(TablaPrincipal[[#This Row],[CODIGO]]&amp;TablaPrincipal[[#This Row],[AGUAJE ]],Tabla4[#All],8,0)</f>
        <v>EMPAGRAN</v>
      </c>
      <c r="S21" s="183" t="str">
        <f>VLOOKUP(TablaPrincipal[[#This Row],[CODIGO]]&amp;TablaPrincipal[[#This Row],[AGUAJE ]],Tabla4[#All],7,0)</f>
        <v>EMPAGRAN</v>
      </c>
      <c r="T21" s="183" t="str">
        <f>IF(ISNUMBER(FIND("/",TablaPrincipal[[#This Row],[LABORATORIO]])),"COMBINADO","UNICO")</f>
        <v>UNICO</v>
      </c>
      <c r="U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7833.54</v>
      </c>
      <c r="W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21" s="185">
        <f>IFERROR(TablaPrincipal[[#This Row],[LIBRAS RALEO PLANTA]]/TablaPrincipal[[#This Row],[HAS]],"-")</f>
        <v>1044.472</v>
      </c>
      <c r="Z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150060.217721519</v>
      </c>
      <c r="AA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39750</v>
      </c>
      <c r="AB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41647.85</v>
      </c>
      <c r="AC21" s="186">
        <f>SUMIFS(COSECHAS!F:F,COSECHAS!A:A,'BASE 2026'!AW:AW,COSECHAS!G:G,"="&amp;A:A)</f>
        <v>30</v>
      </c>
      <c r="AD21" s="186">
        <f>SUMIFS(COSECHAS!M:M,COSECHAS!A:A,'BASE 2026'!AW:AW,COSECHAS!G:G,"="&amp;A:A)</f>
        <v>30.55</v>
      </c>
      <c r="AE21" s="185">
        <f>IFERROR(TablaPrincipal[[#This Row],[LIBRAS PLANTA]]/TablaPrincipal[[#This Row],[HAS]],"-")</f>
        <v>5553.0466666666662</v>
      </c>
      <c r="AF21" s="185">
        <f>IFERROR(TablaPrincipal[[#This Row],[LIBRAS PLANTA]]*454/TablaPrincipal[[#This Row],[GRAMOS PLANTA]],"-")</f>
        <v>618923.85924713581</v>
      </c>
      <c r="AG21" s="185">
        <f>TablaPrincipal[[#This Row],[LIBRAS RALEO PLANTA]]+TablaPrincipal[[#This Row],[LIBRAS PLANTA]]</f>
        <v>49481.39</v>
      </c>
      <c r="AH21" s="185">
        <f>IFERROR(TablaPrincipal[[#This Row],[CAM COSECHADOS RALEO]]+TablaPrincipal[[#This Row],[CAM COSECHADOS]],"-")</f>
        <v>768984.07696865476</v>
      </c>
      <c r="AI21" s="185">
        <f>IFERROR((TablaPrincipal[[#This Row],[LIBRAS RALEO PLANTA]]+TablaPrincipal[[#This Row],[LIBRAS PLANTA]])/TablaPrincipal[[#This Row],[HAS]],"0")</f>
        <v>6597.5186666666668</v>
      </c>
      <c r="AJ21" s="186">
        <f t="shared" si="0"/>
        <v>3.0119718309859156</v>
      </c>
      <c r="AK21" s="186">
        <f>IFERROR(TablaPrincipal[[#This Row],[LBS/HA]]/TablaPrincipal[[#This Row],[DIAS]],"-")</f>
        <v>92.922798122065728</v>
      </c>
      <c r="AL21" s="186">
        <f>IFERROR(TablaPrincipal[[#This Row],[CAM COSECHADOS TOTALES]]/TablaPrincipal[[#This Row],[ANIM SEMBRADOS]]*100,"-")</f>
        <v>68.354140174991528</v>
      </c>
      <c r="AM21" s="185">
        <v>60791.845000000001</v>
      </c>
      <c r="AN21" s="187">
        <f>IFERROR(((TablaPrincipal[[#This Row],[BALANCEADO ACUMULADO (LBS)]]/2.2046)/TablaPrincipal[[#This Row],[HAS]])/TablaPrincipal[[#This Row],[DIAS]],"-")</f>
        <v>51.784037558685441</v>
      </c>
      <c r="AO21" s="184">
        <f>IFERROR(TablaPrincipal[[#This Row],[BALANCEADO ACUMULADO (LBS)]]/TablaPrincipal[[#This Row],[LIBRAS TOTALES]],"-")</f>
        <v>1.228579977239928</v>
      </c>
      <c r="AP21" s="184" t="s">
        <v>104</v>
      </c>
      <c r="AQ21" s="184" t="s">
        <v>105</v>
      </c>
      <c r="AR21" s="185">
        <f>TablaPrincipal[[#This Row],[LIBRAS RALEO PLANTA]]-TablaPrincipal[[#This Row],[LIBRAS RALEO CAMARONERA]]</f>
        <v>-166.46000000000004</v>
      </c>
      <c r="AS21" s="185">
        <f>TablaPrincipal[[#This Row],[LIBRAS PLANTA]]-TablaPrincipal[[#This Row],[LIBRAS CAMARONERA]]</f>
        <v>1897.8499999999985</v>
      </c>
      <c r="AT21" s="187">
        <f>TablaPrincipal[[#This Row],[GRAMAJE RALEO PLANTA]]-TablaPrincipal[[#This Row],[GRAMAJE RALEO CAMARONERA]]</f>
        <v>-1.3000000000000007</v>
      </c>
      <c r="AU21" s="187">
        <f>TablaPrincipal[[#This Row],[GRAMOS PLANTA]]-TablaPrincipal[[#This Row],[GRAMAJE CAMARONERA]]</f>
        <v>0.55000000000000071</v>
      </c>
      <c r="AV21" s="183" t="str">
        <f>+VLOOKUP(TablaPrincipal[[#This Row],[CODIGO]],TablaCosechas[#All],10,0)</f>
        <v>CARLOS FLORES</v>
      </c>
      <c r="AW21" s="183" t="s">
        <v>125</v>
      </c>
      <c r="AX21" s="188" t="str">
        <f>+VLOOKUP(TablaPrincipal[[#This Row],[CODIGO]],TablaCosechas[#All],10,0)</f>
        <v>CARLOS FLORES</v>
      </c>
    </row>
    <row r="22" spans="1:50" hidden="1" x14ac:dyDescent="0.25">
      <c r="A22" s="196">
        <v>46030</v>
      </c>
      <c r="B22" s="183">
        <v>20</v>
      </c>
      <c r="C22" s="183">
        <f>YEAR(TablaPrincipal[[#This Row],[FECHA]])</f>
        <v>2026</v>
      </c>
      <c r="D22" s="183" t="s">
        <v>103</v>
      </c>
      <c r="E22" s="183" t="str">
        <f>UPPER(TEXT(TablaPrincipal[[#This Row],[FECHA]],"MMMM"))</f>
        <v>ENERO</v>
      </c>
      <c r="F22" s="183" t="str">
        <f>IFERROR(VLOOKUP(TablaPrincipal[[#This Row],[CODIGO]],COSECHAS!A:J,9,0),"-")</f>
        <v>06</v>
      </c>
      <c r="G22" s="183" t="str">
        <f>IFERROR(VLOOKUP(TablaPrincipal[[#This Row],[CODIGO]],COSECHAS!A:I,8,0),"-")</f>
        <v>DORADO</v>
      </c>
      <c r="H22" s="184">
        <f>IFERROR(VLOOKUP(TablaPrincipal[[#This Row],[CODIGO]],DATOS!A:B,2,0),"-")</f>
        <v>5.23</v>
      </c>
      <c r="I22" s="183" t="str">
        <f>IFERROR(VLOOKUP(TablaPrincipal[[#This Row],[CODIGO]],Tabla8[[#Headers],[#Data]],3,0),"-")</f>
        <v>ASC-BAP</v>
      </c>
      <c r="J22" s="183">
        <f>IFERROR(TablaPrincipal[[#This Row],[FECHA]]-TablaPrincipal[[#This Row],[FECHA DE SIEMBRA]],"-")</f>
        <v>85</v>
      </c>
      <c r="K22" s="196">
        <f>VLOOKUP(TablaPrincipal[[#This Row],[CODIGO]]&amp;TablaPrincipal[[#This Row],[AGUAJE ]],Tabla4[#All],4,0)</f>
        <v>45945</v>
      </c>
      <c r="L22" s="183" t="str">
        <f>VLOOKUP(TablaPrincipal[[#This Row],[CODIGO]]&amp;TablaPrincipal[[#This Row],[AGUAJE ]],Tabla4[#All],15,0)</f>
        <v>DO PC 1</v>
      </c>
      <c r="M22" s="184">
        <f>VLOOKUP(TablaPrincipal[[#This Row],[CODIGO]]&amp;TablaPrincipal[[#This Row],[AGUAJE ]],Tabla4[#All],14,0)</f>
        <v>0.66</v>
      </c>
      <c r="N22" s="183">
        <v>17</v>
      </c>
      <c r="O22" s="170">
        <f>VLOOKUP(TablaPrincipal[[#This Row],[CODIGO]]&amp;TablaPrincipal[[#This Row],[AGUAJE ]],Tabla4[#All],5,0)</f>
        <v>889091</v>
      </c>
      <c r="P22" s="221">
        <f>IFERROR(TablaPrincipal[[#This Row],[ANIM SEMBRADOS]]/TablaPrincipal[[#This Row],[HAS]],"-")</f>
        <v>169998.27915869979</v>
      </c>
      <c r="Q22" s="222">
        <f>IFERROR(TablaPrincipal[[#This Row],[DENSIDAD]]/10000,"-")</f>
        <v>16.999827915869979</v>
      </c>
      <c r="R22" s="183" t="str">
        <f>VLOOKUP(TablaPrincipal[[#This Row],[CODIGO]]&amp;TablaPrincipal[[#This Row],[AGUAJE ]],Tabla4[#All],8,0)</f>
        <v>OCEANLAB</v>
      </c>
      <c r="S22" s="183" t="str">
        <f>VLOOKUP(TablaPrincipal[[#This Row],[CODIGO]]&amp;TablaPrincipal[[#This Row],[AGUAJE ]],Tabla4[#All],7,0)</f>
        <v>TEXCUMAR</v>
      </c>
      <c r="T22" s="183" t="str">
        <f>IF(ISNUMBER(FIND("/",TablaPrincipal[[#This Row],[LABORATORIO]])),"COMBINADO","UNICO")</f>
        <v>UNICO</v>
      </c>
      <c r="U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16200</v>
      </c>
      <c r="V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14595.48</v>
      </c>
      <c r="W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30.11</v>
      </c>
      <c r="Y22" s="185">
        <f>IFERROR(TablaPrincipal[[#This Row],[LIBRAS RALEO PLANTA]]/TablaPrincipal[[#This Row],[HAS]],"-")</f>
        <v>2790.72275334608</v>
      </c>
      <c r="Z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253500.11834254646</v>
      </c>
      <c r="AA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30145.59</v>
      </c>
      <c r="AC22" s="186">
        <f>SUMIFS(COSECHAS!F:F,COSECHAS!A:A,'BASE 2026'!AW:AW,COSECHAS!G:G,"="&amp;A:A)</f>
        <v>36</v>
      </c>
      <c r="AD22" s="186">
        <f>SUMIFS(COSECHAS!M:M,COSECHAS!A:A,'BASE 2026'!AW:AW,COSECHAS!G:G,"="&amp;A:A)</f>
        <v>37.049999999999997</v>
      </c>
      <c r="AE22" s="185">
        <f>IFERROR(TablaPrincipal[[#This Row],[LIBRAS PLANTA]]/TablaPrincipal[[#This Row],[HAS]],"-")</f>
        <v>5763.9751434034415</v>
      </c>
      <c r="AF22" s="185">
        <f>IFERROR(TablaPrincipal[[#This Row],[LIBRAS PLANTA]]*454/TablaPrincipal[[#This Row],[GRAMOS PLANTA]],"-")</f>
        <v>369395.35384615388</v>
      </c>
      <c r="AG22" s="185">
        <f>TablaPrincipal[[#This Row],[LIBRAS RALEO PLANTA]]+TablaPrincipal[[#This Row],[LIBRAS PLANTA]]</f>
        <v>44741.07</v>
      </c>
      <c r="AH22" s="185">
        <f>IFERROR(TablaPrincipal[[#This Row],[CAM COSECHADOS RALEO]]+TablaPrincipal[[#This Row],[CAM COSECHADOS]],"-")</f>
        <v>622895.47218870034</v>
      </c>
      <c r="AI22" s="185">
        <f>IFERROR((TablaPrincipal[[#This Row],[LIBRAS RALEO PLANTA]]+TablaPrincipal[[#This Row],[LIBRAS PLANTA]])/TablaPrincipal[[#This Row],[HAS]],"0")</f>
        <v>8554.6978967495215</v>
      </c>
      <c r="AJ22" s="186">
        <f t="shared" si="0"/>
        <v>3.0511764705882354</v>
      </c>
      <c r="AK22" s="186">
        <f>IFERROR(TablaPrincipal[[#This Row],[LBS/HA]]/TablaPrincipal[[#This Row],[DIAS]],"-")</f>
        <v>100.64350466764142</v>
      </c>
      <c r="AL22" s="186">
        <f>IFERROR(TablaPrincipal[[#This Row],[CAM COSECHADOS TOTALES]]/TablaPrincipal[[#This Row],[ANIM SEMBRADOS]]*100,"-")</f>
        <v>70.059810771754556</v>
      </c>
      <c r="AM22" s="185">
        <v>56382.645000000004</v>
      </c>
      <c r="AN22" s="187">
        <f>IFERROR(((TablaPrincipal[[#This Row],[BALANCEADO ACUMULADO (LBS)]]/2.2046)/TablaPrincipal[[#This Row],[HAS]])/TablaPrincipal[[#This Row],[DIAS]],"-")</f>
        <v>57.530086604431446</v>
      </c>
      <c r="AO22" s="184">
        <f>IFERROR(TablaPrincipal[[#This Row],[BALANCEADO ACUMULADO (LBS)]]/TablaPrincipal[[#This Row],[LIBRAS TOTALES]],"-")</f>
        <v>1.2601988508544835</v>
      </c>
      <c r="AP22" s="184" t="s">
        <v>104</v>
      </c>
      <c r="AQ22" s="184" t="s">
        <v>105</v>
      </c>
      <c r="AR22" s="185">
        <f>TablaPrincipal[[#This Row],[LIBRAS RALEO PLANTA]]-TablaPrincipal[[#This Row],[LIBRAS RALEO CAMARONERA]]</f>
        <v>-1604.5200000000004</v>
      </c>
      <c r="AS22" s="185">
        <f>TablaPrincipal[[#This Row],[LIBRAS PLANTA]]-TablaPrincipal[[#This Row],[LIBRAS CAMARONERA]]</f>
        <v>-154.40999999999985</v>
      </c>
      <c r="AT22" s="187">
        <f>TablaPrincipal[[#This Row],[GRAMAJE RALEO PLANTA]]-TablaPrincipal[[#This Row],[GRAMAJE RALEO CAMARONERA]]</f>
        <v>1.1099999999999994</v>
      </c>
      <c r="AU22" s="187">
        <f>TablaPrincipal[[#This Row],[GRAMOS PLANTA]]-TablaPrincipal[[#This Row],[GRAMAJE CAMARONERA]]</f>
        <v>1.0499999999999972</v>
      </c>
      <c r="AV22" s="183" t="str">
        <f>+VLOOKUP(TablaPrincipal[[#This Row],[CODIGO]],TablaCosechas[#All],10,0)</f>
        <v>JOSE CEDEÑO</v>
      </c>
      <c r="AW22" s="183" t="s">
        <v>126</v>
      </c>
      <c r="AX22" s="188" t="str">
        <f>+VLOOKUP(TablaPrincipal[[#This Row],[CODIGO]],TablaCosechas[#All],10,0)</f>
        <v>JOSE CEDEÑO</v>
      </c>
    </row>
    <row r="23" spans="1:50" hidden="1" x14ac:dyDescent="0.25">
      <c r="A23" s="196">
        <v>46030</v>
      </c>
      <c r="B23" s="183">
        <v>21</v>
      </c>
      <c r="C23" s="183">
        <f>YEAR(TablaPrincipal[[#This Row],[FECHA]])</f>
        <v>2026</v>
      </c>
      <c r="D23" s="183" t="s">
        <v>103</v>
      </c>
      <c r="E23" s="183" t="str">
        <f>UPPER(TEXT(TablaPrincipal[[#This Row],[FECHA]],"MMMM"))</f>
        <v>ENERO</v>
      </c>
      <c r="F23" s="183" t="str">
        <f>IFERROR(VLOOKUP(TablaPrincipal[[#This Row],[CODIGO]],COSECHAS!A:J,9,0),"-")</f>
        <v>07</v>
      </c>
      <c r="G23" s="183" t="str">
        <f>IFERROR(VLOOKUP(TablaPrincipal[[#This Row],[CODIGO]],COSECHAS!A:I,8,0),"-")</f>
        <v>DORADO</v>
      </c>
      <c r="H23" s="184">
        <f>IFERROR(VLOOKUP(TablaPrincipal[[#This Row],[CODIGO]],DATOS!A:B,2,0),"-")</f>
        <v>6.31</v>
      </c>
      <c r="I23" s="183" t="str">
        <f>IFERROR(VLOOKUP(TablaPrincipal[[#This Row],[CODIGO]],Tabla8[[#Headers],[#Data]],3,0),"-")</f>
        <v>ASC-BAP</v>
      </c>
      <c r="J23" s="183">
        <f>IFERROR(TablaPrincipal[[#This Row],[FECHA]]-TablaPrincipal[[#This Row],[FECHA DE SIEMBRA]],"-")</f>
        <v>90</v>
      </c>
      <c r="K23" s="196">
        <f>VLOOKUP(TablaPrincipal[[#This Row],[CODIGO]]&amp;TablaPrincipal[[#This Row],[AGUAJE ]],Tabla4[#All],4,0)</f>
        <v>45940</v>
      </c>
      <c r="L23" s="183" t="str">
        <f>VLOOKUP(TablaPrincipal[[#This Row],[CODIGO]]&amp;TablaPrincipal[[#This Row],[AGUAJE ]],Tabla4[#All],15,0)</f>
        <v>DO PC 1</v>
      </c>
      <c r="M23" s="184">
        <f>VLOOKUP(TablaPrincipal[[#This Row],[CODIGO]]&amp;TablaPrincipal[[#This Row],[AGUAJE ]],Tabla4[#All],14,0)</f>
        <v>0.66</v>
      </c>
      <c r="N23" s="183">
        <v>7</v>
      </c>
      <c r="O23" s="170">
        <f>VLOOKUP(TablaPrincipal[[#This Row],[CODIGO]]&amp;TablaPrincipal[[#This Row],[AGUAJE ]],Tabla4[#All],5,0)</f>
        <v>1135800</v>
      </c>
      <c r="P23" s="221">
        <f>IFERROR(TablaPrincipal[[#This Row],[ANIM SEMBRADOS]]/TablaPrincipal[[#This Row],[HAS]],"-")</f>
        <v>180000</v>
      </c>
      <c r="Q23" s="222">
        <f>IFERROR(TablaPrincipal[[#This Row],[DENSIDAD]]/10000,"-")</f>
        <v>18</v>
      </c>
      <c r="R23" s="183" t="str">
        <f>VLOOKUP(TablaPrincipal[[#This Row],[CODIGO]]&amp;TablaPrincipal[[#This Row],[AGUAJE ]],Tabla4[#All],8,0)</f>
        <v>OCEANLAB</v>
      </c>
      <c r="S23" s="183" t="str">
        <f>VLOOKUP(TablaPrincipal[[#This Row],[CODIGO]]&amp;TablaPrincipal[[#This Row],[AGUAJE ]],Tabla4[#All],7,0)</f>
        <v>TEXCUMAR</v>
      </c>
      <c r="T23" s="183" t="str">
        <f>IF(ISNUMBER(FIND("/",TablaPrincipal[[#This Row],[LABORATORIO]])),"COMBINADO","UNICO")</f>
        <v>UNICO</v>
      </c>
      <c r="U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17900</v>
      </c>
      <c r="V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17159.810000000001</v>
      </c>
      <c r="W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27.380000000000003</v>
      </c>
      <c r="Y23" s="185">
        <f>IFERROR(TablaPrincipal[[#This Row],[LIBRAS RALEO PLANTA]]/TablaPrincipal[[#This Row],[HAS]],"-")</f>
        <v>2719.4627575277341</v>
      </c>
      <c r="Z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288972.91948816023</v>
      </c>
      <c r="AA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37600</v>
      </c>
      <c r="AB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38405.839999999997</v>
      </c>
      <c r="AC23" s="186">
        <f>SUMIFS(COSECHAS!F:F,COSECHAS!A:A,'BASE 2026'!AW:AW,COSECHAS!G:G,"="&amp;A:A)</f>
        <v>30</v>
      </c>
      <c r="AD23" s="186">
        <f>SUMIFS(COSECHAS!M:M,COSECHAS!A:A,'BASE 2026'!AW:AW,COSECHAS!G:G,"="&amp;A:A)</f>
        <v>30.16</v>
      </c>
      <c r="AE23" s="185">
        <f>IFERROR(TablaPrincipal[[#This Row],[LIBRAS PLANTA]]/TablaPrincipal[[#This Row],[HAS]],"-")</f>
        <v>6086.5039619651343</v>
      </c>
      <c r="AF23" s="185">
        <f>IFERROR(TablaPrincipal[[#This Row],[LIBRAS PLANTA]]*454/TablaPrincipal[[#This Row],[GRAMOS PLANTA]],"-")</f>
        <v>578125.04509283812</v>
      </c>
      <c r="AG23" s="185">
        <f>TablaPrincipal[[#This Row],[LIBRAS RALEO PLANTA]]+TablaPrincipal[[#This Row],[LIBRAS PLANTA]]</f>
        <v>55565.649999999994</v>
      </c>
      <c r="AH23" s="185">
        <f>IFERROR(TablaPrincipal[[#This Row],[CAM COSECHADOS RALEO]]+TablaPrincipal[[#This Row],[CAM COSECHADOS]],"-")</f>
        <v>867097.96458099829</v>
      </c>
      <c r="AI23" s="185">
        <f>IFERROR((TablaPrincipal[[#This Row],[LIBRAS RALEO PLANTA]]+TablaPrincipal[[#This Row],[LIBRAS PLANTA]])/TablaPrincipal[[#This Row],[HAS]],"0")</f>
        <v>8805.9667194928679</v>
      </c>
      <c r="AJ23" s="186">
        <f t="shared" si="0"/>
        <v>2.3457777777777777</v>
      </c>
      <c r="AK23" s="186">
        <f>IFERROR(TablaPrincipal[[#This Row],[LBS/HA]]/TablaPrincipal[[#This Row],[DIAS]],"-")</f>
        <v>97.844074661031868</v>
      </c>
      <c r="AL23" s="186">
        <f>IFERROR(TablaPrincipal[[#This Row],[CAM COSECHADOS TOTALES]]/TablaPrincipal[[#This Row],[ANIM SEMBRADOS]]*100,"-")</f>
        <v>76.342486756559097</v>
      </c>
      <c r="AM23" s="185">
        <v>74239.904999999999</v>
      </c>
      <c r="AN23" s="187">
        <f>IFERROR(((TablaPrincipal[[#This Row],[BALANCEADO ACUMULADO (LBS)]]/2.2046)/TablaPrincipal[[#This Row],[HAS]])/TablaPrincipal[[#This Row],[DIAS]],"-")</f>
        <v>59.297411516112</v>
      </c>
      <c r="AO23" s="184">
        <f>IFERROR(TablaPrincipal[[#This Row],[BALANCEADO ACUMULADO (LBS)]]/TablaPrincipal[[#This Row],[LIBRAS TOTALES]],"-")</f>
        <v>1.3360755250770937</v>
      </c>
      <c r="AP23" s="184" t="s">
        <v>104</v>
      </c>
      <c r="AQ23" s="184" t="s">
        <v>105</v>
      </c>
      <c r="AR23" s="185">
        <f>TablaPrincipal[[#This Row],[LIBRAS RALEO PLANTA]]-TablaPrincipal[[#This Row],[LIBRAS RALEO CAMARONERA]]</f>
        <v>-740.18999999999869</v>
      </c>
      <c r="AS23" s="185">
        <f>TablaPrincipal[[#This Row],[LIBRAS PLANTA]]-TablaPrincipal[[#This Row],[LIBRAS CAMARONERA]]</f>
        <v>805.83999999999651</v>
      </c>
      <c r="AT23" s="187">
        <f>TablaPrincipal[[#This Row],[GRAMAJE RALEO PLANTA]]-TablaPrincipal[[#This Row],[GRAMAJE RALEO CAMARONERA]]</f>
        <v>1.3800000000000026</v>
      </c>
      <c r="AU23" s="187">
        <f>TablaPrincipal[[#This Row],[GRAMOS PLANTA]]-TablaPrincipal[[#This Row],[GRAMAJE CAMARONERA]]</f>
        <v>0.16000000000000014</v>
      </c>
      <c r="AV23" s="183" t="str">
        <f>+VLOOKUP(TablaPrincipal[[#This Row],[CODIGO]],TablaCosechas[#All],10,0)</f>
        <v>JOSE CEDEÑO</v>
      </c>
      <c r="AW23" s="183" t="s">
        <v>127</v>
      </c>
      <c r="AX23" s="188" t="str">
        <f>+VLOOKUP(TablaPrincipal[[#This Row],[CODIGO]],TablaCosechas[#All],10,0)</f>
        <v>JOSE CEDEÑO</v>
      </c>
    </row>
    <row r="24" spans="1:50" hidden="1" x14ac:dyDescent="0.25">
      <c r="A24" s="196">
        <v>46030</v>
      </c>
      <c r="B24" s="183">
        <v>22</v>
      </c>
      <c r="C24" s="183">
        <f>YEAR(TablaPrincipal[[#This Row],[FECHA]])</f>
        <v>2026</v>
      </c>
      <c r="D24" s="183" t="s">
        <v>103</v>
      </c>
      <c r="E24" s="183" t="str">
        <f>UPPER(TEXT(TablaPrincipal[[#This Row],[FECHA]],"MMMM"))</f>
        <v>ENERO</v>
      </c>
      <c r="F24" s="183" t="str">
        <f>IFERROR(VLOOKUP(TablaPrincipal[[#This Row],[CODIGO]],COSECHAS!A:J,9,0),"-")</f>
        <v>14</v>
      </c>
      <c r="G24" s="183" t="str">
        <f>IFERROR(VLOOKUP(TablaPrincipal[[#This Row],[CODIGO]],COSECHAS!A:I,8,0),"-")</f>
        <v>PAMPANO</v>
      </c>
      <c r="H24" s="184">
        <f>IFERROR(VLOOKUP(TablaPrincipal[[#This Row],[CODIGO]],DATOS!A:B,2,0),"-")</f>
        <v>11</v>
      </c>
      <c r="I24" s="183" t="str">
        <f>IFERROR(VLOOKUP(TablaPrincipal[[#This Row],[CODIGO]],Tabla8[[#Headers],[#Data]],3,0),"-")</f>
        <v>ASC-BAP</v>
      </c>
      <c r="J24" s="183">
        <f>IFERROR(TablaPrincipal[[#This Row],[FECHA]]-TablaPrincipal[[#This Row],[FECHA DE SIEMBRA]],"-")</f>
        <v>77</v>
      </c>
      <c r="K24" s="196">
        <f>VLOOKUP(TablaPrincipal[[#This Row],[CODIGO]]&amp;TablaPrincipal[[#This Row],[AGUAJE ]],Tabla4[#All],4,0)</f>
        <v>45953</v>
      </c>
      <c r="L24" s="183" t="str">
        <f>VLOOKUP(TablaPrincipal[[#This Row],[CODIGO]]&amp;TablaPrincipal[[#This Row],[AGUAJE ]],Tabla4[#All],15,0)</f>
        <v>PA PS 13</v>
      </c>
      <c r="M24" s="184">
        <f>VLOOKUP(TablaPrincipal[[#This Row],[CODIGO]]&amp;TablaPrincipal[[#This Row],[AGUAJE ]],Tabla4[#All],14,0)</f>
        <v>4</v>
      </c>
      <c r="N24" s="183">
        <v>7</v>
      </c>
      <c r="O24" s="170">
        <f>VLOOKUP(TablaPrincipal[[#This Row],[CODIGO]]&amp;TablaPrincipal[[#This Row],[AGUAJE ]],Tabla4[#All],5,0)</f>
        <v>1520000</v>
      </c>
      <c r="P24" s="221">
        <f>IFERROR(TablaPrincipal[[#This Row],[ANIM SEMBRADOS]]/TablaPrincipal[[#This Row],[HAS]],"-")</f>
        <v>138181.81818181818</v>
      </c>
      <c r="Q24" s="222">
        <f>IFERROR(TablaPrincipal[[#This Row],[DENSIDAD]]/10000,"-")</f>
        <v>13.818181818181818</v>
      </c>
      <c r="R24" s="183" t="str">
        <f>VLOOKUP(TablaPrincipal[[#This Row],[CODIGO]]&amp;TablaPrincipal[[#This Row],[AGUAJE ]],Tabla4[#All],8,0)</f>
        <v>OCEANLAB</v>
      </c>
      <c r="S24" s="183" t="str">
        <f>VLOOKUP(TablaPrincipal[[#This Row],[CODIGO]]&amp;TablaPrincipal[[#This Row],[AGUAJE ]],Tabla4[#All],7,0)</f>
        <v>TEXCUMAR</v>
      </c>
      <c r="T24" s="183" t="str">
        <f>IF(ISNUMBER(FIND("/",TablaPrincipal[[#This Row],[LABORATORIO]])),"COMBINADO","UNICO")</f>
        <v>UNICO</v>
      </c>
      <c r="U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19000</v>
      </c>
      <c r="V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18395.86</v>
      </c>
      <c r="W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19.39</v>
      </c>
      <c r="Y24" s="185">
        <f>IFERROR(TablaPrincipal[[#This Row],[LIBRAS RALEO PLANTA]]/TablaPrincipal[[#This Row],[HAS]],"-")</f>
        <v>1672.3509090909092</v>
      </c>
      <c r="Z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428009.5683838554</v>
      </c>
      <c r="AA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43400</v>
      </c>
      <c r="AB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41661.11</v>
      </c>
      <c r="AC24" s="186">
        <f>SUMIFS(COSECHAS!F:F,COSECHAS!A:A,'BASE 2026'!AW:AW,COSECHAS!G:G,"="&amp;A:A)</f>
        <v>34</v>
      </c>
      <c r="AD24" s="186">
        <f>SUMIFS(COSECHAS!M:M,COSECHAS!A:A,'BASE 2026'!AW:AW,COSECHAS!G:G,"="&amp;A:A)</f>
        <v>34.44</v>
      </c>
      <c r="AE24" s="185">
        <f>IFERROR(TablaPrincipal[[#This Row],[LIBRAS PLANTA]]/TablaPrincipal[[#This Row],[HAS]],"-")</f>
        <v>3787.3736363636363</v>
      </c>
      <c r="AF24" s="185">
        <f>IFERROR(TablaPrincipal[[#This Row],[LIBRAS PLANTA]]*454/TablaPrincipal[[#This Row],[GRAMOS PLANTA]],"-")</f>
        <v>549191.1713124275</v>
      </c>
      <c r="AG24" s="185">
        <f>TablaPrincipal[[#This Row],[LIBRAS RALEO PLANTA]]+TablaPrincipal[[#This Row],[LIBRAS PLANTA]]</f>
        <v>60056.97</v>
      </c>
      <c r="AH24" s="185">
        <f>IFERROR(TablaPrincipal[[#This Row],[CAM COSECHADOS RALEO]]+TablaPrincipal[[#This Row],[CAM COSECHADOS]],"-")</f>
        <v>977200.73969628289</v>
      </c>
      <c r="AI24" s="185">
        <f>IFERROR((TablaPrincipal[[#This Row],[LIBRAS RALEO PLANTA]]+TablaPrincipal[[#This Row],[LIBRAS PLANTA]])/TablaPrincipal[[#This Row],[HAS]],"0")</f>
        <v>5459.7245454545455</v>
      </c>
      <c r="AJ24" s="186">
        <f t="shared" si="0"/>
        <v>3.1309090909090909</v>
      </c>
      <c r="AK24" s="186">
        <f>IFERROR(TablaPrincipal[[#This Row],[LBS/HA]]/TablaPrincipal[[#This Row],[DIAS]],"-")</f>
        <v>70.90551357733176</v>
      </c>
      <c r="AL24" s="186">
        <f>IFERROR(TablaPrincipal[[#This Row],[CAM COSECHADOS TOTALES]]/TablaPrincipal[[#This Row],[ANIM SEMBRADOS]]*100,"-")</f>
        <v>64.289522348439661</v>
      </c>
      <c r="AM24" s="185">
        <v>72751.8</v>
      </c>
      <c r="AN24" s="187">
        <f>IFERROR(((TablaPrincipal[[#This Row],[BALANCEADO ACUMULADO (LBS)]]/2.2046)/TablaPrincipal[[#This Row],[HAS]])/TablaPrincipal[[#This Row],[DIAS]],"-")</f>
        <v>38.961038961038959</v>
      </c>
      <c r="AO24" s="184">
        <f>IFERROR(TablaPrincipal[[#This Row],[BALANCEADO ACUMULADO (LBS)]]/TablaPrincipal[[#This Row],[LIBRAS TOTALES]],"-")</f>
        <v>1.2113797948847569</v>
      </c>
      <c r="AP24" s="184" t="s">
        <v>108</v>
      </c>
      <c r="AQ24" s="184" t="s">
        <v>105</v>
      </c>
      <c r="AR24" s="185">
        <f>TablaPrincipal[[#This Row],[LIBRAS RALEO PLANTA]]-TablaPrincipal[[#This Row],[LIBRAS RALEO CAMARONERA]]</f>
        <v>-604.13999999999942</v>
      </c>
      <c r="AS24" s="185">
        <f>TablaPrincipal[[#This Row],[LIBRAS PLANTA]]-TablaPrincipal[[#This Row],[LIBRAS CAMARONERA]]</f>
        <v>-1738.8899999999994</v>
      </c>
      <c r="AT24" s="187">
        <f>TablaPrincipal[[#This Row],[GRAMAJE RALEO PLANTA]]-TablaPrincipal[[#This Row],[GRAMAJE RALEO CAMARONERA]]</f>
        <v>0.39000000000000057</v>
      </c>
      <c r="AU24" s="187">
        <f>TablaPrincipal[[#This Row],[GRAMOS PLANTA]]-TablaPrincipal[[#This Row],[GRAMAJE CAMARONERA]]</f>
        <v>0.43999999999999773</v>
      </c>
      <c r="AV24" s="183" t="str">
        <f>+VLOOKUP(TablaPrincipal[[#This Row],[CODIGO]],TablaCosechas[#All],10,0)</f>
        <v>GUSTAVO CARRASCO</v>
      </c>
      <c r="AW24" s="183" t="s">
        <v>128</v>
      </c>
      <c r="AX24" s="188" t="str">
        <f>+VLOOKUP(TablaPrincipal[[#This Row],[CODIGO]],TablaCosechas[#All],10,0)</f>
        <v>GUSTAVO CARRASCO</v>
      </c>
    </row>
    <row r="25" spans="1:50" hidden="1" x14ac:dyDescent="0.25">
      <c r="A25" s="196">
        <v>46030</v>
      </c>
      <c r="B25" s="183">
        <v>23</v>
      </c>
      <c r="C25" s="183">
        <f>YEAR(TablaPrincipal[[#This Row],[FECHA]])</f>
        <v>2026</v>
      </c>
      <c r="D25" s="183" t="s">
        <v>103</v>
      </c>
      <c r="E25" s="183" t="str">
        <f>UPPER(TEXT(TablaPrincipal[[#This Row],[FECHA]],"MMMM"))</f>
        <v>ENERO</v>
      </c>
      <c r="F25" s="183" t="str">
        <f>IFERROR(VLOOKUP(TablaPrincipal[[#This Row],[CODIGO]],COSECHAS!A:J,9,0),"-")</f>
        <v>11</v>
      </c>
      <c r="G25" s="183" t="str">
        <f>IFERROR(VLOOKUP(TablaPrincipal[[#This Row],[CODIGO]],COSECHAS!A:I,8,0),"-")</f>
        <v>ROBALO</v>
      </c>
      <c r="H25" s="184">
        <f>IFERROR(VLOOKUP(TablaPrincipal[[#This Row],[CODIGO]],DATOS!A:B,2,0),"-")</f>
        <v>2</v>
      </c>
      <c r="I25" s="183" t="str">
        <f>IFERROR(VLOOKUP(TablaPrincipal[[#This Row],[CODIGO]],Tabla8[[#Headers],[#Data]],3,0),"-")</f>
        <v>ASC-BAP</v>
      </c>
      <c r="J25" s="183">
        <f>IFERROR(TablaPrincipal[[#This Row],[FECHA]]-TablaPrincipal[[#This Row],[FECHA DE SIEMBRA]],"-")</f>
        <v>89</v>
      </c>
      <c r="K25" s="196">
        <f>VLOOKUP(TablaPrincipal[[#This Row],[CODIGO]]&amp;TablaPrincipal[[#This Row],[AGUAJE ]],Tabla4[#All],4,0)</f>
        <v>45941</v>
      </c>
      <c r="L25" s="183" t="str">
        <f>VLOOKUP(TablaPrincipal[[#This Row],[CODIGO]]&amp;TablaPrincipal[[#This Row],[AGUAJE ]],Tabla4[#All],15,0)</f>
        <v>RO PC 16</v>
      </c>
      <c r="M25" s="184">
        <f>VLOOKUP(TablaPrincipal[[#This Row],[CODIGO]]&amp;TablaPrincipal[[#This Row],[AGUAJE ]],Tabla4[#All],14,0)</f>
        <v>0.55000000000000004</v>
      </c>
      <c r="N25" s="183">
        <v>11</v>
      </c>
      <c r="O25" s="170">
        <f>VLOOKUP(TablaPrincipal[[#This Row],[CODIGO]]&amp;TablaPrincipal[[#This Row],[AGUAJE ]],Tabla4[#All],5,0)</f>
        <v>380000</v>
      </c>
      <c r="P25" s="221">
        <f>IFERROR(TablaPrincipal[[#This Row],[ANIM SEMBRADOS]]/TablaPrincipal[[#This Row],[HAS]],"-")</f>
        <v>190000</v>
      </c>
      <c r="Q25" s="222">
        <f>IFERROR(TablaPrincipal[[#This Row],[DENSIDAD]]/10000,"-")</f>
        <v>19</v>
      </c>
      <c r="R25" s="183" t="str">
        <f>VLOOKUP(TablaPrincipal[[#This Row],[CODIGO]]&amp;TablaPrincipal[[#This Row],[AGUAJE ]],Tabla4[#All],8,0)</f>
        <v>ACUATECSA</v>
      </c>
      <c r="S25" s="183" t="str">
        <f>VLOOKUP(TablaPrincipal[[#This Row],[CODIGO]]&amp;TablaPrincipal[[#This Row],[AGUAJE ]],Tabla4[#All],7,0)</f>
        <v>TEXCUMAR</v>
      </c>
      <c r="T25" s="183" t="str">
        <f>IF(ISNUMBER(FIND("/",TablaPrincipal[[#This Row],[LABORATORIO]])),"COMBINADO","UNICO")</f>
        <v>UNICO</v>
      </c>
      <c r="U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6150</v>
      </c>
      <c r="V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6569.91</v>
      </c>
      <c r="W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26.39</v>
      </c>
      <c r="Y25" s="185">
        <f>IFERROR(TablaPrincipal[[#This Row],[LIBRAS RALEO PLANTA]]/TablaPrincipal[[#This Row],[HAS]],"-")</f>
        <v>3284.9549999999999</v>
      </c>
      <c r="Z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110527.78038351843</v>
      </c>
      <c r="AA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11876.39</v>
      </c>
      <c r="AC25" s="186">
        <f>SUMIFS(COSECHAS!F:F,COSECHAS!A:A,'BASE 2026'!AW:AW,COSECHAS!G:G,"="&amp;A:A)</f>
        <v>36</v>
      </c>
      <c r="AD25" s="186">
        <f>SUMIFS(COSECHAS!M:M,COSECHAS!A:A,'BASE 2026'!AW:AW,COSECHAS!G:G,"="&amp;A:A)</f>
        <v>37.83</v>
      </c>
      <c r="AE25" s="185">
        <f>IFERROR(TablaPrincipal[[#This Row],[LIBRAS PLANTA]]/TablaPrincipal[[#This Row],[HAS]],"-")</f>
        <v>5938.1949999999997</v>
      </c>
      <c r="AF25" s="185">
        <f>IFERROR(TablaPrincipal[[#This Row],[LIBRAS PLANTA]]*454/TablaPrincipal[[#This Row],[GRAMOS PLANTA]],"-")</f>
        <v>142529.237642083</v>
      </c>
      <c r="AG25" s="185">
        <f>TablaPrincipal[[#This Row],[LIBRAS RALEO PLANTA]]+TablaPrincipal[[#This Row],[LIBRAS PLANTA]]</f>
        <v>18446.3</v>
      </c>
      <c r="AH25" s="185">
        <f>IFERROR(TablaPrincipal[[#This Row],[CAM COSECHADOS RALEO]]+TablaPrincipal[[#This Row],[CAM COSECHADOS]],"-")</f>
        <v>253057.01802560143</v>
      </c>
      <c r="AI25" s="185">
        <f>IFERROR((TablaPrincipal[[#This Row],[LIBRAS RALEO PLANTA]]+TablaPrincipal[[#This Row],[LIBRAS PLANTA]])/TablaPrincipal[[#This Row],[HAS]],"0")</f>
        <v>9223.15</v>
      </c>
      <c r="AJ25" s="186">
        <f t="shared" si="0"/>
        <v>2.9753932584269664</v>
      </c>
      <c r="AK25" s="186">
        <f>IFERROR(TablaPrincipal[[#This Row],[LBS/HA]]/TablaPrincipal[[#This Row],[DIAS]],"-")</f>
        <v>103.63089887640449</v>
      </c>
      <c r="AL25" s="186">
        <f>IFERROR(TablaPrincipal[[#This Row],[CAM COSECHADOS TOTALES]]/TablaPrincipal[[#This Row],[ANIM SEMBRADOS]]*100,"-")</f>
        <v>66.59395211200038</v>
      </c>
      <c r="AM25" s="185">
        <v>27237.833000000002</v>
      </c>
      <c r="AN25" s="187">
        <f>IFERROR(((TablaPrincipal[[#This Row],[BALANCEADO ACUMULADO (LBS)]]/2.2046)/TablaPrincipal[[#This Row],[HAS]])/TablaPrincipal[[#This Row],[DIAS]],"-")</f>
        <v>69.410112359550567</v>
      </c>
      <c r="AO25" s="184">
        <f>IFERROR(TablaPrincipal[[#This Row],[BALANCEADO ACUMULADO (LBS)]]/TablaPrincipal[[#This Row],[LIBRAS TOTALES]],"-")</f>
        <v>1.4766014322655494</v>
      </c>
      <c r="AP25" s="184" t="s">
        <v>104</v>
      </c>
      <c r="AQ25" s="184" t="s">
        <v>105</v>
      </c>
      <c r="AR25" s="185">
        <f>TablaPrincipal[[#This Row],[LIBRAS RALEO PLANTA]]-TablaPrincipal[[#This Row],[LIBRAS RALEO CAMARONERA]]</f>
        <v>419.90999999999985</v>
      </c>
      <c r="AS25" s="185">
        <f>TablaPrincipal[[#This Row],[LIBRAS PLANTA]]-TablaPrincipal[[#This Row],[LIBRAS CAMARONERA]]</f>
        <v>676.38999999999942</v>
      </c>
      <c r="AT25" s="187">
        <f>TablaPrincipal[[#This Row],[GRAMAJE RALEO PLANTA]]-TablaPrincipal[[#This Row],[GRAMAJE RALEO CAMARONERA]]</f>
        <v>2.3900000000000006</v>
      </c>
      <c r="AU25" s="187">
        <f>TablaPrincipal[[#This Row],[GRAMOS PLANTA]]-TablaPrincipal[[#This Row],[GRAMAJE CAMARONERA]]</f>
        <v>1.8299999999999983</v>
      </c>
      <c r="AV25" s="183" t="str">
        <f>+VLOOKUP(TablaPrincipal[[#This Row],[CODIGO]],TablaCosechas[#All],10,0)</f>
        <v>VICTOR QUINTANA</v>
      </c>
      <c r="AW25" s="183" t="s">
        <v>129</v>
      </c>
      <c r="AX25" s="188" t="str">
        <f>+VLOOKUP(TablaPrincipal[[#This Row],[CODIGO]],TablaCosechas[#All],10,0)</f>
        <v>VICTOR QUINTANA</v>
      </c>
    </row>
    <row r="26" spans="1:50" hidden="1" x14ac:dyDescent="0.25">
      <c r="A26" s="196">
        <v>46031</v>
      </c>
      <c r="B26" s="183">
        <v>24</v>
      </c>
      <c r="C26" s="183">
        <f>YEAR(TablaPrincipal[[#This Row],[FECHA]])</f>
        <v>2026</v>
      </c>
      <c r="D26" s="183" t="s">
        <v>103</v>
      </c>
      <c r="E26" s="183" t="str">
        <f>UPPER(TEXT(TablaPrincipal[[#This Row],[FECHA]],"MMMM"))</f>
        <v>ENERO</v>
      </c>
      <c r="F26" s="183" t="str">
        <f>IFERROR(VLOOKUP(TablaPrincipal[[#This Row],[CODIGO]],COSECHAS!A:J,9,0),"-")</f>
        <v>27</v>
      </c>
      <c r="G26" s="183" t="str">
        <f>IFERROR(VLOOKUP(TablaPrincipal[[#This Row],[CODIGO]],COSECHAS!A:I,8,0),"-")</f>
        <v>DELFIN</v>
      </c>
      <c r="H26" s="184">
        <f>IFERROR(VLOOKUP(TablaPrincipal[[#This Row],[CODIGO]],DATOS!A:B,2,0),"-")</f>
        <v>13.5</v>
      </c>
      <c r="I26" s="183" t="str">
        <f>IFERROR(VLOOKUP(TablaPrincipal[[#This Row],[CODIGO]],Tabla8[[#Headers],[#Data]],3,0),"-")</f>
        <v>CONVENCIONAL</v>
      </c>
      <c r="J26" s="183">
        <f>IFERROR(TablaPrincipal[[#This Row],[FECHA]]-TablaPrincipal[[#This Row],[FECHA DE SIEMBRA]],"-")</f>
        <v>93</v>
      </c>
      <c r="K26" s="196">
        <f>VLOOKUP(TablaPrincipal[[#This Row],[CODIGO]]&amp;TablaPrincipal[[#This Row],[AGUAJE ]],Tabla4[#All],4,0)</f>
        <v>45938</v>
      </c>
      <c r="L26" s="183" t="str">
        <f>VLOOKUP(TablaPrincipal[[#This Row],[CODIGO]]&amp;TablaPrincipal[[#This Row],[AGUAJE ]],Tabla4[#All],15,0)</f>
        <v>DE PC 17</v>
      </c>
      <c r="M26" s="184">
        <f>VLOOKUP(TablaPrincipal[[#This Row],[CODIGO]]&amp;TablaPrincipal[[#This Row],[AGUAJE ]],Tabla4[#All],14,0)</f>
        <v>0.65</v>
      </c>
      <c r="N26" s="183">
        <v>6</v>
      </c>
      <c r="O26" s="170">
        <f>VLOOKUP(TablaPrincipal[[#This Row],[CODIGO]]&amp;TablaPrincipal[[#This Row],[AGUAJE ]],Tabla4[#All],5,0)</f>
        <v>2160000</v>
      </c>
      <c r="P26" s="221">
        <f>IFERROR(TablaPrincipal[[#This Row],[ANIM SEMBRADOS]]/TablaPrincipal[[#This Row],[HAS]],"-")</f>
        <v>160000</v>
      </c>
      <c r="Q26" s="222">
        <f>IFERROR(TablaPrincipal[[#This Row],[DENSIDAD]]/10000,"-")</f>
        <v>16</v>
      </c>
      <c r="R26" s="183" t="str">
        <f>VLOOKUP(TablaPrincipal[[#This Row],[CODIGO]]&amp;TablaPrincipal[[#This Row],[AGUAJE ]],Tabla4[#All],8,0)</f>
        <v>ACUATECSA</v>
      </c>
      <c r="S26" s="183" t="str">
        <f>VLOOKUP(TablaPrincipal[[#This Row],[CODIGO]]&amp;TablaPrincipal[[#This Row],[AGUAJE ]],Tabla4[#All],7,0)</f>
        <v>TEXCUMAR</v>
      </c>
      <c r="T26" s="183" t="str">
        <f>IF(ISNUMBER(FIND("/",TablaPrincipal[[#This Row],[LABORATORIO]])),"COMBINADO","UNICO")</f>
        <v>UNICO</v>
      </c>
      <c r="U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14400</v>
      </c>
      <c r="V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14234.75</v>
      </c>
      <c r="W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24.72</v>
      </c>
      <c r="Y26" s="185">
        <f>IFERROR(TablaPrincipal[[#This Row],[LIBRAS RALEO PLANTA]]/TablaPrincipal[[#This Row],[HAS]],"-")</f>
        <v>1054.4259259259259</v>
      </c>
      <c r="Z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261431.08818770229</v>
      </c>
      <c r="AA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67400</v>
      </c>
      <c r="AB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71890.450000000012</v>
      </c>
      <c r="AC26" s="186">
        <f>SUMIFS(COSECHAS!F:F,COSECHAS!A:A,'BASE 2026'!AW:AW,COSECHAS!G:G,"="&amp;A:A)</f>
        <v>37</v>
      </c>
      <c r="AD26" s="186">
        <f>SUMIFS(COSECHAS!M:M,COSECHAS!A:A,'BASE 2026'!AW:AW,COSECHAS!G:G,"="&amp;A:A)</f>
        <v>36.86</v>
      </c>
      <c r="AE26" s="185">
        <f>IFERROR(TablaPrincipal[[#This Row],[LIBRAS PLANTA]]/TablaPrincipal[[#This Row],[HAS]],"-")</f>
        <v>5325.218518518519</v>
      </c>
      <c r="AF26" s="185">
        <f>IFERROR(TablaPrincipal[[#This Row],[LIBRAS PLANTA]]*454/TablaPrincipal[[#This Row],[GRAMOS PLANTA]],"-")</f>
        <v>885465.66196418891</v>
      </c>
      <c r="AG26" s="185">
        <f>TablaPrincipal[[#This Row],[LIBRAS RALEO PLANTA]]+TablaPrincipal[[#This Row],[LIBRAS PLANTA]]</f>
        <v>86125.200000000012</v>
      </c>
      <c r="AH26" s="185">
        <f>IFERROR(TablaPrincipal[[#This Row],[CAM COSECHADOS RALEO]]+TablaPrincipal[[#This Row],[CAM COSECHADOS]],"-")</f>
        <v>1146896.7501518913</v>
      </c>
      <c r="AI26" s="185">
        <f>IFERROR((TablaPrincipal[[#This Row],[LIBRAS RALEO PLANTA]]+TablaPrincipal[[#This Row],[LIBRAS PLANTA]])/TablaPrincipal[[#This Row],[HAS]],"0")</f>
        <v>6379.6444444444451</v>
      </c>
      <c r="AJ26" s="186">
        <f t="shared" si="0"/>
        <v>2.7744086021505376</v>
      </c>
      <c r="AK26" s="186">
        <f>IFERROR(TablaPrincipal[[#This Row],[LBS/HA]]/TablaPrincipal[[#This Row],[DIAS]],"-")</f>
        <v>68.598327359617684</v>
      </c>
      <c r="AL26" s="186">
        <f>IFERROR(TablaPrincipal[[#This Row],[CAM COSECHADOS TOTALES]]/TablaPrincipal[[#This Row],[ANIM SEMBRADOS]]*100,"-")</f>
        <v>53.097071766291258</v>
      </c>
      <c r="AM26" s="185">
        <v>123071.79500000001</v>
      </c>
      <c r="AN26" s="187">
        <f>IFERROR(((TablaPrincipal[[#This Row],[BALANCEADO ACUMULADO (LBS)]]/2.2046)/TablaPrincipal[[#This Row],[HAS]])/TablaPrincipal[[#This Row],[DIAS]],"-")</f>
        <v>44.46435682994823</v>
      </c>
      <c r="AO26" s="184">
        <f>IFERROR(TablaPrincipal[[#This Row],[BALANCEADO ACUMULADO (LBS)]]/TablaPrincipal[[#This Row],[LIBRAS TOTALES]],"-")</f>
        <v>1.428987044442277</v>
      </c>
      <c r="AP26" s="184" t="s">
        <v>104</v>
      </c>
      <c r="AQ26" s="184" t="s">
        <v>105</v>
      </c>
      <c r="AR26" s="185">
        <f>TablaPrincipal[[#This Row],[LIBRAS RALEO PLANTA]]-TablaPrincipal[[#This Row],[LIBRAS RALEO CAMARONERA]]</f>
        <v>-165.25</v>
      </c>
      <c r="AS26" s="185">
        <f>TablaPrincipal[[#This Row],[LIBRAS PLANTA]]-TablaPrincipal[[#This Row],[LIBRAS CAMARONERA]]</f>
        <v>4490.4500000000116</v>
      </c>
      <c r="AT26" s="187">
        <f>TablaPrincipal[[#This Row],[GRAMAJE RALEO PLANTA]]-TablaPrincipal[[#This Row],[GRAMAJE RALEO CAMARONERA]]</f>
        <v>1.7199999999999989</v>
      </c>
      <c r="AU26" s="187">
        <f>TablaPrincipal[[#This Row],[GRAMOS PLANTA]]-TablaPrincipal[[#This Row],[GRAMAJE CAMARONERA]]</f>
        <v>-0.14000000000000057</v>
      </c>
      <c r="AV26" s="183" t="str">
        <f>+VLOOKUP(TablaPrincipal[[#This Row],[CODIGO]],TablaCosechas[#All],10,0)</f>
        <v>CARLOS FLORES</v>
      </c>
      <c r="AW26" s="183" t="s">
        <v>130</v>
      </c>
      <c r="AX26" s="188" t="str">
        <f>+VLOOKUP(TablaPrincipal[[#This Row],[CODIGO]],TablaCosechas[#All],10,0)</f>
        <v>CARLOS FLORES</v>
      </c>
    </row>
    <row r="27" spans="1:50" hidden="1" x14ac:dyDescent="0.25">
      <c r="A27" s="196">
        <v>46031</v>
      </c>
      <c r="B27" s="183">
        <v>25</v>
      </c>
      <c r="C27" s="183">
        <f>YEAR(TablaPrincipal[[#This Row],[FECHA]])</f>
        <v>2026</v>
      </c>
      <c r="D27" s="183" t="s">
        <v>103</v>
      </c>
      <c r="E27" s="183" t="str">
        <f>UPPER(TEXT(TablaPrincipal[[#This Row],[FECHA]],"MMMM"))</f>
        <v>ENERO</v>
      </c>
      <c r="F27" s="183" t="str">
        <f>IFERROR(VLOOKUP(TablaPrincipal[[#This Row],[CODIGO]],COSECHAS!A:J,9,0),"-")</f>
        <v>13</v>
      </c>
      <c r="G27" s="183" t="str">
        <f>IFERROR(VLOOKUP(TablaPrincipal[[#This Row],[CODIGO]],COSECHAS!A:I,8,0),"-")</f>
        <v>ROBALO</v>
      </c>
      <c r="H27" s="184">
        <f>IFERROR(VLOOKUP(TablaPrincipal[[#This Row],[CODIGO]],DATOS!A:B,2,0),"-")</f>
        <v>4.8</v>
      </c>
      <c r="I27" s="183" t="str">
        <f>IFERROR(VLOOKUP(TablaPrincipal[[#This Row],[CODIGO]],Tabla8[[#Headers],[#Data]],3,0),"-")</f>
        <v>ASC-BAP</v>
      </c>
      <c r="J27" s="183">
        <f>IFERROR(TablaPrincipal[[#This Row],[FECHA]]-TablaPrincipal[[#This Row],[FECHA DE SIEMBRA]],"-")</f>
        <v>90</v>
      </c>
      <c r="K27" s="196">
        <f>VLOOKUP(TablaPrincipal[[#This Row],[CODIGO]]&amp;TablaPrincipal[[#This Row],[AGUAJE ]],Tabla4[#All],4,0)</f>
        <v>45941</v>
      </c>
      <c r="L27" s="183" t="str">
        <f>VLOOKUP(TablaPrincipal[[#This Row],[CODIGO]]&amp;TablaPrincipal[[#This Row],[AGUAJE ]],Tabla4[#All],15,0)</f>
        <v>RO PC 16</v>
      </c>
      <c r="M27" s="184">
        <f>VLOOKUP(TablaPrincipal[[#This Row],[CODIGO]]&amp;TablaPrincipal[[#This Row],[AGUAJE ]],Tabla4[#All],14,0)</f>
        <v>0.55000000000000004</v>
      </c>
      <c r="N27" s="183">
        <v>10</v>
      </c>
      <c r="O27" s="170">
        <f>VLOOKUP(TablaPrincipal[[#This Row],[CODIGO]]&amp;TablaPrincipal[[#This Row],[AGUAJE ]],Tabla4[#All],5,0)</f>
        <v>864000</v>
      </c>
      <c r="P27" s="221">
        <f>IFERROR(TablaPrincipal[[#This Row],[ANIM SEMBRADOS]]/TablaPrincipal[[#This Row],[HAS]],"-")</f>
        <v>180000</v>
      </c>
      <c r="Q27" s="222">
        <f>IFERROR(TablaPrincipal[[#This Row],[DENSIDAD]]/10000,"-")</f>
        <v>18</v>
      </c>
      <c r="R27" s="183" t="str">
        <f>VLOOKUP(TablaPrincipal[[#This Row],[CODIGO]]&amp;TablaPrincipal[[#This Row],[AGUAJE ]],Tabla4[#All],8,0)</f>
        <v>ACUATECSA</v>
      </c>
      <c r="S27" s="183" t="str">
        <f>VLOOKUP(TablaPrincipal[[#This Row],[CODIGO]]&amp;TablaPrincipal[[#This Row],[AGUAJE ]],Tabla4[#All],7,0)</f>
        <v>TEXCUMAR</v>
      </c>
      <c r="T27" s="183" t="str">
        <f>IF(ISNUMBER(FIND("/",TablaPrincipal[[#This Row],[LABORATORIO]])),"COMBINADO","UNICO")</f>
        <v>UNICO</v>
      </c>
      <c r="U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7000</v>
      </c>
      <c r="V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7873.67</v>
      </c>
      <c r="W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23.44</v>
      </c>
      <c r="Y27" s="185">
        <f>IFERROR(TablaPrincipal[[#This Row],[LIBRAS RALEO PLANTA]]/TablaPrincipal[[#This Row],[HAS]],"-")</f>
        <v>1640.3479166666668</v>
      </c>
      <c r="Z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152501.97013651876</v>
      </c>
      <c r="AA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22800</v>
      </c>
      <c r="AB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25725.18</v>
      </c>
      <c r="AC27" s="186">
        <f>SUMIFS(COSECHAS!F:F,COSECHAS!A:A,'BASE 2026'!AW:AW,COSECHAS!G:G,"="&amp;A:A)</f>
        <v>35</v>
      </c>
      <c r="AD27" s="186">
        <f>SUMIFS(COSECHAS!M:M,COSECHAS!A:A,'BASE 2026'!AW:AW,COSECHAS!G:G,"="&amp;A:A)</f>
        <v>34.83</v>
      </c>
      <c r="AE27" s="185">
        <f>IFERROR(TablaPrincipal[[#This Row],[LIBRAS PLANTA]]/TablaPrincipal[[#This Row],[HAS]],"-")</f>
        <v>5359.4125000000004</v>
      </c>
      <c r="AF27" s="185">
        <f>IFERROR(TablaPrincipal[[#This Row],[LIBRAS PLANTA]]*454/TablaPrincipal[[#This Row],[GRAMOS PLANTA]],"-")</f>
        <v>335321.03703703708</v>
      </c>
      <c r="AG27" s="185">
        <f>TablaPrincipal[[#This Row],[LIBRAS RALEO PLANTA]]+TablaPrincipal[[#This Row],[LIBRAS PLANTA]]</f>
        <v>33598.85</v>
      </c>
      <c r="AH27" s="185">
        <f>IFERROR(TablaPrincipal[[#This Row],[CAM COSECHADOS RALEO]]+TablaPrincipal[[#This Row],[CAM COSECHADOS]],"-")</f>
        <v>487823.00717355584</v>
      </c>
      <c r="AI27" s="185">
        <f>IFERROR((TablaPrincipal[[#This Row],[LIBRAS RALEO PLANTA]]+TablaPrincipal[[#This Row],[LIBRAS PLANTA]])/TablaPrincipal[[#This Row],[HAS]],"0")</f>
        <v>6999.760416666667</v>
      </c>
      <c r="AJ27" s="186">
        <f t="shared" si="0"/>
        <v>2.7089999999999996</v>
      </c>
      <c r="AK27" s="186">
        <f>IFERROR(TablaPrincipal[[#This Row],[LBS/HA]]/TablaPrincipal[[#This Row],[DIAS]],"-")</f>
        <v>77.775115740740745</v>
      </c>
      <c r="AL27" s="186">
        <f>IFERROR(TablaPrincipal[[#This Row],[CAM COSECHADOS TOTALES]]/TablaPrincipal[[#This Row],[ANIM SEMBRADOS]]*100,"-")</f>
        <v>56.460996200643031</v>
      </c>
      <c r="AM27" s="185">
        <v>50099.535000000003</v>
      </c>
      <c r="AN27" s="187">
        <f>IFERROR(((TablaPrincipal[[#This Row],[BALANCEADO ACUMULADO (LBS)]]/2.2046)/TablaPrincipal[[#This Row],[HAS]])/TablaPrincipal[[#This Row],[DIAS]],"-")</f>
        <v>52.604166666666664</v>
      </c>
      <c r="AO27" s="184">
        <f>IFERROR(TablaPrincipal[[#This Row],[BALANCEADO ACUMULADO (LBS)]]/TablaPrincipal[[#This Row],[LIBRAS TOTALES]],"-")</f>
        <v>1.4911086242535088</v>
      </c>
      <c r="AP27" s="184" t="s">
        <v>104</v>
      </c>
      <c r="AQ27" s="184" t="s">
        <v>105</v>
      </c>
      <c r="AR27" s="185">
        <f>TablaPrincipal[[#This Row],[LIBRAS RALEO PLANTA]]-TablaPrincipal[[#This Row],[LIBRAS RALEO CAMARONERA]]</f>
        <v>873.67000000000007</v>
      </c>
      <c r="AS27" s="185">
        <f>TablaPrincipal[[#This Row],[LIBRAS PLANTA]]-TablaPrincipal[[#This Row],[LIBRAS CAMARONERA]]</f>
        <v>2925.1800000000003</v>
      </c>
      <c r="AT27" s="187">
        <f>TablaPrincipal[[#This Row],[GRAMAJE RALEO PLANTA]]-TablaPrincipal[[#This Row],[GRAMAJE RALEO CAMARONERA]]</f>
        <v>0.44000000000000128</v>
      </c>
      <c r="AU27" s="187">
        <f>TablaPrincipal[[#This Row],[GRAMOS PLANTA]]-TablaPrincipal[[#This Row],[GRAMAJE CAMARONERA]]</f>
        <v>-0.17000000000000171</v>
      </c>
      <c r="AV27" s="183" t="str">
        <f>+VLOOKUP(TablaPrincipal[[#This Row],[CODIGO]],TablaCosechas[#All],10,0)</f>
        <v>VICTOR QUINTANA</v>
      </c>
      <c r="AW27" s="183" t="s">
        <v>131</v>
      </c>
      <c r="AX27" s="188" t="str">
        <f>+VLOOKUP(TablaPrincipal[[#This Row],[CODIGO]],TablaCosechas[#All],10,0)</f>
        <v>VICTOR QUINTANA</v>
      </c>
    </row>
    <row r="28" spans="1:50" hidden="1" x14ac:dyDescent="0.25">
      <c r="A28" s="196">
        <v>46032</v>
      </c>
      <c r="B28" s="183">
        <v>26</v>
      </c>
      <c r="C28" s="183">
        <f>YEAR(TablaPrincipal[[#This Row],[FECHA]])</f>
        <v>2026</v>
      </c>
      <c r="D28" s="183" t="s">
        <v>103</v>
      </c>
      <c r="E28" s="183" t="str">
        <f>UPPER(TEXT(TablaPrincipal[[#This Row],[FECHA]],"MMMM"))</f>
        <v>ENERO</v>
      </c>
      <c r="F28" s="183" t="str">
        <f>IFERROR(VLOOKUP(TablaPrincipal[[#This Row],[CODIGO]],COSECHAS!A:J,9,0),"-")</f>
        <v>28</v>
      </c>
      <c r="G28" s="183" t="str">
        <f>IFERROR(VLOOKUP(TablaPrincipal[[#This Row],[CODIGO]],COSECHAS!A:I,8,0),"-")</f>
        <v>DORADO</v>
      </c>
      <c r="H28" s="184">
        <f>IFERROR(VLOOKUP(TablaPrincipal[[#This Row],[CODIGO]],DATOS!A:B,2,0),"-")</f>
        <v>7.74</v>
      </c>
      <c r="I28" s="183" t="str">
        <f>IFERROR(VLOOKUP(TablaPrincipal[[#This Row],[CODIGO]],Tabla8[[#Headers],[#Data]],3,0),"-")</f>
        <v>ASC-BAP</v>
      </c>
      <c r="J28" s="183">
        <f>IFERROR(TablaPrincipal[[#This Row],[FECHA]]-TablaPrincipal[[#This Row],[FECHA DE SIEMBRA]],"-")</f>
        <v>95</v>
      </c>
      <c r="K28" s="196">
        <f>VLOOKUP(TablaPrincipal[[#This Row],[CODIGO]]&amp;TablaPrincipal[[#This Row],[AGUAJE ]],Tabla4[#All],4,0)</f>
        <v>45937</v>
      </c>
      <c r="L28" s="183" t="str">
        <f>VLOOKUP(TablaPrincipal[[#This Row],[CODIGO]]&amp;TablaPrincipal[[#This Row],[AGUAJE ]],Tabla4[#All],15,0)</f>
        <v>DO PC 0</v>
      </c>
      <c r="M28" s="184">
        <f>VLOOKUP(TablaPrincipal[[#This Row],[CODIGO]]&amp;TablaPrincipal[[#This Row],[AGUAJE ]],Tabla4[#All],14,0)</f>
        <v>0.52</v>
      </c>
      <c r="N28" s="183">
        <v>3</v>
      </c>
      <c r="O28" s="170">
        <f>VLOOKUP(TablaPrincipal[[#This Row],[CODIGO]]&amp;TablaPrincipal[[#This Row],[AGUAJE ]],Tabla4[#All],5,0)</f>
        <v>1393192</v>
      </c>
      <c r="P28" s="221">
        <f>IFERROR(TablaPrincipal[[#This Row],[ANIM SEMBRADOS]]/TablaPrincipal[[#This Row],[HAS]],"-")</f>
        <v>179998.96640826872</v>
      </c>
      <c r="Q28" s="222">
        <f>IFERROR(TablaPrincipal[[#This Row],[DENSIDAD]]/10000,"-")</f>
        <v>17.999896640826872</v>
      </c>
      <c r="R28" s="183" t="str">
        <f>VLOOKUP(TablaPrincipal[[#This Row],[CODIGO]]&amp;TablaPrincipal[[#This Row],[AGUAJE ]],Tabla4[#All],8,0)</f>
        <v>BIOLACAM</v>
      </c>
      <c r="S28" s="183" t="str">
        <f>VLOOKUP(TablaPrincipal[[#This Row],[CODIGO]]&amp;TablaPrincipal[[#This Row],[AGUAJE ]],Tabla4[#All],7,0)</f>
        <v>TEXCUMAR</v>
      </c>
      <c r="T28" s="183" t="str">
        <f>IF(ISNUMBER(FIND("/",TablaPrincipal[[#This Row],[LABORATORIO]])),"COMBINADO","UNICO")</f>
        <v>UNICO</v>
      </c>
      <c r="U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27700</v>
      </c>
      <c r="V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23983.199999999997</v>
      </c>
      <c r="W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30.189999999999998</v>
      </c>
      <c r="Y28" s="185">
        <f>IFERROR(TablaPrincipal[[#This Row],[LIBRAS RALEO PLANTA]]/TablaPrincipal[[#This Row],[HAS]],"-")</f>
        <v>3098.6046511627901</v>
      </c>
      <c r="Z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360593.47163230879</v>
      </c>
      <c r="AA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40000</v>
      </c>
      <c r="AB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41618.050000000003</v>
      </c>
      <c r="AC28" s="186">
        <f>SUMIFS(COSECHAS!F:F,COSECHAS!A:A,'BASE 2026'!AW:AW,COSECHAS!G:G,"="&amp;A:A)</f>
        <v>37</v>
      </c>
      <c r="AD28" s="186">
        <f>SUMIFS(COSECHAS!M:M,COSECHAS!A:A,'BASE 2026'!AW:AW,COSECHAS!G:G,"="&amp;A:A)</f>
        <v>35.74</v>
      </c>
      <c r="AE28" s="185">
        <f>IFERROR(TablaPrincipal[[#This Row],[LIBRAS PLANTA]]/TablaPrincipal[[#This Row],[HAS]],"-")</f>
        <v>5377.0090439276491</v>
      </c>
      <c r="AF28" s="185">
        <f>IFERROR(TablaPrincipal[[#This Row],[LIBRAS PLANTA]]*454/TablaPrincipal[[#This Row],[GRAMOS PLANTA]],"-")</f>
        <v>528668.01063234475</v>
      </c>
      <c r="AG28" s="185">
        <f>TablaPrincipal[[#This Row],[LIBRAS RALEO PLANTA]]+TablaPrincipal[[#This Row],[LIBRAS PLANTA]]</f>
        <v>65601.25</v>
      </c>
      <c r="AH28" s="185">
        <f>IFERROR(TablaPrincipal[[#This Row],[CAM COSECHADOS RALEO]]+TablaPrincipal[[#This Row],[CAM COSECHADOS]],"-")</f>
        <v>889261.48226465355</v>
      </c>
      <c r="AI28" s="185">
        <f>IFERROR((TablaPrincipal[[#This Row],[LIBRAS RALEO PLANTA]]+TablaPrincipal[[#This Row],[LIBRAS PLANTA]])/TablaPrincipal[[#This Row],[HAS]],"0")</f>
        <v>8475.6136950904383</v>
      </c>
      <c r="AJ28" s="186">
        <f t="shared" si="0"/>
        <v>2.6334736842105264</v>
      </c>
      <c r="AK28" s="186">
        <f>IFERROR(TablaPrincipal[[#This Row],[LBS/HA]]/TablaPrincipal[[#This Row],[DIAS]],"-")</f>
        <v>89.216986264109877</v>
      </c>
      <c r="AL28" s="186">
        <f>IFERROR(TablaPrincipal[[#This Row],[CAM COSECHADOS TOTALES]]/TablaPrincipal[[#This Row],[ANIM SEMBRADOS]]*100,"-")</f>
        <v>63.829068948476134</v>
      </c>
      <c r="AM28" s="185">
        <v>92593.200000000012</v>
      </c>
      <c r="AN28" s="187">
        <f>IFERROR(((TablaPrincipal[[#This Row],[BALANCEADO ACUMULADO (LBS)]]/2.2046)/TablaPrincipal[[#This Row],[HAS]])/TablaPrincipal[[#This Row],[DIAS]],"-")</f>
        <v>57.119543043655646</v>
      </c>
      <c r="AO28" s="184">
        <f>IFERROR(TablaPrincipal[[#This Row],[BALANCEADO ACUMULADO (LBS)]]/TablaPrincipal[[#This Row],[LIBRAS TOTALES]],"-")</f>
        <v>1.4114548122177553</v>
      </c>
      <c r="AP28" s="184" t="s">
        <v>104</v>
      </c>
      <c r="AQ28" s="184" t="s">
        <v>105</v>
      </c>
      <c r="AR28" s="185">
        <f>TablaPrincipal[[#This Row],[LIBRAS RALEO PLANTA]]-TablaPrincipal[[#This Row],[LIBRAS RALEO CAMARONERA]]</f>
        <v>-3716.8000000000029</v>
      </c>
      <c r="AS28" s="185">
        <f>TablaPrincipal[[#This Row],[LIBRAS PLANTA]]-TablaPrincipal[[#This Row],[LIBRAS CAMARONERA]]</f>
        <v>1618.0500000000029</v>
      </c>
      <c r="AT28" s="187">
        <f>TablaPrincipal[[#This Row],[GRAMAJE RALEO PLANTA]]-TablaPrincipal[[#This Row],[GRAMAJE RALEO CAMARONERA]]</f>
        <v>3.1899999999999977</v>
      </c>
      <c r="AU28" s="187">
        <f>TablaPrincipal[[#This Row],[GRAMOS PLANTA]]-TablaPrincipal[[#This Row],[GRAMAJE CAMARONERA]]</f>
        <v>-1.259999999999998</v>
      </c>
      <c r="AV28" s="183" t="str">
        <f>+VLOOKUP(TablaPrincipal[[#This Row],[CODIGO]],TablaCosechas[#All],10,0)</f>
        <v>JOSE CEDEÑO</v>
      </c>
      <c r="AW28" s="183" t="s">
        <v>132</v>
      </c>
      <c r="AX28" s="188" t="str">
        <f>+VLOOKUP(TablaPrincipal[[#This Row],[CODIGO]],TablaCosechas[#All],10,0)</f>
        <v>JOSE CEDEÑO</v>
      </c>
    </row>
    <row r="29" spans="1:50" hidden="1" x14ac:dyDescent="0.25">
      <c r="A29" s="196">
        <v>46032</v>
      </c>
      <c r="B29" s="183">
        <v>27</v>
      </c>
      <c r="C29" s="183">
        <f>YEAR(TablaPrincipal[[#This Row],[FECHA]])</f>
        <v>2026</v>
      </c>
      <c r="D29" s="183" t="s">
        <v>103</v>
      </c>
      <c r="E29" s="183" t="str">
        <f>UPPER(TEXT(TablaPrincipal[[#This Row],[FECHA]],"MMMM"))</f>
        <v>ENERO</v>
      </c>
      <c r="F29" s="183" t="str">
        <f>IFERROR(VLOOKUP(TablaPrincipal[[#This Row],[CODIGO]],COSECHAS!A:J,9,0),"-")</f>
        <v>21</v>
      </c>
      <c r="G29" s="183" t="str">
        <f>IFERROR(VLOOKUP(TablaPrincipal[[#This Row],[CODIGO]],COSECHAS!A:I,8,0),"-")</f>
        <v>GUATO</v>
      </c>
      <c r="H29" s="184">
        <f>IFERROR(VLOOKUP(TablaPrincipal[[#This Row],[CODIGO]],DATOS!A:B,2,0),"-")</f>
        <v>3.32</v>
      </c>
      <c r="I29" s="183" t="str">
        <f>IFERROR(VLOOKUP(TablaPrincipal[[#This Row],[CODIGO]],Tabla8[[#Headers],[#Data]],3,0),"-")</f>
        <v>CONVENCIONAL</v>
      </c>
      <c r="J29" s="183">
        <f>IFERROR(TablaPrincipal[[#This Row],[FECHA]]-TablaPrincipal[[#This Row],[FECHA DE SIEMBRA]],"-")</f>
        <v>76</v>
      </c>
      <c r="K29" s="196">
        <f>VLOOKUP(TablaPrincipal[[#This Row],[CODIGO]]&amp;TablaPrincipal[[#This Row],[AGUAJE ]],Tabla4[#All],4,0)</f>
        <v>45956</v>
      </c>
      <c r="L29" s="183" t="str">
        <f>VLOOKUP(TablaPrincipal[[#This Row],[CODIGO]]&amp;TablaPrincipal[[#This Row],[AGUAJE ]],Tabla4[#All],15,0)</f>
        <v>GT PC 9</v>
      </c>
      <c r="M29" s="184">
        <f>VLOOKUP(TablaPrincipal[[#This Row],[CODIGO]]&amp;TablaPrincipal[[#This Row],[AGUAJE ]],Tabla4[#All],14,0)</f>
        <v>1.52</v>
      </c>
      <c r="N29" s="183">
        <v>6</v>
      </c>
      <c r="O29" s="170">
        <f>VLOOKUP(TablaPrincipal[[#This Row],[CODIGO]]&amp;TablaPrincipal[[#This Row],[AGUAJE ]],Tabla4[#All],5,0)</f>
        <v>531200</v>
      </c>
      <c r="P29" s="221">
        <f>IFERROR(TablaPrincipal[[#This Row],[ANIM SEMBRADOS]]/TablaPrincipal[[#This Row],[HAS]],"-")</f>
        <v>160000</v>
      </c>
      <c r="Q29" s="222">
        <f>IFERROR(TablaPrincipal[[#This Row],[DENSIDAD]]/10000,"-")</f>
        <v>16</v>
      </c>
      <c r="R29" s="183" t="str">
        <f>VLOOKUP(TablaPrincipal[[#This Row],[CODIGO]]&amp;TablaPrincipal[[#This Row],[AGUAJE ]],Tabla4[#All],8,0)</f>
        <v>DEONES</v>
      </c>
      <c r="S29" s="183" t="str">
        <f>VLOOKUP(TablaPrincipal[[#This Row],[CODIGO]]&amp;TablaPrincipal[[#This Row],[AGUAJE ]],Tabla4[#All],7,0)</f>
        <v>TEXCUMAR</v>
      </c>
      <c r="T29" s="183" t="str">
        <f>IF(ISNUMBER(FIND("/",TablaPrincipal[[#This Row],[LABORATORIO]])),"COMBINADO","UNICO")</f>
        <v>UNICO</v>
      </c>
      <c r="U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9000</v>
      </c>
      <c r="V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9958.2799999999988</v>
      </c>
      <c r="W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29" s="185">
        <f>IFERROR(TablaPrincipal[[#This Row],[LIBRAS RALEO PLANTA]]/TablaPrincipal[[#This Row],[HAS]],"-")</f>
        <v>2999.4819277108431</v>
      </c>
      <c r="Z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176417.88021455429</v>
      </c>
      <c r="AA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8849.6299999999992</v>
      </c>
      <c r="AC29" s="186">
        <f>SUMIFS(COSECHAS!F:F,COSECHAS!A:A,'BASE 2026'!AW:AW,COSECHAS!G:G,"="&amp;A:A)</f>
        <v>30</v>
      </c>
      <c r="AD29" s="186">
        <f>SUMIFS(COSECHAS!M:M,COSECHAS!A:A,'BASE 2026'!AW:AW,COSECHAS!G:G,"="&amp;A:A)</f>
        <v>29.56</v>
      </c>
      <c r="AE29" s="185">
        <f>IFERROR(TablaPrincipal[[#This Row],[LIBRAS PLANTA]]/TablaPrincipal[[#This Row],[HAS]],"-")</f>
        <v>2665.5512048192768</v>
      </c>
      <c r="AF29" s="185">
        <f>IFERROR(TablaPrincipal[[#This Row],[LIBRAS PLANTA]]*454/TablaPrincipal[[#This Row],[GRAMOS PLANTA]],"-")</f>
        <v>135917.86265223272</v>
      </c>
      <c r="AG29" s="185">
        <f>TablaPrincipal[[#This Row],[LIBRAS RALEO PLANTA]]+TablaPrincipal[[#This Row],[LIBRAS PLANTA]]</f>
        <v>18807.909999999996</v>
      </c>
      <c r="AH29" s="185">
        <f>IFERROR(TablaPrincipal[[#This Row],[CAM COSECHADOS RALEO]]+TablaPrincipal[[#This Row],[CAM COSECHADOS]],"-")</f>
        <v>312335.74286678701</v>
      </c>
      <c r="AI29" s="185">
        <f>IFERROR((TablaPrincipal[[#This Row],[LIBRAS RALEO PLANTA]]+TablaPrincipal[[#This Row],[LIBRAS PLANTA]])/TablaPrincipal[[#This Row],[HAS]],"0")</f>
        <v>5665.0331325301195</v>
      </c>
      <c r="AJ29" s="186">
        <f t="shared" si="0"/>
        <v>2.7226315789473681</v>
      </c>
      <c r="AK29" s="186">
        <f>IFERROR(TablaPrincipal[[#This Row],[LBS/HA]]/TablaPrincipal[[#This Row],[DIAS]],"-")</f>
        <v>74.539909638554207</v>
      </c>
      <c r="AL29" s="186">
        <f>IFERROR(TablaPrincipal[[#This Row],[CAM COSECHADOS TOTALES]]/TablaPrincipal[[#This Row],[ANIM SEMBRADOS]]*100,"-")</f>
        <v>58.798144364982498</v>
      </c>
      <c r="AM29" s="185">
        <v>33337.961200000005</v>
      </c>
      <c r="AN29" s="187">
        <f>IFERROR(((TablaPrincipal[[#This Row],[BALANCEADO ACUMULADO (LBS)]]/2.2046)/TablaPrincipal[[#This Row],[HAS]])/TablaPrincipal[[#This Row],[DIAS]],"-")</f>
        <v>59.931832593532029</v>
      </c>
      <c r="AO29" s="184">
        <f>IFERROR(TablaPrincipal[[#This Row],[BALANCEADO ACUMULADO (LBS)]]/TablaPrincipal[[#This Row],[LIBRAS TOTALES]],"-")</f>
        <v>1.7725500175192253</v>
      </c>
      <c r="AP29" s="184" t="s">
        <v>133</v>
      </c>
      <c r="AQ29" s="184" t="s">
        <v>105</v>
      </c>
      <c r="AR29" s="185">
        <f>TablaPrincipal[[#This Row],[LIBRAS RALEO PLANTA]]-TablaPrincipal[[#This Row],[LIBRAS RALEO CAMARONERA]]</f>
        <v>958.27999999999884</v>
      </c>
      <c r="AS29" s="185">
        <f>TablaPrincipal[[#This Row],[LIBRAS PLANTA]]-TablaPrincipal[[#This Row],[LIBRAS CAMARONERA]]</f>
        <v>-350.3700000000008</v>
      </c>
      <c r="AT29" s="187">
        <f>TablaPrincipal[[#This Row],[GRAMAJE RALEO PLANTA]]-TablaPrincipal[[#This Row],[GRAMAJE RALEO CAMARONERA]]</f>
        <v>-0.92000000000000171</v>
      </c>
      <c r="AU29" s="187">
        <f>TablaPrincipal[[#This Row],[GRAMOS PLANTA]]-TablaPrincipal[[#This Row],[GRAMAJE CAMARONERA]]</f>
        <v>-0.44000000000000128</v>
      </c>
      <c r="AV29" s="183" t="str">
        <f>+VLOOKUP(TablaPrincipal[[#This Row],[CODIGO]],TablaCosechas[#All],10,0)</f>
        <v>JULIO SANTOS</v>
      </c>
      <c r="AW29" s="183" t="s">
        <v>134</v>
      </c>
      <c r="AX29" s="188" t="str">
        <f>+VLOOKUP(TablaPrincipal[[#This Row],[CODIGO]],TablaCosechas[#All],10,0)</f>
        <v>JULIO SANTOS</v>
      </c>
    </row>
    <row r="30" spans="1:50" hidden="1" x14ac:dyDescent="0.25">
      <c r="A30" s="196">
        <v>46032</v>
      </c>
      <c r="B30" s="183">
        <v>28</v>
      </c>
      <c r="C30" s="183">
        <f>YEAR(TablaPrincipal[[#This Row],[FECHA]])</f>
        <v>2026</v>
      </c>
      <c r="D30" s="183" t="s">
        <v>103</v>
      </c>
      <c r="E30" s="183" t="str">
        <f>UPPER(TEXT(TablaPrincipal[[#This Row],[FECHA]],"MMMM"))</f>
        <v>ENERO</v>
      </c>
      <c r="F30" s="183" t="str">
        <f>IFERROR(VLOOKUP(TablaPrincipal[[#This Row],[CODIGO]],COSECHAS!A:J,9,0),"-")</f>
        <v>12</v>
      </c>
      <c r="G30" s="183" t="str">
        <f>IFERROR(VLOOKUP(TablaPrincipal[[#This Row],[CODIGO]],COSECHAS!A:I,8,0),"-")</f>
        <v>ROBALO</v>
      </c>
      <c r="H30" s="184">
        <f>IFERROR(VLOOKUP(TablaPrincipal[[#This Row],[CODIGO]],DATOS!A:B,2,0),"-")</f>
        <v>5.2</v>
      </c>
      <c r="I30" s="183" t="str">
        <f>IFERROR(VLOOKUP(TablaPrincipal[[#This Row],[CODIGO]],Tabla8[[#Headers],[#Data]],3,0),"-")</f>
        <v>ASC-BAP</v>
      </c>
      <c r="J30" s="183">
        <f>IFERROR(TablaPrincipal[[#This Row],[FECHA]]-TablaPrincipal[[#This Row],[FECHA DE SIEMBRA]],"-")</f>
        <v>91</v>
      </c>
      <c r="K30" s="196">
        <f>VLOOKUP(TablaPrincipal[[#This Row],[CODIGO]]&amp;TablaPrincipal[[#This Row],[AGUAJE ]],Tabla4[#All],4,0)</f>
        <v>45941</v>
      </c>
      <c r="L30" s="183" t="str">
        <f>VLOOKUP(TablaPrincipal[[#This Row],[CODIGO]]&amp;TablaPrincipal[[#This Row],[AGUAJE ]],Tabla4[#All],15,0)</f>
        <v>RO PC 16</v>
      </c>
      <c r="M30" s="184">
        <f>VLOOKUP(TablaPrincipal[[#This Row],[CODIGO]]&amp;TablaPrincipal[[#This Row],[AGUAJE ]],Tabla4[#All],14,0)</f>
        <v>0.55000000000000004</v>
      </c>
      <c r="N30" s="183">
        <v>8</v>
      </c>
      <c r="O30" s="170">
        <f>VLOOKUP(TablaPrincipal[[#This Row],[CODIGO]]&amp;TablaPrincipal[[#This Row],[AGUAJE ]],Tabla4[#All],5,0)</f>
        <v>936000</v>
      </c>
      <c r="P30" s="221">
        <f>IFERROR(TablaPrincipal[[#This Row],[ANIM SEMBRADOS]]/TablaPrincipal[[#This Row],[HAS]],"-")</f>
        <v>180000</v>
      </c>
      <c r="Q30" s="222">
        <f>IFERROR(TablaPrincipal[[#This Row],[DENSIDAD]]/10000,"-")</f>
        <v>18</v>
      </c>
      <c r="R30" s="183" t="str">
        <f>VLOOKUP(TablaPrincipal[[#This Row],[CODIGO]]&amp;TablaPrincipal[[#This Row],[AGUAJE ]],Tabla4[#All],8,0)</f>
        <v>ACUATECSA</v>
      </c>
      <c r="S30" s="183" t="str">
        <f>VLOOKUP(TablaPrincipal[[#This Row],[CODIGO]]&amp;TablaPrincipal[[#This Row],[AGUAJE ]],Tabla4[#All],7,0)</f>
        <v>TEXCUMAR</v>
      </c>
      <c r="T30" s="183" t="str">
        <f>IF(ISNUMBER(FIND("/",TablaPrincipal[[#This Row],[LABORATORIO]])),"COMBINADO","UNICO")</f>
        <v>UNICO</v>
      </c>
      <c r="U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6000</v>
      </c>
      <c r="V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5843.38</v>
      </c>
      <c r="W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23.36</v>
      </c>
      <c r="Y30" s="185">
        <f>IFERROR(TablaPrincipal[[#This Row],[LIBRAS RALEO PLANTA]]/TablaPrincipal[[#This Row],[HAS]],"-")</f>
        <v>1123.726923076923</v>
      </c>
      <c r="Z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113565.69006849316</v>
      </c>
      <c r="AA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25350</v>
      </c>
      <c r="AB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28129.03</v>
      </c>
      <c r="AC30" s="186">
        <f>SUMIFS(COSECHAS!F:F,COSECHAS!A:A,'BASE 2026'!AW:AW,COSECHAS!G:G,"="&amp;A:A)</f>
        <v>37</v>
      </c>
      <c r="AD30" s="186">
        <f>SUMIFS(COSECHAS!M:M,COSECHAS!A:A,'BASE 2026'!AW:AW,COSECHAS!G:G,"="&amp;A:A)</f>
        <v>35.619999999999997</v>
      </c>
      <c r="AE30" s="185">
        <f>IFERROR(TablaPrincipal[[#This Row],[LIBRAS PLANTA]]/TablaPrincipal[[#This Row],[HAS]],"-")</f>
        <v>5409.4288461538454</v>
      </c>
      <c r="AF30" s="185">
        <f>IFERROR(TablaPrincipal[[#This Row],[LIBRAS PLANTA]]*454/TablaPrincipal[[#This Row],[GRAMOS PLANTA]],"-")</f>
        <v>358522.72936552501</v>
      </c>
      <c r="AG30" s="185">
        <f>TablaPrincipal[[#This Row],[LIBRAS RALEO PLANTA]]+TablaPrincipal[[#This Row],[LIBRAS PLANTA]]</f>
        <v>33972.409999999996</v>
      </c>
      <c r="AH30" s="185">
        <f>IFERROR(TablaPrincipal[[#This Row],[CAM COSECHADOS RALEO]]+TablaPrincipal[[#This Row],[CAM COSECHADOS]],"-")</f>
        <v>472088.4194340182</v>
      </c>
      <c r="AI30" s="185">
        <f>IFERROR((TablaPrincipal[[#This Row],[LIBRAS RALEO PLANTA]]+TablaPrincipal[[#This Row],[LIBRAS PLANTA]])/TablaPrincipal[[#This Row],[HAS]],"0")</f>
        <v>6533.1557692307679</v>
      </c>
      <c r="AJ30" s="186">
        <f t="shared" si="0"/>
        <v>2.7399999999999998</v>
      </c>
      <c r="AK30" s="186">
        <f>IFERROR(TablaPrincipal[[#This Row],[LBS/HA]]/TablaPrincipal[[#This Row],[DIAS]],"-")</f>
        <v>71.792920540997443</v>
      </c>
      <c r="AL30" s="186">
        <f>IFERROR(TablaPrincipal[[#This Row],[CAM COSECHADOS TOTALES]]/TablaPrincipal[[#This Row],[ANIM SEMBRADOS]]*100,"-")</f>
        <v>50.436796948078864</v>
      </c>
      <c r="AM30" s="185">
        <v>50496.363000000005</v>
      </c>
      <c r="AN30" s="187">
        <f>IFERROR(((TablaPrincipal[[#This Row],[BALANCEADO ACUMULADO (LBS)]]/2.2046)/TablaPrincipal[[#This Row],[HAS]])/TablaPrincipal[[#This Row],[DIAS]],"-")</f>
        <v>48.404480135249365</v>
      </c>
      <c r="AO30" s="184">
        <f>IFERROR(TablaPrincipal[[#This Row],[BALANCEADO ACUMULADO (LBS)]]/TablaPrincipal[[#This Row],[LIBRAS TOTALES]],"-")</f>
        <v>1.4863933115136669</v>
      </c>
      <c r="AP30" s="184" t="s">
        <v>104</v>
      </c>
      <c r="AQ30" s="184" t="s">
        <v>105</v>
      </c>
      <c r="AR30" s="185">
        <f>TablaPrincipal[[#This Row],[LIBRAS RALEO PLANTA]]-TablaPrincipal[[#This Row],[LIBRAS RALEO CAMARONERA]]</f>
        <v>-156.61999999999989</v>
      </c>
      <c r="AS30" s="185">
        <f>TablaPrincipal[[#This Row],[LIBRAS PLANTA]]-TablaPrincipal[[#This Row],[LIBRAS CAMARONERA]]</f>
        <v>2779.0299999999988</v>
      </c>
      <c r="AT30" s="187">
        <f>TablaPrincipal[[#This Row],[GRAMAJE RALEO PLANTA]]-TablaPrincipal[[#This Row],[GRAMAJE RALEO CAMARONERA]]</f>
        <v>4.3599999999999994</v>
      </c>
      <c r="AU30" s="187">
        <f>TablaPrincipal[[#This Row],[GRAMOS PLANTA]]-TablaPrincipal[[#This Row],[GRAMAJE CAMARONERA]]</f>
        <v>-1.3800000000000026</v>
      </c>
      <c r="AV30" s="183" t="str">
        <f>+VLOOKUP(TablaPrincipal[[#This Row],[CODIGO]],TablaCosechas[#All],10,0)</f>
        <v>VICTOR QUINTANA</v>
      </c>
      <c r="AW30" s="183" t="s">
        <v>135</v>
      </c>
      <c r="AX30" s="188" t="str">
        <f>+VLOOKUP(TablaPrincipal[[#This Row],[CODIGO]],TablaCosechas[#All],10,0)</f>
        <v>VICTOR QUINTANA</v>
      </c>
    </row>
    <row r="31" spans="1:50" hidden="1" x14ac:dyDescent="0.25">
      <c r="A31" s="196">
        <v>46033</v>
      </c>
      <c r="B31" s="183">
        <v>29</v>
      </c>
      <c r="C31" s="183">
        <f>YEAR(TablaPrincipal[[#This Row],[FECHA]])</f>
        <v>2026</v>
      </c>
      <c r="D31" s="183" t="s">
        <v>103</v>
      </c>
      <c r="E31" s="183" t="str">
        <f>UPPER(TEXT(TablaPrincipal[[#This Row],[FECHA]],"MMMM"))</f>
        <v>ENERO</v>
      </c>
      <c r="F31" s="183" t="str">
        <f>IFERROR(VLOOKUP(TablaPrincipal[[#This Row],[CODIGO]],COSECHAS!A:J,9,0),"-")</f>
        <v>10</v>
      </c>
      <c r="G31" s="183" t="str">
        <f>IFERROR(VLOOKUP(TablaPrincipal[[#This Row],[CODIGO]],COSECHAS!A:I,8,0),"-")</f>
        <v>CATANUDA</v>
      </c>
      <c r="H31" s="184">
        <f>IFERROR(VLOOKUP(TablaPrincipal[[#This Row],[CODIGO]],DATOS!A:B,2,0),"-")</f>
        <v>2.36</v>
      </c>
      <c r="I31" s="183" t="str">
        <f>IFERROR(VLOOKUP(TablaPrincipal[[#This Row],[CODIGO]],Tabla8[[#Headers],[#Data]],3,0),"-")</f>
        <v>ASC-BAP</v>
      </c>
      <c r="J31" s="183">
        <f>IFERROR(TablaPrincipal[[#This Row],[FECHA]]-TablaPrincipal[[#This Row],[FECHA DE SIEMBRA]],"-")</f>
        <v>87</v>
      </c>
      <c r="K31" s="196">
        <f>VLOOKUP(TablaPrincipal[[#This Row],[CODIGO]]&amp;TablaPrincipal[[#This Row],[AGUAJE ]],Tabla4[#All],4,0)</f>
        <v>45946</v>
      </c>
      <c r="L31" s="183" t="str">
        <f>VLOOKUP(TablaPrincipal[[#This Row],[CODIGO]]&amp;TablaPrincipal[[#This Row],[AGUAJE ]],Tabla4[#All],15,0)</f>
        <v>CA PC 1A</v>
      </c>
      <c r="M31" s="184">
        <f>VLOOKUP(TablaPrincipal[[#This Row],[CODIGO]]&amp;TablaPrincipal[[#This Row],[AGUAJE ]],Tabla4[#All],14,0)</f>
        <v>0.4</v>
      </c>
      <c r="N31" s="183">
        <v>3</v>
      </c>
      <c r="O31" s="170">
        <f>VLOOKUP(TablaPrincipal[[#This Row],[CODIGO]]&amp;TablaPrincipal[[#This Row],[AGUAJE ]],Tabla4[#All],5,0)</f>
        <v>377600</v>
      </c>
      <c r="P31" s="221">
        <f>IFERROR(TablaPrincipal[[#This Row],[ANIM SEMBRADOS]]/TablaPrincipal[[#This Row],[HAS]],"-")</f>
        <v>160000</v>
      </c>
      <c r="Q31" s="222">
        <f>IFERROR(TablaPrincipal[[#This Row],[DENSIDAD]]/10000,"-")</f>
        <v>16</v>
      </c>
      <c r="R31" s="183" t="str">
        <f>VLOOKUP(TablaPrincipal[[#This Row],[CODIGO]]&amp;TablaPrincipal[[#This Row],[AGUAJE ]],Tabla4[#All],8,0)</f>
        <v>ACUATECSA</v>
      </c>
      <c r="S31" s="183" t="str">
        <f>VLOOKUP(TablaPrincipal[[#This Row],[CODIGO]]&amp;TablaPrincipal[[#This Row],[AGUAJE ]],Tabla4[#All],7,0)</f>
        <v>TEXCUMAR</v>
      </c>
      <c r="T31" s="183" t="str">
        <f>IF(ISNUMBER(FIND("/",TablaPrincipal[[#This Row],[LABORATORIO]])),"COMBINADO","UNICO")</f>
        <v>UNICO</v>
      </c>
      <c r="U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3000</v>
      </c>
      <c r="V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2798.94</v>
      </c>
      <c r="W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21.88</v>
      </c>
      <c r="Y31" s="185">
        <f>IFERROR(TablaPrincipal[[#This Row],[LIBRAS RALEO PLANTA]]/TablaPrincipal[[#This Row],[HAS]],"-")</f>
        <v>1185.9915254237289</v>
      </c>
      <c r="Z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58076.725776965272</v>
      </c>
      <c r="AA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12000</v>
      </c>
      <c r="AB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11721.8</v>
      </c>
      <c r="AC31" s="186">
        <f>SUMIFS(COSECHAS!F:F,COSECHAS!A:A,'BASE 2026'!AW:AW,COSECHAS!G:G,"="&amp;A:A)</f>
        <v>40</v>
      </c>
      <c r="AD31" s="186">
        <f>SUMIFS(COSECHAS!M:M,COSECHAS!A:A,'BASE 2026'!AW:AW,COSECHAS!G:G,"="&amp;A:A)</f>
        <v>37.64</v>
      </c>
      <c r="AE31" s="185">
        <f>IFERROR(TablaPrincipal[[#This Row],[LIBRAS PLANTA]]/TablaPrincipal[[#This Row],[HAS]],"-")</f>
        <v>4966.8644067796613</v>
      </c>
      <c r="AF31" s="185">
        <f>IFERROR(TablaPrincipal[[#This Row],[LIBRAS PLANTA]]*454/TablaPrincipal[[#This Row],[GRAMOS PLANTA]],"-")</f>
        <v>141384.091392136</v>
      </c>
      <c r="AG31" s="185">
        <f>TablaPrincipal[[#This Row],[LIBRAS RALEO PLANTA]]+TablaPrincipal[[#This Row],[LIBRAS PLANTA]]</f>
        <v>14520.74</v>
      </c>
      <c r="AH31" s="185">
        <f>IFERROR(TablaPrincipal[[#This Row],[CAM COSECHADOS RALEO]]+TablaPrincipal[[#This Row],[CAM COSECHADOS]],"-")</f>
        <v>199460.81716910127</v>
      </c>
      <c r="AI31" s="185">
        <f>IFERROR((TablaPrincipal[[#This Row],[LIBRAS RALEO PLANTA]]+TablaPrincipal[[#This Row],[LIBRAS PLANTA]])/TablaPrincipal[[#This Row],[HAS]],"0")</f>
        <v>6152.8559322033898</v>
      </c>
      <c r="AJ31" s="186">
        <f t="shared" si="0"/>
        <v>3.0285057471264367</v>
      </c>
      <c r="AK31" s="186">
        <f>IFERROR(TablaPrincipal[[#This Row],[LBS/HA]]/TablaPrincipal[[#This Row],[DIAS]],"-")</f>
        <v>70.722481979349311</v>
      </c>
      <c r="AL31" s="186">
        <f>IFERROR(TablaPrincipal[[#This Row],[CAM COSECHADOS TOTALES]]/TablaPrincipal[[#This Row],[ANIM SEMBRADOS]]*100,"-")</f>
        <v>52.823309631647589</v>
      </c>
      <c r="AM31" s="185">
        <v>22597.15</v>
      </c>
      <c r="AN31" s="187">
        <f>IFERROR(((TablaPrincipal[[#This Row],[BALANCEADO ACUMULADO (LBS)]]/2.2046)/TablaPrincipal[[#This Row],[HAS]])/TablaPrincipal[[#This Row],[DIAS]],"-")</f>
        <v>49.922072861874149</v>
      </c>
      <c r="AO31" s="184">
        <f>IFERROR(TablaPrincipal[[#This Row],[BALANCEADO ACUMULADO (LBS)]]/TablaPrincipal[[#This Row],[LIBRAS TOTALES]],"-")</f>
        <v>1.5561982378308545</v>
      </c>
      <c r="AP31" s="184" t="s">
        <v>108</v>
      </c>
      <c r="AQ31" s="184" t="s">
        <v>105</v>
      </c>
      <c r="AR31" s="185">
        <f>TablaPrincipal[[#This Row],[LIBRAS RALEO PLANTA]]-TablaPrincipal[[#This Row],[LIBRAS RALEO CAMARONERA]]</f>
        <v>-201.05999999999995</v>
      </c>
      <c r="AS31" s="185">
        <f>TablaPrincipal[[#This Row],[LIBRAS PLANTA]]-TablaPrincipal[[#This Row],[LIBRAS CAMARONERA]]</f>
        <v>-278.20000000000073</v>
      </c>
      <c r="AT31" s="187">
        <f>TablaPrincipal[[#This Row],[GRAMAJE RALEO PLANTA]]-TablaPrincipal[[#This Row],[GRAMAJE RALEO CAMARONERA]]</f>
        <v>2.879999999999999</v>
      </c>
      <c r="AU31" s="187">
        <f>TablaPrincipal[[#This Row],[GRAMOS PLANTA]]-TablaPrincipal[[#This Row],[GRAMAJE CAMARONERA]]</f>
        <v>-2.3599999999999994</v>
      </c>
      <c r="AV31" s="183" t="str">
        <f>+VLOOKUP(TablaPrincipal[[#This Row],[CODIGO]],TablaCosechas[#All],10,0)</f>
        <v>VICTOR QUINTANA</v>
      </c>
      <c r="AW31" s="183" t="s">
        <v>136</v>
      </c>
      <c r="AX31" s="188" t="str">
        <f>+VLOOKUP(TablaPrincipal[[#This Row],[CODIGO]],TablaCosechas[#All],10,0)</f>
        <v>VICTOR QUINTANA</v>
      </c>
    </row>
    <row r="32" spans="1:50" hidden="1" x14ac:dyDescent="0.25">
      <c r="A32" s="196">
        <v>46033</v>
      </c>
      <c r="B32" s="183">
        <v>30</v>
      </c>
      <c r="C32" s="183">
        <f>YEAR(TablaPrincipal[[#This Row],[FECHA]])</f>
        <v>2026</v>
      </c>
      <c r="D32" s="183" t="s">
        <v>103</v>
      </c>
      <c r="E32" s="183" t="str">
        <f>UPPER(TEXT(TablaPrincipal[[#This Row],[FECHA]],"MMMM"))</f>
        <v>ENERO</v>
      </c>
      <c r="F32" s="183" t="str">
        <f>IFERROR(VLOOKUP(TablaPrincipal[[#This Row],[CODIGO]],COSECHAS!A:J,9,0),"-")</f>
        <v>20</v>
      </c>
      <c r="G32" s="183" t="str">
        <f>IFERROR(VLOOKUP(TablaPrincipal[[#This Row],[CODIGO]],COSECHAS!A:I,8,0),"-")</f>
        <v>DORADO</v>
      </c>
      <c r="H32" s="184">
        <f>IFERROR(VLOOKUP(TablaPrincipal[[#This Row],[CODIGO]],DATOS!A:B,2,0),"-")</f>
        <v>9.18</v>
      </c>
      <c r="I32" s="183" t="str">
        <f>IFERROR(VLOOKUP(TablaPrincipal[[#This Row],[CODIGO]],Tabla8[[#Headers],[#Data]],3,0),"-")</f>
        <v>ASC-BAP</v>
      </c>
      <c r="J32" s="183">
        <f>IFERROR(TablaPrincipal[[#This Row],[FECHA]]-TablaPrincipal[[#This Row],[FECHA DE SIEMBRA]],"-")</f>
        <v>84</v>
      </c>
      <c r="K32" s="196">
        <f>VLOOKUP(TablaPrincipal[[#This Row],[CODIGO]]&amp;TablaPrincipal[[#This Row],[AGUAJE ]],Tabla4[#All],4,0)</f>
        <v>45949</v>
      </c>
      <c r="L32" s="183" t="str">
        <f>VLOOKUP(TablaPrincipal[[#This Row],[CODIGO]]&amp;TablaPrincipal[[#This Row],[AGUAJE ]],Tabla4[#All],15,0)</f>
        <v>DO PC 3</v>
      </c>
      <c r="M32" s="184">
        <f>VLOOKUP(TablaPrincipal[[#This Row],[CODIGO]]&amp;TablaPrincipal[[#This Row],[AGUAJE ]],Tabla4[#All],14,0)</f>
        <v>0.55000000000000004</v>
      </c>
      <c r="N32" s="183">
        <v>4</v>
      </c>
      <c r="O32" s="170">
        <f>VLOOKUP(TablaPrincipal[[#This Row],[CODIGO]]&amp;TablaPrincipal[[#This Row],[AGUAJE ]],Tabla4[#All],5,0)</f>
        <v>1562418</v>
      </c>
      <c r="P32" s="221">
        <f>IFERROR(TablaPrincipal[[#This Row],[ANIM SEMBRADOS]]/TablaPrincipal[[#This Row],[HAS]],"-")</f>
        <v>170198.03921568627</v>
      </c>
      <c r="Q32" s="222">
        <f>IFERROR(TablaPrincipal[[#This Row],[DENSIDAD]]/10000,"-")</f>
        <v>17.019803921568627</v>
      </c>
      <c r="R32" s="183" t="str">
        <f>VLOOKUP(TablaPrincipal[[#This Row],[CODIGO]]&amp;TablaPrincipal[[#This Row],[AGUAJE ]],Tabla4[#All],8,0)</f>
        <v>EMPAGRAN</v>
      </c>
      <c r="S32" s="183" t="str">
        <f>VLOOKUP(TablaPrincipal[[#This Row],[CODIGO]]&amp;TablaPrincipal[[#This Row],[AGUAJE ]],Tabla4[#All],7,0)</f>
        <v>EMPAGRAN</v>
      </c>
      <c r="T32" s="183" t="str">
        <f>IF(ISNUMBER(FIND("/",TablaPrincipal[[#This Row],[LABORATORIO]])),"COMBINADO","UNICO")</f>
        <v>UNICO</v>
      </c>
      <c r="U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10100</v>
      </c>
      <c r="V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9665.619999999999</v>
      </c>
      <c r="W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26.909999999999997</v>
      </c>
      <c r="Y32" s="185">
        <f>IFERROR(TablaPrincipal[[#This Row],[LIBRAS RALEO PLANTA]]/TablaPrincipal[[#This Row],[HAS]],"-")</f>
        <v>1052.8997821350761</v>
      </c>
      <c r="Z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175738.54545454544</v>
      </c>
      <c r="AA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60850</v>
      </c>
      <c r="AB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60217.82</v>
      </c>
      <c r="AC32" s="186">
        <f>SUMIFS(COSECHAS!F:F,COSECHAS!A:A,'BASE 2026'!AW:AW,COSECHAS!G:G,"="&amp;A:A)</f>
        <v>29</v>
      </c>
      <c r="AD32" s="186">
        <f>SUMIFS(COSECHAS!M:M,COSECHAS!A:A,'BASE 2026'!AW:AW,COSECHAS!G:G,"="&amp;A:A)</f>
        <v>27.88</v>
      </c>
      <c r="AE32" s="185">
        <f>IFERROR(TablaPrincipal[[#This Row],[LIBRAS PLANTA]]/TablaPrincipal[[#This Row],[HAS]],"-")</f>
        <v>6559.6753812636171</v>
      </c>
      <c r="AF32" s="185">
        <f>IFERROR(TablaPrincipal[[#This Row],[LIBRAS PLANTA]]*454/TablaPrincipal[[#This Row],[GRAMOS PLANTA]],"-")</f>
        <v>980591.47345767578</v>
      </c>
      <c r="AG32" s="185">
        <f>TablaPrincipal[[#This Row],[LIBRAS RALEO PLANTA]]+TablaPrincipal[[#This Row],[LIBRAS PLANTA]]</f>
        <v>69883.44</v>
      </c>
      <c r="AH32" s="185">
        <f>IFERROR(TablaPrincipal[[#This Row],[CAM COSECHADOS RALEO]]+TablaPrincipal[[#This Row],[CAM COSECHADOS]],"-")</f>
        <v>1156330.0189122213</v>
      </c>
      <c r="AI32" s="185">
        <f>IFERROR((TablaPrincipal[[#This Row],[LIBRAS RALEO PLANTA]]+TablaPrincipal[[#This Row],[LIBRAS PLANTA]])/TablaPrincipal[[#This Row],[HAS]],"0")</f>
        <v>7612.5751633986929</v>
      </c>
      <c r="AJ32" s="186">
        <f t="shared" si="0"/>
        <v>2.3233333333333333</v>
      </c>
      <c r="AK32" s="186">
        <f>IFERROR(TablaPrincipal[[#This Row],[LBS/HA]]/TablaPrincipal[[#This Row],[DIAS]],"-")</f>
        <v>90.625894802365394</v>
      </c>
      <c r="AL32" s="186">
        <f>IFERROR(TablaPrincipal[[#This Row],[CAM COSECHADOS TOTALES]]/TablaPrincipal[[#This Row],[ANIM SEMBRADOS]]*100,"-")</f>
        <v>74.009005202975217</v>
      </c>
      <c r="AM32" s="185">
        <v>88514.69</v>
      </c>
      <c r="AN32" s="187">
        <f>IFERROR(((TablaPrincipal[[#This Row],[BALANCEADO ACUMULADO (LBS)]]/2.2046)/TablaPrincipal[[#This Row],[HAS]])/TablaPrincipal[[#This Row],[DIAS]],"-")</f>
        <v>52.067123145554518</v>
      </c>
      <c r="AO32" s="184">
        <f>IFERROR(TablaPrincipal[[#This Row],[BALANCEADO ACUMULADO (LBS)]]/TablaPrincipal[[#This Row],[LIBRAS TOTALES]],"-")</f>
        <v>1.2666046491128657</v>
      </c>
      <c r="AP32" s="184" t="s">
        <v>104</v>
      </c>
      <c r="AQ32" s="184" t="s">
        <v>105</v>
      </c>
      <c r="AR32" s="185">
        <f>TablaPrincipal[[#This Row],[LIBRAS RALEO PLANTA]]-TablaPrincipal[[#This Row],[LIBRAS RALEO CAMARONERA]]</f>
        <v>-434.38000000000102</v>
      </c>
      <c r="AS32" s="185">
        <f>TablaPrincipal[[#This Row],[LIBRAS PLANTA]]-TablaPrincipal[[#This Row],[LIBRAS CAMARONERA]]</f>
        <v>-632.18000000000029</v>
      </c>
      <c r="AT32" s="187">
        <f>TablaPrincipal[[#This Row],[GRAMAJE RALEO PLANTA]]-TablaPrincipal[[#This Row],[GRAMAJE RALEO CAMARONERA]]</f>
        <v>-0.42333333333333556</v>
      </c>
      <c r="AU32" s="187">
        <f>TablaPrincipal[[#This Row],[GRAMOS PLANTA]]-TablaPrincipal[[#This Row],[GRAMAJE CAMARONERA]]</f>
        <v>-1.120000000000001</v>
      </c>
      <c r="AV32" s="183" t="str">
        <f>+VLOOKUP(TablaPrincipal[[#This Row],[CODIGO]],TablaCosechas[#All],10,0)</f>
        <v>JOSE CEDEÑO</v>
      </c>
      <c r="AW32" s="183" t="s">
        <v>137</v>
      </c>
      <c r="AX32" s="188" t="str">
        <f>+VLOOKUP(TablaPrincipal[[#This Row],[CODIGO]],TablaCosechas[#All],10,0)</f>
        <v>JOSE CEDEÑO</v>
      </c>
    </row>
    <row r="33" spans="1:50" hidden="1" x14ac:dyDescent="0.25">
      <c r="A33" s="196">
        <v>46033</v>
      </c>
      <c r="B33" s="183">
        <v>31</v>
      </c>
      <c r="C33" s="183">
        <f>YEAR(TablaPrincipal[[#This Row],[FECHA]])</f>
        <v>2026</v>
      </c>
      <c r="D33" s="183" t="s">
        <v>103</v>
      </c>
      <c r="E33" s="183" t="str">
        <f>UPPER(TEXT(TablaPrincipal[[#This Row],[FECHA]],"MMMM"))</f>
        <v>ENERO</v>
      </c>
      <c r="F33" s="183" t="str">
        <f>IFERROR(VLOOKUP(TablaPrincipal[[#This Row],[CODIGO]],COSECHAS!A:J,9,0),"-")</f>
        <v>04</v>
      </c>
      <c r="G33" s="183" t="str">
        <f>IFERROR(VLOOKUP(TablaPrincipal[[#This Row],[CODIGO]],COSECHAS!A:I,8,0),"-")</f>
        <v>GUATO</v>
      </c>
      <c r="H33" s="184">
        <f>IFERROR(VLOOKUP(TablaPrincipal[[#This Row],[CODIGO]],DATOS!A:B,2,0),"-")</f>
        <v>6.62</v>
      </c>
      <c r="I33" s="183" t="str">
        <f>IFERROR(VLOOKUP(TablaPrincipal[[#This Row],[CODIGO]],Tabla8[[#Headers],[#Data]],3,0),"-")</f>
        <v>CONVENCIONAL</v>
      </c>
      <c r="J33" s="183">
        <f>IFERROR(TablaPrincipal[[#This Row],[FECHA]]-TablaPrincipal[[#This Row],[FECHA DE SIEMBRA]],"-")</f>
        <v>79</v>
      </c>
      <c r="K33" s="196">
        <f>VLOOKUP(TablaPrincipal[[#This Row],[CODIGO]]&amp;TablaPrincipal[[#This Row],[AGUAJE ]],Tabla4[#All],4,0)</f>
        <v>45954</v>
      </c>
      <c r="L33" s="183" t="str">
        <f>VLOOKUP(TablaPrincipal[[#This Row],[CODIGO]]&amp;TablaPrincipal[[#This Row],[AGUAJE ]],Tabla4[#All],15,0)</f>
        <v>GT PC 5</v>
      </c>
      <c r="M33" s="184">
        <f>VLOOKUP(TablaPrincipal[[#This Row],[CODIGO]]&amp;TablaPrincipal[[#This Row],[AGUAJE ]],Tabla4[#All],14,0)</f>
        <v>0.56999999999999995</v>
      </c>
      <c r="N33" s="183">
        <v>7</v>
      </c>
      <c r="O33" s="170">
        <f>VLOOKUP(TablaPrincipal[[#This Row],[CODIGO]]&amp;TablaPrincipal[[#This Row],[AGUAJE ]],Tabla4[#All],5,0)</f>
        <v>1059200</v>
      </c>
      <c r="P33" s="221">
        <f>IFERROR(TablaPrincipal[[#This Row],[ANIM SEMBRADOS]]/TablaPrincipal[[#This Row],[HAS]],"-")</f>
        <v>160000</v>
      </c>
      <c r="Q33" s="222">
        <f>IFERROR(TablaPrincipal[[#This Row],[DENSIDAD]]/10000,"-")</f>
        <v>16</v>
      </c>
      <c r="R33" s="183" t="str">
        <f>VLOOKUP(TablaPrincipal[[#This Row],[CODIGO]]&amp;TablaPrincipal[[#This Row],[AGUAJE ]],Tabla4[#All],8,0)</f>
        <v>GENESIS</v>
      </c>
      <c r="S33" s="183" t="str">
        <f>VLOOKUP(TablaPrincipal[[#This Row],[CODIGO]]&amp;TablaPrincipal[[#This Row],[AGUAJE ]],Tabla4[#All],7,0)</f>
        <v>TEXCUMAR</v>
      </c>
      <c r="T33" s="183" t="str">
        <f>IF(ISNUMBER(FIND("/",TablaPrincipal[[#This Row],[LABORATORIO]])),"COMBINADO","UNICO")</f>
        <v>UNICO</v>
      </c>
      <c r="U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8300</v>
      </c>
      <c r="V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8713.44</v>
      </c>
      <c r="W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29.34</v>
      </c>
      <c r="Y33" s="185">
        <f>IFERROR(TablaPrincipal[[#This Row],[LIBRAS RALEO PLANTA]]/TablaPrincipal[[#This Row],[HAS]],"-")</f>
        <v>1316.2296072507554</v>
      </c>
      <c r="Z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134829.64417177916</v>
      </c>
      <c r="AA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32800</v>
      </c>
      <c r="AB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33540.660000000003</v>
      </c>
      <c r="AC33" s="186">
        <f>SUMIFS(COSECHAS!F:F,COSECHAS!A:A,'BASE 2026'!AW:AW,COSECHAS!G:G,"="&amp;A:A)</f>
        <v>33</v>
      </c>
      <c r="AD33" s="186">
        <f>SUMIFS(COSECHAS!M:M,COSECHAS!A:A,'BASE 2026'!AW:AW,COSECHAS!G:G,"="&amp;A:A)</f>
        <v>33.76</v>
      </c>
      <c r="AE33" s="185">
        <f>IFERROR(TablaPrincipal[[#This Row],[LIBRAS PLANTA]]/TablaPrincipal[[#This Row],[HAS]],"-")</f>
        <v>5066.5649546827799</v>
      </c>
      <c r="AF33" s="185">
        <f>IFERROR(TablaPrincipal[[#This Row],[LIBRAS PLANTA]]*454/TablaPrincipal[[#This Row],[GRAMOS PLANTA]],"-")</f>
        <v>451050.34478672995</v>
      </c>
      <c r="AG33" s="185">
        <f>TablaPrincipal[[#This Row],[LIBRAS RALEO PLANTA]]+TablaPrincipal[[#This Row],[LIBRAS PLANTA]]</f>
        <v>42254.100000000006</v>
      </c>
      <c r="AH33" s="185">
        <f>IFERROR(TablaPrincipal[[#This Row],[CAM COSECHADOS RALEO]]+TablaPrincipal[[#This Row],[CAM COSECHADOS]],"-")</f>
        <v>585879.98895850917</v>
      </c>
      <c r="AI33" s="185">
        <f>IFERROR((TablaPrincipal[[#This Row],[LIBRAS RALEO PLANTA]]+TablaPrincipal[[#This Row],[LIBRAS PLANTA]])/TablaPrincipal[[#This Row],[HAS]],"0")</f>
        <v>6382.7945619335351</v>
      </c>
      <c r="AJ33" s="186">
        <f t="shared" si="0"/>
        <v>2.9913924050632907</v>
      </c>
      <c r="AK33" s="186">
        <f>IFERROR(TablaPrincipal[[#This Row],[LBS/HA]]/TablaPrincipal[[#This Row],[DIAS]],"-")</f>
        <v>80.79486787257639</v>
      </c>
      <c r="AL33" s="186">
        <f>IFERROR(TablaPrincipal[[#This Row],[CAM COSECHADOS TOTALES]]/TablaPrincipal[[#This Row],[ANIM SEMBRADOS]]*100,"-")</f>
        <v>55.31344306632451</v>
      </c>
      <c r="AM33" s="185">
        <v>64925.47</v>
      </c>
      <c r="AN33" s="187">
        <f>IFERROR(((TablaPrincipal[[#This Row],[BALANCEADO ACUMULADO (LBS)]]/2.2046)/TablaPrincipal[[#This Row],[HAS]])/TablaPrincipal[[#This Row],[DIAS]],"-")</f>
        <v>56.311904852958051</v>
      </c>
      <c r="AO33" s="184">
        <f>IFERROR(TablaPrincipal[[#This Row],[BALANCEADO ACUMULADO (LBS)]]/TablaPrincipal[[#This Row],[LIBRAS TOTALES]],"-")</f>
        <v>1.5365484059535048</v>
      </c>
      <c r="AP33" s="184" t="s">
        <v>133</v>
      </c>
      <c r="AQ33" s="184" t="s">
        <v>105</v>
      </c>
      <c r="AR33" s="185">
        <f>TablaPrincipal[[#This Row],[LIBRAS RALEO PLANTA]]-TablaPrincipal[[#This Row],[LIBRAS RALEO CAMARONERA]]</f>
        <v>413.44000000000051</v>
      </c>
      <c r="AS33" s="185">
        <f>TablaPrincipal[[#This Row],[LIBRAS PLANTA]]-TablaPrincipal[[#This Row],[LIBRAS CAMARONERA]]</f>
        <v>740.66000000000349</v>
      </c>
      <c r="AT33" s="187">
        <f>TablaPrincipal[[#This Row],[GRAMAJE RALEO PLANTA]]-TablaPrincipal[[#This Row],[GRAMAJE RALEO CAMARONERA]]</f>
        <v>2.34</v>
      </c>
      <c r="AU33" s="187">
        <f>TablaPrincipal[[#This Row],[GRAMOS PLANTA]]-TablaPrincipal[[#This Row],[GRAMAJE CAMARONERA]]</f>
        <v>0.75999999999999801</v>
      </c>
      <c r="AV33" s="183" t="str">
        <f>+VLOOKUP(TablaPrincipal[[#This Row],[CODIGO]],TablaCosechas[#All],10,0)</f>
        <v>JULIO SANTOS</v>
      </c>
      <c r="AW33" s="183" t="s">
        <v>138</v>
      </c>
      <c r="AX33" s="188" t="str">
        <f>+VLOOKUP(TablaPrincipal[[#This Row],[CODIGO]],TablaCosechas[#All],10,0)</f>
        <v>JULIO SANTOS</v>
      </c>
    </row>
    <row r="34" spans="1:50" hidden="1" x14ac:dyDescent="0.25">
      <c r="A34" s="196">
        <v>46033</v>
      </c>
      <c r="B34" s="183">
        <v>32</v>
      </c>
      <c r="C34" s="183">
        <f>YEAR(TablaPrincipal[[#This Row],[FECHA]])</f>
        <v>2026</v>
      </c>
      <c r="D34" s="183" t="s">
        <v>103</v>
      </c>
      <c r="E34" s="183" t="str">
        <f>UPPER(TEXT(TablaPrincipal[[#This Row],[FECHA]],"MMMM"))</f>
        <v>ENERO</v>
      </c>
      <c r="F34" s="183" t="str">
        <f>IFERROR(VLOOKUP(TablaPrincipal[[#This Row],[CODIGO]],COSECHAS!A:J,9,0),"-")</f>
        <v>17</v>
      </c>
      <c r="G34" s="183" t="str">
        <f>IFERROR(VLOOKUP(TablaPrincipal[[#This Row],[CODIGO]],COSECHAS!A:I,8,0),"-")</f>
        <v>PARGO ROJO</v>
      </c>
      <c r="H34" s="184">
        <f>IFERROR(VLOOKUP(TablaPrincipal[[#This Row],[CODIGO]],DATOS!A:B,2,0),"-")</f>
        <v>5</v>
      </c>
      <c r="I34" s="183" t="str">
        <f>IFERROR(VLOOKUP(TablaPrincipal[[#This Row],[CODIGO]],Tabla8[[#Headers],[#Data]],3,0),"-")</f>
        <v>CONVENCIONAL</v>
      </c>
      <c r="J34" s="183">
        <f>IFERROR(TablaPrincipal[[#This Row],[FECHA]]-TablaPrincipal[[#This Row],[FECHA DE SIEMBRA]],"-")</f>
        <v>63</v>
      </c>
      <c r="K34" s="196">
        <f>VLOOKUP(TablaPrincipal[[#This Row],[CODIGO]]&amp;TablaPrincipal[[#This Row],[AGUAJE ]],Tabla4[#All],4,0)</f>
        <v>45970</v>
      </c>
      <c r="L34" s="183" t="str">
        <f>VLOOKUP(TablaPrincipal[[#This Row],[CODIGO]]&amp;TablaPrincipal[[#This Row],[AGUAJE ]],Tabla4[#All],15,0)</f>
        <v>PR PC 23</v>
      </c>
      <c r="M34" s="184">
        <f>VLOOKUP(TablaPrincipal[[#This Row],[CODIGO]]&amp;TablaPrincipal[[#This Row],[AGUAJE ]],Tabla4[#All],14,0)</f>
        <v>0.35</v>
      </c>
      <c r="N34" s="183">
        <v>11</v>
      </c>
      <c r="O34" s="170">
        <f>VLOOKUP(TablaPrincipal[[#This Row],[CODIGO]]&amp;TablaPrincipal[[#This Row],[AGUAJE ]],Tabla4[#All],5,0)</f>
        <v>775000</v>
      </c>
      <c r="P34" s="221">
        <f>IFERROR(TablaPrincipal[[#This Row],[ANIM SEMBRADOS]]/TablaPrincipal[[#This Row],[HAS]],"-")</f>
        <v>155000</v>
      </c>
      <c r="Q34" s="222">
        <f>IFERROR(TablaPrincipal[[#This Row],[DENSIDAD]]/10000,"-")</f>
        <v>15.5</v>
      </c>
      <c r="R34" s="183" t="str">
        <f>VLOOKUP(TablaPrincipal[[#This Row],[CODIGO]]&amp;TablaPrincipal[[#This Row],[AGUAJE ]],Tabla4[#All],8,0)</f>
        <v>GRILSAN</v>
      </c>
      <c r="S34" s="183" t="str">
        <f>VLOOKUP(TablaPrincipal[[#This Row],[CODIGO]]&amp;TablaPrincipal[[#This Row],[AGUAJE ]],Tabla4[#All],7,0)</f>
        <v>AQUAGEN</v>
      </c>
      <c r="T34" s="183" t="str">
        <f>IF(ISNUMBER(FIND("/",TablaPrincipal[[#This Row],[LABORATORIO]])),"COMBINADO","UNICO")</f>
        <v>UNICO</v>
      </c>
      <c r="U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4" s="185">
        <f>IFERROR(TablaPrincipal[[#This Row],[LIBRAS RALEO PLANTA]]/TablaPrincipal[[#This Row],[HAS]],"-")</f>
        <v>0</v>
      </c>
      <c r="Z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13500</v>
      </c>
      <c r="AB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15534.3</v>
      </c>
      <c r="AC34" s="186">
        <f>SUMIFS(COSECHAS!F:F,COSECHAS!A:A,'BASE 2026'!AW:AW,COSECHAS!G:G,"="&amp;A:A)</f>
        <v>21</v>
      </c>
      <c r="AD34" s="186">
        <f>SUMIFS(COSECHAS!M:M,COSECHAS!A:A,'BASE 2026'!AW:AW,COSECHAS!G:G,"="&amp;A:A)</f>
        <v>21.62</v>
      </c>
      <c r="AE34" s="185">
        <f>IFERROR(TablaPrincipal[[#This Row],[LIBRAS PLANTA]]/TablaPrincipal[[#This Row],[HAS]],"-")</f>
        <v>3106.8599999999997</v>
      </c>
      <c r="AF34" s="185">
        <f>IFERROR(TablaPrincipal[[#This Row],[LIBRAS PLANTA]]*454/TablaPrincipal[[#This Row],[GRAMOS PLANTA]],"-")</f>
        <v>326205.92969472706</v>
      </c>
      <c r="AG34" s="185">
        <f>TablaPrincipal[[#This Row],[LIBRAS RALEO PLANTA]]+TablaPrincipal[[#This Row],[LIBRAS PLANTA]]</f>
        <v>15534.3</v>
      </c>
      <c r="AH34" s="185">
        <f>IFERROR(TablaPrincipal[[#This Row],[CAM COSECHADOS RALEO]]+TablaPrincipal[[#This Row],[CAM COSECHADOS]],"-")</f>
        <v>326205.92969472706</v>
      </c>
      <c r="AI34" s="185">
        <f>IFERROR((TablaPrincipal[[#This Row],[LIBRAS RALEO PLANTA]]+TablaPrincipal[[#This Row],[LIBRAS PLANTA]])/TablaPrincipal[[#This Row],[HAS]],"0")</f>
        <v>3106.8599999999997</v>
      </c>
      <c r="AJ34" s="186">
        <f t="shared" si="0"/>
        <v>2.4022222222222225</v>
      </c>
      <c r="AK34" s="186">
        <f>IFERROR(TablaPrincipal[[#This Row],[LBS/HA]]/TablaPrincipal[[#This Row],[DIAS]],"-")</f>
        <v>49.315238095238087</v>
      </c>
      <c r="AL34" s="186">
        <f>IFERROR(TablaPrincipal[[#This Row],[CAM COSECHADOS TOTALES]]/TablaPrincipal[[#This Row],[ANIM SEMBRADOS]]*100,"-")</f>
        <v>42.09108770254543</v>
      </c>
      <c r="AM34" s="185">
        <v>20425.619000000002</v>
      </c>
      <c r="AN34" s="187">
        <f>IFERROR(((TablaPrincipal[[#This Row],[BALANCEADO ACUMULADO (LBS)]]/2.2046)/TablaPrincipal[[#This Row],[HAS]])/TablaPrincipal[[#This Row],[DIAS]],"-")</f>
        <v>29.412698412698411</v>
      </c>
      <c r="AO34" s="184">
        <f>IFERROR(TablaPrincipal[[#This Row],[BALANCEADO ACUMULADO (LBS)]]/TablaPrincipal[[#This Row],[LIBRAS TOTALES]],"-")</f>
        <v>1.3148721860656742</v>
      </c>
      <c r="AP34" s="184" t="s">
        <v>104</v>
      </c>
      <c r="AQ34" s="184" t="s">
        <v>105</v>
      </c>
      <c r="AR34" s="185">
        <f>TablaPrincipal[[#This Row],[LIBRAS RALEO PLANTA]]-TablaPrincipal[[#This Row],[LIBRAS RALEO CAMARONERA]]</f>
        <v>0</v>
      </c>
      <c r="AS34" s="185">
        <f>TablaPrincipal[[#This Row],[LIBRAS PLANTA]]-TablaPrincipal[[#This Row],[LIBRAS CAMARONERA]]</f>
        <v>2034.2999999999993</v>
      </c>
      <c r="AT34" s="187">
        <f>TablaPrincipal[[#This Row],[GRAMAJE RALEO PLANTA]]-TablaPrincipal[[#This Row],[GRAMAJE RALEO CAMARONERA]]</f>
        <v>0</v>
      </c>
      <c r="AU34" s="187">
        <f>TablaPrincipal[[#This Row],[GRAMOS PLANTA]]-TablaPrincipal[[#This Row],[GRAMAJE CAMARONERA]]</f>
        <v>0.62000000000000099</v>
      </c>
      <c r="AV34" s="183" t="str">
        <f>+VLOOKUP(TablaPrincipal[[#This Row],[CODIGO]],TablaCosechas[#All],10,0)</f>
        <v>WILMER TORRES</v>
      </c>
      <c r="AW34" s="183" t="s">
        <v>139</v>
      </c>
      <c r="AX34" s="188" t="str">
        <f>+VLOOKUP(TablaPrincipal[[#This Row],[CODIGO]],TablaCosechas[#All],10,0)</f>
        <v>WILMER TORRES</v>
      </c>
    </row>
    <row r="35" spans="1:50" hidden="1" x14ac:dyDescent="0.25">
      <c r="A35" s="196">
        <v>46034</v>
      </c>
      <c r="B35" s="183">
        <v>33</v>
      </c>
      <c r="C35" s="183">
        <f>YEAR(TablaPrincipal[[#This Row],[FECHA]])</f>
        <v>2026</v>
      </c>
      <c r="D35" s="183" t="s">
        <v>103</v>
      </c>
      <c r="E35" s="183" t="str">
        <f>UPPER(TEXT(TablaPrincipal[[#This Row],[FECHA]],"MMMM"))</f>
        <v>ENERO</v>
      </c>
      <c r="F35" s="183" t="str">
        <f>IFERROR(VLOOKUP(TablaPrincipal[[#This Row],[CODIGO]],COSECHAS!A:J,9,0),"-")</f>
        <v>21</v>
      </c>
      <c r="G35" s="183" t="str">
        <f>IFERROR(VLOOKUP(TablaPrincipal[[#This Row],[CODIGO]],COSECHAS!A:I,8,0),"-")</f>
        <v>CHERNA</v>
      </c>
      <c r="H35" s="184">
        <f>IFERROR(VLOOKUP(TablaPrincipal[[#This Row],[CODIGO]],DATOS!A:B,2,0),"-")</f>
        <v>5.15</v>
      </c>
      <c r="I35" s="183" t="str">
        <f>IFERROR(VLOOKUP(TablaPrincipal[[#This Row],[CODIGO]],Tabla8[[#Headers],[#Data]],3,0),"-")</f>
        <v>ASC</v>
      </c>
      <c r="J35" s="183">
        <f>IFERROR(TablaPrincipal[[#This Row],[FECHA]]-TablaPrincipal[[#This Row],[FECHA DE SIEMBRA]],"-")</f>
        <v>78</v>
      </c>
      <c r="K35" s="196">
        <f>VLOOKUP(TablaPrincipal[[#This Row],[CODIGO]]&amp;TablaPrincipal[[#This Row],[AGUAJE ]],Tabla4[#All],4,0)</f>
        <v>45956</v>
      </c>
      <c r="L35" s="183" t="str">
        <f>VLOOKUP(TablaPrincipal[[#This Row],[CODIGO]]&amp;TablaPrincipal[[#This Row],[AGUAJE ]],Tabla4[#All],15,0)</f>
        <v>CH PS 17</v>
      </c>
      <c r="M35" s="184">
        <f>VLOOKUP(TablaPrincipal[[#This Row],[CODIGO]]&amp;TablaPrincipal[[#This Row],[AGUAJE ]],Tabla4[#All],14,0)</f>
        <v>0.65</v>
      </c>
      <c r="N35" s="183">
        <v>6</v>
      </c>
      <c r="O35" s="170">
        <f>VLOOKUP(TablaPrincipal[[#This Row],[CODIGO]]&amp;TablaPrincipal[[#This Row],[AGUAJE ]],Tabla4[#All],5,0)</f>
        <v>721000</v>
      </c>
      <c r="P35" s="221">
        <f>IFERROR(TablaPrincipal[[#This Row],[ANIM SEMBRADOS]]/TablaPrincipal[[#This Row],[HAS]],"-")</f>
        <v>140000</v>
      </c>
      <c r="Q35" s="222">
        <f>IFERROR(TablaPrincipal[[#This Row],[DENSIDAD]]/10000,"-")</f>
        <v>14</v>
      </c>
      <c r="R35" s="183" t="str">
        <f>VLOOKUP(TablaPrincipal[[#This Row],[CODIGO]]&amp;TablaPrincipal[[#This Row],[AGUAJE ]],Tabla4[#All],8,0)</f>
        <v>MAXILARVA</v>
      </c>
      <c r="S35" s="183" t="str">
        <f>VLOOKUP(TablaPrincipal[[#This Row],[CODIGO]]&amp;TablaPrincipal[[#This Row],[AGUAJE ]],Tabla4[#All],7,0)</f>
        <v>TEXCUMAR</v>
      </c>
      <c r="T35" s="183" t="str">
        <f>IF(ISNUMBER(FIND("/",TablaPrincipal[[#This Row],[LABORATORIO]])),"COMBINADO","UNICO")</f>
        <v>UNICO</v>
      </c>
      <c r="U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5600</v>
      </c>
      <c r="V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5945.35</v>
      </c>
      <c r="W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29.18</v>
      </c>
      <c r="Y35" s="185">
        <f>IFERROR(TablaPrincipal[[#This Row],[LIBRAS RALEO PLANTA]]/TablaPrincipal[[#This Row],[HAS]],"-")</f>
        <v>1154.4368932038835</v>
      </c>
      <c r="Z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92501.333104866368</v>
      </c>
      <c r="AA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22000</v>
      </c>
      <c r="AB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23462.769999999997</v>
      </c>
      <c r="AC35" s="186">
        <f>SUMIFS(COSECHAS!F:F,COSECHAS!A:A,'BASE 2026'!AW:AW,COSECHAS!G:G,"="&amp;A:A)</f>
        <v>36</v>
      </c>
      <c r="AD35" s="186">
        <f>SUMIFS(COSECHAS!M:M,COSECHAS!A:A,'BASE 2026'!AW:AW,COSECHAS!G:G,"="&amp;A:A)</f>
        <v>34.68</v>
      </c>
      <c r="AE35" s="185">
        <f>IFERROR(TablaPrincipal[[#This Row],[LIBRAS PLANTA]]/TablaPrincipal[[#This Row],[HAS]],"-")</f>
        <v>4555.8776699029113</v>
      </c>
      <c r="AF35" s="185">
        <f>IFERROR(TablaPrincipal[[#This Row],[LIBRAS PLANTA]]*454/TablaPrincipal[[#This Row],[GRAMOS PLANTA]],"-")</f>
        <v>307153.90945790074</v>
      </c>
      <c r="AG35" s="185">
        <f>TablaPrincipal[[#This Row],[LIBRAS RALEO PLANTA]]+TablaPrincipal[[#This Row],[LIBRAS PLANTA]]</f>
        <v>29408.119999999995</v>
      </c>
      <c r="AH35" s="185">
        <f>IFERROR(TablaPrincipal[[#This Row],[CAM COSECHADOS RALEO]]+TablaPrincipal[[#This Row],[CAM COSECHADOS]],"-")</f>
        <v>399655.24256276712</v>
      </c>
      <c r="AI35" s="185">
        <f>IFERROR((TablaPrincipal[[#This Row],[LIBRAS RALEO PLANTA]]+TablaPrincipal[[#This Row],[LIBRAS PLANTA]])/TablaPrincipal[[#This Row],[HAS]],"0")</f>
        <v>5710.3145631067946</v>
      </c>
      <c r="AJ35" s="186">
        <f t="shared" si="0"/>
        <v>3.1123076923076924</v>
      </c>
      <c r="AK35" s="186">
        <f>IFERROR(TablaPrincipal[[#This Row],[LBS/HA]]/TablaPrincipal[[#This Row],[DIAS]],"-")</f>
        <v>73.209161065471719</v>
      </c>
      <c r="AL35" s="186">
        <f>IFERROR(TablaPrincipal[[#This Row],[CAM COSECHADOS TOTALES]]/TablaPrincipal[[#This Row],[ANIM SEMBRADOS]]*100,"-")</f>
        <v>55.430685514946902</v>
      </c>
      <c r="AM35" s="185">
        <v>47784.705000000002</v>
      </c>
      <c r="AN35" s="187">
        <f>IFERROR(((TablaPrincipal[[#This Row],[BALANCEADO ACUMULADO (LBS)]]/2.2046)/TablaPrincipal[[#This Row],[HAS]])/TablaPrincipal[[#This Row],[DIAS]],"-")</f>
        <v>53.958177744585505</v>
      </c>
      <c r="AO35" s="184">
        <f>IFERROR(TablaPrincipal[[#This Row],[BALANCEADO ACUMULADO (LBS)]]/TablaPrincipal[[#This Row],[LIBRAS TOTALES]],"-")</f>
        <v>1.6248813252938308</v>
      </c>
      <c r="AP35" s="184" t="s">
        <v>104</v>
      </c>
      <c r="AQ35" s="184" t="s">
        <v>105</v>
      </c>
      <c r="AR35" s="185">
        <f>TablaPrincipal[[#This Row],[LIBRAS RALEO PLANTA]]-TablaPrincipal[[#This Row],[LIBRAS RALEO CAMARONERA]]</f>
        <v>345.35000000000036</v>
      </c>
      <c r="AS35" s="185">
        <f>TablaPrincipal[[#This Row],[LIBRAS PLANTA]]-TablaPrincipal[[#This Row],[LIBRAS CAMARONERA]]</f>
        <v>1462.7699999999968</v>
      </c>
      <c r="AT35" s="187">
        <f>TablaPrincipal[[#This Row],[GRAMAJE RALEO PLANTA]]-TablaPrincipal[[#This Row],[GRAMAJE RALEO CAMARONERA]]</f>
        <v>1.1799999999999997</v>
      </c>
      <c r="AU35" s="187">
        <f>TablaPrincipal[[#This Row],[GRAMOS PLANTA]]-TablaPrincipal[[#This Row],[GRAMAJE CAMARONERA]]</f>
        <v>-1.3200000000000003</v>
      </c>
      <c r="AV35" s="183" t="str">
        <f>+VLOOKUP(TablaPrincipal[[#This Row],[CODIGO]],TablaCosechas[#All],10,0)</f>
        <v>SANTIAGO OBRIEN</v>
      </c>
      <c r="AW35" s="183" t="s">
        <v>25</v>
      </c>
      <c r="AX35" s="188" t="str">
        <f>+VLOOKUP(TablaPrincipal[[#This Row],[CODIGO]],TablaCosechas[#All],10,0)</f>
        <v>SANTIAGO OBRIEN</v>
      </c>
    </row>
    <row r="36" spans="1:50" hidden="1" x14ac:dyDescent="0.25">
      <c r="A36" s="196">
        <v>46034</v>
      </c>
      <c r="B36" s="183">
        <v>34</v>
      </c>
      <c r="C36" s="183">
        <f>YEAR(TablaPrincipal[[#This Row],[FECHA]])</f>
        <v>2026</v>
      </c>
      <c r="D36" s="183" t="s">
        <v>103</v>
      </c>
      <c r="E36" s="183" t="str">
        <f>UPPER(TEXT(TablaPrincipal[[#This Row],[FECHA]],"MMMM"))</f>
        <v>ENERO</v>
      </c>
      <c r="F36" s="183" t="str">
        <f>IFERROR(VLOOKUP(TablaPrincipal[[#This Row],[CODIGO]],COSECHAS!A:J,9,0),"-")</f>
        <v>18</v>
      </c>
      <c r="G36" s="183" t="str">
        <f>IFERROR(VLOOKUP(TablaPrincipal[[#This Row],[CODIGO]],COSECHAS!A:I,8,0),"-")</f>
        <v>GUATO</v>
      </c>
      <c r="H36" s="184">
        <f>IFERROR(VLOOKUP(TablaPrincipal[[#This Row],[CODIGO]],DATOS!A:B,2,0),"-")</f>
        <v>4.47</v>
      </c>
      <c r="I36" s="183" t="str">
        <f>IFERROR(VLOOKUP(TablaPrincipal[[#This Row],[CODIGO]],Tabla8[[#Headers],[#Data]],3,0),"-")</f>
        <v>CONVENCIONAL</v>
      </c>
      <c r="J36" s="183">
        <f>IFERROR(TablaPrincipal[[#This Row],[FECHA]]-TablaPrincipal[[#This Row],[FECHA DE SIEMBRA]],"-")</f>
        <v>82</v>
      </c>
      <c r="K36" s="196">
        <f>VLOOKUP(TablaPrincipal[[#This Row],[CODIGO]]&amp;TablaPrincipal[[#This Row],[AGUAJE ]],Tabla4[#All],4,0)</f>
        <v>45952</v>
      </c>
      <c r="L36" s="183" t="str">
        <f>VLOOKUP(TablaPrincipal[[#This Row],[CODIGO]]&amp;TablaPrincipal[[#This Row],[AGUAJE ]],Tabla4[#All],15,0)</f>
        <v>GT PC 6</v>
      </c>
      <c r="M36" s="184">
        <f>VLOOKUP(TablaPrincipal[[#This Row],[CODIGO]]&amp;TablaPrincipal[[#This Row],[AGUAJE ]],Tabla4[#All],14,0)</f>
        <v>0.53</v>
      </c>
      <c r="N36" s="183">
        <v>6</v>
      </c>
      <c r="O36" s="170">
        <f>VLOOKUP(TablaPrincipal[[#This Row],[CODIGO]]&amp;TablaPrincipal[[#This Row],[AGUAJE ]],Tabla4[#All],5,0)</f>
        <v>759900</v>
      </c>
      <c r="P36" s="221">
        <f>IFERROR(TablaPrincipal[[#This Row],[ANIM SEMBRADOS]]/TablaPrincipal[[#This Row],[HAS]],"-")</f>
        <v>170000</v>
      </c>
      <c r="Q36" s="222">
        <f>IFERROR(TablaPrincipal[[#This Row],[DENSIDAD]]/10000,"-")</f>
        <v>17</v>
      </c>
      <c r="R36" s="183" t="str">
        <f>VLOOKUP(TablaPrincipal[[#This Row],[CODIGO]]&amp;TablaPrincipal[[#This Row],[AGUAJE ]],Tabla4[#All],8,0)</f>
        <v>TECSERV</v>
      </c>
      <c r="S36" s="183" t="str">
        <f>VLOOKUP(TablaPrincipal[[#This Row],[CODIGO]]&amp;TablaPrincipal[[#This Row],[AGUAJE ]],Tabla4[#All],7,0)</f>
        <v>TEXCUMAR</v>
      </c>
      <c r="T36" s="183" t="str">
        <f>IF(ISNUMBER(FIND("/",TablaPrincipal[[#This Row],[LABORATORIO]])),"COMBINADO","UNICO")</f>
        <v>UNICO</v>
      </c>
      <c r="U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13100</v>
      </c>
      <c r="V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13956.24</v>
      </c>
      <c r="W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25.265000000000001</v>
      </c>
      <c r="Y36" s="185">
        <f>IFERROR(TablaPrincipal[[#This Row],[LIBRAS RALEO PLANTA]]/TablaPrincipal[[#This Row],[HAS]],"-")</f>
        <v>3122.2013422818795</v>
      </c>
      <c r="Z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247960.78404882899</v>
      </c>
      <c r="AA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17000</v>
      </c>
      <c r="AB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18399.46</v>
      </c>
      <c r="AC36" s="186">
        <f>SUMIFS(COSECHAS!F:F,COSECHAS!A:A,'BASE 2026'!AW:AW,COSECHAS!G:G,"="&amp;A:A)</f>
        <v>29</v>
      </c>
      <c r="AD36" s="186">
        <f>SUMIFS(COSECHAS!M:M,COSECHAS!A:A,'BASE 2026'!AW:AW,COSECHAS!G:G,"="&amp;A:A)</f>
        <v>28.44</v>
      </c>
      <c r="AE36" s="185">
        <f>IFERROR(TablaPrincipal[[#This Row],[LIBRAS PLANTA]]/TablaPrincipal[[#This Row],[HAS]],"-")</f>
        <v>4116.2102908277402</v>
      </c>
      <c r="AF36" s="185">
        <f>IFERROR(TablaPrincipal[[#This Row],[LIBRAS PLANTA]]*454/TablaPrincipal[[#This Row],[GRAMOS PLANTA]],"-")</f>
        <v>293718.52461322077</v>
      </c>
      <c r="AG36" s="185">
        <f>TablaPrincipal[[#This Row],[LIBRAS RALEO PLANTA]]+TablaPrincipal[[#This Row],[LIBRAS PLANTA]]</f>
        <v>32355.699999999997</v>
      </c>
      <c r="AH36" s="185">
        <f>IFERROR(TablaPrincipal[[#This Row],[CAM COSECHADOS RALEO]]+TablaPrincipal[[#This Row],[CAM COSECHADOS]],"-")</f>
        <v>541679.30866204971</v>
      </c>
      <c r="AI36" s="185">
        <f>IFERROR((TablaPrincipal[[#This Row],[LIBRAS RALEO PLANTA]]+TablaPrincipal[[#This Row],[LIBRAS PLANTA]])/TablaPrincipal[[#This Row],[HAS]],"0")</f>
        <v>7238.4116331096193</v>
      </c>
      <c r="AJ36" s="186">
        <f t="shared" si="0"/>
        <v>2.4278048780487809</v>
      </c>
      <c r="AK36" s="186">
        <f>IFERROR(TablaPrincipal[[#This Row],[LBS/HA]]/TablaPrincipal[[#This Row],[DIAS]],"-")</f>
        <v>88.273312598897803</v>
      </c>
      <c r="AL36" s="186">
        <f>IFERROR(TablaPrincipal[[#This Row],[CAM COSECHADOS TOTALES]]/TablaPrincipal[[#This Row],[ANIM SEMBRADOS]]*100,"-")</f>
        <v>71.28297258350436</v>
      </c>
      <c r="AM36" s="185">
        <v>47778.091200000003</v>
      </c>
      <c r="AN36" s="187">
        <f>IFERROR(((TablaPrincipal[[#This Row],[BALANCEADO ACUMULADO (LBS)]]/2.2046)/TablaPrincipal[[#This Row],[HAS]])/TablaPrincipal[[#This Row],[DIAS]],"-")</f>
        <v>59.125879849402523</v>
      </c>
      <c r="AO36" s="184">
        <f>IFERROR(TablaPrincipal[[#This Row],[BALANCEADO ACUMULADO (LBS)]]/TablaPrincipal[[#This Row],[LIBRAS TOTALES]],"-")</f>
        <v>1.4766514462675822</v>
      </c>
      <c r="AP36" s="184" t="s">
        <v>133</v>
      </c>
      <c r="AQ36" s="184" t="s">
        <v>105</v>
      </c>
      <c r="AR36" s="185">
        <f>TablaPrincipal[[#This Row],[LIBRAS RALEO PLANTA]]-TablaPrincipal[[#This Row],[LIBRAS RALEO CAMARONERA]]</f>
        <v>856.23999999999978</v>
      </c>
      <c r="AS36" s="185">
        <f>TablaPrincipal[[#This Row],[LIBRAS PLANTA]]-TablaPrincipal[[#This Row],[LIBRAS CAMARONERA]]</f>
        <v>1399.4599999999991</v>
      </c>
      <c r="AT36" s="187">
        <f>TablaPrincipal[[#This Row],[GRAMAJE RALEO PLANTA]]-TablaPrincipal[[#This Row],[GRAMAJE RALEO CAMARONERA]]</f>
        <v>-0.23499999999999943</v>
      </c>
      <c r="AU36" s="187">
        <f>TablaPrincipal[[#This Row],[GRAMOS PLANTA]]-TablaPrincipal[[#This Row],[GRAMAJE CAMARONERA]]</f>
        <v>-0.55999999999999872</v>
      </c>
      <c r="AV36" s="183" t="str">
        <f>+VLOOKUP(TablaPrincipal[[#This Row],[CODIGO]],TablaCosechas[#All],10,0)</f>
        <v>JULIO SANTOS</v>
      </c>
      <c r="AW36" s="183" t="s">
        <v>140</v>
      </c>
      <c r="AX36" s="188" t="str">
        <f>+VLOOKUP(TablaPrincipal[[#This Row],[CODIGO]],TablaCosechas[#All],10,0)</f>
        <v>JULIO SANTOS</v>
      </c>
    </row>
    <row r="37" spans="1:50" hidden="1" x14ac:dyDescent="0.25">
      <c r="A37" s="196">
        <v>46034</v>
      </c>
      <c r="B37" s="183">
        <v>35</v>
      </c>
      <c r="C37" s="183">
        <f>YEAR(TablaPrincipal[[#This Row],[FECHA]])</f>
        <v>2026</v>
      </c>
      <c r="D37" s="183" t="s">
        <v>103</v>
      </c>
      <c r="E37" s="183" t="str">
        <f>UPPER(TEXT(TablaPrincipal[[#This Row],[FECHA]],"MMMM"))</f>
        <v>ENERO</v>
      </c>
      <c r="F37" s="183" t="str">
        <f>IFERROR(VLOOKUP(TablaPrincipal[[#This Row],[CODIGO]],COSECHAS!A:J,9,0),"-")</f>
        <v>21</v>
      </c>
      <c r="G37" s="183" t="str">
        <f>IFERROR(VLOOKUP(TablaPrincipal[[#This Row],[CODIGO]],COSECHAS!A:I,8,0),"-")</f>
        <v>PARGO ROJO</v>
      </c>
      <c r="H37" s="184">
        <f>IFERROR(VLOOKUP(TablaPrincipal[[#This Row],[CODIGO]],DATOS!A:B,2,0),"-")</f>
        <v>1.7</v>
      </c>
      <c r="I37" s="183" t="str">
        <f>IFERROR(VLOOKUP(TablaPrincipal[[#This Row],[CODIGO]],Tabla8[[#Headers],[#Data]],3,0),"-")</f>
        <v>CONVENCIONAL</v>
      </c>
      <c r="J37" s="183">
        <f>IFERROR(TablaPrincipal[[#This Row],[FECHA]]-TablaPrincipal[[#This Row],[FECHA DE SIEMBRA]],"-")</f>
        <v>64</v>
      </c>
      <c r="K37" s="196">
        <f>VLOOKUP(TablaPrincipal[[#This Row],[CODIGO]]&amp;TablaPrincipal[[#This Row],[AGUAJE ]],Tabla4[#All],4,0)</f>
        <v>45970</v>
      </c>
      <c r="L37" s="183" t="str">
        <f>VLOOKUP(TablaPrincipal[[#This Row],[CODIGO]]&amp;TablaPrincipal[[#This Row],[AGUAJE ]],Tabla4[#All],15,0)</f>
        <v>PR PC 23</v>
      </c>
      <c r="M37" s="184">
        <f>VLOOKUP(TablaPrincipal[[#This Row],[CODIGO]]&amp;TablaPrincipal[[#This Row],[AGUAJE ]],Tabla4[#All],14,0)</f>
        <v>0.35</v>
      </c>
      <c r="N37" s="183">
        <v>12</v>
      </c>
      <c r="O37" s="170">
        <f>VLOOKUP(TablaPrincipal[[#This Row],[CODIGO]]&amp;TablaPrincipal[[#This Row],[AGUAJE ]],Tabla4[#All],5,0)</f>
        <v>204000</v>
      </c>
      <c r="P37" s="221">
        <f>IFERROR(TablaPrincipal[[#This Row],[ANIM SEMBRADOS]]/TablaPrincipal[[#This Row],[HAS]],"-")</f>
        <v>120000</v>
      </c>
      <c r="Q37" s="222">
        <f>IFERROR(TablaPrincipal[[#This Row],[DENSIDAD]]/10000,"-")</f>
        <v>12</v>
      </c>
      <c r="R37" s="183" t="str">
        <f>VLOOKUP(TablaPrincipal[[#This Row],[CODIGO]]&amp;TablaPrincipal[[#This Row],[AGUAJE ]],Tabla4[#All],8,0)</f>
        <v>GRILSAN</v>
      </c>
      <c r="S37" s="183" t="str">
        <f>VLOOKUP(TablaPrincipal[[#This Row],[CODIGO]]&amp;TablaPrincipal[[#This Row],[AGUAJE ]],Tabla4[#All],7,0)</f>
        <v>AQUAGEN</v>
      </c>
      <c r="T37" s="183" t="str">
        <f>IF(ISNUMBER(FIND("/",TablaPrincipal[[#This Row],[LABORATORIO]])),"COMBINADO","UNICO")</f>
        <v>UNICO</v>
      </c>
      <c r="U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7" s="185">
        <f>IFERROR(TablaPrincipal[[#This Row],[LIBRAS RALEO PLANTA]]/TablaPrincipal[[#This Row],[HAS]],"-")</f>
        <v>0</v>
      </c>
      <c r="Z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5400</v>
      </c>
      <c r="AB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6001.96</v>
      </c>
      <c r="AC37" s="186">
        <f>SUMIFS(COSECHAS!F:F,COSECHAS!A:A,'BASE 2026'!AW:AW,COSECHAS!G:G,"="&amp;A:A)</f>
        <v>21</v>
      </c>
      <c r="AD37" s="186">
        <f>SUMIFS(COSECHAS!M:M,COSECHAS!A:A,'BASE 2026'!AW:AW,COSECHAS!G:G,"="&amp;A:A)</f>
        <v>21.86</v>
      </c>
      <c r="AE37" s="185">
        <f>IFERROR(TablaPrincipal[[#This Row],[LIBRAS PLANTA]]/TablaPrincipal[[#This Row],[HAS]],"-")</f>
        <v>3530.5647058823529</v>
      </c>
      <c r="AF37" s="185">
        <f>IFERROR(TablaPrincipal[[#This Row],[LIBRAS PLANTA]]*454/TablaPrincipal[[#This Row],[GRAMOS PLANTA]],"-")</f>
        <v>124651.86825251601</v>
      </c>
      <c r="AG37" s="185">
        <f>TablaPrincipal[[#This Row],[LIBRAS RALEO PLANTA]]+TablaPrincipal[[#This Row],[LIBRAS PLANTA]]</f>
        <v>6001.96</v>
      </c>
      <c r="AH37" s="185">
        <f>IFERROR(TablaPrincipal[[#This Row],[CAM COSECHADOS RALEO]]+TablaPrincipal[[#This Row],[CAM COSECHADOS]],"-")</f>
        <v>124651.86825251601</v>
      </c>
      <c r="AI37" s="185">
        <f>IFERROR((TablaPrincipal[[#This Row],[LIBRAS RALEO PLANTA]]+TablaPrincipal[[#This Row],[LIBRAS PLANTA]])/TablaPrincipal[[#This Row],[HAS]],"0")</f>
        <v>3530.5647058823529</v>
      </c>
      <c r="AJ37" s="186">
        <f t="shared" si="0"/>
        <v>2.3909375000000002</v>
      </c>
      <c r="AK37" s="186">
        <f>IFERROR(TablaPrincipal[[#This Row],[LBS/HA]]/TablaPrincipal[[#This Row],[DIAS]],"-")</f>
        <v>55.165073529411764</v>
      </c>
      <c r="AL37" s="186">
        <f>IFERROR(TablaPrincipal[[#This Row],[CAM COSECHADOS TOTALES]]/TablaPrincipal[[#This Row],[ANIM SEMBRADOS]]*100,"-")</f>
        <v>61.103856986527461</v>
      </c>
      <c r="AM37" s="185">
        <v>7319.2719999999999</v>
      </c>
      <c r="AN37" s="187">
        <f>IFERROR(((TablaPrincipal[[#This Row],[BALANCEADO ACUMULADO (LBS)]]/2.2046)/TablaPrincipal[[#This Row],[HAS]])/TablaPrincipal[[#This Row],[DIAS]],"-")</f>
        <v>30.514705882352942</v>
      </c>
      <c r="AO37" s="184">
        <f>IFERROR(TablaPrincipal[[#This Row],[BALANCEADO ACUMULADO (LBS)]]/TablaPrincipal[[#This Row],[LIBRAS TOTALES]],"-")</f>
        <v>1.2194803031009871</v>
      </c>
      <c r="AP37" s="184" t="s">
        <v>104</v>
      </c>
      <c r="AQ37" s="184" t="s">
        <v>105</v>
      </c>
      <c r="AR37" s="185">
        <f>TablaPrincipal[[#This Row],[LIBRAS RALEO PLANTA]]-TablaPrincipal[[#This Row],[LIBRAS RALEO CAMARONERA]]</f>
        <v>0</v>
      </c>
      <c r="AS37" s="185">
        <f>TablaPrincipal[[#This Row],[LIBRAS PLANTA]]-TablaPrincipal[[#This Row],[LIBRAS CAMARONERA]]</f>
        <v>601.96</v>
      </c>
      <c r="AT37" s="187">
        <f>TablaPrincipal[[#This Row],[GRAMAJE RALEO PLANTA]]-TablaPrincipal[[#This Row],[GRAMAJE RALEO CAMARONERA]]</f>
        <v>0</v>
      </c>
      <c r="AU37" s="187">
        <f>TablaPrincipal[[#This Row],[GRAMOS PLANTA]]-TablaPrincipal[[#This Row],[GRAMAJE CAMARONERA]]</f>
        <v>0.85999999999999943</v>
      </c>
      <c r="AV37" s="183" t="str">
        <f>+VLOOKUP(TablaPrincipal[[#This Row],[CODIGO]],TablaCosechas[#All],10,0)</f>
        <v>WILMER TORRES</v>
      </c>
      <c r="AW37" s="183" t="s">
        <v>141</v>
      </c>
      <c r="AX37" s="188" t="str">
        <f>+VLOOKUP(TablaPrincipal[[#This Row],[CODIGO]],TablaCosechas[#All],10,0)</f>
        <v>WILMER TORRES</v>
      </c>
    </row>
    <row r="38" spans="1:50" hidden="1" x14ac:dyDescent="0.25">
      <c r="A38" s="196">
        <v>46034</v>
      </c>
      <c r="B38" s="183">
        <v>36</v>
      </c>
      <c r="C38" s="183">
        <f>YEAR(TablaPrincipal[[#This Row],[FECHA]])</f>
        <v>2026</v>
      </c>
      <c r="D38" s="183" t="s">
        <v>103</v>
      </c>
      <c r="E38" s="183" t="str">
        <f>UPPER(TEXT(TablaPrincipal[[#This Row],[FECHA]],"MMMM"))</f>
        <v>ENERO</v>
      </c>
      <c r="F38" s="183" t="str">
        <f>IFERROR(VLOOKUP(TablaPrincipal[[#This Row],[CODIGO]],COSECHAS!A:J,9,0),"-")</f>
        <v>22</v>
      </c>
      <c r="G38" s="183" t="str">
        <f>IFERROR(VLOOKUP(TablaPrincipal[[#This Row],[CODIGO]],COSECHAS!A:I,8,0),"-")</f>
        <v>PARGO ROJO</v>
      </c>
      <c r="H38" s="184">
        <f>IFERROR(VLOOKUP(TablaPrincipal[[#This Row],[CODIGO]],DATOS!A:B,2,0),"-")</f>
        <v>2.54</v>
      </c>
      <c r="I38" s="183" t="str">
        <f>IFERROR(VLOOKUP(TablaPrincipal[[#This Row],[CODIGO]],Tabla8[[#Headers],[#Data]],3,0),"-")</f>
        <v>CONVENCIONAL</v>
      </c>
      <c r="J38" s="183">
        <f>IFERROR(TablaPrincipal[[#This Row],[FECHA]]-TablaPrincipal[[#This Row],[FECHA DE SIEMBRA]],"-")</f>
        <v>64</v>
      </c>
      <c r="K38" s="196">
        <f>VLOOKUP(TablaPrincipal[[#This Row],[CODIGO]]&amp;TablaPrincipal[[#This Row],[AGUAJE ]],Tabla4[#All],4,0)</f>
        <v>45970</v>
      </c>
      <c r="L38" s="183" t="str">
        <f>VLOOKUP(TablaPrincipal[[#This Row],[CODIGO]]&amp;TablaPrincipal[[#This Row],[AGUAJE ]],Tabla4[#All],15,0)</f>
        <v>PR PC 23</v>
      </c>
      <c r="M38" s="184">
        <f>VLOOKUP(TablaPrincipal[[#This Row],[CODIGO]]&amp;TablaPrincipal[[#This Row],[AGUAJE ]],Tabla4[#All],14,0)</f>
        <v>0.35</v>
      </c>
      <c r="N38" s="183">
        <v>10</v>
      </c>
      <c r="O38" s="170">
        <f>VLOOKUP(TablaPrincipal[[#This Row],[CODIGO]]&amp;TablaPrincipal[[#This Row],[AGUAJE ]],Tabla4[#All],5,0)</f>
        <v>355600</v>
      </c>
      <c r="P38" s="221">
        <f>IFERROR(TablaPrincipal[[#This Row],[ANIM SEMBRADOS]]/TablaPrincipal[[#This Row],[HAS]],"-")</f>
        <v>140000</v>
      </c>
      <c r="Q38" s="222">
        <f>IFERROR(TablaPrincipal[[#This Row],[DENSIDAD]]/10000,"-")</f>
        <v>14</v>
      </c>
      <c r="R38" s="183" t="str">
        <f>VLOOKUP(TablaPrincipal[[#This Row],[CODIGO]]&amp;TablaPrincipal[[#This Row],[AGUAJE ]],Tabla4[#All],8,0)</f>
        <v>GRILSAN</v>
      </c>
      <c r="S38" s="183" t="str">
        <f>VLOOKUP(TablaPrincipal[[#This Row],[CODIGO]]&amp;TablaPrincipal[[#This Row],[AGUAJE ]],Tabla4[#All],7,0)</f>
        <v>AQUAGEN</v>
      </c>
      <c r="T38" s="183" t="str">
        <f>IF(ISNUMBER(FIND("/",TablaPrincipal[[#This Row],[LABORATORIO]])),"COMBINADO","UNICO")</f>
        <v>UNICO</v>
      </c>
      <c r="U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8" s="185">
        <f>IFERROR(TablaPrincipal[[#This Row],[LIBRAS RALEO PLANTA]]/TablaPrincipal[[#This Row],[HAS]],"-")</f>
        <v>0</v>
      </c>
      <c r="Z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7200</v>
      </c>
      <c r="AB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7729.25</v>
      </c>
      <c r="AC38" s="186">
        <f>SUMIFS(COSECHAS!F:F,COSECHAS!A:A,'BASE 2026'!AW:AW,COSECHAS!G:G,"="&amp;A:A)</f>
        <v>20</v>
      </c>
      <c r="AD38" s="186">
        <f>SUMIFS(COSECHAS!M:M,COSECHAS!A:A,'BASE 2026'!AW:AW,COSECHAS!G:G,"="&amp;A:A)</f>
        <v>17.82</v>
      </c>
      <c r="AE38" s="185">
        <f>IFERROR(TablaPrincipal[[#This Row],[LIBRAS PLANTA]]/TablaPrincipal[[#This Row],[HAS]],"-")</f>
        <v>3043.0118110236222</v>
      </c>
      <c r="AF38" s="185">
        <f>IFERROR(TablaPrincipal[[#This Row],[LIBRAS PLANTA]]*454/TablaPrincipal[[#This Row],[GRAMOS PLANTA]],"-")</f>
        <v>196918.04152637484</v>
      </c>
      <c r="AG38" s="185">
        <f>TablaPrincipal[[#This Row],[LIBRAS RALEO PLANTA]]+TablaPrincipal[[#This Row],[LIBRAS PLANTA]]</f>
        <v>7729.25</v>
      </c>
      <c r="AH38" s="185">
        <f>IFERROR(TablaPrincipal[[#This Row],[CAM COSECHADOS RALEO]]+TablaPrincipal[[#This Row],[CAM COSECHADOS]],"-")</f>
        <v>196918.04152637484</v>
      </c>
      <c r="AI38" s="185">
        <f>IFERROR((TablaPrincipal[[#This Row],[LIBRAS RALEO PLANTA]]+TablaPrincipal[[#This Row],[LIBRAS PLANTA]])/TablaPrincipal[[#This Row],[HAS]],"0")</f>
        <v>3043.0118110236222</v>
      </c>
      <c r="AJ38" s="186">
        <f t="shared" si="0"/>
        <v>1.9490625000000001</v>
      </c>
      <c r="AK38" s="186">
        <f>IFERROR(TablaPrincipal[[#This Row],[LBS/HA]]/TablaPrincipal[[#This Row],[DIAS]],"-")</f>
        <v>47.547059547244096</v>
      </c>
      <c r="AL38" s="186">
        <f>IFERROR(TablaPrincipal[[#This Row],[CAM COSECHADOS TOTALES]]/TablaPrincipal[[#This Row],[ANIM SEMBRADOS]]*100,"-")</f>
        <v>55.376277144649841</v>
      </c>
      <c r="AM38" s="185">
        <v>10515.942000000001</v>
      </c>
      <c r="AN38" s="187">
        <f>IFERROR(((TablaPrincipal[[#This Row],[BALANCEADO ACUMULADO (LBS)]]/2.2046)/TablaPrincipal[[#This Row],[HAS]])/TablaPrincipal[[#This Row],[DIAS]],"-")</f>
        <v>29.343011811023622</v>
      </c>
      <c r="AO38" s="184">
        <f>IFERROR(TablaPrincipal[[#This Row],[BALANCEADO ACUMULADO (LBS)]]/TablaPrincipal[[#This Row],[LIBRAS TOTALES]],"-")</f>
        <v>1.3605384739787174</v>
      </c>
      <c r="AP38" s="184" t="s">
        <v>104</v>
      </c>
      <c r="AQ38" s="184" t="s">
        <v>105</v>
      </c>
      <c r="AR38" s="185">
        <f>TablaPrincipal[[#This Row],[LIBRAS RALEO PLANTA]]-TablaPrincipal[[#This Row],[LIBRAS RALEO CAMARONERA]]</f>
        <v>0</v>
      </c>
      <c r="AS38" s="185">
        <f>TablaPrincipal[[#This Row],[LIBRAS PLANTA]]-TablaPrincipal[[#This Row],[LIBRAS CAMARONERA]]</f>
        <v>529.25</v>
      </c>
      <c r="AT38" s="187">
        <f>TablaPrincipal[[#This Row],[GRAMAJE RALEO PLANTA]]-TablaPrincipal[[#This Row],[GRAMAJE RALEO CAMARONERA]]</f>
        <v>0</v>
      </c>
      <c r="AU38" s="187">
        <f>TablaPrincipal[[#This Row],[GRAMOS PLANTA]]-TablaPrincipal[[#This Row],[GRAMAJE CAMARONERA]]</f>
        <v>-2.1799999999999997</v>
      </c>
      <c r="AV38" s="183" t="str">
        <f>+VLOOKUP(TablaPrincipal[[#This Row],[CODIGO]],TablaCosechas[#All],10,0)</f>
        <v>WILMER TORRES</v>
      </c>
      <c r="AW38" s="183" t="s">
        <v>142</v>
      </c>
      <c r="AX38" s="188" t="str">
        <f>+VLOOKUP(TablaPrincipal[[#This Row],[CODIGO]],TablaCosechas[#All],10,0)</f>
        <v>WILMER TORRES</v>
      </c>
    </row>
    <row r="39" spans="1:50" hidden="1" x14ac:dyDescent="0.25">
      <c r="A39" s="196">
        <v>46034</v>
      </c>
      <c r="B39" s="183">
        <v>37</v>
      </c>
      <c r="C39" s="183">
        <f>YEAR(TablaPrincipal[[#This Row],[FECHA]])</f>
        <v>2026</v>
      </c>
      <c r="D39" s="183" t="s">
        <v>103</v>
      </c>
      <c r="E39" s="183" t="str">
        <f>UPPER(TEXT(TablaPrincipal[[#This Row],[FECHA]],"MMMM"))</f>
        <v>ENERO</v>
      </c>
      <c r="F39" s="183" t="str">
        <f>IFERROR(VLOOKUP(TablaPrincipal[[#This Row],[CODIGO]],COSECHAS!A:J,9,0),"-")</f>
        <v>08</v>
      </c>
      <c r="G39" s="183" t="str">
        <f>IFERROR(VLOOKUP(TablaPrincipal[[#This Row],[CODIGO]],COSECHAS!A:I,8,0),"-")</f>
        <v>TAMBULERO</v>
      </c>
      <c r="H39" s="184">
        <f>IFERROR(VLOOKUP(TablaPrincipal[[#This Row],[CODIGO]],DATOS!A:B,2,0),"-")</f>
        <v>8</v>
      </c>
      <c r="I39" s="183" t="str">
        <f>IFERROR(VLOOKUP(TablaPrincipal[[#This Row],[CODIGO]],Tabla8[[#Headers],[#Data]],3,0),"-")</f>
        <v>ASC-BAP</v>
      </c>
      <c r="J39" s="183">
        <f>IFERROR(TablaPrincipal[[#This Row],[FECHA]]-TablaPrincipal[[#This Row],[FECHA DE SIEMBRA]],"-")</f>
        <v>65</v>
      </c>
      <c r="K39" s="196">
        <f>VLOOKUP(TablaPrincipal[[#This Row],[CODIGO]]&amp;TablaPrincipal[[#This Row],[AGUAJE ]],Tabla4[#All],4,0)</f>
        <v>45969</v>
      </c>
      <c r="L39" s="183" t="str">
        <f>VLOOKUP(TablaPrincipal[[#This Row],[CODIGO]]&amp;TablaPrincipal[[#This Row],[AGUAJE ]],Tabla4[#All],15,0)</f>
        <v>TA PC 9</v>
      </c>
      <c r="M39" s="184">
        <f>VLOOKUP(TablaPrincipal[[#This Row],[CODIGO]]&amp;TablaPrincipal[[#This Row],[AGUAJE ]],Tabla4[#All],14,0)</f>
        <v>4.5</v>
      </c>
      <c r="N39" s="183">
        <v>5</v>
      </c>
      <c r="O39" s="170">
        <f>VLOOKUP(TablaPrincipal[[#This Row],[CODIGO]]&amp;TablaPrincipal[[#This Row],[AGUAJE ]],Tabla4[#All],5,0)</f>
        <v>1360000</v>
      </c>
      <c r="P39" s="221">
        <f>IFERROR(TablaPrincipal[[#This Row],[ANIM SEMBRADOS]]/TablaPrincipal[[#This Row],[HAS]],"-")</f>
        <v>170000</v>
      </c>
      <c r="Q39" s="222">
        <f>IFERROR(TablaPrincipal[[#This Row],[DENSIDAD]]/10000,"-")</f>
        <v>17</v>
      </c>
      <c r="R39" s="183" t="str">
        <f>VLOOKUP(TablaPrincipal[[#This Row],[CODIGO]]&amp;TablaPrincipal[[#This Row],[AGUAJE ]],Tabla4[#All],8,0)</f>
        <v>ACUATECSA</v>
      </c>
      <c r="S39" s="183" t="str">
        <f>VLOOKUP(TablaPrincipal[[#This Row],[CODIGO]]&amp;TablaPrincipal[[#This Row],[AGUAJE ]],Tabla4[#All],7,0)</f>
        <v>TEXCUMAR</v>
      </c>
      <c r="T39" s="183" t="str">
        <f>IF(ISNUMBER(FIND("/",TablaPrincipal[[#This Row],[LABORATORIO]])),"COMBINADO","UNICO")</f>
        <v>UNICO</v>
      </c>
      <c r="U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26000</v>
      </c>
      <c r="V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25836.43</v>
      </c>
      <c r="W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24.270000000000003</v>
      </c>
      <c r="Y39" s="185">
        <f>IFERROR(TablaPrincipal[[#This Row],[LIBRAS RALEO PLANTA]]/TablaPrincipal[[#This Row],[HAS]],"-")</f>
        <v>3229.55375</v>
      </c>
      <c r="Z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495176.88306486094</v>
      </c>
      <c r="AA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54200</v>
      </c>
      <c r="AB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54785.26</v>
      </c>
      <c r="AC39" s="186">
        <f>SUMIFS(COSECHAS!F:F,COSECHAS!A:A,'BASE 2026'!AW:AW,COSECHAS!G:G,"="&amp;A:A)</f>
        <v>37</v>
      </c>
      <c r="AD39" s="186">
        <f>SUMIFS(COSECHAS!M:M,COSECHAS!A:A,'BASE 2026'!AW:AW,COSECHAS!G:G,"="&amp;A:A)</f>
        <v>36.799999999999997</v>
      </c>
      <c r="AE39" s="185">
        <f>IFERROR(TablaPrincipal[[#This Row],[LIBRAS PLANTA]]/TablaPrincipal[[#This Row],[HAS]],"-")</f>
        <v>6848.1575000000003</v>
      </c>
      <c r="AF39" s="185">
        <f>IFERROR(TablaPrincipal[[#This Row],[LIBRAS PLANTA]]*454/TablaPrincipal[[#This Row],[GRAMOS PLANTA]],"-")</f>
        <v>675883.370652174</v>
      </c>
      <c r="AG39" s="185">
        <f>TablaPrincipal[[#This Row],[LIBRAS RALEO PLANTA]]+TablaPrincipal[[#This Row],[LIBRAS PLANTA]]</f>
        <v>80621.69</v>
      </c>
      <c r="AH39" s="185">
        <f>IFERROR(TablaPrincipal[[#This Row],[CAM COSECHADOS RALEO]]+TablaPrincipal[[#This Row],[CAM COSECHADOS]],"-")</f>
        <v>1171060.2537170351</v>
      </c>
      <c r="AI39" s="185">
        <f>IFERROR((TablaPrincipal[[#This Row],[LIBRAS RALEO PLANTA]]+TablaPrincipal[[#This Row],[LIBRAS PLANTA]])/TablaPrincipal[[#This Row],[HAS]],"0")</f>
        <v>10077.71125</v>
      </c>
      <c r="AJ39" s="186">
        <f t="shared" si="0"/>
        <v>3.9630769230769225</v>
      </c>
      <c r="AK39" s="186">
        <f>IFERROR(TablaPrincipal[[#This Row],[LBS/HA]]/TablaPrincipal[[#This Row],[DIAS]],"-")</f>
        <v>155.04171153846156</v>
      </c>
      <c r="AL39" s="186">
        <f>IFERROR(TablaPrincipal[[#This Row],[CAM COSECHADOS TOTALES]]/TablaPrincipal[[#This Row],[ANIM SEMBRADOS]]*100,"-")</f>
        <v>86.107371596840807</v>
      </c>
      <c r="AM39" s="185">
        <v>97222.86</v>
      </c>
      <c r="AN39" s="187">
        <f>IFERROR(((TablaPrincipal[[#This Row],[BALANCEADO ACUMULADO (LBS)]]/2.2046)/TablaPrincipal[[#This Row],[HAS]])/TablaPrincipal[[#This Row],[DIAS]],"-")</f>
        <v>84.807692307692307</v>
      </c>
      <c r="AO39" s="184">
        <f>IFERROR(TablaPrincipal[[#This Row],[BALANCEADO ACUMULADO (LBS)]]/TablaPrincipal[[#This Row],[LIBRAS TOTALES]],"-")</f>
        <v>1.2059144381617404</v>
      </c>
      <c r="AP39" s="184" t="s">
        <v>133</v>
      </c>
      <c r="AQ39" s="184" t="s">
        <v>105</v>
      </c>
      <c r="AR39" s="185">
        <f>TablaPrincipal[[#This Row],[LIBRAS RALEO PLANTA]]-TablaPrincipal[[#This Row],[LIBRAS RALEO CAMARONERA]]</f>
        <v>-163.56999999999971</v>
      </c>
      <c r="AS39" s="185">
        <f>TablaPrincipal[[#This Row],[LIBRAS PLANTA]]-TablaPrincipal[[#This Row],[LIBRAS CAMARONERA]]</f>
        <v>585.26000000000204</v>
      </c>
      <c r="AT39" s="187">
        <f>TablaPrincipal[[#This Row],[GRAMAJE RALEO PLANTA]]-TablaPrincipal[[#This Row],[GRAMAJE RALEO CAMARONERA]]</f>
        <v>1.0200000000000031</v>
      </c>
      <c r="AU39" s="187">
        <f>TablaPrincipal[[#This Row],[GRAMOS PLANTA]]-TablaPrincipal[[#This Row],[GRAMAJE CAMARONERA]]</f>
        <v>-0.20000000000000284</v>
      </c>
      <c r="AV39" s="183" t="str">
        <f>+VLOOKUP(TablaPrincipal[[#This Row],[CODIGO]],TablaCosechas[#All],10,0)</f>
        <v>ALFONSO GRUNAUER</v>
      </c>
      <c r="AW39" s="183" t="s">
        <v>143</v>
      </c>
      <c r="AX39" s="188" t="str">
        <f>+VLOOKUP(TablaPrincipal[[#This Row],[CODIGO]],TablaCosechas[#All],10,0)</f>
        <v>ALFONSO GRUNAUER</v>
      </c>
    </row>
    <row r="40" spans="1:50" hidden="1" x14ac:dyDescent="0.25">
      <c r="A40" s="196">
        <v>46035</v>
      </c>
      <c r="B40" s="183">
        <v>38</v>
      </c>
      <c r="C40" s="183">
        <f>YEAR(TablaPrincipal[[#This Row],[FECHA]])</f>
        <v>2026</v>
      </c>
      <c r="D40" s="183" t="s">
        <v>103</v>
      </c>
      <c r="E40" s="183" t="str">
        <f>UPPER(TEXT(TablaPrincipal[[#This Row],[FECHA]],"MMMM"))</f>
        <v>ENERO</v>
      </c>
      <c r="F40" s="183" t="str">
        <f>IFERROR(VLOOKUP(TablaPrincipal[[#This Row],[CODIGO]],COSECHAS!A:J,9,0),"-")</f>
        <v>23</v>
      </c>
      <c r="G40" s="183" t="str">
        <f>IFERROR(VLOOKUP(TablaPrincipal[[#This Row],[CODIGO]],COSECHAS!A:I,8,0),"-")</f>
        <v>CHERNA</v>
      </c>
      <c r="H40" s="184">
        <f>IFERROR(VLOOKUP(TablaPrincipal[[#This Row],[CODIGO]],DATOS!A:B,2,0),"-")</f>
        <v>6.1</v>
      </c>
      <c r="I40" s="183" t="str">
        <f>IFERROR(VLOOKUP(TablaPrincipal[[#This Row],[CODIGO]],Tabla8[[#Headers],[#Data]],3,0),"-")</f>
        <v>ASC</v>
      </c>
      <c r="J40" s="183">
        <f>IFERROR(TablaPrincipal[[#This Row],[FECHA]]-TablaPrincipal[[#This Row],[FECHA DE SIEMBRA]],"-")</f>
        <v>80</v>
      </c>
      <c r="K40" s="196">
        <f>VLOOKUP(TablaPrincipal[[#This Row],[CODIGO]]&amp;TablaPrincipal[[#This Row],[AGUAJE ]],Tabla4[#All],4,0)</f>
        <v>45955</v>
      </c>
      <c r="L40" s="183" t="str">
        <f>VLOOKUP(TablaPrincipal[[#This Row],[CODIGO]]&amp;TablaPrincipal[[#This Row],[AGUAJE ]],Tabla4[#All],15,0)</f>
        <v>CH PS 17</v>
      </c>
      <c r="M40" s="184">
        <f>VLOOKUP(TablaPrincipal[[#This Row],[CODIGO]]&amp;TablaPrincipal[[#This Row],[AGUAJE ]],Tabla4[#All],14,0)</f>
        <v>0.62</v>
      </c>
      <c r="N40" s="183">
        <v>4</v>
      </c>
      <c r="O40" s="170">
        <f>VLOOKUP(TablaPrincipal[[#This Row],[CODIGO]]&amp;TablaPrincipal[[#This Row],[AGUAJE ]],Tabla4[#All],5,0)</f>
        <v>1098000</v>
      </c>
      <c r="P40" s="221">
        <f>IFERROR(TablaPrincipal[[#This Row],[ANIM SEMBRADOS]]/TablaPrincipal[[#This Row],[HAS]],"-")</f>
        <v>180000</v>
      </c>
      <c r="Q40" s="222">
        <f>IFERROR(TablaPrincipal[[#This Row],[DENSIDAD]]/10000,"-")</f>
        <v>18</v>
      </c>
      <c r="R40" s="183" t="str">
        <f>VLOOKUP(TablaPrincipal[[#This Row],[CODIGO]]&amp;TablaPrincipal[[#This Row],[AGUAJE ]],Tabla4[#All],8,0)</f>
        <v>MAXILARVA</v>
      </c>
      <c r="S40" s="183" t="str">
        <f>VLOOKUP(TablaPrincipal[[#This Row],[CODIGO]]&amp;TablaPrincipal[[#This Row],[AGUAJE ]],Tabla4[#All],7,0)</f>
        <v>TEXCUMAR</v>
      </c>
      <c r="T40" s="183" t="str">
        <f>IF(ISNUMBER(FIND("/",TablaPrincipal[[#This Row],[LABORATORIO]])),"COMBINADO","UNICO")</f>
        <v>UNICO</v>
      </c>
      <c r="U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14200</v>
      </c>
      <c r="V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14938.34</v>
      </c>
      <c r="W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26.28</v>
      </c>
      <c r="Y40" s="185">
        <f>IFERROR(TablaPrincipal[[#This Row],[LIBRAS RALEO PLANTA]]/TablaPrincipal[[#This Row],[HAS]],"-")</f>
        <v>2448.9081967213115</v>
      </c>
      <c r="Z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266693.69340749341</v>
      </c>
      <c r="AA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31350</v>
      </c>
      <c r="AB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32915.61</v>
      </c>
      <c r="AC40" s="186">
        <f>SUMIFS(COSECHAS!F:F,COSECHAS!A:A,'BASE 2026'!AW:AW,COSECHAS!G:G,"="&amp;A:A)</f>
        <v>36</v>
      </c>
      <c r="AD40" s="186">
        <f>SUMIFS(COSECHAS!M:M,COSECHAS!A:A,'BASE 2026'!AW:AW,COSECHAS!G:G,"="&amp;A:A)</f>
        <v>35.72</v>
      </c>
      <c r="AE40" s="185">
        <f>IFERROR(TablaPrincipal[[#This Row],[LIBRAS PLANTA]]/TablaPrincipal[[#This Row],[HAS]],"-")</f>
        <v>5396.0016393442629</v>
      </c>
      <c r="AF40" s="185">
        <f>IFERROR(TablaPrincipal[[#This Row],[LIBRAS PLANTA]]*454/TablaPrincipal[[#This Row],[GRAMOS PLANTA]],"-")</f>
        <v>418356.29731242999</v>
      </c>
      <c r="AG40" s="185">
        <f>TablaPrincipal[[#This Row],[LIBRAS RALEO PLANTA]]+TablaPrincipal[[#This Row],[LIBRAS PLANTA]]</f>
        <v>47853.95</v>
      </c>
      <c r="AH40" s="185">
        <f>IFERROR(TablaPrincipal[[#This Row],[CAM COSECHADOS RALEO]]+TablaPrincipal[[#This Row],[CAM COSECHADOS]],"-")</f>
        <v>685049.9907199234</v>
      </c>
      <c r="AI40" s="185">
        <f>IFERROR((TablaPrincipal[[#This Row],[LIBRAS RALEO PLANTA]]+TablaPrincipal[[#This Row],[LIBRAS PLANTA]])/TablaPrincipal[[#This Row],[HAS]],"0")</f>
        <v>7844.9098360655735</v>
      </c>
      <c r="AJ40" s="186">
        <f t="shared" si="0"/>
        <v>3.1254999999999997</v>
      </c>
      <c r="AK40" s="186">
        <f>IFERROR(TablaPrincipal[[#This Row],[LBS/HA]]/TablaPrincipal[[#This Row],[DIAS]],"-")</f>
        <v>98.061372950819674</v>
      </c>
      <c r="AL40" s="186">
        <f>IFERROR(TablaPrincipal[[#This Row],[CAM COSECHADOS TOTALES]]/TablaPrincipal[[#This Row],[ANIM SEMBRADOS]]*100,"-")</f>
        <v>62.390709537333642</v>
      </c>
      <c r="AM40" s="185">
        <v>68783.520000000004</v>
      </c>
      <c r="AN40" s="187">
        <f>IFERROR(((TablaPrincipal[[#This Row],[BALANCEADO ACUMULADO (LBS)]]/2.2046)/TablaPrincipal[[#This Row],[HAS]])/TablaPrincipal[[#This Row],[DIAS]],"-")</f>
        <v>63.934426229508198</v>
      </c>
      <c r="AO40" s="184">
        <f>IFERROR(TablaPrincipal[[#This Row],[BALANCEADO ACUMULADO (LBS)]]/TablaPrincipal[[#This Row],[LIBRAS TOTALES]],"-")</f>
        <v>1.4373634778320286</v>
      </c>
      <c r="AP40" s="184" t="s">
        <v>104</v>
      </c>
      <c r="AQ40" s="184" t="s">
        <v>105</v>
      </c>
      <c r="AR40" s="185">
        <f>TablaPrincipal[[#This Row],[LIBRAS RALEO PLANTA]]-TablaPrincipal[[#This Row],[LIBRAS RALEO CAMARONERA]]</f>
        <v>738.34000000000015</v>
      </c>
      <c r="AS40" s="185">
        <f>TablaPrincipal[[#This Row],[LIBRAS PLANTA]]-TablaPrincipal[[#This Row],[LIBRAS CAMARONERA]]</f>
        <v>1565.6100000000006</v>
      </c>
      <c r="AT40" s="187">
        <f>TablaPrincipal[[#This Row],[GRAMAJE RALEO PLANTA]]-TablaPrincipal[[#This Row],[GRAMAJE RALEO CAMARONERA]]</f>
        <v>-0.96999999999999886</v>
      </c>
      <c r="AU40" s="187">
        <f>TablaPrincipal[[#This Row],[GRAMOS PLANTA]]-TablaPrincipal[[#This Row],[GRAMAJE CAMARONERA]]</f>
        <v>-0.28000000000000114</v>
      </c>
      <c r="AV40" s="183" t="str">
        <f>+VLOOKUP(TablaPrincipal[[#This Row],[CODIGO]],TablaCosechas[#All],10,0)</f>
        <v>SANTIAGO OBRIEN</v>
      </c>
      <c r="AW40" s="183" t="s">
        <v>26</v>
      </c>
      <c r="AX40" s="188" t="str">
        <f>+VLOOKUP(TablaPrincipal[[#This Row],[CODIGO]],TablaCosechas[#All],10,0)</f>
        <v>SANTIAGO OBRIEN</v>
      </c>
    </row>
    <row r="41" spans="1:50" hidden="1" x14ac:dyDescent="0.25">
      <c r="A41" s="196">
        <v>46035</v>
      </c>
      <c r="B41" s="183">
        <v>39</v>
      </c>
      <c r="C41" s="183">
        <f>YEAR(TablaPrincipal[[#This Row],[FECHA]])</f>
        <v>2026</v>
      </c>
      <c r="D41" s="183" t="s">
        <v>103</v>
      </c>
      <c r="E41" s="183" t="str">
        <f>UPPER(TEXT(TablaPrincipal[[#This Row],[FECHA]],"MMMM"))</f>
        <v>ENERO</v>
      </c>
      <c r="F41" s="183" t="str">
        <f>IFERROR(VLOOKUP(TablaPrincipal[[#This Row],[CODIGO]],COSECHAS!A:J,9,0),"-")</f>
        <v>09</v>
      </c>
      <c r="G41" s="183" t="str">
        <f>IFERROR(VLOOKUP(TablaPrincipal[[#This Row],[CODIGO]],COSECHAS!A:I,8,0),"-")</f>
        <v>DORADO</v>
      </c>
      <c r="H41" s="184">
        <f>IFERROR(VLOOKUP(TablaPrincipal[[#This Row],[CODIGO]],DATOS!A:B,2,0),"-")</f>
        <v>7.95</v>
      </c>
      <c r="I41" s="183" t="str">
        <f>IFERROR(VLOOKUP(TablaPrincipal[[#This Row],[CODIGO]],Tabla8[[#Headers],[#Data]],3,0),"-")</f>
        <v>ASC-BAP</v>
      </c>
      <c r="J41" s="183">
        <f>IFERROR(TablaPrincipal[[#This Row],[FECHA]]-TablaPrincipal[[#This Row],[FECHA DE SIEMBRA]],"-")</f>
        <v>87</v>
      </c>
      <c r="K41" s="196">
        <f>VLOOKUP(TablaPrincipal[[#This Row],[CODIGO]]&amp;TablaPrincipal[[#This Row],[AGUAJE ]],Tabla4[#All],4,0)</f>
        <v>45948</v>
      </c>
      <c r="L41" s="183" t="str">
        <f>VLOOKUP(TablaPrincipal[[#This Row],[CODIGO]]&amp;TablaPrincipal[[#This Row],[AGUAJE ]],Tabla4[#All],15,0)</f>
        <v>DO PS 15</v>
      </c>
      <c r="M41" s="184">
        <f>VLOOKUP(TablaPrincipal[[#This Row],[CODIGO]]&amp;TablaPrincipal[[#This Row],[AGUAJE ]],Tabla4[#All],14,0)</f>
        <v>0.73</v>
      </c>
      <c r="N41" s="183">
        <v>5</v>
      </c>
      <c r="O41" s="170">
        <f>VLOOKUP(TablaPrincipal[[#This Row],[CODIGO]]&amp;TablaPrincipal[[#This Row],[AGUAJE ]],Tabla4[#All],5,0)</f>
        <v>1429041</v>
      </c>
      <c r="P41" s="221">
        <f>IFERROR(TablaPrincipal[[#This Row],[ANIM SEMBRADOS]]/TablaPrincipal[[#This Row],[HAS]],"-")</f>
        <v>179753.58490566036</v>
      </c>
      <c r="Q41" s="222">
        <f>IFERROR(TablaPrincipal[[#This Row],[DENSIDAD]]/10000,"-")</f>
        <v>17.975358490566038</v>
      </c>
      <c r="R41" s="183" t="str">
        <f>VLOOKUP(TablaPrincipal[[#This Row],[CODIGO]]&amp;TablaPrincipal[[#This Row],[AGUAJE ]],Tabla4[#All],8,0)</f>
        <v>TECSERV</v>
      </c>
      <c r="S41" s="183" t="str">
        <f>VLOOKUP(TablaPrincipal[[#This Row],[CODIGO]]&amp;TablaPrincipal[[#This Row],[AGUAJE ]],Tabla4[#All],7,0)</f>
        <v>EMPAGRAN</v>
      </c>
      <c r="T41" s="183" t="str">
        <f>IF(ISNUMBER(FIND("/",TablaPrincipal[[#This Row],[LABORATORIO]])),"COMBINADO","UNICO")</f>
        <v>UNICO</v>
      </c>
      <c r="U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25200</v>
      </c>
      <c r="V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25705.52</v>
      </c>
      <c r="W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25.47</v>
      </c>
      <c r="Y41" s="185">
        <f>IFERROR(TablaPrincipal[[#This Row],[LIBRAS RALEO PLANTA]]/TablaPrincipal[[#This Row],[HAS]],"-")</f>
        <v>3233.3987421383649</v>
      </c>
      <c r="Z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458150.24144249514</v>
      </c>
      <c r="AA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45800</v>
      </c>
      <c r="AB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47217.86</v>
      </c>
      <c r="AC41" s="186">
        <f>SUMIFS(COSECHAS!F:F,COSECHAS!A:A,'BASE 2026'!AW:AW,COSECHAS!G:G,"="&amp;A:A)</f>
        <v>30</v>
      </c>
      <c r="AD41" s="186">
        <f>SUMIFS(COSECHAS!M:M,COSECHAS!A:A,'BASE 2026'!AW:AW,COSECHAS!G:G,"="&amp;A:A)</f>
        <v>30</v>
      </c>
      <c r="AE41" s="185">
        <f>IFERROR(TablaPrincipal[[#This Row],[LIBRAS PLANTA]]/TablaPrincipal[[#This Row],[HAS]],"-")</f>
        <v>5939.3534591194966</v>
      </c>
      <c r="AF41" s="185">
        <f>IFERROR(TablaPrincipal[[#This Row],[LIBRAS PLANTA]]*454/TablaPrincipal[[#This Row],[GRAMOS PLANTA]],"-")</f>
        <v>714563.61466666672</v>
      </c>
      <c r="AG41" s="185">
        <f>TablaPrincipal[[#This Row],[LIBRAS RALEO PLANTA]]+TablaPrincipal[[#This Row],[LIBRAS PLANTA]]</f>
        <v>72923.38</v>
      </c>
      <c r="AH41" s="185">
        <f>IFERROR(TablaPrincipal[[#This Row],[CAM COSECHADOS RALEO]]+TablaPrincipal[[#This Row],[CAM COSECHADOS]],"-")</f>
        <v>1172713.8561091619</v>
      </c>
      <c r="AI41" s="185">
        <f>IFERROR((TablaPrincipal[[#This Row],[LIBRAS RALEO PLANTA]]+TablaPrincipal[[#This Row],[LIBRAS PLANTA]])/TablaPrincipal[[#This Row],[HAS]],"0")</f>
        <v>9172.7522012578629</v>
      </c>
      <c r="AJ41" s="186">
        <f t="shared" si="0"/>
        <v>2.4137931034482758</v>
      </c>
      <c r="AK41" s="186">
        <f>IFERROR(TablaPrincipal[[#This Row],[LBS/HA]]/TablaPrincipal[[#This Row],[DIAS]],"-")</f>
        <v>105.43393334779152</v>
      </c>
      <c r="AL41" s="186">
        <f>IFERROR(TablaPrincipal[[#This Row],[CAM COSECHADOS TOTALES]]/TablaPrincipal[[#This Row],[ANIM SEMBRADOS]]*100,"-")</f>
        <v>82.062995820914992</v>
      </c>
      <c r="AM41" s="185">
        <v>90553.945000000007</v>
      </c>
      <c r="AN41" s="187">
        <f>IFERROR(((TablaPrincipal[[#This Row],[BALANCEADO ACUMULADO (LBS)]]/2.2046)/TablaPrincipal[[#This Row],[HAS]])/TablaPrincipal[[#This Row],[DIAS]],"-")</f>
        <v>59.38697318007663</v>
      </c>
      <c r="AO41" s="184">
        <f>IFERROR(TablaPrincipal[[#This Row],[BALANCEADO ACUMULADO (LBS)]]/TablaPrincipal[[#This Row],[LIBRAS TOTALES]],"-")</f>
        <v>1.2417683464480116</v>
      </c>
      <c r="AP41" s="184" t="s">
        <v>108</v>
      </c>
      <c r="AQ41" s="184" t="s">
        <v>105</v>
      </c>
      <c r="AR41" s="185">
        <f>TablaPrincipal[[#This Row],[LIBRAS RALEO PLANTA]]-TablaPrincipal[[#This Row],[LIBRAS RALEO CAMARONERA]]</f>
        <v>505.52000000000044</v>
      </c>
      <c r="AS41" s="185">
        <f>TablaPrincipal[[#This Row],[LIBRAS PLANTA]]-TablaPrincipal[[#This Row],[LIBRAS CAMARONERA]]</f>
        <v>1417.8600000000006</v>
      </c>
      <c r="AT41" s="187">
        <f>TablaPrincipal[[#This Row],[GRAMAJE RALEO PLANTA]]-TablaPrincipal[[#This Row],[GRAMAJE RALEO CAMARONERA]]</f>
        <v>0.46999999999999886</v>
      </c>
      <c r="AU41" s="187">
        <f>TablaPrincipal[[#This Row],[GRAMOS PLANTA]]-TablaPrincipal[[#This Row],[GRAMAJE CAMARONERA]]</f>
        <v>0</v>
      </c>
      <c r="AV41" s="183" t="str">
        <f>+VLOOKUP(TablaPrincipal[[#This Row],[CODIGO]],TablaCosechas[#All],10,0)</f>
        <v>JOSE CEDEÑO</v>
      </c>
      <c r="AW41" s="183" t="s">
        <v>144</v>
      </c>
      <c r="AX41" s="188" t="str">
        <f>+VLOOKUP(TablaPrincipal[[#This Row],[CODIGO]],TablaCosechas[#All],10,0)</f>
        <v>JOSE CEDEÑO</v>
      </c>
    </row>
    <row r="42" spans="1:50" hidden="1" x14ac:dyDescent="0.25">
      <c r="A42" s="196">
        <v>46035</v>
      </c>
      <c r="B42" s="183">
        <v>40</v>
      </c>
      <c r="C42" s="183">
        <f>YEAR(TablaPrincipal[[#This Row],[FECHA]])</f>
        <v>2026</v>
      </c>
      <c r="D42" s="183" t="s">
        <v>103</v>
      </c>
      <c r="E42" s="183" t="str">
        <f>UPPER(TEXT(TablaPrincipal[[#This Row],[FECHA]],"MMMM"))</f>
        <v>ENERO</v>
      </c>
      <c r="F42" s="183" t="str">
        <f>IFERROR(VLOOKUP(TablaPrincipal[[#This Row],[CODIGO]],COSECHAS!A:J,9,0),"-")</f>
        <v>15</v>
      </c>
      <c r="G42" s="183" t="str">
        <f>IFERROR(VLOOKUP(TablaPrincipal[[#This Row],[CODIGO]],COSECHAS!A:I,8,0),"-")</f>
        <v>GUATO</v>
      </c>
      <c r="H42" s="184">
        <f>IFERROR(VLOOKUP(TablaPrincipal[[#This Row],[CODIGO]],DATOS!A:B,2,0),"-")</f>
        <v>2.69</v>
      </c>
      <c r="I42" s="183" t="str">
        <f>IFERROR(VLOOKUP(TablaPrincipal[[#This Row],[CODIGO]],Tabla8[[#Headers],[#Data]],3,0),"-")</f>
        <v>CONVENCIONAL</v>
      </c>
      <c r="J42" s="183">
        <f>IFERROR(TablaPrincipal[[#This Row],[FECHA]]-TablaPrincipal[[#This Row],[FECHA DE SIEMBRA]],"-")</f>
        <v>83</v>
      </c>
      <c r="K42" s="196">
        <f>VLOOKUP(TablaPrincipal[[#This Row],[CODIGO]]&amp;TablaPrincipal[[#This Row],[AGUAJE ]],Tabla4[#All],4,0)</f>
        <v>45952</v>
      </c>
      <c r="L42" s="183" t="str">
        <f>VLOOKUP(TablaPrincipal[[#This Row],[CODIGO]]&amp;TablaPrincipal[[#This Row],[AGUAJE ]],Tabla4[#All],15,0)</f>
        <v>GT PC 5 - 6</v>
      </c>
      <c r="M42" s="184">
        <f>VLOOKUP(TablaPrincipal[[#This Row],[CODIGO]]&amp;TablaPrincipal[[#This Row],[AGUAJE ]],Tabla4[#All],14,0)</f>
        <v>0.54</v>
      </c>
      <c r="N42" s="183">
        <v>8</v>
      </c>
      <c r="O42" s="170">
        <f>VLOOKUP(TablaPrincipal[[#This Row],[CODIGO]]&amp;TablaPrincipal[[#This Row],[AGUAJE ]],Tabla4[#All],5,0)</f>
        <v>403500</v>
      </c>
      <c r="P42" s="221">
        <f>IFERROR(TablaPrincipal[[#This Row],[ANIM SEMBRADOS]]/TablaPrincipal[[#This Row],[HAS]],"-")</f>
        <v>150000</v>
      </c>
      <c r="Q42" s="222">
        <f>IFERROR(TablaPrincipal[[#This Row],[DENSIDAD]]/10000,"-")</f>
        <v>15</v>
      </c>
      <c r="R42" s="183" t="str">
        <f>VLOOKUP(TablaPrincipal[[#This Row],[CODIGO]]&amp;TablaPrincipal[[#This Row],[AGUAJE ]],Tabla4[#All],8,0)</f>
        <v>GENESIS/TECSERV</v>
      </c>
      <c r="S42" s="183" t="str">
        <f>VLOOKUP(TablaPrincipal[[#This Row],[CODIGO]]&amp;TablaPrincipal[[#This Row],[AGUAJE ]],Tabla4[#All],7,0)</f>
        <v>TEXCUMAR</v>
      </c>
      <c r="T42" s="183" t="str">
        <f>IF(ISNUMBER(FIND("/",TablaPrincipal[[#This Row],[LABORATORIO]])),"COMBINADO","UNICO")</f>
        <v>COMBINADO</v>
      </c>
      <c r="U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3700</v>
      </c>
      <c r="V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4216.3599999999997</v>
      </c>
      <c r="W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24.02</v>
      </c>
      <c r="Y42" s="185">
        <f>IFERROR(TablaPrincipal[[#This Row],[LIBRAS RALEO PLANTA]]/TablaPrincipal[[#This Row],[HAS]],"-")</f>
        <v>1567.4200743494423</v>
      </c>
      <c r="Z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79693.065778517906</v>
      </c>
      <c r="AA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12800</v>
      </c>
      <c r="AB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13517.9</v>
      </c>
      <c r="AC42" s="186">
        <f>SUMIFS(COSECHAS!F:F,COSECHAS!A:A,'BASE 2026'!AW:AW,COSECHAS!G:G,"="&amp;A:A)</f>
        <v>30</v>
      </c>
      <c r="AD42" s="186">
        <f>SUMIFS(COSECHAS!M:M,COSECHAS!A:A,'BASE 2026'!AW:AW,COSECHAS!G:G,"="&amp;A:A)</f>
        <v>30.4</v>
      </c>
      <c r="AE42" s="185">
        <f>IFERROR(TablaPrincipal[[#This Row],[LIBRAS PLANTA]]/TablaPrincipal[[#This Row],[HAS]],"-")</f>
        <v>5025.241635687732</v>
      </c>
      <c r="AF42" s="185">
        <f>IFERROR(TablaPrincipal[[#This Row],[LIBRAS PLANTA]]*454/TablaPrincipal[[#This Row],[GRAMOS PLANTA]],"-")</f>
        <v>201879.16447368421</v>
      </c>
      <c r="AG42" s="185">
        <f>TablaPrincipal[[#This Row],[LIBRAS RALEO PLANTA]]+TablaPrincipal[[#This Row],[LIBRAS PLANTA]]</f>
        <v>17734.259999999998</v>
      </c>
      <c r="AH42" s="185">
        <f>IFERROR(TablaPrincipal[[#This Row],[CAM COSECHADOS RALEO]]+TablaPrincipal[[#This Row],[CAM COSECHADOS]],"-")</f>
        <v>281572.23025220213</v>
      </c>
      <c r="AI42" s="185">
        <f>IFERROR((TablaPrincipal[[#This Row],[LIBRAS RALEO PLANTA]]+TablaPrincipal[[#This Row],[LIBRAS PLANTA]])/TablaPrincipal[[#This Row],[HAS]],"0")</f>
        <v>6592.6617100371741</v>
      </c>
      <c r="AJ42" s="186">
        <f t="shared" si="0"/>
        <v>2.5638554216867466</v>
      </c>
      <c r="AK42" s="186">
        <f>IFERROR(TablaPrincipal[[#This Row],[LBS/HA]]/TablaPrincipal[[#This Row],[DIAS]],"-")</f>
        <v>79.429659157074383</v>
      </c>
      <c r="AL42" s="186">
        <f>IFERROR(TablaPrincipal[[#This Row],[CAM COSECHADOS TOTALES]]/TablaPrincipal[[#This Row],[ANIM SEMBRADOS]]*100,"-")</f>
        <v>69.782461029046388</v>
      </c>
      <c r="AM42" s="185">
        <v>27722.845000000001</v>
      </c>
      <c r="AN42" s="187">
        <f>IFERROR(((TablaPrincipal[[#This Row],[BALANCEADO ACUMULADO (LBS)]]/2.2046)/TablaPrincipal[[#This Row],[HAS]])/TablaPrincipal[[#This Row],[DIAS]],"-")</f>
        <v>56.321942043265999</v>
      </c>
      <c r="AO42" s="184">
        <f>IFERROR(TablaPrincipal[[#This Row],[BALANCEADO ACUMULADO (LBS)]]/TablaPrincipal[[#This Row],[LIBRAS TOTALES]],"-")</f>
        <v>1.5632366391380301</v>
      </c>
      <c r="AP42" s="184" t="s">
        <v>133</v>
      </c>
      <c r="AQ42" s="184" t="s">
        <v>105</v>
      </c>
      <c r="AR42" s="185">
        <f>TablaPrincipal[[#This Row],[LIBRAS RALEO PLANTA]]-TablaPrincipal[[#This Row],[LIBRAS RALEO CAMARONERA]]</f>
        <v>516.35999999999967</v>
      </c>
      <c r="AS42" s="185">
        <f>TablaPrincipal[[#This Row],[LIBRAS PLANTA]]-TablaPrincipal[[#This Row],[LIBRAS CAMARONERA]]</f>
        <v>717.89999999999964</v>
      </c>
      <c r="AT42" s="187">
        <f>TablaPrincipal[[#This Row],[GRAMAJE RALEO PLANTA]]-TablaPrincipal[[#This Row],[GRAMAJE RALEO CAMARONERA]]</f>
        <v>-0.98000000000000043</v>
      </c>
      <c r="AU42" s="187">
        <f>TablaPrincipal[[#This Row],[GRAMOS PLANTA]]-TablaPrincipal[[#This Row],[GRAMAJE CAMARONERA]]</f>
        <v>0.39999999999999858</v>
      </c>
      <c r="AV42" s="183" t="str">
        <f>+VLOOKUP(TablaPrincipal[[#This Row],[CODIGO]],TablaCosechas[#All],10,0)</f>
        <v>JULIO SANTOS</v>
      </c>
      <c r="AW42" s="183" t="s">
        <v>145</v>
      </c>
      <c r="AX42" s="188" t="str">
        <f>+VLOOKUP(TablaPrincipal[[#This Row],[CODIGO]],TablaCosechas[#All],10,0)</f>
        <v>JULIO SANTOS</v>
      </c>
    </row>
    <row r="43" spans="1:50" hidden="1" x14ac:dyDescent="0.25">
      <c r="A43" s="196">
        <v>46035</v>
      </c>
      <c r="B43" s="183">
        <v>41</v>
      </c>
      <c r="C43" s="183">
        <f>YEAR(TablaPrincipal[[#This Row],[FECHA]])</f>
        <v>2026</v>
      </c>
      <c r="D43" s="183" t="s">
        <v>103</v>
      </c>
      <c r="E43" s="183" t="str">
        <f>UPPER(TEXT(TablaPrincipal[[#This Row],[FECHA]],"MMMM"))</f>
        <v>ENERO</v>
      </c>
      <c r="F43" s="183" t="str">
        <f>IFERROR(VLOOKUP(TablaPrincipal[[#This Row],[CODIGO]],COSECHAS!A:J,9,0),"-")</f>
        <v>29</v>
      </c>
      <c r="G43" s="183" t="str">
        <f>IFERROR(VLOOKUP(TablaPrincipal[[#This Row],[CODIGO]],COSECHAS!A:I,8,0),"-")</f>
        <v>PARGO ROJO</v>
      </c>
      <c r="H43" s="184">
        <f>IFERROR(VLOOKUP(TablaPrincipal[[#This Row],[CODIGO]],DATOS!A:B,2,0),"-")</f>
        <v>6.35</v>
      </c>
      <c r="I43" s="183" t="str">
        <f>IFERROR(VLOOKUP(TablaPrincipal[[#This Row],[CODIGO]],Tabla8[[#Headers],[#Data]],3,0),"-")</f>
        <v>CONVENCIONAL</v>
      </c>
      <c r="J43" s="183">
        <f>IFERROR(TablaPrincipal[[#This Row],[FECHA]]-TablaPrincipal[[#This Row],[FECHA DE SIEMBRA]],"-")</f>
        <v>59</v>
      </c>
      <c r="K43" s="196">
        <f>VLOOKUP(TablaPrincipal[[#This Row],[CODIGO]]&amp;TablaPrincipal[[#This Row],[AGUAJE ]],Tabla4[#All],4,0)</f>
        <v>45976</v>
      </c>
      <c r="L43" s="183" t="str">
        <f>VLOOKUP(TablaPrincipal[[#This Row],[CODIGO]]&amp;TablaPrincipal[[#This Row],[AGUAJE ]],Tabla4[#All],15,0)</f>
        <v>PR PC 25</v>
      </c>
      <c r="M43" s="184">
        <f>VLOOKUP(TablaPrincipal[[#This Row],[CODIGO]]&amp;TablaPrincipal[[#This Row],[AGUAJE ]],Tabla4[#All],14,0)</f>
        <v>0.3</v>
      </c>
      <c r="N43" s="183">
        <v>5</v>
      </c>
      <c r="O43" s="170">
        <f>VLOOKUP(TablaPrincipal[[#This Row],[CODIGO]]&amp;TablaPrincipal[[#This Row],[AGUAJE ]],Tabla4[#All],5,0)</f>
        <v>889000</v>
      </c>
      <c r="P43" s="221">
        <f>IFERROR(TablaPrincipal[[#This Row],[ANIM SEMBRADOS]]/TablaPrincipal[[#This Row],[HAS]],"-")</f>
        <v>140000</v>
      </c>
      <c r="Q43" s="222">
        <f>IFERROR(TablaPrincipal[[#This Row],[DENSIDAD]]/10000,"-")</f>
        <v>14</v>
      </c>
      <c r="R43" s="183" t="str">
        <f>VLOOKUP(TablaPrincipal[[#This Row],[CODIGO]]&amp;TablaPrincipal[[#This Row],[AGUAJE ]],Tabla4[#All],8,0)</f>
        <v>ARPON</v>
      </c>
      <c r="S43" s="183" t="str">
        <f>VLOOKUP(TablaPrincipal[[#This Row],[CODIGO]]&amp;TablaPrincipal[[#This Row],[AGUAJE ]],Tabla4[#All],7,0)</f>
        <v>TEXCUMAR</v>
      </c>
      <c r="T43" s="183" t="str">
        <f>IF(ISNUMBER(FIND("/",TablaPrincipal[[#This Row],[LABORATORIO]])),"COMBINADO","UNICO")</f>
        <v>UNICO</v>
      </c>
      <c r="U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3" s="185">
        <f>IFERROR(TablaPrincipal[[#This Row],[LIBRAS RALEO PLANTA]]/TablaPrincipal[[#This Row],[HAS]],"-")</f>
        <v>0</v>
      </c>
      <c r="Z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B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15977.46</v>
      </c>
      <c r="AC43" s="186">
        <f>SUMIFS(COSECHAS!F:F,COSECHAS!A:A,'BASE 2026'!AW:AW,COSECHAS!G:G,"="&amp;A:A)</f>
        <v>22</v>
      </c>
      <c r="AD43" s="186">
        <f>SUMIFS(COSECHAS!M:M,COSECHAS!A:A,'BASE 2026'!AW:AW,COSECHAS!G:G,"="&amp;A:A)</f>
        <v>21.92</v>
      </c>
      <c r="AE43" s="185">
        <f>IFERROR(TablaPrincipal[[#This Row],[LIBRAS PLANTA]]/TablaPrincipal[[#This Row],[HAS]],"-")</f>
        <v>2516.1354330708659</v>
      </c>
      <c r="AF43" s="185">
        <f>IFERROR(TablaPrincipal[[#This Row],[LIBRAS PLANTA]]*454/TablaPrincipal[[#This Row],[GRAMOS PLANTA]],"-")</f>
        <v>330920.02007299266</v>
      </c>
      <c r="AG43" s="185">
        <f>TablaPrincipal[[#This Row],[LIBRAS RALEO PLANTA]]+TablaPrincipal[[#This Row],[LIBRAS PLANTA]]</f>
        <v>15977.46</v>
      </c>
      <c r="AH43" s="185">
        <f>IFERROR(TablaPrincipal[[#This Row],[CAM COSECHADOS RALEO]]+TablaPrincipal[[#This Row],[CAM COSECHADOS]],"-")</f>
        <v>330920.02007299266</v>
      </c>
      <c r="AI43" s="185">
        <f>IFERROR((TablaPrincipal[[#This Row],[LIBRAS RALEO PLANTA]]+TablaPrincipal[[#This Row],[LIBRAS PLANTA]])/TablaPrincipal[[#This Row],[HAS]],"0")</f>
        <v>2516.1354330708659</v>
      </c>
      <c r="AJ43" s="186">
        <f t="shared" si="0"/>
        <v>2.6006779661016952</v>
      </c>
      <c r="AK43" s="186">
        <f>IFERROR(TablaPrincipal[[#This Row],[LBS/HA]]/TablaPrincipal[[#This Row],[DIAS]],"-")</f>
        <v>42.646363272387561</v>
      </c>
      <c r="AL43" s="186">
        <f>IFERROR(TablaPrincipal[[#This Row],[CAM COSECHADOS TOTALES]]/TablaPrincipal[[#This Row],[ANIM SEMBRADOS]]*100,"-")</f>
        <v>37.223849277052039</v>
      </c>
      <c r="AM43" s="185">
        <v>21748.379000000001</v>
      </c>
      <c r="AN43" s="187">
        <f>IFERROR(((TablaPrincipal[[#This Row],[BALANCEADO ACUMULADO (LBS)]]/2.2046)/TablaPrincipal[[#This Row],[HAS]])/TablaPrincipal[[#This Row],[DIAS]],"-")</f>
        <v>26.331242492993461</v>
      </c>
      <c r="AO43" s="184">
        <f>IFERROR(TablaPrincipal[[#This Row],[BALANCEADO ACUMULADO (LBS)]]/TablaPrincipal[[#This Row],[LIBRAS TOTALES]],"-")</f>
        <v>1.3611912656955487</v>
      </c>
      <c r="AP43" s="184" t="s">
        <v>104</v>
      </c>
      <c r="AQ43" s="184" t="s">
        <v>105</v>
      </c>
      <c r="AR43" s="185">
        <f>TablaPrincipal[[#This Row],[LIBRAS RALEO PLANTA]]-TablaPrincipal[[#This Row],[LIBRAS RALEO CAMARONERA]]</f>
        <v>0</v>
      </c>
      <c r="AS43" s="185">
        <f>TablaPrincipal[[#This Row],[LIBRAS PLANTA]]-TablaPrincipal[[#This Row],[LIBRAS CAMARONERA]]</f>
        <v>1577.4599999999991</v>
      </c>
      <c r="AT43" s="187">
        <f>TablaPrincipal[[#This Row],[GRAMAJE RALEO PLANTA]]-TablaPrincipal[[#This Row],[GRAMAJE RALEO CAMARONERA]]</f>
        <v>0</v>
      </c>
      <c r="AU43" s="187">
        <f>TablaPrincipal[[#This Row],[GRAMOS PLANTA]]-TablaPrincipal[[#This Row],[GRAMAJE CAMARONERA]]</f>
        <v>-7.9999999999998295E-2</v>
      </c>
      <c r="AV43" s="183" t="str">
        <f>+VLOOKUP(TablaPrincipal[[#This Row],[CODIGO]],TablaCosechas[#All],10,0)</f>
        <v>WILMER TORRES</v>
      </c>
      <c r="AW43" s="183" t="s">
        <v>146</v>
      </c>
      <c r="AX43" s="188" t="str">
        <f>+VLOOKUP(TablaPrincipal[[#This Row],[CODIGO]],TablaCosechas[#All],10,0)</f>
        <v>WILMER TORRES</v>
      </c>
    </row>
    <row r="44" spans="1:50" hidden="1" x14ac:dyDescent="0.25">
      <c r="A44" s="196">
        <v>46036</v>
      </c>
      <c r="B44" s="183">
        <v>42</v>
      </c>
      <c r="C44" s="183">
        <f>YEAR(TablaPrincipal[[#This Row],[FECHA]])</f>
        <v>2026</v>
      </c>
      <c r="D44" s="183" t="s">
        <v>103</v>
      </c>
      <c r="E44" s="183" t="str">
        <f>UPPER(TEXT(TablaPrincipal[[#This Row],[FECHA]],"MMMM"))</f>
        <v>ENERO</v>
      </c>
      <c r="F44" s="183" t="str">
        <f>IFERROR(VLOOKUP(TablaPrincipal[[#This Row],[CODIGO]],COSECHAS!A:J,9,0),"-")</f>
        <v>24</v>
      </c>
      <c r="G44" s="183" t="str">
        <f>IFERROR(VLOOKUP(TablaPrincipal[[#This Row],[CODIGO]],COSECHAS!A:I,8,0),"-")</f>
        <v>CHERNA</v>
      </c>
      <c r="H44" s="184">
        <f>IFERROR(VLOOKUP(TablaPrincipal[[#This Row],[CODIGO]],DATOS!A:B,2,0),"-")</f>
        <v>5.54</v>
      </c>
      <c r="I44" s="183" t="str">
        <f>IFERROR(VLOOKUP(TablaPrincipal[[#This Row],[CODIGO]],Tabla8[[#Headers],[#Data]],3,0),"-")</f>
        <v>ASC</v>
      </c>
      <c r="J44" s="183">
        <f>IFERROR(TablaPrincipal[[#This Row],[FECHA]]-TablaPrincipal[[#This Row],[FECHA DE SIEMBRA]],"-")</f>
        <v>74</v>
      </c>
      <c r="K44" s="196">
        <f>VLOOKUP(TablaPrincipal[[#This Row],[CODIGO]]&amp;TablaPrincipal[[#This Row],[AGUAJE ]],Tabla4[#All],4,0)</f>
        <v>45962</v>
      </c>
      <c r="L44" s="183" t="str">
        <f>VLOOKUP(TablaPrincipal[[#This Row],[CODIGO]]&amp;TablaPrincipal[[#This Row],[AGUAJE ]],Tabla4[#All],15,0)</f>
        <v>CH PC 3 - PS 17</v>
      </c>
      <c r="M44" s="184">
        <f>VLOOKUP(TablaPrincipal[[#This Row],[CODIGO]]&amp;TablaPrincipal[[#This Row],[AGUAJE ]],Tabla4[#All],14,0)</f>
        <v>0.72</v>
      </c>
      <c r="N44" s="183">
        <v>10</v>
      </c>
      <c r="O44" s="170">
        <f>VLOOKUP(TablaPrincipal[[#This Row],[CODIGO]]&amp;TablaPrincipal[[#This Row],[AGUAJE ]],Tabla4[#All],5,0)</f>
        <v>886400</v>
      </c>
      <c r="P44" s="221">
        <f>IFERROR(TablaPrincipal[[#This Row],[ANIM SEMBRADOS]]/TablaPrincipal[[#This Row],[HAS]],"-")</f>
        <v>160000</v>
      </c>
      <c r="Q44" s="222">
        <f>IFERROR(TablaPrincipal[[#This Row],[DENSIDAD]]/10000,"-")</f>
        <v>16</v>
      </c>
      <c r="R44" s="183" t="str">
        <f>VLOOKUP(TablaPrincipal[[#This Row],[CODIGO]]&amp;TablaPrincipal[[#This Row],[AGUAJE ]],Tabla4[#All],8,0)</f>
        <v>GENESIS/MAXILARVA</v>
      </c>
      <c r="S44" s="183" t="str">
        <f>VLOOKUP(TablaPrincipal[[#This Row],[CODIGO]]&amp;TablaPrincipal[[#This Row],[AGUAJE ]],Tabla4[#All],7,0)</f>
        <v>TEXCUMAR</v>
      </c>
      <c r="T44" s="183" t="str">
        <f>IF(ISNUMBER(FIND("/",TablaPrincipal[[#This Row],[LABORATORIO]])),"COMBINADO","UNICO")</f>
        <v>COMBINADO</v>
      </c>
      <c r="U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13400</v>
      </c>
      <c r="V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13734.52</v>
      </c>
      <c r="W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</v>
      </c>
      <c r="X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29.25</v>
      </c>
      <c r="Y44" s="185">
        <f>IFERROR(TablaPrincipal[[#This Row],[LIBRAS RALEO PLANTA]]/TablaPrincipal[[#This Row],[HAS]],"-")</f>
        <v>2479.1552346570397</v>
      </c>
      <c r="Z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213491.71611439867</v>
      </c>
      <c r="AA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17337.47</v>
      </c>
      <c r="AC44" s="186">
        <f>SUMIFS(COSECHAS!F:F,COSECHAS!A:A,'BASE 2026'!AW:AW,COSECHAS!G:G,"="&amp;A:A)</f>
        <v>36</v>
      </c>
      <c r="AD44" s="186">
        <f>SUMIFS(COSECHAS!M:M,COSECHAS!A:A,'BASE 2026'!AW:AW,COSECHAS!G:G,"="&amp;A:A)</f>
        <v>33.28</v>
      </c>
      <c r="AE44" s="185">
        <f>IFERROR(TablaPrincipal[[#This Row],[LIBRAS PLANTA]]/TablaPrincipal[[#This Row],[HAS]],"-")</f>
        <v>3129.5072202166066</v>
      </c>
      <c r="AF44" s="185">
        <f>IFERROR(TablaPrincipal[[#This Row],[LIBRAS PLANTA]]*454/TablaPrincipal[[#This Row],[GRAMOS PLANTA]],"-")</f>
        <v>236514.76502403847</v>
      </c>
      <c r="AG44" s="185">
        <f>TablaPrincipal[[#This Row],[LIBRAS RALEO PLANTA]]+TablaPrincipal[[#This Row],[LIBRAS PLANTA]]</f>
        <v>31071.99</v>
      </c>
      <c r="AH44" s="185">
        <f>IFERROR(TablaPrincipal[[#This Row],[CAM COSECHADOS RALEO]]+TablaPrincipal[[#This Row],[CAM COSECHADOS]],"-")</f>
        <v>450006.48113843717</v>
      </c>
      <c r="AI44" s="185">
        <f>IFERROR((TablaPrincipal[[#This Row],[LIBRAS RALEO PLANTA]]+TablaPrincipal[[#This Row],[LIBRAS PLANTA]])/TablaPrincipal[[#This Row],[HAS]],"0")</f>
        <v>5608.6624548736463</v>
      </c>
      <c r="AJ44" s="186">
        <f t="shared" si="0"/>
        <v>3.1481081081081084</v>
      </c>
      <c r="AK44" s="186">
        <f>IFERROR(TablaPrincipal[[#This Row],[LBS/HA]]/TablaPrincipal[[#This Row],[DIAS]],"-")</f>
        <v>75.792735876670889</v>
      </c>
      <c r="AL44" s="186">
        <f>IFERROR(TablaPrincipal[[#This Row],[CAM COSECHADOS TOTALES]]/TablaPrincipal[[#This Row],[ANIM SEMBRADOS]]*100,"-")</f>
        <v>50.76787918980564</v>
      </c>
      <c r="AM44" s="185">
        <v>49493.270000000004</v>
      </c>
      <c r="AN44" s="187">
        <f>IFERROR(((TablaPrincipal[[#This Row],[BALANCEADO ACUMULADO (LBS)]]/2.2046)/TablaPrincipal[[#This Row],[HAS]])/TablaPrincipal[[#This Row],[DIAS]],"-")</f>
        <v>54.761440140501513</v>
      </c>
      <c r="AO44" s="184">
        <f>IFERROR(TablaPrincipal[[#This Row],[BALANCEADO ACUMULADO (LBS)]]/TablaPrincipal[[#This Row],[LIBRAS TOTALES]],"-")</f>
        <v>1.592858069277185</v>
      </c>
      <c r="AP44" s="184" t="s">
        <v>104</v>
      </c>
      <c r="AQ44" s="184" t="s">
        <v>105</v>
      </c>
      <c r="AR44" s="185">
        <f>TablaPrincipal[[#This Row],[LIBRAS RALEO PLANTA]]-TablaPrincipal[[#This Row],[LIBRAS RALEO CAMARONERA]]</f>
        <v>334.52000000000044</v>
      </c>
      <c r="AS44" s="185">
        <f>TablaPrincipal[[#This Row],[LIBRAS PLANTA]]-TablaPrincipal[[#This Row],[LIBRAS CAMARONERA]]</f>
        <v>1487.4700000000012</v>
      </c>
      <c r="AT44" s="187">
        <f>TablaPrincipal[[#This Row],[GRAMAJE RALEO PLANTA]]-TablaPrincipal[[#This Row],[GRAMAJE RALEO CAMARONERA]]</f>
        <v>-2.25</v>
      </c>
      <c r="AU44" s="187">
        <f>TablaPrincipal[[#This Row],[GRAMOS PLANTA]]-TablaPrincipal[[#This Row],[GRAMAJE CAMARONERA]]</f>
        <v>-2.7199999999999989</v>
      </c>
      <c r="AV44" s="183" t="str">
        <f>+VLOOKUP(TablaPrincipal[[#This Row],[CODIGO]],TablaCosechas[#All],10,0)</f>
        <v>SANTIAGO OBRIEN</v>
      </c>
      <c r="AW44" s="183" t="s">
        <v>27</v>
      </c>
      <c r="AX44" s="188" t="str">
        <f>+VLOOKUP(TablaPrincipal[[#This Row],[CODIGO]],TablaCosechas[#All],10,0)</f>
        <v>SANTIAGO OBRIEN</v>
      </c>
    </row>
    <row r="45" spans="1:50" hidden="1" x14ac:dyDescent="0.25">
      <c r="A45" s="196">
        <v>46036</v>
      </c>
      <c r="B45" s="183">
        <v>43</v>
      </c>
      <c r="C45" s="183">
        <f>YEAR(TablaPrincipal[[#This Row],[FECHA]])</f>
        <v>2026</v>
      </c>
      <c r="D45" s="183" t="s">
        <v>103</v>
      </c>
      <c r="E45" s="183" t="str">
        <f>UPPER(TEXT(TablaPrincipal[[#This Row],[FECHA]],"MMMM"))</f>
        <v>ENERO</v>
      </c>
      <c r="F45" s="183" t="str">
        <f>IFERROR(VLOOKUP(TablaPrincipal[[#This Row],[CODIGO]],COSECHAS!A:J,9,0),"-")</f>
        <v>08</v>
      </c>
      <c r="G45" s="183" t="str">
        <f>IFERROR(VLOOKUP(TablaPrincipal[[#This Row],[CODIGO]],COSECHAS!A:I,8,0),"-")</f>
        <v>DORADO</v>
      </c>
      <c r="H45" s="184">
        <f>IFERROR(VLOOKUP(TablaPrincipal[[#This Row],[CODIGO]],DATOS!A:B,2,0),"-")</f>
        <v>7.95</v>
      </c>
      <c r="I45" s="183" t="str">
        <f>IFERROR(VLOOKUP(TablaPrincipal[[#This Row],[CODIGO]],Tabla8[[#Headers],[#Data]],3,0),"-")</f>
        <v>ASC-BAP</v>
      </c>
      <c r="J45" s="183">
        <f>IFERROR(TablaPrincipal[[#This Row],[FECHA]]-TablaPrincipal[[#This Row],[FECHA DE SIEMBRA]],"-")</f>
        <v>91</v>
      </c>
      <c r="K45" s="196">
        <f>VLOOKUP(TablaPrincipal[[#This Row],[CODIGO]]&amp;TablaPrincipal[[#This Row],[AGUAJE ]],Tabla4[#All],4,0)</f>
        <v>45945</v>
      </c>
      <c r="L45" s="183" t="str">
        <f>VLOOKUP(TablaPrincipal[[#This Row],[CODIGO]]&amp;TablaPrincipal[[#This Row],[AGUAJE ]],Tabla4[#All],15,0)</f>
        <v>DO PC 2</v>
      </c>
      <c r="M45" s="184">
        <f>VLOOKUP(TablaPrincipal[[#This Row],[CODIGO]]&amp;TablaPrincipal[[#This Row],[AGUAJE ]],Tabla4[#All],14,0)</f>
        <v>0.7</v>
      </c>
      <c r="N45" s="183">
        <v>6</v>
      </c>
      <c r="O45" s="170">
        <f>VLOOKUP(TablaPrincipal[[#This Row],[CODIGO]]&amp;TablaPrincipal[[#This Row],[AGUAJE ]],Tabla4[#All],5,0)</f>
        <v>1351500</v>
      </c>
      <c r="P45" s="221">
        <f>IFERROR(TablaPrincipal[[#This Row],[ANIM SEMBRADOS]]/TablaPrincipal[[#This Row],[HAS]],"-")</f>
        <v>170000</v>
      </c>
      <c r="Q45" s="222">
        <f>IFERROR(TablaPrincipal[[#This Row],[DENSIDAD]]/10000,"-")</f>
        <v>17</v>
      </c>
      <c r="R45" s="183" t="str">
        <f>VLOOKUP(TablaPrincipal[[#This Row],[CODIGO]]&amp;TablaPrincipal[[#This Row],[AGUAJE ]],Tabla4[#All],8,0)</f>
        <v>EMPAGRAN</v>
      </c>
      <c r="S45" s="183" t="str">
        <f>VLOOKUP(TablaPrincipal[[#This Row],[CODIGO]]&amp;TablaPrincipal[[#This Row],[AGUAJE ]],Tabla4[#All],7,0)</f>
        <v>EMPAGRAN</v>
      </c>
      <c r="T45" s="183" t="str">
        <f>IF(ISNUMBER(FIND("/",TablaPrincipal[[#This Row],[LABORATORIO]])),"COMBINADO","UNICO")</f>
        <v>UNICO</v>
      </c>
      <c r="U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21600</v>
      </c>
      <c r="V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21978.78</v>
      </c>
      <c r="W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</v>
      </c>
      <c r="Y45" s="185">
        <f>IFERROR(TablaPrincipal[[#This Row],[LIBRAS RALEO PLANTA]]/TablaPrincipal[[#This Row],[HAS]],"-")</f>
        <v>2764.6264150943393</v>
      </c>
      <c r="Z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389449.14059344825</v>
      </c>
      <c r="AA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40400</v>
      </c>
      <c r="AB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40701.449999999997</v>
      </c>
      <c r="AC45" s="186">
        <f>SUMIFS(COSECHAS!F:F,COSECHAS!A:A,'BASE 2026'!AW:AW,COSECHAS!G:G,"="&amp;A:A)</f>
        <v>28</v>
      </c>
      <c r="AD45" s="186">
        <f>SUMIFS(COSECHAS!M:M,COSECHAS!A:A,'BASE 2026'!AW:AW,COSECHAS!G:G,"="&amp;A:A)</f>
        <v>28.94</v>
      </c>
      <c r="AE45" s="185">
        <f>IFERROR(TablaPrincipal[[#This Row],[LIBRAS PLANTA]]/TablaPrincipal[[#This Row],[HAS]],"-")</f>
        <v>5119.6792452830186</v>
      </c>
      <c r="AF45" s="185">
        <f>IFERROR(TablaPrincipal[[#This Row],[LIBRAS PLANTA]]*454/TablaPrincipal[[#This Row],[GRAMOS PLANTA]],"-")</f>
        <v>638509.27090532123</v>
      </c>
      <c r="AG45" s="185">
        <f>TablaPrincipal[[#This Row],[LIBRAS RALEO PLANTA]]+TablaPrincipal[[#This Row],[LIBRAS PLANTA]]</f>
        <v>62680.229999999996</v>
      </c>
      <c r="AH45" s="185">
        <f>IFERROR(TablaPrincipal[[#This Row],[CAM COSECHADOS RALEO]]+TablaPrincipal[[#This Row],[CAM COSECHADOS]],"-")</f>
        <v>1027958.4114987694</v>
      </c>
      <c r="AI45" s="185">
        <f>IFERROR((TablaPrincipal[[#This Row],[LIBRAS RALEO PLANTA]]+TablaPrincipal[[#This Row],[LIBRAS PLANTA]])/TablaPrincipal[[#This Row],[HAS]],"0")</f>
        <v>7884.3056603773575</v>
      </c>
      <c r="AJ45" s="186">
        <f t="shared" si="0"/>
        <v>2.2261538461538461</v>
      </c>
      <c r="AK45" s="186">
        <f>IFERROR(TablaPrincipal[[#This Row],[LBS/HA]]/TablaPrincipal[[#This Row],[DIAS]],"-")</f>
        <v>86.640721542608318</v>
      </c>
      <c r="AL45" s="186">
        <f>IFERROR(TablaPrincipal[[#This Row],[CAM COSECHADOS TOTALES]]/TablaPrincipal[[#This Row],[ANIM SEMBRADOS]]*100,"-")</f>
        <v>76.060555789772067</v>
      </c>
      <c r="AM45" s="185">
        <v>92372.74</v>
      </c>
      <c r="AN45" s="187">
        <f>IFERROR(((TablaPrincipal[[#This Row],[BALANCEADO ACUMULADO (LBS)]]/2.2046)/TablaPrincipal[[#This Row],[HAS]])/TablaPrincipal[[#This Row],[DIAS]],"-")</f>
        <v>57.916925841454137</v>
      </c>
      <c r="AO45" s="184">
        <f>IFERROR(TablaPrincipal[[#This Row],[BALANCEADO ACUMULADO (LBS)]]/TablaPrincipal[[#This Row],[LIBRAS TOTALES]],"-")</f>
        <v>1.4737141200662476</v>
      </c>
      <c r="AP45" s="184" t="s">
        <v>108</v>
      </c>
      <c r="AQ45" s="184" t="s">
        <v>105</v>
      </c>
      <c r="AR45" s="185">
        <f>TablaPrincipal[[#This Row],[LIBRAS RALEO PLANTA]]-TablaPrincipal[[#This Row],[LIBRAS RALEO CAMARONERA]]</f>
        <v>378.77999999999884</v>
      </c>
      <c r="AS45" s="185">
        <f>TablaPrincipal[[#This Row],[LIBRAS PLANTA]]-TablaPrincipal[[#This Row],[LIBRAS CAMARONERA]]</f>
        <v>301.44999999999709</v>
      </c>
      <c r="AT45" s="187">
        <f>TablaPrincipal[[#This Row],[GRAMAJE RALEO PLANTA]]-TablaPrincipal[[#This Row],[GRAMAJE RALEO CAMARONERA]]</f>
        <v>0.32000000000000028</v>
      </c>
      <c r="AU45" s="187">
        <f>TablaPrincipal[[#This Row],[GRAMOS PLANTA]]-TablaPrincipal[[#This Row],[GRAMAJE CAMARONERA]]</f>
        <v>0.94000000000000128</v>
      </c>
      <c r="AV45" s="183" t="str">
        <f>+VLOOKUP(TablaPrincipal[[#This Row],[CODIGO]],TablaCosechas[#All],10,0)</f>
        <v>JOSE CEDEÑO</v>
      </c>
      <c r="AW45" s="183" t="s">
        <v>147</v>
      </c>
      <c r="AX45" s="188" t="str">
        <f>+VLOOKUP(TablaPrincipal[[#This Row],[CODIGO]],TablaCosechas[#All],10,0)</f>
        <v>JOSE CEDEÑO</v>
      </c>
    </row>
    <row r="46" spans="1:50" hidden="1" x14ac:dyDescent="0.25">
      <c r="A46" s="196">
        <v>46036</v>
      </c>
      <c r="B46" s="183">
        <v>44</v>
      </c>
      <c r="C46" s="183">
        <f>YEAR(TablaPrincipal[[#This Row],[FECHA]])</f>
        <v>2026</v>
      </c>
      <c r="D46" s="183" t="s">
        <v>103</v>
      </c>
      <c r="E46" s="183" t="str">
        <f>UPPER(TEXT(TablaPrincipal[[#This Row],[FECHA]],"MMMM"))</f>
        <v>ENERO</v>
      </c>
      <c r="F46" s="183" t="str">
        <f>IFERROR(VLOOKUP(TablaPrincipal[[#This Row],[CODIGO]],COSECHAS!A:J,9,0),"-")</f>
        <v>07</v>
      </c>
      <c r="G46" s="183" t="str">
        <f>IFERROR(VLOOKUP(TablaPrincipal[[#This Row],[CODIGO]],COSECHAS!A:I,8,0),"-")</f>
        <v>GUATO</v>
      </c>
      <c r="H46" s="184">
        <f>IFERROR(VLOOKUP(TablaPrincipal[[#This Row],[CODIGO]],DATOS!A:B,2,0),"-")</f>
        <v>4.42</v>
      </c>
      <c r="I46" s="183" t="str">
        <f>IFERROR(VLOOKUP(TablaPrincipal[[#This Row],[CODIGO]],Tabla8[[#Headers],[#Data]],3,0),"-")</f>
        <v>CONVENCIONAL</v>
      </c>
      <c r="J46" s="183">
        <f>IFERROR(TablaPrincipal[[#This Row],[FECHA]]-TablaPrincipal[[#This Row],[FECHA DE SIEMBRA]],"-")</f>
        <v>91</v>
      </c>
      <c r="K46" s="196">
        <f>VLOOKUP(TablaPrincipal[[#This Row],[CODIGO]]&amp;TablaPrincipal[[#This Row],[AGUAJE ]],Tabla4[#All],4,0)</f>
        <v>45945</v>
      </c>
      <c r="L46" s="183" t="str">
        <f>VLOOKUP(TablaPrincipal[[#This Row],[CODIGO]]&amp;TablaPrincipal[[#This Row],[AGUAJE ]],Tabla4[#All],15,0)</f>
        <v>GT PC 7</v>
      </c>
      <c r="M46" s="184">
        <f>VLOOKUP(TablaPrincipal[[#This Row],[CODIGO]]&amp;TablaPrincipal[[#This Row],[AGUAJE ]],Tabla4[#All],14,0)</f>
        <v>0.63</v>
      </c>
      <c r="N46" s="183">
        <v>7</v>
      </c>
      <c r="O46" s="170">
        <f>VLOOKUP(TablaPrincipal[[#This Row],[CODIGO]]&amp;TablaPrincipal[[#This Row],[AGUAJE ]],Tabla4[#All],5,0)</f>
        <v>707200</v>
      </c>
      <c r="P46" s="221">
        <f>IFERROR(TablaPrincipal[[#This Row],[ANIM SEMBRADOS]]/TablaPrincipal[[#This Row],[HAS]],"-")</f>
        <v>160000</v>
      </c>
      <c r="Q46" s="222">
        <f>IFERROR(TablaPrincipal[[#This Row],[DENSIDAD]]/10000,"-")</f>
        <v>16</v>
      </c>
      <c r="R46" s="183" t="str">
        <f>VLOOKUP(TablaPrincipal[[#This Row],[CODIGO]]&amp;TablaPrincipal[[#This Row],[AGUAJE ]],Tabla4[#All],8,0)</f>
        <v>DEONES</v>
      </c>
      <c r="S46" s="183" t="str">
        <f>VLOOKUP(TablaPrincipal[[#This Row],[CODIGO]]&amp;TablaPrincipal[[#This Row],[AGUAJE ]],Tabla4[#All],7,0)</f>
        <v>TEXCUMAR</v>
      </c>
      <c r="T46" s="183" t="str">
        <f>IF(ISNUMBER(FIND("/",TablaPrincipal[[#This Row],[LABORATORIO]])),"COMBINADO","UNICO")</f>
        <v>UNICO</v>
      </c>
      <c r="U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11600</v>
      </c>
      <c r="V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12181.62</v>
      </c>
      <c r="W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25.18</v>
      </c>
      <c r="Y46" s="185">
        <f>IFERROR(TablaPrincipal[[#This Row],[LIBRAS RALEO PLANTA]]/TablaPrincipal[[#This Row],[HAS]],"-")</f>
        <v>2756.0226244343894</v>
      </c>
      <c r="Z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219283.19122104626</v>
      </c>
      <c r="AA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12542.96</v>
      </c>
      <c r="AC46" s="186">
        <f>SUMIFS(COSECHAS!F:F,COSECHAS!A:A,'BASE 2026'!AW:AW,COSECHAS!G:G,"="&amp;A:A)</f>
        <v>29</v>
      </c>
      <c r="AD46" s="186">
        <f>SUMIFS(COSECHAS!M:M,COSECHAS!A:A,'BASE 2026'!AW:AW,COSECHAS!G:G,"="&amp;A:A)</f>
        <v>30.14</v>
      </c>
      <c r="AE46" s="185">
        <f>IFERROR(TablaPrincipal[[#This Row],[LIBRAS PLANTA]]/TablaPrincipal[[#This Row],[HAS]],"-")</f>
        <v>2837.7737556561083</v>
      </c>
      <c r="AF46" s="185">
        <f>IFERROR(TablaPrincipal[[#This Row],[LIBRAS PLANTA]]*454/TablaPrincipal[[#This Row],[GRAMOS PLANTA]],"-")</f>
        <v>188935.09754479097</v>
      </c>
      <c r="AG46" s="185">
        <f>TablaPrincipal[[#This Row],[LIBRAS RALEO PLANTA]]+TablaPrincipal[[#This Row],[LIBRAS PLANTA]]</f>
        <v>24724.58</v>
      </c>
      <c r="AH46" s="185">
        <f>IFERROR(TablaPrincipal[[#This Row],[CAM COSECHADOS RALEO]]+TablaPrincipal[[#This Row],[CAM COSECHADOS]],"-")</f>
        <v>408218.28876583721</v>
      </c>
      <c r="AI46" s="185">
        <f>IFERROR((TablaPrincipal[[#This Row],[LIBRAS RALEO PLANTA]]+TablaPrincipal[[#This Row],[LIBRAS PLANTA]])/TablaPrincipal[[#This Row],[HAS]],"0")</f>
        <v>5593.7963800904981</v>
      </c>
      <c r="AJ46" s="186">
        <f t="shared" si="0"/>
        <v>2.3184615384615386</v>
      </c>
      <c r="AK46" s="186">
        <f>IFERROR(TablaPrincipal[[#This Row],[LBS/HA]]/TablaPrincipal[[#This Row],[DIAS]],"-")</f>
        <v>61.470289891104372</v>
      </c>
      <c r="AL46" s="186">
        <f>IFERROR(TablaPrincipal[[#This Row],[CAM COSECHADOS TOTALES]]/TablaPrincipal[[#This Row],[ANIM SEMBRADOS]]*100,"-")</f>
        <v>57.723174316436257</v>
      </c>
      <c r="AM46" s="185">
        <v>46468.558799999999</v>
      </c>
      <c r="AN46" s="187">
        <f>IFERROR(((TablaPrincipal[[#This Row],[BALANCEADO ACUMULADO (LBS)]]/2.2046)/TablaPrincipal[[#This Row],[HAS]])/TablaPrincipal[[#This Row],[DIAS]],"-")</f>
        <v>52.404156929043801</v>
      </c>
      <c r="AO46" s="184">
        <f>IFERROR(TablaPrincipal[[#This Row],[BALANCEADO ACUMULADO (LBS)]]/TablaPrincipal[[#This Row],[LIBRAS TOTALES]],"-")</f>
        <v>1.8794478531081213</v>
      </c>
      <c r="AP46" s="184" t="s">
        <v>133</v>
      </c>
      <c r="AQ46" s="184" t="s">
        <v>105</v>
      </c>
      <c r="AR46" s="185">
        <f>TablaPrincipal[[#This Row],[LIBRAS RALEO PLANTA]]-TablaPrincipal[[#This Row],[LIBRAS RALEO CAMARONERA]]</f>
        <v>581.6200000000008</v>
      </c>
      <c r="AS46" s="185">
        <f>TablaPrincipal[[#This Row],[LIBRAS PLANTA]]-TablaPrincipal[[#This Row],[LIBRAS CAMARONERA]]</f>
        <v>842.95999999999913</v>
      </c>
      <c r="AT46" s="187">
        <f>TablaPrincipal[[#This Row],[GRAMAJE RALEO PLANTA]]-TablaPrincipal[[#This Row],[GRAMAJE RALEO CAMARONERA]]</f>
        <v>0.17999999999999972</v>
      </c>
      <c r="AU46" s="187">
        <f>TablaPrincipal[[#This Row],[GRAMOS PLANTA]]-TablaPrincipal[[#This Row],[GRAMAJE CAMARONERA]]</f>
        <v>1.1400000000000006</v>
      </c>
      <c r="AV46" s="183" t="str">
        <f>+VLOOKUP(TablaPrincipal[[#This Row],[CODIGO]],TablaCosechas[#All],10,0)</f>
        <v>JULIO SANTOS</v>
      </c>
      <c r="AW46" s="183" t="s">
        <v>148</v>
      </c>
      <c r="AX46" s="188" t="str">
        <f>+VLOOKUP(TablaPrincipal[[#This Row],[CODIGO]],TablaCosechas[#All],10,0)</f>
        <v>JULIO SANTOS</v>
      </c>
    </row>
    <row r="47" spans="1:50" hidden="1" x14ac:dyDescent="0.25">
      <c r="A47" s="196">
        <v>46036</v>
      </c>
      <c r="B47" s="183">
        <v>45</v>
      </c>
      <c r="C47" s="183">
        <f>YEAR(TablaPrincipal[[#This Row],[FECHA]])</f>
        <v>2026</v>
      </c>
      <c r="D47" s="183" t="s">
        <v>103</v>
      </c>
      <c r="E47" s="183" t="str">
        <f>UPPER(TEXT(TablaPrincipal[[#This Row],[FECHA]],"MMMM"))</f>
        <v>ENERO</v>
      </c>
      <c r="F47" s="183" t="str">
        <f>IFERROR(VLOOKUP(TablaPrincipal[[#This Row],[CODIGO]],COSECHAS!A:J,9,0),"-")</f>
        <v>31</v>
      </c>
      <c r="G47" s="183" t="str">
        <f>IFERROR(VLOOKUP(TablaPrincipal[[#This Row],[CODIGO]],COSECHAS!A:I,8,0),"-")</f>
        <v>PARGO ROJO</v>
      </c>
      <c r="H47" s="184">
        <f>IFERROR(VLOOKUP(TablaPrincipal[[#This Row],[CODIGO]],DATOS!A:B,2,0),"-")</f>
        <v>8.15</v>
      </c>
      <c r="I47" s="183" t="str">
        <f>IFERROR(VLOOKUP(TablaPrincipal[[#This Row],[CODIGO]],Tabla8[[#Headers],[#Data]],3,0),"-")</f>
        <v>CONVENCIONAL</v>
      </c>
      <c r="J47" s="183">
        <f>IFERROR(TablaPrincipal[[#This Row],[FECHA]]-TablaPrincipal[[#This Row],[FECHA DE SIEMBRA]],"-")</f>
        <v>60</v>
      </c>
      <c r="K47" s="196">
        <f>VLOOKUP(TablaPrincipal[[#This Row],[CODIGO]]&amp;TablaPrincipal[[#This Row],[AGUAJE ]],Tabla4[#All],4,0)</f>
        <v>45976</v>
      </c>
      <c r="L47" s="183" t="str">
        <f>VLOOKUP(TablaPrincipal[[#This Row],[CODIGO]]&amp;TablaPrincipal[[#This Row],[AGUAJE ]],Tabla4[#All],15,0)</f>
        <v>PR PC 25</v>
      </c>
      <c r="M47" s="184">
        <f>VLOOKUP(TablaPrincipal[[#This Row],[CODIGO]]&amp;TablaPrincipal[[#This Row],[AGUAJE ]],Tabla4[#All],14,0)</f>
        <v>0.3</v>
      </c>
      <c r="N47" s="183">
        <v>6</v>
      </c>
      <c r="O47" s="170">
        <f>VLOOKUP(TablaPrincipal[[#This Row],[CODIGO]]&amp;TablaPrincipal[[#This Row],[AGUAJE ]],Tabla4[#All],5,0)</f>
        <v>1141000</v>
      </c>
      <c r="P47" s="221">
        <f>IFERROR(TablaPrincipal[[#This Row],[ANIM SEMBRADOS]]/TablaPrincipal[[#This Row],[HAS]],"-")</f>
        <v>140000</v>
      </c>
      <c r="Q47" s="222">
        <f>IFERROR(TablaPrincipal[[#This Row],[DENSIDAD]]/10000,"-")</f>
        <v>14</v>
      </c>
      <c r="R47" s="183" t="str">
        <f>VLOOKUP(TablaPrincipal[[#This Row],[CODIGO]]&amp;TablaPrincipal[[#This Row],[AGUAJE ]],Tabla4[#All],8,0)</f>
        <v>ARPON</v>
      </c>
      <c r="S47" s="183" t="str">
        <f>VLOOKUP(TablaPrincipal[[#This Row],[CODIGO]]&amp;TablaPrincipal[[#This Row],[AGUAJE ]],Tabla4[#All],7,0)</f>
        <v>TEXCUMAR</v>
      </c>
      <c r="T47" s="183" t="str">
        <f>IF(ISNUMBER(FIND("/",TablaPrincipal[[#This Row],[LABORATORIO]])),"COMBINADO","UNICO")</f>
        <v>UNICO</v>
      </c>
      <c r="U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7" s="185">
        <f>IFERROR(TablaPrincipal[[#This Row],[LIBRAS RALEO PLANTA]]/TablaPrincipal[[#This Row],[HAS]],"-")</f>
        <v>0</v>
      </c>
      <c r="Z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15200</v>
      </c>
      <c r="AB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18360.259999999998</v>
      </c>
      <c r="AC47" s="186">
        <f>SUMIFS(COSECHAS!F:F,COSECHAS!A:A,'BASE 2026'!AW:AW,COSECHAS!G:G,"="&amp;A:A)</f>
        <v>21</v>
      </c>
      <c r="AD47" s="186">
        <f>SUMIFS(COSECHAS!M:M,COSECHAS!A:A,'BASE 2026'!AW:AW,COSECHAS!G:G,"="&amp;A:A)</f>
        <v>21.42</v>
      </c>
      <c r="AE47" s="185">
        <f>IFERROR(TablaPrincipal[[#This Row],[LIBRAS PLANTA]]/TablaPrincipal[[#This Row],[HAS]],"-")</f>
        <v>2252.7926380368094</v>
      </c>
      <c r="AF47" s="185">
        <f>IFERROR(TablaPrincipal[[#This Row],[LIBRAS PLANTA]]*454/TablaPrincipal[[#This Row],[GRAMOS PLANTA]],"-")</f>
        <v>389148.36788048543</v>
      </c>
      <c r="AG47" s="185">
        <f>TablaPrincipal[[#This Row],[LIBRAS RALEO PLANTA]]+TablaPrincipal[[#This Row],[LIBRAS PLANTA]]</f>
        <v>18360.259999999998</v>
      </c>
      <c r="AH47" s="185">
        <f>IFERROR(TablaPrincipal[[#This Row],[CAM COSECHADOS RALEO]]+TablaPrincipal[[#This Row],[CAM COSECHADOS]],"-")</f>
        <v>389148.36788048543</v>
      </c>
      <c r="AI47" s="185">
        <f>IFERROR((TablaPrincipal[[#This Row],[LIBRAS RALEO PLANTA]]+TablaPrincipal[[#This Row],[LIBRAS PLANTA]])/TablaPrincipal[[#This Row],[HAS]],"0")</f>
        <v>2252.7926380368094</v>
      </c>
      <c r="AJ47" s="186">
        <f t="shared" si="0"/>
        <v>2.4990000000000001</v>
      </c>
      <c r="AK47" s="186">
        <f>IFERROR(TablaPrincipal[[#This Row],[LBS/HA]]/TablaPrincipal[[#This Row],[DIAS]],"-")</f>
        <v>37.546543967280158</v>
      </c>
      <c r="AL47" s="186">
        <f>IFERROR(TablaPrincipal[[#This Row],[CAM COSECHADOS TOTALES]]/TablaPrincipal[[#This Row],[ANIM SEMBRADOS]]*100,"-")</f>
        <v>34.105904284003977</v>
      </c>
      <c r="AM47" s="185">
        <v>25782.797000000002</v>
      </c>
      <c r="AN47" s="187">
        <f>IFERROR(((TablaPrincipal[[#This Row],[BALANCEADO ACUMULADO (LBS)]]/2.2046)/TablaPrincipal[[#This Row],[HAS]])/TablaPrincipal[[#This Row],[DIAS]],"-")</f>
        <v>23.916155419222903</v>
      </c>
      <c r="AO47" s="184">
        <f>IFERROR(TablaPrincipal[[#This Row],[BALANCEADO ACUMULADO (LBS)]]/TablaPrincipal[[#This Row],[LIBRAS TOTALES]],"-")</f>
        <v>1.4042718893959021</v>
      </c>
      <c r="AP47" s="184" t="s">
        <v>108</v>
      </c>
      <c r="AQ47" s="184" t="s">
        <v>105</v>
      </c>
      <c r="AR47" s="185">
        <f>TablaPrincipal[[#This Row],[LIBRAS RALEO PLANTA]]-TablaPrincipal[[#This Row],[LIBRAS RALEO CAMARONERA]]</f>
        <v>0</v>
      </c>
      <c r="AS47" s="185">
        <f>TablaPrincipal[[#This Row],[LIBRAS PLANTA]]-TablaPrincipal[[#This Row],[LIBRAS CAMARONERA]]</f>
        <v>3160.2599999999984</v>
      </c>
      <c r="AT47" s="187">
        <f>TablaPrincipal[[#This Row],[GRAMAJE RALEO PLANTA]]-TablaPrincipal[[#This Row],[GRAMAJE RALEO CAMARONERA]]</f>
        <v>0</v>
      </c>
      <c r="AU47" s="187">
        <f>TablaPrincipal[[#This Row],[GRAMOS PLANTA]]-TablaPrincipal[[#This Row],[GRAMAJE CAMARONERA]]</f>
        <v>0.42000000000000171</v>
      </c>
      <c r="AV47" s="183" t="str">
        <f>+VLOOKUP(TablaPrincipal[[#This Row],[CODIGO]],TablaCosechas[#All],10,0)</f>
        <v>WILMER TORRES</v>
      </c>
      <c r="AW47" s="183" t="s">
        <v>149</v>
      </c>
      <c r="AX47" s="188" t="str">
        <f>+VLOOKUP(TablaPrincipal[[#This Row],[CODIGO]],TablaCosechas[#All],10,0)</f>
        <v>WILMER TORRES</v>
      </c>
    </row>
    <row r="48" spans="1:50" hidden="1" x14ac:dyDescent="0.25">
      <c r="A48" s="196">
        <v>46036</v>
      </c>
      <c r="B48" s="183">
        <v>46</v>
      </c>
      <c r="C48" s="183">
        <f>YEAR(TablaPrincipal[[#This Row],[FECHA]])</f>
        <v>2026</v>
      </c>
      <c r="D48" s="183" t="s">
        <v>103</v>
      </c>
      <c r="E48" s="183" t="str">
        <f>UPPER(TEXT(TablaPrincipal[[#This Row],[FECHA]],"MMMM"))</f>
        <v>ENERO</v>
      </c>
      <c r="F48" s="183" t="str">
        <f>IFERROR(VLOOKUP(TablaPrincipal[[#This Row],[CODIGO]],COSECHAS!A:J,9,0),"-")</f>
        <v>07</v>
      </c>
      <c r="G48" s="183" t="str">
        <f>IFERROR(VLOOKUP(TablaPrincipal[[#This Row],[CODIGO]],COSECHAS!A:I,8,0),"-")</f>
        <v>ROBALO</v>
      </c>
      <c r="H48" s="184">
        <f>IFERROR(VLOOKUP(TablaPrincipal[[#This Row],[CODIGO]],DATOS!A:B,2,0),"-")</f>
        <v>8.93</v>
      </c>
      <c r="I48" s="183" t="str">
        <f>IFERROR(VLOOKUP(TablaPrincipal[[#This Row],[CODIGO]],Tabla8[[#Headers],[#Data]],3,0),"-")</f>
        <v>ASC-BAP</v>
      </c>
      <c r="J48" s="183">
        <f>IFERROR(TablaPrincipal[[#This Row],[FECHA]]-TablaPrincipal[[#This Row],[FECHA DE SIEMBRA]],"-")</f>
        <v>89</v>
      </c>
      <c r="K48" s="196">
        <f>VLOOKUP(TablaPrincipal[[#This Row],[CODIGO]]&amp;TablaPrincipal[[#This Row],[AGUAJE ]],Tabla4[#All],4,0)</f>
        <v>45947</v>
      </c>
      <c r="L48" s="183" t="str">
        <f>VLOOKUP(TablaPrincipal[[#This Row],[CODIGO]]&amp;TablaPrincipal[[#This Row],[AGUAJE ]],Tabla4[#All],15,0)</f>
        <v>CA PC 20</v>
      </c>
      <c r="M48" s="184">
        <f>VLOOKUP(TablaPrincipal[[#This Row],[CODIGO]]&amp;TablaPrincipal[[#This Row],[AGUAJE ]],Tabla4[#All],14,0)</f>
        <v>0.32</v>
      </c>
      <c r="N48" s="183">
        <v>3</v>
      </c>
      <c r="O48" s="170">
        <f>VLOOKUP(TablaPrincipal[[#This Row],[CODIGO]]&amp;TablaPrincipal[[#This Row],[AGUAJE ]],Tabla4[#All],5,0)</f>
        <v>1518100</v>
      </c>
      <c r="P48" s="221">
        <f>IFERROR(TablaPrincipal[[#This Row],[ANIM SEMBRADOS]]/TablaPrincipal[[#This Row],[HAS]],"-")</f>
        <v>170000</v>
      </c>
      <c r="Q48" s="222">
        <f>IFERROR(TablaPrincipal[[#This Row],[DENSIDAD]]/10000,"-")</f>
        <v>17</v>
      </c>
      <c r="R48" s="183" t="str">
        <f>VLOOKUP(TablaPrincipal[[#This Row],[CODIGO]]&amp;TablaPrincipal[[#This Row],[AGUAJE ]],Tabla4[#All],8,0)</f>
        <v>MEGALATINA</v>
      </c>
      <c r="S48" s="183" t="str">
        <f>VLOOKUP(TablaPrincipal[[#This Row],[CODIGO]]&amp;TablaPrincipal[[#This Row],[AGUAJE ]],Tabla4[#All],7,0)</f>
        <v>TEXCUMAR</v>
      </c>
      <c r="T48" s="183" t="str">
        <f>IF(ISNUMBER(FIND("/",TablaPrincipal[[#This Row],[LABORATORIO]])),"COMBINADO","UNICO")</f>
        <v>UNICO</v>
      </c>
      <c r="U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12800</v>
      </c>
      <c r="V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12508.74</v>
      </c>
      <c r="W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48" s="185">
        <f>IFERROR(TablaPrincipal[[#This Row],[LIBRAS RALEO PLANTA]]/TablaPrincipal[[#This Row],[HAS]],"-")</f>
        <v>1400.754759238522</v>
      </c>
      <c r="Z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243941.92268041236</v>
      </c>
      <c r="AA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38600</v>
      </c>
      <c r="AB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40814.800000000003</v>
      </c>
      <c r="AC48" s="186">
        <f>SUMIFS(COSECHAS!F:F,COSECHAS!A:A,'BASE 2026'!AW:AW,COSECHAS!G:G,"="&amp;A:A)</f>
        <v>35</v>
      </c>
      <c r="AD48" s="186">
        <f>SUMIFS(COSECHAS!M:M,COSECHAS!A:A,'BASE 2026'!AW:AW,COSECHAS!G:G,"="&amp;A:A)</f>
        <v>35.9</v>
      </c>
      <c r="AE48" s="185">
        <f>IFERROR(TablaPrincipal[[#This Row],[LIBRAS PLANTA]]/TablaPrincipal[[#This Row],[HAS]],"-")</f>
        <v>4570.5263157894742</v>
      </c>
      <c r="AF48" s="185">
        <f>IFERROR(TablaPrincipal[[#This Row],[LIBRAS PLANTA]]*454/TablaPrincipal[[#This Row],[GRAMOS PLANTA]],"-")</f>
        <v>516153.73816155997</v>
      </c>
      <c r="AG48" s="185">
        <f>TablaPrincipal[[#This Row],[LIBRAS RALEO PLANTA]]+TablaPrincipal[[#This Row],[LIBRAS PLANTA]]</f>
        <v>53323.54</v>
      </c>
      <c r="AH48" s="185">
        <f>IFERROR(TablaPrincipal[[#This Row],[CAM COSECHADOS RALEO]]+TablaPrincipal[[#This Row],[CAM COSECHADOS]],"-")</f>
        <v>760095.66084197233</v>
      </c>
      <c r="AI48" s="185">
        <f>IFERROR((TablaPrincipal[[#This Row],[LIBRAS RALEO PLANTA]]+TablaPrincipal[[#This Row],[LIBRAS PLANTA]])/TablaPrincipal[[#This Row],[HAS]],"0")</f>
        <v>5971.2810750279959</v>
      </c>
      <c r="AJ48" s="186">
        <f t="shared" si="0"/>
        <v>2.8235955056179778</v>
      </c>
      <c r="AK48" s="186">
        <f>IFERROR(TablaPrincipal[[#This Row],[LBS/HA]]/TablaPrincipal[[#This Row],[DIAS]],"-")</f>
        <v>67.093045786831411</v>
      </c>
      <c r="AL48" s="186">
        <f>IFERROR(TablaPrincipal[[#This Row],[CAM COSECHADOS TOTALES]]/TablaPrincipal[[#This Row],[ANIM SEMBRADOS]]*100,"-")</f>
        <v>50.068879575915446</v>
      </c>
      <c r="AM48" s="185">
        <v>74405.25</v>
      </c>
      <c r="AN48" s="187">
        <f>IFERROR(((TablaPrincipal[[#This Row],[BALANCEADO ACUMULADO (LBS)]]/2.2046)/TablaPrincipal[[#This Row],[HAS]])/TablaPrincipal[[#This Row],[DIAS]],"-")</f>
        <v>42.465115693848539</v>
      </c>
      <c r="AO48" s="184">
        <f>IFERROR(TablaPrincipal[[#This Row],[BALANCEADO ACUMULADO (LBS)]]/TablaPrincipal[[#This Row],[LIBRAS TOTALES]],"-")</f>
        <v>1.3953546594993504</v>
      </c>
      <c r="AP48" s="184" t="s">
        <v>108</v>
      </c>
      <c r="AQ48" s="184" t="s">
        <v>105</v>
      </c>
      <c r="AR48" s="185">
        <f>TablaPrincipal[[#This Row],[LIBRAS RALEO PLANTA]]-TablaPrincipal[[#This Row],[LIBRAS RALEO CAMARONERA]]</f>
        <v>-291.26000000000022</v>
      </c>
      <c r="AS48" s="185">
        <f>TablaPrincipal[[#This Row],[LIBRAS PLANTA]]-TablaPrincipal[[#This Row],[LIBRAS CAMARONERA]]</f>
        <v>2214.8000000000029</v>
      </c>
      <c r="AT48" s="187">
        <f>TablaPrincipal[[#This Row],[GRAMAJE RALEO PLANTA]]-TablaPrincipal[[#This Row],[GRAMAJE RALEO CAMARONERA]]</f>
        <v>2.2800000000000011</v>
      </c>
      <c r="AU48" s="187">
        <f>TablaPrincipal[[#This Row],[GRAMOS PLANTA]]-TablaPrincipal[[#This Row],[GRAMAJE CAMARONERA]]</f>
        <v>0.89999999999999858</v>
      </c>
      <c r="AV48" s="183" t="str">
        <f>+VLOOKUP(TablaPrincipal[[#This Row],[CODIGO]],TablaCosechas[#All],10,0)</f>
        <v>VICTOR QUINTANA</v>
      </c>
      <c r="AW48" s="183" t="s">
        <v>150</v>
      </c>
      <c r="AX48" s="188" t="str">
        <f>+VLOOKUP(TablaPrincipal[[#This Row],[CODIGO]],TablaCosechas[#All],10,0)</f>
        <v>VICTOR QUINTANA</v>
      </c>
    </row>
    <row r="49" spans="1:50" hidden="1" x14ac:dyDescent="0.25">
      <c r="A49" s="196">
        <v>46037</v>
      </c>
      <c r="B49" s="183">
        <v>56</v>
      </c>
      <c r="C49" s="183">
        <f>YEAR(TablaPrincipal[[#This Row],[FECHA]])</f>
        <v>2026</v>
      </c>
      <c r="D49" s="183" t="s">
        <v>151</v>
      </c>
      <c r="E49" s="183" t="str">
        <f>UPPER(TEXT(TablaPrincipal[[#This Row],[FECHA]],"MMMM"))</f>
        <v>ENERO</v>
      </c>
      <c r="F49" s="183" t="str">
        <f>IFERROR(VLOOKUP(TablaPrincipal[[#This Row],[CODIGO]],COSECHAS!A:J,9,0),"-")</f>
        <v>30</v>
      </c>
      <c r="G49" s="183" t="str">
        <f>IFERROR(VLOOKUP(TablaPrincipal[[#This Row],[CODIGO]],COSECHAS!A:I,8,0),"-")</f>
        <v>DORADO</v>
      </c>
      <c r="H49" s="184">
        <f>IFERROR(VLOOKUP(TablaPrincipal[[#This Row],[CODIGO]],DATOS!A:B,2,0),"-")</f>
        <v>8.5399999999999991</v>
      </c>
      <c r="I49" s="183" t="str">
        <f>IFERROR(VLOOKUP(TablaPrincipal[[#This Row],[CODIGO]],Tabla8[[#Headers],[#Data]],3,0),"-")</f>
        <v>ASC-BAP</v>
      </c>
      <c r="J49" s="183">
        <f>IFERROR(TablaPrincipal[[#This Row],[FECHA]]-TablaPrincipal[[#This Row],[FECHA DE SIEMBRA]],"-")</f>
        <v>94</v>
      </c>
      <c r="K49" s="196">
        <f>VLOOKUP(TablaPrincipal[[#This Row],[CODIGO]]&amp;TablaPrincipal[[#This Row],[AGUAJE ]],Tabla4[#All],4,0)</f>
        <v>45943</v>
      </c>
      <c r="L49" s="183" t="str">
        <f>VLOOKUP(TablaPrincipal[[#This Row],[CODIGO]]&amp;TablaPrincipal[[#This Row],[AGUAJE ]],Tabla4[#All],15,0)</f>
        <v>DO PC 7</v>
      </c>
      <c r="M49" s="184">
        <f>VLOOKUP(TablaPrincipal[[#This Row],[CODIGO]]&amp;TablaPrincipal[[#This Row],[AGUAJE ]],Tabla4[#All],14,0)</f>
        <v>0.75</v>
      </c>
      <c r="N49" s="183">
        <v>3</v>
      </c>
      <c r="O49" s="170">
        <f>VLOOKUP(TablaPrincipal[[#This Row],[CODIGO]]&amp;TablaPrincipal[[#This Row],[AGUAJE ]],Tabla4[#All],5,0)</f>
        <v>1500000</v>
      </c>
      <c r="P49" s="221">
        <f>IFERROR(TablaPrincipal[[#This Row],[ANIM SEMBRADOS]]/TablaPrincipal[[#This Row],[HAS]],"-")</f>
        <v>175644.02810304452</v>
      </c>
      <c r="Q49" s="222">
        <f>IFERROR(TablaPrincipal[[#This Row],[DENSIDAD]]/10000,"-")</f>
        <v>17.56440281030445</v>
      </c>
      <c r="R49" s="183" t="str">
        <f>VLOOKUP(TablaPrincipal[[#This Row],[CODIGO]]&amp;TablaPrincipal[[#This Row],[AGUAJE ]],Tabla4[#All],8,0)</f>
        <v>BIOLACAM</v>
      </c>
      <c r="S49" s="183" t="str">
        <f>VLOOKUP(TablaPrincipal[[#This Row],[CODIGO]]&amp;TablaPrincipal[[#This Row],[AGUAJE ]],Tabla4[#All],7,0)</f>
        <v>TEXCUMAR</v>
      </c>
      <c r="T49" s="183" t="str">
        <f>IF(ISNUMBER(FIND("/",TablaPrincipal[[#This Row],[LABORATORIO]])),"COMBINADO","UNICO")</f>
        <v>UNICO</v>
      </c>
      <c r="U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12400</v>
      </c>
      <c r="V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10793.56</v>
      </c>
      <c r="W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</v>
      </c>
      <c r="X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34.28</v>
      </c>
      <c r="Y49" s="185">
        <f>IFERROR(TablaPrincipal[[#This Row],[LIBRAS RALEO PLANTA]]/TablaPrincipal[[#This Row],[HAS]],"-")</f>
        <v>1263.8829039812647</v>
      </c>
      <c r="Z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212224.67753406879</v>
      </c>
      <c r="AA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26850</v>
      </c>
      <c r="AB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27651.27</v>
      </c>
      <c r="AC49" s="186">
        <f>SUMIFS(COSECHAS!F:F,COSECHAS!A:A,'BASE 2026'!AW:AW,COSECHAS!G:G,"="&amp;A:A)</f>
        <v>47</v>
      </c>
      <c r="AD49" s="186">
        <f>SUMIFS(COSECHAS!M:M,COSECHAS!A:A,'BASE 2026'!AW:AW,COSECHAS!G:G,"="&amp;A:A)</f>
        <v>45.56</v>
      </c>
      <c r="AE49" s="185">
        <f>IFERROR(TablaPrincipal[[#This Row],[LIBRAS PLANTA]]/TablaPrincipal[[#This Row],[HAS]],"-")</f>
        <v>3237.853629976581</v>
      </c>
      <c r="AF49" s="185">
        <f>IFERROR(TablaPrincipal[[#This Row],[LIBRAS PLANTA]]*454/TablaPrincipal[[#This Row],[GRAMOS PLANTA]],"-")</f>
        <v>275541.62818261632</v>
      </c>
      <c r="AG49" s="185">
        <f>TablaPrincipal[[#This Row],[LIBRAS RALEO PLANTA]]+TablaPrincipal[[#This Row],[LIBRAS PLANTA]]</f>
        <v>38444.83</v>
      </c>
      <c r="AH49" s="185">
        <f>IFERROR(TablaPrincipal[[#This Row],[CAM COSECHADOS RALEO]]+TablaPrincipal[[#This Row],[CAM COSECHADOS]],"-")</f>
        <v>487766.30571668514</v>
      </c>
      <c r="AI49" s="185">
        <f>IFERROR((TablaPrincipal[[#This Row],[LIBRAS RALEO PLANTA]]+TablaPrincipal[[#This Row],[LIBRAS PLANTA]])/TablaPrincipal[[#This Row],[HAS]],"0")</f>
        <v>4501.7365339578464</v>
      </c>
      <c r="AJ49" s="186">
        <f t="shared" si="0"/>
        <v>3.3927659574468088</v>
      </c>
      <c r="AK49" s="186">
        <f>IFERROR(TablaPrincipal[[#This Row],[LBS/HA]]/TablaPrincipal[[#This Row],[DIAS]],"-")</f>
        <v>47.890814191040917</v>
      </c>
      <c r="AL49" s="186">
        <f>IFERROR(TablaPrincipal[[#This Row],[CAM COSECHADOS TOTALES]]/TablaPrincipal[[#This Row],[ANIM SEMBRADOS]]*100,"-")</f>
        <v>32.517753714445675</v>
      </c>
      <c r="AM49" s="185">
        <v>69334.67</v>
      </c>
      <c r="AN49" s="187">
        <f>IFERROR(((TablaPrincipal[[#This Row],[BALANCEADO ACUMULADO (LBS)]]/2.2046)/TablaPrincipal[[#This Row],[HAS]])/TablaPrincipal[[#This Row],[DIAS]],"-")</f>
        <v>39.177338183267729</v>
      </c>
      <c r="AO49" s="184">
        <f>IFERROR(TablaPrincipal[[#This Row],[BALANCEADO ACUMULADO (LBS)]]/TablaPrincipal[[#This Row],[LIBRAS TOTALES]],"-")</f>
        <v>1.8034848899058729</v>
      </c>
      <c r="AP49" s="184" t="s">
        <v>108</v>
      </c>
      <c r="AQ49" s="184" t="s">
        <v>105</v>
      </c>
      <c r="AR49" s="185">
        <f>TablaPrincipal[[#This Row],[LIBRAS RALEO PLANTA]]-TablaPrincipal[[#This Row],[LIBRAS RALEO CAMARONERA]]</f>
        <v>-1606.4400000000005</v>
      </c>
      <c r="AS49" s="185">
        <f>TablaPrincipal[[#This Row],[LIBRAS PLANTA]]-TablaPrincipal[[#This Row],[LIBRAS CAMARONERA]]</f>
        <v>801.27000000000044</v>
      </c>
      <c r="AT49" s="187">
        <f>TablaPrincipal[[#This Row],[GRAMAJE RALEO PLANTA]]-TablaPrincipal[[#This Row],[GRAMAJE RALEO CAMARONERA]]</f>
        <v>1.2800000000000011</v>
      </c>
      <c r="AU49" s="187">
        <f>TablaPrincipal[[#This Row],[GRAMOS PLANTA]]-TablaPrincipal[[#This Row],[GRAMAJE CAMARONERA]]</f>
        <v>-1.4399999999999977</v>
      </c>
      <c r="AV49" s="183" t="str">
        <f>+VLOOKUP(TablaPrincipal[[#This Row],[CODIGO]],TablaCosechas[#All],10,0)</f>
        <v>JOSE CEDEÑO</v>
      </c>
      <c r="AW49" s="183" t="s">
        <v>152</v>
      </c>
      <c r="AX49" s="188" t="str">
        <f>+VLOOKUP(TablaPrincipal[[#This Row],[CODIGO]],TablaCosechas[#All],10,0)</f>
        <v>JOSE CEDEÑO</v>
      </c>
    </row>
    <row r="50" spans="1:50" hidden="1" x14ac:dyDescent="0.25">
      <c r="A50" s="196">
        <v>46037</v>
      </c>
      <c r="B50" s="183">
        <v>57</v>
      </c>
      <c r="C50" s="183">
        <f>YEAR(TablaPrincipal[[#This Row],[FECHA]])</f>
        <v>2026</v>
      </c>
      <c r="D50" s="183" t="s">
        <v>151</v>
      </c>
      <c r="E50" s="183" t="str">
        <f>UPPER(TEXT(TablaPrincipal[[#This Row],[FECHA]],"MMMM"))</f>
        <v>ENERO</v>
      </c>
      <c r="F50" s="183" t="str">
        <f>IFERROR(VLOOKUP(TablaPrincipal[[#This Row],[CODIGO]],COSECHAS!A:J,9,0),"-")</f>
        <v>05</v>
      </c>
      <c r="G50" s="183" t="str">
        <f>IFERROR(VLOOKUP(TablaPrincipal[[#This Row],[CODIGO]],COSECHAS!A:I,8,0),"-")</f>
        <v>GUATO</v>
      </c>
      <c r="H50" s="184">
        <f>IFERROR(VLOOKUP(TablaPrincipal[[#This Row],[CODIGO]],DATOS!A:B,2,0),"-")</f>
        <v>4.3</v>
      </c>
      <c r="I50" s="183" t="str">
        <f>IFERROR(VLOOKUP(TablaPrincipal[[#This Row],[CODIGO]],Tabla8[[#Headers],[#Data]],3,0),"-")</f>
        <v>CONVENCIONAL</v>
      </c>
      <c r="J50" s="183">
        <f>IFERROR(TablaPrincipal[[#This Row],[FECHA]]-TablaPrincipal[[#This Row],[FECHA DE SIEMBRA]],"-")</f>
        <v>83</v>
      </c>
      <c r="K50" s="196">
        <f>VLOOKUP(TablaPrincipal[[#This Row],[CODIGO]]&amp;TablaPrincipal[[#This Row],[AGUAJE ]],Tabla4[#All],4,0)</f>
        <v>45954</v>
      </c>
      <c r="L50" s="183" t="str">
        <f>VLOOKUP(TablaPrincipal[[#This Row],[CODIGO]]&amp;TablaPrincipal[[#This Row],[AGUAJE ]],Tabla4[#All],15,0)</f>
        <v>GT PC 5</v>
      </c>
      <c r="M50" s="184">
        <f>VLOOKUP(TablaPrincipal[[#This Row],[CODIGO]]&amp;TablaPrincipal[[#This Row],[AGUAJE ]],Tabla4[#All],14,0)</f>
        <v>0.56999999999999995</v>
      </c>
      <c r="N50" s="183">
        <v>6</v>
      </c>
      <c r="O50" s="170">
        <f>VLOOKUP(TablaPrincipal[[#This Row],[CODIGO]]&amp;TablaPrincipal[[#This Row],[AGUAJE ]],Tabla4[#All],5,0)</f>
        <v>602000</v>
      </c>
      <c r="P50" s="221">
        <f>IFERROR(TablaPrincipal[[#This Row],[ANIM SEMBRADOS]]/TablaPrincipal[[#This Row],[HAS]],"-")</f>
        <v>140000</v>
      </c>
      <c r="Q50" s="222">
        <f>IFERROR(TablaPrincipal[[#This Row],[DENSIDAD]]/10000,"-")</f>
        <v>14</v>
      </c>
      <c r="R50" s="183" t="str">
        <f>VLOOKUP(TablaPrincipal[[#This Row],[CODIGO]]&amp;TablaPrincipal[[#This Row],[AGUAJE ]],Tabla4[#All],8,0)</f>
        <v>GENESIS</v>
      </c>
      <c r="S50" s="183" t="str">
        <f>VLOOKUP(TablaPrincipal[[#This Row],[CODIGO]]&amp;TablaPrincipal[[#This Row],[AGUAJE ]],Tabla4[#All],7,0)</f>
        <v>TEXCUMAR</v>
      </c>
      <c r="T50" s="183" t="str">
        <f>IF(ISNUMBER(FIND("/",TablaPrincipal[[#This Row],[LABORATORIO]])),"COMBINADO","UNICO")</f>
        <v>UNICO</v>
      </c>
      <c r="U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5000</v>
      </c>
      <c r="V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5277.49</v>
      </c>
      <c r="W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31.6</v>
      </c>
      <c r="Y50" s="185">
        <f>IFERROR(TablaPrincipal[[#This Row],[LIBRAS RALEO PLANTA]]/TablaPrincipal[[#This Row],[HAS]],"-")</f>
        <v>1227.3232558139534</v>
      </c>
      <c r="Z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75822.166455696191</v>
      </c>
      <c r="AA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22706.44</v>
      </c>
      <c r="AC50" s="186">
        <f>SUMIFS(COSECHAS!F:F,COSECHAS!A:A,'BASE 2026'!AW:AW,COSECHAS!G:G,"="&amp;A:A)</f>
        <v>33</v>
      </c>
      <c r="AD50" s="186">
        <f>SUMIFS(COSECHAS!M:M,COSECHAS!A:A,'BASE 2026'!AW:AW,COSECHAS!G:G,"="&amp;A:A)</f>
        <v>36</v>
      </c>
      <c r="AE50" s="185">
        <f>IFERROR(TablaPrincipal[[#This Row],[LIBRAS PLANTA]]/TablaPrincipal[[#This Row],[HAS]],"-")</f>
        <v>5280.5674418604649</v>
      </c>
      <c r="AF50" s="185">
        <f>IFERROR(TablaPrincipal[[#This Row],[LIBRAS PLANTA]]*454/TablaPrincipal[[#This Row],[GRAMOS PLANTA]],"-")</f>
        <v>286353.43777777778</v>
      </c>
      <c r="AG50" s="185">
        <f>TablaPrincipal[[#This Row],[LIBRAS RALEO PLANTA]]+TablaPrincipal[[#This Row],[LIBRAS PLANTA]]</f>
        <v>27983.93</v>
      </c>
      <c r="AH50" s="185">
        <f>IFERROR(TablaPrincipal[[#This Row],[CAM COSECHADOS RALEO]]+TablaPrincipal[[#This Row],[CAM COSECHADOS]],"-")</f>
        <v>362175.60423347401</v>
      </c>
      <c r="AI50" s="185">
        <f>IFERROR((TablaPrincipal[[#This Row],[LIBRAS RALEO PLANTA]]+TablaPrincipal[[#This Row],[LIBRAS PLANTA]])/TablaPrincipal[[#This Row],[HAS]],"0")</f>
        <v>6507.8906976744192</v>
      </c>
      <c r="AJ50" s="186">
        <f t="shared" si="0"/>
        <v>3.036144578313253</v>
      </c>
      <c r="AK50" s="186">
        <f>IFERROR(TablaPrincipal[[#This Row],[LBS/HA]]/TablaPrincipal[[#This Row],[DIAS]],"-")</f>
        <v>78.408321658727942</v>
      </c>
      <c r="AL50" s="186">
        <f>IFERROR(TablaPrincipal[[#This Row],[CAM COSECHADOS TOTALES]]/TablaPrincipal[[#This Row],[ANIM SEMBRADOS]]*100,"-")</f>
        <v>60.16206050389934</v>
      </c>
      <c r="AM50" s="185">
        <v>40785.1</v>
      </c>
      <c r="AN50" s="187">
        <f>IFERROR(((TablaPrincipal[[#This Row],[BALANCEADO ACUMULADO (LBS)]]/2.2046)/TablaPrincipal[[#This Row],[HAS]])/TablaPrincipal[[#This Row],[DIAS]],"-")</f>
        <v>51.835247968618667</v>
      </c>
      <c r="AO50" s="184">
        <f>IFERROR(TablaPrincipal[[#This Row],[BALANCEADO ACUMULADO (LBS)]]/TablaPrincipal[[#This Row],[LIBRAS TOTALES]],"-")</f>
        <v>1.4574471848664572</v>
      </c>
      <c r="AP50" s="184" t="s">
        <v>108</v>
      </c>
      <c r="AQ50" s="184" t="s">
        <v>105</v>
      </c>
      <c r="AR50" s="185">
        <f>TablaPrincipal[[#This Row],[LIBRAS RALEO PLANTA]]-TablaPrincipal[[#This Row],[LIBRAS RALEO CAMARONERA]]</f>
        <v>277.48999999999978</v>
      </c>
      <c r="AS50" s="185">
        <f>TablaPrincipal[[#This Row],[LIBRAS PLANTA]]-TablaPrincipal[[#This Row],[LIBRAS CAMARONERA]]</f>
        <v>2606.4399999999987</v>
      </c>
      <c r="AT50" s="187">
        <f>TablaPrincipal[[#This Row],[GRAMAJE RALEO PLANTA]]-TablaPrincipal[[#This Row],[GRAMAJE RALEO CAMARONERA]]</f>
        <v>4.6000000000000014</v>
      </c>
      <c r="AU50" s="187">
        <f>TablaPrincipal[[#This Row],[GRAMOS PLANTA]]-TablaPrincipal[[#This Row],[GRAMAJE CAMARONERA]]</f>
        <v>3</v>
      </c>
      <c r="AV50" s="183" t="str">
        <f>+VLOOKUP(TablaPrincipal[[#This Row],[CODIGO]],TablaCosechas[#All],10,0)</f>
        <v>JULIO SANTOS</v>
      </c>
      <c r="AW50" s="183" t="s">
        <v>153</v>
      </c>
      <c r="AX50" s="188" t="str">
        <f>+VLOOKUP(TablaPrincipal[[#This Row],[CODIGO]],TablaCosechas[#All],10,0)</f>
        <v>JULIO SANTOS</v>
      </c>
    </row>
    <row r="51" spans="1:50" hidden="1" x14ac:dyDescent="0.25">
      <c r="A51" s="196">
        <v>46037</v>
      </c>
      <c r="B51" s="183">
        <v>62</v>
      </c>
      <c r="C51" s="183">
        <f>YEAR(TablaPrincipal[[#This Row],[FECHA]])</f>
        <v>2026</v>
      </c>
      <c r="D51" s="183" t="s">
        <v>151</v>
      </c>
      <c r="E51" s="183" t="str">
        <f>UPPER(TEXT(TablaPrincipal[[#This Row],[FECHA]],"MMMM"))</f>
        <v>ENERO</v>
      </c>
      <c r="F51" s="183" t="str">
        <f>IFERROR(VLOOKUP(TablaPrincipal[[#This Row],[CODIGO]],COSECHAS!A:J,9,0),"-")</f>
        <v>02</v>
      </c>
      <c r="G51" s="183" t="str">
        <f>IFERROR(VLOOKUP(TablaPrincipal[[#This Row],[CODIGO]],COSECHAS!A:I,8,0),"-")</f>
        <v>PARGO ROJO</v>
      </c>
      <c r="H51" s="184">
        <f>IFERROR(VLOOKUP(TablaPrincipal[[#This Row],[CODIGO]],DATOS!A:B,2,0),"-")</f>
        <v>3</v>
      </c>
      <c r="I51" s="183" t="str">
        <f>IFERROR(VLOOKUP(TablaPrincipal[[#This Row],[CODIGO]],Tabla8[[#Headers],[#Data]],3,0),"-")</f>
        <v>CONVENCIONAL</v>
      </c>
      <c r="J51" s="183">
        <f>IFERROR(TablaPrincipal[[#This Row],[FECHA]]-TablaPrincipal[[#This Row],[FECHA DE SIEMBRA]],"-")</f>
        <v>63</v>
      </c>
      <c r="K51" s="196">
        <f>VLOOKUP(TablaPrincipal[[#This Row],[CODIGO]]&amp;TablaPrincipal[[#This Row],[AGUAJE ]],Tabla4[#All],4,0)</f>
        <v>45974</v>
      </c>
      <c r="L51" s="183" t="str">
        <f>VLOOKUP(TablaPrincipal[[#This Row],[CODIGO]]&amp;TablaPrincipal[[#This Row],[AGUAJE ]],Tabla4[#All],15,0)</f>
        <v>PR PS 2</v>
      </c>
      <c r="M51" s="184">
        <f>VLOOKUP(TablaPrincipal[[#This Row],[CODIGO]]&amp;TablaPrincipal[[#This Row],[AGUAJE ]],Tabla4[#All],14,0)</f>
        <v>0.35</v>
      </c>
      <c r="N51" s="183">
        <v>31</v>
      </c>
      <c r="O51" s="170">
        <f>VLOOKUP(TablaPrincipal[[#This Row],[CODIGO]]&amp;TablaPrincipal[[#This Row],[AGUAJE ]],Tabla4[#All],5,0)</f>
        <v>450000</v>
      </c>
      <c r="P51" s="221">
        <f>IFERROR(TablaPrincipal[[#This Row],[ANIM SEMBRADOS]]/TablaPrincipal[[#This Row],[HAS]],"-")</f>
        <v>150000</v>
      </c>
      <c r="Q51" s="222">
        <f>IFERROR(TablaPrincipal[[#This Row],[DENSIDAD]]/10000,"-")</f>
        <v>15</v>
      </c>
      <c r="R51" s="183" t="str">
        <f>VLOOKUP(TablaPrincipal[[#This Row],[CODIGO]]&amp;TablaPrincipal[[#This Row],[AGUAJE ]],Tabla4[#All],8,0)</f>
        <v>GENESIS</v>
      </c>
      <c r="S51" s="183" t="str">
        <f>VLOOKUP(TablaPrincipal[[#This Row],[CODIGO]]&amp;TablaPrincipal[[#This Row],[AGUAJE ]],Tabla4[#All],7,0)</f>
        <v>TEXCUMAR</v>
      </c>
      <c r="T51" s="183" t="str">
        <f>IF(ISNUMBER(FIND("/",TablaPrincipal[[#This Row],[LABORATORIO]])),"COMBINADO","UNICO")</f>
        <v>UNICO</v>
      </c>
      <c r="U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1" s="185">
        <f>IFERROR(TablaPrincipal[[#This Row],[LIBRAS RALEO PLANTA]]/TablaPrincipal[[#This Row],[HAS]],"-")</f>
        <v>0</v>
      </c>
      <c r="Z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8500</v>
      </c>
      <c r="AB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9697.25</v>
      </c>
      <c r="AC51" s="186">
        <f>SUMIFS(COSECHAS!F:F,COSECHAS!A:A,'BASE 2026'!AW:AW,COSECHAS!G:G,"="&amp;A:A)</f>
        <v>16.5</v>
      </c>
      <c r="AD51" s="186">
        <f>SUMIFS(COSECHAS!M:M,COSECHAS!A:A,'BASE 2026'!AW:AW,COSECHAS!G:G,"="&amp;A:A)</f>
        <v>16.399999999999999</v>
      </c>
      <c r="AE51" s="185">
        <f>IFERROR(TablaPrincipal[[#This Row],[LIBRAS PLANTA]]/TablaPrincipal[[#This Row],[HAS]],"-")</f>
        <v>3232.4166666666665</v>
      </c>
      <c r="AF51" s="185">
        <f>IFERROR(TablaPrincipal[[#This Row],[LIBRAS PLANTA]]*454/TablaPrincipal[[#This Row],[GRAMOS PLANTA]],"-")</f>
        <v>268448.26219512196</v>
      </c>
      <c r="AG51" s="185">
        <f>TablaPrincipal[[#This Row],[LIBRAS RALEO PLANTA]]+TablaPrincipal[[#This Row],[LIBRAS PLANTA]]</f>
        <v>9697.25</v>
      </c>
      <c r="AH51" s="185">
        <f>IFERROR(TablaPrincipal[[#This Row],[CAM COSECHADOS RALEO]]+TablaPrincipal[[#This Row],[CAM COSECHADOS]],"-")</f>
        <v>268448.26219512196</v>
      </c>
      <c r="AI51" s="185">
        <f>IFERROR((TablaPrincipal[[#This Row],[LIBRAS RALEO PLANTA]]+TablaPrincipal[[#This Row],[LIBRAS PLANTA]])/TablaPrincipal[[#This Row],[HAS]],"0")</f>
        <v>3232.4166666666665</v>
      </c>
      <c r="AJ51" s="186">
        <f t="shared" si="0"/>
        <v>1.822222222222222</v>
      </c>
      <c r="AK51" s="186">
        <f>IFERROR(TablaPrincipal[[#This Row],[LBS/HA]]/TablaPrincipal[[#This Row],[DIAS]],"-")</f>
        <v>51.308201058201057</v>
      </c>
      <c r="AL51" s="186">
        <f>IFERROR(TablaPrincipal[[#This Row],[CAM COSECHADOS TOTALES]]/TablaPrincipal[[#This Row],[ANIM SEMBRADOS]]*100,"-")</f>
        <v>59.65516937669377</v>
      </c>
      <c r="AM51" s="185">
        <v>15448.7345</v>
      </c>
      <c r="AN51" s="187">
        <f>IFERROR(((TablaPrincipal[[#This Row],[BALANCEADO ACUMULADO (LBS)]]/2.2046)/TablaPrincipal[[#This Row],[HAS]])/TablaPrincipal[[#This Row],[DIAS]],"-")</f>
        <v>37.076719576719576</v>
      </c>
      <c r="AO51" s="184">
        <f>IFERROR(TablaPrincipal[[#This Row],[BALANCEADO ACUMULADO (LBS)]]/TablaPrincipal[[#This Row],[LIBRAS TOTALES]],"-")</f>
        <v>1.593104694629921</v>
      </c>
      <c r="AP51" s="184" t="s">
        <v>108</v>
      </c>
      <c r="AQ51" s="184" t="s">
        <v>105</v>
      </c>
      <c r="AR51" s="185">
        <f>TablaPrincipal[[#This Row],[LIBRAS RALEO PLANTA]]-TablaPrincipal[[#This Row],[LIBRAS RALEO CAMARONERA]]</f>
        <v>0</v>
      </c>
      <c r="AS51" s="185">
        <f>TablaPrincipal[[#This Row],[LIBRAS PLANTA]]-TablaPrincipal[[#This Row],[LIBRAS CAMARONERA]]</f>
        <v>1197.25</v>
      </c>
      <c r="AT51" s="187">
        <f>TablaPrincipal[[#This Row],[GRAMAJE RALEO PLANTA]]-TablaPrincipal[[#This Row],[GRAMAJE RALEO CAMARONERA]]</f>
        <v>0</v>
      </c>
      <c r="AU51" s="187">
        <f>TablaPrincipal[[#This Row],[GRAMOS PLANTA]]-TablaPrincipal[[#This Row],[GRAMAJE CAMARONERA]]</f>
        <v>-0.10000000000000142</v>
      </c>
      <c r="AV51" s="183" t="str">
        <f>+VLOOKUP(TablaPrincipal[[#This Row],[CODIGO]],TablaCosechas[#All],10,0)</f>
        <v>WILMER TORRES</v>
      </c>
      <c r="AW51" s="183" t="s">
        <v>154</v>
      </c>
      <c r="AX51" s="188" t="str">
        <f>+VLOOKUP(TablaPrincipal[[#This Row],[CODIGO]],TablaCosechas[#All],10,0)</f>
        <v>WILMER TORRES</v>
      </c>
    </row>
    <row r="52" spans="1:50" hidden="1" x14ac:dyDescent="0.25">
      <c r="A52" s="196">
        <v>46038</v>
      </c>
      <c r="B52" s="183">
        <v>64</v>
      </c>
      <c r="C52" s="183">
        <f>YEAR(TablaPrincipal[[#This Row],[FECHA]])</f>
        <v>2026</v>
      </c>
      <c r="D52" s="183" t="s">
        <v>151</v>
      </c>
      <c r="E52" s="183" t="str">
        <f>UPPER(TEXT(TablaPrincipal[[#This Row],[FECHA]],"MMMM"))</f>
        <v>ENERO</v>
      </c>
      <c r="F52" s="183" t="str">
        <f>IFERROR(VLOOKUP(TablaPrincipal[[#This Row],[CODIGO]],COSECHAS!A:J,9,0),"-")</f>
        <v>24</v>
      </c>
      <c r="G52" s="183" t="str">
        <f>IFERROR(VLOOKUP(TablaPrincipal[[#This Row],[CODIGO]],COSECHAS!A:I,8,0),"-")</f>
        <v>PARGO ROJO</v>
      </c>
      <c r="H52" s="184">
        <f>IFERROR(VLOOKUP(TablaPrincipal[[#This Row],[CODIGO]],DATOS!A:B,2,0),"-")</f>
        <v>7.3</v>
      </c>
      <c r="I52" s="183" t="str">
        <f>IFERROR(VLOOKUP(TablaPrincipal[[#This Row],[CODIGO]],Tabla8[[#Headers],[#Data]],3,0),"-")</f>
        <v>CONVENCIONAL</v>
      </c>
      <c r="J52" s="183">
        <f>IFERROR(TablaPrincipal[[#This Row],[FECHA]]-TablaPrincipal[[#This Row],[FECHA DE SIEMBRA]],"-")</f>
        <v>62</v>
      </c>
      <c r="K52" s="196">
        <f>VLOOKUP(TablaPrincipal[[#This Row],[CODIGO]]&amp;TablaPrincipal[[#This Row],[AGUAJE ]],Tabla4[#All],4,0)</f>
        <v>45976</v>
      </c>
      <c r="L52" s="183" t="str">
        <f>VLOOKUP(TablaPrincipal[[#This Row],[CODIGO]]&amp;TablaPrincipal[[#This Row],[AGUAJE ]],Tabla4[#All],15,0)</f>
        <v>PR PC 26</v>
      </c>
      <c r="M52" s="184">
        <f>VLOOKUP(TablaPrincipal[[#This Row],[CODIGO]]&amp;TablaPrincipal[[#This Row],[AGUAJE ]],Tabla4[#All],14,0)</f>
        <v>0.35</v>
      </c>
      <c r="N52" s="183">
        <v>3</v>
      </c>
      <c r="O52" s="170">
        <f>VLOOKUP(TablaPrincipal[[#This Row],[CODIGO]]&amp;TablaPrincipal[[#This Row],[AGUAJE ]],Tabla4[#All],5,0)</f>
        <v>657000</v>
      </c>
      <c r="P52" s="221">
        <f>IFERROR(TablaPrincipal[[#This Row],[ANIM SEMBRADOS]]/TablaPrincipal[[#This Row],[HAS]],"-")</f>
        <v>90000</v>
      </c>
      <c r="Q52" s="222">
        <f>IFERROR(TablaPrincipal[[#This Row],[DENSIDAD]]/10000,"-")</f>
        <v>9</v>
      </c>
      <c r="R52" s="183" t="str">
        <f>VLOOKUP(TablaPrincipal[[#This Row],[CODIGO]]&amp;TablaPrincipal[[#This Row],[AGUAJE ]],Tabla4[#All],8,0)</f>
        <v>ARPON</v>
      </c>
      <c r="S52" s="183" t="str">
        <f>VLOOKUP(TablaPrincipal[[#This Row],[CODIGO]]&amp;TablaPrincipal[[#This Row],[AGUAJE ]],Tabla4[#All],7,0)</f>
        <v>TEXCUMAR</v>
      </c>
      <c r="T52" s="183" t="str">
        <f>IF(ISNUMBER(FIND("/",TablaPrincipal[[#This Row],[LABORATORIO]])),"COMBINADO","UNICO")</f>
        <v>UNICO</v>
      </c>
      <c r="U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2" s="185">
        <f>IFERROR(TablaPrincipal[[#This Row],[LIBRAS RALEO PLANTA]]/TablaPrincipal[[#This Row],[HAS]],"-")</f>
        <v>0</v>
      </c>
      <c r="Z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10800</v>
      </c>
      <c r="AB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11498.09</v>
      </c>
      <c r="AC52" s="186">
        <f>SUMIFS(COSECHAS!F:F,COSECHAS!A:A,'BASE 2026'!AW:AW,COSECHAS!G:G,"="&amp;A:A)</f>
        <v>20</v>
      </c>
      <c r="AD52" s="186">
        <f>SUMIFS(COSECHAS!M:M,COSECHAS!A:A,'BASE 2026'!AW:AW,COSECHAS!G:G,"="&amp;A:A)</f>
        <v>20.059999999999999</v>
      </c>
      <c r="AE52" s="185">
        <f>IFERROR(TablaPrincipal[[#This Row],[LIBRAS PLANTA]]/TablaPrincipal[[#This Row],[HAS]],"-")</f>
        <v>1575.0808219178082</v>
      </c>
      <c r="AF52" s="185">
        <f>IFERROR(TablaPrincipal[[#This Row],[LIBRAS PLANTA]]*454/TablaPrincipal[[#This Row],[GRAMOS PLANTA]],"-")</f>
        <v>260225.96510468598</v>
      </c>
      <c r="AG52" s="185">
        <f>TablaPrincipal[[#This Row],[LIBRAS RALEO PLANTA]]+TablaPrincipal[[#This Row],[LIBRAS PLANTA]]</f>
        <v>11498.09</v>
      </c>
      <c r="AH52" s="185">
        <f>IFERROR(TablaPrincipal[[#This Row],[CAM COSECHADOS RALEO]]+TablaPrincipal[[#This Row],[CAM COSECHADOS]],"-")</f>
        <v>260225.96510468598</v>
      </c>
      <c r="AI52" s="185">
        <f>IFERROR((TablaPrincipal[[#This Row],[LIBRAS RALEO PLANTA]]+TablaPrincipal[[#This Row],[LIBRAS PLANTA]])/TablaPrincipal[[#This Row],[HAS]],"0")</f>
        <v>1575.0808219178082</v>
      </c>
      <c r="AJ52" s="186">
        <f t="shared" si="0"/>
        <v>2.2648387096774192</v>
      </c>
      <c r="AK52" s="186">
        <f>IFERROR(TablaPrincipal[[#This Row],[LBS/HA]]/TablaPrincipal[[#This Row],[DIAS]],"-")</f>
        <v>25.404529385771099</v>
      </c>
      <c r="AL52" s="186">
        <f>IFERROR(TablaPrincipal[[#This Row],[CAM COSECHADOS TOTALES]]/TablaPrincipal[[#This Row],[ANIM SEMBRADOS]]*100,"-")</f>
        <v>39.608213866771081</v>
      </c>
      <c r="AM52" s="185">
        <v>17697.426500000001</v>
      </c>
      <c r="AN52" s="187">
        <f>IFERROR(((TablaPrincipal[[#This Row],[BALANCEADO ACUMULADO (LBS)]]/2.2046)/TablaPrincipal[[#This Row],[HAS]])/TablaPrincipal[[#This Row],[DIAS]],"-")</f>
        <v>17.736411842686699</v>
      </c>
      <c r="AO52" s="184">
        <f>IFERROR(TablaPrincipal[[#This Row],[BALANCEADO ACUMULADO (LBS)]]/TablaPrincipal[[#This Row],[LIBRAS TOTALES]],"-")</f>
        <v>1.5391622869537462</v>
      </c>
      <c r="AP52" s="184" t="s">
        <v>104</v>
      </c>
      <c r="AQ52" s="184" t="s">
        <v>105</v>
      </c>
      <c r="AR52" s="185">
        <f>TablaPrincipal[[#This Row],[LIBRAS RALEO PLANTA]]-TablaPrincipal[[#This Row],[LIBRAS RALEO CAMARONERA]]</f>
        <v>0</v>
      </c>
      <c r="AS52" s="185">
        <f>TablaPrincipal[[#This Row],[LIBRAS PLANTA]]-TablaPrincipal[[#This Row],[LIBRAS CAMARONERA]]</f>
        <v>698.09000000000015</v>
      </c>
      <c r="AT52" s="187">
        <f>TablaPrincipal[[#This Row],[GRAMAJE RALEO PLANTA]]-TablaPrincipal[[#This Row],[GRAMAJE RALEO CAMARONERA]]</f>
        <v>0</v>
      </c>
      <c r="AU52" s="187">
        <f>TablaPrincipal[[#This Row],[GRAMOS PLANTA]]-TablaPrincipal[[#This Row],[GRAMAJE CAMARONERA]]</f>
        <v>5.9999999999998721E-2</v>
      </c>
      <c r="AV52" s="183" t="str">
        <f>+VLOOKUP(TablaPrincipal[[#This Row],[CODIGO]],TablaCosechas[#All],10,0)</f>
        <v>WILMER TORRES</v>
      </c>
      <c r="AW52" s="183" t="s">
        <v>155</v>
      </c>
      <c r="AX52" s="188" t="str">
        <f>+VLOOKUP(TablaPrincipal[[#This Row],[CODIGO]],TablaCosechas[#All],10,0)</f>
        <v>WILMER TORRES</v>
      </c>
    </row>
    <row r="53" spans="1:50" hidden="1" x14ac:dyDescent="0.25">
      <c r="A53" s="196">
        <v>46038</v>
      </c>
      <c r="B53" s="183">
        <v>76</v>
      </c>
      <c r="C53" s="183">
        <f>YEAR(TablaPrincipal[[#This Row],[FECHA]])</f>
        <v>2026</v>
      </c>
      <c r="D53" s="183" t="s">
        <v>151</v>
      </c>
      <c r="E53" s="183" t="str">
        <f>UPPER(TEXT(TablaPrincipal[[#This Row],[FECHA]],"MMMM"))</f>
        <v>ENERO</v>
      </c>
      <c r="F53" s="183" t="str">
        <f>IFERROR(VLOOKUP(TablaPrincipal[[#This Row],[CODIGO]],COSECHAS!A:J,9,0),"-")</f>
        <v>11</v>
      </c>
      <c r="G53" s="183" t="str">
        <f>IFERROR(VLOOKUP(TablaPrincipal[[#This Row],[CODIGO]],COSECHAS!A:I,8,0),"-")</f>
        <v>TIBURON</v>
      </c>
      <c r="H53" s="184">
        <f>IFERROR(VLOOKUP(TablaPrincipal[[#This Row],[CODIGO]],DATOS!A:B,2,0),"-")</f>
        <v>7</v>
      </c>
      <c r="I53" s="183" t="str">
        <f>IFERROR(VLOOKUP(TablaPrincipal[[#This Row],[CODIGO]],Tabla8[[#Headers],[#Data]],3,0),"-")</f>
        <v>ASC-BAP</v>
      </c>
      <c r="J53" s="183">
        <f>IFERROR(TablaPrincipal[[#This Row],[FECHA]]-TablaPrincipal[[#This Row],[FECHA DE SIEMBRA]],"-")</f>
        <v>87</v>
      </c>
      <c r="K53" s="196">
        <f>VLOOKUP(TablaPrincipal[[#This Row],[CODIGO]]&amp;TablaPrincipal[[#This Row],[AGUAJE ]],Tabla4[#All],4,0)</f>
        <v>45951</v>
      </c>
      <c r="L53" s="183" t="str">
        <f>VLOOKUP(TablaPrincipal[[#This Row],[CODIGO]]&amp;TablaPrincipal[[#This Row],[AGUAJE ]],Tabla4[#All],15,0)</f>
        <v>TI PC 30</v>
      </c>
      <c r="M53" s="184">
        <f>VLOOKUP(TablaPrincipal[[#This Row],[CODIGO]]&amp;TablaPrincipal[[#This Row],[AGUAJE ]],Tabla4[#All],14,0)</f>
        <v>0.65</v>
      </c>
      <c r="N53" s="183">
        <v>5</v>
      </c>
      <c r="O53" s="170">
        <f>VLOOKUP(TablaPrincipal[[#This Row],[CODIGO]]&amp;TablaPrincipal[[#This Row],[AGUAJE ]],Tabla4[#All],5,0)</f>
        <v>1190000</v>
      </c>
      <c r="P53" s="221">
        <f>IFERROR(TablaPrincipal[[#This Row],[ANIM SEMBRADOS]]/TablaPrincipal[[#This Row],[HAS]],"-")</f>
        <v>170000</v>
      </c>
      <c r="Q53" s="222">
        <f>IFERROR(TablaPrincipal[[#This Row],[DENSIDAD]]/10000,"-")</f>
        <v>17</v>
      </c>
      <c r="R53" s="183" t="str">
        <f>VLOOKUP(TablaPrincipal[[#This Row],[CODIGO]]&amp;TablaPrincipal[[#This Row],[AGUAJE ]],Tabla4[#All],8,0)</f>
        <v>TECSERV</v>
      </c>
      <c r="S53" s="183" t="str">
        <f>VLOOKUP(TablaPrincipal[[#This Row],[CODIGO]]&amp;TablaPrincipal[[#This Row],[AGUAJE ]],Tabla4[#All],7,0)</f>
        <v>EMPAGRAN</v>
      </c>
      <c r="T53" s="183" t="str">
        <f>IF(ISNUMBER(FIND("/",TablaPrincipal[[#This Row],[LABORATORIO]])),"COMBINADO","UNICO")</f>
        <v>UNICO</v>
      </c>
      <c r="U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20450</v>
      </c>
      <c r="V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20799.949999999997</v>
      </c>
      <c r="W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27.25</v>
      </c>
      <c r="X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28.82</v>
      </c>
      <c r="Y53" s="185">
        <f>IFERROR(TablaPrincipal[[#This Row],[LIBRAS RALEO PLANTA]]/TablaPrincipal[[#This Row],[HAS]],"-")</f>
        <v>2971.4214285714284</v>
      </c>
      <c r="Z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335383.5661892232</v>
      </c>
      <c r="AA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47300</v>
      </c>
      <c r="AB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48064.100000000006</v>
      </c>
      <c r="AC53" s="186">
        <f>SUMIFS(COSECHAS!F:F,COSECHAS!A:A,'BASE 2026'!AW:AW,COSECHAS!G:G,"="&amp;A:A)</f>
        <v>37.299999999999997</v>
      </c>
      <c r="AD53" s="186">
        <f>SUMIFS(COSECHAS!M:M,COSECHAS!A:A,'BASE 2026'!AW:AW,COSECHAS!G:G,"="&amp;A:A)</f>
        <v>37.85</v>
      </c>
      <c r="AE53" s="185">
        <f>IFERROR(TablaPrincipal[[#This Row],[LIBRAS PLANTA]]/TablaPrincipal[[#This Row],[HAS]],"-")</f>
        <v>6866.3000000000011</v>
      </c>
      <c r="AF53" s="185">
        <f>IFERROR(TablaPrincipal[[#This Row],[LIBRAS PLANTA]]*454/TablaPrincipal[[#This Row],[GRAMOS PLANTA]],"-")</f>
        <v>576515.22853368567</v>
      </c>
      <c r="AG53" s="185">
        <f>TablaPrincipal[[#This Row],[LIBRAS RALEO PLANTA]]+TablaPrincipal[[#This Row],[LIBRAS PLANTA]]</f>
        <v>68864.05</v>
      </c>
      <c r="AH53" s="185">
        <f>IFERROR(TablaPrincipal[[#This Row],[CAM COSECHADOS RALEO]]+TablaPrincipal[[#This Row],[CAM COSECHADOS]],"-")</f>
        <v>911898.79472290887</v>
      </c>
      <c r="AI53" s="185">
        <f>IFERROR((TablaPrincipal[[#This Row],[LIBRAS RALEO PLANTA]]+TablaPrincipal[[#This Row],[LIBRAS PLANTA]])/TablaPrincipal[[#This Row],[HAS]],"0")</f>
        <v>9837.721428571429</v>
      </c>
      <c r="AJ53" s="186">
        <f t="shared" si="0"/>
        <v>3.0454022988505747</v>
      </c>
      <c r="AK53" s="186">
        <f>IFERROR(TablaPrincipal[[#This Row],[LBS/HA]]/TablaPrincipal[[#This Row],[DIAS]],"-")</f>
        <v>113.0772577996716</v>
      </c>
      <c r="AL53" s="186">
        <f>IFERROR(TablaPrincipal[[#This Row],[CAM COSECHADOS TOTALES]]/TablaPrincipal[[#This Row],[ANIM SEMBRADOS]]*100,"-")</f>
        <v>76.630150817051174</v>
      </c>
      <c r="AM53" s="185">
        <v>86475.434999999998</v>
      </c>
      <c r="AN53" s="187">
        <f>IFERROR(((TablaPrincipal[[#This Row],[BALANCEADO ACUMULADO (LBS)]]/2.2046)/TablaPrincipal[[#This Row],[HAS]])/TablaPrincipal[[#This Row],[DIAS]],"-")</f>
        <v>64.408866995073893</v>
      </c>
      <c r="AO53" s="184">
        <f>IFERROR(TablaPrincipal[[#This Row],[BALANCEADO ACUMULADO (LBS)]]/TablaPrincipal[[#This Row],[LIBRAS TOTALES]],"-")</f>
        <v>1.255741348352297</v>
      </c>
      <c r="AP53" s="184" t="s">
        <v>108</v>
      </c>
      <c r="AQ53" s="184" t="s">
        <v>105</v>
      </c>
      <c r="AR53" s="185">
        <f>TablaPrincipal[[#This Row],[LIBRAS RALEO PLANTA]]-TablaPrincipal[[#This Row],[LIBRAS RALEO CAMARONERA]]</f>
        <v>349.94999999999709</v>
      </c>
      <c r="AS53" s="185">
        <f>TablaPrincipal[[#This Row],[LIBRAS PLANTA]]-TablaPrincipal[[#This Row],[LIBRAS CAMARONERA]]</f>
        <v>764.10000000000582</v>
      </c>
      <c r="AT53" s="187">
        <f>TablaPrincipal[[#This Row],[GRAMAJE RALEO PLANTA]]-TablaPrincipal[[#This Row],[GRAMAJE RALEO CAMARONERA]]</f>
        <v>1.5700000000000003</v>
      </c>
      <c r="AU53" s="187">
        <f>TablaPrincipal[[#This Row],[GRAMOS PLANTA]]-TablaPrincipal[[#This Row],[GRAMAJE CAMARONERA]]</f>
        <v>0.55000000000000426</v>
      </c>
      <c r="AV53" s="183" t="str">
        <f>+VLOOKUP(TablaPrincipal[[#This Row],[CODIGO]],TablaCosechas[#All],10,0)</f>
        <v>ALFONSO GRUNAUER</v>
      </c>
      <c r="AW53" s="183" t="s">
        <v>156</v>
      </c>
      <c r="AX53" s="188" t="str">
        <f>+VLOOKUP(TablaPrincipal[[#This Row],[CODIGO]],TablaCosechas[#All],10,0)</f>
        <v>ALFONSO GRUNAUER</v>
      </c>
    </row>
    <row r="54" spans="1:50" hidden="1" x14ac:dyDescent="0.25">
      <c r="A54" s="196">
        <v>46038</v>
      </c>
      <c r="B54" s="183">
        <v>80</v>
      </c>
      <c r="C54" s="183">
        <f>YEAR(TablaPrincipal[[#This Row],[FECHA]])</f>
        <v>2026</v>
      </c>
      <c r="D54" s="183" t="s">
        <v>151</v>
      </c>
      <c r="E54" s="183" t="str">
        <f>UPPER(TEXT(TablaPrincipal[[#This Row],[FECHA]],"MMMM"))</f>
        <v>ENERO</v>
      </c>
      <c r="F54" s="183" t="str">
        <f>IFERROR(VLOOKUP(TablaPrincipal[[#This Row],[CODIGO]],COSECHAS!A:J,9,0),"-")</f>
        <v>04</v>
      </c>
      <c r="G54" s="183" t="str">
        <f>IFERROR(VLOOKUP(TablaPrincipal[[#This Row],[CODIGO]],COSECHAS!A:I,8,0),"-")</f>
        <v>WAHOO</v>
      </c>
      <c r="H54" s="184">
        <f>IFERROR(VLOOKUP(TablaPrincipal[[#This Row],[CODIGO]],DATOS!A:B,2,0),"-")</f>
        <v>8</v>
      </c>
      <c r="I54" s="183" t="str">
        <f>IFERROR(VLOOKUP(TablaPrincipal[[#This Row],[CODIGO]],Tabla8[[#Headers],[#Data]],3,0),"-")</f>
        <v>CONVENCIONAL</v>
      </c>
      <c r="J54" s="183">
        <f>IFERROR(TablaPrincipal[[#This Row],[FECHA]]-TablaPrincipal[[#This Row],[FECHA DE SIEMBRA]],"-")</f>
        <v>81</v>
      </c>
      <c r="K54" s="196">
        <f>VLOOKUP(TablaPrincipal[[#This Row],[CODIGO]]&amp;TablaPrincipal[[#This Row],[AGUAJE ]],Tabla4[#All],4,0)</f>
        <v>45957</v>
      </c>
      <c r="L54" s="183" t="str">
        <f>VLOOKUP(TablaPrincipal[[#This Row],[CODIGO]]&amp;TablaPrincipal[[#This Row],[AGUAJE ]],Tabla4[#All],15,0)</f>
        <v>WA PS 9</v>
      </c>
      <c r="M54" s="184">
        <f>VLOOKUP(TablaPrincipal[[#This Row],[CODIGO]]&amp;TablaPrincipal[[#This Row],[AGUAJE ]],Tabla4[#All],14,0)</f>
        <v>0.5</v>
      </c>
      <c r="N54" s="183">
        <v>27</v>
      </c>
      <c r="O54" s="170">
        <f>VLOOKUP(TablaPrincipal[[#This Row],[CODIGO]]&amp;TablaPrincipal[[#This Row],[AGUAJE ]],Tabla4[#All],5,0)</f>
        <v>1480000</v>
      </c>
      <c r="P54" s="221">
        <f>IFERROR(TablaPrincipal[[#This Row],[ANIM SEMBRADOS]]/TablaPrincipal[[#This Row],[HAS]],"-")</f>
        <v>185000</v>
      </c>
      <c r="Q54" s="222">
        <f>IFERROR(TablaPrincipal[[#This Row],[DENSIDAD]]/10000,"-")</f>
        <v>18.5</v>
      </c>
      <c r="R54" s="183" t="str">
        <f>VLOOKUP(TablaPrincipal[[#This Row],[CODIGO]]&amp;TablaPrincipal[[#This Row],[AGUAJE ]],Tabla4[#All],8,0)</f>
        <v>TECSERV</v>
      </c>
      <c r="S54" s="183" t="str">
        <f>VLOOKUP(TablaPrincipal[[#This Row],[CODIGO]]&amp;TablaPrincipal[[#This Row],[AGUAJE ]],Tabla4[#All],7,0)</f>
        <v>TEXCUMAR</v>
      </c>
      <c r="T54" s="183" t="str">
        <f>IF(ISNUMBER(FIND("/",TablaPrincipal[[#This Row],[LABORATORIO]])),"COMBINADO","UNICO")</f>
        <v>UNICO</v>
      </c>
      <c r="U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10050</v>
      </c>
      <c r="V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10516.9</v>
      </c>
      <c r="W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19.579999999999998</v>
      </c>
      <c r="Y54" s="185">
        <f>IFERROR(TablaPrincipal[[#This Row],[LIBRAS RALEO PLANTA]]/TablaPrincipal[[#This Row],[HAS]],"-")</f>
        <v>1314.6125</v>
      </c>
      <c r="Z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243854.57609805925</v>
      </c>
      <c r="AA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25441.37</v>
      </c>
      <c r="AC54" s="186">
        <f>SUMIFS(COSECHAS!F:F,COSECHAS!A:A,'BASE 2026'!AW:AW,COSECHAS!G:G,"="&amp;A:A)</f>
        <v>23.5</v>
      </c>
      <c r="AD54" s="186">
        <f>SUMIFS(COSECHAS!M:M,COSECHAS!A:A,'BASE 2026'!AW:AW,COSECHAS!G:G,"="&amp;A:A)</f>
        <v>23.14</v>
      </c>
      <c r="AE54" s="185">
        <f>IFERROR(TablaPrincipal[[#This Row],[LIBRAS PLANTA]]/TablaPrincipal[[#This Row],[HAS]],"-")</f>
        <v>3180.1712499999999</v>
      </c>
      <c r="AF54" s="185">
        <f>IFERROR(TablaPrincipal[[#This Row],[LIBRAS PLANTA]]*454/TablaPrincipal[[#This Row],[GRAMOS PLANTA]],"-")</f>
        <v>499152.20311149524</v>
      </c>
      <c r="AG54" s="185">
        <f>TablaPrincipal[[#This Row],[LIBRAS RALEO PLANTA]]+TablaPrincipal[[#This Row],[LIBRAS PLANTA]]</f>
        <v>35958.269999999997</v>
      </c>
      <c r="AH54" s="185">
        <f>IFERROR(TablaPrincipal[[#This Row],[CAM COSECHADOS RALEO]]+TablaPrincipal[[#This Row],[CAM COSECHADOS]],"-")</f>
        <v>743006.77920955443</v>
      </c>
      <c r="AI54" s="185">
        <f>IFERROR((TablaPrincipal[[#This Row],[LIBRAS RALEO PLANTA]]+TablaPrincipal[[#This Row],[LIBRAS PLANTA]])/TablaPrincipal[[#This Row],[HAS]],"0")</f>
        <v>4494.7837499999996</v>
      </c>
      <c r="AJ54" s="186">
        <f t="shared" si="0"/>
        <v>1.9997530864197532</v>
      </c>
      <c r="AK54" s="186">
        <f>IFERROR(TablaPrincipal[[#This Row],[LBS/HA]]/TablaPrincipal[[#This Row],[DIAS]],"-")</f>
        <v>55.4911574074074</v>
      </c>
      <c r="AL54" s="186">
        <f>IFERROR(TablaPrincipal[[#This Row],[CAM COSECHADOS TOTALES]]/TablaPrincipal[[#This Row],[ANIM SEMBRADOS]]*100,"-")</f>
        <v>50.203160757402323</v>
      </c>
      <c r="AM54" s="185">
        <v>61462.043400000002</v>
      </c>
      <c r="AN54" s="187">
        <f>IFERROR(((TablaPrincipal[[#This Row],[BALANCEADO ACUMULADO (LBS)]]/2.2046)/TablaPrincipal[[#This Row],[HAS]])/TablaPrincipal[[#This Row],[DIAS]],"-")</f>
        <v>43.023148148148145</v>
      </c>
      <c r="AO54" s="184">
        <f>IFERROR(TablaPrincipal[[#This Row],[BALANCEADO ACUMULADO (LBS)]]/TablaPrincipal[[#This Row],[LIBRAS TOTALES]],"-")</f>
        <v>1.7092603008987921</v>
      </c>
      <c r="AP54" s="184" t="s">
        <v>104</v>
      </c>
      <c r="AQ54" s="184" t="s">
        <v>123</v>
      </c>
      <c r="AR54" s="185">
        <f>TablaPrincipal[[#This Row],[LIBRAS RALEO PLANTA]]-TablaPrincipal[[#This Row],[LIBRAS RALEO CAMARONERA]]</f>
        <v>466.89999999999964</v>
      </c>
      <c r="AS54" s="185">
        <f>TablaPrincipal[[#This Row],[LIBRAS PLANTA]]-TablaPrincipal[[#This Row],[LIBRAS CAMARONERA]]</f>
        <v>2041.369999999999</v>
      </c>
      <c r="AT54" s="187">
        <f>TablaPrincipal[[#This Row],[GRAMAJE RALEO PLANTA]]-TablaPrincipal[[#This Row],[GRAMAJE RALEO CAMARONERA]]</f>
        <v>0.57999999999999829</v>
      </c>
      <c r="AU54" s="187">
        <f>TablaPrincipal[[#This Row],[GRAMOS PLANTA]]-TablaPrincipal[[#This Row],[GRAMAJE CAMARONERA]]</f>
        <v>-0.35999999999999943</v>
      </c>
      <c r="AV54" s="183" t="str">
        <f>+VLOOKUP(TablaPrincipal[[#This Row],[CODIGO]],TablaCosechas[#All],10,0)</f>
        <v>JUNIOR ESQUIVEL</v>
      </c>
      <c r="AW54" s="183" t="s">
        <v>157</v>
      </c>
      <c r="AX54" s="188" t="str">
        <f>+VLOOKUP(TablaPrincipal[[#This Row],[CODIGO]],TablaCosechas[#All],10,0)</f>
        <v>JUNIOR ESQUIVEL</v>
      </c>
    </row>
    <row r="55" spans="1:50" hidden="1" x14ac:dyDescent="0.25">
      <c r="A55" s="196">
        <v>46038</v>
      </c>
      <c r="B55" s="183">
        <v>81</v>
      </c>
      <c r="C55" s="183">
        <f>YEAR(TablaPrincipal[[#This Row],[FECHA]])</f>
        <v>2026</v>
      </c>
      <c r="D55" s="183" t="s">
        <v>151</v>
      </c>
      <c r="E55" s="183" t="str">
        <f>UPPER(TEXT(TablaPrincipal[[#This Row],[FECHA]],"MMMM"))</f>
        <v>ENERO</v>
      </c>
      <c r="F55" s="183" t="str">
        <f>IFERROR(VLOOKUP(TablaPrincipal[[#This Row],[CODIGO]],COSECHAS!A:J,9,0),"-")</f>
        <v>04</v>
      </c>
      <c r="G55" s="183" t="str">
        <f>IFERROR(VLOOKUP(TablaPrincipal[[#This Row],[CODIGO]],COSECHAS!A:I,8,0),"-")</f>
        <v>WAHOO</v>
      </c>
      <c r="H55" s="184">
        <f>IFERROR(VLOOKUP(TablaPrincipal[[#This Row],[CODIGO]],DATOS!A:B,2,0),"-")</f>
        <v>2.4</v>
      </c>
      <c r="I55" s="183" t="str">
        <f>IFERROR(VLOOKUP(TablaPrincipal[[#This Row],[CODIGO]],Tabla8[[#Headers],[#Data]],3,0),"-")</f>
        <v>CONVENCIONAL</v>
      </c>
      <c r="J55" s="183">
        <f>IFERROR(TablaPrincipal[[#This Row],[FECHA]]-TablaPrincipal[[#This Row],[FECHA DE SIEMBRA]],"-")</f>
        <v>81</v>
      </c>
      <c r="K55" s="196">
        <f>VLOOKUP(TablaPrincipal[[#This Row],[CODIGO]]&amp;TablaPrincipal[[#This Row],[AGUAJE ]],Tabla4[#All],4,0)</f>
        <v>45957</v>
      </c>
      <c r="L55" s="183" t="str">
        <f>VLOOKUP(TablaPrincipal[[#This Row],[CODIGO]]&amp;TablaPrincipal[[#This Row],[AGUAJE ]],Tabla4[#All],15,0)</f>
        <v>WA PS 9 - 23</v>
      </c>
      <c r="M55" s="184">
        <f>VLOOKUP(TablaPrincipal[[#This Row],[CODIGO]]&amp;TablaPrincipal[[#This Row],[AGUAJE ]],Tabla4[#All],14,0)</f>
        <v>0.5</v>
      </c>
      <c r="N55" s="183">
        <v>27</v>
      </c>
      <c r="O55" s="170">
        <f>VLOOKUP(TablaPrincipal[[#This Row],[CODIGO]]&amp;TablaPrincipal[[#This Row],[AGUAJE ]],Tabla4[#All],5,0)</f>
        <v>360000</v>
      </c>
      <c r="P55" s="221">
        <f>IFERROR(TablaPrincipal[[#This Row],[ANIM SEMBRADOS]]/TablaPrincipal[[#This Row],[HAS]],"-")</f>
        <v>150000</v>
      </c>
      <c r="Q55" s="222">
        <f>IFERROR(TablaPrincipal[[#This Row],[DENSIDAD]]/10000,"-")</f>
        <v>15</v>
      </c>
      <c r="R55" s="183" t="str">
        <f>VLOOKUP(TablaPrincipal[[#This Row],[CODIGO]]&amp;TablaPrincipal[[#This Row],[AGUAJE ]],Tabla4[#All],8,0)</f>
        <v>TECSERV/GENESIS</v>
      </c>
      <c r="S55" s="183" t="str">
        <f>VLOOKUP(TablaPrincipal[[#This Row],[CODIGO]]&amp;TablaPrincipal[[#This Row],[AGUAJE ]],Tabla4[#All],7,0)</f>
        <v>TEXCUMAR</v>
      </c>
      <c r="T55" s="183" t="str">
        <f>IF(ISNUMBER(FIND("/",TablaPrincipal[[#This Row],[LABORATORIO]])),"COMBINADO","UNICO")</f>
        <v>COMBINADO</v>
      </c>
      <c r="U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3000</v>
      </c>
      <c r="V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3079.3</v>
      </c>
      <c r="W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17.55</v>
      </c>
      <c r="Y55" s="185">
        <f>IFERROR(TablaPrincipal[[#This Row],[LIBRAS RALEO PLANTA]]/TablaPrincipal[[#This Row],[HAS]],"-")</f>
        <v>1283.0416666666667</v>
      </c>
      <c r="Z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79658.245014245025</v>
      </c>
      <c r="AA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8029.33</v>
      </c>
      <c r="AC55" s="186">
        <f>SUMIFS(COSECHAS!F:F,COSECHAS!A:A,'BASE 2026'!AW:AW,COSECHAS!G:G,"="&amp;A:A)</f>
        <v>22.5</v>
      </c>
      <c r="AD55" s="186">
        <f>SUMIFS(COSECHAS!M:M,COSECHAS!A:A,'BASE 2026'!AW:AW,COSECHAS!G:G,"="&amp;A:A)</f>
        <v>22.22</v>
      </c>
      <c r="AE55" s="185">
        <f>IFERROR(TablaPrincipal[[#This Row],[LIBRAS PLANTA]]/TablaPrincipal[[#This Row],[HAS]],"-")</f>
        <v>3345.5541666666668</v>
      </c>
      <c r="AF55" s="185">
        <f>IFERROR(TablaPrincipal[[#This Row],[LIBRAS PLANTA]]*454/TablaPrincipal[[#This Row],[GRAMOS PLANTA]],"-")</f>
        <v>164055.61746174618</v>
      </c>
      <c r="AG55" s="185">
        <f>TablaPrincipal[[#This Row],[LIBRAS RALEO PLANTA]]+TablaPrincipal[[#This Row],[LIBRAS PLANTA]]</f>
        <v>11108.630000000001</v>
      </c>
      <c r="AH55" s="185">
        <f>IFERROR(TablaPrincipal[[#This Row],[CAM COSECHADOS RALEO]]+TablaPrincipal[[#This Row],[CAM COSECHADOS]],"-")</f>
        <v>243713.86247599119</v>
      </c>
      <c r="AI55" s="185">
        <f>IFERROR((TablaPrincipal[[#This Row],[LIBRAS RALEO PLANTA]]+TablaPrincipal[[#This Row],[LIBRAS PLANTA]])/TablaPrincipal[[#This Row],[HAS]],"0")</f>
        <v>4628.5958333333338</v>
      </c>
      <c r="AJ55" s="186">
        <f t="shared" si="0"/>
        <v>1.9202469135802469</v>
      </c>
      <c r="AK55" s="186">
        <f>IFERROR(TablaPrincipal[[#This Row],[LBS/HA]]/TablaPrincipal[[#This Row],[DIAS]],"-")</f>
        <v>57.143158436213994</v>
      </c>
      <c r="AL55" s="186">
        <f>IFERROR(TablaPrincipal[[#This Row],[CAM COSECHADOS TOTALES]]/TablaPrincipal[[#This Row],[ANIM SEMBRADOS]]*100,"-")</f>
        <v>67.698295132219783</v>
      </c>
      <c r="AM55" s="185">
        <v>16908.179700000001</v>
      </c>
      <c r="AN55" s="187">
        <f>IFERROR(((TablaPrincipal[[#This Row],[BALANCEADO ACUMULADO (LBS)]]/2.2046)/TablaPrincipal[[#This Row],[HAS]])/TablaPrincipal[[#This Row],[DIAS]],"-")</f>
        <v>39.452160493827158</v>
      </c>
      <c r="AO55" s="184">
        <f>IFERROR(TablaPrincipal[[#This Row],[BALANCEADO ACUMULADO (LBS)]]/TablaPrincipal[[#This Row],[LIBRAS TOTALES]],"-")</f>
        <v>1.5220760525825416</v>
      </c>
      <c r="AP55" s="184" t="s">
        <v>104</v>
      </c>
      <c r="AQ55" s="184" t="s">
        <v>123</v>
      </c>
      <c r="AR55" s="185">
        <f>TablaPrincipal[[#This Row],[LIBRAS RALEO PLANTA]]-TablaPrincipal[[#This Row],[LIBRAS RALEO CAMARONERA]]</f>
        <v>79.300000000000182</v>
      </c>
      <c r="AS55" s="185">
        <f>TablaPrincipal[[#This Row],[LIBRAS PLANTA]]-TablaPrincipal[[#This Row],[LIBRAS CAMARONERA]]</f>
        <v>1029.33</v>
      </c>
      <c r="AT55" s="187">
        <f>TablaPrincipal[[#This Row],[GRAMAJE RALEO PLANTA]]-TablaPrincipal[[#This Row],[GRAMAJE RALEO CAMARONERA]]</f>
        <v>5.0000000000000711E-2</v>
      </c>
      <c r="AU55" s="187">
        <f>TablaPrincipal[[#This Row],[GRAMOS PLANTA]]-TablaPrincipal[[#This Row],[GRAMAJE CAMARONERA]]</f>
        <v>-0.28000000000000114</v>
      </c>
      <c r="AV55" s="183" t="str">
        <f>+VLOOKUP(TablaPrincipal[[#This Row],[CODIGO]],TablaCosechas[#All],10,0)</f>
        <v>JUNIOR ESQUIVEL</v>
      </c>
      <c r="AW55" s="183" t="s">
        <v>158</v>
      </c>
      <c r="AX55" s="188" t="str">
        <f>+VLOOKUP(TablaPrincipal[[#This Row],[CODIGO]],TablaCosechas[#All],10,0)</f>
        <v>JUNIOR ESQUIVEL</v>
      </c>
    </row>
    <row r="56" spans="1:50" hidden="1" x14ac:dyDescent="0.25">
      <c r="A56" s="196">
        <v>46039</v>
      </c>
      <c r="B56" s="183">
        <v>55</v>
      </c>
      <c r="C56" s="183">
        <f>YEAR(TablaPrincipal[[#This Row],[FECHA]])</f>
        <v>2026</v>
      </c>
      <c r="D56" s="183" t="s">
        <v>151</v>
      </c>
      <c r="E56" s="183" t="str">
        <f>UPPER(TEXT(TablaPrincipal[[#This Row],[FECHA]],"MMMM"))</f>
        <v>ENERO</v>
      </c>
      <c r="F56" s="183" t="str">
        <f>IFERROR(VLOOKUP(TablaPrincipal[[#This Row],[CODIGO]],COSECHAS!A:J,9,0),"-")</f>
        <v>23</v>
      </c>
      <c r="G56" s="183" t="str">
        <f>IFERROR(VLOOKUP(TablaPrincipal[[#This Row],[CODIGO]],COSECHAS!A:I,8,0),"-")</f>
        <v>DORADO</v>
      </c>
      <c r="H56" s="184">
        <f>IFERROR(VLOOKUP(TablaPrincipal[[#This Row],[CODIGO]],DATOS!A:B,2,0),"-")</f>
        <v>13.72</v>
      </c>
      <c r="I56" s="183" t="str">
        <f>IFERROR(VLOOKUP(TablaPrincipal[[#This Row],[CODIGO]],Tabla8[[#Headers],[#Data]],3,0),"-")</f>
        <v>ASC-BAP</v>
      </c>
      <c r="J56" s="183">
        <f>IFERROR(TablaPrincipal[[#This Row],[FECHA]]-TablaPrincipal[[#This Row],[FECHA DE SIEMBRA]],"-")</f>
        <v>95</v>
      </c>
      <c r="K56" s="196">
        <f>VLOOKUP(TablaPrincipal[[#This Row],[CODIGO]]&amp;TablaPrincipal[[#This Row],[AGUAJE ]],Tabla4[#All],4,0)</f>
        <v>45944</v>
      </c>
      <c r="L56" s="183" t="str">
        <f>VLOOKUP(TablaPrincipal[[#This Row],[CODIGO]]&amp;TablaPrincipal[[#This Row],[AGUAJE ]],Tabla4[#All],15,0)</f>
        <v>DO PC 6</v>
      </c>
      <c r="M56" s="184">
        <f>VLOOKUP(TablaPrincipal[[#This Row],[CODIGO]]&amp;TablaPrincipal[[#This Row],[AGUAJE ]],Tabla4[#All],14,0)</f>
        <v>0.51</v>
      </c>
      <c r="N56" s="183">
        <v>3</v>
      </c>
      <c r="O56" s="170">
        <f>VLOOKUP(TablaPrincipal[[#This Row],[CODIGO]]&amp;TablaPrincipal[[#This Row],[AGUAJE ]],Tabla4[#All],5,0)</f>
        <v>2324705</v>
      </c>
      <c r="P56" s="221">
        <f>IFERROR(TablaPrincipal[[#This Row],[ANIM SEMBRADOS]]/TablaPrincipal[[#This Row],[HAS]],"-")</f>
        <v>169439.13994169096</v>
      </c>
      <c r="Q56" s="222">
        <f>IFERROR(TablaPrincipal[[#This Row],[DENSIDAD]]/10000,"-")</f>
        <v>16.943913994169094</v>
      </c>
      <c r="R56" s="183" t="str">
        <f>VLOOKUP(TablaPrincipal[[#This Row],[CODIGO]]&amp;TablaPrincipal[[#This Row],[AGUAJE ]],Tabla4[#All],8,0)</f>
        <v>EMPAGRAN</v>
      </c>
      <c r="S56" s="183" t="str">
        <f>VLOOKUP(TablaPrincipal[[#This Row],[CODIGO]]&amp;TablaPrincipal[[#This Row],[AGUAJE ]],Tabla4[#All],7,0)</f>
        <v>EMPAGRAN</v>
      </c>
      <c r="T56" s="183" t="str">
        <f>IF(ISNUMBER(FIND("/",TablaPrincipal[[#This Row],[LABORATORIO]])),"COMBINADO","UNICO")</f>
        <v>UNICO</v>
      </c>
      <c r="U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41200</v>
      </c>
      <c r="V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38577.31</v>
      </c>
      <c r="W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25.57</v>
      </c>
      <c r="Y56" s="185">
        <f>IFERROR(TablaPrincipal[[#This Row],[LIBRAS RALEO PLANTA]]/TablaPrincipal[[#This Row],[HAS]],"-")</f>
        <v>2811.7572886297371</v>
      </c>
      <c r="Z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700833.03747530677</v>
      </c>
      <c r="AA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62900</v>
      </c>
      <c r="AB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60831.55</v>
      </c>
      <c r="AC56" s="186">
        <f>SUMIFS(COSECHAS!F:F,COSECHAS!A:A,'BASE 2026'!AW:AW,COSECHAS!G:G,"="&amp;A:A)</f>
        <v>37.5</v>
      </c>
      <c r="AD56" s="186">
        <f>SUMIFS(COSECHAS!M:M,COSECHAS!A:A,'BASE 2026'!AW:AW,COSECHAS!G:G,"="&amp;A:A)</f>
        <v>37.46</v>
      </c>
      <c r="AE56" s="185">
        <f>IFERROR(TablaPrincipal[[#This Row],[LIBRAS PLANTA]]/TablaPrincipal[[#This Row],[HAS]],"-")</f>
        <v>4433.7864431486878</v>
      </c>
      <c r="AF56" s="185">
        <f>IFERROR(TablaPrincipal[[#This Row],[LIBRAS PLANTA]]*454/TablaPrincipal[[#This Row],[GRAMOS PLANTA]],"-")</f>
        <v>737253.70261612395</v>
      </c>
      <c r="AG56" s="185">
        <f>TablaPrincipal[[#This Row],[LIBRAS RALEO PLANTA]]+TablaPrincipal[[#This Row],[LIBRAS PLANTA]]</f>
        <v>99408.86</v>
      </c>
      <c r="AH56" s="185">
        <f>IFERROR(TablaPrincipal[[#This Row],[CAM COSECHADOS RALEO]]+TablaPrincipal[[#This Row],[CAM COSECHADOS]],"-")</f>
        <v>1438086.7400914307</v>
      </c>
      <c r="AI56" s="185">
        <f>IFERROR((TablaPrincipal[[#This Row],[LIBRAS RALEO PLANTA]]+TablaPrincipal[[#This Row],[LIBRAS PLANTA]])/TablaPrincipal[[#This Row],[HAS]],"0")</f>
        <v>7245.5437317784254</v>
      </c>
      <c r="AJ56" s="186">
        <f t="shared" si="0"/>
        <v>2.7602105263157894</v>
      </c>
      <c r="AK56" s="186">
        <f>IFERROR(TablaPrincipal[[#This Row],[LBS/HA]]/TablaPrincipal[[#This Row],[DIAS]],"-")</f>
        <v>76.26888138714132</v>
      </c>
      <c r="AL56" s="186">
        <f>IFERROR(TablaPrincipal[[#This Row],[CAM COSECHADOS TOTALES]]/TablaPrincipal[[#This Row],[ANIM SEMBRADOS]]*100,"-")</f>
        <v>61.861042157668635</v>
      </c>
      <c r="AM56" s="185">
        <v>151621.36500000002</v>
      </c>
      <c r="AN56" s="187">
        <f>IFERROR(((TablaPrincipal[[#This Row],[BALANCEADO ACUMULADO (LBS)]]/2.2046)/TablaPrincipal[[#This Row],[HAS]])/TablaPrincipal[[#This Row],[DIAS]],"-")</f>
        <v>52.765843179377015</v>
      </c>
      <c r="AO56" s="184">
        <f>IFERROR(TablaPrincipal[[#This Row],[BALANCEADO ACUMULADO (LBS)]]/TablaPrincipal[[#This Row],[LIBRAS TOTALES]],"-")</f>
        <v>1.5252298939953643</v>
      </c>
      <c r="AP56" s="184" t="s">
        <v>108</v>
      </c>
      <c r="AQ56" s="184" t="s">
        <v>105</v>
      </c>
      <c r="AR56" s="185">
        <f>TablaPrincipal[[#This Row],[LIBRAS RALEO PLANTA]]-TablaPrincipal[[#This Row],[LIBRAS RALEO CAMARONERA]]</f>
        <v>-2622.6900000000023</v>
      </c>
      <c r="AS56" s="185">
        <f>TablaPrincipal[[#This Row],[LIBRAS PLANTA]]-TablaPrincipal[[#This Row],[LIBRAS CAMARONERA]]</f>
        <v>-2068.4499999999971</v>
      </c>
      <c r="AT56" s="187">
        <f>TablaPrincipal[[#This Row],[GRAMAJE RALEO PLANTA]]-TablaPrincipal[[#This Row],[GRAMAJE RALEO CAMARONERA]]</f>
        <v>-0.42999999999999972</v>
      </c>
      <c r="AU56" s="187">
        <f>TablaPrincipal[[#This Row],[GRAMOS PLANTA]]-TablaPrincipal[[#This Row],[GRAMAJE CAMARONERA]]</f>
        <v>-3.9999999999999147E-2</v>
      </c>
      <c r="AV56" s="183" t="str">
        <f>+VLOOKUP(TablaPrincipal[[#This Row],[CODIGO]],TablaCosechas[#All],10,0)</f>
        <v>JOSE CEDEÑO</v>
      </c>
      <c r="AW56" s="183" t="s">
        <v>159</v>
      </c>
      <c r="AX56" s="188" t="str">
        <f>+VLOOKUP(TablaPrincipal[[#This Row],[CODIGO]],TablaCosechas[#All],10,0)</f>
        <v>JOSE CEDEÑO</v>
      </c>
    </row>
    <row r="57" spans="1:50" hidden="1" x14ac:dyDescent="0.25">
      <c r="A57" s="196">
        <v>46039</v>
      </c>
      <c r="B57" s="183">
        <v>78</v>
      </c>
      <c r="C57" s="183">
        <f>YEAR(TablaPrincipal[[#This Row],[FECHA]])</f>
        <v>2026</v>
      </c>
      <c r="D57" s="183" t="s">
        <v>151</v>
      </c>
      <c r="E57" s="183" t="str">
        <f>UPPER(TEXT(TablaPrincipal[[#This Row],[FECHA]],"MMMM"))</f>
        <v>ENERO</v>
      </c>
      <c r="F57" s="183" t="str">
        <f>IFERROR(VLOOKUP(TablaPrincipal[[#This Row],[CODIGO]],COSECHAS!A:J,9,0),"-")</f>
        <v>14</v>
      </c>
      <c r="G57" s="183" t="str">
        <f>IFERROR(VLOOKUP(TablaPrincipal[[#This Row],[CODIGO]],COSECHAS!A:I,8,0),"-")</f>
        <v>TIBURON</v>
      </c>
      <c r="H57" s="184">
        <f>IFERROR(VLOOKUP(TablaPrincipal[[#This Row],[CODIGO]],DATOS!A:B,2,0),"-")</f>
        <v>4.7</v>
      </c>
      <c r="I57" s="183" t="str">
        <f>IFERROR(VLOOKUP(TablaPrincipal[[#This Row],[CODIGO]],Tabla8[[#Headers],[#Data]],3,0),"-")</f>
        <v>ASC-BAP</v>
      </c>
      <c r="J57" s="183">
        <f>IFERROR(TablaPrincipal[[#This Row],[FECHA]]-TablaPrincipal[[#This Row],[FECHA DE SIEMBRA]],"-")</f>
        <v>89</v>
      </c>
      <c r="K57" s="196">
        <f>VLOOKUP(TablaPrincipal[[#This Row],[CODIGO]]&amp;TablaPrincipal[[#This Row],[AGUAJE ]],Tabla4[#All],4,0)</f>
        <v>45950</v>
      </c>
      <c r="L57" s="183" t="str">
        <f>VLOOKUP(TablaPrincipal[[#This Row],[CODIGO]]&amp;TablaPrincipal[[#This Row],[AGUAJE ]],Tabla4[#All],15,0)</f>
        <v>TI PC 31</v>
      </c>
      <c r="M57" s="184">
        <f>VLOOKUP(TablaPrincipal[[#This Row],[CODIGO]]&amp;TablaPrincipal[[#This Row],[AGUAJE ]],Tabla4[#All],14,0)</f>
        <v>0.57999999999999996</v>
      </c>
      <c r="N57" s="183">
        <v>6</v>
      </c>
      <c r="O57" s="170">
        <f>VLOOKUP(TablaPrincipal[[#This Row],[CODIGO]]&amp;TablaPrincipal[[#This Row],[AGUAJE ]],Tabla4[#All],5,0)</f>
        <v>799000</v>
      </c>
      <c r="P57" s="221">
        <f>IFERROR(TablaPrincipal[[#This Row],[ANIM SEMBRADOS]]/TablaPrincipal[[#This Row],[HAS]],"-")</f>
        <v>170000</v>
      </c>
      <c r="Q57" s="222">
        <f>IFERROR(TablaPrincipal[[#This Row],[DENSIDAD]]/10000,"-")</f>
        <v>17</v>
      </c>
      <c r="R57" s="183" t="str">
        <f>VLOOKUP(TablaPrincipal[[#This Row],[CODIGO]]&amp;TablaPrincipal[[#This Row],[AGUAJE ]],Tabla4[#All],8,0)</f>
        <v>TECSERV</v>
      </c>
      <c r="S57" s="183" t="str">
        <f>VLOOKUP(TablaPrincipal[[#This Row],[CODIGO]]&amp;TablaPrincipal[[#This Row],[AGUAJE ]],Tabla4[#All],7,0)</f>
        <v>EMPAGRAN</v>
      </c>
      <c r="T57" s="183" t="str">
        <f>IF(ISNUMBER(FIND("/",TablaPrincipal[[#This Row],[LABORATORIO]])),"COMBINADO","UNICO")</f>
        <v>UNICO</v>
      </c>
      <c r="U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13300</v>
      </c>
      <c r="V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13000.03</v>
      </c>
      <c r="W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27.759999999999998</v>
      </c>
      <c r="Y57" s="185">
        <f>IFERROR(TablaPrincipal[[#This Row],[LIBRAS RALEO PLANTA]]/TablaPrincipal[[#This Row],[HAS]],"-")</f>
        <v>2765.9638297872339</v>
      </c>
      <c r="Z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216251.99298940544</v>
      </c>
      <c r="AA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25600</v>
      </c>
      <c r="AB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32342.12</v>
      </c>
      <c r="AC57" s="186">
        <f>SUMIFS(COSECHAS!F:F,COSECHAS!A:A,'BASE 2026'!AW:AW,COSECHAS!G:G,"="&amp;A:A)</f>
        <v>36</v>
      </c>
      <c r="AD57" s="186">
        <f>SUMIFS(COSECHAS!M:M,COSECHAS!A:A,'BASE 2026'!AW:AW,COSECHAS!G:G,"="&amp;A:A)</f>
        <v>37.72</v>
      </c>
      <c r="AE57" s="185">
        <f>IFERROR(TablaPrincipal[[#This Row],[LIBRAS PLANTA]]/TablaPrincipal[[#This Row],[HAS]],"-")</f>
        <v>6881.3021276595737</v>
      </c>
      <c r="AF57" s="185">
        <f>IFERROR(TablaPrincipal[[#This Row],[LIBRAS PLANTA]]*454/TablaPrincipal[[#This Row],[GRAMOS PLANTA]],"-")</f>
        <v>389271.53976670204</v>
      </c>
      <c r="AG57" s="185">
        <f>TablaPrincipal[[#This Row],[LIBRAS RALEO PLANTA]]+TablaPrincipal[[#This Row],[LIBRAS PLANTA]]</f>
        <v>45342.15</v>
      </c>
      <c r="AH57" s="185">
        <f>IFERROR(TablaPrincipal[[#This Row],[CAM COSECHADOS RALEO]]+TablaPrincipal[[#This Row],[CAM COSECHADOS]],"-")</f>
        <v>605523.53275610751</v>
      </c>
      <c r="AI57" s="185">
        <f>IFERROR((TablaPrincipal[[#This Row],[LIBRAS RALEO PLANTA]]+TablaPrincipal[[#This Row],[LIBRAS PLANTA]])/TablaPrincipal[[#This Row],[HAS]],"0")</f>
        <v>9647.2659574468089</v>
      </c>
      <c r="AJ57" s="186">
        <f t="shared" si="0"/>
        <v>2.9667415730337079</v>
      </c>
      <c r="AK57" s="186">
        <f>IFERROR(TablaPrincipal[[#This Row],[LBS/HA]]/TablaPrincipal[[#This Row],[DIAS]],"-")</f>
        <v>108.3962467128855</v>
      </c>
      <c r="AL57" s="186">
        <f>IFERROR(TablaPrincipal[[#This Row],[CAM COSECHADOS TOTALES]]/TablaPrincipal[[#This Row],[ANIM SEMBRADOS]]*100,"-")</f>
        <v>75.785173060839483</v>
      </c>
      <c r="AM57" s="185">
        <v>57429.83</v>
      </c>
      <c r="AN57" s="187">
        <f>IFERROR(((TablaPrincipal[[#This Row],[BALANCEADO ACUMULADO (LBS)]]/2.2046)/TablaPrincipal[[#This Row],[HAS]])/TablaPrincipal[[#This Row],[DIAS]],"-")</f>
        <v>62.275878556060242</v>
      </c>
      <c r="AO57" s="184">
        <f>IFERROR(TablaPrincipal[[#This Row],[BALANCEADO ACUMULADO (LBS)]]/TablaPrincipal[[#This Row],[LIBRAS TOTALES]],"-")</f>
        <v>1.266588152524748</v>
      </c>
      <c r="AP57" s="184" t="s">
        <v>108</v>
      </c>
      <c r="AQ57" s="184" t="s">
        <v>105</v>
      </c>
      <c r="AR57" s="185">
        <f>TablaPrincipal[[#This Row],[LIBRAS RALEO PLANTA]]-TablaPrincipal[[#This Row],[LIBRAS RALEO CAMARONERA]]</f>
        <v>-299.96999999999935</v>
      </c>
      <c r="AS57" s="185">
        <f>TablaPrincipal[[#This Row],[LIBRAS PLANTA]]-TablaPrincipal[[#This Row],[LIBRAS CAMARONERA]]</f>
        <v>6742.119999999999</v>
      </c>
      <c r="AT57" s="187">
        <f>TablaPrincipal[[#This Row],[GRAMAJE RALEO PLANTA]]-TablaPrincipal[[#This Row],[GRAMAJE RALEO CAMARONERA]]</f>
        <v>1.259999999999998</v>
      </c>
      <c r="AU57" s="187">
        <f>TablaPrincipal[[#This Row],[GRAMOS PLANTA]]-TablaPrincipal[[#This Row],[GRAMAJE CAMARONERA]]</f>
        <v>1.7199999999999989</v>
      </c>
      <c r="AV57" s="183" t="str">
        <f>+VLOOKUP(TablaPrincipal[[#This Row],[CODIGO]],TablaCosechas[#All],10,0)</f>
        <v>ALFONSO GRUNAUER</v>
      </c>
      <c r="AW57" s="183" t="s">
        <v>160</v>
      </c>
      <c r="AX57" s="188" t="str">
        <f>+VLOOKUP(TablaPrincipal[[#This Row],[CODIGO]],TablaCosechas[#All],10,0)</f>
        <v>ALFONSO GRUNAUER</v>
      </c>
    </row>
    <row r="58" spans="1:50" hidden="1" x14ac:dyDescent="0.25">
      <c r="A58" s="196">
        <v>46040</v>
      </c>
      <c r="B58" s="183">
        <v>65</v>
      </c>
      <c r="C58" s="183">
        <f>YEAR(TablaPrincipal[[#This Row],[FECHA]])</f>
        <v>2026</v>
      </c>
      <c r="D58" s="183" t="s">
        <v>151</v>
      </c>
      <c r="E58" s="183" t="str">
        <f>UPPER(TEXT(TablaPrincipal[[#This Row],[FECHA]],"MMMM"))</f>
        <v>ENERO</v>
      </c>
      <c r="F58" s="183" t="str">
        <f>IFERROR(VLOOKUP(TablaPrincipal[[#This Row],[CODIGO]],COSECHAS!A:J,9,0),"-")</f>
        <v>27</v>
      </c>
      <c r="G58" s="183" t="str">
        <f>IFERROR(VLOOKUP(TablaPrincipal[[#This Row],[CODIGO]],COSECHAS!A:I,8,0),"-")</f>
        <v>PARGO ROJO</v>
      </c>
      <c r="H58" s="184">
        <f>IFERROR(VLOOKUP(TablaPrincipal[[#This Row],[CODIGO]],DATOS!A:B,2,0),"-")</f>
        <v>8.0500000000000007</v>
      </c>
      <c r="I58" s="183" t="str">
        <f>IFERROR(VLOOKUP(TablaPrincipal[[#This Row],[CODIGO]],Tabla8[[#Headers],[#Data]],3,0),"-")</f>
        <v>CONVENCIONAL</v>
      </c>
      <c r="J58" s="183">
        <f>IFERROR(TablaPrincipal[[#This Row],[FECHA]]-TablaPrincipal[[#This Row],[FECHA DE SIEMBRA]],"-")</f>
        <v>62</v>
      </c>
      <c r="K58" s="196">
        <f>VLOOKUP(TablaPrincipal[[#This Row],[CODIGO]]&amp;TablaPrincipal[[#This Row],[AGUAJE ]],Tabla4[#All],4,0)</f>
        <v>45978</v>
      </c>
      <c r="L58" s="183" t="str">
        <f>VLOOKUP(TablaPrincipal[[#This Row],[CODIGO]]&amp;TablaPrincipal[[#This Row],[AGUAJE ]],Tabla4[#All],15,0)</f>
        <v>PR PC 6</v>
      </c>
      <c r="M58" s="184">
        <f>VLOOKUP(TablaPrincipal[[#This Row],[CODIGO]]&amp;TablaPrincipal[[#This Row],[AGUAJE ]],Tabla4[#All],14,0)</f>
        <v>0.4</v>
      </c>
      <c r="N58" s="183">
        <v>9</v>
      </c>
      <c r="O58" s="170">
        <f>VLOOKUP(TablaPrincipal[[#This Row],[CODIGO]]&amp;TablaPrincipal[[#This Row],[AGUAJE ]],Tabla4[#All],5,0)</f>
        <v>966000</v>
      </c>
      <c r="P58" s="221">
        <f>IFERROR(TablaPrincipal[[#This Row],[ANIM SEMBRADOS]]/TablaPrincipal[[#This Row],[HAS]],"-")</f>
        <v>119999.99999999999</v>
      </c>
      <c r="Q58" s="222">
        <f>IFERROR(TablaPrincipal[[#This Row],[DENSIDAD]]/10000,"-")</f>
        <v>11.999999999999998</v>
      </c>
      <c r="R58" s="183" t="str">
        <f>VLOOKUP(TablaPrincipal[[#This Row],[CODIGO]]&amp;TablaPrincipal[[#This Row],[AGUAJE ]],Tabla4[#All],8,0)</f>
        <v>MEGALATINA</v>
      </c>
      <c r="S58" s="183" t="str">
        <f>VLOOKUP(TablaPrincipal[[#This Row],[CODIGO]]&amp;TablaPrincipal[[#This Row],[AGUAJE ]],Tabla4[#All],7,0)</f>
        <v>TEXCUMAR</v>
      </c>
      <c r="T58" s="183" t="str">
        <f>IF(ISNUMBER(FIND("/",TablaPrincipal[[#This Row],[LABORATORIO]])),"COMBINADO","UNICO")</f>
        <v>UNICO</v>
      </c>
      <c r="U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58" s="185">
        <f>IFERROR(TablaPrincipal[[#This Row],[LIBRAS RALEO PLANTA]]/TablaPrincipal[[#This Row],[HAS]],"-")</f>
        <v>0</v>
      </c>
      <c r="Z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15700</v>
      </c>
      <c r="AB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17739.400000000001</v>
      </c>
      <c r="AC58" s="186">
        <f>SUMIFS(COSECHAS!F:F,COSECHAS!A:A,'BASE 2026'!AW:AW,COSECHAS!G:G,"="&amp;A:A)</f>
        <v>20</v>
      </c>
      <c r="AD58" s="186">
        <f>SUMIFS(COSECHAS!M:M,COSECHAS!A:A,'BASE 2026'!AW:AW,COSECHAS!G:G,"="&amp;A:A)</f>
        <v>22.08</v>
      </c>
      <c r="AE58" s="185">
        <f>IFERROR(TablaPrincipal[[#This Row],[LIBRAS PLANTA]]/TablaPrincipal[[#This Row],[HAS]],"-")</f>
        <v>2203.6521739130435</v>
      </c>
      <c r="AF58" s="185">
        <f>IFERROR(TablaPrincipal[[#This Row],[LIBRAS PLANTA]]*454/TablaPrincipal[[#This Row],[GRAMOS PLANTA]],"-")</f>
        <v>364750.34420289862</v>
      </c>
      <c r="AG58" s="185">
        <f>TablaPrincipal[[#This Row],[LIBRAS RALEO PLANTA]]+TablaPrincipal[[#This Row],[LIBRAS PLANTA]]</f>
        <v>17739.400000000001</v>
      </c>
      <c r="AH58" s="185">
        <f>IFERROR(TablaPrincipal[[#This Row],[CAM COSECHADOS RALEO]]+TablaPrincipal[[#This Row],[CAM COSECHADOS]],"-")</f>
        <v>364750.34420289862</v>
      </c>
      <c r="AI58" s="185">
        <f>IFERROR((TablaPrincipal[[#This Row],[LIBRAS RALEO PLANTA]]+TablaPrincipal[[#This Row],[LIBRAS PLANTA]])/TablaPrincipal[[#This Row],[HAS]],"0")</f>
        <v>2203.6521739130435</v>
      </c>
      <c r="AJ58" s="186">
        <f t="shared" si="0"/>
        <v>2.4929032258064514</v>
      </c>
      <c r="AK58" s="186">
        <f>IFERROR(TablaPrincipal[[#This Row],[LBS/HA]]/TablaPrincipal[[#This Row],[DIAS]],"-")</f>
        <v>35.542776998597475</v>
      </c>
      <c r="AL58" s="186">
        <f>IFERROR(TablaPrincipal[[#This Row],[CAM COSECHADOS TOTALES]]/TablaPrincipal[[#This Row],[ANIM SEMBRADOS]]*100,"-")</f>
        <v>37.758834803612693</v>
      </c>
      <c r="AM58" s="185">
        <v>23181.369000000002</v>
      </c>
      <c r="AN58" s="187">
        <f>IFERROR(((TablaPrincipal[[#This Row],[BALANCEADO ACUMULADO (LBS)]]/2.2046)/TablaPrincipal[[#This Row],[HAS]])/TablaPrincipal[[#This Row],[DIAS]],"-")</f>
        <v>21.067922260068123</v>
      </c>
      <c r="AO58" s="184">
        <f>IFERROR(TablaPrincipal[[#This Row],[BALANCEADO ACUMULADO (LBS)]]/TablaPrincipal[[#This Row],[LIBRAS TOTALES]],"-")</f>
        <v>1.3067730024690802</v>
      </c>
      <c r="AP58" s="184" t="s">
        <v>104</v>
      </c>
      <c r="AQ58" s="184" t="s">
        <v>105</v>
      </c>
      <c r="AR58" s="185">
        <f>TablaPrincipal[[#This Row],[LIBRAS RALEO PLANTA]]-TablaPrincipal[[#This Row],[LIBRAS RALEO CAMARONERA]]</f>
        <v>0</v>
      </c>
      <c r="AS58" s="185">
        <f>TablaPrincipal[[#This Row],[LIBRAS PLANTA]]-TablaPrincipal[[#This Row],[LIBRAS CAMARONERA]]</f>
        <v>2039.4000000000015</v>
      </c>
      <c r="AT58" s="187">
        <f>TablaPrincipal[[#This Row],[GRAMAJE RALEO PLANTA]]-TablaPrincipal[[#This Row],[GRAMAJE RALEO CAMARONERA]]</f>
        <v>0</v>
      </c>
      <c r="AU58" s="187">
        <f>TablaPrincipal[[#This Row],[GRAMOS PLANTA]]-TablaPrincipal[[#This Row],[GRAMAJE CAMARONERA]]</f>
        <v>2.0799999999999983</v>
      </c>
      <c r="AV58" s="183" t="str">
        <f>+VLOOKUP(TablaPrincipal[[#This Row],[CODIGO]],TablaCosechas[#All],10,0)</f>
        <v>WILMER TORRES</v>
      </c>
      <c r="AW58" s="183" t="s">
        <v>161</v>
      </c>
      <c r="AX58" s="188" t="str">
        <f>+VLOOKUP(TablaPrincipal[[#This Row],[CODIGO]],TablaCosechas[#All],10,0)</f>
        <v>WILMER TORRES</v>
      </c>
    </row>
    <row r="59" spans="1:50" hidden="1" x14ac:dyDescent="0.25">
      <c r="A59" s="196">
        <v>46040</v>
      </c>
      <c r="B59" s="183">
        <v>69</v>
      </c>
      <c r="C59" s="183">
        <f>YEAR(TablaPrincipal[[#This Row],[FECHA]])</f>
        <v>2026</v>
      </c>
      <c r="D59" s="183" t="s">
        <v>151</v>
      </c>
      <c r="E59" s="183" t="str">
        <f>UPPER(TEXT(TablaPrincipal[[#This Row],[FECHA]],"MMMM"))</f>
        <v>ENERO</v>
      </c>
      <c r="F59" s="183" t="str">
        <f>IFERROR(VLOOKUP(TablaPrincipal[[#This Row],[CODIGO]],COSECHAS!A:J,9,0),"-")</f>
        <v>06</v>
      </c>
      <c r="G59" s="183" t="str">
        <f>IFERROR(VLOOKUP(TablaPrincipal[[#This Row],[CODIGO]],COSECHAS!A:I,8,0),"-")</f>
        <v>TAMBULERO</v>
      </c>
      <c r="H59" s="184">
        <f>IFERROR(VLOOKUP(TablaPrincipal[[#This Row],[CODIGO]],DATOS!A:B,2,0),"-")</f>
        <v>4.55</v>
      </c>
      <c r="I59" s="183" t="str">
        <f>IFERROR(VLOOKUP(TablaPrincipal[[#This Row],[CODIGO]],Tabla8[[#Headers],[#Data]],3,0),"-")</f>
        <v>ASC-BAP</v>
      </c>
      <c r="J59" s="183">
        <f>IFERROR(TablaPrincipal[[#This Row],[FECHA]]-TablaPrincipal[[#This Row],[FECHA DE SIEMBRA]],"-")</f>
        <v>84</v>
      </c>
      <c r="K59" s="196">
        <f>VLOOKUP(TablaPrincipal[[#This Row],[CODIGO]]&amp;TablaPrincipal[[#This Row],[AGUAJE ]],Tabla4[#All],4,0)</f>
        <v>45956</v>
      </c>
      <c r="L59" s="183" t="str">
        <f>VLOOKUP(TablaPrincipal[[#This Row],[CODIGO]]&amp;TablaPrincipal[[#This Row],[AGUAJE ]],Tabla4[#All],15,0)</f>
        <v>TA PC 5</v>
      </c>
      <c r="M59" s="184">
        <f>VLOOKUP(TablaPrincipal[[#This Row],[CODIGO]]&amp;TablaPrincipal[[#This Row],[AGUAJE ]],Tabla4[#All],14,0)</f>
        <v>0.57999999999999996</v>
      </c>
      <c r="N59" s="183">
        <v>9</v>
      </c>
      <c r="O59" s="170">
        <f>VLOOKUP(TablaPrincipal[[#This Row],[CODIGO]]&amp;TablaPrincipal[[#This Row],[AGUAJE ]],Tabla4[#All],5,0)</f>
        <v>978250</v>
      </c>
      <c r="P59" s="221">
        <f>IFERROR(TablaPrincipal[[#This Row],[ANIM SEMBRADOS]]/TablaPrincipal[[#This Row],[HAS]],"-")</f>
        <v>215000</v>
      </c>
      <c r="Q59" s="222">
        <f>IFERROR(TablaPrincipal[[#This Row],[DENSIDAD]]/10000,"-")</f>
        <v>21.5</v>
      </c>
      <c r="R59" s="183" t="str">
        <f>VLOOKUP(TablaPrincipal[[#This Row],[CODIGO]]&amp;TablaPrincipal[[#This Row],[AGUAJE ]],Tabla4[#All],8,0)</f>
        <v>AMBARTEK</v>
      </c>
      <c r="S59" s="183" t="str">
        <f>VLOOKUP(TablaPrincipal[[#This Row],[CODIGO]]&amp;TablaPrincipal[[#This Row],[AGUAJE ]],Tabla4[#All],7,0)</f>
        <v>TEXCUMAR</v>
      </c>
      <c r="T59" s="183" t="str">
        <f>IF(ISNUMBER(FIND("/",TablaPrincipal[[#This Row],[LABORATORIO]])),"COMBINADO","UNICO")</f>
        <v>UNICO</v>
      </c>
      <c r="U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20700</v>
      </c>
      <c r="V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20795.89</v>
      </c>
      <c r="W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24.21</v>
      </c>
      <c r="Y59" s="185">
        <f>IFERROR(TablaPrincipal[[#This Row],[LIBRAS RALEO PLANTA]]/TablaPrincipal[[#This Row],[HAS]],"-")</f>
        <v>4570.5252747252744</v>
      </c>
      <c r="Z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398791.38386779709</v>
      </c>
      <c r="AA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32056.28</v>
      </c>
      <c r="AC59" s="186">
        <f>SUMIFS(COSECHAS!F:F,COSECHAS!A:A,'BASE 2026'!AW:AW,COSECHAS!G:G,"="&amp;A:A)</f>
        <v>35</v>
      </c>
      <c r="AD59" s="186">
        <f>SUMIFS(COSECHAS!M:M,COSECHAS!A:A,'BASE 2026'!AW:AW,COSECHAS!G:G,"="&amp;A:A)</f>
        <v>35.58</v>
      </c>
      <c r="AE59" s="185">
        <f>IFERROR(TablaPrincipal[[#This Row],[LIBRAS PLANTA]]/TablaPrincipal[[#This Row],[HAS]],"-")</f>
        <v>7045.3362637362634</v>
      </c>
      <c r="AF59" s="185">
        <f>IFERROR(TablaPrincipal[[#This Row],[LIBRAS PLANTA]]*454/TablaPrincipal[[#This Row],[GRAMOS PLANTA]],"-")</f>
        <v>409037.41202922992</v>
      </c>
      <c r="AG59" s="185">
        <f>TablaPrincipal[[#This Row],[LIBRAS RALEO PLANTA]]+TablaPrincipal[[#This Row],[LIBRAS PLANTA]]</f>
        <v>52852.17</v>
      </c>
      <c r="AH59" s="185">
        <f>IFERROR(TablaPrincipal[[#This Row],[CAM COSECHADOS RALEO]]+TablaPrincipal[[#This Row],[CAM COSECHADOS]],"-")</f>
        <v>807828.79589702701</v>
      </c>
      <c r="AI59" s="185">
        <f>IFERROR((TablaPrincipal[[#This Row],[LIBRAS RALEO PLANTA]]+TablaPrincipal[[#This Row],[LIBRAS PLANTA]])/TablaPrincipal[[#This Row],[HAS]],"0")</f>
        <v>11615.861538461539</v>
      </c>
      <c r="AJ59" s="186">
        <f t="shared" si="0"/>
        <v>2.9649999999999999</v>
      </c>
      <c r="AK59" s="186">
        <f>IFERROR(TablaPrincipal[[#This Row],[LBS/HA]]/TablaPrincipal[[#This Row],[DIAS]],"-")</f>
        <v>138.28406593406595</v>
      </c>
      <c r="AL59" s="186">
        <f>IFERROR(TablaPrincipal[[#This Row],[CAM COSECHADOS TOTALES]]/TablaPrincipal[[#This Row],[ANIM SEMBRADOS]]*100,"-")</f>
        <v>82.578972235832055</v>
      </c>
      <c r="AM59" s="185">
        <v>73887.169000000009</v>
      </c>
      <c r="AN59" s="187">
        <f>IFERROR(((TablaPrincipal[[#This Row],[BALANCEADO ACUMULADO (LBS)]]/2.2046)/TablaPrincipal[[#This Row],[HAS]])/TablaPrincipal[[#This Row],[DIAS]],"-")</f>
        <v>87.689691261119833</v>
      </c>
      <c r="AO59" s="184">
        <f>IFERROR(TablaPrincipal[[#This Row],[BALANCEADO ACUMULADO (LBS)]]/TablaPrincipal[[#This Row],[LIBRAS TOTALES]],"-")</f>
        <v>1.3979968845177031</v>
      </c>
      <c r="AP59" s="184" t="s">
        <v>104</v>
      </c>
      <c r="AQ59" s="184" t="s">
        <v>105</v>
      </c>
      <c r="AR59" s="185">
        <f>TablaPrincipal[[#This Row],[LIBRAS RALEO PLANTA]]-TablaPrincipal[[#This Row],[LIBRAS RALEO CAMARONERA]]</f>
        <v>95.889999999999418</v>
      </c>
      <c r="AS59" s="185">
        <f>TablaPrincipal[[#This Row],[LIBRAS PLANTA]]-TablaPrincipal[[#This Row],[LIBRAS CAMARONERA]]</f>
        <v>3806.2799999999988</v>
      </c>
      <c r="AT59" s="187">
        <f>TablaPrincipal[[#This Row],[GRAMAJE RALEO PLANTA]]-TablaPrincipal[[#This Row],[GRAMAJE RALEO CAMARONERA]]</f>
        <v>0.21000000000000085</v>
      </c>
      <c r="AU59" s="187">
        <f>TablaPrincipal[[#This Row],[GRAMOS PLANTA]]-TablaPrincipal[[#This Row],[GRAMAJE CAMARONERA]]</f>
        <v>0.57999999999999829</v>
      </c>
      <c r="AV59" s="183" t="str">
        <f>+VLOOKUP(TablaPrincipal[[#This Row],[CODIGO]],TablaCosechas[#All],10,0)</f>
        <v>ALFONSO GRUNAUER</v>
      </c>
      <c r="AW59" s="183" t="s">
        <v>162</v>
      </c>
      <c r="AX59" s="188" t="str">
        <f>+VLOOKUP(TablaPrincipal[[#This Row],[CODIGO]],TablaCosechas[#All],10,0)</f>
        <v>ALFONSO GRUNAUER</v>
      </c>
    </row>
    <row r="60" spans="1:50" hidden="1" x14ac:dyDescent="0.25">
      <c r="A60" s="196">
        <v>46040</v>
      </c>
      <c r="B60" s="183">
        <v>82</v>
      </c>
      <c r="C60" s="183">
        <f>YEAR(TablaPrincipal[[#This Row],[FECHA]])</f>
        <v>2026</v>
      </c>
      <c r="D60" s="183" t="s">
        <v>151</v>
      </c>
      <c r="E60" s="183" t="str">
        <f>UPPER(TEXT(TablaPrincipal[[#This Row],[FECHA]],"MMMM"))</f>
        <v>ENERO</v>
      </c>
      <c r="F60" s="183" t="str">
        <f>IFERROR(VLOOKUP(TablaPrincipal[[#This Row],[CODIGO]],COSECHAS!A:J,9,0),"-")</f>
        <v>37</v>
      </c>
      <c r="G60" s="183" t="str">
        <f>IFERROR(VLOOKUP(TablaPrincipal[[#This Row],[CODIGO]],COSECHAS!A:I,8,0),"-")</f>
        <v>WAHOO</v>
      </c>
      <c r="H60" s="184">
        <f>IFERROR(VLOOKUP(TablaPrincipal[[#This Row],[CODIGO]],DATOS!A:B,2,0),"-")</f>
        <v>12</v>
      </c>
      <c r="I60" s="183" t="str">
        <f>IFERROR(VLOOKUP(TablaPrincipal[[#This Row],[CODIGO]],Tabla8[[#Headers],[#Data]],3,0),"-")</f>
        <v>CONVENCIONAL</v>
      </c>
      <c r="J60" s="183">
        <f>IFERROR(TablaPrincipal[[#This Row],[FECHA]]-TablaPrincipal[[#This Row],[FECHA DE SIEMBRA]],"-")</f>
        <v>84</v>
      </c>
      <c r="K60" s="196">
        <f>VLOOKUP(TablaPrincipal[[#This Row],[CODIGO]]&amp;TablaPrincipal[[#This Row],[AGUAJE ]],Tabla4[#All],4,0)</f>
        <v>45956</v>
      </c>
      <c r="L60" s="183" t="str">
        <f>VLOOKUP(TablaPrincipal[[#This Row],[CODIGO]]&amp;TablaPrincipal[[#This Row],[AGUAJE ]],Tabla4[#All],15,0)</f>
        <v>WA PC 7 - 8 - PS 9</v>
      </c>
      <c r="M60" s="184">
        <f>VLOOKUP(TablaPrincipal[[#This Row],[CODIGO]]&amp;TablaPrincipal[[#This Row],[AGUAJE ]],Tabla4[#All],14,0)</f>
        <v>0.47</v>
      </c>
      <c r="N60" s="183">
        <v>21</v>
      </c>
      <c r="O60" s="170">
        <f>VLOOKUP(TablaPrincipal[[#This Row],[CODIGO]]&amp;TablaPrincipal[[#This Row],[AGUAJE ]],Tabla4[#All],5,0)</f>
        <v>1800000</v>
      </c>
      <c r="P60" s="221">
        <f>IFERROR(TablaPrincipal[[#This Row],[ANIM SEMBRADOS]]/TablaPrincipal[[#This Row],[HAS]],"-")</f>
        <v>150000</v>
      </c>
      <c r="Q60" s="222">
        <f>IFERROR(TablaPrincipal[[#This Row],[DENSIDAD]]/10000,"-")</f>
        <v>15</v>
      </c>
      <c r="R60" s="183" t="str">
        <f>VLOOKUP(TablaPrincipal[[#This Row],[CODIGO]]&amp;TablaPrincipal[[#This Row],[AGUAJE ]],Tabla4[#All],8,0)</f>
        <v>TECSERV</v>
      </c>
      <c r="S60" s="183" t="str">
        <f>VLOOKUP(TablaPrincipal[[#This Row],[CODIGO]]&amp;TablaPrincipal[[#This Row],[AGUAJE ]],Tabla4[#All],7,0)</f>
        <v>TEXCUMAR</v>
      </c>
      <c r="T60" s="183" t="str">
        <f>IF(ISNUMBER(FIND("/",TablaPrincipal[[#This Row],[LABORATORIO]])),"COMBINADO","UNICO")</f>
        <v>UNICO</v>
      </c>
      <c r="U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30150</v>
      </c>
      <c r="V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30126.71</v>
      </c>
      <c r="W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26.25</v>
      </c>
      <c r="X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26.54</v>
      </c>
      <c r="Y60" s="185">
        <f>IFERROR(TablaPrincipal[[#This Row],[LIBRAS RALEO PLANTA]]/TablaPrincipal[[#This Row],[HAS]],"-")</f>
        <v>2510.5591666666664</v>
      </c>
      <c r="Z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542375.58756512986</v>
      </c>
      <c r="AA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21200</v>
      </c>
      <c r="AB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18795.189999999999</v>
      </c>
      <c r="AC60" s="186">
        <f>SUMIFS(COSECHAS!F:F,COSECHAS!A:A,'BASE 2026'!AW:AW,COSECHAS!G:G,"="&amp;A:A)</f>
        <v>35</v>
      </c>
      <c r="AD60" s="186">
        <f>SUMIFS(COSECHAS!M:M,COSECHAS!A:A,'BASE 2026'!AW:AW,COSECHAS!G:G,"="&amp;A:A)</f>
        <v>35.380000000000003</v>
      </c>
      <c r="AE60" s="185">
        <f>IFERROR(TablaPrincipal[[#This Row],[LIBRAS PLANTA]]/TablaPrincipal[[#This Row],[HAS]],"-")</f>
        <v>1566.2658333333331</v>
      </c>
      <c r="AF60" s="185">
        <f>IFERROR(TablaPrincipal[[#This Row],[LIBRAS PLANTA]]*454/TablaPrincipal[[#This Row],[GRAMOS PLANTA]],"-")</f>
        <v>241181.91803278687</v>
      </c>
      <c r="AG60" s="185">
        <f>TablaPrincipal[[#This Row],[LIBRAS RALEO PLANTA]]+TablaPrincipal[[#This Row],[LIBRAS PLANTA]]</f>
        <v>48921.899999999994</v>
      </c>
      <c r="AH60" s="185">
        <f>IFERROR(TablaPrincipal[[#This Row],[CAM COSECHADOS RALEO]]+TablaPrincipal[[#This Row],[CAM COSECHADOS]],"-")</f>
        <v>783557.50559791666</v>
      </c>
      <c r="AI60" s="185">
        <f>IFERROR((TablaPrincipal[[#This Row],[LIBRAS RALEO PLANTA]]+TablaPrincipal[[#This Row],[LIBRAS PLANTA]])/TablaPrincipal[[#This Row],[HAS]],"0")</f>
        <v>4076.8249999999994</v>
      </c>
      <c r="AJ60" s="186">
        <f t="shared" si="0"/>
        <v>2.9483333333333337</v>
      </c>
      <c r="AK60" s="186">
        <f>IFERROR(TablaPrincipal[[#This Row],[LBS/HA]]/TablaPrincipal[[#This Row],[DIAS]],"-")</f>
        <v>48.533630952380946</v>
      </c>
      <c r="AL60" s="186">
        <f>IFERROR(TablaPrincipal[[#This Row],[CAM COSECHADOS TOTALES]]/TablaPrincipal[[#This Row],[ANIM SEMBRADOS]]*100,"-")</f>
        <v>43.530972533217593</v>
      </c>
      <c r="AM60" s="185">
        <v>66810.403000000006</v>
      </c>
      <c r="AN60" s="187">
        <f>IFERROR(((TablaPrincipal[[#This Row],[BALANCEADO ACUMULADO (LBS)]]/2.2046)/TablaPrincipal[[#This Row],[HAS]])/TablaPrincipal[[#This Row],[DIAS]],"-")</f>
        <v>30.064484126984127</v>
      </c>
      <c r="AO60" s="184">
        <f>IFERROR(TablaPrincipal[[#This Row],[BALANCEADO ACUMULADO (LBS)]]/TablaPrincipal[[#This Row],[LIBRAS TOTALES]],"-")</f>
        <v>1.3656542979728918</v>
      </c>
      <c r="AP60" s="184" t="s">
        <v>104</v>
      </c>
      <c r="AQ60" s="184" t="s">
        <v>123</v>
      </c>
      <c r="AR60" s="185">
        <f>TablaPrincipal[[#This Row],[LIBRAS RALEO PLANTA]]-TablaPrincipal[[#This Row],[LIBRAS RALEO CAMARONERA]]</f>
        <v>-23.290000000000873</v>
      </c>
      <c r="AS60" s="185">
        <f>TablaPrincipal[[#This Row],[LIBRAS PLANTA]]-TablaPrincipal[[#This Row],[LIBRAS CAMARONERA]]</f>
        <v>-2404.8100000000013</v>
      </c>
      <c r="AT60" s="187">
        <f>TablaPrincipal[[#This Row],[GRAMAJE RALEO PLANTA]]-TablaPrincipal[[#This Row],[GRAMAJE RALEO CAMARONERA]]</f>
        <v>0.28999999999999915</v>
      </c>
      <c r="AU60" s="187">
        <f>TablaPrincipal[[#This Row],[GRAMOS PLANTA]]-TablaPrincipal[[#This Row],[GRAMAJE CAMARONERA]]</f>
        <v>0.38000000000000256</v>
      </c>
      <c r="AV60" s="183" t="str">
        <f>+VLOOKUP(TablaPrincipal[[#This Row],[CODIGO]],TablaCosechas[#All],10,0)</f>
        <v>JUNIOR ESQUIVEL</v>
      </c>
      <c r="AW60" s="183" t="s">
        <v>163</v>
      </c>
      <c r="AX60" s="188" t="str">
        <f>+VLOOKUP(TablaPrincipal[[#This Row],[CODIGO]],TablaCosechas[#All],10,0)</f>
        <v>JUNIOR ESQUIVEL</v>
      </c>
    </row>
    <row r="61" spans="1:50" hidden="1" x14ac:dyDescent="0.25">
      <c r="A61" s="196">
        <v>46041</v>
      </c>
      <c r="B61" s="183">
        <v>61</v>
      </c>
      <c r="C61" s="183">
        <f>YEAR(TablaPrincipal[[#This Row],[FECHA]])</f>
        <v>2026</v>
      </c>
      <c r="D61" s="183" t="s">
        <v>151</v>
      </c>
      <c r="E61" s="183" t="str">
        <f>UPPER(TEXT(TablaPrincipal[[#This Row],[FECHA]],"MMMM"))</f>
        <v>ENERO</v>
      </c>
      <c r="F61" s="183" t="str">
        <f>IFERROR(VLOOKUP(TablaPrincipal[[#This Row],[CODIGO]],COSECHAS!A:J,9,0),"-")</f>
        <v>11</v>
      </c>
      <c r="G61" s="183" t="str">
        <f>IFERROR(VLOOKUP(TablaPrincipal[[#This Row],[CODIGO]],COSECHAS!A:I,8,0),"-")</f>
        <v>PAMPANO</v>
      </c>
      <c r="H61" s="184">
        <f>IFERROR(VLOOKUP(TablaPrincipal[[#This Row],[CODIGO]],DATOS!A:B,2,0),"-")</f>
        <v>5.8</v>
      </c>
      <c r="I61" s="183" t="str">
        <f>IFERROR(VLOOKUP(TablaPrincipal[[#This Row],[CODIGO]],Tabla8[[#Headers],[#Data]],3,0),"-")</f>
        <v>ASC-BAP</v>
      </c>
      <c r="J61" s="183">
        <f>IFERROR(TablaPrincipal[[#This Row],[FECHA]]-TablaPrincipal[[#This Row],[FECHA DE SIEMBRA]],"-")</f>
        <v>90</v>
      </c>
      <c r="K61" s="196">
        <f>VLOOKUP(TablaPrincipal[[#This Row],[CODIGO]]&amp;TablaPrincipal[[#This Row],[AGUAJE ]],Tabla4[#All],4,0)</f>
        <v>45951</v>
      </c>
      <c r="L61" s="183" t="str">
        <f>VLOOKUP(TablaPrincipal[[#This Row],[CODIGO]]&amp;TablaPrincipal[[#This Row],[AGUAJE ]],Tabla4[#All],15,0)</f>
        <v>PA PC 7</v>
      </c>
      <c r="M61" s="184">
        <f>VLOOKUP(TablaPrincipal[[#This Row],[CODIGO]]&amp;TablaPrincipal[[#This Row],[AGUAJE ]],Tabla4[#All],14,0)</f>
        <v>0.6</v>
      </c>
      <c r="N61" s="183">
        <v>13</v>
      </c>
      <c r="O61" s="170">
        <f>VLOOKUP(TablaPrincipal[[#This Row],[CODIGO]]&amp;TablaPrincipal[[#This Row],[AGUAJE ]],Tabla4[#All],5,0)</f>
        <v>866666</v>
      </c>
      <c r="P61" s="221">
        <f>IFERROR(TablaPrincipal[[#This Row],[ANIM SEMBRADOS]]/TablaPrincipal[[#This Row],[HAS]],"-")</f>
        <v>149425.1724137931</v>
      </c>
      <c r="Q61" s="222">
        <f>IFERROR(TablaPrincipal[[#This Row],[DENSIDAD]]/10000,"-")</f>
        <v>14.94251724137931</v>
      </c>
      <c r="R61" s="183" t="str">
        <f>VLOOKUP(TablaPrincipal[[#This Row],[CODIGO]]&amp;TablaPrincipal[[#This Row],[AGUAJE ]],Tabla4[#All],8,0)</f>
        <v>MEGALATINA</v>
      </c>
      <c r="S61" s="183" t="str">
        <f>VLOOKUP(TablaPrincipal[[#This Row],[CODIGO]]&amp;TablaPrincipal[[#This Row],[AGUAJE ]],Tabla4[#All],7,0)</f>
        <v>TEXCUMAR</v>
      </c>
      <c r="T61" s="183" t="str">
        <f>IF(ISNUMBER(FIND("/",TablaPrincipal[[#This Row],[LABORATORIO]])),"COMBINADO","UNICO")</f>
        <v>UNICO</v>
      </c>
      <c r="U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13600</v>
      </c>
      <c r="V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12270.44</v>
      </c>
      <c r="W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21.82</v>
      </c>
      <c r="Y61" s="185">
        <f>IFERROR(TablaPrincipal[[#This Row],[LIBRAS RALEO PLANTA]]/TablaPrincipal[[#This Row],[HAS]],"-")</f>
        <v>2115.593103448276</v>
      </c>
      <c r="Z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250666.33912200737</v>
      </c>
      <c r="AA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28500</v>
      </c>
      <c r="AB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28675.85</v>
      </c>
      <c r="AC61" s="186">
        <f>SUMIFS(COSECHAS!F:F,COSECHAS!A:A,'BASE 2026'!AW:AW,COSECHAS!G:G,"="&amp;A:A)</f>
        <v>30</v>
      </c>
      <c r="AD61" s="186">
        <f>SUMIFS(COSECHAS!M:M,COSECHAS!A:A,'BASE 2026'!AW:AW,COSECHAS!G:G,"="&amp;A:A)</f>
        <v>32.32</v>
      </c>
      <c r="AE61" s="185">
        <f>IFERROR(TablaPrincipal[[#This Row],[LIBRAS PLANTA]]/TablaPrincipal[[#This Row],[HAS]],"-")</f>
        <v>4944.1120689655172</v>
      </c>
      <c r="AF61" s="185">
        <f>IFERROR(TablaPrincipal[[#This Row],[LIBRAS PLANTA]]*454/TablaPrincipal[[#This Row],[GRAMOS PLANTA]],"-")</f>
        <v>402810.51670792076</v>
      </c>
      <c r="AG61" s="185">
        <f>TablaPrincipal[[#This Row],[LIBRAS RALEO PLANTA]]+TablaPrincipal[[#This Row],[LIBRAS PLANTA]]</f>
        <v>40946.29</v>
      </c>
      <c r="AH61" s="185">
        <f>IFERROR(TablaPrincipal[[#This Row],[CAM COSECHADOS RALEO]]+TablaPrincipal[[#This Row],[CAM COSECHADOS]],"-")</f>
        <v>653476.85582992807</v>
      </c>
      <c r="AI61" s="185">
        <f>IFERROR((TablaPrincipal[[#This Row],[LIBRAS RALEO PLANTA]]+TablaPrincipal[[#This Row],[LIBRAS PLANTA]])/TablaPrincipal[[#This Row],[HAS]],"0")</f>
        <v>7059.7051724137937</v>
      </c>
      <c r="AJ61" s="186">
        <f t="shared" si="0"/>
        <v>2.5137777777777779</v>
      </c>
      <c r="AK61" s="186">
        <f>IFERROR(TablaPrincipal[[#This Row],[LBS/HA]]/TablaPrincipal[[#This Row],[DIAS]],"-")</f>
        <v>78.441168582375482</v>
      </c>
      <c r="AL61" s="186">
        <f>IFERROR(TablaPrincipal[[#This Row],[CAM COSECHADOS TOTALES]]/TablaPrincipal[[#This Row],[ANIM SEMBRADOS]]*100,"-")</f>
        <v>75.401233673632987</v>
      </c>
      <c r="AM61" s="185">
        <v>53296.205000000002</v>
      </c>
      <c r="AN61" s="187">
        <f>IFERROR(((TablaPrincipal[[#This Row],[BALANCEADO ACUMULADO (LBS)]]/2.2046)/TablaPrincipal[[#This Row],[HAS]])/TablaPrincipal[[#This Row],[DIAS]],"-")</f>
        <v>46.312260536398469</v>
      </c>
      <c r="AO61" s="184">
        <f>IFERROR(TablaPrincipal[[#This Row],[BALANCEADO ACUMULADO (LBS)]]/TablaPrincipal[[#This Row],[LIBRAS TOTALES]],"-")</f>
        <v>1.3016125514668118</v>
      </c>
      <c r="AP61" s="184" t="s">
        <v>104</v>
      </c>
      <c r="AQ61" s="184" t="s">
        <v>105</v>
      </c>
      <c r="AR61" s="185">
        <f>TablaPrincipal[[#This Row],[LIBRAS RALEO PLANTA]]-TablaPrincipal[[#This Row],[LIBRAS RALEO CAMARONERA]]</f>
        <v>-1329.5599999999995</v>
      </c>
      <c r="AS61" s="185">
        <f>TablaPrincipal[[#This Row],[LIBRAS PLANTA]]-TablaPrincipal[[#This Row],[LIBRAS CAMARONERA]]</f>
        <v>175.84999999999854</v>
      </c>
      <c r="AT61" s="187">
        <f>TablaPrincipal[[#This Row],[GRAMAJE RALEO PLANTA]]-TablaPrincipal[[#This Row],[GRAMAJE RALEO CAMARONERA]]</f>
        <v>1.3200000000000003</v>
      </c>
      <c r="AU61" s="187">
        <f>TablaPrincipal[[#This Row],[GRAMOS PLANTA]]-TablaPrincipal[[#This Row],[GRAMAJE CAMARONERA]]</f>
        <v>2.3200000000000003</v>
      </c>
      <c r="AV61" s="183" t="str">
        <f>+VLOOKUP(TablaPrincipal[[#This Row],[CODIGO]],TablaCosechas[#All],10,0)</f>
        <v>GUSTAVO CARRASCO</v>
      </c>
      <c r="AW61" s="183" t="s">
        <v>164</v>
      </c>
      <c r="AX61" s="188" t="str">
        <f>+VLOOKUP(TablaPrincipal[[#This Row],[CODIGO]],TablaCosechas[#All],10,0)</f>
        <v>GUSTAVO CARRASCO</v>
      </c>
    </row>
    <row r="62" spans="1:50" hidden="1" x14ac:dyDescent="0.25">
      <c r="A62" s="196">
        <v>46041</v>
      </c>
      <c r="B62" s="183">
        <v>66</v>
      </c>
      <c r="C62" s="183">
        <f>YEAR(TablaPrincipal[[#This Row],[FECHA]])</f>
        <v>2026</v>
      </c>
      <c r="D62" s="183" t="s">
        <v>151</v>
      </c>
      <c r="E62" s="183" t="str">
        <f>UPPER(TEXT(TablaPrincipal[[#This Row],[FECHA]],"MMMM"))</f>
        <v>ENERO</v>
      </c>
      <c r="F62" s="183" t="str">
        <f>IFERROR(VLOOKUP(TablaPrincipal[[#This Row],[CODIGO]],COSECHAS!A:J,9,0),"-")</f>
        <v>32</v>
      </c>
      <c r="G62" s="183" t="str">
        <f>IFERROR(VLOOKUP(TablaPrincipal[[#This Row],[CODIGO]],COSECHAS!A:I,8,0),"-")</f>
        <v>PARGO ROJO</v>
      </c>
      <c r="H62" s="184">
        <f>IFERROR(VLOOKUP(TablaPrincipal[[#This Row],[CODIGO]],DATOS!A:B,2,0),"-")</f>
        <v>8.25</v>
      </c>
      <c r="I62" s="183" t="str">
        <f>IFERROR(VLOOKUP(TablaPrincipal[[#This Row],[CODIGO]],Tabla8[[#Headers],[#Data]],3,0),"-")</f>
        <v>CONVENCIONAL</v>
      </c>
      <c r="J62" s="183">
        <f>IFERROR(TablaPrincipal[[#This Row],[FECHA]]-TablaPrincipal[[#This Row],[FECHA DE SIEMBRA]],"-")</f>
        <v>66</v>
      </c>
      <c r="K62" s="196">
        <f>VLOOKUP(TablaPrincipal[[#This Row],[CODIGO]]&amp;TablaPrincipal[[#This Row],[AGUAJE ]],Tabla4[#All],4,0)</f>
        <v>45975</v>
      </c>
      <c r="L62" s="183" t="str">
        <f>VLOOKUP(TablaPrincipal[[#This Row],[CODIGO]]&amp;TablaPrincipal[[#This Row],[AGUAJE ]],Tabla4[#All],15,0)</f>
        <v>PR PC 5</v>
      </c>
      <c r="M62" s="184">
        <f>VLOOKUP(TablaPrincipal[[#This Row],[CODIGO]]&amp;TablaPrincipal[[#This Row],[AGUAJE ]],Tabla4[#All],14,0)</f>
        <v>0.45</v>
      </c>
      <c r="N62" s="183">
        <v>3</v>
      </c>
      <c r="O62" s="170">
        <f>VLOOKUP(TablaPrincipal[[#This Row],[CODIGO]]&amp;TablaPrincipal[[#This Row],[AGUAJE ]],Tabla4[#All],5,0)</f>
        <v>990000</v>
      </c>
      <c r="P62" s="221">
        <f>IFERROR(TablaPrincipal[[#This Row],[ANIM SEMBRADOS]]/TablaPrincipal[[#This Row],[HAS]],"-")</f>
        <v>120000</v>
      </c>
      <c r="Q62" s="222">
        <f>IFERROR(TablaPrincipal[[#This Row],[DENSIDAD]]/10000,"-")</f>
        <v>12</v>
      </c>
      <c r="R62" s="183" t="str">
        <f>VLOOKUP(TablaPrincipal[[#This Row],[CODIGO]]&amp;TablaPrincipal[[#This Row],[AGUAJE ]],Tabla4[#All],8,0)</f>
        <v>GRILSAN</v>
      </c>
      <c r="S62" s="183" t="str">
        <f>VLOOKUP(TablaPrincipal[[#This Row],[CODIGO]]&amp;TablaPrincipal[[#This Row],[AGUAJE ]],Tabla4[#All],7,0)</f>
        <v>AQUAGEN</v>
      </c>
      <c r="T62" s="183" t="str">
        <f>IF(ISNUMBER(FIND("/",TablaPrincipal[[#This Row],[LABORATORIO]])),"COMBINADO","UNICO")</f>
        <v>UNICO</v>
      </c>
      <c r="U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62" s="185">
        <f>IFERROR(TablaPrincipal[[#This Row],[LIBRAS RALEO PLANTA]]/TablaPrincipal[[#This Row],[HAS]],"-")</f>
        <v>0</v>
      </c>
      <c r="Z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29302.9</v>
      </c>
      <c r="AC62" s="186">
        <f>SUMIFS(COSECHAS!F:F,COSECHAS!A:A,'BASE 2026'!AW:AW,COSECHAS!G:G,"="&amp;A:A)</f>
        <v>21</v>
      </c>
      <c r="AD62" s="186">
        <f>SUMIFS(COSECHAS!M:M,COSECHAS!A:A,'BASE 2026'!AW:AW,COSECHAS!G:G,"="&amp;A:A)</f>
        <v>21.08</v>
      </c>
      <c r="AE62" s="185">
        <f>IFERROR(TablaPrincipal[[#This Row],[LIBRAS PLANTA]]/TablaPrincipal[[#This Row],[HAS]],"-")</f>
        <v>3551.8666666666668</v>
      </c>
      <c r="AF62" s="185">
        <f>IFERROR(TablaPrincipal[[#This Row],[LIBRAS PLANTA]]*454/TablaPrincipal[[#This Row],[GRAMOS PLANTA]],"-")</f>
        <v>631096.61290322593</v>
      </c>
      <c r="AG62" s="185">
        <f>TablaPrincipal[[#This Row],[LIBRAS RALEO PLANTA]]+TablaPrincipal[[#This Row],[LIBRAS PLANTA]]</f>
        <v>29302.9</v>
      </c>
      <c r="AH62" s="185">
        <f>IFERROR(TablaPrincipal[[#This Row],[CAM COSECHADOS RALEO]]+TablaPrincipal[[#This Row],[CAM COSECHADOS]],"-")</f>
        <v>631096.61290322593</v>
      </c>
      <c r="AI62" s="185">
        <f>IFERROR((TablaPrincipal[[#This Row],[LIBRAS RALEO PLANTA]]+TablaPrincipal[[#This Row],[LIBRAS PLANTA]])/TablaPrincipal[[#This Row],[HAS]],"0")</f>
        <v>3551.8666666666668</v>
      </c>
      <c r="AJ62" s="186">
        <f t="shared" si="0"/>
        <v>2.2357575757575754</v>
      </c>
      <c r="AK62" s="186">
        <f>IFERROR(TablaPrincipal[[#This Row],[LBS/HA]]/TablaPrincipal[[#This Row],[DIAS]],"-")</f>
        <v>53.816161616161615</v>
      </c>
      <c r="AL62" s="186">
        <f>IFERROR(TablaPrincipal[[#This Row],[CAM COSECHADOS TOTALES]]/TablaPrincipal[[#This Row],[ANIM SEMBRADOS]]*100,"-")</f>
        <v>63.74713261648747</v>
      </c>
      <c r="AM62" s="185">
        <v>37334.901000000005</v>
      </c>
      <c r="AN62" s="187">
        <f>IFERROR(((TablaPrincipal[[#This Row],[BALANCEADO ACUMULADO (LBS)]]/2.2046)/TablaPrincipal[[#This Row],[HAS]])/TablaPrincipal[[#This Row],[DIAS]],"-")</f>
        <v>31.101928374655643</v>
      </c>
      <c r="AO62" s="184">
        <f>IFERROR(TablaPrincipal[[#This Row],[BALANCEADO ACUMULADO (LBS)]]/TablaPrincipal[[#This Row],[LIBRAS TOTALES]],"-")</f>
        <v>1.2741025973538456</v>
      </c>
      <c r="AP62" s="184" t="s">
        <v>108</v>
      </c>
      <c r="AQ62" s="184" t="s">
        <v>105</v>
      </c>
      <c r="AR62" s="185">
        <f>TablaPrincipal[[#This Row],[LIBRAS RALEO PLANTA]]-TablaPrincipal[[#This Row],[LIBRAS RALEO CAMARONERA]]</f>
        <v>0</v>
      </c>
      <c r="AS62" s="185">
        <f>TablaPrincipal[[#This Row],[LIBRAS PLANTA]]-TablaPrincipal[[#This Row],[LIBRAS CAMARONERA]]</f>
        <v>5502.9000000000015</v>
      </c>
      <c r="AT62" s="187">
        <f>TablaPrincipal[[#This Row],[GRAMAJE RALEO PLANTA]]-TablaPrincipal[[#This Row],[GRAMAJE RALEO CAMARONERA]]</f>
        <v>0</v>
      </c>
      <c r="AU62" s="187">
        <f>TablaPrincipal[[#This Row],[GRAMOS PLANTA]]-TablaPrincipal[[#This Row],[GRAMAJE CAMARONERA]]</f>
        <v>7.9999999999998295E-2</v>
      </c>
      <c r="AV62" s="183" t="str">
        <f>+VLOOKUP(TablaPrincipal[[#This Row],[CODIGO]],TablaCosechas[#All],10,0)</f>
        <v>WILMER TORRES</v>
      </c>
      <c r="AW62" s="183" t="s">
        <v>165</v>
      </c>
      <c r="AX62" s="188" t="str">
        <f>+VLOOKUP(TablaPrincipal[[#This Row],[CODIGO]],TablaCosechas[#All],10,0)</f>
        <v>WILMER TORRES</v>
      </c>
    </row>
    <row r="63" spans="1:50" hidden="1" x14ac:dyDescent="0.25">
      <c r="A63" s="196">
        <v>46041</v>
      </c>
      <c r="B63" s="183">
        <v>67</v>
      </c>
      <c r="C63" s="183">
        <f>YEAR(TablaPrincipal[[#This Row],[FECHA]])</f>
        <v>2026</v>
      </c>
      <c r="D63" s="183" t="s">
        <v>151</v>
      </c>
      <c r="E63" s="183" t="str">
        <f>UPPER(TEXT(TablaPrincipal[[#This Row],[FECHA]],"MMMM"))</f>
        <v>ENERO</v>
      </c>
      <c r="F63" s="183" t="str">
        <f>IFERROR(VLOOKUP(TablaPrincipal[[#This Row],[CODIGO]],COSECHAS!A:J,9,0),"-")</f>
        <v>01</v>
      </c>
      <c r="G63" s="183" t="str">
        <f>IFERROR(VLOOKUP(TablaPrincipal[[#This Row],[CODIGO]],COSECHAS!A:I,8,0),"-")</f>
        <v>TAMBULERO</v>
      </c>
      <c r="H63" s="184">
        <f>IFERROR(VLOOKUP(TablaPrincipal[[#This Row],[CODIGO]],DATOS!A:B,2,0),"-")</f>
        <v>3</v>
      </c>
      <c r="I63" s="183" t="str">
        <f>IFERROR(VLOOKUP(TablaPrincipal[[#This Row],[CODIGO]],Tabla8[[#Headers],[#Data]],3,0),"-")</f>
        <v>ASC-BAP</v>
      </c>
      <c r="J63" s="183">
        <f>IFERROR(TablaPrincipal[[#This Row],[FECHA]]-TablaPrincipal[[#This Row],[FECHA DE SIEMBRA]],"-")</f>
        <v>85</v>
      </c>
      <c r="K63" s="196">
        <f>VLOOKUP(TablaPrincipal[[#This Row],[CODIGO]]&amp;TablaPrincipal[[#This Row],[AGUAJE ]],Tabla4[#All],4,0)</f>
        <v>45956</v>
      </c>
      <c r="L63" s="183" t="str">
        <f>VLOOKUP(TablaPrincipal[[#This Row],[CODIGO]]&amp;TablaPrincipal[[#This Row],[AGUAJE ]],Tabla4[#All],15,0)</f>
        <v>TA PC 5</v>
      </c>
      <c r="M63" s="184">
        <f>VLOOKUP(TablaPrincipal[[#This Row],[CODIGO]]&amp;TablaPrincipal[[#This Row],[AGUAJE ]],Tabla4[#All],14,0)</f>
        <v>0.57999999999999996</v>
      </c>
      <c r="N63" s="183">
        <v>6</v>
      </c>
      <c r="O63" s="170">
        <f>VLOOKUP(TablaPrincipal[[#This Row],[CODIGO]]&amp;TablaPrincipal[[#This Row],[AGUAJE ]],Tabla4[#All],5,0)</f>
        <v>540000</v>
      </c>
      <c r="P63" s="221">
        <f>IFERROR(TablaPrincipal[[#This Row],[ANIM SEMBRADOS]]/TablaPrincipal[[#This Row],[HAS]],"-")</f>
        <v>180000</v>
      </c>
      <c r="Q63" s="222">
        <f>IFERROR(TablaPrincipal[[#This Row],[DENSIDAD]]/10000,"-")</f>
        <v>18</v>
      </c>
      <c r="R63" s="183" t="str">
        <f>VLOOKUP(TablaPrincipal[[#This Row],[CODIGO]]&amp;TablaPrincipal[[#This Row],[AGUAJE ]],Tabla4[#All],8,0)</f>
        <v>AMBARTEK</v>
      </c>
      <c r="S63" s="183" t="str">
        <f>VLOOKUP(TablaPrincipal[[#This Row],[CODIGO]]&amp;TablaPrincipal[[#This Row],[AGUAJE ]],Tabla4[#All],7,0)</f>
        <v>TEXCUMAR</v>
      </c>
      <c r="T63" s="183" t="str">
        <f>IF(ISNUMBER(FIND("/",TablaPrincipal[[#This Row],[LABORATORIO]])),"COMBINADO","UNICO")</f>
        <v>UNICO</v>
      </c>
      <c r="U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5250</v>
      </c>
      <c r="V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5304.44</v>
      </c>
      <c r="W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22.48</v>
      </c>
      <c r="Y63" s="185">
        <f>IFERROR(TablaPrincipal[[#This Row],[LIBRAS RALEO PLANTA]]/TablaPrincipal[[#This Row],[HAS]],"-")</f>
        <v>1768.1466666666665</v>
      </c>
      <c r="Z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107127.0355871886</v>
      </c>
      <c r="AA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24100</v>
      </c>
      <c r="AB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25164.3</v>
      </c>
      <c r="AC63" s="186">
        <f>SUMIFS(COSECHAS!F:F,COSECHAS!A:A,'BASE 2026'!AW:AW,COSECHAS!G:G,"="&amp;A:A)</f>
        <v>37.200000000000003</v>
      </c>
      <c r="AD63" s="186">
        <f>SUMIFS(COSECHAS!M:M,COSECHAS!A:A,'BASE 2026'!AW:AW,COSECHAS!G:G,"="&amp;A:A)</f>
        <v>39.340000000000003</v>
      </c>
      <c r="AE63" s="185">
        <f>IFERROR(TablaPrincipal[[#This Row],[LIBRAS PLANTA]]/TablaPrincipal[[#This Row],[HAS]],"-")</f>
        <v>8388.1</v>
      </c>
      <c r="AF63" s="185">
        <f>IFERROR(TablaPrincipal[[#This Row],[LIBRAS PLANTA]]*454/TablaPrincipal[[#This Row],[GRAMOS PLANTA]],"-")</f>
        <v>290406.51245551597</v>
      </c>
      <c r="AG63" s="185">
        <f>TablaPrincipal[[#This Row],[LIBRAS RALEO PLANTA]]+TablaPrincipal[[#This Row],[LIBRAS PLANTA]]</f>
        <v>30468.739999999998</v>
      </c>
      <c r="AH63" s="185">
        <f>IFERROR(TablaPrincipal[[#This Row],[CAM COSECHADOS RALEO]]+TablaPrincipal[[#This Row],[CAM COSECHADOS]],"-")</f>
        <v>397533.54804270458</v>
      </c>
      <c r="AI63" s="185">
        <f>IFERROR((TablaPrincipal[[#This Row],[LIBRAS RALEO PLANTA]]+TablaPrincipal[[#This Row],[LIBRAS PLANTA]])/TablaPrincipal[[#This Row],[HAS]],"0")</f>
        <v>10156.246666666666</v>
      </c>
      <c r="AJ63" s="186">
        <f t="shared" si="0"/>
        <v>3.2397647058823535</v>
      </c>
      <c r="AK63" s="186">
        <f>IFERROR(TablaPrincipal[[#This Row],[LBS/HA]]/TablaPrincipal[[#This Row],[DIAS]],"-")</f>
        <v>119.48525490196077</v>
      </c>
      <c r="AL63" s="186">
        <f>IFERROR(TablaPrincipal[[#This Row],[CAM COSECHADOS TOTALES]]/TablaPrincipal[[#This Row],[ANIM SEMBRADOS]]*100,"-")</f>
        <v>73.617323711611959</v>
      </c>
      <c r="AM63" s="185">
        <v>41964.561000000002</v>
      </c>
      <c r="AN63" s="187">
        <f>IFERROR(((TablaPrincipal[[#This Row],[BALANCEADO ACUMULADO (LBS)]]/2.2046)/TablaPrincipal[[#This Row],[HAS]])/TablaPrincipal[[#This Row],[DIAS]],"-")</f>
        <v>74.647058823529406</v>
      </c>
      <c r="AO63" s="184">
        <f>IFERROR(TablaPrincipal[[#This Row],[BALANCEADO ACUMULADO (LBS)]]/TablaPrincipal[[#This Row],[LIBRAS TOTALES]],"-")</f>
        <v>1.3772988643442428</v>
      </c>
      <c r="AP63" s="184" t="s">
        <v>104</v>
      </c>
      <c r="AQ63" s="184" t="s">
        <v>105</v>
      </c>
      <c r="AR63" s="185">
        <f>TablaPrincipal[[#This Row],[LIBRAS RALEO PLANTA]]-TablaPrincipal[[#This Row],[LIBRAS RALEO CAMARONERA]]</f>
        <v>54.4399999999996</v>
      </c>
      <c r="AS63" s="185">
        <f>TablaPrincipal[[#This Row],[LIBRAS PLANTA]]-TablaPrincipal[[#This Row],[LIBRAS CAMARONERA]]</f>
        <v>1064.2999999999993</v>
      </c>
      <c r="AT63" s="187">
        <f>TablaPrincipal[[#This Row],[GRAMAJE RALEO PLANTA]]-TablaPrincipal[[#This Row],[GRAMAJE RALEO CAMARONERA]]</f>
        <v>0.48000000000000043</v>
      </c>
      <c r="AU63" s="187">
        <f>TablaPrincipal[[#This Row],[GRAMOS PLANTA]]-TablaPrincipal[[#This Row],[GRAMAJE CAMARONERA]]</f>
        <v>2.1400000000000006</v>
      </c>
      <c r="AV63" s="183" t="str">
        <f>+VLOOKUP(TablaPrincipal[[#This Row],[CODIGO]],TablaCosechas[#All],10,0)</f>
        <v>ALFONSO GRUNAUER</v>
      </c>
      <c r="AW63" s="183" t="s">
        <v>166</v>
      </c>
      <c r="AX63" s="188" t="str">
        <f>+VLOOKUP(TablaPrincipal[[#This Row],[CODIGO]],TablaCosechas[#All],10,0)</f>
        <v>ALFONSO GRUNAUER</v>
      </c>
    </row>
    <row r="64" spans="1:50" hidden="1" x14ac:dyDescent="0.25">
      <c r="A64" s="196">
        <v>46042</v>
      </c>
      <c r="B64" s="183">
        <v>60</v>
      </c>
      <c r="C64" s="183">
        <f>YEAR(TablaPrincipal[[#This Row],[FECHA]])</f>
        <v>2026</v>
      </c>
      <c r="D64" s="183" t="s">
        <v>151</v>
      </c>
      <c r="E64" s="183" t="str">
        <f>UPPER(TEXT(TablaPrincipal[[#This Row],[FECHA]],"MMMM"))</f>
        <v>ENERO</v>
      </c>
      <c r="F64" s="183" t="str">
        <f>IFERROR(VLOOKUP(TablaPrincipal[[#This Row],[CODIGO]],COSECHAS!A:J,9,0),"-")</f>
        <v>10</v>
      </c>
      <c r="G64" s="183" t="str">
        <f>IFERROR(VLOOKUP(TablaPrincipal[[#This Row],[CODIGO]],COSECHAS!A:I,8,0),"-")</f>
        <v>PAMPANO</v>
      </c>
      <c r="H64" s="184">
        <f>IFERROR(VLOOKUP(TablaPrincipal[[#This Row],[CODIGO]],DATOS!A:B,2,0),"-")</f>
        <v>2.5</v>
      </c>
      <c r="I64" s="183" t="str">
        <f>IFERROR(VLOOKUP(TablaPrincipal[[#This Row],[CODIGO]],Tabla8[[#Headers],[#Data]],3,0),"-")</f>
        <v>ASC-BAP</v>
      </c>
      <c r="J64" s="183">
        <f>IFERROR(TablaPrincipal[[#This Row],[FECHA]]-TablaPrincipal[[#This Row],[FECHA DE SIEMBRA]],"-")</f>
        <v>91</v>
      </c>
      <c r="K64" s="196">
        <f>VLOOKUP(TablaPrincipal[[#This Row],[CODIGO]]&amp;TablaPrincipal[[#This Row],[AGUAJE ]],Tabla4[#All],4,0)</f>
        <v>45951</v>
      </c>
      <c r="L64" s="183" t="str">
        <f>VLOOKUP(TablaPrincipal[[#This Row],[CODIGO]]&amp;TablaPrincipal[[#This Row],[AGUAJE ]],Tabla4[#All],15,0)</f>
        <v>PA PC 7</v>
      </c>
      <c r="M64" s="184">
        <f>VLOOKUP(TablaPrincipal[[#This Row],[CODIGO]]&amp;TablaPrincipal[[#This Row],[AGUAJE ]],Tabla4[#All],14,0)</f>
        <v>0.6</v>
      </c>
      <c r="N64" s="183">
        <v>13</v>
      </c>
      <c r="O64" s="170">
        <f>VLOOKUP(TablaPrincipal[[#This Row],[CODIGO]]&amp;TablaPrincipal[[#This Row],[AGUAJE ]],Tabla4[#All],5,0)</f>
        <v>365333</v>
      </c>
      <c r="P64" s="221">
        <f>IFERROR(TablaPrincipal[[#This Row],[ANIM SEMBRADOS]]/TablaPrincipal[[#This Row],[HAS]],"-")</f>
        <v>146133.20000000001</v>
      </c>
      <c r="Q64" s="222">
        <f>IFERROR(TablaPrincipal[[#This Row],[DENSIDAD]]/10000,"-")</f>
        <v>14.613320000000002</v>
      </c>
      <c r="R64" s="183" t="str">
        <f>VLOOKUP(TablaPrincipal[[#This Row],[CODIGO]]&amp;TablaPrincipal[[#This Row],[AGUAJE ]],Tabla4[#All],8,0)</f>
        <v>MEGALATINA</v>
      </c>
      <c r="S64" s="183" t="str">
        <f>VLOOKUP(TablaPrincipal[[#This Row],[CODIGO]]&amp;TablaPrincipal[[#This Row],[AGUAJE ]],Tabla4[#All],7,0)</f>
        <v>TEXCUMAR</v>
      </c>
      <c r="T64" s="183" t="str">
        <f>IF(ISNUMBER(FIND("/",TablaPrincipal[[#This Row],[LABORATORIO]])),"COMBINADO","UNICO")</f>
        <v>UNICO</v>
      </c>
      <c r="U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6250</v>
      </c>
      <c r="V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5313.93</v>
      </c>
      <c r="W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24.84</v>
      </c>
      <c r="Y64" s="185">
        <f>IFERROR(TablaPrincipal[[#This Row],[LIBRAS RALEO PLANTA]]/TablaPrincipal[[#This Row],[HAS]],"-")</f>
        <v>2125.5720000000001</v>
      </c>
      <c r="Z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95313.045457613567</v>
      </c>
      <c r="AA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11002.68</v>
      </c>
      <c r="AC64" s="186">
        <f>SUMIFS(COSECHAS!F:F,COSECHAS!A:A,'BASE 2026'!AW:AW,COSECHAS!G:G,"="&amp;A:A)</f>
        <v>34.5</v>
      </c>
      <c r="AD64" s="186">
        <f>SUMIFS(COSECHAS!M:M,COSECHAS!A:A,'BASE 2026'!AW:AW,COSECHAS!G:G,"="&amp;A:A)</f>
        <v>37.340000000000003</v>
      </c>
      <c r="AE64" s="185">
        <f>IFERROR(TablaPrincipal[[#This Row],[LIBRAS PLANTA]]/TablaPrincipal[[#This Row],[HAS]],"-")</f>
        <v>4401.0720000000001</v>
      </c>
      <c r="AF64" s="185">
        <f>IFERROR(TablaPrincipal[[#This Row],[LIBRAS PLANTA]]*454/TablaPrincipal[[#This Row],[GRAMOS PLANTA]],"-")</f>
        <v>133776.55918585966</v>
      </c>
      <c r="AG64" s="185">
        <f>TablaPrincipal[[#This Row],[LIBRAS RALEO PLANTA]]+TablaPrincipal[[#This Row],[LIBRAS PLANTA]]</f>
        <v>16316.61</v>
      </c>
      <c r="AH64" s="185">
        <f>IFERROR(TablaPrincipal[[#This Row],[CAM COSECHADOS RALEO]]+TablaPrincipal[[#This Row],[CAM COSECHADOS]],"-")</f>
        <v>229089.60464347323</v>
      </c>
      <c r="AI64" s="185">
        <f>IFERROR((TablaPrincipal[[#This Row],[LIBRAS RALEO PLANTA]]+TablaPrincipal[[#This Row],[LIBRAS PLANTA]])/TablaPrincipal[[#This Row],[HAS]],"0")</f>
        <v>6526.6440000000002</v>
      </c>
      <c r="AJ64" s="186">
        <f t="shared" si="0"/>
        <v>2.8723076923076927</v>
      </c>
      <c r="AK64" s="186">
        <f>IFERROR(TablaPrincipal[[#This Row],[LBS/HA]]/TablaPrincipal[[#This Row],[DIAS]],"-")</f>
        <v>71.721362637362645</v>
      </c>
      <c r="AL64" s="186">
        <f>IFERROR(TablaPrincipal[[#This Row],[CAM COSECHADOS TOTALES]]/TablaPrincipal[[#This Row],[ANIM SEMBRADOS]]*100,"-")</f>
        <v>62.707065784769846</v>
      </c>
      <c r="AM64" s="185">
        <v>23754.565000000002</v>
      </c>
      <c r="AN64" s="187">
        <f>IFERROR(((TablaPrincipal[[#This Row],[BALANCEADO ACUMULADO (LBS)]]/2.2046)/TablaPrincipal[[#This Row],[HAS]])/TablaPrincipal[[#This Row],[DIAS]],"-")</f>
        <v>47.362637362637365</v>
      </c>
      <c r="AO64" s="184">
        <f>IFERROR(TablaPrincipal[[#This Row],[BALANCEADO ACUMULADO (LBS)]]/TablaPrincipal[[#This Row],[LIBRAS TOTALES]],"-")</f>
        <v>1.4558517363594523</v>
      </c>
      <c r="AP64" s="184" t="s">
        <v>104</v>
      </c>
      <c r="AQ64" s="184" t="s">
        <v>105</v>
      </c>
      <c r="AR64" s="185">
        <f>TablaPrincipal[[#This Row],[LIBRAS RALEO PLANTA]]-TablaPrincipal[[#This Row],[LIBRAS RALEO CAMARONERA]]</f>
        <v>-936.06999999999971</v>
      </c>
      <c r="AS64" s="185">
        <f>TablaPrincipal[[#This Row],[LIBRAS PLANTA]]-TablaPrincipal[[#This Row],[LIBRAS CAMARONERA]]</f>
        <v>-97.319999999999709</v>
      </c>
      <c r="AT64" s="187">
        <f>TablaPrincipal[[#This Row],[GRAMAJE RALEO PLANTA]]-TablaPrincipal[[#This Row],[GRAMAJE RALEO CAMARONERA]]</f>
        <v>3.34</v>
      </c>
      <c r="AU64" s="187">
        <f>TablaPrincipal[[#This Row],[GRAMOS PLANTA]]-TablaPrincipal[[#This Row],[GRAMAJE CAMARONERA]]</f>
        <v>2.8400000000000034</v>
      </c>
      <c r="AV64" s="183" t="str">
        <f>+VLOOKUP(TablaPrincipal[[#This Row],[CODIGO]],TablaCosechas[#All],10,0)</f>
        <v>GUSTAVO CARRASCO</v>
      </c>
      <c r="AW64" s="183" t="s">
        <v>167</v>
      </c>
      <c r="AX64" s="188" t="str">
        <f>+VLOOKUP(TablaPrincipal[[#This Row],[CODIGO]],TablaCosechas[#All],10,0)</f>
        <v>GUSTAVO CARRASCO</v>
      </c>
    </row>
    <row r="65" spans="1:50" hidden="1" x14ac:dyDescent="0.25">
      <c r="A65" s="196">
        <v>46042</v>
      </c>
      <c r="B65" s="183">
        <v>74</v>
      </c>
      <c r="C65" s="183">
        <f>YEAR(TablaPrincipal[[#This Row],[FECHA]])</f>
        <v>2026</v>
      </c>
      <c r="D65" s="183" t="s">
        <v>151</v>
      </c>
      <c r="E65" s="183" t="str">
        <f>UPPER(TEXT(TablaPrincipal[[#This Row],[FECHA]],"MMMM"))</f>
        <v>ENERO</v>
      </c>
      <c r="F65" s="183" t="str">
        <f>IFERROR(VLOOKUP(TablaPrincipal[[#This Row],[CODIGO]],COSECHAS!A:J,9,0),"-")</f>
        <v>27</v>
      </c>
      <c r="G65" s="183" t="str">
        <f>IFERROR(VLOOKUP(TablaPrincipal[[#This Row],[CODIGO]],COSECHAS!A:I,8,0),"-")</f>
        <v>TAMBULERO</v>
      </c>
      <c r="H65" s="184">
        <f>IFERROR(VLOOKUP(TablaPrincipal[[#This Row],[CODIGO]],DATOS!A:B,2,0),"-")</f>
        <v>5.75</v>
      </c>
      <c r="I65" s="183" t="str">
        <f>IFERROR(VLOOKUP(TablaPrincipal[[#This Row],[CODIGO]],Tabla8[[#Headers],[#Data]],3,0),"-")</f>
        <v>ASC-BAP</v>
      </c>
      <c r="J65" s="183">
        <f>IFERROR(TablaPrincipal[[#This Row],[FECHA]]-TablaPrincipal[[#This Row],[FECHA DE SIEMBRA]],"-")</f>
        <v>81</v>
      </c>
      <c r="K65" s="196">
        <f>VLOOKUP(TablaPrincipal[[#This Row],[CODIGO]]&amp;TablaPrincipal[[#This Row],[AGUAJE ]],Tabla4[#All],4,0)</f>
        <v>45961</v>
      </c>
      <c r="L65" s="183" t="str">
        <f>VLOOKUP(TablaPrincipal[[#This Row],[CODIGO]]&amp;TablaPrincipal[[#This Row],[AGUAJE ]],Tabla4[#All],15,0)</f>
        <v>TA PC 1</v>
      </c>
      <c r="M65" s="184">
        <f>VLOOKUP(TablaPrincipal[[#This Row],[CODIGO]]&amp;TablaPrincipal[[#This Row],[AGUAJE ]],Tabla4[#All],14,0)</f>
        <v>0.31</v>
      </c>
      <c r="N65" s="183">
        <v>5</v>
      </c>
      <c r="O65" s="170">
        <f>VLOOKUP(TablaPrincipal[[#This Row],[CODIGO]]&amp;TablaPrincipal[[#This Row],[AGUAJE ]],Tabla4[#All],5,0)</f>
        <v>977500</v>
      </c>
      <c r="P65" s="221">
        <f>IFERROR(TablaPrincipal[[#This Row],[ANIM SEMBRADOS]]/TablaPrincipal[[#This Row],[HAS]],"-")</f>
        <v>170000</v>
      </c>
      <c r="Q65" s="222">
        <f>IFERROR(TablaPrincipal[[#This Row],[DENSIDAD]]/10000,"-")</f>
        <v>17</v>
      </c>
      <c r="R65" s="183" t="str">
        <f>VLOOKUP(TablaPrincipal[[#This Row],[CODIGO]]&amp;TablaPrincipal[[#This Row],[AGUAJE ]],Tabla4[#All],8,0)</f>
        <v>GABSO</v>
      </c>
      <c r="S65" s="183" t="str">
        <f>VLOOKUP(TablaPrincipal[[#This Row],[CODIGO]]&amp;TablaPrincipal[[#This Row],[AGUAJE ]],Tabla4[#All],7,0)</f>
        <v>TEXCUMAR</v>
      </c>
      <c r="T65" s="183" t="str">
        <f>IF(ISNUMBER(FIND("/",TablaPrincipal[[#This Row],[LABORATORIO]])),"COMBINADO","UNICO")</f>
        <v>UNICO</v>
      </c>
      <c r="U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18300</v>
      </c>
      <c r="V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17904.169999999998</v>
      </c>
      <c r="W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25.92</v>
      </c>
      <c r="Y65" s="185">
        <f>IFERROR(TablaPrincipal[[#This Row],[LIBRAS RALEO PLANTA]]/TablaPrincipal[[#This Row],[HAS]],"-")</f>
        <v>3113.7686956521734</v>
      </c>
      <c r="Z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348341.08956172818</v>
      </c>
      <c r="AA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27900</v>
      </c>
      <c r="AB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28354.81</v>
      </c>
      <c r="AC65" s="186">
        <f>SUMIFS(COSECHAS!F:F,COSECHAS!A:A,'BASE 2026'!AW:AW,COSECHAS!G:G,"="&amp;A:A)</f>
        <v>37.5</v>
      </c>
      <c r="AD65" s="186">
        <f>SUMIFS(COSECHAS!M:M,COSECHAS!A:A,'BASE 2026'!AW:AW,COSECHAS!G:G,"="&amp;A:A)</f>
        <v>38.36</v>
      </c>
      <c r="AE65" s="185">
        <f>IFERROR(TablaPrincipal[[#This Row],[LIBRAS PLANTA]]/TablaPrincipal[[#This Row],[HAS]],"-")</f>
        <v>4931.2713043478261</v>
      </c>
      <c r="AF65" s="185">
        <f>IFERROR(TablaPrincipal[[#This Row],[LIBRAS PLANTA]]*454/TablaPrincipal[[#This Row],[GRAMOS PLANTA]],"-")</f>
        <v>335586.12460896769</v>
      </c>
      <c r="AG65" s="185">
        <f>TablaPrincipal[[#This Row],[LIBRAS RALEO PLANTA]]+TablaPrincipal[[#This Row],[LIBRAS PLANTA]]</f>
        <v>46258.979999999996</v>
      </c>
      <c r="AH65" s="185">
        <f>IFERROR(TablaPrincipal[[#This Row],[CAM COSECHADOS RALEO]]+TablaPrincipal[[#This Row],[CAM COSECHADOS]],"-")</f>
        <v>683927.21417069586</v>
      </c>
      <c r="AI65" s="185">
        <f>IFERROR((TablaPrincipal[[#This Row],[LIBRAS RALEO PLANTA]]+TablaPrincipal[[#This Row],[LIBRAS PLANTA]])/TablaPrincipal[[#This Row],[HAS]],"0")</f>
        <v>8045.0399999999991</v>
      </c>
      <c r="AJ65" s="186">
        <f t="shared" si="0"/>
        <v>3.3150617283950616</v>
      </c>
      <c r="AK65" s="186">
        <f>IFERROR(TablaPrincipal[[#This Row],[LBS/HA]]/TablaPrincipal[[#This Row],[DIAS]],"-")</f>
        <v>99.32148148148147</v>
      </c>
      <c r="AL65" s="186">
        <f>IFERROR(TablaPrincipal[[#This Row],[CAM COSECHADOS TOTALES]]/TablaPrincipal[[#This Row],[ANIM SEMBRADOS]]*100,"-")</f>
        <v>69.966978431784739</v>
      </c>
      <c r="AM65" s="185">
        <v>68518.968000000008</v>
      </c>
      <c r="AN65" s="187">
        <f>IFERROR(((TablaPrincipal[[#This Row],[BALANCEADO ACUMULADO (LBS)]]/2.2046)/TablaPrincipal[[#This Row],[HAS]])/TablaPrincipal[[#This Row],[DIAS]],"-")</f>
        <v>66.731078904991961</v>
      </c>
      <c r="AO65" s="184">
        <f>IFERROR(TablaPrincipal[[#This Row],[BALANCEADO ACUMULADO (LBS)]]/TablaPrincipal[[#This Row],[LIBRAS TOTALES]],"-")</f>
        <v>1.4812036063051977</v>
      </c>
      <c r="AP65" s="184" t="s">
        <v>104</v>
      </c>
      <c r="AQ65" s="184" t="s">
        <v>105</v>
      </c>
      <c r="AR65" s="185">
        <f>TablaPrincipal[[#This Row],[LIBRAS RALEO PLANTA]]-TablaPrincipal[[#This Row],[LIBRAS RALEO CAMARONERA]]</f>
        <v>-395.83000000000175</v>
      </c>
      <c r="AS65" s="185">
        <f>TablaPrincipal[[#This Row],[LIBRAS PLANTA]]-TablaPrincipal[[#This Row],[LIBRAS CAMARONERA]]</f>
        <v>454.81000000000131</v>
      </c>
      <c r="AT65" s="187">
        <f>TablaPrincipal[[#This Row],[GRAMAJE RALEO PLANTA]]-TablaPrincipal[[#This Row],[GRAMAJE RALEO CAMARONERA]]</f>
        <v>2.9200000000000017</v>
      </c>
      <c r="AU65" s="187">
        <f>TablaPrincipal[[#This Row],[GRAMOS PLANTA]]-TablaPrincipal[[#This Row],[GRAMAJE CAMARONERA]]</f>
        <v>0.85999999999999943</v>
      </c>
      <c r="AV65" s="183" t="str">
        <f>+VLOOKUP(TablaPrincipal[[#This Row],[CODIGO]],TablaCosechas[#All],10,0)</f>
        <v>ALFONSO GRUNAUER</v>
      </c>
      <c r="AW65" s="183" t="s">
        <v>168</v>
      </c>
      <c r="AX65" s="188" t="str">
        <f>+VLOOKUP(TablaPrincipal[[#This Row],[CODIGO]],TablaCosechas[#All],10,0)</f>
        <v>ALFONSO GRUNAUER</v>
      </c>
    </row>
    <row r="66" spans="1:50" hidden="1" x14ac:dyDescent="0.25">
      <c r="A66" s="196">
        <v>46043</v>
      </c>
      <c r="B66" s="183">
        <v>53</v>
      </c>
      <c r="C66" s="183">
        <f>YEAR(TablaPrincipal[[#This Row],[FECHA]])</f>
        <v>2026</v>
      </c>
      <c r="D66" s="183" t="s">
        <v>151</v>
      </c>
      <c r="E66" s="183" t="str">
        <f>UPPER(TEXT(TablaPrincipal[[#This Row],[FECHA]],"MMMM"))</f>
        <v>ENERO</v>
      </c>
      <c r="F66" s="183" t="str">
        <f>IFERROR(VLOOKUP(TablaPrincipal[[#This Row],[CODIGO]],COSECHAS!A:J,9,0),"-")</f>
        <v>12</v>
      </c>
      <c r="G66" s="183" t="str">
        <f>IFERROR(VLOOKUP(TablaPrincipal[[#This Row],[CODIGO]],COSECHAS!A:I,8,0),"-")</f>
        <v>DORADO</v>
      </c>
      <c r="H66" s="184">
        <f>IFERROR(VLOOKUP(TablaPrincipal[[#This Row],[CODIGO]],DATOS!A:B,2,0),"-")</f>
        <v>7.8</v>
      </c>
      <c r="I66" s="183" t="str">
        <f>IFERROR(VLOOKUP(TablaPrincipal[[#This Row],[CODIGO]],Tabla8[[#Headers],[#Data]],3,0),"-")</f>
        <v>ASC-BAP</v>
      </c>
      <c r="J66" s="183">
        <f>IFERROR(TablaPrincipal[[#This Row],[FECHA]]-TablaPrincipal[[#This Row],[FECHA DE SIEMBRA]],"-")</f>
        <v>94</v>
      </c>
      <c r="K66" s="196">
        <f>VLOOKUP(TablaPrincipal[[#This Row],[CODIGO]]&amp;TablaPrincipal[[#This Row],[AGUAJE ]],Tabla4[#All],4,0)</f>
        <v>45949</v>
      </c>
      <c r="L66" s="183" t="str">
        <f>VLOOKUP(TablaPrincipal[[#This Row],[CODIGO]]&amp;TablaPrincipal[[#This Row],[AGUAJE ]],Tabla4[#All],15,0)</f>
        <v>DO PS 15</v>
      </c>
      <c r="M66" s="184">
        <f>VLOOKUP(TablaPrincipal[[#This Row],[CODIGO]]&amp;TablaPrincipal[[#This Row],[AGUAJE ]],Tabla4[#All],14,0)</f>
        <v>0.6</v>
      </c>
      <c r="N66" s="183">
        <v>2</v>
      </c>
      <c r="O66" s="170">
        <f>VLOOKUP(TablaPrincipal[[#This Row],[CODIGO]]&amp;TablaPrincipal[[#This Row],[AGUAJE ]],Tabla4[#All],5,0)</f>
        <v>1405233</v>
      </c>
      <c r="P66" s="221">
        <f>IFERROR(TablaPrincipal[[#This Row],[ANIM SEMBRADOS]]/TablaPrincipal[[#This Row],[HAS]],"-")</f>
        <v>180158.07692307694</v>
      </c>
      <c r="Q66" s="222">
        <f>IFERROR(TablaPrincipal[[#This Row],[DENSIDAD]]/10000,"-")</f>
        <v>18.015807692307693</v>
      </c>
      <c r="R66" s="183" t="str">
        <f>VLOOKUP(TablaPrincipal[[#This Row],[CODIGO]]&amp;TablaPrincipal[[#This Row],[AGUAJE ]],Tabla4[#All],8,0)</f>
        <v>TECSERV</v>
      </c>
      <c r="S66" s="183" t="str">
        <f>VLOOKUP(TablaPrincipal[[#This Row],[CODIGO]]&amp;TablaPrincipal[[#This Row],[AGUAJE ]],Tabla4[#All],7,0)</f>
        <v>EMPAGRAN</v>
      </c>
      <c r="T66" s="183" t="str">
        <f>IF(ISNUMBER(FIND("/",TablaPrincipal[[#This Row],[LABORATORIO]])),"COMBINADO","UNICO")</f>
        <v>UNICO</v>
      </c>
      <c r="U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22000</v>
      </c>
      <c r="V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21716.489999999998</v>
      </c>
      <c r="W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26.77</v>
      </c>
      <c r="Y66" s="185">
        <f>IFERROR(TablaPrincipal[[#This Row],[LIBRAS RALEO PLANTA]]/TablaPrincipal[[#This Row],[HAS]],"-")</f>
        <v>2784.1653846153845</v>
      </c>
      <c r="Z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371451.56609370199</v>
      </c>
      <c r="AA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42000</v>
      </c>
      <c r="AB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43757.32</v>
      </c>
      <c r="AC66" s="186">
        <f>SUMIFS(COSECHAS!F:F,COSECHAS!A:A,'BASE 2026'!AW:AW,COSECHAS!G:G,"="&amp;A:A)</f>
        <v>35</v>
      </c>
      <c r="AD66" s="186">
        <f>SUMIFS(COSECHAS!M:M,COSECHAS!A:A,'BASE 2026'!AW:AW,COSECHAS!G:G,"="&amp;A:A)</f>
        <v>32.94</v>
      </c>
      <c r="AE66" s="185">
        <f>IFERROR(TablaPrincipal[[#This Row],[LIBRAS PLANTA]]/TablaPrincipal[[#This Row],[HAS]],"-")</f>
        <v>5609.9128205128209</v>
      </c>
      <c r="AF66" s="185">
        <f>IFERROR(TablaPrincipal[[#This Row],[LIBRAS PLANTA]]*454/TablaPrincipal[[#This Row],[GRAMOS PLANTA]],"-")</f>
        <v>603091.17425622349</v>
      </c>
      <c r="AG66" s="185">
        <f>TablaPrincipal[[#This Row],[LIBRAS RALEO PLANTA]]+TablaPrincipal[[#This Row],[LIBRAS PLANTA]]</f>
        <v>65473.81</v>
      </c>
      <c r="AH66" s="185">
        <f>IFERROR(TablaPrincipal[[#This Row],[CAM COSECHADOS RALEO]]+TablaPrincipal[[#This Row],[CAM COSECHADOS]],"-")</f>
        <v>974542.74034992547</v>
      </c>
      <c r="AI66" s="185">
        <f>IFERROR((TablaPrincipal[[#This Row],[LIBRAS RALEO PLANTA]]+TablaPrincipal[[#This Row],[LIBRAS PLANTA]])/TablaPrincipal[[#This Row],[HAS]],"0")</f>
        <v>8394.0782051282058</v>
      </c>
      <c r="AJ66" s="186">
        <f t="shared" si="0"/>
        <v>2.452978723404255</v>
      </c>
      <c r="AK66" s="186">
        <f>IFERROR(TablaPrincipal[[#This Row],[LBS/HA]]/TablaPrincipal[[#This Row],[DIAS]],"-")</f>
        <v>89.298704309874523</v>
      </c>
      <c r="AL66" s="186">
        <f>IFERROR(TablaPrincipal[[#This Row],[CAM COSECHADOS TOTALES]]/TablaPrincipal[[#This Row],[ANIM SEMBRADOS]]*100,"-")</f>
        <v>69.350971714294033</v>
      </c>
      <c r="AM66" s="185">
        <v>94577.340000000011</v>
      </c>
      <c r="AN66" s="187">
        <f>IFERROR(((TablaPrincipal[[#This Row],[BALANCEADO ACUMULADO (LBS)]]/2.2046)/TablaPrincipal[[#This Row],[HAS]])/TablaPrincipal[[#This Row],[DIAS]],"-")</f>
        <v>58.51063829787234</v>
      </c>
      <c r="AO66" s="184">
        <f>IFERROR(TablaPrincipal[[#This Row],[BALANCEADO ACUMULADO (LBS)]]/TablaPrincipal[[#This Row],[LIBRAS TOTALES]],"-")</f>
        <v>1.444506437001299</v>
      </c>
      <c r="AP66" s="184" t="s">
        <v>108</v>
      </c>
      <c r="AQ66" s="184" t="s">
        <v>105</v>
      </c>
      <c r="AR66" s="185">
        <f>TablaPrincipal[[#This Row],[LIBRAS RALEO PLANTA]]-TablaPrincipal[[#This Row],[LIBRAS RALEO CAMARONERA]]</f>
        <v>-283.51000000000204</v>
      </c>
      <c r="AS66" s="185">
        <f>TablaPrincipal[[#This Row],[LIBRAS PLANTA]]-TablaPrincipal[[#This Row],[LIBRAS CAMARONERA]]</f>
        <v>1757.3199999999997</v>
      </c>
      <c r="AT66" s="187">
        <f>TablaPrincipal[[#This Row],[GRAMAJE RALEO PLANTA]]-TablaPrincipal[[#This Row],[GRAMAJE RALEO CAMARONERA]]</f>
        <v>2.2699999999999996</v>
      </c>
      <c r="AU66" s="187">
        <f>TablaPrincipal[[#This Row],[GRAMOS PLANTA]]-TablaPrincipal[[#This Row],[GRAMAJE CAMARONERA]]</f>
        <v>-2.0600000000000023</v>
      </c>
      <c r="AV66" s="183" t="str">
        <f>+VLOOKUP(TablaPrincipal[[#This Row],[CODIGO]],TablaCosechas[#All],10,0)</f>
        <v>JOSE CEDEÑO</v>
      </c>
      <c r="AW66" s="183" t="s">
        <v>169</v>
      </c>
      <c r="AX66" s="188" t="str">
        <f>+VLOOKUP(TablaPrincipal[[#This Row],[CODIGO]],TablaCosechas[#All],10,0)</f>
        <v>JOSE CEDEÑO</v>
      </c>
    </row>
    <row r="67" spans="1:50" hidden="1" x14ac:dyDescent="0.25">
      <c r="A67" s="196">
        <v>46043</v>
      </c>
      <c r="B67" s="183">
        <v>58</v>
      </c>
      <c r="C67" s="183">
        <f>YEAR(TablaPrincipal[[#This Row],[FECHA]])</f>
        <v>2026</v>
      </c>
      <c r="D67" s="183" t="s">
        <v>151</v>
      </c>
      <c r="E67" s="183" t="str">
        <f>UPPER(TEXT(TablaPrincipal[[#This Row],[FECHA]],"MMMM"))</f>
        <v>ENERO</v>
      </c>
      <c r="F67" s="183" t="str">
        <f>IFERROR(VLOOKUP(TablaPrincipal[[#This Row],[CODIGO]],COSECHAS!A:J,9,0),"-")</f>
        <v>08</v>
      </c>
      <c r="G67" s="183" t="str">
        <f>IFERROR(VLOOKUP(TablaPrincipal[[#This Row],[CODIGO]],COSECHAS!A:I,8,0),"-")</f>
        <v>PAMPANO</v>
      </c>
      <c r="H67" s="184">
        <f>IFERROR(VLOOKUP(TablaPrincipal[[#This Row],[CODIGO]],DATOS!A:B,2,0),"-")</f>
        <v>4.3</v>
      </c>
      <c r="I67" s="183" t="str">
        <f>IFERROR(VLOOKUP(TablaPrincipal[[#This Row],[CODIGO]],Tabla8[[#Headers],[#Data]],3,0),"-")</f>
        <v>ASC-BAP</v>
      </c>
      <c r="J67" s="183">
        <f>IFERROR(TablaPrincipal[[#This Row],[FECHA]]-TablaPrincipal[[#This Row],[FECHA DE SIEMBRA]],"-")</f>
        <v>92</v>
      </c>
      <c r="K67" s="196">
        <f>VLOOKUP(TablaPrincipal[[#This Row],[CODIGO]]&amp;TablaPrincipal[[#This Row],[AGUAJE ]],Tabla4[#All],4,0)</f>
        <v>45951</v>
      </c>
      <c r="L67" s="183" t="str">
        <f>VLOOKUP(TablaPrincipal[[#This Row],[CODIGO]]&amp;TablaPrincipal[[#This Row],[AGUAJE ]],Tabla4[#All],15,0)</f>
        <v>PA PC 7</v>
      </c>
      <c r="M67" s="184">
        <f>VLOOKUP(TablaPrincipal[[#This Row],[CODIGO]]&amp;TablaPrincipal[[#This Row],[AGUAJE ]],Tabla4[#All],14,0)</f>
        <v>0.6</v>
      </c>
      <c r="N67" s="183">
        <v>11</v>
      </c>
      <c r="O67" s="170">
        <f>VLOOKUP(TablaPrincipal[[#This Row],[CODIGO]]&amp;TablaPrincipal[[#This Row],[AGUAJE ]],Tabla4[#All],5,0)</f>
        <v>624000</v>
      </c>
      <c r="P67" s="221">
        <f>IFERROR(TablaPrincipal[[#This Row],[ANIM SEMBRADOS]]/TablaPrincipal[[#This Row],[HAS]],"-")</f>
        <v>145116.27906976745</v>
      </c>
      <c r="Q67" s="222">
        <f>IFERROR(TablaPrincipal[[#This Row],[DENSIDAD]]/10000,"-")</f>
        <v>14.511627906976745</v>
      </c>
      <c r="R67" s="183" t="str">
        <f>VLOOKUP(TablaPrincipal[[#This Row],[CODIGO]]&amp;TablaPrincipal[[#This Row],[AGUAJE ]],Tabla4[#All],8,0)</f>
        <v>MEGALATINA</v>
      </c>
      <c r="S67" s="183" t="str">
        <f>VLOOKUP(TablaPrincipal[[#This Row],[CODIGO]]&amp;TablaPrincipal[[#This Row],[AGUAJE ]],Tabla4[#All],7,0)</f>
        <v>TEXCUMAR</v>
      </c>
      <c r="T67" s="183" t="str">
        <f>IF(ISNUMBER(FIND("/",TablaPrincipal[[#This Row],[LABORATORIO]])),"COMBINADO","UNICO")</f>
        <v>UNICO</v>
      </c>
      <c r="U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10300</v>
      </c>
      <c r="V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10220.6</v>
      </c>
      <c r="W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22.689999999999998</v>
      </c>
      <c r="Y67" s="185">
        <f>IFERROR(TablaPrincipal[[#This Row],[LIBRAS RALEO PLANTA]]/TablaPrincipal[[#This Row],[HAS]],"-")</f>
        <v>2376.8837209302328</v>
      </c>
      <c r="Z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198701.57409718458</v>
      </c>
      <c r="AA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18387</v>
      </c>
      <c r="AC67" s="186">
        <f>SUMIFS(COSECHAS!F:F,COSECHAS!A:A,'BASE 2026'!AW:AW,COSECHAS!G:G,"="&amp;A:A)</f>
        <v>32</v>
      </c>
      <c r="AD67" s="186">
        <f>SUMIFS(COSECHAS!M:M,COSECHAS!A:A,'BASE 2026'!AW:AW,COSECHAS!G:G,"="&amp;A:A)</f>
        <v>32.94</v>
      </c>
      <c r="AE67" s="185">
        <f>IFERROR(TablaPrincipal[[#This Row],[LIBRAS PLANTA]]/TablaPrincipal[[#This Row],[HAS]],"-")</f>
        <v>4276.0465116279074</v>
      </c>
      <c r="AF67" s="185">
        <f>IFERROR(TablaPrincipal[[#This Row],[LIBRAS PLANTA]]*454/TablaPrincipal[[#This Row],[GRAMOS PLANTA]],"-")</f>
        <v>253421.31147540986</v>
      </c>
      <c r="AG67" s="185">
        <f>TablaPrincipal[[#This Row],[LIBRAS RALEO PLANTA]]+TablaPrincipal[[#This Row],[LIBRAS PLANTA]]</f>
        <v>28607.599999999999</v>
      </c>
      <c r="AH67" s="185">
        <f>IFERROR(TablaPrincipal[[#This Row],[CAM COSECHADOS RALEO]]+TablaPrincipal[[#This Row],[CAM COSECHADOS]],"-")</f>
        <v>452122.88557259447</v>
      </c>
      <c r="AI67" s="185">
        <f>IFERROR((TablaPrincipal[[#This Row],[LIBRAS RALEO PLANTA]]+TablaPrincipal[[#This Row],[LIBRAS PLANTA]])/TablaPrincipal[[#This Row],[HAS]],"0")</f>
        <v>6652.9302325581393</v>
      </c>
      <c r="AJ67" s="186">
        <f t="shared" ref="AJ67:AJ130" si="1">IFERROR(AD67/(J67/7),"-")</f>
        <v>2.5063043478260867</v>
      </c>
      <c r="AK67" s="186">
        <f>IFERROR(TablaPrincipal[[#This Row],[LBS/HA]]/TablaPrincipal[[#This Row],[DIAS]],"-")</f>
        <v>72.314459049544993</v>
      </c>
      <c r="AL67" s="186">
        <f>IFERROR(TablaPrincipal[[#This Row],[CAM COSECHADOS TOTALES]]/TablaPrincipal[[#This Row],[ANIM SEMBRADOS]]*100,"-")</f>
        <v>72.45559063663373</v>
      </c>
      <c r="AM67" s="185">
        <v>37478.200000000004</v>
      </c>
      <c r="AN67" s="187">
        <f>IFERROR(((TablaPrincipal[[#This Row],[BALANCEADO ACUMULADO (LBS)]]/2.2046)/TablaPrincipal[[#This Row],[HAS]])/TablaPrincipal[[#This Row],[DIAS]],"-")</f>
        <v>42.972699696663298</v>
      </c>
      <c r="AO67" s="184">
        <f>IFERROR(TablaPrincipal[[#This Row],[BALANCEADO ACUMULADO (LBS)]]/TablaPrincipal[[#This Row],[LIBRAS TOTALES]],"-")</f>
        <v>1.3100784406940815</v>
      </c>
      <c r="AP67" s="184" t="s">
        <v>104</v>
      </c>
      <c r="AQ67" s="184" t="s">
        <v>105</v>
      </c>
      <c r="AR67" s="185">
        <f>TablaPrincipal[[#This Row],[LIBRAS RALEO PLANTA]]-TablaPrincipal[[#This Row],[LIBRAS RALEO CAMARONERA]]</f>
        <v>-79.399999999999636</v>
      </c>
      <c r="AS67" s="185">
        <f>TablaPrincipal[[#This Row],[LIBRAS PLANTA]]-TablaPrincipal[[#This Row],[LIBRAS CAMARONERA]]</f>
        <v>-263</v>
      </c>
      <c r="AT67" s="187">
        <f>TablaPrincipal[[#This Row],[GRAMAJE RALEO PLANTA]]-TablaPrincipal[[#This Row],[GRAMAJE RALEO CAMARONERA]]</f>
        <v>2.1899999999999977</v>
      </c>
      <c r="AU67" s="187">
        <f>TablaPrincipal[[#This Row],[GRAMOS PLANTA]]-TablaPrincipal[[#This Row],[GRAMAJE CAMARONERA]]</f>
        <v>0.93999999999999773</v>
      </c>
      <c r="AV67" s="183" t="str">
        <f>+VLOOKUP(TablaPrincipal[[#This Row],[CODIGO]],TablaCosechas[#All],10,0)</f>
        <v>GUSTAVO CARRASCO</v>
      </c>
      <c r="AW67" s="183" t="s">
        <v>170</v>
      </c>
      <c r="AX67" s="188" t="str">
        <f>+VLOOKUP(TablaPrincipal[[#This Row],[CODIGO]],TablaCosechas[#All],10,0)</f>
        <v>GUSTAVO CARRASCO</v>
      </c>
    </row>
    <row r="68" spans="1:50" hidden="1" x14ac:dyDescent="0.25">
      <c r="A68" s="196">
        <v>46043</v>
      </c>
      <c r="B68" s="183">
        <v>71</v>
      </c>
      <c r="C68" s="183">
        <f>YEAR(TablaPrincipal[[#This Row],[FECHA]])</f>
        <v>2026</v>
      </c>
      <c r="D68" s="183" t="s">
        <v>151</v>
      </c>
      <c r="E68" s="183" t="str">
        <f>UPPER(TEXT(TablaPrincipal[[#This Row],[FECHA]],"MMMM"))</f>
        <v>ENERO</v>
      </c>
      <c r="F68" s="183" t="str">
        <f>IFERROR(VLOOKUP(TablaPrincipal[[#This Row],[CODIGO]],COSECHAS!A:J,9,0),"-")</f>
        <v>13</v>
      </c>
      <c r="G68" s="183" t="str">
        <f>IFERROR(VLOOKUP(TablaPrincipal[[#This Row],[CODIGO]],COSECHAS!A:I,8,0),"-")</f>
        <v>TAMBULERO</v>
      </c>
      <c r="H68" s="184">
        <f>IFERROR(VLOOKUP(TablaPrincipal[[#This Row],[CODIGO]],DATOS!A:B,2,0),"-")</f>
        <v>4.0999999999999996</v>
      </c>
      <c r="I68" s="183" t="str">
        <f>IFERROR(VLOOKUP(TablaPrincipal[[#This Row],[CODIGO]],Tabla8[[#Headers],[#Data]],3,0),"-")</f>
        <v>ASC-BAP</v>
      </c>
      <c r="J68" s="183">
        <f>IFERROR(TablaPrincipal[[#This Row],[FECHA]]-TablaPrincipal[[#This Row],[FECHA DE SIEMBRA]],"-")</f>
        <v>84</v>
      </c>
      <c r="K68" s="196">
        <f>VLOOKUP(TablaPrincipal[[#This Row],[CODIGO]]&amp;TablaPrincipal[[#This Row],[AGUAJE ]],Tabla4[#All],4,0)</f>
        <v>45959</v>
      </c>
      <c r="L68" s="183" t="str">
        <f>VLOOKUP(TablaPrincipal[[#This Row],[CODIGO]]&amp;TablaPrincipal[[#This Row],[AGUAJE ]],Tabla4[#All],15,0)</f>
        <v>TA PC 4</v>
      </c>
      <c r="M68" s="184">
        <f>VLOOKUP(TablaPrincipal[[#This Row],[CODIGO]]&amp;TablaPrincipal[[#This Row],[AGUAJE ]],Tabla4[#All],14,0)</f>
        <v>0.4</v>
      </c>
      <c r="N68" s="183">
        <v>7</v>
      </c>
      <c r="O68" s="170">
        <f>VLOOKUP(TablaPrincipal[[#This Row],[CODIGO]]&amp;TablaPrincipal[[#This Row],[AGUAJE ]],Tabla4[#All],5,0)</f>
        <v>672000</v>
      </c>
      <c r="P68" s="221">
        <f>IFERROR(TablaPrincipal[[#This Row],[ANIM SEMBRADOS]]/TablaPrincipal[[#This Row],[HAS]],"-")</f>
        <v>163902.43902439025</v>
      </c>
      <c r="Q68" s="222">
        <f>IFERROR(TablaPrincipal[[#This Row],[DENSIDAD]]/10000,"-")</f>
        <v>16.390243902439025</v>
      </c>
      <c r="R68" s="183" t="str">
        <f>VLOOKUP(TablaPrincipal[[#This Row],[CODIGO]]&amp;TablaPrincipal[[#This Row],[AGUAJE ]],Tabla4[#All],8,0)</f>
        <v>EMPAGRAN</v>
      </c>
      <c r="S68" s="183" t="str">
        <f>VLOOKUP(TablaPrincipal[[#This Row],[CODIGO]]&amp;TablaPrincipal[[#This Row],[AGUAJE ]],Tabla4[#All],7,0)</f>
        <v>EMPAGRAN</v>
      </c>
      <c r="T68" s="183" t="str">
        <f>IF(ISNUMBER(FIND("/",TablaPrincipal[[#This Row],[LABORATORIO]])),"COMBINADO","UNICO")</f>
        <v>UNICO</v>
      </c>
      <c r="U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10600</v>
      </c>
      <c r="V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11562.220000000001</v>
      </c>
      <c r="W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68" s="185">
        <f>IFERROR(TablaPrincipal[[#This Row],[LIBRAS RALEO PLANTA]]/TablaPrincipal[[#This Row],[HAS]],"-")</f>
        <v>2820.0536585365858</v>
      </c>
      <c r="Z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224441.48396199936</v>
      </c>
      <c r="AA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22600</v>
      </c>
      <c r="AB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23605.99</v>
      </c>
      <c r="AC68" s="186">
        <f>SUMIFS(COSECHAS!F:F,COSECHAS!A:A,'BASE 2026'!AW:AW,COSECHAS!G:G,"="&amp;A:A)</f>
        <v>38</v>
      </c>
      <c r="AD68" s="186">
        <f>SUMIFS(COSECHAS!M:M,COSECHAS!A:A,'BASE 2026'!AW:AW,COSECHAS!G:G,"="&amp;A:A)</f>
        <v>37.36</v>
      </c>
      <c r="AE68" s="185">
        <f>IFERROR(TablaPrincipal[[#This Row],[LIBRAS PLANTA]]/TablaPrincipal[[#This Row],[HAS]],"-")</f>
        <v>5757.5585365853667</v>
      </c>
      <c r="AF68" s="185">
        <f>IFERROR(TablaPrincipal[[#This Row],[LIBRAS PLANTA]]*454/TablaPrincipal[[#This Row],[GRAMOS PLANTA]],"-")</f>
        <v>286860.79925053538</v>
      </c>
      <c r="AG68" s="185">
        <f>TablaPrincipal[[#This Row],[LIBRAS RALEO PLANTA]]+TablaPrincipal[[#This Row],[LIBRAS PLANTA]]</f>
        <v>35168.210000000006</v>
      </c>
      <c r="AH68" s="185">
        <f>IFERROR(TablaPrincipal[[#This Row],[CAM COSECHADOS RALEO]]+TablaPrincipal[[#This Row],[CAM COSECHADOS]],"-")</f>
        <v>511302.28321253473</v>
      </c>
      <c r="AI68" s="185">
        <f>IFERROR((TablaPrincipal[[#This Row],[LIBRAS RALEO PLANTA]]+TablaPrincipal[[#This Row],[LIBRAS PLANTA]])/TablaPrincipal[[#This Row],[HAS]],"0")</f>
        <v>8577.6121951219538</v>
      </c>
      <c r="AJ68" s="186">
        <f t="shared" si="1"/>
        <v>3.1133333333333333</v>
      </c>
      <c r="AK68" s="186">
        <f>IFERROR(TablaPrincipal[[#This Row],[LBS/HA]]/TablaPrincipal[[#This Row],[DIAS]],"-")</f>
        <v>102.11443089430898</v>
      </c>
      <c r="AL68" s="186">
        <f>IFERROR(TablaPrincipal[[#This Row],[CAM COSECHADOS TOTALES]]/TablaPrincipal[[#This Row],[ANIM SEMBRADOS]]*100,"-")</f>
        <v>76.086649287579576</v>
      </c>
      <c r="AM68" s="185">
        <v>46847.75</v>
      </c>
      <c r="AN68" s="187">
        <f>IFERROR(((TablaPrincipal[[#This Row],[BALANCEADO ACUMULADO (LBS)]]/2.2046)/TablaPrincipal[[#This Row],[HAS]])/TablaPrincipal[[#This Row],[DIAS]],"-")</f>
        <v>61.70150987224158</v>
      </c>
      <c r="AO68" s="184">
        <f>IFERROR(TablaPrincipal[[#This Row],[BALANCEADO ACUMULADO (LBS)]]/TablaPrincipal[[#This Row],[LIBRAS TOTALES]],"-")</f>
        <v>1.3321050460060375</v>
      </c>
      <c r="AP68" s="184" t="s">
        <v>104</v>
      </c>
      <c r="AQ68" s="184" t="s">
        <v>105</v>
      </c>
      <c r="AR68" s="185">
        <f>TablaPrincipal[[#This Row],[LIBRAS RALEO PLANTA]]-TablaPrincipal[[#This Row],[LIBRAS RALEO CAMARONERA]]</f>
        <v>962.22000000000116</v>
      </c>
      <c r="AS68" s="185">
        <f>TablaPrincipal[[#This Row],[LIBRAS PLANTA]]-TablaPrincipal[[#This Row],[LIBRAS CAMARONERA]]</f>
        <v>1005.9900000000016</v>
      </c>
      <c r="AT68" s="187">
        <f>TablaPrincipal[[#This Row],[GRAMAJE RALEO PLANTA]]-TablaPrincipal[[#This Row],[GRAMAJE RALEO CAMARONERA]]</f>
        <v>-7.0000000000000284E-2</v>
      </c>
      <c r="AU68" s="187">
        <f>TablaPrincipal[[#This Row],[GRAMOS PLANTA]]-TablaPrincipal[[#This Row],[GRAMAJE CAMARONERA]]</f>
        <v>-0.64000000000000057</v>
      </c>
      <c r="AV68" s="183" t="str">
        <f>+VLOOKUP(TablaPrincipal[[#This Row],[CODIGO]],TablaCosechas[#All],10,0)</f>
        <v>ALFONSO GRUNAUER</v>
      </c>
      <c r="AW68" s="183" t="s">
        <v>171</v>
      </c>
      <c r="AX68" s="188" t="str">
        <f>+VLOOKUP(TablaPrincipal[[#This Row],[CODIGO]],TablaCosechas[#All],10,0)</f>
        <v>ALFONSO GRUNAUER</v>
      </c>
    </row>
    <row r="69" spans="1:50" hidden="1" x14ac:dyDescent="0.25">
      <c r="A69" s="196">
        <v>46044</v>
      </c>
      <c r="B69" s="183">
        <v>73</v>
      </c>
      <c r="C69" s="183">
        <f>YEAR(TablaPrincipal[[#This Row],[FECHA]])</f>
        <v>2026</v>
      </c>
      <c r="D69" s="183" t="s">
        <v>151</v>
      </c>
      <c r="E69" s="183" t="str">
        <f>UPPER(TEXT(TablaPrincipal[[#This Row],[FECHA]],"MMMM"))</f>
        <v>ENERO</v>
      </c>
      <c r="F69" s="183" t="str">
        <f>IFERROR(VLOOKUP(TablaPrincipal[[#This Row],[CODIGO]],COSECHAS!A:J,9,0),"-")</f>
        <v>24</v>
      </c>
      <c r="G69" s="183" t="str">
        <f>IFERROR(VLOOKUP(TablaPrincipal[[#This Row],[CODIGO]],COSECHAS!A:I,8,0),"-")</f>
        <v>TAMBULERO</v>
      </c>
      <c r="H69" s="184">
        <f>IFERROR(VLOOKUP(TablaPrincipal[[#This Row],[CODIGO]],DATOS!A:B,2,0),"-")</f>
        <v>7.15</v>
      </c>
      <c r="I69" s="183" t="str">
        <f>IFERROR(VLOOKUP(TablaPrincipal[[#This Row],[CODIGO]],Tabla8[[#Headers],[#Data]],3,0),"-")</f>
        <v>ASC-BAP</v>
      </c>
      <c r="J69" s="183">
        <f>IFERROR(TablaPrincipal[[#This Row],[FECHA]]-TablaPrincipal[[#This Row],[FECHA DE SIEMBRA]],"-")</f>
        <v>85</v>
      </c>
      <c r="K69" s="196">
        <f>VLOOKUP(TablaPrincipal[[#This Row],[CODIGO]]&amp;TablaPrincipal[[#This Row],[AGUAJE ]],Tabla4[#All],4,0)</f>
        <v>45959</v>
      </c>
      <c r="L69" s="183" t="str">
        <f>VLOOKUP(TablaPrincipal[[#This Row],[CODIGO]]&amp;TablaPrincipal[[#This Row],[AGUAJE ]],Tabla4[#All],15,0)</f>
        <v>TA PC 4</v>
      </c>
      <c r="M69" s="184">
        <f>VLOOKUP(TablaPrincipal[[#This Row],[CODIGO]]&amp;TablaPrincipal[[#This Row],[AGUAJE ]],Tabla4[#All],14,0)</f>
        <v>0.4</v>
      </c>
      <c r="N69" s="183">
        <v>6</v>
      </c>
      <c r="O69" s="170">
        <f>VLOOKUP(TablaPrincipal[[#This Row],[CODIGO]]&amp;TablaPrincipal[[#This Row],[AGUAJE ]],Tabla4[#All],5,0)</f>
        <v>929500</v>
      </c>
      <c r="P69" s="221">
        <f>IFERROR(TablaPrincipal[[#This Row],[ANIM SEMBRADOS]]/TablaPrincipal[[#This Row],[HAS]],"-")</f>
        <v>130000</v>
      </c>
      <c r="Q69" s="222">
        <f>IFERROR(TablaPrincipal[[#This Row],[DENSIDAD]]/10000,"-")</f>
        <v>13</v>
      </c>
      <c r="R69" s="183" t="str">
        <f>VLOOKUP(TablaPrincipal[[#This Row],[CODIGO]]&amp;TablaPrincipal[[#This Row],[AGUAJE ]],Tabla4[#All],8,0)</f>
        <v>EMPAGRAN</v>
      </c>
      <c r="S69" s="183" t="str">
        <f>VLOOKUP(TablaPrincipal[[#This Row],[CODIGO]]&amp;TablaPrincipal[[#This Row],[AGUAJE ]],Tabla4[#All],7,0)</f>
        <v>EMPAGRAN</v>
      </c>
      <c r="T69" s="183" t="str">
        <f>IF(ISNUMBER(FIND("/",TablaPrincipal[[#This Row],[LABORATORIO]])),"COMBINADO","UNICO")</f>
        <v>UNICO</v>
      </c>
      <c r="U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9900</v>
      </c>
      <c r="V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9816.56</v>
      </c>
      <c r="W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30.06</v>
      </c>
      <c r="Y69" s="185">
        <f>IFERROR(TablaPrincipal[[#This Row],[LIBRAS RALEO PLANTA]]/TablaPrincipal[[#This Row],[HAS]],"-")</f>
        <v>1372.9454545454544</v>
      </c>
      <c r="Z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148260.75316034598</v>
      </c>
      <c r="AA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34100</v>
      </c>
      <c r="AB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36864.28</v>
      </c>
      <c r="AC69" s="186">
        <f>SUMIFS(COSECHAS!F:F,COSECHAS!A:A,'BASE 2026'!AW:AW,COSECHAS!G:G,"="&amp;A:A)</f>
        <v>41</v>
      </c>
      <c r="AD69" s="186">
        <f>SUMIFS(COSECHAS!M:M,COSECHAS!A:A,'BASE 2026'!AW:AW,COSECHAS!G:G,"="&amp;A:A)</f>
        <v>40.86</v>
      </c>
      <c r="AE69" s="185">
        <f>IFERROR(TablaPrincipal[[#This Row],[LIBRAS PLANTA]]/TablaPrincipal[[#This Row],[HAS]],"-")</f>
        <v>5155.8433566433559</v>
      </c>
      <c r="AF69" s="185">
        <f>IFERROR(TablaPrincipal[[#This Row],[LIBRAS PLANTA]]*454/TablaPrincipal[[#This Row],[GRAMOS PLANTA]],"-")</f>
        <v>409603.11111111112</v>
      </c>
      <c r="AG69" s="185">
        <f>TablaPrincipal[[#This Row],[LIBRAS RALEO PLANTA]]+TablaPrincipal[[#This Row],[LIBRAS PLANTA]]</f>
        <v>46680.84</v>
      </c>
      <c r="AH69" s="185">
        <f>IFERROR(TablaPrincipal[[#This Row],[CAM COSECHADOS RALEO]]+TablaPrincipal[[#This Row],[CAM COSECHADOS]],"-")</f>
        <v>557863.86427145707</v>
      </c>
      <c r="AI69" s="185">
        <f>IFERROR((TablaPrincipal[[#This Row],[LIBRAS RALEO PLANTA]]+TablaPrincipal[[#This Row],[LIBRAS PLANTA]])/TablaPrincipal[[#This Row],[HAS]],"0")</f>
        <v>6528.7888111888105</v>
      </c>
      <c r="AJ69" s="186">
        <f t="shared" si="1"/>
        <v>3.3649411764705883</v>
      </c>
      <c r="AK69" s="186">
        <f>IFERROR(TablaPrincipal[[#This Row],[LBS/HA]]/TablaPrincipal[[#This Row],[DIAS]],"-")</f>
        <v>76.809280131633059</v>
      </c>
      <c r="AL69" s="186">
        <f>IFERROR(TablaPrincipal[[#This Row],[CAM COSECHADOS TOTALES]]/TablaPrincipal[[#This Row],[ANIM SEMBRADOS]]*100,"-")</f>
        <v>60.017629292249289</v>
      </c>
      <c r="AM69" s="185">
        <v>70933.005000000005</v>
      </c>
      <c r="AN69" s="187">
        <f>IFERROR(((TablaPrincipal[[#This Row],[BALANCEADO ACUMULADO (LBS)]]/2.2046)/TablaPrincipal[[#This Row],[HAS]])/TablaPrincipal[[#This Row],[DIAS]],"-")</f>
        <v>52.941176470588232</v>
      </c>
      <c r="AO69" s="184">
        <f>IFERROR(TablaPrincipal[[#This Row],[BALANCEADO ACUMULADO (LBS)]]/TablaPrincipal[[#This Row],[LIBRAS TOTALES]],"-")</f>
        <v>1.5195314608734549</v>
      </c>
      <c r="AP69" s="184" t="s">
        <v>104</v>
      </c>
      <c r="AQ69" s="184" t="s">
        <v>105</v>
      </c>
      <c r="AR69" s="185">
        <f>TablaPrincipal[[#This Row],[LIBRAS RALEO PLANTA]]-TablaPrincipal[[#This Row],[LIBRAS RALEO CAMARONERA]]</f>
        <v>-83.440000000000509</v>
      </c>
      <c r="AS69" s="185">
        <f>TablaPrincipal[[#This Row],[LIBRAS PLANTA]]-TablaPrincipal[[#This Row],[LIBRAS CAMARONERA]]</f>
        <v>2764.2799999999988</v>
      </c>
      <c r="AT69" s="187">
        <f>TablaPrincipal[[#This Row],[GRAMAJE RALEO PLANTA]]-TablaPrincipal[[#This Row],[GRAMAJE RALEO CAMARONERA]]</f>
        <v>4.0599999999999987</v>
      </c>
      <c r="AU69" s="187">
        <f>TablaPrincipal[[#This Row],[GRAMOS PLANTA]]-TablaPrincipal[[#This Row],[GRAMAJE CAMARONERA]]</f>
        <v>-0.14000000000000057</v>
      </c>
      <c r="AV69" s="183" t="str">
        <f>+VLOOKUP(TablaPrincipal[[#This Row],[CODIGO]],TablaCosechas[#All],10,0)</f>
        <v>ALFONSO GRUNAUER</v>
      </c>
      <c r="AW69" s="183" t="s">
        <v>172</v>
      </c>
      <c r="AX69" s="188" t="str">
        <f>+VLOOKUP(TablaPrincipal[[#This Row],[CODIGO]],TablaCosechas[#All],10,0)</f>
        <v>ALFONSO GRUNAUER</v>
      </c>
    </row>
    <row r="70" spans="1:50" hidden="1" x14ac:dyDescent="0.25">
      <c r="A70" s="196">
        <v>46044</v>
      </c>
      <c r="B70" s="183">
        <v>75</v>
      </c>
      <c r="C70" s="183">
        <f>YEAR(TablaPrincipal[[#This Row],[FECHA]])</f>
        <v>2026</v>
      </c>
      <c r="D70" s="183" t="s">
        <v>151</v>
      </c>
      <c r="E70" s="183" t="str">
        <f>UPPER(TEXT(TablaPrincipal[[#This Row],[FECHA]],"MMMM"))</f>
        <v>ENERO</v>
      </c>
      <c r="F70" s="183" t="str">
        <f>IFERROR(VLOOKUP(TablaPrincipal[[#This Row],[CODIGO]],COSECHAS!A:J,9,0),"-")</f>
        <v>01</v>
      </c>
      <c r="G70" s="183" t="str">
        <f>IFERROR(VLOOKUP(TablaPrincipal[[#This Row],[CODIGO]],COSECHAS!A:I,8,0),"-")</f>
        <v>TIBURON</v>
      </c>
      <c r="H70" s="184">
        <f>IFERROR(VLOOKUP(TablaPrincipal[[#This Row],[CODIGO]],DATOS!A:B,2,0),"-")</f>
        <v>7.84</v>
      </c>
      <c r="I70" s="183" t="str">
        <f>IFERROR(VLOOKUP(TablaPrincipal[[#This Row],[CODIGO]],Tabla8[[#Headers],[#Data]],3,0),"-")</f>
        <v>ASC-BAP</v>
      </c>
      <c r="J70" s="183">
        <f>IFERROR(TablaPrincipal[[#This Row],[FECHA]]-TablaPrincipal[[#This Row],[FECHA DE SIEMBRA]],"-")</f>
        <v>72</v>
      </c>
      <c r="K70" s="196">
        <f>VLOOKUP(TablaPrincipal[[#This Row],[CODIGO]]&amp;TablaPrincipal[[#This Row],[AGUAJE ]],Tabla4[#All],4,0)</f>
        <v>45972</v>
      </c>
      <c r="L70" s="183" t="str">
        <f>VLOOKUP(TablaPrincipal[[#This Row],[CODIGO]]&amp;TablaPrincipal[[#This Row],[AGUAJE ]],Tabla4[#All],15,0)</f>
        <v>TI PC 18 - 32</v>
      </c>
      <c r="M70" s="184">
        <f>VLOOKUP(TablaPrincipal[[#This Row],[CODIGO]]&amp;TablaPrincipal[[#This Row],[AGUAJE ]],Tabla4[#All],14,0)</f>
        <v>0.87</v>
      </c>
      <c r="N70" s="183">
        <v>2</v>
      </c>
      <c r="O70" s="170">
        <f>VLOOKUP(TablaPrincipal[[#This Row],[CODIGO]]&amp;TablaPrincipal[[#This Row],[AGUAJE ]],Tabla4[#All],5,0)</f>
        <v>1176000</v>
      </c>
      <c r="P70" s="221">
        <f>IFERROR(TablaPrincipal[[#This Row],[ANIM SEMBRADOS]]/TablaPrincipal[[#This Row],[HAS]],"-")</f>
        <v>150000</v>
      </c>
      <c r="Q70" s="222">
        <f>IFERROR(TablaPrincipal[[#This Row],[DENSIDAD]]/10000,"-")</f>
        <v>15</v>
      </c>
      <c r="R70" s="183" t="str">
        <f>VLOOKUP(TablaPrincipal[[#This Row],[CODIGO]]&amp;TablaPrincipal[[#This Row],[AGUAJE ]],Tabla4[#All],8,0)</f>
        <v>LARVASLAB/MEGALATINA</v>
      </c>
      <c r="S70" s="183" t="str">
        <f>VLOOKUP(TablaPrincipal[[#This Row],[CODIGO]]&amp;TablaPrincipal[[#This Row],[AGUAJE ]],Tabla4[#All],7,0)</f>
        <v>TEXCUMAR</v>
      </c>
      <c r="T70" s="183" t="str">
        <f>IF(ISNUMBER(FIND("/",TablaPrincipal[[#This Row],[LABORATORIO]])),"COMBINADO","UNICO")</f>
        <v>COMBINADO</v>
      </c>
      <c r="U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0" s="185">
        <f>IFERROR(TablaPrincipal[[#This Row],[LIBRAS RALEO PLANTA]]/TablaPrincipal[[#This Row],[HAS]],"-")</f>
        <v>0</v>
      </c>
      <c r="Z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47700</v>
      </c>
      <c r="AB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48535</v>
      </c>
      <c r="AC70" s="186">
        <f>SUMIFS(COSECHAS!F:F,COSECHAS!A:A,'BASE 2026'!AW:AW,COSECHAS!G:G,"="&amp;A:A)</f>
        <v>31</v>
      </c>
      <c r="AD70" s="186">
        <f>SUMIFS(COSECHAS!M:M,COSECHAS!A:A,'BASE 2026'!AW:AW,COSECHAS!G:G,"="&amp;A:A)</f>
        <v>31.78</v>
      </c>
      <c r="AE70" s="185">
        <f>IFERROR(TablaPrincipal[[#This Row],[LIBRAS PLANTA]]/TablaPrincipal[[#This Row],[HAS]],"-")</f>
        <v>6190.6887755102043</v>
      </c>
      <c r="AF70" s="185">
        <f>IFERROR(TablaPrincipal[[#This Row],[LIBRAS PLANTA]]*454/TablaPrincipal[[#This Row],[GRAMOS PLANTA]],"-")</f>
        <v>693357.14285714284</v>
      </c>
      <c r="AG70" s="185">
        <f>TablaPrincipal[[#This Row],[LIBRAS RALEO PLANTA]]+TablaPrincipal[[#This Row],[LIBRAS PLANTA]]</f>
        <v>48535</v>
      </c>
      <c r="AH70" s="185">
        <f>IFERROR(TablaPrincipal[[#This Row],[CAM COSECHADOS RALEO]]+TablaPrincipal[[#This Row],[CAM COSECHADOS]],"-")</f>
        <v>693357.14285714284</v>
      </c>
      <c r="AI70" s="185">
        <f>IFERROR((TablaPrincipal[[#This Row],[LIBRAS RALEO PLANTA]]+TablaPrincipal[[#This Row],[LIBRAS PLANTA]])/TablaPrincipal[[#This Row],[HAS]],"0")</f>
        <v>6190.6887755102043</v>
      </c>
      <c r="AJ70" s="186">
        <f t="shared" si="1"/>
        <v>3.089722222222222</v>
      </c>
      <c r="AK70" s="186">
        <f>IFERROR(TablaPrincipal[[#This Row],[LBS/HA]]/TablaPrincipal[[#This Row],[DIAS]],"-")</f>
        <v>85.981788548752832</v>
      </c>
      <c r="AL70" s="186">
        <f>IFERROR(TablaPrincipal[[#This Row],[CAM COSECHADOS TOTALES]]/TablaPrincipal[[#This Row],[ANIM SEMBRADOS]]*100,"-")</f>
        <v>58.958940719144806</v>
      </c>
      <c r="AM70" s="185">
        <v>52634.825000000004</v>
      </c>
      <c r="AN70" s="187">
        <f>IFERROR(((TablaPrincipal[[#This Row],[BALANCEADO ACUMULADO (LBS)]]/2.2046)/TablaPrincipal[[#This Row],[HAS]])/TablaPrincipal[[#This Row],[DIAS]],"-")</f>
        <v>42.295564058956913</v>
      </c>
      <c r="AO70" s="184">
        <f>IFERROR(TablaPrincipal[[#This Row],[BALANCEADO ACUMULADO (LBS)]]/TablaPrincipal[[#This Row],[LIBRAS TOTALES]],"-")</f>
        <v>1.084471515401257</v>
      </c>
      <c r="AP70" s="184" t="s">
        <v>108</v>
      </c>
      <c r="AQ70" s="184" t="s">
        <v>105</v>
      </c>
      <c r="AR70" s="185">
        <f>TablaPrincipal[[#This Row],[LIBRAS RALEO PLANTA]]-TablaPrincipal[[#This Row],[LIBRAS RALEO CAMARONERA]]</f>
        <v>0</v>
      </c>
      <c r="AS70" s="185">
        <f>TablaPrincipal[[#This Row],[LIBRAS PLANTA]]-TablaPrincipal[[#This Row],[LIBRAS CAMARONERA]]</f>
        <v>835</v>
      </c>
      <c r="AT70" s="187">
        <f>TablaPrincipal[[#This Row],[GRAMAJE RALEO PLANTA]]-TablaPrincipal[[#This Row],[GRAMAJE RALEO CAMARONERA]]</f>
        <v>0</v>
      </c>
      <c r="AU70" s="187">
        <f>TablaPrincipal[[#This Row],[GRAMOS PLANTA]]-TablaPrincipal[[#This Row],[GRAMAJE CAMARONERA]]</f>
        <v>0.78000000000000114</v>
      </c>
      <c r="AV70" s="183" t="str">
        <f>+VLOOKUP(TablaPrincipal[[#This Row],[CODIGO]],TablaCosechas[#All],10,0)</f>
        <v>ALFONSO GRUNAUER</v>
      </c>
      <c r="AW70" s="183" t="s">
        <v>173</v>
      </c>
      <c r="AX70" s="188" t="str">
        <f>+VLOOKUP(TablaPrincipal[[#This Row],[CODIGO]],TablaCosechas[#All],10,0)</f>
        <v>ALFONSO GRUNAUER</v>
      </c>
    </row>
    <row r="71" spans="1:50" hidden="1" x14ac:dyDescent="0.25">
      <c r="A71" s="196">
        <v>46045</v>
      </c>
      <c r="B71" s="183">
        <v>49</v>
      </c>
      <c r="C71" s="183">
        <f>YEAR(TablaPrincipal[[#This Row],[FECHA]])</f>
        <v>2026</v>
      </c>
      <c r="D71" s="183" t="s">
        <v>151</v>
      </c>
      <c r="E71" s="183" t="str">
        <f>UPPER(TEXT(TablaPrincipal[[#This Row],[FECHA]],"MMMM"))</f>
        <v>ENERO</v>
      </c>
      <c r="F71" s="183" t="str">
        <f>IFERROR(VLOOKUP(TablaPrincipal[[#This Row],[CODIGO]],COSECHAS!A:J,9,0),"-")</f>
        <v>07</v>
      </c>
      <c r="G71" s="183" t="str">
        <f>IFERROR(VLOOKUP(TablaPrincipal[[#This Row],[CODIGO]],COSECHAS!A:I,8,0),"-")</f>
        <v>DELFIN</v>
      </c>
      <c r="H71" s="184">
        <f>IFERROR(VLOOKUP(TablaPrincipal[[#This Row],[CODIGO]],DATOS!A:B,2,0),"-")</f>
        <v>10.23</v>
      </c>
      <c r="I71" s="183" t="str">
        <f>IFERROR(VLOOKUP(TablaPrincipal[[#This Row],[CODIGO]],Tabla8[[#Headers],[#Data]],3,0),"-")</f>
        <v>CONVENCIONAL</v>
      </c>
      <c r="J71" s="183">
        <f>IFERROR(TablaPrincipal[[#This Row],[FECHA]]-TablaPrincipal[[#This Row],[FECHA DE SIEMBRA]],"-")</f>
        <v>89</v>
      </c>
      <c r="K71" s="196">
        <f>VLOOKUP(TablaPrincipal[[#This Row],[CODIGO]]&amp;TablaPrincipal[[#This Row],[AGUAJE ]],Tabla4[#All],4,0)</f>
        <v>45956</v>
      </c>
      <c r="L71" s="183" t="str">
        <f>VLOOKUP(TablaPrincipal[[#This Row],[CODIGO]]&amp;TablaPrincipal[[#This Row],[AGUAJE ]],Tabla4[#All],15,0)</f>
        <v>DE PC 3</v>
      </c>
      <c r="M71" s="184">
        <f>VLOOKUP(TablaPrincipal[[#This Row],[CODIGO]]&amp;TablaPrincipal[[#This Row],[AGUAJE ]],Tabla4[#All],14,0)</f>
        <v>0.26</v>
      </c>
      <c r="N71" s="183">
        <v>6</v>
      </c>
      <c r="O71" s="170">
        <f>VLOOKUP(TablaPrincipal[[#This Row],[CODIGO]]&amp;TablaPrincipal[[#This Row],[AGUAJE ]],Tabla4[#All],5,0)</f>
        <v>1739100</v>
      </c>
      <c r="P71" s="221">
        <f>IFERROR(TablaPrincipal[[#This Row],[ANIM SEMBRADOS]]/TablaPrincipal[[#This Row],[HAS]],"-")</f>
        <v>170000</v>
      </c>
      <c r="Q71" s="222">
        <f>IFERROR(TablaPrincipal[[#This Row],[DENSIDAD]]/10000,"-")</f>
        <v>17</v>
      </c>
      <c r="R71" s="183" t="str">
        <f>VLOOKUP(TablaPrincipal[[#This Row],[CODIGO]]&amp;TablaPrincipal[[#This Row],[AGUAJE ]],Tabla4[#All],8,0)</f>
        <v>GABSO</v>
      </c>
      <c r="S71" s="183" t="str">
        <f>VLOOKUP(TablaPrincipal[[#This Row],[CODIGO]]&amp;TablaPrincipal[[#This Row],[AGUAJE ]],Tabla4[#All],7,0)</f>
        <v>TEXCUMAR</v>
      </c>
      <c r="T71" s="183" t="str">
        <f>IF(ISNUMBER(FIND("/",TablaPrincipal[[#This Row],[LABORATORIO]])),"COMBINADO","UNICO")</f>
        <v>UNICO</v>
      </c>
      <c r="U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24000</v>
      </c>
      <c r="V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24478.010000000002</v>
      </c>
      <c r="W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29.53</v>
      </c>
      <c r="Y71" s="185">
        <f>IFERROR(TablaPrincipal[[#This Row],[LIBRAS RALEO PLANTA]]/TablaPrincipal[[#This Row],[HAS]],"-")</f>
        <v>2392.7673509286415</v>
      </c>
      <c r="Z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377285.96669166943</v>
      </c>
      <c r="AA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18450</v>
      </c>
      <c r="AB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18612.22</v>
      </c>
      <c r="AC71" s="186">
        <f>SUMIFS(COSECHAS!F:F,COSECHAS!A:A,'BASE 2026'!AW:AW,COSECHAS!G:G,"="&amp;A:A)</f>
        <v>33</v>
      </c>
      <c r="AD71" s="186">
        <f>SUMIFS(COSECHAS!M:M,COSECHAS!A:A,'BASE 2026'!AW:AW,COSECHAS!G:G,"="&amp;A:A)</f>
        <v>31.28</v>
      </c>
      <c r="AE71" s="185">
        <f>IFERROR(TablaPrincipal[[#This Row],[LIBRAS PLANTA]]/TablaPrincipal[[#This Row],[HAS]],"-")</f>
        <v>1819.3763440860216</v>
      </c>
      <c r="AF71" s="185">
        <f>IFERROR(TablaPrincipal[[#This Row],[LIBRAS PLANTA]]*454/TablaPrincipal[[#This Row],[GRAMOS PLANTA]],"-")</f>
        <v>270138.99872122763</v>
      </c>
      <c r="AG71" s="185">
        <f>TablaPrincipal[[#This Row],[LIBRAS RALEO PLANTA]]+TablaPrincipal[[#This Row],[LIBRAS PLANTA]]</f>
        <v>43090.23</v>
      </c>
      <c r="AH71" s="185">
        <f>IFERROR(TablaPrincipal[[#This Row],[CAM COSECHADOS RALEO]]+TablaPrincipal[[#This Row],[CAM COSECHADOS]],"-")</f>
        <v>647424.96541289706</v>
      </c>
      <c r="AI71" s="185">
        <f>IFERROR((TablaPrincipal[[#This Row],[LIBRAS RALEO PLANTA]]+TablaPrincipal[[#This Row],[LIBRAS PLANTA]])/TablaPrincipal[[#This Row],[HAS]],"0")</f>
        <v>4212.1436950146626</v>
      </c>
      <c r="AJ71" s="186">
        <f t="shared" si="1"/>
        <v>2.4602247191011237</v>
      </c>
      <c r="AK71" s="186">
        <f>IFERROR(TablaPrincipal[[#This Row],[LBS/HA]]/TablaPrincipal[[#This Row],[DIAS]],"-")</f>
        <v>47.32745724735576</v>
      </c>
      <c r="AL71" s="186">
        <f>IFERROR(TablaPrincipal[[#This Row],[CAM COSECHADOS TOTALES]]/TablaPrincipal[[#This Row],[ANIM SEMBRADOS]]*100,"-")</f>
        <v>37.227586994013976</v>
      </c>
      <c r="AM71" s="185">
        <v>84050.375</v>
      </c>
      <c r="AN71" s="187">
        <f>IFERROR(((TablaPrincipal[[#This Row],[BALANCEADO ACUMULADO (LBS)]]/2.2046)/TablaPrincipal[[#This Row],[HAS]])/TablaPrincipal[[#This Row],[DIAS]],"-")</f>
        <v>41.873977176623058</v>
      </c>
      <c r="AO71" s="184">
        <f>IFERROR(TablaPrincipal[[#This Row],[BALANCEADO ACUMULADO (LBS)]]/TablaPrincipal[[#This Row],[LIBRAS TOTALES]],"-")</f>
        <v>1.9505668686382038</v>
      </c>
      <c r="AP71" s="184"/>
      <c r="AQ71" s="184" t="s">
        <v>105</v>
      </c>
      <c r="AR71" s="185">
        <f>TablaPrincipal[[#This Row],[LIBRAS RALEO PLANTA]]-TablaPrincipal[[#This Row],[LIBRAS RALEO CAMARONERA]]</f>
        <v>478.01000000000204</v>
      </c>
      <c r="AS71" s="185">
        <f>TablaPrincipal[[#This Row],[LIBRAS PLANTA]]-TablaPrincipal[[#This Row],[LIBRAS CAMARONERA]]</f>
        <v>162.22000000000116</v>
      </c>
      <c r="AT71" s="187">
        <f>TablaPrincipal[[#This Row],[GRAMAJE RALEO PLANTA]]-TablaPrincipal[[#This Row],[GRAMAJE RALEO CAMARONERA]]</f>
        <v>3.0000000000001137E-2</v>
      </c>
      <c r="AU71" s="187">
        <f>TablaPrincipal[[#This Row],[GRAMOS PLANTA]]-TablaPrincipal[[#This Row],[GRAMAJE CAMARONERA]]</f>
        <v>-1.7199999999999989</v>
      </c>
      <c r="AV71" s="183" t="str">
        <f>+VLOOKUP(TablaPrincipal[[#This Row],[CODIGO]],TablaCosechas[#All],10,0)</f>
        <v>CARLOS FLORES</v>
      </c>
      <c r="AW71" s="183" t="s">
        <v>174</v>
      </c>
      <c r="AX71" s="188" t="str">
        <f>+VLOOKUP(TablaPrincipal[[#This Row],[CODIGO]],TablaCosechas[#All],10,0)</f>
        <v>CARLOS FLORES</v>
      </c>
    </row>
    <row r="72" spans="1:50" hidden="1" x14ac:dyDescent="0.25">
      <c r="A72" s="196">
        <v>46045</v>
      </c>
      <c r="B72" s="183">
        <v>59</v>
      </c>
      <c r="C72" s="183">
        <f>YEAR(TablaPrincipal[[#This Row],[FECHA]])</f>
        <v>2026</v>
      </c>
      <c r="D72" s="183" t="s">
        <v>151</v>
      </c>
      <c r="E72" s="183" t="str">
        <f>UPPER(TEXT(TablaPrincipal[[#This Row],[FECHA]],"MMMM"))</f>
        <v>ENERO</v>
      </c>
      <c r="F72" s="183" t="str">
        <f>IFERROR(VLOOKUP(TablaPrincipal[[#This Row],[CODIGO]],COSECHAS!A:J,9,0),"-")</f>
        <v>09</v>
      </c>
      <c r="G72" s="183" t="str">
        <f>IFERROR(VLOOKUP(TablaPrincipal[[#This Row],[CODIGO]],COSECHAS!A:I,8,0),"-")</f>
        <v>PAMPANO</v>
      </c>
      <c r="H72" s="184">
        <f>IFERROR(VLOOKUP(TablaPrincipal[[#This Row],[CODIGO]],DATOS!A:B,2,0),"-")</f>
        <v>4.07</v>
      </c>
      <c r="I72" s="183" t="str">
        <f>IFERROR(VLOOKUP(TablaPrincipal[[#This Row],[CODIGO]],Tabla8[[#Headers],[#Data]],3,0),"-")</f>
        <v>ASC-BAP</v>
      </c>
      <c r="J72" s="183">
        <f>IFERROR(TablaPrincipal[[#This Row],[FECHA]]-TablaPrincipal[[#This Row],[FECHA DE SIEMBRA]],"-")</f>
        <v>94</v>
      </c>
      <c r="K72" s="196">
        <f>VLOOKUP(TablaPrincipal[[#This Row],[CODIGO]]&amp;TablaPrincipal[[#This Row],[AGUAJE ]],Tabla4[#All],4,0)</f>
        <v>45951</v>
      </c>
      <c r="L72" s="183" t="str">
        <f>VLOOKUP(TablaPrincipal[[#This Row],[CODIGO]]&amp;TablaPrincipal[[#This Row],[AGUAJE ]],Tabla4[#All],15,0)</f>
        <v>PA PC 4 - 7 - 26</v>
      </c>
      <c r="M72" s="184">
        <f>VLOOKUP(TablaPrincipal[[#This Row],[CODIGO]]&amp;TablaPrincipal[[#This Row],[AGUAJE ]],Tabla4[#All],14,0)</f>
        <v>0.5</v>
      </c>
      <c r="N72" s="183">
        <v>9</v>
      </c>
      <c r="O72" s="170">
        <f>VLOOKUP(TablaPrincipal[[#This Row],[CODIGO]]&amp;TablaPrincipal[[#This Row],[AGUAJE ]],Tabla4[#All],5,0)</f>
        <v>597740</v>
      </c>
      <c r="P72" s="221">
        <f>IFERROR(TablaPrincipal[[#This Row],[ANIM SEMBRADOS]]/TablaPrincipal[[#This Row],[HAS]],"-")</f>
        <v>146864.86486486485</v>
      </c>
      <c r="Q72" s="222">
        <f>IFERROR(TablaPrincipal[[#This Row],[DENSIDAD]]/10000,"-")</f>
        <v>14.686486486486485</v>
      </c>
      <c r="R72" s="183" t="str">
        <f>VLOOKUP(TablaPrincipal[[#This Row],[CODIGO]]&amp;TablaPrincipal[[#This Row],[AGUAJE ]],Tabla4[#All],8,0)</f>
        <v>MEGALATINA/EMPAGRAN/TIBALLOSA</v>
      </c>
      <c r="S72" s="183" t="str">
        <f>VLOOKUP(TablaPrincipal[[#This Row],[CODIGO]]&amp;TablaPrincipal[[#This Row],[AGUAJE ]],Tabla4[#All],7,0)</f>
        <v>TEXCUMAR/EMPAGRAN</v>
      </c>
      <c r="T72" s="183" t="str">
        <f>IF(ISNUMBER(FIND("/",TablaPrincipal[[#This Row],[LABORATORIO]])),"COMBINADO","UNICO")</f>
        <v>COMBINADO</v>
      </c>
      <c r="U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13900</v>
      </c>
      <c r="V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13594.19</v>
      </c>
      <c r="W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21.409999999999997</v>
      </c>
      <c r="Y72" s="185">
        <f>IFERROR(TablaPrincipal[[#This Row],[LIBRAS RALEO PLANTA]]/TablaPrincipal[[#This Row],[HAS]],"-")</f>
        <v>3340.0958230958231</v>
      </c>
      <c r="Z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288662.24298443447</v>
      </c>
      <c r="AA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12350</v>
      </c>
      <c r="AB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13213.58</v>
      </c>
      <c r="AC72" s="186">
        <f>SUMIFS(COSECHAS!F:F,COSECHAS!A:A,'BASE 2026'!AW:AW,COSECHAS!G:G,"="&amp;A:A)</f>
        <v>27</v>
      </c>
      <c r="AD72" s="186">
        <f>SUMIFS(COSECHAS!M:M,COSECHAS!A:A,'BASE 2026'!AW:AW,COSECHAS!G:G,"="&amp;A:A)</f>
        <v>30.78</v>
      </c>
      <c r="AE72" s="185">
        <f>IFERROR(TablaPrincipal[[#This Row],[LIBRAS PLANTA]]/TablaPrincipal[[#This Row],[HAS]],"-")</f>
        <v>3246.5798525798523</v>
      </c>
      <c r="AF72" s="185">
        <f>IFERROR(TablaPrincipal[[#This Row],[LIBRAS PLANTA]]*454/TablaPrincipal[[#This Row],[GRAMOS PLANTA]],"-")</f>
        <v>194898.15854450941</v>
      </c>
      <c r="AG72" s="185">
        <f>TablaPrincipal[[#This Row],[LIBRAS RALEO PLANTA]]+TablaPrincipal[[#This Row],[LIBRAS PLANTA]]</f>
        <v>26807.77</v>
      </c>
      <c r="AH72" s="185">
        <f>IFERROR(TablaPrincipal[[#This Row],[CAM COSECHADOS RALEO]]+TablaPrincipal[[#This Row],[CAM COSECHADOS]],"-")</f>
        <v>483560.40152894391</v>
      </c>
      <c r="AI72" s="185">
        <f>IFERROR((TablaPrincipal[[#This Row],[LIBRAS RALEO PLANTA]]+TablaPrincipal[[#This Row],[LIBRAS PLANTA]])/TablaPrincipal[[#This Row],[HAS]],"0")</f>
        <v>6586.6756756756749</v>
      </c>
      <c r="AJ72" s="186">
        <f t="shared" si="1"/>
        <v>2.2921276595744682</v>
      </c>
      <c r="AK72" s="186">
        <f>IFERROR(TablaPrincipal[[#This Row],[LBS/HA]]/TablaPrincipal[[#This Row],[DIAS]],"-")</f>
        <v>70.07101782633697</v>
      </c>
      <c r="AL72" s="186">
        <f>IFERROR(TablaPrincipal[[#This Row],[CAM COSECHADOS TOTALES]]/TablaPrincipal[[#This Row],[ANIM SEMBRADOS]]*100,"-")</f>
        <v>80.898116493616612</v>
      </c>
      <c r="AM72" s="185">
        <v>34336.645000000004</v>
      </c>
      <c r="AN72" s="187">
        <f>IFERROR(((TablaPrincipal[[#This Row],[BALANCEADO ACUMULADO (LBS)]]/2.2046)/TablaPrincipal[[#This Row],[HAS]])/TablaPrincipal[[#This Row],[DIAS]],"-")</f>
        <v>40.710439646609863</v>
      </c>
      <c r="AO72" s="184">
        <f>IFERROR(TablaPrincipal[[#This Row],[BALANCEADO ACUMULADO (LBS)]]/TablaPrincipal[[#This Row],[LIBRAS TOTALES]],"-")</f>
        <v>1.2808467470438609</v>
      </c>
      <c r="AP72" s="184"/>
      <c r="AQ72" s="184" t="s">
        <v>105</v>
      </c>
      <c r="AR72" s="185">
        <f>TablaPrincipal[[#This Row],[LIBRAS RALEO PLANTA]]-TablaPrincipal[[#This Row],[LIBRAS RALEO CAMARONERA]]</f>
        <v>-305.80999999999949</v>
      </c>
      <c r="AS72" s="185">
        <f>TablaPrincipal[[#This Row],[LIBRAS PLANTA]]-TablaPrincipal[[#This Row],[LIBRAS CAMARONERA]]</f>
        <v>863.57999999999993</v>
      </c>
      <c r="AT72" s="187">
        <f>TablaPrincipal[[#This Row],[GRAMAJE RALEO PLANTA]]-TablaPrincipal[[#This Row],[GRAMAJE RALEO CAMARONERA]]</f>
        <v>3.4099999999999966</v>
      </c>
      <c r="AU72" s="187">
        <f>TablaPrincipal[[#This Row],[GRAMOS PLANTA]]-TablaPrincipal[[#This Row],[GRAMAJE CAMARONERA]]</f>
        <v>3.7800000000000011</v>
      </c>
      <c r="AV72" s="183" t="str">
        <f>+VLOOKUP(TablaPrincipal[[#This Row],[CODIGO]],TablaCosechas[#All],10,0)</f>
        <v>GUSTAVO CARRASCO</v>
      </c>
      <c r="AW72" s="183" t="s">
        <v>175</v>
      </c>
      <c r="AX72" s="188" t="str">
        <f>+VLOOKUP(TablaPrincipal[[#This Row],[CODIGO]],TablaCosechas[#All],10,0)</f>
        <v>GUSTAVO CARRASCO</v>
      </c>
    </row>
    <row r="73" spans="1:50" hidden="1" x14ac:dyDescent="0.25">
      <c r="A73" s="196">
        <v>46045</v>
      </c>
      <c r="B73" s="183">
        <v>72</v>
      </c>
      <c r="C73" s="183">
        <f>YEAR(TablaPrincipal[[#This Row],[FECHA]])</f>
        <v>2026</v>
      </c>
      <c r="D73" s="183" t="s">
        <v>151</v>
      </c>
      <c r="E73" s="183" t="str">
        <f>UPPER(TEXT(TablaPrincipal[[#This Row],[FECHA]],"MMMM"))</f>
        <v>ENERO</v>
      </c>
      <c r="F73" s="183" t="str">
        <f>IFERROR(VLOOKUP(TablaPrincipal[[#This Row],[CODIGO]],COSECHAS!A:J,9,0),"-")</f>
        <v>15</v>
      </c>
      <c r="G73" s="183" t="str">
        <f>IFERROR(VLOOKUP(TablaPrincipal[[#This Row],[CODIGO]],COSECHAS!A:I,8,0),"-")</f>
        <v>TAMBULERO</v>
      </c>
      <c r="H73" s="184">
        <f>IFERROR(VLOOKUP(TablaPrincipal[[#This Row],[CODIGO]],DATOS!A:B,2,0),"-")</f>
        <v>6</v>
      </c>
      <c r="I73" s="183" t="str">
        <f>IFERROR(VLOOKUP(TablaPrincipal[[#This Row],[CODIGO]],Tabla8[[#Headers],[#Data]],3,0),"-")</f>
        <v>ASC-BAP</v>
      </c>
      <c r="J73" s="183">
        <f>IFERROR(TablaPrincipal[[#This Row],[FECHA]]-TablaPrincipal[[#This Row],[FECHA DE SIEMBRA]],"-")</f>
        <v>85</v>
      </c>
      <c r="K73" s="196">
        <f>VLOOKUP(TablaPrincipal[[#This Row],[CODIGO]]&amp;TablaPrincipal[[#This Row],[AGUAJE ]],Tabla4[#All],4,0)</f>
        <v>45960</v>
      </c>
      <c r="L73" s="183" t="str">
        <f>VLOOKUP(TablaPrincipal[[#This Row],[CODIGO]]&amp;TablaPrincipal[[#This Row],[AGUAJE ]],Tabla4[#All],15,0)</f>
        <v>TA PC 14</v>
      </c>
      <c r="M73" s="184">
        <f>VLOOKUP(TablaPrincipal[[#This Row],[CODIGO]]&amp;TablaPrincipal[[#This Row],[AGUAJE ]],Tabla4[#All],14,0)</f>
        <v>0.7</v>
      </c>
      <c r="N73" s="183">
        <v>5</v>
      </c>
      <c r="O73" s="170">
        <f>VLOOKUP(TablaPrincipal[[#This Row],[CODIGO]]&amp;TablaPrincipal[[#This Row],[AGUAJE ]],Tabla4[#All],5,0)</f>
        <v>900000</v>
      </c>
      <c r="P73" s="221">
        <f>IFERROR(TablaPrincipal[[#This Row],[ANIM SEMBRADOS]]/TablaPrincipal[[#This Row],[HAS]],"-")</f>
        <v>150000</v>
      </c>
      <c r="Q73" s="222">
        <f>IFERROR(TablaPrincipal[[#This Row],[DENSIDAD]]/10000,"-")</f>
        <v>15</v>
      </c>
      <c r="R73" s="183" t="str">
        <f>VLOOKUP(TablaPrincipal[[#This Row],[CODIGO]]&amp;TablaPrincipal[[#This Row],[AGUAJE ]],Tabla4[#All],8,0)</f>
        <v>EMPAGRAN</v>
      </c>
      <c r="S73" s="183" t="str">
        <f>VLOOKUP(TablaPrincipal[[#This Row],[CODIGO]]&amp;TablaPrincipal[[#This Row],[AGUAJE ]],Tabla4[#All],7,0)</f>
        <v>EMPAGRAN</v>
      </c>
      <c r="T73" s="183" t="str">
        <f>IF(ISNUMBER(FIND("/",TablaPrincipal[[#This Row],[LABORATORIO]])),"COMBINADO","UNICO")</f>
        <v>UNICO</v>
      </c>
      <c r="U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18200</v>
      </c>
      <c r="V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21160.22</v>
      </c>
      <c r="W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28.25</v>
      </c>
      <c r="X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</v>
      </c>
      <c r="Y73" s="185">
        <f>IFERROR(TablaPrincipal[[#This Row],[LIBRAS RALEO PLANTA]]/TablaPrincipal[[#This Row],[HAS]],"-")</f>
        <v>3526.7033333333334</v>
      </c>
      <c r="Z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345590.60467015259</v>
      </c>
      <c r="AA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35000</v>
      </c>
      <c r="AB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38146.43</v>
      </c>
      <c r="AC73" s="186">
        <f>SUMIFS(COSECHAS!F:F,COSECHAS!A:A,'BASE 2026'!AW:AW,COSECHAS!G:G,"="&amp;A:A)</f>
        <v>37</v>
      </c>
      <c r="AD73" s="186">
        <f>SUMIFS(COSECHAS!M:M,COSECHAS!A:A,'BASE 2026'!AW:AW,COSECHAS!G:G,"="&amp;A:A)</f>
        <v>39.119999999999997</v>
      </c>
      <c r="AE73" s="185">
        <f>IFERROR(TablaPrincipal[[#This Row],[LIBRAS PLANTA]]/TablaPrincipal[[#This Row],[HAS]],"-")</f>
        <v>6357.7383333333337</v>
      </c>
      <c r="AF73" s="185">
        <f>IFERROR(TablaPrincipal[[#This Row],[LIBRAS PLANTA]]*454/TablaPrincipal[[#This Row],[GRAMOS PLANTA]],"-")</f>
        <v>442701.41155419225</v>
      </c>
      <c r="AG73" s="185">
        <f>TablaPrincipal[[#This Row],[LIBRAS RALEO PLANTA]]+TablaPrincipal[[#This Row],[LIBRAS PLANTA]]</f>
        <v>59306.65</v>
      </c>
      <c r="AH73" s="185">
        <f>IFERROR(TablaPrincipal[[#This Row],[CAM COSECHADOS RALEO]]+TablaPrincipal[[#This Row],[CAM COSECHADOS]],"-")</f>
        <v>788292.01622434484</v>
      </c>
      <c r="AI73" s="185">
        <f>IFERROR((TablaPrincipal[[#This Row],[LIBRAS RALEO PLANTA]]+TablaPrincipal[[#This Row],[LIBRAS PLANTA]])/TablaPrincipal[[#This Row],[HAS]],"0")</f>
        <v>9884.4416666666675</v>
      </c>
      <c r="AJ73" s="186">
        <f t="shared" si="1"/>
        <v>3.2216470588235295</v>
      </c>
      <c r="AK73" s="186">
        <f>IFERROR(TablaPrincipal[[#This Row],[LBS/HA]]/TablaPrincipal[[#This Row],[DIAS]],"-")</f>
        <v>116.28754901960785</v>
      </c>
      <c r="AL73" s="186">
        <f>IFERROR(TablaPrincipal[[#This Row],[CAM COSECHADOS TOTALES]]/TablaPrincipal[[#This Row],[ANIM SEMBRADOS]]*100,"-")</f>
        <v>87.58800180270498</v>
      </c>
      <c r="AM73" s="185">
        <v>79806.52</v>
      </c>
      <c r="AN73" s="187">
        <f>IFERROR(((TablaPrincipal[[#This Row],[BALANCEADO ACUMULADO (LBS)]]/2.2046)/TablaPrincipal[[#This Row],[HAS]])/TablaPrincipal[[#This Row],[DIAS]],"-")</f>
        <v>70.980392156862735</v>
      </c>
      <c r="AO73" s="184">
        <f>IFERROR(TablaPrincipal[[#This Row],[BALANCEADO ACUMULADO (LBS)]]/TablaPrincipal[[#This Row],[LIBRAS TOTALES]],"-")</f>
        <v>1.3456588763654667</v>
      </c>
      <c r="AP73" s="184"/>
      <c r="AQ73" s="184" t="s">
        <v>105</v>
      </c>
      <c r="AR73" s="185">
        <f>TablaPrincipal[[#This Row],[LIBRAS RALEO PLANTA]]-TablaPrincipal[[#This Row],[LIBRAS RALEO CAMARONERA]]</f>
        <v>2960.2200000000012</v>
      </c>
      <c r="AS73" s="185">
        <f>TablaPrincipal[[#This Row],[LIBRAS PLANTA]]-TablaPrincipal[[#This Row],[LIBRAS CAMARONERA]]</f>
        <v>3146.4300000000003</v>
      </c>
      <c r="AT73" s="187">
        <f>TablaPrincipal[[#This Row],[GRAMAJE RALEO PLANTA]]-TablaPrincipal[[#This Row],[GRAMAJE RALEO CAMARONERA]]</f>
        <v>2.2899999999999991</v>
      </c>
      <c r="AU73" s="187">
        <f>TablaPrincipal[[#This Row],[GRAMOS PLANTA]]-TablaPrincipal[[#This Row],[GRAMAJE CAMARONERA]]</f>
        <v>2.1199999999999974</v>
      </c>
      <c r="AV73" s="183" t="str">
        <f>+VLOOKUP(TablaPrincipal[[#This Row],[CODIGO]],TablaCosechas[#All],10,0)</f>
        <v>ALFONSO GRUNAUER</v>
      </c>
      <c r="AW73" s="183" t="s">
        <v>176</v>
      </c>
      <c r="AX73" s="188" t="str">
        <f>+VLOOKUP(TablaPrincipal[[#This Row],[CODIGO]],TablaCosechas[#All],10,0)</f>
        <v>ALFONSO GRUNAUER</v>
      </c>
    </row>
    <row r="74" spans="1:50" hidden="1" x14ac:dyDescent="0.25">
      <c r="A74" s="196">
        <v>46046</v>
      </c>
      <c r="B74" s="183">
        <v>48</v>
      </c>
      <c r="C74" s="183">
        <f>YEAR(TablaPrincipal[[#This Row],[FECHA]])</f>
        <v>2026</v>
      </c>
      <c r="D74" s="183" t="s">
        <v>151</v>
      </c>
      <c r="E74" s="183" t="str">
        <f>UPPER(TEXT(TablaPrincipal[[#This Row],[FECHA]],"MMMM"))</f>
        <v>ENERO</v>
      </c>
      <c r="F74" s="183" t="str">
        <f>IFERROR(VLOOKUP(TablaPrincipal[[#This Row],[CODIGO]],COSECHAS!A:J,9,0),"-")</f>
        <v>16</v>
      </c>
      <c r="G74" s="183" t="str">
        <f>IFERROR(VLOOKUP(TablaPrincipal[[#This Row],[CODIGO]],COSECHAS!A:I,8,0),"-")</f>
        <v>CHERNA</v>
      </c>
      <c r="H74" s="184">
        <f>IFERROR(VLOOKUP(TablaPrincipal[[#This Row],[CODIGO]],DATOS!A:B,2,0),"-")</f>
        <v>7</v>
      </c>
      <c r="I74" s="183" t="str">
        <f>IFERROR(VLOOKUP(TablaPrincipal[[#This Row],[CODIGO]],Tabla8[[#Headers],[#Data]],3,0),"-")</f>
        <v>ASC</v>
      </c>
      <c r="J74" s="183">
        <f>IFERROR(TablaPrincipal[[#This Row],[FECHA]]-TablaPrincipal[[#This Row],[FECHA DE SIEMBRA]],"-")</f>
        <v>86</v>
      </c>
      <c r="K74" s="196">
        <f>VLOOKUP(TablaPrincipal[[#This Row],[CODIGO]]&amp;TablaPrincipal[[#This Row],[AGUAJE ]],Tabla4[#All],4,0)</f>
        <v>45960</v>
      </c>
      <c r="L74" s="183" t="str">
        <f>VLOOKUP(TablaPrincipal[[#This Row],[CODIGO]]&amp;TablaPrincipal[[#This Row],[AGUAJE ]],Tabla4[#All],15,0)</f>
        <v>CH PC 6</v>
      </c>
      <c r="M74" s="184">
        <f>VLOOKUP(TablaPrincipal[[#This Row],[CODIGO]]&amp;TablaPrincipal[[#This Row],[AGUAJE ]],Tabla4[#All],14,0)</f>
        <v>0.41</v>
      </c>
      <c r="N74" s="183">
        <v>6</v>
      </c>
      <c r="O74" s="170">
        <f>VLOOKUP(TablaPrincipal[[#This Row],[CODIGO]]&amp;TablaPrincipal[[#This Row],[AGUAJE ]],Tabla4[#All],5,0)</f>
        <v>1260000</v>
      </c>
      <c r="P74" s="221">
        <f>IFERROR(TablaPrincipal[[#This Row],[ANIM SEMBRADOS]]/TablaPrincipal[[#This Row],[HAS]],"-")</f>
        <v>180000</v>
      </c>
      <c r="Q74" s="222">
        <f>IFERROR(TablaPrincipal[[#This Row],[DENSIDAD]]/10000,"-")</f>
        <v>18</v>
      </c>
      <c r="R74" s="183" t="str">
        <f>VLOOKUP(TablaPrincipal[[#This Row],[CODIGO]]&amp;TablaPrincipal[[#This Row],[AGUAJE ]],Tabla4[#All],8,0)</f>
        <v>GENESIS</v>
      </c>
      <c r="S74" s="183" t="str">
        <f>VLOOKUP(TablaPrincipal[[#This Row],[CODIGO]]&amp;TablaPrincipal[[#This Row],[AGUAJE ]],Tabla4[#All],7,0)</f>
        <v>TEXCUMAR</v>
      </c>
      <c r="T74" s="183" t="str">
        <f>IF(ISNUMBER(FIND("/",TablaPrincipal[[#This Row],[LABORATORIO]])),"COMBINADO","UNICO")</f>
        <v>UNICO</v>
      </c>
      <c r="U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15000</v>
      </c>
      <c r="V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13950.32</v>
      </c>
      <c r="W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25.25</v>
      </c>
      <c r="X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25.89</v>
      </c>
      <c r="Y74" s="185">
        <f>IFERROR(TablaPrincipal[[#This Row],[LIBRAS RALEO PLANTA]]/TablaPrincipal[[#This Row],[HAS]],"-")</f>
        <v>1992.9028571428571</v>
      </c>
      <c r="Z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244872.93499218643</v>
      </c>
      <c r="AA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42648.2</v>
      </c>
      <c r="AC74" s="186">
        <f>SUMIFS(COSECHAS!F:F,COSECHAS!A:A,'BASE 2026'!AW:AW,COSECHAS!G:G,"="&amp;A:A)</f>
        <v>32.6</v>
      </c>
      <c r="AD74" s="186">
        <f>SUMIFS(COSECHAS!M:M,COSECHAS!A:A,'BASE 2026'!AW:AW,COSECHAS!G:G,"="&amp;A:A)</f>
        <v>35</v>
      </c>
      <c r="AE74" s="185">
        <f>IFERROR(TablaPrincipal[[#This Row],[LIBRAS PLANTA]]/TablaPrincipal[[#This Row],[HAS]],"-")</f>
        <v>6092.5999999999995</v>
      </c>
      <c r="AF74" s="185">
        <f>IFERROR(TablaPrincipal[[#This Row],[LIBRAS PLANTA]]*454/TablaPrincipal[[#This Row],[GRAMOS PLANTA]],"-")</f>
        <v>553208.07999999996</v>
      </c>
      <c r="AG74" s="185">
        <f>TablaPrincipal[[#This Row],[LIBRAS RALEO PLANTA]]+TablaPrincipal[[#This Row],[LIBRAS PLANTA]]</f>
        <v>56598.52</v>
      </c>
      <c r="AH74" s="185">
        <f>IFERROR(TablaPrincipal[[#This Row],[CAM COSECHADOS RALEO]]+TablaPrincipal[[#This Row],[CAM COSECHADOS]],"-")</f>
        <v>798081.01499218633</v>
      </c>
      <c r="AI74" s="185">
        <f>IFERROR((TablaPrincipal[[#This Row],[LIBRAS RALEO PLANTA]]+TablaPrincipal[[#This Row],[LIBRAS PLANTA]])/TablaPrincipal[[#This Row],[HAS]],"0")</f>
        <v>8085.5028571428566</v>
      </c>
      <c r="AJ74" s="186">
        <f t="shared" si="1"/>
        <v>2.8488372093023253</v>
      </c>
      <c r="AK74" s="186">
        <f>IFERROR(TablaPrincipal[[#This Row],[LBS/HA]]/TablaPrincipal[[#This Row],[DIAS]],"-")</f>
        <v>94.017475083056468</v>
      </c>
      <c r="AL74" s="186">
        <f>IFERROR(TablaPrincipal[[#This Row],[CAM COSECHADOS TOTALES]]/TablaPrincipal[[#This Row],[ANIM SEMBRADOS]]*100,"-")</f>
        <v>63.339763094617965</v>
      </c>
      <c r="AM74" s="185">
        <v>83388.99500000001</v>
      </c>
      <c r="AN74" s="187">
        <f>IFERROR(((TablaPrincipal[[#This Row],[BALANCEADO ACUMULADO (LBS)]]/2.2046)/TablaPrincipal[[#This Row],[HAS]])/TablaPrincipal[[#This Row],[DIAS]],"-")</f>
        <v>62.832225913621258</v>
      </c>
      <c r="AO74" s="184">
        <f>IFERROR(TablaPrincipal[[#This Row],[BALANCEADO ACUMULADO (LBS)]]/TablaPrincipal[[#This Row],[LIBRAS TOTALES]],"-")</f>
        <v>1.4733423241455785</v>
      </c>
      <c r="AP74" s="184"/>
      <c r="AQ74" s="184" t="s">
        <v>105</v>
      </c>
      <c r="AR74" s="185">
        <f>TablaPrincipal[[#This Row],[LIBRAS RALEO PLANTA]]-TablaPrincipal[[#This Row],[LIBRAS RALEO CAMARONERA]]</f>
        <v>-1049.6800000000003</v>
      </c>
      <c r="AS74" s="185">
        <f>TablaPrincipal[[#This Row],[LIBRAS PLANTA]]-TablaPrincipal[[#This Row],[LIBRAS CAMARONERA]]</f>
        <v>5148.1999999999971</v>
      </c>
      <c r="AT74" s="187">
        <f>TablaPrincipal[[#This Row],[GRAMAJE RALEO PLANTA]]-TablaPrincipal[[#This Row],[GRAMAJE RALEO CAMARONERA]]</f>
        <v>0.64000000000000057</v>
      </c>
      <c r="AU74" s="187">
        <f>TablaPrincipal[[#This Row],[GRAMOS PLANTA]]-TablaPrincipal[[#This Row],[GRAMAJE CAMARONERA]]</f>
        <v>2.3999999999999986</v>
      </c>
      <c r="AV74" s="183" t="str">
        <f>+VLOOKUP(TablaPrincipal[[#This Row],[CODIGO]],TablaCosechas[#All],10,0)</f>
        <v>SANTIAGO OBRIEN</v>
      </c>
      <c r="AW74" s="183" t="s">
        <v>22</v>
      </c>
      <c r="AX74" s="188" t="str">
        <f>+VLOOKUP(TablaPrincipal[[#This Row],[CODIGO]],TablaCosechas[#All],10,0)</f>
        <v>SANTIAGO OBRIEN</v>
      </c>
    </row>
    <row r="75" spans="1:50" hidden="1" x14ac:dyDescent="0.25">
      <c r="A75" s="196">
        <v>46046</v>
      </c>
      <c r="B75" s="183">
        <v>50</v>
      </c>
      <c r="C75" s="183">
        <f>YEAR(TablaPrincipal[[#This Row],[FECHA]])</f>
        <v>2026</v>
      </c>
      <c r="D75" s="183" t="s">
        <v>151</v>
      </c>
      <c r="E75" s="183" t="str">
        <f>UPPER(TEXT(TablaPrincipal[[#This Row],[FECHA]],"MMMM"))</f>
        <v>ENERO</v>
      </c>
      <c r="F75" s="183" t="str">
        <f>IFERROR(VLOOKUP(TablaPrincipal[[#This Row],[CODIGO]],COSECHAS!A:J,9,0),"-")</f>
        <v>09</v>
      </c>
      <c r="G75" s="183" t="str">
        <f>IFERROR(VLOOKUP(TablaPrincipal[[#This Row],[CODIGO]],COSECHAS!A:I,8,0),"-")</f>
        <v>DELFIN</v>
      </c>
      <c r="H75" s="184">
        <f>IFERROR(VLOOKUP(TablaPrincipal[[#This Row],[CODIGO]],DATOS!A:B,2,0),"-")</f>
        <v>7.45</v>
      </c>
      <c r="I75" s="183" t="str">
        <f>IFERROR(VLOOKUP(TablaPrincipal[[#This Row],[CODIGO]],Tabla8[[#Headers],[#Data]],3,0),"-")</f>
        <v>CONVENCIONAL</v>
      </c>
      <c r="J75" s="183">
        <f>IFERROR(TablaPrincipal[[#This Row],[FECHA]]-TablaPrincipal[[#This Row],[FECHA DE SIEMBRA]],"-")</f>
        <v>88</v>
      </c>
      <c r="K75" s="196">
        <f>VLOOKUP(TablaPrincipal[[#This Row],[CODIGO]]&amp;TablaPrincipal[[#This Row],[AGUAJE ]],Tabla4[#All],4,0)</f>
        <v>45958</v>
      </c>
      <c r="L75" s="183" t="str">
        <f>VLOOKUP(TablaPrincipal[[#This Row],[CODIGO]]&amp;TablaPrincipal[[#This Row],[AGUAJE ]],Tabla4[#All],15,0)</f>
        <v>DE PC 3</v>
      </c>
      <c r="M75" s="184">
        <f>VLOOKUP(TablaPrincipal[[#This Row],[CODIGO]]&amp;TablaPrincipal[[#This Row],[AGUAJE ]],Tabla4[#All],14,0)</f>
        <v>0.3</v>
      </c>
      <c r="N75" s="183">
        <v>7</v>
      </c>
      <c r="O75" s="170">
        <f>VLOOKUP(TablaPrincipal[[#This Row],[CODIGO]]&amp;TablaPrincipal[[#This Row],[AGUAJE ]],Tabla4[#All],5,0)</f>
        <v>1266500</v>
      </c>
      <c r="P75" s="221">
        <f>IFERROR(TablaPrincipal[[#This Row],[ANIM SEMBRADOS]]/TablaPrincipal[[#This Row],[HAS]],"-")</f>
        <v>170000</v>
      </c>
      <c r="Q75" s="222">
        <f>IFERROR(TablaPrincipal[[#This Row],[DENSIDAD]]/10000,"-")</f>
        <v>17</v>
      </c>
      <c r="R75" s="183" t="str">
        <f>VLOOKUP(TablaPrincipal[[#This Row],[CODIGO]]&amp;TablaPrincipal[[#This Row],[AGUAJE ]],Tabla4[#All],8,0)</f>
        <v>GABSO</v>
      </c>
      <c r="S75" s="183" t="str">
        <f>VLOOKUP(TablaPrincipal[[#This Row],[CODIGO]]&amp;TablaPrincipal[[#This Row],[AGUAJE ]],Tabla4[#All],7,0)</f>
        <v>TEXCUMAR</v>
      </c>
      <c r="T75" s="183" t="str">
        <f>IF(ISNUMBER(FIND("/",TablaPrincipal[[#This Row],[LABORATORIO]])),"COMBINADO","UNICO")</f>
        <v>UNICO</v>
      </c>
      <c r="U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5" s="185">
        <f>IFERROR(TablaPrincipal[[#This Row],[LIBRAS RALEO PLANTA]]/TablaPrincipal[[#This Row],[HAS]],"-")</f>
        <v>0</v>
      </c>
      <c r="Z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30900</v>
      </c>
      <c r="AB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29925</v>
      </c>
      <c r="AC75" s="186">
        <f>SUMIFS(COSECHAS!F:F,COSECHAS!A:A,'BASE 2026'!AW:AW,COSECHAS!G:G,"="&amp;A:A)</f>
        <v>40</v>
      </c>
      <c r="AD75" s="186">
        <f>SUMIFS(COSECHAS!M:M,COSECHAS!A:A,'BASE 2026'!AW:AW,COSECHAS!G:G,"="&amp;A:A)</f>
        <v>40.04</v>
      </c>
      <c r="AE75" s="185">
        <f>IFERROR(TablaPrincipal[[#This Row],[LIBRAS PLANTA]]/TablaPrincipal[[#This Row],[HAS]],"-")</f>
        <v>4016.7785234899329</v>
      </c>
      <c r="AF75" s="185">
        <f>IFERROR(TablaPrincipal[[#This Row],[LIBRAS PLANTA]]*454/TablaPrincipal[[#This Row],[GRAMOS PLANTA]],"-")</f>
        <v>339309.44055944058</v>
      </c>
      <c r="AG75" s="185">
        <f>TablaPrincipal[[#This Row],[LIBRAS RALEO PLANTA]]+TablaPrincipal[[#This Row],[LIBRAS PLANTA]]</f>
        <v>29925</v>
      </c>
      <c r="AH75" s="185">
        <f>IFERROR(TablaPrincipal[[#This Row],[CAM COSECHADOS RALEO]]+TablaPrincipal[[#This Row],[CAM COSECHADOS]],"-")</f>
        <v>339309.44055944058</v>
      </c>
      <c r="AI75" s="185">
        <f>IFERROR((TablaPrincipal[[#This Row],[LIBRAS RALEO PLANTA]]+TablaPrincipal[[#This Row],[LIBRAS PLANTA]])/TablaPrincipal[[#This Row],[HAS]],"0")</f>
        <v>4016.7785234899329</v>
      </c>
      <c r="AJ75" s="186">
        <f t="shared" si="1"/>
        <v>3.1850000000000001</v>
      </c>
      <c r="AK75" s="186">
        <f>IFERROR(TablaPrincipal[[#This Row],[LBS/HA]]/TablaPrincipal[[#This Row],[DIAS]],"-")</f>
        <v>45.645210494203781</v>
      </c>
      <c r="AL75" s="186">
        <f>IFERROR(TablaPrincipal[[#This Row],[CAM COSECHADOS TOTALES]]/TablaPrincipal[[#This Row],[ANIM SEMBRADOS]]*100,"-")</f>
        <v>26.791112558976753</v>
      </c>
      <c r="AM75" s="185">
        <v>52634.825000000004</v>
      </c>
      <c r="AN75" s="187">
        <f>IFERROR(((TablaPrincipal[[#This Row],[BALANCEADO ACUMULADO (LBS)]]/2.2046)/TablaPrincipal[[#This Row],[HAS]])/TablaPrincipal[[#This Row],[DIAS]],"-")</f>
        <v>36.417022574740692</v>
      </c>
      <c r="AO75" s="184">
        <f>IFERROR(TablaPrincipal[[#This Row],[BALANCEADO ACUMULADO (LBS)]]/TablaPrincipal[[#This Row],[LIBRAS TOTALES]],"-")</f>
        <v>1.7588913951545533</v>
      </c>
      <c r="AP75" s="184"/>
      <c r="AQ75" s="184" t="s">
        <v>105</v>
      </c>
      <c r="AR75" s="185">
        <f>TablaPrincipal[[#This Row],[LIBRAS RALEO PLANTA]]-TablaPrincipal[[#This Row],[LIBRAS RALEO CAMARONERA]]</f>
        <v>0</v>
      </c>
      <c r="AS75" s="185">
        <f>TablaPrincipal[[#This Row],[LIBRAS PLANTA]]-TablaPrincipal[[#This Row],[LIBRAS CAMARONERA]]</f>
        <v>-975</v>
      </c>
      <c r="AT75" s="187">
        <f>TablaPrincipal[[#This Row],[GRAMAJE RALEO PLANTA]]-TablaPrincipal[[#This Row],[GRAMAJE RALEO CAMARONERA]]</f>
        <v>0</v>
      </c>
      <c r="AU75" s="187">
        <f>TablaPrincipal[[#This Row],[GRAMOS PLANTA]]-TablaPrincipal[[#This Row],[GRAMAJE CAMARONERA]]</f>
        <v>3.9999999999999147E-2</v>
      </c>
      <c r="AV75" s="183" t="str">
        <f>+VLOOKUP(TablaPrincipal[[#This Row],[CODIGO]],TablaCosechas[#All],10,0)</f>
        <v>CARLOS FLORES</v>
      </c>
      <c r="AW75" s="183" t="s">
        <v>177</v>
      </c>
      <c r="AX75" s="188" t="str">
        <f>+VLOOKUP(TablaPrincipal[[#This Row],[CODIGO]],TablaCosechas[#All],10,0)</f>
        <v>CARLOS FLORES</v>
      </c>
    </row>
    <row r="76" spans="1:50" hidden="1" x14ac:dyDescent="0.25">
      <c r="A76" s="196">
        <v>46046</v>
      </c>
      <c r="B76" s="183">
        <v>63</v>
      </c>
      <c r="C76" s="183">
        <f>YEAR(TablaPrincipal[[#This Row],[FECHA]])</f>
        <v>2026</v>
      </c>
      <c r="D76" s="183" t="s">
        <v>151</v>
      </c>
      <c r="E76" s="183" t="str">
        <f>UPPER(TEXT(TablaPrincipal[[#This Row],[FECHA]],"MMMM"))</f>
        <v>ENERO</v>
      </c>
      <c r="F76" s="183" t="str">
        <f>IFERROR(VLOOKUP(TablaPrincipal[[#This Row],[CODIGO]],COSECHAS!A:J,9,0),"-")</f>
        <v>09</v>
      </c>
      <c r="G76" s="183" t="str">
        <f>IFERROR(VLOOKUP(TablaPrincipal[[#This Row],[CODIGO]],COSECHAS!A:I,8,0),"-")</f>
        <v>PARGO ROJO</v>
      </c>
      <c r="H76" s="184">
        <f>IFERROR(VLOOKUP(TablaPrincipal[[#This Row],[CODIGO]],DATOS!A:B,2,0),"-")</f>
        <v>9</v>
      </c>
      <c r="I76" s="183" t="str">
        <f>IFERROR(VLOOKUP(TablaPrincipal[[#This Row],[CODIGO]],Tabla8[[#Headers],[#Data]],3,0),"-")</f>
        <v>CONVENCIONAL</v>
      </c>
      <c r="J76" s="183">
        <f>IFERROR(TablaPrincipal[[#This Row],[FECHA]]-TablaPrincipal[[#This Row],[FECHA DE SIEMBRA]],"-")</f>
        <v>59</v>
      </c>
      <c r="K76" s="196">
        <f>VLOOKUP(TablaPrincipal[[#This Row],[CODIGO]]&amp;TablaPrincipal[[#This Row],[AGUAJE ]],Tabla4[#All],4,0)</f>
        <v>45987</v>
      </c>
      <c r="L76" s="183" t="str">
        <f>VLOOKUP(TablaPrincipal[[#This Row],[CODIGO]]&amp;TablaPrincipal[[#This Row],[AGUAJE ]],Tabla4[#All],15,0)</f>
        <v>PR PC 2 - 8</v>
      </c>
      <c r="M76" s="184">
        <f>VLOOKUP(TablaPrincipal[[#This Row],[CODIGO]]&amp;TablaPrincipal[[#This Row],[AGUAJE ]],Tabla4[#All],14,0)</f>
        <v>0.6</v>
      </c>
      <c r="N76" s="183">
        <v>12</v>
      </c>
      <c r="O76" s="170">
        <f>VLOOKUP(TablaPrincipal[[#This Row],[CODIGO]]&amp;TablaPrincipal[[#This Row],[AGUAJE ]],Tabla4[#All],5,0)</f>
        <v>1800000</v>
      </c>
      <c r="P76" s="221">
        <f>IFERROR(TablaPrincipal[[#This Row],[ANIM SEMBRADOS]]/TablaPrincipal[[#This Row],[HAS]],"-")</f>
        <v>200000</v>
      </c>
      <c r="Q76" s="222">
        <f>IFERROR(TablaPrincipal[[#This Row],[DENSIDAD]]/10000,"-")</f>
        <v>20</v>
      </c>
      <c r="R76" s="183" t="str">
        <f>VLOOKUP(TablaPrincipal[[#This Row],[CODIGO]]&amp;TablaPrincipal[[#This Row],[AGUAJE ]],Tabla4[#All],8,0)</f>
        <v>TECSERV</v>
      </c>
      <c r="S76" s="183" t="str">
        <f>VLOOKUP(TablaPrincipal[[#This Row],[CODIGO]]&amp;TablaPrincipal[[#This Row],[AGUAJE ]],Tabla4[#All],7,0)</f>
        <v>EMPAGRAN - SEMACUA</v>
      </c>
      <c r="T76" s="183" t="str">
        <f>IF(ISNUMBER(FIND("/",TablaPrincipal[[#This Row],[LABORATORIO]])),"COMBINADO","UNICO")</f>
        <v>UNICO</v>
      </c>
      <c r="U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76" s="185">
        <f>IFERROR(TablaPrincipal[[#This Row],[LIBRAS RALEO PLANTA]]/TablaPrincipal[[#This Row],[HAS]],"-")</f>
        <v>0</v>
      </c>
      <c r="Z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22300</v>
      </c>
      <c r="AB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26331.279999999999</v>
      </c>
      <c r="AC76" s="186">
        <f>SUMIFS(COSECHAS!F:F,COSECHAS!A:A,'BASE 2026'!AW:AW,COSECHAS!G:G,"="&amp;A:A)</f>
        <v>17.5</v>
      </c>
      <c r="AD76" s="186">
        <f>SUMIFS(COSECHAS!M:M,COSECHAS!A:A,'BASE 2026'!AW:AW,COSECHAS!G:G,"="&amp;A:A)</f>
        <v>18.739999999999998</v>
      </c>
      <c r="AE76" s="185">
        <f>IFERROR(TablaPrincipal[[#This Row],[LIBRAS PLANTA]]/TablaPrincipal[[#This Row],[HAS]],"-")</f>
        <v>2925.6977777777774</v>
      </c>
      <c r="AF76" s="185">
        <f>IFERROR(TablaPrincipal[[#This Row],[LIBRAS PLANTA]]*454/TablaPrincipal[[#This Row],[GRAMOS PLANTA]],"-")</f>
        <v>637908.27748132334</v>
      </c>
      <c r="AG76" s="185">
        <f>TablaPrincipal[[#This Row],[LIBRAS RALEO PLANTA]]+TablaPrincipal[[#This Row],[LIBRAS PLANTA]]</f>
        <v>26331.279999999999</v>
      </c>
      <c r="AH76" s="185">
        <f>IFERROR(TablaPrincipal[[#This Row],[CAM COSECHADOS RALEO]]+TablaPrincipal[[#This Row],[CAM COSECHADOS]],"-")</f>
        <v>637908.27748132334</v>
      </c>
      <c r="AI76" s="185">
        <f>IFERROR((TablaPrincipal[[#This Row],[LIBRAS RALEO PLANTA]]+TablaPrincipal[[#This Row],[LIBRAS PLANTA]])/TablaPrincipal[[#This Row],[HAS]],"0")</f>
        <v>2925.6977777777774</v>
      </c>
      <c r="AJ76" s="186">
        <f t="shared" si="1"/>
        <v>2.2233898305084745</v>
      </c>
      <c r="AK76" s="186">
        <f>IFERROR(TablaPrincipal[[#This Row],[LBS/HA]]/TablaPrincipal[[#This Row],[DIAS]],"-")</f>
        <v>49.588097928436909</v>
      </c>
      <c r="AL76" s="186">
        <f>IFERROR(TablaPrincipal[[#This Row],[CAM COSECHADOS TOTALES]]/TablaPrincipal[[#This Row],[ANIM SEMBRADOS]]*100,"-")</f>
        <v>35.439348748962409</v>
      </c>
      <c r="AM76" s="185">
        <v>39804.053</v>
      </c>
      <c r="AN76" s="187">
        <f>IFERROR(((TablaPrincipal[[#This Row],[BALANCEADO ACUMULADO (LBS)]]/2.2046)/TablaPrincipal[[#This Row],[HAS]])/TablaPrincipal[[#This Row],[DIAS]],"-")</f>
        <v>34.001883239171377</v>
      </c>
      <c r="AO76" s="184">
        <f>IFERROR(TablaPrincipal[[#This Row],[BALANCEADO ACUMULADO (LBS)]]/TablaPrincipal[[#This Row],[LIBRAS TOTALES]],"-")</f>
        <v>1.5116641879923802</v>
      </c>
      <c r="AP76" s="184"/>
      <c r="AQ76" s="184" t="s">
        <v>105</v>
      </c>
      <c r="AR76" s="185">
        <f>TablaPrincipal[[#This Row],[LIBRAS RALEO PLANTA]]-TablaPrincipal[[#This Row],[LIBRAS RALEO CAMARONERA]]</f>
        <v>0</v>
      </c>
      <c r="AS76" s="185">
        <f>TablaPrincipal[[#This Row],[LIBRAS PLANTA]]-TablaPrincipal[[#This Row],[LIBRAS CAMARONERA]]</f>
        <v>4031.2799999999988</v>
      </c>
      <c r="AT76" s="187">
        <f>TablaPrincipal[[#This Row],[GRAMAJE RALEO PLANTA]]-TablaPrincipal[[#This Row],[GRAMAJE RALEO CAMARONERA]]</f>
        <v>0</v>
      </c>
      <c r="AU76" s="187">
        <f>TablaPrincipal[[#This Row],[GRAMOS PLANTA]]-TablaPrincipal[[#This Row],[GRAMAJE CAMARONERA]]</f>
        <v>1.2399999999999984</v>
      </c>
      <c r="AV76" s="183" t="str">
        <f>+VLOOKUP(TablaPrincipal[[#This Row],[CODIGO]],TablaCosechas[#All],10,0)</f>
        <v>WILMER TORRES</v>
      </c>
      <c r="AW76" s="183" t="s">
        <v>178</v>
      </c>
      <c r="AX76" s="188" t="str">
        <f>+VLOOKUP(TablaPrincipal[[#This Row],[CODIGO]],TablaCosechas[#All],10,0)</f>
        <v>WILMER TORRES</v>
      </c>
    </row>
    <row r="77" spans="1:50" hidden="1" x14ac:dyDescent="0.25">
      <c r="A77" s="196">
        <v>46048</v>
      </c>
      <c r="B77" s="183">
        <v>77</v>
      </c>
      <c r="C77" s="183">
        <f>YEAR(TablaPrincipal[[#This Row],[FECHA]])</f>
        <v>2026</v>
      </c>
      <c r="D77" s="183" t="s">
        <v>151</v>
      </c>
      <c r="E77" s="183" t="str">
        <f>UPPER(TEXT(TablaPrincipal[[#This Row],[FECHA]],"MMMM"))</f>
        <v>ENERO</v>
      </c>
      <c r="F77" s="183" t="str">
        <f>IFERROR(VLOOKUP(TablaPrincipal[[#This Row],[CODIGO]],COSECHAS!A:J,9,0),"-")</f>
        <v>13</v>
      </c>
      <c r="G77" s="183" t="str">
        <f>IFERROR(VLOOKUP(TablaPrincipal[[#This Row],[CODIGO]],COSECHAS!A:I,8,0),"-")</f>
        <v>TIBURON</v>
      </c>
      <c r="H77" s="184">
        <f>IFERROR(VLOOKUP(TablaPrincipal[[#This Row],[CODIGO]],DATOS!A:B,2,0),"-")</f>
        <v>4.51</v>
      </c>
      <c r="I77" s="183" t="str">
        <f>IFERROR(VLOOKUP(TablaPrincipal[[#This Row],[CODIGO]],Tabla8[[#Headers],[#Data]],3,0),"-")</f>
        <v>ASC-BAP</v>
      </c>
      <c r="J77" s="183">
        <f>IFERROR(TablaPrincipal[[#This Row],[FECHA]]-TablaPrincipal[[#This Row],[FECHA DE SIEMBRA]],"-")</f>
        <v>69</v>
      </c>
      <c r="K77" s="196">
        <f>VLOOKUP(TablaPrincipal[[#This Row],[CODIGO]]&amp;TablaPrincipal[[#This Row],[AGUAJE ]],Tabla4[#All],4,0)</f>
        <v>45979</v>
      </c>
      <c r="L77" s="183" t="str">
        <f>VLOOKUP(TablaPrincipal[[#This Row],[CODIGO]]&amp;TablaPrincipal[[#This Row],[AGUAJE ]],Tabla4[#All],15,0)</f>
        <v>TI PC 30</v>
      </c>
      <c r="M77" s="184">
        <f>VLOOKUP(TablaPrincipal[[#This Row],[CODIGO]]&amp;TablaPrincipal[[#This Row],[AGUAJE ]],Tabla4[#All],14,0)</f>
        <v>0.75</v>
      </c>
      <c r="N77" s="183">
        <v>7</v>
      </c>
      <c r="O77" s="170">
        <f>VLOOKUP(TablaPrincipal[[#This Row],[CODIGO]]&amp;TablaPrincipal[[#This Row],[AGUAJE ]],Tabla4[#All],5,0)</f>
        <v>766700</v>
      </c>
      <c r="P77" s="221">
        <f>IFERROR(TablaPrincipal[[#This Row],[ANIM SEMBRADOS]]/TablaPrincipal[[#This Row],[HAS]],"-")</f>
        <v>170000</v>
      </c>
      <c r="Q77" s="222">
        <f>IFERROR(TablaPrincipal[[#This Row],[DENSIDAD]]/10000,"-")</f>
        <v>17</v>
      </c>
      <c r="R77" s="183" t="str">
        <f>VLOOKUP(TablaPrincipal[[#This Row],[CODIGO]]&amp;TablaPrincipal[[#This Row],[AGUAJE ]],Tabla4[#All],8,0)</f>
        <v>LARVASLAB</v>
      </c>
      <c r="S77" s="183" t="str">
        <f>VLOOKUP(TablaPrincipal[[#This Row],[CODIGO]]&amp;TablaPrincipal[[#This Row],[AGUAJE ]],Tabla4[#All],7,0)</f>
        <v>TEXCUMAR</v>
      </c>
      <c r="T77" s="183" t="str">
        <f>IF(ISNUMBER(FIND("/",TablaPrincipal[[#This Row],[LABORATORIO]])),"COMBINADO","UNICO")</f>
        <v>UNICO</v>
      </c>
      <c r="U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6000</v>
      </c>
      <c r="V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6404.86</v>
      </c>
      <c r="W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26.02</v>
      </c>
      <c r="Y77" s="185">
        <f>IFERROR(TablaPrincipal[[#This Row],[LIBRAS RALEO PLANTA]]/TablaPrincipal[[#This Row],[HAS]],"-")</f>
        <v>1420.1463414634147</v>
      </c>
      <c r="Z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111752.74558032282</v>
      </c>
      <c r="AA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29600</v>
      </c>
      <c r="AB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33788.04</v>
      </c>
      <c r="AC77" s="186">
        <f>SUMIFS(COSECHAS!F:F,COSECHAS!A:A,'BASE 2026'!AW:AW,COSECHAS!G:G,"="&amp;A:A)</f>
        <v>33</v>
      </c>
      <c r="AD77" s="186">
        <f>SUMIFS(COSECHAS!M:M,COSECHAS!A:A,'BASE 2026'!AW:AW,COSECHAS!G:G,"="&amp;A:A)</f>
        <v>36.56</v>
      </c>
      <c r="AE77" s="185">
        <f>IFERROR(TablaPrincipal[[#This Row],[LIBRAS PLANTA]]/TablaPrincipal[[#This Row],[HAS]],"-")</f>
        <v>7491.8048780487807</v>
      </c>
      <c r="AF77" s="185">
        <f>IFERROR(TablaPrincipal[[#This Row],[LIBRAS PLANTA]]*454/TablaPrincipal[[#This Row],[GRAMOS PLANTA]],"-")</f>
        <v>419577.95842450764</v>
      </c>
      <c r="AG77" s="185">
        <f>TablaPrincipal[[#This Row],[LIBRAS RALEO PLANTA]]+TablaPrincipal[[#This Row],[LIBRAS PLANTA]]</f>
        <v>40192.9</v>
      </c>
      <c r="AH77" s="185">
        <f>IFERROR(TablaPrincipal[[#This Row],[CAM COSECHADOS RALEO]]+TablaPrincipal[[#This Row],[CAM COSECHADOS]],"-")</f>
        <v>531330.70400483045</v>
      </c>
      <c r="AI77" s="185">
        <f>IFERROR((TablaPrincipal[[#This Row],[LIBRAS RALEO PLANTA]]+TablaPrincipal[[#This Row],[LIBRAS PLANTA]])/TablaPrincipal[[#This Row],[HAS]],"0")</f>
        <v>8911.9512195121952</v>
      </c>
      <c r="AJ77" s="186">
        <f t="shared" si="1"/>
        <v>3.7089855072463767</v>
      </c>
      <c r="AK77" s="186">
        <f>IFERROR(TablaPrincipal[[#This Row],[LBS/HA]]/TablaPrincipal[[#This Row],[DIAS]],"-")</f>
        <v>129.15871332626369</v>
      </c>
      <c r="AL77" s="186">
        <f>IFERROR(TablaPrincipal[[#This Row],[CAM COSECHADOS TOTALES]]/TablaPrincipal[[#This Row],[ANIM SEMBRADOS]]*100,"-")</f>
        <v>69.30099178359599</v>
      </c>
      <c r="AM77" s="185">
        <v>50485.340000000004</v>
      </c>
      <c r="AN77" s="187">
        <f>IFERROR(((TablaPrincipal[[#This Row],[BALANCEADO ACUMULADO (LBS)]]/2.2046)/TablaPrincipal[[#This Row],[HAS]])/TablaPrincipal[[#This Row],[DIAS]],"-")</f>
        <v>73.588482920402328</v>
      </c>
      <c r="AO77" s="184">
        <f>IFERROR(TablaPrincipal[[#This Row],[BALANCEADO ACUMULADO (LBS)]]/TablaPrincipal[[#This Row],[LIBRAS TOTALES]],"-")</f>
        <v>1.2560760731372955</v>
      </c>
      <c r="AP77" s="184"/>
      <c r="AQ77" s="184" t="s">
        <v>105</v>
      </c>
      <c r="AR77" s="185">
        <f>TablaPrincipal[[#This Row],[LIBRAS RALEO PLANTA]]-TablaPrincipal[[#This Row],[LIBRAS RALEO CAMARONERA]]</f>
        <v>404.85999999999967</v>
      </c>
      <c r="AS77" s="185">
        <f>TablaPrincipal[[#This Row],[LIBRAS PLANTA]]-TablaPrincipal[[#This Row],[LIBRAS CAMARONERA]]</f>
        <v>4188.0400000000009</v>
      </c>
      <c r="AT77" s="187">
        <f>TablaPrincipal[[#This Row],[GRAMAJE RALEO PLANTA]]-TablaPrincipal[[#This Row],[GRAMAJE RALEO CAMARONERA]]</f>
        <v>1.9999999999999574E-2</v>
      </c>
      <c r="AU77" s="187">
        <f>TablaPrincipal[[#This Row],[GRAMOS PLANTA]]-TablaPrincipal[[#This Row],[GRAMAJE CAMARONERA]]</f>
        <v>3.5600000000000023</v>
      </c>
      <c r="AV77" s="183" t="str">
        <f>+VLOOKUP(TablaPrincipal[[#This Row],[CODIGO]],TablaCosechas[#All],10,0)</f>
        <v>ALFONSO GRUNAUER</v>
      </c>
      <c r="AW77" s="183" t="s">
        <v>179</v>
      </c>
      <c r="AX77" s="188" t="str">
        <f>+VLOOKUP(TablaPrincipal[[#This Row],[CODIGO]],TablaCosechas[#All],10,0)</f>
        <v>ALFONSO GRUNAUER</v>
      </c>
    </row>
    <row r="78" spans="1:50" hidden="1" x14ac:dyDescent="0.25">
      <c r="A78" s="196">
        <v>46049</v>
      </c>
      <c r="B78" s="183">
        <v>68</v>
      </c>
      <c r="C78" s="183">
        <f>YEAR(TablaPrincipal[[#This Row],[FECHA]])</f>
        <v>2026</v>
      </c>
      <c r="D78" s="183" t="s">
        <v>151</v>
      </c>
      <c r="E78" s="183" t="str">
        <f>UPPER(TEXT(TablaPrincipal[[#This Row],[FECHA]],"MMMM"))</f>
        <v>ENERO</v>
      </c>
      <c r="F78" s="183" t="str">
        <f>IFERROR(VLOOKUP(TablaPrincipal[[#This Row],[CODIGO]],COSECHAS!A:J,9,0),"-")</f>
        <v>03</v>
      </c>
      <c r="G78" s="183" t="str">
        <f>IFERROR(VLOOKUP(TablaPrincipal[[#This Row],[CODIGO]],COSECHAS!A:I,8,0),"-")</f>
        <v>TAMBULERO</v>
      </c>
      <c r="H78" s="184">
        <f>IFERROR(VLOOKUP(TablaPrincipal[[#This Row],[CODIGO]],DATOS!A:B,2,0),"-")</f>
        <v>4.5</v>
      </c>
      <c r="I78" s="183" t="str">
        <f>IFERROR(VLOOKUP(TablaPrincipal[[#This Row],[CODIGO]],Tabla8[[#Headers],[#Data]],3,0),"-")</f>
        <v>ASC-BAP</v>
      </c>
      <c r="J78" s="183">
        <f>IFERROR(TablaPrincipal[[#This Row],[FECHA]]-TablaPrincipal[[#This Row],[FECHA DE SIEMBRA]],"-")</f>
        <v>88</v>
      </c>
      <c r="K78" s="196">
        <f>VLOOKUP(TablaPrincipal[[#This Row],[CODIGO]]&amp;TablaPrincipal[[#This Row],[AGUAJE ]],Tabla4[#All],4,0)</f>
        <v>45961</v>
      </c>
      <c r="L78" s="183" t="str">
        <f>VLOOKUP(TablaPrincipal[[#This Row],[CODIGO]]&amp;TablaPrincipal[[#This Row],[AGUAJE ]],Tabla4[#All],15,0)</f>
        <v>TA PC 2</v>
      </c>
      <c r="M78" s="184">
        <f>VLOOKUP(TablaPrincipal[[#This Row],[CODIGO]]&amp;TablaPrincipal[[#This Row],[AGUAJE ]],Tabla4[#All],14,0)</f>
        <v>0.8</v>
      </c>
      <c r="N78" s="183">
        <v>7</v>
      </c>
      <c r="O78" s="170">
        <f>VLOOKUP(TablaPrincipal[[#This Row],[CODIGO]]&amp;TablaPrincipal[[#This Row],[AGUAJE ]],Tabla4[#All],5,0)</f>
        <v>675000</v>
      </c>
      <c r="P78" s="221">
        <f>IFERROR(TablaPrincipal[[#This Row],[ANIM SEMBRADOS]]/TablaPrincipal[[#This Row],[HAS]],"-")</f>
        <v>150000</v>
      </c>
      <c r="Q78" s="222">
        <f>IFERROR(TablaPrincipal[[#This Row],[DENSIDAD]]/10000,"-")</f>
        <v>15</v>
      </c>
      <c r="R78" s="183" t="str">
        <f>VLOOKUP(TablaPrincipal[[#This Row],[CODIGO]]&amp;TablaPrincipal[[#This Row],[AGUAJE ]],Tabla4[#All],8,0)</f>
        <v>EMPAGRAN</v>
      </c>
      <c r="S78" s="183" t="str">
        <f>VLOOKUP(TablaPrincipal[[#This Row],[CODIGO]]&amp;TablaPrincipal[[#This Row],[AGUAJE ]],Tabla4[#All],7,0)</f>
        <v>EMPAGRAN</v>
      </c>
      <c r="T78" s="183" t="str">
        <f>IF(ISNUMBER(FIND("/",TablaPrincipal[[#This Row],[LABORATORIO]])),"COMBINADO","UNICO")</f>
        <v>UNICO</v>
      </c>
      <c r="U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5600</v>
      </c>
      <c r="V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5859.56</v>
      </c>
      <c r="W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21.22</v>
      </c>
      <c r="Y78" s="185">
        <f>IFERROR(TablaPrincipal[[#This Row],[LIBRAS RALEO PLANTA]]/TablaPrincipal[[#This Row],[HAS]],"-")</f>
        <v>1302.1244444444446</v>
      </c>
      <c r="Z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125364.7615457116</v>
      </c>
      <c r="AA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28041.31</v>
      </c>
      <c r="AC78" s="186">
        <f>SUMIFS(COSECHAS!F:F,COSECHAS!A:A,'BASE 2026'!AW:AW,COSECHAS!G:G,"="&amp;A:A)</f>
        <v>39</v>
      </c>
      <c r="AD78" s="186">
        <f>SUMIFS(COSECHAS!M:M,COSECHAS!A:A,'BASE 2026'!AW:AW,COSECHAS!G:G,"="&amp;A:A)</f>
        <v>38.1</v>
      </c>
      <c r="AE78" s="185">
        <f>IFERROR(TablaPrincipal[[#This Row],[LIBRAS PLANTA]]/TablaPrincipal[[#This Row],[HAS]],"-")</f>
        <v>6231.4022222222229</v>
      </c>
      <c r="AF78" s="185">
        <f>IFERROR(TablaPrincipal[[#This Row],[LIBRAS PLANTA]]*454/TablaPrincipal[[#This Row],[GRAMOS PLANTA]],"-")</f>
        <v>334140.54435695539</v>
      </c>
      <c r="AG78" s="185">
        <f>TablaPrincipal[[#This Row],[LIBRAS RALEO PLANTA]]+TablaPrincipal[[#This Row],[LIBRAS PLANTA]]</f>
        <v>33900.870000000003</v>
      </c>
      <c r="AH78" s="185">
        <f>IFERROR(TablaPrincipal[[#This Row],[CAM COSECHADOS RALEO]]+TablaPrincipal[[#This Row],[CAM COSECHADOS]],"-")</f>
        <v>459505.30590266699</v>
      </c>
      <c r="AI78" s="185">
        <f>IFERROR((TablaPrincipal[[#This Row],[LIBRAS RALEO PLANTA]]+TablaPrincipal[[#This Row],[LIBRAS PLANTA]])/TablaPrincipal[[#This Row],[HAS]],"0")</f>
        <v>7533.5266666666676</v>
      </c>
      <c r="AJ78" s="186">
        <f t="shared" si="1"/>
        <v>3.0306818181818183</v>
      </c>
      <c r="AK78" s="186">
        <f>IFERROR(TablaPrincipal[[#This Row],[LBS/HA]]/TablaPrincipal[[#This Row],[DIAS]],"-")</f>
        <v>85.608257575757591</v>
      </c>
      <c r="AL78" s="186">
        <f>IFERROR(TablaPrincipal[[#This Row],[CAM COSECHADOS TOTALES]]/TablaPrincipal[[#This Row],[ANIM SEMBRADOS]]*100,"-")</f>
        <v>68.07486013372845</v>
      </c>
      <c r="AM78" s="185">
        <v>47288.670000000006</v>
      </c>
      <c r="AN78" s="187">
        <f>IFERROR(((TablaPrincipal[[#This Row],[BALANCEADO ACUMULADO (LBS)]]/2.2046)/TablaPrincipal[[#This Row],[HAS]])/TablaPrincipal[[#This Row],[DIAS]],"-")</f>
        <v>54.166666666666671</v>
      </c>
      <c r="AO78" s="184">
        <f>IFERROR(TablaPrincipal[[#This Row],[BALANCEADO ACUMULADO (LBS)]]/TablaPrincipal[[#This Row],[LIBRAS TOTALES]],"-")</f>
        <v>1.3949102191182705</v>
      </c>
      <c r="AP78" s="184"/>
      <c r="AQ78" s="184" t="s">
        <v>105</v>
      </c>
      <c r="AR78" s="185">
        <f>TablaPrincipal[[#This Row],[LIBRAS RALEO PLANTA]]-TablaPrincipal[[#This Row],[LIBRAS RALEO CAMARONERA]]</f>
        <v>259.5600000000004</v>
      </c>
      <c r="AS78" s="185">
        <f>TablaPrincipal[[#This Row],[LIBRAS PLANTA]]-TablaPrincipal[[#This Row],[LIBRAS CAMARONERA]]</f>
        <v>1641.3100000000013</v>
      </c>
      <c r="AT78" s="187">
        <f>TablaPrincipal[[#This Row],[GRAMAJE RALEO PLANTA]]-TablaPrincipal[[#This Row],[GRAMAJE RALEO CAMARONERA]]</f>
        <v>1.2199999999999989</v>
      </c>
      <c r="AU78" s="187">
        <f>TablaPrincipal[[#This Row],[GRAMOS PLANTA]]-TablaPrincipal[[#This Row],[GRAMAJE CAMARONERA]]</f>
        <v>-0.89999999999999858</v>
      </c>
      <c r="AV78" s="183" t="str">
        <f>+VLOOKUP(TablaPrincipal[[#This Row],[CODIGO]],TablaCosechas[#All],10,0)</f>
        <v>ALFONSO GRUNAUER</v>
      </c>
      <c r="AW78" s="183" t="s">
        <v>180</v>
      </c>
      <c r="AX78" s="188" t="str">
        <f>+VLOOKUP(TablaPrincipal[[#This Row],[CODIGO]],TablaCosechas[#All],10,0)</f>
        <v>ALFONSO GRUNAUER</v>
      </c>
    </row>
    <row r="79" spans="1:50" hidden="1" x14ac:dyDescent="0.25">
      <c r="A79" s="196">
        <v>46049</v>
      </c>
      <c r="B79" s="183">
        <v>70</v>
      </c>
      <c r="C79" s="183">
        <f>YEAR(TablaPrincipal[[#This Row],[FECHA]])</f>
        <v>2026</v>
      </c>
      <c r="D79" s="183" t="s">
        <v>151</v>
      </c>
      <c r="E79" s="183" t="str">
        <f>UPPER(TEXT(TablaPrincipal[[#This Row],[FECHA]],"MMMM"))</f>
        <v>ENERO</v>
      </c>
      <c r="F79" s="183" t="str">
        <f>IFERROR(VLOOKUP(TablaPrincipal[[#This Row],[CODIGO]],COSECHAS!A:J,9,0),"-")</f>
        <v>10</v>
      </c>
      <c r="G79" s="183" t="str">
        <f>IFERROR(VLOOKUP(TablaPrincipal[[#This Row],[CODIGO]],COSECHAS!A:I,8,0),"-")</f>
        <v>TAMBULERO</v>
      </c>
      <c r="H79" s="184">
        <f>IFERROR(VLOOKUP(TablaPrincipal[[#This Row],[CODIGO]],DATOS!A:B,2,0),"-")</f>
        <v>8</v>
      </c>
      <c r="I79" s="183" t="str">
        <f>IFERROR(VLOOKUP(TablaPrincipal[[#This Row],[CODIGO]],Tabla8[[#Headers],[#Data]],3,0),"-")</f>
        <v>ASC-BAP</v>
      </c>
      <c r="J79" s="183">
        <f>IFERROR(TablaPrincipal[[#This Row],[FECHA]]-TablaPrincipal[[#This Row],[FECHA DE SIEMBRA]],"-")</f>
        <v>46</v>
      </c>
      <c r="K79" s="196">
        <f>VLOOKUP(TablaPrincipal[[#This Row],[CODIGO]]&amp;TablaPrincipal[[#This Row],[AGUAJE ]],Tabla4[#All],4,0)</f>
        <v>46003</v>
      </c>
      <c r="L79" s="183" t="str">
        <f>VLOOKUP(TablaPrincipal[[#This Row],[CODIGO]]&amp;TablaPrincipal[[#This Row],[AGUAJE ]],Tabla4[#All],15,0)</f>
        <v>TA PC 9</v>
      </c>
      <c r="M79" s="184">
        <f>VLOOKUP(TablaPrincipal[[#This Row],[CODIGO]]&amp;TablaPrincipal[[#This Row],[AGUAJE ]],Tabla4[#All],14,0)</f>
        <v>5.9</v>
      </c>
      <c r="N79" s="183">
        <v>5</v>
      </c>
      <c r="O79" s="170">
        <f>VLOOKUP(TablaPrincipal[[#This Row],[CODIGO]]&amp;TablaPrincipal[[#This Row],[AGUAJE ]],Tabla4[#All],5,0)</f>
        <v>1400000</v>
      </c>
      <c r="P79" s="221">
        <f>IFERROR(TablaPrincipal[[#This Row],[ANIM SEMBRADOS]]/TablaPrincipal[[#This Row],[HAS]],"-")</f>
        <v>175000</v>
      </c>
      <c r="Q79" s="222">
        <f>IFERROR(TablaPrincipal[[#This Row],[DENSIDAD]]/10000,"-")</f>
        <v>17.5</v>
      </c>
      <c r="R79" s="183" t="str">
        <f>VLOOKUP(TablaPrincipal[[#This Row],[CODIGO]]&amp;TablaPrincipal[[#This Row],[AGUAJE ]],Tabla4[#All],8,0)</f>
        <v>TECSERV</v>
      </c>
      <c r="S79" s="183" t="str">
        <f>VLOOKUP(TablaPrincipal[[#This Row],[CODIGO]]&amp;TablaPrincipal[[#This Row],[AGUAJE ]],Tabla4[#All],7,0)</f>
        <v>TEXCUMAR</v>
      </c>
      <c r="T79" s="183" t="str">
        <f>IF(ISNUMBER(FIND("/",TablaPrincipal[[#This Row],[LABORATORIO]])),"COMBINADO","UNICO")</f>
        <v>UNICO</v>
      </c>
      <c r="U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24000</v>
      </c>
      <c r="V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24408.080000000002</v>
      </c>
      <c r="W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X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</v>
      </c>
      <c r="Y79" s="185">
        <f>IFERROR(TablaPrincipal[[#This Row],[LIBRAS RALEO PLANTA]]/TablaPrincipal[[#This Row],[HAS]],"-")</f>
        <v>3051.01</v>
      </c>
      <c r="Z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524507.75174476928</v>
      </c>
      <c r="AA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54630.76</v>
      </c>
      <c r="AC79" s="186">
        <f>SUMIFS(COSECHAS!F:F,COSECHAS!A:A,'BASE 2026'!AW:AW,COSECHAS!G:G,"="&amp;A:A)</f>
        <v>28</v>
      </c>
      <c r="AD79" s="186">
        <f>SUMIFS(COSECHAS!M:M,COSECHAS!A:A,'BASE 2026'!AW:AW,COSECHAS!G:G,"="&amp;A:A)</f>
        <v>28.28</v>
      </c>
      <c r="AE79" s="185">
        <f>IFERROR(TablaPrincipal[[#This Row],[LIBRAS PLANTA]]/TablaPrincipal[[#This Row],[HAS]],"-")</f>
        <v>6828.8450000000003</v>
      </c>
      <c r="AF79" s="185">
        <f>IFERROR(TablaPrincipal[[#This Row],[LIBRAS PLANTA]]*454/TablaPrincipal[[#This Row],[GRAMOS PLANTA]],"-")</f>
        <v>877028.46676096169</v>
      </c>
      <c r="AG79" s="185">
        <f>TablaPrincipal[[#This Row],[LIBRAS RALEO PLANTA]]+TablaPrincipal[[#This Row],[LIBRAS PLANTA]]</f>
        <v>79038.84</v>
      </c>
      <c r="AH79" s="185">
        <f>IFERROR(TablaPrincipal[[#This Row],[CAM COSECHADOS RALEO]]+TablaPrincipal[[#This Row],[CAM COSECHADOS]],"-")</f>
        <v>1401536.2185057309</v>
      </c>
      <c r="AI79" s="185">
        <f>IFERROR((TablaPrincipal[[#This Row],[LIBRAS RALEO PLANTA]]+TablaPrincipal[[#This Row],[LIBRAS PLANTA]])/TablaPrincipal[[#This Row],[HAS]],"0")</f>
        <v>9879.8549999999996</v>
      </c>
      <c r="AJ79" s="186">
        <f t="shared" si="1"/>
        <v>4.3034782608695652</v>
      </c>
      <c r="AK79" s="186">
        <f>IFERROR(TablaPrincipal[[#This Row],[LBS/HA]]/TablaPrincipal[[#This Row],[DIAS]],"-")</f>
        <v>214.77945652173912</v>
      </c>
      <c r="AL79" s="186">
        <f>IFERROR(TablaPrincipal[[#This Row],[CAM COSECHADOS TOTALES]]/TablaPrincipal[[#This Row],[ANIM SEMBRADOS]]*100,"-")</f>
        <v>100.10972989326649</v>
      </c>
      <c r="AM79" s="185">
        <v>74956.400000000009</v>
      </c>
      <c r="AN79" s="187">
        <f>IFERROR(((TablaPrincipal[[#This Row],[BALANCEADO ACUMULADO (LBS)]]/2.2046)/TablaPrincipal[[#This Row],[HAS]])/TablaPrincipal[[#This Row],[DIAS]],"-")</f>
        <v>92.391304347826093</v>
      </c>
      <c r="AO79" s="184">
        <f>IFERROR(TablaPrincipal[[#This Row],[BALANCEADO ACUMULADO (LBS)]]/TablaPrincipal[[#This Row],[LIBRAS TOTALES]],"-")</f>
        <v>0.94834893831943901</v>
      </c>
      <c r="AP79" s="184"/>
      <c r="AQ79" s="184" t="s">
        <v>105</v>
      </c>
      <c r="AR79" s="185">
        <f>TablaPrincipal[[#This Row],[LIBRAS RALEO PLANTA]]-TablaPrincipal[[#This Row],[LIBRAS RALEO CAMARONERA]]</f>
        <v>408.08000000000175</v>
      </c>
      <c r="AS79" s="185">
        <f>TablaPrincipal[[#This Row],[LIBRAS PLANTA]]-TablaPrincipal[[#This Row],[LIBRAS CAMARONERA]]</f>
        <v>6630.760000000002</v>
      </c>
      <c r="AT79" s="187">
        <f>TablaPrincipal[[#This Row],[GRAMAJE RALEO PLANTA]]-TablaPrincipal[[#This Row],[GRAMAJE RALEO CAMARONERA]]</f>
        <v>0</v>
      </c>
      <c r="AU79" s="187">
        <f>TablaPrincipal[[#This Row],[GRAMOS PLANTA]]-TablaPrincipal[[#This Row],[GRAMAJE CAMARONERA]]</f>
        <v>0.28000000000000114</v>
      </c>
      <c r="AV79" s="183" t="str">
        <f>+VLOOKUP(TablaPrincipal[[#This Row],[CODIGO]],TablaCosechas[#All],10,0)</f>
        <v>ALFONSO GRUNAUER</v>
      </c>
      <c r="AW79" s="183" t="s">
        <v>181</v>
      </c>
      <c r="AX79" s="188" t="str">
        <f>+VLOOKUP(TablaPrincipal[[#This Row],[CODIGO]],TablaCosechas[#All],10,0)</f>
        <v>ALFONSO GRUNAUER</v>
      </c>
    </row>
    <row r="80" spans="1:50" hidden="1" x14ac:dyDescent="0.25">
      <c r="A80" s="196">
        <v>46050</v>
      </c>
      <c r="B80" s="183">
        <v>47</v>
      </c>
      <c r="C80" s="183">
        <f>YEAR(TablaPrincipal[[#This Row],[FECHA]])</f>
        <v>2026</v>
      </c>
      <c r="D80" s="183" t="s">
        <v>151</v>
      </c>
      <c r="E80" s="183" t="str">
        <f>UPPER(TEXT(TablaPrincipal[[#This Row],[FECHA]],"MMMM"))</f>
        <v>ENERO</v>
      </c>
      <c r="F80" s="183" t="str">
        <f>IFERROR(VLOOKUP(TablaPrincipal[[#This Row],[CODIGO]],COSECHAS!A:J,9,0),"-")</f>
        <v>05</v>
      </c>
      <c r="G80" s="183" t="str">
        <f>IFERROR(VLOOKUP(TablaPrincipal[[#This Row],[CODIGO]],COSECHAS!A:I,8,0),"-")</f>
        <v>CHERNA</v>
      </c>
      <c r="H80" s="184">
        <f>IFERROR(VLOOKUP(TablaPrincipal[[#This Row],[CODIGO]],DATOS!A:B,2,0),"-")</f>
        <v>5.4</v>
      </c>
      <c r="I80" s="183" t="str">
        <f>IFERROR(VLOOKUP(TablaPrincipal[[#This Row],[CODIGO]],Tabla8[[#Headers],[#Data]],3,0),"-")</f>
        <v>ASC</v>
      </c>
      <c r="J80" s="183">
        <f>IFERROR(TablaPrincipal[[#This Row],[FECHA]]-TablaPrincipal[[#This Row],[FECHA DE SIEMBRA]],"-")</f>
        <v>88</v>
      </c>
      <c r="K80" s="196">
        <f>VLOOKUP(TablaPrincipal[[#This Row],[CODIGO]]&amp;TablaPrincipal[[#This Row],[AGUAJE ]],Tabla4[#All],4,0)</f>
        <v>45962</v>
      </c>
      <c r="L80" s="183" t="str">
        <f>VLOOKUP(TablaPrincipal[[#This Row],[CODIGO]]&amp;TablaPrincipal[[#This Row],[AGUAJE ]],Tabla4[#All],15,0)</f>
        <v>CH PC 3</v>
      </c>
      <c r="M80" s="184">
        <f>VLOOKUP(TablaPrincipal[[#This Row],[CODIGO]]&amp;TablaPrincipal[[#This Row],[AGUAJE ]],Tabla4[#All],14,0)</f>
        <v>0.94</v>
      </c>
      <c r="N80" s="183">
        <v>7</v>
      </c>
      <c r="O80" s="170">
        <f>VLOOKUP(TablaPrincipal[[#This Row],[CODIGO]]&amp;TablaPrincipal[[#This Row],[AGUAJE ]],Tabla4[#All],5,0)</f>
        <v>972000</v>
      </c>
      <c r="P80" s="221">
        <f>IFERROR(TablaPrincipal[[#This Row],[ANIM SEMBRADOS]]/TablaPrincipal[[#This Row],[HAS]],"-")</f>
        <v>180000</v>
      </c>
      <c r="Q80" s="222">
        <f>IFERROR(TablaPrincipal[[#This Row],[DENSIDAD]]/10000,"-")</f>
        <v>18</v>
      </c>
      <c r="R80" s="183" t="str">
        <f>VLOOKUP(TablaPrincipal[[#This Row],[CODIGO]]&amp;TablaPrincipal[[#This Row],[AGUAJE ]],Tabla4[#All],8,0)</f>
        <v>GENESIS</v>
      </c>
      <c r="S80" s="183" t="str">
        <f>VLOOKUP(TablaPrincipal[[#This Row],[CODIGO]]&amp;TablaPrincipal[[#This Row],[AGUAJE ]],Tabla4[#All],7,0)</f>
        <v>TEXCUMAR</v>
      </c>
      <c r="T80" s="183" t="str">
        <f>IF(ISNUMBER(FIND("/",TablaPrincipal[[#This Row],[LABORATORIO]])),"COMBINADO","UNICO")</f>
        <v>UNICO</v>
      </c>
      <c r="U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13400</v>
      </c>
      <c r="V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13572.36</v>
      </c>
      <c r="W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</v>
      </c>
      <c r="Y80" s="185">
        <f>IFERROR(TablaPrincipal[[#This Row],[LIBRAS RALEO PLANTA]]/TablaPrincipal[[#This Row],[HAS]],"-")</f>
        <v>2513.4</v>
      </c>
      <c r="Z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244598.88601536432</v>
      </c>
      <c r="AA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33300</v>
      </c>
      <c r="AB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32609.599999999999</v>
      </c>
      <c r="AC80" s="186">
        <f>SUMIFS(COSECHAS!F:F,COSECHAS!A:A,'BASE 2026'!AW:AW,COSECHAS!G:G,"="&amp;A:A)</f>
        <v>34.5</v>
      </c>
      <c r="AD80" s="186">
        <f>SUMIFS(COSECHAS!M:M,COSECHAS!A:A,'BASE 2026'!AW:AW,COSECHAS!G:G,"="&amp;A:A)</f>
        <v>35.64</v>
      </c>
      <c r="AE80" s="185">
        <f>IFERROR(TablaPrincipal[[#This Row],[LIBRAS PLANTA]]/TablaPrincipal[[#This Row],[HAS]],"-")</f>
        <v>6038.8148148148139</v>
      </c>
      <c r="AF80" s="185">
        <f>IFERROR(TablaPrincipal[[#This Row],[LIBRAS PLANTA]]*454/TablaPrincipal[[#This Row],[GRAMOS PLANTA]],"-")</f>
        <v>415397.26150392811</v>
      </c>
      <c r="AG80" s="185">
        <f>TablaPrincipal[[#This Row],[LIBRAS RALEO PLANTA]]+TablaPrincipal[[#This Row],[LIBRAS PLANTA]]</f>
        <v>46181.96</v>
      </c>
      <c r="AH80" s="185">
        <f>IFERROR(TablaPrincipal[[#This Row],[CAM COSECHADOS RALEO]]+TablaPrincipal[[#This Row],[CAM COSECHADOS]],"-")</f>
        <v>659996.14751929243</v>
      </c>
      <c r="AI80" s="185">
        <f>IFERROR((TablaPrincipal[[#This Row],[LIBRAS RALEO PLANTA]]+TablaPrincipal[[#This Row],[LIBRAS PLANTA]])/TablaPrincipal[[#This Row],[HAS]],"0")</f>
        <v>8552.2148148148135</v>
      </c>
      <c r="AJ80" s="186">
        <f t="shared" si="1"/>
        <v>2.835</v>
      </c>
      <c r="AK80" s="186">
        <f>IFERROR(TablaPrincipal[[#This Row],[LBS/HA]]/TablaPrincipal[[#This Row],[DIAS]],"-")</f>
        <v>97.18425925925925</v>
      </c>
      <c r="AL80" s="186">
        <f>IFERROR(TablaPrincipal[[#This Row],[CAM COSECHADOS TOTALES]]/TablaPrincipal[[#This Row],[ANIM SEMBRADOS]]*100,"-")</f>
        <v>67.900838222149432</v>
      </c>
      <c r="AM80" s="185">
        <v>68563.06</v>
      </c>
      <c r="AN80" s="187">
        <f>IFERROR(((TablaPrincipal[[#This Row],[BALANCEADO ACUMULADO (LBS)]]/2.2046)/TablaPrincipal[[#This Row],[HAS]])/TablaPrincipal[[#This Row],[DIAS]],"-")</f>
        <v>65.44612794612793</v>
      </c>
      <c r="AO80" s="184">
        <f>IFERROR(TablaPrincipal[[#This Row],[BALANCEADO ACUMULADO (LBS)]]/TablaPrincipal[[#This Row],[LIBRAS TOTALES]],"-")</f>
        <v>1.4846286298805853</v>
      </c>
      <c r="AP80" s="184"/>
      <c r="AQ80" s="184" t="s">
        <v>105</v>
      </c>
      <c r="AR80" s="185">
        <f>TablaPrincipal[[#This Row],[LIBRAS RALEO PLANTA]]-TablaPrincipal[[#This Row],[LIBRAS RALEO CAMARONERA]]</f>
        <v>172.36000000000058</v>
      </c>
      <c r="AS80" s="185">
        <f>TablaPrincipal[[#This Row],[LIBRAS PLANTA]]-TablaPrincipal[[#This Row],[LIBRAS CAMARONERA]]</f>
        <v>-690.40000000000146</v>
      </c>
      <c r="AT80" s="187">
        <f>TablaPrincipal[[#This Row],[GRAMAJE RALEO PLANTA]]-TablaPrincipal[[#This Row],[GRAMAJE RALEO CAMARONERA]]</f>
        <v>-1.6000000000000014</v>
      </c>
      <c r="AU80" s="187">
        <f>TablaPrincipal[[#This Row],[GRAMOS PLANTA]]-TablaPrincipal[[#This Row],[GRAMAJE CAMARONERA]]</f>
        <v>1.1400000000000006</v>
      </c>
      <c r="AV80" s="183" t="str">
        <f>+VLOOKUP(TablaPrincipal[[#This Row],[CODIGO]],TablaCosechas[#All],10,0)</f>
        <v>SANTIAGO OBRIEN</v>
      </c>
      <c r="AW80" s="183" t="s">
        <v>11</v>
      </c>
      <c r="AX80" s="188" t="str">
        <f>+VLOOKUP(TablaPrincipal[[#This Row],[CODIGO]],TablaCosechas[#All],10,0)</f>
        <v>SANTIAGO OBRIEN</v>
      </c>
    </row>
    <row r="81" spans="1:50" hidden="1" x14ac:dyDescent="0.25">
      <c r="A81" s="196">
        <v>46050</v>
      </c>
      <c r="B81" s="183">
        <v>51</v>
      </c>
      <c r="C81" s="183">
        <f>YEAR(TablaPrincipal[[#This Row],[FECHA]])</f>
        <v>2026</v>
      </c>
      <c r="D81" s="183" t="s">
        <v>151</v>
      </c>
      <c r="E81" s="183" t="str">
        <f>UPPER(TEXT(TablaPrincipal[[#This Row],[FECHA]],"MMMM"))</f>
        <v>ENERO</v>
      </c>
      <c r="F81" s="183" t="str">
        <f>IFERROR(VLOOKUP(TablaPrincipal[[#This Row],[CODIGO]],COSECHAS!A:J,9,0),"-")</f>
        <v>24</v>
      </c>
      <c r="G81" s="183" t="str">
        <f>IFERROR(VLOOKUP(TablaPrincipal[[#This Row],[CODIGO]],COSECHAS!A:I,8,0),"-")</f>
        <v>DELFIN</v>
      </c>
      <c r="H81" s="184">
        <f>IFERROR(VLOOKUP(TablaPrincipal[[#This Row],[CODIGO]],DATOS!A:B,2,0),"-")</f>
        <v>5.3</v>
      </c>
      <c r="I81" s="183" t="str">
        <f>IFERROR(VLOOKUP(TablaPrincipal[[#This Row],[CODIGO]],Tabla8[[#Headers],[#Data]],3,0),"-")</f>
        <v>CONVENCIONAL</v>
      </c>
      <c r="J81" s="183">
        <f>IFERROR(TablaPrincipal[[#This Row],[FECHA]]-TablaPrincipal[[#This Row],[FECHA DE SIEMBRA]],"-")</f>
        <v>85</v>
      </c>
      <c r="K81" s="196">
        <f>VLOOKUP(TablaPrincipal[[#This Row],[CODIGO]]&amp;TablaPrincipal[[#This Row],[AGUAJE ]],Tabla4[#All],4,0)</f>
        <v>45965</v>
      </c>
      <c r="L81" s="183" t="str">
        <f>VLOOKUP(TablaPrincipal[[#This Row],[CODIGO]]&amp;TablaPrincipal[[#This Row],[AGUAJE ]],Tabla4[#All],15,0)</f>
        <v>DE PC 25</v>
      </c>
      <c r="M81" s="184">
        <f>VLOOKUP(TablaPrincipal[[#This Row],[CODIGO]]&amp;TablaPrincipal[[#This Row],[AGUAJE ]],Tabla4[#All],14,0)</f>
        <v>0.55000000000000004</v>
      </c>
      <c r="N81" s="183">
        <v>9</v>
      </c>
      <c r="O81" s="170">
        <f>VLOOKUP(TablaPrincipal[[#This Row],[CODIGO]]&amp;TablaPrincipal[[#This Row],[AGUAJE ]],Tabla4[#All],5,0)</f>
        <v>795000</v>
      </c>
      <c r="P81" s="221">
        <f>IFERROR(TablaPrincipal[[#This Row],[ANIM SEMBRADOS]]/TablaPrincipal[[#This Row],[HAS]],"-")</f>
        <v>150000</v>
      </c>
      <c r="Q81" s="222">
        <f>IFERROR(TablaPrincipal[[#This Row],[DENSIDAD]]/10000,"-")</f>
        <v>15</v>
      </c>
      <c r="R81" s="183" t="str">
        <f>VLOOKUP(TablaPrincipal[[#This Row],[CODIGO]]&amp;TablaPrincipal[[#This Row],[AGUAJE ]],Tabla4[#All],8,0)</f>
        <v>TECSERV</v>
      </c>
      <c r="S81" s="183" t="str">
        <f>VLOOKUP(TablaPrincipal[[#This Row],[CODIGO]]&amp;TablaPrincipal[[#This Row],[AGUAJE ]],Tabla4[#All],7,0)</f>
        <v>EMPAGRAN - SEMACUA</v>
      </c>
      <c r="T81" s="183" t="str">
        <f>IF(ISNUMBER(FIND("/",TablaPrincipal[[#This Row],[LABORATORIO]])),"COMBINADO","UNICO")</f>
        <v>UNICO</v>
      </c>
      <c r="U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4000</v>
      </c>
      <c r="V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3997.08</v>
      </c>
      <c r="W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31.28</v>
      </c>
      <c r="Y81" s="185">
        <f>IFERROR(TablaPrincipal[[#This Row],[LIBRAS RALEO PLANTA]]/TablaPrincipal[[#This Row],[HAS]],"-")</f>
        <v>754.16603773584905</v>
      </c>
      <c r="Z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58013.884910485933</v>
      </c>
      <c r="AA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27811.85</v>
      </c>
      <c r="AC81" s="186">
        <f>SUMIFS(COSECHAS!F:F,COSECHAS!A:A,'BASE 2026'!AW:AW,COSECHAS!G:G,"="&amp;A:A)</f>
        <v>40</v>
      </c>
      <c r="AD81" s="186">
        <f>SUMIFS(COSECHAS!M:M,COSECHAS!A:A,'BASE 2026'!AW:AW,COSECHAS!G:G,"="&amp;A:A)</f>
        <v>39.94</v>
      </c>
      <c r="AE81" s="185">
        <f>IFERROR(TablaPrincipal[[#This Row],[LIBRAS PLANTA]]/TablaPrincipal[[#This Row],[HAS]],"-")</f>
        <v>5247.5188679245284</v>
      </c>
      <c r="AF81" s="185">
        <f>IFERROR(TablaPrincipal[[#This Row],[LIBRAS PLANTA]]*454/TablaPrincipal[[#This Row],[GRAMOS PLANTA]],"-")</f>
        <v>316138.7055583375</v>
      </c>
      <c r="AG81" s="185">
        <f>TablaPrincipal[[#This Row],[LIBRAS RALEO PLANTA]]+TablaPrincipal[[#This Row],[LIBRAS PLANTA]]</f>
        <v>31808.93</v>
      </c>
      <c r="AH81" s="185">
        <f>IFERROR(TablaPrincipal[[#This Row],[CAM COSECHADOS RALEO]]+TablaPrincipal[[#This Row],[CAM COSECHADOS]],"-")</f>
        <v>374152.59046882344</v>
      </c>
      <c r="AI81" s="185">
        <f>IFERROR((TablaPrincipal[[#This Row],[LIBRAS RALEO PLANTA]]+TablaPrincipal[[#This Row],[LIBRAS PLANTA]])/TablaPrincipal[[#This Row],[HAS]],"0")</f>
        <v>6001.6849056603778</v>
      </c>
      <c r="AJ81" s="186">
        <f t="shared" si="1"/>
        <v>3.2891764705882354</v>
      </c>
      <c r="AK81" s="186">
        <f>IFERROR(TablaPrincipal[[#This Row],[LBS/HA]]/TablaPrincipal[[#This Row],[DIAS]],"-")</f>
        <v>70.608057713651505</v>
      </c>
      <c r="AL81" s="186">
        <f>IFERROR(TablaPrincipal[[#This Row],[CAM COSECHADOS TOTALES]]/TablaPrincipal[[#This Row],[ANIM SEMBRADOS]]*100,"-")</f>
        <v>47.063218926896035</v>
      </c>
      <c r="AM81" s="185">
        <v>37147.51</v>
      </c>
      <c r="AN81" s="187">
        <f>IFERROR(((TablaPrincipal[[#This Row],[BALANCEADO ACUMULADO (LBS)]]/2.2046)/TablaPrincipal[[#This Row],[HAS]])/TablaPrincipal[[#This Row],[DIAS]],"-")</f>
        <v>37.402885682574919</v>
      </c>
      <c r="AO81" s="184">
        <f>IFERROR(TablaPrincipal[[#This Row],[BALANCEADO ACUMULADO (LBS)]]/TablaPrincipal[[#This Row],[LIBRAS TOTALES]],"-")</f>
        <v>1.1678327438238256</v>
      </c>
      <c r="AP81" s="184"/>
      <c r="AQ81" s="184" t="s">
        <v>105</v>
      </c>
      <c r="AR81" s="185">
        <f>TablaPrincipal[[#This Row],[LIBRAS RALEO PLANTA]]-TablaPrincipal[[#This Row],[LIBRAS RALEO CAMARONERA]]</f>
        <v>-2.9200000000000728</v>
      </c>
      <c r="AS81" s="185">
        <f>TablaPrincipal[[#This Row],[LIBRAS PLANTA]]-TablaPrincipal[[#This Row],[LIBRAS CAMARONERA]]</f>
        <v>2611.8499999999985</v>
      </c>
      <c r="AT81" s="187">
        <f>TablaPrincipal[[#This Row],[GRAMAJE RALEO PLANTA]]-TablaPrincipal[[#This Row],[GRAMAJE RALEO CAMARONERA]]</f>
        <v>4.2800000000000011</v>
      </c>
      <c r="AU81" s="187">
        <f>TablaPrincipal[[#This Row],[GRAMOS PLANTA]]-TablaPrincipal[[#This Row],[GRAMAJE CAMARONERA]]</f>
        <v>-6.0000000000002274E-2</v>
      </c>
      <c r="AV81" s="183" t="str">
        <f>+VLOOKUP(TablaPrincipal[[#This Row],[CODIGO]],TablaCosechas[#All],10,0)</f>
        <v>CARLOS FLORES</v>
      </c>
      <c r="AW81" s="183" t="s">
        <v>182</v>
      </c>
      <c r="AX81" s="188" t="str">
        <f>+VLOOKUP(TablaPrincipal[[#This Row],[CODIGO]],TablaCosechas[#All],10,0)</f>
        <v>CARLOS FLORES</v>
      </c>
    </row>
    <row r="82" spans="1:50" hidden="1" x14ac:dyDescent="0.25">
      <c r="A82" s="196">
        <v>46050</v>
      </c>
      <c r="B82" s="183">
        <v>52</v>
      </c>
      <c r="C82" s="183">
        <f>YEAR(TablaPrincipal[[#This Row],[FECHA]])</f>
        <v>2026</v>
      </c>
      <c r="D82" s="183" t="s">
        <v>151</v>
      </c>
      <c r="E82" s="183" t="str">
        <f>UPPER(TEXT(TablaPrincipal[[#This Row],[FECHA]],"MMMM"))</f>
        <v>ENERO</v>
      </c>
      <c r="F82" s="183" t="str">
        <f>IFERROR(VLOOKUP(TablaPrincipal[[#This Row],[CODIGO]],COSECHAS!A:J,9,0),"-")</f>
        <v>05</v>
      </c>
      <c r="G82" s="183" t="str">
        <f>IFERROR(VLOOKUP(TablaPrincipal[[#This Row],[CODIGO]],COSECHAS!A:I,8,0),"-")</f>
        <v>DORADO</v>
      </c>
      <c r="H82" s="184">
        <f>IFERROR(VLOOKUP(TablaPrincipal[[#This Row],[CODIGO]],DATOS!A:B,2,0),"-")</f>
        <v>3.84</v>
      </c>
      <c r="I82" s="183" t="str">
        <f>IFERROR(VLOOKUP(TablaPrincipal[[#This Row],[CODIGO]],Tabla8[[#Headers],[#Data]],3,0),"-")</f>
        <v>ASC-BAP</v>
      </c>
      <c r="J82" s="183">
        <f>IFERROR(TablaPrincipal[[#This Row],[FECHA]]-TablaPrincipal[[#This Row],[FECHA DE SIEMBRA]],"-")</f>
        <v>90</v>
      </c>
      <c r="K82" s="196">
        <f>VLOOKUP(TablaPrincipal[[#This Row],[CODIGO]]&amp;TablaPrincipal[[#This Row],[AGUAJE ]],Tabla4[#All],4,0)</f>
        <v>45960</v>
      </c>
      <c r="L82" s="183" t="str">
        <f>VLOOKUP(TablaPrincipal[[#This Row],[CODIGO]]&amp;TablaPrincipal[[#This Row],[AGUAJE ]],Tabla4[#All],15,0)</f>
        <v>DO PC 0</v>
      </c>
      <c r="M82" s="184">
        <f>VLOOKUP(TablaPrincipal[[#This Row],[CODIGO]]&amp;TablaPrincipal[[#This Row],[AGUAJE ]],Tabla4[#All],14,0)</f>
        <v>0.35</v>
      </c>
      <c r="N82" s="183">
        <v>8</v>
      </c>
      <c r="O82" s="170">
        <f>VLOOKUP(TablaPrincipal[[#This Row],[CODIGO]]&amp;TablaPrincipal[[#This Row],[AGUAJE ]],Tabla4[#All],5,0)</f>
        <v>883200</v>
      </c>
      <c r="P82" s="221">
        <f>IFERROR(TablaPrincipal[[#This Row],[ANIM SEMBRADOS]]/TablaPrincipal[[#This Row],[HAS]],"-")</f>
        <v>230000</v>
      </c>
      <c r="Q82" s="222">
        <f>IFERROR(TablaPrincipal[[#This Row],[DENSIDAD]]/10000,"-")</f>
        <v>23</v>
      </c>
      <c r="R82" s="183" t="str">
        <f>VLOOKUP(TablaPrincipal[[#This Row],[CODIGO]]&amp;TablaPrincipal[[#This Row],[AGUAJE ]],Tabla4[#All],8,0)</f>
        <v>GABSO</v>
      </c>
      <c r="S82" s="183" t="str">
        <f>VLOOKUP(TablaPrincipal[[#This Row],[CODIGO]]&amp;TablaPrincipal[[#This Row],[AGUAJE ]],Tabla4[#All],7,0)</f>
        <v>TEXCUMAR</v>
      </c>
      <c r="T82" s="183" t="str">
        <f>IF(ISNUMBER(FIND("/",TablaPrincipal[[#This Row],[LABORATORIO]])),"COMBINADO","UNICO")</f>
        <v>UNICO</v>
      </c>
      <c r="U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21900</v>
      </c>
      <c r="V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21787.89</v>
      </c>
      <c r="W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23.806666666666668</v>
      </c>
      <c r="Y82" s="185">
        <f>IFERROR(TablaPrincipal[[#This Row],[LIBRAS RALEO PLANTA]]/TablaPrincipal[[#This Row],[HAS]],"-")</f>
        <v>5673.9296875</v>
      </c>
      <c r="Z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404939.12642543984</v>
      </c>
      <c r="AA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18422.759999999998</v>
      </c>
      <c r="AC82" s="186">
        <f>SUMIFS(COSECHAS!F:F,COSECHAS!A:A,'BASE 2026'!AW:AW,COSECHAS!G:G,"="&amp;A:A)</f>
        <v>31</v>
      </c>
      <c r="AD82" s="186">
        <f>SUMIFS(COSECHAS!M:M,COSECHAS!A:A,'BASE 2026'!AW:AW,COSECHAS!G:G,"="&amp;A:A)</f>
        <v>32.4</v>
      </c>
      <c r="AE82" s="185">
        <f>IFERROR(TablaPrincipal[[#This Row],[LIBRAS PLANTA]]/TablaPrincipal[[#This Row],[HAS]],"-")</f>
        <v>4797.59375</v>
      </c>
      <c r="AF82" s="185">
        <f>IFERROR(TablaPrincipal[[#This Row],[LIBRAS PLANTA]]*454/TablaPrincipal[[#This Row],[GRAMOS PLANTA]],"-")</f>
        <v>258146.08148148147</v>
      </c>
      <c r="AG82" s="185">
        <f>TablaPrincipal[[#This Row],[LIBRAS RALEO PLANTA]]+TablaPrincipal[[#This Row],[LIBRAS PLANTA]]</f>
        <v>40210.649999999994</v>
      </c>
      <c r="AH82" s="185">
        <f>IFERROR(TablaPrincipal[[#This Row],[CAM COSECHADOS RALEO]]+TablaPrincipal[[#This Row],[CAM COSECHADOS]],"-")</f>
        <v>663085.20790692128</v>
      </c>
      <c r="AI82" s="185">
        <f>IFERROR((TablaPrincipal[[#This Row],[LIBRAS RALEO PLANTA]]+TablaPrincipal[[#This Row],[LIBRAS PLANTA]])/TablaPrincipal[[#This Row],[HAS]],"0")</f>
        <v>10471.523437499998</v>
      </c>
      <c r="AJ82" s="186">
        <f t="shared" si="1"/>
        <v>2.5199999999999996</v>
      </c>
      <c r="AK82" s="186">
        <f>IFERROR(TablaPrincipal[[#This Row],[LBS/HA]]/TablaPrincipal[[#This Row],[DIAS]],"-")</f>
        <v>116.35026041666664</v>
      </c>
      <c r="AL82" s="186">
        <f>IFERROR(TablaPrincipal[[#This Row],[CAM COSECHADOS TOTALES]]/TablaPrincipal[[#This Row],[ANIM SEMBRADOS]]*100,"-")</f>
        <v>75.07758241699743</v>
      </c>
      <c r="AM82" s="185">
        <v>57925.865000000005</v>
      </c>
      <c r="AN82" s="187">
        <f>IFERROR(((TablaPrincipal[[#This Row],[BALANCEADO ACUMULADO (LBS)]]/2.2046)/TablaPrincipal[[#This Row],[HAS]])/TablaPrincipal[[#This Row],[DIAS]],"-")</f>
        <v>76.027199074074076</v>
      </c>
      <c r="AO82" s="184">
        <f>IFERROR(TablaPrincipal[[#This Row],[BALANCEADO ACUMULADO (LBS)]]/TablaPrincipal[[#This Row],[LIBRAS TOTALES]],"-")</f>
        <v>1.4405602744546535</v>
      </c>
      <c r="AP82" s="184"/>
      <c r="AQ82" s="184" t="s">
        <v>105</v>
      </c>
      <c r="AR82" s="185">
        <f>TablaPrincipal[[#This Row],[LIBRAS RALEO PLANTA]]-TablaPrincipal[[#This Row],[LIBRAS RALEO CAMARONERA]]</f>
        <v>-112.11000000000058</v>
      </c>
      <c r="AS82" s="185">
        <f>TablaPrincipal[[#This Row],[LIBRAS PLANTA]]-TablaPrincipal[[#This Row],[LIBRAS CAMARONERA]]</f>
        <v>522.7599999999984</v>
      </c>
      <c r="AT82" s="187">
        <f>TablaPrincipal[[#This Row],[GRAMAJE RALEO PLANTA]]-TablaPrincipal[[#This Row],[GRAMAJE RALEO CAMARONERA]]</f>
        <v>0.14000000000000057</v>
      </c>
      <c r="AU82" s="187">
        <f>TablaPrincipal[[#This Row],[GRAMOS PLANTA]]-TablaPrincipal[[#This Row],[GRAMAJE CAMARONERA]]</f>
        <v>1.3999999999999986</v>
      </c>
      <c r="AV82" s="183" t="str">
        <f>+VLOOKUP(TablaPrincipal[[#This Row],[CODIGO]],TablaCosechas[#All],10,0)</f>
        <v>JOSE CEDEÑO</v>
      </c>
      <c r="AW82" s="183" t="s">
        <v>183</v>
      </c>
      <c r="AX82" s="188" t="str">
        <f>+VLOOKUP(TablaPrincipal[[#This Row],[CODIGO]],TablaCosechas[#All],10,0)</f>
        <v>JOSE CEDEÑO</v>
      </c>
    </row>
    <row r="83" spans="1:50" hidden="1" x14ac:dyDescent="0.25">
      <c r="A83" s="196">
        <v>46050</v>
      </c>
      <c r="B83" s="183">
        <v>54</v>
      </c>
      <c r="C83" s="183">
        <f>YEAR(TablaPrincipal[[#This Row],[FECHA]])</f>
        <v>2026</v>
      </c>
      <c r="D83" s="183" t="s">
        <v>151</v>
      </c>
      <c r="E83" s="183" t="str">
        <f>UPPER(TEXT(TablaPrincipal[[#This Row],[FECHA]],"MMMM"))</f>
        <v>ENERO</v>
      </c>
      <c r="F83" s="183" t="str">
        <f>IFERROR(VLOOKUP(TablaPrincipal[[#This Row],[CODIGO]],COSECHAS!A:J,9,0),"-")</f>
        <v>19</v>
      </c>
      <c r="G83" s="183" t="str">
        <f>IFERROR(VLOOKUP(TablaPrincipal[[#This Row],[CODIGO]],COSECHAS!A:I,8,0),"-")</f>
        <v>DORADO</v>
      </c>
      <c r="H83" s="184">
        <f>IFERROR(VLOOKUP(TablaPrincipal[[#This Row],[CODIGO]],DATOS!A:B,2,0),"-")</f>
        <v>8.8699999999999992</v>
      </c>
      <c r="I83" s="183" t="str">
        <f>IFERROR(VLOOKUP(TablaPrincipal[[#This Row],[CODIGO]],Tabla8[[#Headers],[#Data]],3,0),"-")</f>
        <v>ASC-BAP</v>
      </c>
      <c r="J83" s="183">
        <f>IFERROR(TablaPrincipal[[#This Row],[FECHA]]-TablaPrincipal[[#This Row],[FECHA DE SIEMBRA]],"-")</f>
        <v>100</v>
      </c>
      <c r="K83" s="196">
        <f>VLOOKUP(TablaPrincipal[[#This Row],[CODIGO]]&amp;TablaPrincipal[[#This Row],[AGUAJE ]],Tabla4[#All],4,0)</f>
        <v>45950</v>
      </c>
      <c r="L83" s="183" t="str">
        <f>VLOOKUP(TablaPrincipal[[#This Row],[CODIGO]]&amp;TablaPrincipal[[#This Row],[AGUAJE ]],Tabla4[#All],15,0)</f>
        <v>DO PC 4</v>
      </c>
      <c r="M83" s="184">
        <f>VLOOKUP(TablaPrincipal[[#This Row],[CODIGO]]&amp;TablaPrincipal[[#This Row],[AGUAJE ]],Tabla4[#All],14,0)</f>
        <v>0.6</v>
      </c>
      <c r="N83" s="183">
        <v>4</v>
      </c>
      <c r="O83" s="170">
        <f>VLOOKUP(TablaPrincipal[[#This Row],[CODIGO]]&amp;TablaPrincipal[[#This Row],[AGUAJE ]],Tabla4[#All],5,0)</f>
        <v>1596700</v>
      </c>
      <c r="P83" s="221">
        <f>IFERROR(TablaPrincipal[[#This Row],[ANIM SEMBRADOS]]/TablaPrincipal[[#This Row],[HAS]],"-")</f>
        <v>180011.27395715899</v>
      </c>
      <c r="Q83" s="222">
        <f>IFERROR(TablaPrincipal[[#This Row],[DENSIDAD]]/10000,"-")</f>
        <v>18.001127395715898</v>
      </c>
      <c r="R83" s="183" t="str">
        <f>VLOOKUP(TablaPrincipal[[#This Row],[CODIGO]]&amp;TablaPrincipal[[#This Row],[AGUAJE ]],Tabla4[#All],8,0)</f>
        <v>GENESIS</v>
      </c>
      <c r="S83" s="183" t="str">
        <f>VLOOKUP(TablaPrincipal[[#This Row],[CODIGO]]&amp;TablaPrincipal[[#This Row],[AGUAJE ]],Tabla4[#All],7,0)</f>
        <v>TEXCUMAR</v>
      </c>
      <c r="T83" s="183" t="str">
        <f>IF(ISNUMBER(FIND("/",TablaPrincipal[[#This Row],[LABORATORIO]])),"COMBINADO","UNICO")</f>
        <v>UNICO</v>
      </c>
      <c r="U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77250</v>
      </c>
      <c r="V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79728.58</v>
      </c>
      <c r="W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24.863333333333333</v>
      </c>
      <c r="Y83" s="185">
        <f>IFERROR(TablaPrincipal[[#This Row],[LIBRAS RALEO PLANTA]]/TablaPrincipal[[#This Row],[HAS]],"-")</f>
        <v>8988.5659526493801</v>
      </c>
      <c r="Z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1364388.3216429935</v>
      </c>
      <c r="AA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1200</v>
      </c>
      <c r="AB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1161.71</v>
      </c>
      <c r="AC83" s="186">
        <f>SUMIFS(COSECHAS!F:F,COSECHAS!A:A,'BASE 2026'!AW:AW,COSECHAS!G:G,"="&amp;A:A)</f>
        <v>29</v>
      </c>
      <c r="AD83" s="186">
        <f>SUMIFS(COSECHAS!M:M,COSECHAS!A:A,'BASE 2026'!AW:AW,COSECHAS!G:G,"="&amp;A:A)</f>
        <v>28.82</v>
      </c>
      <c r="AE83" s="185">
        <f>IFERROR(TablaPrincipal[[#This Row],[LIBRAS PLANTA]]/TablaPrincipal[[#This Row],[HAS]],"-")</f>
        <v>130.97068771138672</v>
      </c>
      <c r="AF83" s="185">
        <f>IFERROR(TablaPrincipal[[#This Row],[LIBRAS PLANTA]]*454/TablaPrincipal[[#This Row],[GRAMOS PLANTA]],"-")</f>
        <v>18300.358778625952</v>
      </c>
      <c r="AG83" s="185">
        <f>TablaPrincipal[[#This Row],[LIBRAS RALEO PLANTA]]+TablaPrincipal[[#This Row],[LIBRAS PLANTA]]</f>
        <v>80890.290000000008</v>
      </c>
      <c r="AH83" s="185">
        <f>IFERROR(TablaPrincipal[[#This Row],[CAM COSECHADOS RALEO]]+TablaPrincipal[[#This Row],[CAM COSECHADOS]],"-")</f>
        <v>1382688.6804216194</v>
      </c>
      <c r="AI83" s="185">
        <f>IFERROR((TablaPrincipal[[#This Row],[LIBRAS RALEO PLANTA]]+TablaPrincipal[[#This Row],[LIBRAS PLANTA]])/TablaPrincipal[[#This Row],[HAS]],"0")</f>
        <v>9119.5366403607677</v>
      </c>
      <c r="AJ83" s="186">
        <f t="shared" si="1"/>
        <v>2.0173999999999999</v>
      </c>
      <c r="AK83" s="186">
        <f>IFERROR(TablaPrincipal[[#This Row],[LBS/HA]]/TablaPrincipal[[#This Row],[DIAS]],"-")</f>
        <v>91.195366403607679</v>
      </c>
      <c r="AL83" s="186">
        <f>IFERROR(TablaPrincipal[[#This Row],[CAM COSECHADOS TOTALES]]/TablaPrincipal[[#This Row],[ANIM SEMBRADOS]]*100,"-")</f>
        <v>86.596648113084456</v>
      </c>
      <c r="AM83" s="185">
        <v>122245.07</v>
      </c>
      <c r="AN83" s="187">
        <f>IFERROR(((TablaPrincipal[[#This Row],[BALANCEADO ACUMULADO (LBS)]]/2.2046)/TablaPrincipal[[#This Row],[HAS]])/TablaPrincipal[[#This Row],[DIAS]],"-")</f>
        <v>62.514092446448714</v>
      </c>
      <c r="AO83" s="184">
        <f>IFERROR(TablaPrincipal[[#This Row],[BALANCEADO ACUMULADO (LBS)]]/TablaPrincipal[[#This Row],[LIBRAS TOTALES]],"-")</f>
        <v>1.5112452928528257</v>
      </c>
      <c r="AP83" s="184"/>
      <c r="AQ83" s="184" t="s">
        <v>105</v>
      </c>
      <c r="AR83" s="185">
        <f>TablaPrincipal[[#This Row],[LIBRAS RALEO PLANTA]]-TablaPrincipal[[#This Row],[LIBRAS RALEO CAMARONERA]]</f>
        <v>2478.5800000000017</v>
      </c>
      <c r="AS83" s="185">
        <f>TablaPrincipal[[#This Row],[LIBRAS PLANTA]]-TablaPrincipal[[#This Row],[LIBRAS CAMARONERA]]</f>
        <v>-38.289999999999964</v>
      </c>
      <c r="AT83" s="187">
        <f>TablaPrincipal[[#This Row],[GRAMAJE RALEO PLANTA]]-TablaPrincipal[[#This Row],[GRAMAJE RALEO CAMARONERA]]</f>
        <v>0.53000000000000114</v>
      </c>
      <c r="AU83" s="187">
        <f>TablaPrincipal[[#This Row],[GRAMOS PLANTA]]-TablaPrincipal[[#This Row],[GRAMAJE CAMARONERA]]</f>
        <v>-0.17999999999999972</v>
      </c>
      <c r="AV83" s="183" t="str">
        <f>+VLOOKUP(TablaPrincipal[[#This Row],[CODIGO]],TablaCosechas[#All],10,0)</f>
        <v>JOSE CEDEÑO</v>
      </c>
      <c r="AW83" s="183" t="s">
        <v>184</v>
      </c>
      <c r="AX83" s="188" t="str">
        <f>+VLOOKUP(TablaPrincipal[[#This Row],[CODIGO]],TablaCosechas[#All],10,0)</f>
        <v>JOSE CEDEÑO</v>
      </c>
    </row>
    <row r="84" spans="1:50" hidden="1" x14ac:dyDescent="0.25">
      <c r="A84" s="196">
        <v>46050</v>
      </c>
      <c r="B84" s="183">
        <v>79</v>
      </c>
      <c r="C84" s="183">
        <f>YEAR(TablaPrincipal[[#This Row],[FECHA]])</f>
        <v>2026</v>
      </c>
      <c r="D84" s="183" t="s">
        <v>151</v>
      </c>
      <c r="E84" s="183" t="str">
        <f>UPPER(TEXT(TablaPrincipal[[#This Row],[FECHA]],"MMMM"))</f>
        <v>ENERO</v>
      </c>
      <c r="F84" s="183" t="str">
        <f>IFERROR(VLOOKUP(TablaPrincipal[[#This Row],[CODIGO]],COSECHAS!A:J,9,0),"-")</f>
        <v>4A</v>
      </c>
      <c r="G84" s="183" t="str">
        <f>IFERROR(VLOOKUP(TablaPrincipal[[#This Row],[CODIGO]],COSECHAS!A:I,8,0),"-")</f>
        <v>TUNA</v>
      </c>
      <c r="H84" s="184">
        <f>IFERROR(VLOOKUP(TablaPrincipal[[#This Row],[CODIGO]],DATOS!A:B,2,0),"-")</f>
        <v>6.17</v>
      </c>
      <c r="I84" s="183" t="str">
        <f>IFERROR(VLOOKUP(TablaPrincipal[[#This Row],[CODIGO]],Tabla8[[#Headers],[#Data]],3,0),"-")</f>
        <v>ASC-BAP</v>
      </c>
      <c r="J84" s="183">
        <f>IFERROR(TablaPrincipal[[#This Row],[FECHA]]-TablaPrincipal[[#This Row],[FECHA DE SIEMBRA]],"-")</f>
        <v>91</v>
      </c>
      <c r="K84" s="196">
        <f>VLOOKUP(TablaPrincipal[[#This Row],[CODIGO]]&amp;TablaPrincipal[[#This Row],[AGUAJE ]],Tabla4[#All],4,0)</f>
        <v>45959</v>
      </c>
      <c r="L84" s="183" t="str">
        <f>VLOOKUP(TablaPrincipal[[#This Row],[CODIGO]]&amp;TablaPrincipal[[#This Row],[AGUAJE ]],Tabla4[#All],15,0)</f>
        <v>PA PC 26</v>
      </c>
      <c r="M84" s="184">
        <f>VLOOKUP(TablaPrincipal[[#This Row],[CODIGO]]&amp;TablaPrincipal[[#This Row],[AGUAJE ]],Tabla4[#All],14,0)</f>
        <v>0.4</v>
      </c>
      <c r="N84" s="183">
        <v>6</v>
      </c>
      <c r="O84" s="170">
        <f>VLOOKUP(TablaPrincipal[[#This Row],[CODIGO]]&amp;TablaPrincipal[[#This Row],[AGUAJE ]],Tabla4[#All],5,0)</f>
        <v>1166000</v>
      </c>
      <c r="P84" s="221">
        <f>IFERROR(TablaPrincipal[[#This Row],[ANIM SEMBRADOS]]/TablaPrincipal[[#This Row],[HAS]],"-")</f>
        <v>188978.93030794166</v>
      </c>
      <c r="Q84" s="222">
        <f>IFERROR(TablaPrincipal[[#This Row],[DENSIDAD]]/10000,"-")</f>
        <v>18.897893030794165</v>
      </c>
      <c r="R84" s="183" t="str">
        <f>VLOOKUP(TablaPrincipal[[#This Row],[CODIGO]]&amp;TablaPrincipal[[#This Row],[AGUAJE ]],Tabla4[#All],8,0)</f>
        <v>EMPAGRAN</v>
      </c>
      <c r="S84" s="183" t="str">
        <f>VLOOKUP(TablaPrincipal[[#This Row],[CODIGO]]&amp;TablaPrincipal[[#This Row],[AGUAJE ]],Tabla4[#All],7,0)</f>
        <v>EMPAGRAN</v>
      </c>
      <c r="T84" s="183" t="str">
        <f>IF(ISNUMBER(FIND("/",TablaPrincipal[[#This Row],[LABORATORIO]])),"COMBINADO","UNICO")</f>
        <v>UNICO</v>
      </c>
      <c r="U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26400</v>
      </c>
      <c r="V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25359.08</v>
      </c>
      <c r="W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21.333333333333332</v>
      </c>
      <c r="X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22.186666666666667</v>
      </c>
      <c r="Y84" s="185">
        <f>IFERROR(TablaPrincipal[[#This Row],[LIBRAS RALEO PLANTA]]/TablaPrincipal[[#This Row],[HAS]],"-")</f>
        <v>4110.0615883306327</v>
      </c>
      <c r="Z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519232.0045028145</v>
      </c>
      <c r="AA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24668.48</v>
      </c>
      <c r="AC84" s="186">
        <f>SUMIFS(COSECHAS!F:F,COSECHAS!A:A,'BASE 2026'!AW:AW,COSECHAS!G:G,"="&amp;A:A)</f>
        <v>32</v>
      </c>
      <c r="AD84" s="186">
        <f>SUMIFS(COSECHAS!M:M,COSECHAS!A:A,'BASE 2026'!AW:AW,COSECHAS!G:G,"="&amp;A:A)</f>
        <v>33.64</v>
      </c>
      <c r="AE84" s="185">
        <f>IFERROR(TablaPrincipal[[#This Row],[LIBRAS PLANTA]]/TablaPrincipal[[#This Row],[HAS]],"-")</f>
        <v>3998.1329011345219</v>
      </c>
      <c r="AF84" s="185">
        <f>IFERROR(TablaPrincipal[[#This Row],[LIBRAS PLANTA]]*454/TablaPrincipal[[#This Row],[GRAMOS PLANTA]],"-")</f>
        <v>332921.81688466109</v>
      </c>
      <c r="AG84" s="185">
        <f>TablaPrincipal[[#This Row],[LIBRAS RALEO PLANTA]]+TablaPrincipal[[#This Row],[LIBRAS PLANTA]]</f>
        <v>50027.56</v>
      </c>
      <c r="AH84" s="185">
        <f>IFERROR(TablaPrincipal[[#This Row],[CAM COSECHADOS RALEO]]+TablaPrincipal[[#This Row],[CAM COSECHADOS]],"-")</f>
        <v>852153.82138747559</v>
      </c>
      <c r="AI84" s="185">
        <f>IFERROR((TablaPrincipal[[#This Row],[LIBRAS RALEO PLANTA]]+TablaPrincipal[[#This Row],[LIBRAS PLANTA]])/TablaPrincipal[[#This Row],[HAS]],"0")</f>
        <v>8108.1944894651533</v>
      </c>
      <c r="AJ84" s="186">
        <f t="shared" si="1"/>
        <v>2.5876923076923077</v>
      </c>
      <c r="AK84" s="186">
        <f>IFERROR(TablaPrincipal[[#This Row],[LBS/HA]]/TablaPrincipal[[#This Row],[DIAS]],"-")</f>
        <v>89.101038345770917</v>
      </c>
      <c r="AL84" s="186">
        <f>IFERROR(TablaPrincipal[[#This Row],[CAM COSECHADOS TOTALES]]/TablaPrincipal[[#This Row],[ANIM SEMBRADOS]]*100,"-")</f>
        <v>73.083518129286077</v>
      </c>
      <c r="AM84" s="185">
        <v>65774.241000000009</v>
      </c>
      <c r="AN84" s="187">
        <f>IFERROR(((TablaPrincipal[[#This Row],[BALANCEADO ACUMULADO (LBS)]]/2.2046)/TablaPrincipal[[#This Row],[HAS]])/TablaPrincipal[[#This Row],[DIAS]],"-")</f>
        <v>53.137300300995605</v>
      </c>
      <c r="AO84" s="184">
        <f>IFERROR(TablaPrincipal[[#This Row],[BALANCEADO ACUMULADO (LBS)]]/TablaPrincipal[[#This Row],[LIBRAS TOTALES]],"-")</f>
        <v>1.3147601242195304</v>
      </c>
      <c r="AP84" s="184"/>
      <c r="AQ84" s="184" t="s">
        <v>105</v>
      </c>
      <c r="AR84" s="185">
        <f>TablaPrincipal[[#This Row],[LIBRAS RALEO PLANTA]]-TablaPrincipal[[#This Row],[LIBRAS RALEO CAMARONERA]]</f>
        <v>-1040.9199999999983</v>
      </c>
      <c r="AS84" s="185">
        <f>TablaPrincipal[[#This Row],[LIBRAS PLANTA]]-TablaPrincipal[[#This Row],[LIBRAS CAMARONERA]]</f>
        <v>1168.4799999999996</v>
      </c>
      <c r="AT84" s="187">
        <f>TablaPrincipal[[#This Row],[GRAMAJE RALEO PLANTA]]-TablaPrincipal[[#This Row],[GRAMAJE RALEO CAMARONERA]]</f>
        <v>0.85333333333333528</v>
      </c>
      <c r="AU84" s="187">
        <f>TablaPrincipal[[#This Row],[GRAMOS PLANTA]]-TablaPrincipal[[#This Row],[GRAMAJE CAMARONERA]]</f>
        <v>1.6400000000000006</v>
      </c>
      <c r="AV84" s="183" t="str">
        <f>+VLOOKUP(TablaPrincipal[[#This Row],[CODIGO]],TablaCosechas[#All],10,0)</f>
        <v>GUSTAVO CARRASCO</v>
      </c>
      <c r="AW84" s="183" t="s">
        <v>185</v>
      </c>
      <c r="AX84" s="188" t="str">
        <f>+VLOOKUP(TablaPrincipal[[#This Row],[CODIGO]],TablaCosechas[#All],10,0)</f>
        <v>GUSTAVO CARRASCO</v>
      </c>
    </row>
    <row r="85" spans="1:50" hidden="1" x14ac:dyDescent="0.25">
      <c r="A85" s="196">
        <v>46051</v>
      </c>
      <c r="B85" s="183">
        <v>83</v>
      </c>
      <c r="C85" s="183">
        <f>YEAR(TablaPrincipal[[#This Row],[FECHA]])</f>
        <v>2026</v>
      </c>
      <c r="D85" s="183" t="s">
        <v>186</v>
      </c>
      <c r="E85" s="183" t="str">
        <f>UPPER(TEXT(TablaPrincipal[[#This Row],[FECHA]],"MMMM"))</f>
        <v>ENERO</v>
      </c>
      <c r="F85" s="183" t="str">
        <f>IFERROR(VLOOKUP(TablaPrincipal[[#This Row],[CODIGO]],COSECHAS!A:J,9,0),"-")</f>
        <v>22</v>
      </c>
      <c r="G85" s="183" t="str">
        <f>IFERROR(VLOOKUP(TablaPrincipal[[#This Row],[CODIGO]],COSECHAS!A:I,8,0),"-")</f>
        <v>DELFIN</v>
      </c>
      <c r="H85" s="184">
        <f>IFERROR(VLOOKUP(TablaPrincipal[[#This Row],[CODIGO]],DATOS!A:B,2,0),"-")</f>
        <v>5.7</v>
      </c>
      <c r="I85" s="183" t="str">
        <f>IFERROR(VLOOKUP(TablaPrincipal[[#This Row],[CODIGO]],Tabla8[[#Headers],[#Data]],3,0),"-")</f>
        <v>CONVENCIONAL</v>
      </c>
      <c r="J85" s="183">
        <f>IFERROR(TablaPrincipal[[#This Row],[FECHA]]-TablaPrincipal[[#This Row],[FECHA DE SIEMBRA]],"-")</f>
        <v>86</v>
      </c>
      <c r="K85" s="196">
        <f>VLOOKUP(TablaPrincipal[[#This Row],[CODIGO]]&amp;TablaPrincipal[[#This Row],[AGUAJE ]],Tabla4[#All],4,0)</f>
        <v>45965</v>
      </c>
      <c r="L85" s="183" t="str">
        <f>VLOOKUP(TablaPrincipal[[#This Row],[CODIGO]]&amp;TablaPrincipal[[#This Row],[AGUAJE ]],Tabla4[#All],15,0)</f>
        <v>DE PC 25</v>
      </c>
      <c r="M85" s="184">
        <f>VLOOKUP(TablaPrincipal[[#This Row],[CODIGO]]&amp;TablaPrincipal[[#This Row],[AGUAJE ]],Tabla4[#All],14,0)</f>
        <v>0.55000000000000004</v>
      </c>
      <c r="N85" s="183">
        <v>10</v>
      </c>
      <c r="O85" s="170">
        <f>VLOOKUP(TablaPrincipal[[#This Row],[CODIGO]]&amp;TablaPrincipal[[#This Row],[AGUAJE ]],Tabla4[#All],5,0)</f>
        <v>950304</v>
      </c>
      <c r="P85" s="221">
        <f>IFERROR(TablaPrincipal[[#This Row],[ANIM SEMBRADOS]]/TablaPrincipal[[#This Row],[HAS]],"-")</f>
        <v>166720</v>
      </c>
      <c r="Q85" s="222">
        <f>IFERROR(TablaPrincipal[[#This Row],[DENSIDAD]]/10000,"-")</f>
        <v>16.672000000000001</v>
      </c>
      <c r="R85" s="183" t="str">
        <f>VLOOKUP(TablaPrincipal[[#This Row],[CODIGO]]&amp;TablaPrincipal[[#This Row],[AGUAJE ]],Tabla4[#All],8,0)</f>
        <v>TECSERV</v>
      </c>
      <c r="S85" s="183" t="str">
        <f>VLOOKUP(TablaPrincipal[[#This Row],[CODIGO]]&amp;TablaPrincipal[[#This Row],[AGUAJE ]],Tabla4[#All],7,0)</f>
        <v>EMPAGRAN - SEMACUA</v>
      </c>
      <c r="T85" s="183" t="str">
        <f>IF(ISNUMBER(FIND("/",TablaPrincipal[[#This Row],[LABORATORIO]])),"COMBINADO","UNICO")</f>
        <v>UNICO</v>
      </c>
      <c r="U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6700</v>
      </c>
      <c r="V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6686.17</v>
      </c>
      <c r="W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</v>
      </c>
      <c r="Y85" s="185">
        <f>IFERROR(TablaPrincipal[[#This Row],[LIBRAS RALEO PLANTA]]/TablaPrincipal[[#This Row],[HAS]],"-")</f>
        <v>1173.0122807017544</v>
      </c>
      <c r="Z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128623.77881355931</v>
      </c>
      <c r="AA8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18500</v>
      </c>
      <c r="AB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19131.48</v>
      </c>
      <c r="AC85" s="186">
        <f>SUMIFS(COSECHAS!F:F,COSECHAS!A:A,'BASE 2026'!AW:AW,COSECHAS!G:G,"="&amp;A:A)</f>
        <v>35</v>
      </c>
      <c r="AD85" s="186">
        <f>SUMIFS(COSECHAS!M:M,COSECHAS!A:A,'BASE 2026'!AW:AW,COSECHAS!G:G,"="&amp;A:A)</f>
        <v>36.08</v>
      </c>
      <c r="AE85" s="185">
        <f>IFERROR(TablaPrincipal[[#This Row],[LIBRAS PLANTA]]/TablaPrincipal[[#This Row],[HAS]],"-")</f>
        <v>3356.3999999999996</v>
      </c>
      <c r="AF85" s="185">
        <f>IFERROR(TablaPrincipal[[#This Row],[LIBRAS PLANTA]]*454/TablaPrincipal[[#This Row],[GRAMOS PLANTA]],"-")</f>
        <v>240734.25498891354</v>
      </c>
      <c r="AG85" s="185">
        <f>TablaPrincipal[[#This Row],[LIBRAS RALEO PLANTA]]+TablaPrincipal[[#This Row],[LIBRAS PLANTA]]</f>
        <v>25817.65</v>
      </c>
      <c r="AH85" s="185">
        <f>IFERROR(TablaPrincipal[[#This Row],[CAM COSECHADOS RALEO]]+TablaPrincipal[[#This Row],[CAM COSECHADOS]],"-")</f>
        <v>369358.03380247287</v>
      </c>
      <c r="AI85" s="185">
        <f>IFERROR((TablaPrincipal[[#This Row],[LIBRAS RALEO PLANTA]]+TablaPrincipal[[#This Row],[LIBRAS PLANTA]])/TablaPrincipal[[#This Row],[HAS]],"0")</f>
        <v>4529.4122807017548</v>
      </c>
      <c r="AJ85" s="186">
        <f t="shared" si="1"/>
        <v>2.9367441860465111</v>
      </c>
      <c r="AK85" s="186">
        <f>IFERROR(TablaPrincipal[[#This Row],[LBS/HA]]/TablaPrincipal[[#This Row],[DIAS]],"-")</f>
        <v>52.667584659322728</v>
      </c>
      <c r="AL85" s="186">
        <f>IFERROR(TablaPrincipal[[#This Row],[CAM COSECHADOS TOTALES]]/TablaPrincipal[[#This Row],[ANIM SEMBRADOS]]*100,"-")</f>
        <v>38.86735547808626</v>
      </c>
      <c r="AM85" s="185">
        <v>57374.715000000004</v>
      </c>
      <c r="AN85" s="187">
        <f>IFERROR(((TablaPrincipal[[#This Row],[BALANCEADO ACUMULADO (LBS)]]/2.2046)/TablaPrincipal[[#This Row],[HAS]])/TablaPrincipal[[#This Row],[DIAS]],"-")</f>
        <v>53.090575275397789</v>
      </c>
      <c r="AO85" s="184">
        <f>IFERROR(TablaPrincipal[[#This Row],[BALANCEADO ACUMULADO (LBS)]]/TablaPrincipal[[#This Row],[LIBRAS TOTALES]],"-")</f>
        <v>2.2223058643989675</v>
      </c>
      <c r="AP85" s="184"/>
      <c r="AQ85" s="184" t="s">
        <v>105</v>
      </c>
      <c r="AR85" s="185">
        <f>TablaPrincipal[[#This Row],[LIBRAS RALEO PLANTA]]-TablaPrincipal[[#This Row],[LIBRAS RALEO CAMARONERA]]</f>
        <v>-13.829999999999927</v>
      </c>
      <c r="AS85" s="185">
        <f>TablaPrincipal[[#This Row],[LIBRAS PLANTA]]-TablaPrincipal[[#This Row],[LIBRAS CAMARONERA]]</f>
        <v>631.47999999999956</v>
      </c>
      <c r="AT85" s="187">
        <f>TablaPrincipal[[#This Row],[GRAMAJE RALEO PLANTA]]-TablaPrincipal[[#This Row],[GRAMAJE RALEO CAMARONERA]]</f>
        <v>0.60000000000000142</v>
      </c>
      <c r="AU85" s="187">
        <f>TablaPrincipal[[#This Row],[GRAMOS PLANTA]]-TablaPrincipal[[#This Row],[GRAMAJE CAMARONERA]]</f>
        <v>1.0799999999999983</v>
      </c>
      <c r="AV85" s="183" t="str">
        <f>+VLOOKUP(TablaPrincipal[[#This Row],[CODIGO]],TablaCosechas[#All],10,0)</f>
        <v>CARLOS FLORES</v>
      </c>
      <c r="AW85" s="183" t="s">
        <v>187</v>
      </c>
      <c r="AX85" s="188" t="str">
        <f>+VLOOKUP(TablaPrincipal[[#This Row],[CODIGO]],TablaCosechas[#All],10,0)</f>
        <v>CARLOS FLORES</v>
      </c>
    </row>
    <row r="86" spans="1:50" hidden="1" x14ac:dyDescent="0.25">
      <c r="A86" s="196">
        <v>46051</v>
      </c>
      <c r="B86" s="183">
        <v>84</v>
      </c>
      <c r="C86" s="183">
        <f>YEAR(TablaPrincipal[[#This Row],[FECHA]])</f>
        <v>2026</v>
      </c>
      <c r="D86" s="183" t="s">
        <v>186</v>
      </c>
      <c r="E86" s="183" t="str">
        <f>UPPER(TEXT(TablaPrincipal[[#This Row],[FECHA]],"MMMM"))</f>
        <v>ENERO</v>
      </c>
      <c r="F86" s="183" t="str">
        <f>IFERROR(VLOOKUP(TablaPrincipal[[#This Row],[CODIGO]],COSECHAS!A:J,9,0),"-")</f>
        <v>03</v>
      </c>
      <c r="G86" s="183" t="str">
        <f>IFERROR(VLOOKUP(TablaPrincipal[[#This Row],[CODIGO]],COSECHAS!A:I,8,0),"-")</f>
        <v>TIBURON</v>
      </c>
      <c r="H86" s="184">
        <f>IFERROR(VLOOKUP(TablaPrincipal[[#This Row],[CODIGO]],DATOS!A:B,2,0),"-")</f>
        <v>6.55</v>
      </c>
      <c r="I86" s="183" t="str">
        <f>IFERROR(VLOOKUP(TablaPrincipal[[#This Row],[CODIGO]],Tabla8[[#Headers],[#Data]],3,0),"-")</f>
        <v>ASC-BAP</v>
      </c>
      <c r="J86" s="183">
        <f>IFERROR(TablaPrincipal[[#This Row],[FECHA]]-TablaPrincipal[[#This Row],[FECHA DE SIEMBRA]],"-")</f>
        <v>87</v>
      </c>
      <c r="K86" s="196">
        <f>VLOOKUP(TablaPrincipal[[#This Row],[CODIGO]]&amp;TablaPrincipal[[#This Row],[AGUAJE ]],Tabla4[#All],4,0)</f>
        <v>45964</v>
      </c>
      <c r="L86" s="183" t="str">
        <f>VLOOKUP(TablaPrincipal[[#This Row],[CODIGO]]&amp;TablaPrincipal[[#This Row],[AGUAJE ]],Tabla4[#All],15,0)</f>
        <v>TI PC 33 - 34</v>
      </c>
      <c r="M86" s="184">
        <f>VLOOKUP(TablaPrincipal[[#This Row],[CODIGO]]&amp;TablaPrincipal[[#This Row],[AGUAJE ]],Tabla4[#All],14,0)</f>
        <v>0.45</v>
      </c>
      <c r="N86" s="183">
        <v>8</v>
      </c>
      <c r="O86" s="170">
        <f>VLOOKUP(TablaPrincipal[[#This Row],[CODIGO]]&amp;TablaPrincipal[[#This Row],[AGUAJE ]],Tabla4[#All],5,0)</f>
        <v>1179000</v>
      </c>
      <c r="P86" s="221">
        <f>IFERROR(TablaPrincipal[[#This Row],[ANIM SEMBRADOS]]/TablaPrincipal[[#This Row],[HAS]],"-")</f>
        <v>180000</v>
      </c>
      <c r="Q86" s="222">
        <f>IFERROR(TablaPrincipal[[#This Row],[DENSIDAD]]/10000,"-")</f>
        <v>18</v>
      </c>
      <c r="R86" s="183" t="str">
        <f>VLOOKUP(TablaPrincipal[[#This Row],[CODIGO]]&amp;TablaPrincipal[[#This Row],[AGUAJE ]],Tabla4[#All],8,0)</f>
        <v>GABSO</v>
      </c>
      <c r="S86" s="183" t="str">
        <f>VLOOKUP(TablaPrincipal[[#This Row],[CODIGO]]&amp;TablaPrincipal[[#This Row],[AGUAJE ]],Tabla4[#All],7,0)</f>
        <v>TEXCUMAR</v>
      </c>
      <c r="T86" s="183" t="str">
        <f>IF(ISNUMBER(FIND("/",TablaPrincipal[[#This Row],[LABORATORIO]])),"COMBINADO","UNICO")</f>
        <v>UNICO</v>
      </c>
      <c r="U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19500</v>
      </c>
      <c r="V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18868.169999999998</v>
      </c>
      <c r="W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</v>
      </c>
      <c r="Y86" s="185">
        <f>IFERROR(TablaPrincipal[[#This Row],[LIBRAS RALEO PLANTA]]/TablaPrincipal[[#This Row],[HAS]],"-")</f>
        <v>2880.6366412213738</v>
      </c>
      <c r="Z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327112.43989924574</v>
      </c>
      <c r="AA8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44700</v>
      </c>
      <c r="AB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46596.35</v>
      </c>
      <c r="AC86" s="186">
        <f>SUMIFS(COSECHAS!F:F,COSECHAS!A:A,'BASE 2026'!AW:AW,COSECHAS!G:G,"="&amp;A:A)</f>
        <v>40</v>
      </c>
      <c r="AD86" s="186">
        <f>SUMIFS(COSECHAS!M:M,COSECHAS!A:A,'BASE 2026'!AW:AW,COSECHAS!G:G,"="&amp;A:A)</f>
        <v>42.04</v>
      </c>
      <c r="AE86" s="185">
        <f>IFERROR(TablaPrincipal[[#This Row],[LIBRAS PLANTA]]/TablaPrincipal[[#This Row],[HAS]],"-")</f>
        <v>7113.9465648854957</v>
      </c>
      <c r="AF86" s="185">
        <f>IFERROR(TablaPrincipal[[#This Row],[LIBRAS PLANTA]]*454/TablaPrincipal[[#This Row],[GRAMOS PLANTA]],"-")</f>
        <v>503205.11179828731</v>
      </c>
      <c r="AG86" s="185">
        <f>TablaPrincipal[[#This Row],[LIBRAS RALEO PLANTA]]+TablaPrincipal[[#This Row],[LIBRAS PLANTA]]</f>
        <v>65464.52</v>
      </c>
      <c r="AH86" s="185">
        <f>IFERROR(TablaPrincipal[[#This Row],[CAM COSECHADOS RALEO]]+TablaPrincipal[[#This Row],[CAM COSECHADOS]],"-")</f>
        <v>830317.55169753311</v>
      </c>
      <c r="AI86" s="185">
        <f>IFERROR((TablaPrincipal[[#This Row],[LIBRAS RALEO PLANTA]]+TablaPrincipal[[#This Row],[LIBRAS PLANTA]])/TablaPrincipal[[#This Row],[HAS]],"0")</f>
        <v>9994.5832061068704</v>
      </c>
      <c r="AJ86" s="186">
        <f t="shared" si="1"/>
        <v>3.3825287356321838</v>
      </c>
      <c r="AK86" s="186">
        <f>IFERROR(TablaPrincipal[[#This Row],[LBS/HA]]/TablaPrincipal[[#This Row],[DIAS]],"-")</f>
        <v>114.88026673686058</v>
      </c>
      <c r="AL86" s="186">
        <f>IFERROR(TablaPrincipal[[#This Row],[CAM COSECHADOS TOTALES]]/TablaPrincipal[[#This Row],[ANIM SEMBRADOS]]*100,"-")</f>
        <v>70.425576903946833</v>
      </c>
      <c r="AM86" s="185">
        <v>87412.39</v>
      </c>
      <c r="AN86" s="187">
        <f>IFERROR(((TablaPrincipal[[#This Row],[BALANCEADO ACUMULADO (LBS)]]/2.2046)/TablaPrincipal[[#This Row],[HAS]])/TablaPrincipal[[#This Row],[DIAS]],"-")</f>
        <v>69.579713959813986</v>
      </c>
      <c r="AO86" s="184">
        <f>IFERROR(TablaPrincipal[[#This Row],[BALANCEADO ACUMULADO (LBS)]]/TablaPrincipal[[#This Row],[LIBRAS TOTALES]],"-")</f>
        <v>1.335263590109574</v>
      </c>
      <c r="AP86" s="184"/>
      <c r="AQ86" s="184" t="s">
        <v>105</v>
      </c>
      <c r="AR86" s="185">
        <f>TablaPrincipal[[#This Row],[LIBRAS RALEO PLANTA]]-TablaPrincipal[[#This Row],[LIBRAS RALEO CAMARONERA]]</f>
        <v>-631.83000000000175</v>
      </c>
      <c r="AS86" s="185">
        <f>TablaPrincipal[[#This Row],[LIBRAS PLANTA]]-TablaPrincipal[[#This Row],[LIBRAS CAMARONERA]]</f>
        <v>1896.3499999999985</v>
      </c>
      <c r="AT86" s="187">
        <f>TablaPrincipal[[#This Row],[GRAMAJE RALEO PLANTA]]-TablaPrincipal[[#This Row],[GRAMAJE RALEO CAMARONERA]]</f>
        <v>1.6499999999999986</v>
      </c>
      <c r="AU86" s="187">
        <f>TablaPrincipal[[#This Row],[GRAMOS PLANTA]]-TablaPrincipal[[#This Row],[GRAMAJE CAMARONERA]]</f>
        <v>2.0399999999999991</v>
      </c>
      <c r="AV86" s="183" t="str">
        <f>+VLOOKUP(TablaPrincipal[[#This Row],[CODIGO]],TablaCosechas[#All],10,0)</f>
        <v>ALFONSO GRUNAUER</v>
      </c>
      <c r="AW86" s="183" t="s">
        <v>188</v>
      </c>
      <c r="AX86" s="188" t="str">
        <f>+VLOOKUP(TablaPrincipal[[#This Row],[CODIGO]],TablaCosechas[#All],10,0)</f>
        <v>ALFONSO GRUNAUER</v>
      </c>
    </row>
    <row r="87" spans="1:50" hidden="1" x14ac:dyDescent="0.25">
      <c r="A87" s="196">
        <v>46051</v>
      </c>
      <c r="B87" s="183">
        <v>85</v>
      </c>
      <c r="C87" s="183">
        <f>YEAR(TablaPrincipal[[#This Row],[FECHA]])</f>
        <v>2026</v>
      </c>
      <c r="D87" s="183" t="s">
        <v>186</v>
      </c>
      <c r="E87" s="183" t="str">
        <f>UPPER(TEXT(TablaPrincipal[[#This Row],[FECHA]],"MMMM"))</f>
        <v>ENERO</v>
      </c>
      <c r="F87" s="183" t="str">
        <f>IFERROR(VLOOKUP(TablaPrincipal[[#This Row],[CODIGO]],COSECHAS!A:J,9,0),"-")</f>
        <v>03</v>
      </c>
      <c r="G87" s="183" t="str">
        <f>IFERROR(VLOOKUP(TablaPrincipal[[#This Row],[CODIGO]],COSECHAS!A:I,8,0),"-")</f>
        <v>TUNA</v>
      </c>
      <c r="H87" s="184">
        <f>IFERROR(VLOOKUP(TablaPrincipal[[#This Row],[CODIGO]],DATOS!A:B,2,0),"-")</f>
        <v>3.43</v>
      </c>
      <c r="I87" s="183" t="str">
        <f>IFERROR(VLOOKUP(TablaPrincipal[[#This Row],[CODIGO]],Tabla8[[#Headers],[#Data]],3,0),"-")</f>
        <v>ASC-BAP</v>
      </c>
      <c r="J87" s="183">
        <f>IFERROR(TablaPrincipal[[#This Row],[FECHA]]-TablaPrincipal[[#This Row],[FECHA DE SIEMBRA]],"-")</f>
        <v>92</v>
      </c>
      <c r="K87" s="196">
        <f>VLOOKUP(TablaPrincipal[[#This Row],[CODIGO]]&amp;TablaPrincipal[[#This Row],[AGUAJE ]],Tabla4[#All],4,0)</f>
        <v>45959</v>
      </c>
      <c r="L87" s="183" t="str">
        <f>VLOOKUP(TablaPrincipal[[#This Row],[CODIGO]]&amp;TablaPrincipal[[#This Row],[AGUAJE ]],Tabla4[#All],15,0)</f>
        <v>PA PC 26 - MA PC 8</v>
      </c>
      <c r="M87" s="184">
        <f>VLOOKUP(TablaPrincipal[[#This Row],[CODIGO]]&amp;TablaPrincipal[[#This Row],[AGUAJE ]],Tabla4[#All],14,0)</f>
        <v>0.39</v>
      </c>
      <c r="N87" s="183">
        <v>7</v>
      </c>
      <c r="O87" s="170">
        <f>VLOOKUP(TablaPrincipal[[#This Row],[CODIGO]]&amp;TablaPrincipal[[#This Row],[AGUAJE ]],Tabla4[#All],5,0)</f>
        <v>632918</v>
      </c>
      <c r="P87" s="221">
        <f>IFERROR(TablaPrincipal[[#This Row],[ANIM SEMBRADOS]]/TablaPrincipal[[#This Row],[HAS]],"-")</f>
        <v>184524.19825072886</v>
      </c>
      <c r="Q87" s="222">
        <f>IFERROR(TablaPrincipal[[#This Row],[DENSIDAD]]/10000,"-")</f>
        <v>18.452419825072887</v>
      </c>
      <c r="R87" s="183" t="str">
        <f>VLOOKUP(TablaPrincipal[[#This Row],[CODIGO]]&amp;TablaPrincipal[[#This Row],[AGUAJE ]],Tabla4[#All],8,0)</f>
        <v>EMPAGRAN</v>
      </c>
      <c r="S87" s="183" t="str">
        <f>VLOOKUP(TablaPrincipal[[#This Row],[CODIGO]]&amp;TablaPrincipal[[#This Row],[AGUAJE ]],Tabla4[#All],7,0)</f>
        <v>EMPAGRAN</v>
      </c>
      <c r="T87" s="183" t="str">
        <f>IF(ISNUMBER(FIND("/",TablaPrincipal[[#This Row],[LABORATORIO]])),"COMBINADO","UNICO")</f>
        <v>UNICO</v>
      </c>
      <c r="U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13200</v>
      </c>
      <c r="V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13194.91</v>
      </c>
      <c r="W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20.333333333333332</v>
      </c>
      <c r="X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21.106666666666666</v>
      </c>
      <c r="Y87" s="185">
        <f>IFERROR(TablaPrincipal[[#This Row],[LIBRAS RALEO PLANTA]]/TablaPrincipal[[#This Row],[HAS]],"-")</f>
        <v>3846.9125364431484</v>
      </c>
      <c r="Z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283124.3156901141</v>
      </c>
      <c r="AA8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12150</v>
      </c>
      <c r="AB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12880.22</v>
      </c>
      <c r="AC87" s="186">
        <f>SUMIFS(COSECHAS!F:F,COSECHAS!A:A,'BASE 2026'!AW:AW,COSECHAS!G:G,"="&amp;A:A)</f>
        <v>32</v>
      </c>
      <c r="AD87" s="186">
        <f>SUMIFS(COSECHAS!M:M,COSECHAS!A:A,'BASE 2026'!AW:AW,COSECHAS!G:G,"="&amp;A:A)</f>
        <v>33.32</v>
      </c>
      <c r="AE87" s="185">
        <f>IFERROR(TablaPrincipal[[#This Row],[LIBRAS PLANTA]]/TablaPrincipal[[#This Row],[HAS]],"-")</f>
        <v>3755.1661807580172</v>
      </c>
      <c r="AF87" s="185">
        <f>IFERROR(TablaPrincipal[[#This Row],[LIBRAS PLANTA]]*454/TablaPrincipal[[#This Row],[GRAMOS PLANTA]],"-")</f>
        <v>175498.79591836734</v>
      </c>
      <c r="AG87" s="185">
        <f>TablaPrincipal[[#This Row],[LIBRAS RALEO PLANTA]]+TablaPrincipal[[#This Row],[LIBRAS PLANTA]]</f>
        <v>26075.129999999997</v>
      </c>
      <c r="AH87" s="185">
        <f>IFERROR(TablaPrincipal[[#This Row],[CAM COSECHADOS RALEO]]+TablaPrincipal[[#This Row],[CAM COSECHADOS]],"-")</f>
        <v>458623.11160848144</v>
      </c>
      <c r="AI87" s="185">
        <f>IFERROR((TablaPrincipal[[#This Row],[LIBRAS RALEO PLANTA]]+TablaPrincipal[[#This Row],[LIBRAS PLANTA]])/TablaPrincipal[[#This Row],[HAS]],"0")</f>
        <v>7602.0787172011651</v>
      </c>
      <c r="AJ87" s="186">
        <f t="shared" si="1"/>
        <v>2.5352173913043479</v>
      </c>
      <c r="AK87" s="186">
        <f>IFERROR(TablaPrincipal[[#This Row],[LBS/HA]]/TablaPrincipal[[#This Row],[DIAS]],"-")</f>
        <v>82.631290404360485</v>
      </c>
      <c r="AL87" s="186">
        <f>IFERROR(TablaPrincipal[[#This Row],[CAM COSECHADOS TOTALES]]/TablaPrincipal[[#This Row],[ANIM SEMBRADOS]]*100,"-")</f>
        <v>72.46169513404287</v>
      </c>
      <c r="AM87" s="185">
        <v>38304.925000000003</v>
      </c>
      <c r="AN87" s="187">
        <f>IFERROR(((TablaPrincipal[[#This Row],[BALANCEADO ACUMULADO (LBS)]]/2.2046)/TablaPrincipal[[#This Row],[HAS]])/TablaPrincipal[[#This Row],[DIAS]],"-")</f>
        <v>55.060844213461777</v>
      </c>
      <c r="AO87" s="184">
        <f>IFERROR(TablaPrincipal[[#This Row],[BALANCEADO ACUMULADO (LBS)]]/TablaPrincipal[[#This Row],[LIBRAS TOTALES]],"-")</f>
        <v>1.4690214392027963</v>
      </c>
      <c r="AP87" s="184"/>
      <c r="AQ87" s="184" t="s">
        <v>105</v>
      </c>
      <c r="AR87" s="185">
        <f>TablaPrincipal[[#This Row],[LIBRAS RALEO PLANTA]]-TablaPrincipal[[#This Row],[LIBRAS RALEO CAMARONERA]]</f>
        <v>-5.0900000000001455</v>
      </c>
      <c r="AS87" s="185">
        <f>TablaPrincipal[[#This Row],[LIBRAS PLANTA]]-TablaPrincipal[[#This Row],[LIBRAS CAMARONERA]]</f>
        <v>730.21999999999935</v>
      </c>
      <c r="AT87" s="187">
        <f>TablaPrincipal[[#This Row],[GRAMAJE RALEO PLANTA]]-TablaPrincipal[[#This Row],[GRAMAJE RALEO CAMARONERA]]</f>
        <v>0.77333333333333343</v>
      </c>
      <c r="AU87" s="187">
        <f>TablaPrincipal[[#This Row],[GRAMOS PLANTA]]-TablaPrincipal[[#This Row],[GRAMAJE CAMARONERA]]</f>
        <v>1.3200000000000003</v>
      </c>
      <c r="AV87" s="183" t="str">
        <f>+VLOOKUP(TablaPrincipal[[#This Row],[CODIGO]],TablaCosechas[#All],10,0)</f>
        <v>GUSTAVO CARRASCO</v>
      </c>
      <c r="AW87" s="183" t="s">
        <v>189</v>
      </c>
      <c r="AX87" s="188" t="str">
        <f>+VLOOKUP(TablaPrincipal[[#This Row],[CODIGO]],TablaCosechas[#All],10,0)</f>
        <v>GUSTAVO CARRASCO</v>
      </c>
    </row>
    <row r="88" spans="1:50" hidden="1" x14ac:dyDescent="0.25">
      <c r="A88" s="196">
        <v>46051</v>
      </c>
      <c r="B88" s="183">
        <v>86</v>
      </c>
      <c r="C88" s="183">
        <f>YEAR(TablaPrincipal[[#This Row],[FECHA]])</f>
        <v>2026</v>
      </c>
      <c r="D88" s="183" t="s">
        <v>186</v>
      </c>
      <c r="E88" s="183" t="str">
        <f>UPPER(TEXT(TablaPrincipal[[#This Row],[FECHA]],"MMMM"))</f>
        <v>ENERO</v>
      </c>
      <c r="F88" s="183" t="str">
        <f>IFERROR(VLOOKUP(TablaPrincipal[[#This Row],[CODIGO]],COSECHAS!A:J,9,0),"-")</f>
        <v>25</v>
      </c>
      <c r="G88" s="183" t="str">
        <f>IFERROR(VLOOKUP(TablaPrincipal[[#This Row],[CODIGO]],COSECHAS!A:I,8,0),"-")</f>
        <v>WAHOO</v>
      </c>
      <c r="H88" s="184">
        <f>IFERROR(VLOOKUP(TablaPrincipal[[#This Row],[CODIGO]],DATOS!A:B,2,0),"-")</f>
        <v>3.5</v>
      </c>
      <c r="I88" s="183" t="str">
        <f>IFERROR(VLOOKUP(TablaPrincipal[[#This Row],[CODIGO]],Tabla8[[#Headers],[#Data]],3,0),"-")</f>
        <v>CONVENCIONAL</v>
      </c>
      <c r="J88" s="183">
        <f>IFERROR(TablaPrincipal[[#This Row],[FECHA]]-TablaPrincipal[[#This Row],[FECHA DE SIEMBRA]],"-")</f>
        <v>70</v>
      </c>
      <c r="K88" s="196">
        <f>VLOOKUP(TablaPrincipal[[#This Row],[CODIGO]]&amp;TablaPrincipal[[#This Row],[AGUAJE ]],Tabla4[#All],4,0)</f>
        <v>45981</v>
      </c>
      <c r="L88" s="183" t="str">
        <f>VLOOKUP(TablaPrincipal[[#This Row],[CODIGO]]&amp;TablaPrincipal[[#This Row],[AGUAJE ]],Tabla4[#All],15,0)</f>
        <v>WA PS 27</v>
      </c>
      <c r="M88" s="184">
        <f>VLOOKUP(TablaPrincipal[[#This Row],[CODIGO]]&amp;TablaPrincipal[[#This Row],[AGUAJE ]],Tabla4[#All],14,0)</f>
        <v>0.65</v>
      </c>
      <c r="N88" s="183">
        <v>26</v>
      </c>
      <c r="O88" s="170">
        <f>VLOOKUP(TablaPrincipal[[#This Row],[CODIGO]]&amp;TablaPrincipal[[#This Row],[AGUAJE ]],Tabla4[#All],5,0)</f>
        <v>577500</v>
      </c>
      <c r="P88" s="221">
        <f>IFERROR(TablaPrincipal[[#This Row],[ANIM SEMBRADOS]]/TablaPrincipal[[#This Row],[HAS]],"-")</f>
        <v>165000</v>
      </c>
      <c r="Q88" s="222">
        <f>IFERROR(TablaPrincipal[[#This Row],[DENSIDAD]]/10000,"-")</f>
        <v>16.5</v>
      </c>
      <c r="R88" s="183" t="str">
        <f>VLOOKUP(TablaPrincipal[[#This Row],[CODIGO]]&amp;TablaPrincipal[[#This Row],[AGUAJE ]],Tabla4[#All],8,0)</f>
        <v>TECSERV</v>
      </c>
      <c r="S88" s="183" t="str">
        <f>VLOOKUP(TablaPrincipal[[#This Row],[CODIGO]]&amp;TablaPrincipal[[#This Row],[AGUAJE ]],Tabla4[#All],7,0)</f>
        <v>TEXCUMAR</v>
      </c>
      <c r="T88" s="183" t="str">
        <f>IF(ISNUMBER(FIND("/",TablaPrincipal[[#This Row],[LABORATORIO]])),"COMBINADO","UNICO")</f>
        <v>UNICO</v>
      </c>
      <c r="U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8" s="185">
        <f>IFERROR(TablaPrincipal[[#This Row],[LIBRAS RALEO PLANTA]]/TablaPrincipal[[#This Row],[HAS]],"-")</f>
        <v>0</v>
      </c>
      <c r="Z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4350</v>
      </c>
      <c r="AB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4942.22</v>
      </c>
      <c r="AC88" s="186">
        <f>SUMIFS(COSECHAS!F:F,COSECHAS!A:A,'BASE 2026'!AW:AW,COSECHAS!G:G,"="&amp;A:A)</f>
        <v>34</v>
      </c>
      <c r="AD88" s="186">
        <f>SUMIFS(COSECHAS!M:M,COSECHAS!A:A,'BASE 2026'!AW:AW,COSECHAS!G:G,"="&amp;A:A)</f>
        <v>36.56</v>
      </c>
      <c r="AE88" s="185">
        <f>IFERROR(TablaPrincipal[[#This Row],[LIBRAS PLANTA]]/TablaPrincipal[[#This Row],[HAS]],"-")</f>
        <v>1412.0628571428572</v>
      </c>
      <c r="AF88" s="185">
        <f>IFERROR(TablaPrincipal[[#This Row],[LIBRAS PLANTA]]*454/TablaPrincipal[[#This Row],[GRAMOS PLANTA]],"-")</f>
        <v>61372.206783369795</v>
      </c>
      <c r="AG88" s="185">
        <f>TablaPrincipal[[#This Row],[LIBRAS RALEO PLANTA]]+TablaPrincipal[[#This Row],[LIBRAS PLANTA]]</f>
        <v>4942.22</v>
      </c>
      <c r="AH88" s="185">
        <f>IFERROR(TablaPrincipal[[#This Row],[CAM COSECHADOS RALEO]]+TablaPrincipal[[#This Row],[CAM COSECHADOS]],"-")</f>
        <v>61372.206783369795</v>
      </c>
      <c r="AI88" s="185">
        <f>IFERROR((TablaPrincipal[[#This Row],[LIBRAS RALEO PLANTA]]+TablaPrincipal[[#This Row],[LIBRAS PLANTA]])/TablaPrincipal[[#This Row],[HAS]],"0")</f>
        <v>1412.0628571428572</v>
      </c>
      <c r="AJ88" s="186">
        <f t="shared" si="1"/>
        <v>3.6560000000000001</v>
      </c>
      <c r="AK88" s="186">
        <f>IFERROR(TablaPrincipal[[#This Row],[LBS/HA]]/TablaPrincipal[[#This Row],[DIAS]],"-")</f>
        <v>20.172326530612246</v>
      </c>
      <c r="AL88" s="186">
        <f>IFERROR(TablaPrincipal[[#This Row],[CAM COSECHADOS TOTALES]]/TablaPrincipal[[#This Row],[ANIM SEMBRADOS]]*100,"-")</f>
        <v>10.627221953830269</v>
      </c>
      <c r="AM88" s="185">
        <v>15754.071600000001</v>
      </c>
      <c r="AN88" s="187">
        <f>IFERROR(((TablaPrincipal[[#This Row],[BALANCEADO ACUMULADO (LBS)]]/2.2046)/TablaPrincipal[[#This Row],[HAS]])/TablaPrincipal[[#This Row],[DIAS]],"-")</f>
        <v>29.167346938775513</v>
      </c>
      <c r="AO88" s="184">
        <f>IFERROR(TablaPrincipal[[#This Row],[BALANCEADO ACUMULADO (LBS)]]/TablaPrincipal[[#This Row],[LIBRAS TOTALES]],"-")</f>
        <v>3.1876508127926315</v>
      </c>
      <c r="AP88" s="184"/>
      <c r="AQ88" s="184" t="s">
        <v>123</v>
      </c>
      <c r="AR88" s="185">
        <f>TablaPrincipal[[#This Row],[LIBRAS RALEO PLANTA]]-TablaPrincipal[[#This Row],[LIBRAS RALEO CAMARONERA]]</f>
        <v>0</v>
      </c>
      <c r="AS88" s="185">
        <f>TablaPrincipal[[#This Row],[LIBRAS PLANTA]]-TablaPrincipal[[#This Row],[LIBRAS CAMARONERA]]</f>
        <v>592.22000000000025</v>
      </c>
      <c r="AT88" s="187">
        <f>TablaPrincipal[[#This Row],[GRAMAJE RALEO PLANTA]]-TablaPrincipal[[#This Row],[GRAMAJE RALEO CAMARONERA]]</f>
        <v>0</v>
      </c>
      <c r="AU88" s="187">
        <f>TablaPrincipal[[#This Row],[GRAMOS PLANTA]]-TablaPrincipal[[#This Row],[GRAMAJE CAMARONERA]]</f>
        <v>2.5600000000000023</v>
      </c>
      <c r="AV88" s="183" t="str">
        <f>+VLOOKUP(TablaPrincipal[[#This Row],[CODIGO]],TablaCosechas[#All],10,0)</f>
        <v>JUNIOR ESQUIVEL</v>
      </c>
      <c r="AW88" s="183" t="s">
        <v>190</v>
      </c>
      <c r="AX88" s="188" t="str">
        <f>+VLOOKUP(TablaPrincipal[[#This Row],[CODIGO]],TablaCosechas[#All],10,0)</f>
        <v>JUNIOR ESQUIVEL</v>
      </c>
    </row>
    <row r="89" spans="1:50" hidden="1" x14ac:dyDescent="0.25">
      <c r="A89" s="196">
        <v>46051</v>
      </c>
      <c r="B89" s="183">
        <v>87</v>
      </c>
      <c r="C89" s="183">
        <f>YEAR(TablaPrincipal[[#This Row],[FECHA]])</f>
        <v>2026</v>
      </c>
      <c r="D89" s="183" t="s">
        <v>186</v>
      </c>
      <c r="E89" s="183" t="str">
        <f>UPPER(TEXT(TablaPrincipal[[#This Row],[FECHA]],"MMMM"))</f>
        <v>ENERO</v>
      </c>
      <c r="F89" s="183" t="str">
        <f>IFERROR(VLOOKUP(TablaPrincipal[[#This Row],[CODIGO]],COSECHAS!A:J,9,0),"-")</f>
        <v>26</v>
      </c>
      <c r="G89" s="183" t="str">
        <f>IFERROR(VLOOKUP(TablaPrincipal[[#This Row],[CODIGO]],COSECHAS!A:I,8,0),"-")</f>
        <v>WAHOO</v>
      </c>
      <c r="H89" s="184">
        <f>IFERROR(VLOOKUP(TablaPrincipal[[#This Row],[CODIGO]],DATOS!A:B,2,0),"-")</f>
        <v>3.6</v>
      </c>
      <c r="I89" s="183" t="str">
        <f>IFERROR(VLOOKUP(TablaPrincipal[[#This Row],[CODIGO]],Tabla8[[#Headers],[#Data]],3,0),"-")</f>
        <v>CONVENCIONAL</v>
      </c>
      <c r="J89" s="183">
        <f>IFERROR(TablaPrincipal[[#This Row],[FECHA]]-TablaPrincipal[[#This Row],[FECHA DE SIEMBRA]],"-")</f>
        <v>70</v>
      </c>
      <c r="K89" s="196">
        <f>VLOOKUP(TablaPrincipal[[#This Row],[CODIGO]]&amp;TablaPrincipal[[#This Row],[AGUAJE ]],Tabla4[#All],4,0)</f>
        <v>45981</v>
      </c>
      <c r="L89" s="183" t="str">
        <f>VLOOKUP(TablaPrincipal[[#This Row],[CODIGO]]&amp;TablaPrincipal[[#This Row],[AGUAJE ]],Tabla4[#All],15,0)</f>
        <v>WA PS 27</v>
      </c>
      <c r="M89" s="184">
        <f>VLOOKUP(TablaPrincipal[[#This Row],[CODIGO]]&amp;TablaPrincipal[[#This Row],[AGUAJE ]],Tabla4[#All],14,0)</f>
        <v>0.65</v>
      </c>
      <c r="N89" s="183">
        <v>27</v>
      </c>
      <c r="O89" s="170">
        <f>VLOOKUP(TablaPrincipal[[#This Row],[CODIGO]]&amp;TablaPrincipal[[#This Row],[AGUAJE ]],Tabla4[#All],5,0)</f>
        <v>594000</v>
      </c>
      <c r="P89" s="221">
        <f>IFERROR(TablaPrincipal[[#This Row],[ANIM SEMBRADOS]]/TablaPrincipal[[#This Row],[HAS]],"-")</f>
        <v>165000</v>
      </c>
      <c r="Q89" s="222">
        <f>IFERROR(TablaPrincipal[[#This Row],[DENSIDAD]]/10000,"-")</f>
        <v>16.5</v>
      </c>
      <c r="R89" s="183" t="str">
        <f>VLOOKUP(TablaPrincipal[[#This Row],[CODIGO]]&amp;TablaPrincipal[[#This Row],[AGUAJE ]],Tabla4[#All],8,0)</f>
        <v>TECSERV</v>
      </c>
      <c r="S89" s="183" t="str">
        <f>VLOOKUP(TablaPrincipal[[#This Row],[CODIGO]]&amp;TablaPrincipal[[#This Row],[AGUAJE ]],Tabla4[#All],7,0)</f>
        <v>TEXCUMAR</v>
      </c>
      <c r="T89" s="183" t="str">
        <f>IF(ISNUMBER(FIND("/",TablaPrincipal[[#This Row],[LABORATORIO]])),"COMBINADO","UNICO")</f>
        <v>UNICO</v>
      </c>
      <c r="U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89" s="185">
        <f>IFERROR(TablaPrincipal[[#This Row],[LIBRAS RALEO PLANTA]]/TablaPrincipal[[#This Row],[HAS]],"-")</f>
        <v>0</v>
      </c>
      <c r="Z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8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8271.6299999999992</v>
      </c>
      <c r="AC89" s="186">
        <f>SUMIFS(COSECHAS!F:F,COSECHAS!A:A,'BASE 2026'!AW:AW,COSECHAS!G:G,"="&amp;A:A)</f>
        <v>29</v>
      </c>
      <c r="AD89" s="186">
        <f>SUMIFS(COSECHAS!M:M,COSECHAS!A:A,'BASE 2026'!AW:AW,COSECHAS!G:G,"="&amp;A:A)</f>
        <v>28.42</v>
      </c>
      <c r="AE89" s="185">
        <f>IFERROR(TablaPrincipal[[#This Row],[LIBRAS PLANTA]]/TablaPrincipal[[#This Row],[HAS]],"-")</f>
        <v>2297.6749999999997</v>
      </c>
      <c r="AF89" s="185">
        <f>IFERROR(TablaPrincipal[[#This Row],[LIBRAS PLANTA]]*454/TablaPrincipal[[#This Row],[GRAMOS PLANTA]],"-")</f>
        <v>132136.52427867695</v>
      </c>
      <c r="AG89" s="185">
        <f>TablaPrincipal[[#This Row],[LIBRAS RALEO PLANTA]]+TablaPrincipal[[#This Row],[LIBRAS PLANTA]]</f>
        <v>8271.6299999999992</v>
      </c>
      <c r="AH89" s="185">
        <f>IFERROR(TablaPrincipal[[#This Row],[CAM COSECHADOS RALEO]]+TablaPrincipal[[#This Row],[CAM COSECHADOS]],"-")</f>
        <v>132136.52427867695</v>
      </c>
      <c r="AI89" s="185">
        <f>IFERROR((TablaPrincipal[[#This Row],[LIBRAS RALEO PLANTA]]+TablaPrincipal[[#This Row],[LIBRAS PLANTA]])/TablaPrincipal[[#This Row],[HAS]],"0")</f>
        <v>2297.6749999999997</v>
      </c>
      <c r="AJ89" s="186">
        <f t="shared" si="1"/>
        <v>2.8420000000000001</v>
      </c>
      <c r="AK89" s="186">
        <f>IFERROR(TablaPrincipal[[#This Row],[LBS/HA]]/TablaPrincipal[[#This Row],[DIAS]],"-")</f>
        <v>32.823928571428567</v>
      </c>
      <c r="AL89" s="186">
        <f>IFERROR(TablaPrincipal[[#This Row],[CAM COSECHADOS TOTALES]]/TablaPrincipal[[#This Row],[ANIM SEMBRADOS]]*100,"-")</f>
        <v>22.245206107521373</v>
      </c>
      <c r="AM89" s="185">
        <v>21455.1672</v>
      </c>
      <c r="AN89" s="187">
        <f>IFERROR(((TablaPrincipal[[#This Row],[BALANCEADO ACUMULADO (LBS)]]/2.2046)/TablaPrincipal[[#This Row],[HAS]])/TablaPrincipal[[#This Row],[DIAS]],"-")</f>
        <v>38.61904761904762</v>
      </c>
      <c r="AO89" s="184">
        <f>IFERROR(TablaPrincipal[[#This Row],[BALANCEADO ACUMULADO (LBS)]]/TablaPrincipal[[#This Row],[LIBRAS TOTALES]],"-")</f>
        <v>2.593825787662166</v>
      </c>
      <c r="AP89" s="184"/>
      <c r="AQ89" s="184" t="s">
        <v>123</v>
      </c>
      <c r="AR89" s="185">
        <f>TablaPrincipal[[#This Row],[LIBRAS RALEO PLANTA]]-TablaPrincipal[[#This Row],[LIBRAS RALEO CAMARONERA]]</f>
        <v>0</v>
      </c>
      <c r="AS89" s="185">
        <f>TablaPrincipal[[#This Row],[LIBRAS PLANTA]]-TablaPrincipal[[#This Row],[LIBRAS CAMARONERA]]</f>
        <v>271.6299999999992</v>
      </c>
      <c r="AT89" s="187">
        <f>TablaPrincipal[[#This Row],[GRAMAJE RALEO PLANTA]]-TablaPrincipal[[#This Row],[GRAMAJE RALEO CAMARONERA]]</f>
        <v>0</v>
      </c>
      <c r="AU89" s="187">
        <f>TablaPrincipal[[#This Row],[GRAMOS PLANTA]]-TablaPrincipal[[#This Row],[GRAMAJE CAMARONERA]]</f>
        <v>-0.57999999999999829</v>
      </c>
      <c r="AV89" s="183" t="str">
        <f>+VLOOKUP(TablaPrincipal[[#This Row],[CODIGO]],TablaCosechas[#All],10,0)</f>
        <v>JUNIOR ESQUIVEL</v>
      </c>
      <c r="AW89" s="183" t="s">
        <v>191</v>
      </c>
      <c r="AX89" s="188" t="str">
        <f>+VLOOKUP(TablaPrincipal[[#This Row],[CODIGO]],TablaCosechas[#All],10,0)</f>
        <v>JUNIOR ESQUIVEL</v>
      </c>
    </row>
    <row r="90" spans="1:50" hidden="1" x14ac:dyDescent="0.25">
      <c r="A90" s="196">
        <v>46051</v>
      </c>
      <c r="B90" s="183">
        <v>88</v>
      </c>
      <c r="C90" s="183">
        <f>YEAR(TablaPrincipal[[#This Row],[FECHA]])</f>
        <v>2026</v>
      </c>
      <c r="D90" s="183" t="s">
        <v>186</v>
      </c>
      <c r="E90" s="183" t="str">
        <f>UPPER(TEXT(TablaPrincipal[[#This Row],[FECHA]],"MMMM"))</f>
        <v>ENERO</v>
      </c>
      <c r="F90" s="183" t="str">
        <f>IFERROR(VLOOKUP(TablaPrincipal[[#This Row],[CODIGO]],COSECHAS!A:J,9,0),"-")</f>
        <v>02</v>
      </c>
      <c r="G90" s="183" t="str">
        <f>IFERROR(VLOOKUP(TablaPrincipal[[#This Row],[CODIGO]],COSECHAS!A:I,8,0),"-")</f>
        <v>TUNA</v>
      </c>
      <c r="H90" s="184">
        <f>IFERROR(VLOOKUP(TablaPrincipal[[#This Row],[CODIGO]],DATOS!A:B,2,0),"-")</f>
        <v>4.3</v>
      </c>
      <c r="I90" s="183" t="str">
        <f>IFERROR(VLOOKUP(TablaPrincipal[[#This Row],[CODIGO]],Tabla8[[#Headers],[#Data]],3,0),"-")</f>
        <v>ASC-BAP</v>
      </c>
      <c r="J90" s="183">
        <f>IFERROR(TablaPrincipal[[#This Row],[FECHA]]-TablaPrincipal[[#This Row],[FECHA DE SIEMBRA]],"-")</f>
        <v>85</v>
      </c>
      <c r="K90" s="196">
        <f>VLOOKUP(TablaPrincipal[[#This Row],[CODIGO]]&amp;TablaPrincipal[[#This Row],[AGUAJE ]],Tabla4[#All],4,0)</f>
        <v>45966</v>
      </c>
      <c r="L90" s="183" t="str">
        <f>VLOOKUP(TablaPrincipal[[#This Row],[CODIGO]]&amp;TablaPrincipal[[#This Row],[AGUAJE ]],Tabla4[#All],15,0)</f>
        <v>PA PC 4</v>
      </c>
      <c r="M90" s="184">
        <f>VLOOKUP(TablaPrincipal[[#This Row],[CODIGO]]&amp;TablaPrincipal[[#This Row],[AGUAJE ]],Tabla4[#All],14,0)</f>
        <v>0.55000000000000004</v>
      </c>
      <c r="N90" s="183">
        <v>15</v>
      </c>
      <c r="O90" s="170">
        <f>VLOOKUP(TablaPrincipal[[#This Row],[CODIGO]]&amp;TablaPrincipal[[#This Row],[AGUAJE ]],Tabla4[#All],5,0)</f>
        <v>705454</v>
      </c>
      <c r="P90" s="221">
        <f>IFERROR(TablaPrincipal[[#This Row],[ANIM SEMBRADOS]]/TablaPrincipal[[#This Row],[HAS]],"-")</f>
        <v>164059.06976744186</v>
      </c>
      <c r="Q90" s="222">
        <f>IFERROR(TablaPrincipal[[#This Row],[DENSIDAD]]/10000,"-")</f>
        <v>16.405906976744188</v>
      </c>
      <c r="R90" s="183" t="str">
        <f>VLOOKUP(TablaPrincipal[[#This Row],[CODIGO]]&amp;TablaPrincipal[[#This Row],[AGUAJE ]],Tabla4[#All],8,0)</f>
        <v>TIBALLOSA</v>
      </c>
      <c r="S90" s="183" t="str">
        <f>VLOOKUP(TablaPrincipal[[#This Row],[CODIGO]]&amp;TablaPrincipal[[#This Row],[AGUAJE ]],Tabla4[#All],7,0)</f>
        <v>TEXCUMAR</v>
      </c>
      <c r="T90" s="183" t="str">
        <f>IF(ISNUMBER(FIND("/",TablaPrincipal[[#This Row],[LABORATORIO]])),"COMBINADO","UNICO")</f>
        <v>UNICO</v>
      </c>
      <c r="U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12800</v>
      </c>
      <c r="V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12366.150000000001</v>
      </c>
      <c r="W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22.92</v>
      </c>
      <c r="Y90" s="185">
        <f>IFERROR(TablaPrincipal[[#This Row],[LIBRAS RALEO PLANTA]]/TablaPrincipal[[#This Row],[HAS]],"-")</f>
        <v>2875.8488372093029</v>
      </c>
      <c r="Z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246806.56905907363</v>
      </c>
      <c r="AA9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18732</v>
      </c>
      <c r="AB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16137.41</v>
      </c>
      <c r="AC90" s="186">
        <f>SUMIFS(COSECHAS!F:F,COSECHAS!A:A,'BASE 2026'!AW:AW,COSECHAS!G:G,"="&amp;A:A)</f>
        <v>32</v>
      </c>
      <c r="AD90" s="186">
        <f>SUMIFS(COSECHAS!M:M,COSECHAS!A:A,'BASE 2026'!AW:AW,COSECHAS!G:G,"="&amp;A:A)</f>
        <v>36.35</v>
      </c>
      <c r="AE90" s="185">
        <f>IFERROR(TablaPrincipal[[#This Row],[LIBRAS PLANTA]]/TablaPrincipal[[#This Row],[HAS]],"-")</f>
        <v>3752.8860465116281</v>
      </c>
      <c r="AF90" s="185">
        <f>IFERROR(TablaPrincipal[[#This Row],[LIBRAS PLANTA]]*454/TablaPrincipal[[#This Row],[GRAMOS PLANTA]],"-")</f>
        <v>201551.14552957358</v>
      </c>
      <c r="AG90" s="185">
        <f>TablaPrincipal[[#This Row],[LIBRAS RALEO PLANTA]]+TablaPrincipal[[#This Row],[LIBRAS PLANTA]]</f>
        <v>28503.56</v>
      </c>
      <c r="AH90" s="185">
        <f>IFERROR(TablaPrincipal[[#This Row],[CAM COSECHADOS RALEO]]+TablaPrincipal[[#This Row],[CAM COSECHADOS]],"-")</f>
        <v>448357.71458864724</v>
      </c>
      <c r="AI90" s="185">
        <f>IFERROR((TablaPrincipal[[#This Row],[LIBRAS RALEO PLANTA]]+TablaPrincipal[[#This Row],[LIBRAS PLANTA]])/TablaPrincipal[[#This Row],[HAS]],"0")</f>
        <v>6628.7348837209311</v>
      </c>
      <c r="AJ90" s="186">
        <f t="shared" si="1"/>
        <v>2.993529411764706</v>
      </c>
      <c r="AK90" s="186">
        <f>IFERROR(TablaPrincipal[[#This Row],[LBS/HA]]/TablaPrincipal[[#This Row],[DIAS]],"-")</f>
        <v>77.985116279069771</v>
      </c>
      <c r="AL90" s="186">
        <f>IFERROR(TablaPrincipal[[#This Row],[CAM COSECHADOS TOTALES]]/TablaPrincipal[[#This Row],[ANIM SEMBRADOS]]*100,"-")</f>
        <v>63.555910745228928</v>
      </c>
      <c r="AM90" s="185">
        <v>41777.170000000006</v>
      </c>
      <c r="AN90" s="187">
        <f>IFERROR(((TablaPrincipal[[#This Row],[BALANCEADO ACUMULADO (LBS)]]/2.2046)/TablaPrincipal[[#This Row],[HAS]])/TablaPrincipal[[#This Row],[DIAS]],"-")</f>
        <v>51.8467852257182</v>
      </c>
      <c r="AO90" s="184">
        <f>IFERROR(TablaPrincipal[[#This Row],[BALANCEADO ACUMULADO (LBS)]]/TablaPrincipal[[#This Row],[LIBRAS TOTALES]],"-")</f>
        <v>1.4656825322871951</v>
      </c>
      <c r="AP90" s="184"/>
      <c r="AQ90" s="184" t="s">
        <v>105</v>
      </c>
      <c r="AR90" s="185">
        <f>TablaPrincipal[[#This Row],[LIBRAS RALEO PLANTA]]-TablaPrincipal[[#This Row],[LIBRAS RALEO CAMARONERA]]</f>
        <v>-433.84999999999854</v>
      </c>
      <c r="AS90" s="185">
        <f>TablaPrincipal[[#This Row],[LIBRAS PLANTA]]-TablaPrincipal[[#This Row],[LIBRAS CAMARONERA]]</f>
        <v>-2594.59</v>
      </c>
      <c r="AT90" s="187">
        <f>TablaPrincipal[[#This Row],[GRAMAJE RALEO PLANTA]]-TablaPrincipal[[#This Row],[GRAMAJE RALEO CAMARONERA]]</f>
        <v>0.92000000000000171</v>
      </c>
      <c r="AU90" s="187">
        <f>TablaPrincipal[[#This Row],[GRAMOS PLANTA]]-TablaPrincipal[[#This Row],[GRAMAJE CAMARONERA]]</f>
        <v>4.3500000000000014</v>
      </c>
      <c r="AV90" s="183" t="str">
        <f>+VLOOKUP(TablaPrincipal[[#This Row],[CODIGO]],TablaCosechas[#All],10,0)</f>
        <v>GUSTAVO CARRASCO</v>
      </c>
      <c r="AW90" s="183" t="s">
        <v>192</v>
      </c>
      <c r="AX90" s="188" t="str">
        <f>+VLOOKUP(TablaPrincipal[[#This Row],[CODIGO]],TablaCosechas[#All],10,0)</f>
        <v>GUSTAVO CARRASCO</v>
      </c>
    </row>
    <row r="91" spans="1:50" hidden="1" x14ac:dyDescent="0.25">
      <c r="A91" s="196">
        <v>46052</v>
      </c>
      <c r="B91" s="183">
        <v>89</v>
      </c>
      <c r="C91" s="183">
        <f>YEAR(TablaPrincipal[[#This Row],[FECHA]])</f>
        <v>2026</v>
      </c>
      <c r="D91" s="183" t="s">
        <v>186</v>
      </c>
      <c r="E91" s="183" t="str">
        <f>UPPER(TEXT(TablaPrincipal[[#This Row],[FECHA]],"MMMM"))</f>
        <v>ENERO</v>
      </c>
      <c r="F91" s="183" t="str">
        <f>IFERROR(VLOOKUP(TablaPrincipal[[#This Row],[CODIGO]],COSECHAS!A:J,9,0),"-")</f>
        <v>04</v>
      </c>
      <c r="G91" s="183" t="str">
        <f>IFERROR(VLOOKUP(TablaPrincipal[[#This Row],[CODIGO]],COSECHAS!A:I,8,0),"-")</f>
        <v>CHERNA</v>
      </c>
      <c r="H91" s="184">
        <f>IFERROR(VLOOKUP(TablaPrincipal[[#This Row],[CODIGO]],DATOS!A:B,2,0),"-")</f>
        <v>4.82</v>
      </c>
      <c r="I91" s="183" t="str">
        <f>IFERROR(VLOOKUP(TablaPrincipal[[#This Row],[CODIGO]],Tabla8[[#Headers],[#Data]],3,0),"-")</f>
        <v>ASC</v>
      </c>
      <c r="J91" s="183">
        <f>IFERROR(TablaPrincipal[[#This Row],[FECHA]]-TablaPrincipal[[#This Row],[FECHA DE SIEMBRA]],"-")</f>
        <v>79</v>
      </c>
      <c r="K91" s="196">
        <f>VLOOKUP(TablaPrincipal[[#This Row],[CODIGO]]&amp;TablaPrincipal[[#This Row],[AGUAJE ]],Tabla4[#All],4,0)</f>
        <v>45973</v>
      </c>
      <c r="L91" s="183" t="str">
        <f>VLOOKUP(TablaPrincipal[[#This Row],[CODIGO]]&amp;TablaPrincipal[[#This Row],[AGUAJE ]],Tabla4[#All],15,0)</f>
        <v>CH PC 2</v>
      </c>
      <c r="M91" s="184">
        <f>VLOOKUP(TablaPrincipal[[#This Row],[CODIGO]]&amp;TablaPrincipal[[#This Row],[AGUAJE ]],Tabla4[#All],14,0)</f>
        <v>0.53</v>
      </c>
      <c r="N91" s="183">
        <v>5</v>
      </c>
      <c r="O91" s="170">
        <f>VLOOKUP(TablaPrincipal[[#This Row],[CODIGO]]&amp;TablaPrincipal[[#This Row],[AGUAJE ]],Tabla4[#All],5,0)</f>
        <v>964000</v>
      </c>
      <c r="P91" s="221">
        <f>IFERROR(TablaPrincipal[[#This Row],[ANIM SEMBRADOS]]/TablaPrincipal[[#This Row],[HAS]],"-")</f>
        <v>200000</v>
      </c>
      <c r="Q91" s="222">
        <f>IFERROR(TablaPrincipal[[#This Row],[DENSIDAD]]/10000,"-")</f>
        <v>20</v>
      </c>
      <c r="R91" s="183" t="str">
        <f>VLOOKUP(TablaPrincipal[[#This Row],[CODIGO]]&amp;TablaPrincipal[[#This Row],[AGUAJE ]],Tabla4[#All],8,0)</f>
        <v>BIOLACAM</v>
      </c>
      <c r="S91" s="183" t="str">
        <f>VLOOKUP(TablaPrincipal[[#This Row],[CODIGO]]&amp;TablaPrincipal[[#This Row],[AGUAJE ]],Tabla4[#All],7,0)</f>
        <v>TEXCUMAR</v>
      </c>
      <c r="T91" s="183" t="str">
        <f>IF(ISNUMBER(FIND("/",TablaPrincipal[[#This Row],[LABORATORIO]])),"COMBINADO","UNICO")</f>
        <v>UNICO</v>
      </c>
      <c r="U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13200</v>
      </c>
      <c r="V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13082.45</v>
      </c>
      <c r="W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22.86</v>
      </c>
      <c r="Y91" s="185">
        <f>IFERROR(TablaPrincipal[[#This Row],[LIBRAS RALEO PLANTA]]/TablaPrincipal[[#This Row],[HAS]],"-")</f>
        <v>2714.2012448132782</v>
      </c>
      <c r="Z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267092.28827126184</v>
      </c>
      <c r="AA9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26650</v>
      </c>
      <c r="AB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27982.99</v>
      </c>
      <c r="AC91" s="186">
        <f>SUMIFS(COSECHAS!F:F,COSECHAS!A:A,'BASE 2026'!AW:AW,COSECHAS!G:G,"="&amp;A:A)</f>
        <v>29</v>
      </c>
      <c r="AD91" s="186">
        <f>SUMIFS(COSECHAS!M:M,COSECHAS!A:A,'BASE 2026'!AW:AW,COSECHAS!G:G,"="&amp;A:A)</f>
        <v>30.22</v>
      </c>
      <c r="AE91" s="185">
        <f>IFERROR(TablaPrincipal[[#This Row],[LIBRAS PLANTA]]/TablaPrincipal[[#This Row],[HAS]],"-")</f>
        <v>5805.5995850622403</v>
      </c>
      <c r="AF91" s="185">
        <f>IFERROR(TablaPrincipal[[#This Row],[LIBRAS PLANTA]]*454/TablaPrincipal[[#This Row],[GRAMOS PLANTA]],"-")</f>
        <v>420393.0330906685</v>
      </c>
      <c r="AG91" s="185">
        <f>TablaPrincipal[[#This Row],[LIBRAS RALEO PLANTA]]+TablaPrincipal[[#This Row],[LIBRAS PLANTA]]</f>
        <v>41065.440000000002</v>
      </c>
      <c r="AH91" s="185">
        <f>IFERROR(TablaPrincipal[[#This Row],[CAM COSECHADOS RALEO]]+TablaPrincipal[[#This Row],[CAM COSECHADOS]],"-")</f>
        <v>687485.32136193034</v>
      </c>
      <c r="AI91" s="185">
        <f>IFERROR((TablaPrincipal[[#This Row],[LIBRAS RALEO PLANTA]]+TablaPrincipal[[#This Row],[LIBRAS PLANTA]])/TablaPrincipal[[#This Row],[HAS]],"0")</f>
        <v>8519.8008298755194</v>
      </c>
      <c r="AJ91" s="186">
        <f t="shared" si="1"/>
        <v>2.6777215189873416</v>
      </c>
      <c r="AK91" s="186">
        <f>IFERROR(TablaPrincipal[[#This Row],[LBS/HA]]/TablaPrincipal[[#This Row],[DIAS]],"-")</f>
        <v>107.84558012500658</v>
      </c>
      <c r="AL91" s="186">
        <f>IFERROR(TablaPrincipal[[#This Row],[CAM COSECHADOS TOTALES]]/TablaPrincipal[[#This Row],[ANIM SEMBRADOS]]*100,"-")</f>
        <v>71.315904705594434</v>
      </c>
      <c r="AM91" s="185">
        <v>59854.890000000007</v>
      </c>
      <c r="AN91" s="187">
        <f>IFERROR(((TablaPrincipal[[#This Row],[BALANCEADO ACUMULADO (LBS)]]/2.2046)/TablaPrincipal[[#This Row],[HAS]])/TablaPrincipal[[#This Row],[DIAS]],"-")</f>
        <v>71.301013708703181</v>
      </c>
      <c r="AO91" s="184">
        <f>IFERROR(TablaPrincipal[[#This Row],[BALANCEADO ACUMULADO (LBS)]]/TablaPrincipal[[#This Row],[LIBRAS TOTALES]],"-")</f>
        <v>1.4575489754888784</v>
      </c>
      <c r="AP91" s="184"/>
      <c r="AQ91" s="184" t="s">
        <v>105</v>
      </c>
      <c r="AR91" s="185">
        <f>TablaPrincipal[[#This Row],[LIBRAS RALEO PLANTA]]-TablaPrincipal[[#This Row],[LIBRAS RALEO CAMARONERA]]</f>
        <v>-117.54999999999927</v>
      </c>
      <c r="AS91" s="185">
        <f>TablaPrincipal[[#This Row],[LIBRAS PLANTA]]-TablaPrincipal[[#This Row],[LIBRAS CAMARONERA]]</f>
        <v>1332.9900000000016</v>
      </c>
      <c r="AT91" s="187">
        <f>TablaPrincipal[[#This Row],[GRAMAJE RALEO PLANTA]]-TablaPrincipal[[#This Row],[GRAMAJE RALEO CAMARONERA]]</f>
        <v>0.35999999999999943</v>
      </c>
      <c r="AU91" s="187">
        <f>TablaPrincipal[[#This Row],[GRAMOS PLANTA]]-TablaPrincipal[[#This Row],[GRAMAJE CAMARONERA]]</f>
        <v>1.2199999999999989</v>
      </c>
      <c r="AV91" s="183" t="str">
        <f>+VLOOKUP(TablaPrincipal[[#This Row],[CODIGO]],TablaCosechas[#All],10,0)</f>
        <v>SANTIAGO OBRIEN</v>
      </c>
      <c r="AW91" s="183" t="s">
        <v>10</v>
      </c>
      <c r="AX91" s="188" t="str">
        <f>+VLOOKUP(TablaPrincipal[[#This Row],[CODIGO]],TablaCosechas[#All],10,0)</f>
        <v>SANTIAGO OBRIEN</v>
      </c>
    </row>
    <row r="92" spans="1:50" hidden="1" x14ac:dyDescent="0.25">
      <c r="A92" s="196">
        <v>46052</v>
      </c>
      <c r="B92" s="183">
        <v>90</v>
      </c>
      <c r="C92" s="183">
        <f>YEAR(TablaPrincipal[[#This Row],[FECHA]])</f>
        <v>2026</v>
      </c>
      <c r="D92" s="183" t="s">
        <v>186</v>
      </c>
      <c r="E92" s="183" t="str">
        <f>UPPER(TEXT(TablaPrincipal[[#This Row],[FECHA]],"MMMM"))</f>
        <v>ENERO</v>
      </c>
      <c r="F92" s="183" t="str">
        <f>IFERROR(VLOOKUP(TablaPrincipal[[#This Row],[CODIGO]],COSECHAS!A:J,9,0),"-")</f>
        <v>08</v>
      </c>
      <c r="G92" s="183" t="str">
        <f>IFERROR(VLOOKUP(TablaPrincipal[[#This Row],[CODIGO]],COSECHAS!A:I,8,0),"-")</f>
        <v>CHERNA</v>
      </c>
      <c r="H92" s="184">
        <f>IFERROR(VLOOKUP(TablaPrincipal[[#This Row],[CODIGO]],DATOS!A:B,2,0),"-")</f>
        <v>2.4</v>
      </c>
      <c r="I92" s="183" t="str">
        <f>IFERROR(VLOOKUP(TablaPrincipal[[#This Row],[CODIGO]],Tabla8[[#Headers],[#Data]],3,0),"-")</f>
        <v>ASC</v>
      </c>
      <c r="J92" s="183">
        <f>IFERROR(TablaPrincipal[[#This Row],[FECHA]]-TablaPrincipal[[#This Row],[FECHA DE SIEMBRA]],"-")</f>
        <v>78</v>
      </c>
      <c r="K92" s="196">
        <f>VLOOKUP(TablaPrincipal[[#This Row],[CODIGO]]&amp;TablaPrincipal[[#This Row],[AGUAJE ]],Tabla4[#All],4,0)</f>
        <v>45974</v>
      </c>
      <c r="L92" s="183" t="str">
        <f>VLOOKUP(TablaPrincipal[[#This Row],[CODIGO]]&amp;TablaPrincipal[[#This Row],[AGUAJE ]],Tabla4[#All],15,0)</f>
        <v>CH PC 5</v>
      </c>
      <c r="M92" s="184">
        <f>VLOOKUP(TablaPrincipal[[#This Row],[CODIGO]]&amp;TablaPrincipal[[#This Row],[AGUAJE ]],Tabla4[#All],14,0)</f>
        <v>0.65</v>
      </c>
      <c r="N92" s="183">
        <v>7</v>
      </c>
      <c r="O92" s="170">
        <f>VLOOKUP(TablaPrincipal[[#This Row],[CODIGO]]&amp;TablaPrincipal[[#This Row],[AGUAJE ]],Tabla4[#All],5,0)</f>
        <v>432000</v>
      </c>
      <c r="P92" s="221">
        <f>IFERROR(TablaPrincipal[[#This Row],[ANIM SEMBRADOS]]/TablaPrincipal[[#This Row],[HAS]],"-")</f>
        <v>180000</v>
      </c>
      <c r="Q92" s="222">
        <f>IFERROR(TablaPrincipal[[#This Row],[DENSIDAD]]/10000,"-")</f>
        <v>18</v>
      </c>
      <c r="R92" s="183" t="str">
        <f>VLOOKUP(TablaPrincipal[[#This Row],[CODIGO]]&amp;TablaPrincipal[[#This Row],[AGUAJE ]],Tabla4[#All],8,0)</f>
        <v>BIOLACAM</v>
      </c>
      <c r="S92" s="183" t="str">
        <f>VLOOKUP(TablaPrincipal[[#This Row],[CODIGO]]&amp;TablaPrincipal[[#This Row],[AGUAJE ]],Tabla4[#All],7,0)</f>
        <v>TEXCUMAR</v>
      </c>
      <c r="T92" s="183" t="str">
        <f>IF(ISNUMBER(FIND("/",TablaPrincipal[[#This Row],[LABORATORIO]])),"COMBINADO","UNICO")</f>
        <v>UNICO</v>
      </c>
      <c r="U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5800</v>
      </c>
      <c r="V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5835.8600000000006</v>
      </c>
      <c r="W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92" s="185">
        <f>IFERROR(TablaPrincipal[[#This Row],[LIBRAS RALEO PLANTA]]/TablaPrincipal[[#This Row],[HAS]],"-")</f>
        <v>2431.6083333333336</v>
      </c>
      <c r="Z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114326.60641795311</v>
      </c>
      <c r="AA9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12050</v>
      </c>
      <c r="AB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11785.32</v>
      </c>
      <c r="AC92" s="186">
        <f>SUMIFS(COSECHAS!F:F,COSECHAS!A:A,'BASE 2026'!AW:AW,COSECHAS!G:G,"="&amp;A:A)</f>
        <v>31</v>
      </c>
      <c r="AD92" s="186">
        <f>SUMIFS(COSECHAS!M:M,COSECHAS!A:A,'BASE 2026'!AW:AW,COSECHAS!G:G,"="&amp;A:A)</f>
        <v>32.409999999999997</v>
      </c>
      <c r="AE92" s="185">
        <f>IFERROR(TablaPrincipal[[#This Row],[LIBRAS PLANTA]]/TablaPrincipal[[#This Row],[HAS]],"-")</f>
        <v>4910.55</v>
      </c>
      <c r="AF92" s="185">
        <f>IFERROR(TablaPrincipal[[#This Row],[LIBRAS PLANTA]]*454/TablaPrincipal[[#This Row],[GRAMOS PLANTA]],"-")</f>
        <v>165089.02437519288</v>
      </c>
      <c r="AG92" s="185">
        <f>TablaPrincipal[[#This Row],[LIBRAS RALEO PLANTA]]+TablaPrincipal[[#This Row],[LIBRAS PLANTA]]</f>
        <v>17621.18</v>
      </c>
      <c r="AH92" s="185">
        <f>IFERROR(TablaPrincipal[[#This Row],[CAM COSECHADOS RALEO]]+TablaPrincipal[[#This Row],[CAM COSECHADOS]],"-")</f>
        <v>279415.63079314597</v>
      </c>
      <c r="AI92" s="185">
        <f>IFERROR((TablaPrincipal[[#This Row],[LIBRAS RALEO PLANTA]]+TablaPrincipal[[#This Row],[LIBRAS PLANTA]])/TablaPrincipal[[#This Row],[HAS]],"0")</f>
        <v>7342.1583333333338</v>
      </c>
      <c r="AJ92" s="186">
        <f t="shared" si="1"/>
        <v>2.9085897435897432</v>
      </c>
      <c r="AK92" s="186">
        <f>IFERROR(TablaPrincipal[[#This Row],[LBS/HA]]/TablaPrincipal[[#This Row],[DIAS]],"-")</f>
        <v>94.130235042735052</v>
      </c>
      <c r="AL92" s="186">
        <f>IFERROR(TablaPrincipal[[#This Row],[CAM COSECHADOS TOTALES]]/TablaPrincipal[[#This Row],[ANIM SEMBRADOS]]*100,"-")</f>
        <v>64.679544165080088</v>
      </c>
      <c r="AM92" s="185">
        <v>27502.385000000002</v>
      </c>
      <c r="AN92" s="187">
        <f>IFERROR(((TablaPrincipal[[#This Row],[BALANCEADO ACUMULADO (LBS)]]/2.2046)/TablaPrincipal[[#This Row],[HAS]])/TablaPrincipal[[#This Row],[DIAS]],"-")</f>
        <v>66.639957264957275</v>
      </c>
      <c r="AO92" s="184">
        <f>IFERROR(TablaPrincipal[[#This Row],[BALANCEADO ACUMULADO (LBS)]]/TablaPrincipal[[#This Row],[LIBRAS TOTALES]],"-")</f>
        <v>1.5607572818619413</v>
      </c>
      <c r="AP92" s="184"/>
      <c r="AQ92" s="184" t="s">
        <v>105</v>
      </c>
      <c r="AR92" s="185">
        <f>TablaPrincipal[[#This Row],[LIBRAS RALEO PLANTA]]-TablaPrincipal[[#This Row],[LIBRAS RALEO CAMARONERA]]</f>
        <v>35.860000000000582</v>
      </c>
      <c r="AS92" s="185">
        <f>TablaPrincipal[[#This Row],[LIBRAS PLANTA]]-TablaPrincipal[[#This Row],[LIBRAS CAMARONERA]]</f>
        <v>-264.68000000000029</v>
      </c>
      <c r="AT92" s="187">
        <f>TablaPrincipal[[#This Row],[GRAMAJE RALEO PLANTA]]-TablaPrincipal[[#This Row],[GRAMAJE RALEO CAMARONERA]]</f>
        <v>0.39000000000000057</v>
      </c>
      <c r="AU92" s="187">
        <f>TablaPrincipal[[#This Row],[GRAMOS PLANTA]]-TablaPrincipal[[#This Row],[GRAMAJE CAMARONERA]]</f>
        <v>1.4099999999999966</v>
      </c>
      <c r="AV92" s="183" t="str">
        <f>+VLOOKUP(TablaPrincipal[[#This Row],[CODIGO]],TablaCosechas[#All],10,0)</f>
        <v>SANTIAGO OBRIEN</v>
      </c>
      <c r="AW92" s="183" t="s">
        <v>14</v>
      </c>
      <c r="AX92" s="188" t="str">
        <f>+VLOOKUP(TablaPrincipal[[#This Row],[CODIGO]],TablaCosechas[#All],10,0)</f>
        <v>SANTIAGO OBRIEN</v>
      </c>
    </row>
    <row r="93" spans="1:50" hidden="1" x14ac:dyDescent="0.25">
      <c r="A93" s="196">
        <v>46052</v>
      </c>
      <c r="B93" s="183">
        <v>91</v>
      </c>
      <c r="C93" s="183">
        <f>YEAR(TablaPrincipal[[#This Row],[FECHA]])</f>
        <v>2026</v>
      </c>
      <c r="D93" s="183" t="s">
        <v>186</v>
      </c>
      <c r="E93" s="183" t="str">
        <f>UPPER(TEXT(TablaPrincipal[[#This Row],[FECHA]],"MMMM"))</f>
        <v>ENERO</v>
      </c>
      <c r="F93" s="183" t="str">
        <f>IFERROR(VLOOKUP(TablaPrincipal[[#This Row],[CODIGO]],COSECHAS!A:J,9,0),"-")</f>
        <v>21</v>
      </c>
      <c r="G93" s="183" t="str">
        <f>IFERROR(VLOOKUP(TablaPrincipal[[#This Row],[CODIGO]],COSECHAS!A:I,8,0),"-")</f>
        <v>DELFIN</v>
      </c>
      <c r="H93" s="184">
        <f>IFERROR(VLOOKUP(TablaPrincipal[[#This Row],[CODIGO]],DATOS!A:B,2,0),"-")</f>
        <v>5.4</v>
      </c>
      <c r="I93" s="183" t="str">
        <f>IFERROR(VLOOKUP(TablaPrincipal[[#This Row],[CODIGO]],Tabla8[[#Headers],[#Data]],3,0),"-")</f>
        <v>CONVENCIONAL</v>
      </c>
      <c r="J93" s="183">
        <f>IFERROR(TablaPrincipal[[#This Row],[FECHA]]-TablaPrincipal[[#This Row],[FECHA DE SIEMBRA]],"-")</f>
        <v>87</v>
      </c>
      <c r="K93" s="196">
        <f>VLOOKUP(TablaPrincipal[[#This Row],[CODIGO]]&amp;TablaPrincipal[[#This Row],[AGUAJE ]],Tabla4[#All],4,0)</f>
        <v>45965</v>
      </c>
      <c r="L93" s="183" t="str">
        <f>VLOOKUP(TablaPrincipal[[#This Row],[CODIGO]]&amp;TablaPrincipal[[#This Row],[AGUAJE ]],Tabla4[#All],15,0)</f>
        <v>DE PC 25</v>
      </c>
      <c r="M93" s="184">
        <f>VLOOKUP(TablaPrincipal[[#This Row],[CODIGO]]&amp;TablaPrincipal[[#This Row],[AGUAJE ]],Tabla4[#All],14,0)</f>
        <v>0.55000000000000004</v>
      </c>
      <c r="N93" s="183">
        <v>11</v>
      </c>
      <c r="O93" s="170">
        <f>VLOOKUP(TablaPrincipal[[#This Row],[CODIGO]]&amp;TablaPrincipal[[#This Row],[AGUAJE ]],Tabla4[#All],5,0)</f>
        <v>954965</v>
      </c>
      <c r="P93" s="221">
        <f>IFERROR(TablaPrincipal[[#This Row],[ANIM SEMBRADOS]]/TablaPrincipal[[#This Row],[HAS]],"-")</f>
        <v>176845.37037037036</v>
      </c>
      <c r="Q93" s="222">
        <f>IFERROR(TablaPrincipal[[#This Row],[DENSIDAD]]/10000,"-")</f>
        <v>17.684537037037035</v>
      </c>
      <c r="R93" s="183" t="str">
        <f>VLOOKUP(TablaPrincipal[[#This Row],[CODIGO]]&amp;TablaPrincipal[[#This Row],[AGUAJE ]],Tabla4[#All],8,0)</f>
        <v>TECSERV</v>
      </c>
      <c r="S93" s="183" t="str">
        <f>VLOOKUP(TablaPrincipal[[#This Row],[CODIGO]]&amp;TablaPrincipal[[#This Row],[AGUAJE ]],Tabla4[#All],7,0)</f>
        <v>EMPAGRAN - SEMACUA</v>
      </c>
      <c r="T93" s="183" t="str">
        <f>IF(ISNUMBER(FIND("/",TablaPrincipal[[#This Row],[LABORATORIO]])),"COMBINADO","UNICO")</f>
        <v>UNICO</v>
      </c>
      <c r="U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7000</v>
      </c>
      <c r="V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6857.06</v>
      </c>
      <c r="W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22.34</v>
      </c>
      <c r="Y93" s="185">
        <f>IFERROR(TablaPrincipal[[#This Row],[LIBRAS RALEO PLANTA]]/TablaPrincipal[[#This Row],[HAS]],"-")</f>
        <v>1269.825925925926</v>
      </c>
      <c r="Z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139351.17457475382</v>
      </c>
      <c r="AA9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B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25343.14</v>
      </c>
      <c r="AC93" s="186">
        <f>SUMIFS(COSECHAS!F:F,COSECHAS!A:A,'BASE 2026'!AW:AW,COSECHAS!G:G,"="&amp;A:A)</f>
        <v>32</v>
      </c>
      <c r="AD93" s="186">
        <f>SUMIFS(COSECHAS!M:M,COSECHAS!A:A,'BASE 2026'!AW:AW,COSECHAS!G:G,"="&amp;A:A)</f>
        <v>33.299999999999997</v>
      </c>
      <c r="AE93" s="185">
        <f>IFERROR(TablaPrincipal[[#This Row],[LIBRAS PLANTA]]/TablaPrincipal[[#This Row],[HAS]],"-")</f>
        <v>4693.1740740740734</v>
      </c>
      <c r="AF93" s="185">
        <f>IFERROR(TablaPrincipal[[#This Row],[LIBRAS PLANTA]]*454/TablaPrincipal[[#This Row],[GRAMOS PLANTA]],"-")</f>
        <v>345519.08588588593</v>
      </c>
      <c r="AG93" s="185">
        <f>TablaPrincipal[[#This Row],[LIBRAS RALEO PLANTA]]+TablaPrincipal[[#This Row],[LIBRAS PLANTA]]</f>
        <v>32200.2</v>
      </c>
      <c r="AH93" s="185">
        <f>IFERROR(TablaPrincipal[[#This Row],[CAM COSECHADOS RALEO]]+TablaPrincipal[[#This Row],[CAM COSECHADOS]],"-")</f>
        <v>484870.26046063972</v>
      </c>
      <c r="AI93" s="185">
        <f>IFERROR((TablaPrincipal[[#This Row],[LIBRAS RALEO PLANTA]]+TablaPrincipal[[#This Row],[LIBRAS PLANTA]])/TablaPrincipal[[#This Row],[HAS]],"0")</f>
        <v>5963</v>
      </c>
      <c r="AJ93" s="186">
        <f t="shared" si="1"/>
        <v>2.6793103448275861</v>
      </c>
      <c r="AK93" s="186">
        <f>IFERROR(TablaPrincipal[[#This Row],[LBS/HA]]/TablaPrincipal[[#This Row],[DIAS]],"-")</f>
        <v>68.540229885057471</v>
      </c>
      <c r="AL93" s="186">
        <f>IFERROR(TablaPrincipal[[#This Row],[CAM COSECHADOS TOTALES]]/TablaPrincipal[[#This Row],[ANIM SEMBRADOS]]*100,"-")</f>
        <v>50.773615835202314</v>
      </c>
      <c r="AM93" s="185">
        <v>59193.51</v>
      </c>
      <c r="AN93" s="187">
        <f>IFERROR(((TablaPrincipal[[#This Row],[BALANCEADO ACUMULADO (LBS)]]/2.2046)/TablaPrincipal[[#This Row],[HAS]])/TablaPrincipal[[#This Row],[DIAS]],"-")</f>
        <v>57.151979565772663</v>
      </c>
      <c r="AO93" s="184">
        <f>IFERROR(TablaPrincipal[[#This Row],[BALANCEADO ACUMULADO (LBS)]]/TablaPrincipal[[#This Row],[LIBRAS TOTALES]],"-")</f>
        <v>1.8382963459854287</v>
      </c>
      <c r="AP93" s="184"/>
      <c r="AQ93" s="184" t="s">
        <v>105</v>
      </c>
      <c r="AR93" s="185">
        <f>TablaPrincipal[[#This Row],[LIBRAS RALEO PLANTA]]-TablaPrincipal[[#This Row],[LIBRAS RALEO CAMARONERA]]</f>
        <v>-142.9399999999996</v>
      </c>
      <c r="AS93" s="185">
        <f>TablaPrincipal[[#This Row],[LIBRAS PLANTA]]-TablaPrincipal[[#This Row],[LIBRAS CAMARONERA]]</f>
        <v>3143.1399999999994</v>
      </c>
      <c r="AT93" s="187">
        <f>TablaPrincipal[[#This Row],[GRAMAJE RALEO PLANTA]]-TablaPrincipal[[#This Row],[GRAMAJE RALEO CAMARONERA]]</f>
        <v>-0.66000000000000014</v>
      </c>
      <c r="AU93" s="187">
        <f>TablaPrincipal[[#This Row],[GRAMOS PLANTA]]-TablaPrincipal[[#This Row],[GRAMAJE CAMARONERA]]</f>
        <v>1.2999999999999972</v>
      </c>
      <c r="AV93" s="183" t="str">
        <f>+VLOOKUP(TablaPrincipal[[#This Row],[CODIGO]],TablaCosechas[#All],10,0)</f>
        <v>CARLOS FLORES</v>
      </c>
      <c r="AW93" s="183" t="s">
        <v>193</v>
      </c>
      <c r="AX93" s="188" t="str">
        <f>+VLOOKUP(TablaPrincipal[[#This Row],[CODIGO]],TablaCosechas[#All],10,0)</f>
        <v>CARLOS FLORES</v>
      </c>
    </row>
    <row r="94" spans="1:50" hidden="1" x14ac:dyDescent="0.25">
      <c r="A94" s="196">
        <v>46053</v>
      </c>
      <c r="B94" s="183">
        <v>92</v>
      </c>
      <c r="C94" s="183">
        <f>YEAR(TablaPrincipal[[#This Row],[FECHA]])</f>
        <v>2026</v>
      </c>
      <c r="D94" s="183" t="s">
        <v>186</v>
      </c>
      <c r="E94" s="183" t="str">
        <f>UPPER(TEXT(TablaPrincipal[[#This Row],[FECHA]],"MMMM"))</f>
        <v>ENERO</v>
      </c>
      <c r="F94" s="183" t="str">
        <f>IFERROR(VLOOKUP(TablaPrincipal[[#This Row],[CODIGO]],COSECHAS!A:J,9,0),"-")</f>
        <v>20</v>
      </c>
      <c r="G94" s="183" t="str">
        <f>IFERROR(VLOOKUP(TablaPrincipal[[#This Row],[CODIGO]],COSECHAS!A:I,8,0),"-")</f>
        <v>DELFIN</v>
      </c>
      <c r="H94" s="184">
        <f>IFERROR(VLOOKUP(TablaPrincipal[[#This Row],[CODIGO]],DATOS!A:B,2,0),"-")</f>
        <v>3.8</v>
      </c>
      <c r="I94" s="183" t="str">
        <f>IFERROR(VLOOKUP(TablaPrincipal[[#This Row],[CODIGO]],Tabla8[[#Headers],[#Data]],3,0),"-")</f>
        <v>CONVENCIONAL</v>
      </c>
      <c r="J94" s="183">
        <f>IFERROR(TablaPrincipal[[#This Row],[FECHA]]-TablaPrincipal[[#This Row],[FECHA DE SIEMBRA]],"-")</f>
        <v>91</v>
      </c>
      <c r="K94" s="196">
        <f>VLOOKUP(TablaPrincipal[[#This Row],[CODIGO]]&amp;TablaPrincipal[[#This Row],[AGUAJE ]],Tabla4[#All],4,0)</f>
        <v>45962</v>
      </c>
      <c r="L94" s="183" t="str">
        <f>VLOOKUP(TablaPrincipal[[#This Row],[CODIGO]]&amp;TablaPrincipal[[#This Row],[AGUAJE ]],Tabla4[#All],15,0)</f>
        <v>DE PC 2</v>
      </c>
      <c r="M94" s="184">
        <f>VLOOKUP(TablaPrincipal[[#This Row],[CODIGO]]&amp;TablaPrincipal[[#This Row],[AGUAJE ]],Tabla4[#All],14,0)</f>
        <v>0.6</v>
      </c>
      <c r="N94" s="183">
        <v>10</v>
      </c>
      <c r="O94" s="170">
        <f>VLOOKUP(TablaPrincipal[[#This Row],[CODIGO]]&amp;TablaPrincipal[[#This Row],[AGUAJE ]],Tabla4[#All],5,0)</f>
        <v>608000</v>
      </c>
      <c r="P94" s="221">
        <f>IFERROR(TablaPrincipal[[#This Row],[ANIM SEMBRADOS]]/TablaPrincipal[[#This Row],[HAS]],"-")</f>
        <v>160000</v>
      </c>
      <c r="Q94" s="222">
        <f>IFERROR(TablaPrincipal[[#This Row],[DENSIDAD]]/10000,"-")</f>
        <v>16</v>
      </c>
      <c r="R94" s="183" t="str">
        <f>VLOOKUP(TablaPrincipal[[#This Row],[CODIGO]]&amp;TablaPrincipal[[#This Row],[AGUAJE ]],Tabla4[#All],8,0)</f>
        <v>PRICMARSA</v>
      </c>
      <c r="S94" s="183" t="str">
        <f>VLOOKUP(TablaPrincipal[[#This Row],[CODIGO]]&amp;TablaPrincipal[[#This Row],[AGUAJE ]],Tabla4[#All],7,0)</f>
        <v>TEXCUMAR</v>
      </c>
      <c r="T94" s="183" t="str">
        <f>IF(ISNUMBER(FIND("/",TablaPrincipal[[#This Row],[LABORATORIO]])),"COMBINADO","UNICO")</f>
        <v>UNICO</v>
      </c>
      <c r="U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3200</v>
      </c>
      <c r="V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3281.7</v>
      </c>
      <c r="W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26.1</v>
      </c>
      <c r="Y94" s="185">
        <f>IFERROR(TablaPrincipal[[#This Row],[LIBRAS RALEO PLANTA]]/TablaPrincipal[[#This Row],[HAS]],"-")</f>
        <v>863.60526315789468</v>
      </c>
      <c r="Z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57083.977011494244</v>
      </c>
      <c r="AA9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15100</v>
      </c>
      <c r="AB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15867.62</v>
      </c>
      <c r="AC94" s="186">
        <f>SUMIFS(COSECHAS!F:F,COSECHAS!A:A,'BASE 2026'!AW:AW,COSECHAS!G:G,"="&amp;A:A)</f>
        <v>30</v>
      </c>
      <c r="AD94" s="186">
        <f>SUMIFS(COSECHAS!M:M,COSECHAS!A:A,'BASE 2026'!AW:AW,COSECHAS!G:G,"="&amp;A:A)</f>
        <v>33.4</v>
      </c>
      <c r="AE94" s="185">
        <f>IFERROR(TablaPrincipal[[#This Row],[LIBRAS PLANTA]]/TablaPrincipal[[#This Row],[HAS]],"-")</f>
        <v>4175.6894736842105</v>
      </c>
      <c r="AF94" s="185">
        <f>IFERROR(TablaPrincipal[[#This Row],[LIBRAS PLANTA]]*454/TablaPrincipal[[#This Row],[GRAMOS PLANTA]],"-")</f>
        <v>215685.61317365273</v>
      </c>
      <c r="AG94" s="185">
        <f>TablaPrincipal[[#This Row],[LIBRAS RALEO PLANTA]]+TablaPrincipal[[#This Row],[LIBRAS PLANTA]]</f>
        <v>19149.32</v>
      </c>
      <c r="AH94" s="185">
        <f>IFERROR(TablaPrincipal[[#This Row],[CAM COSECHADOS RALEO]]+TablaPrincipal[[#This Row],[CAM COSECHADOS]],"-")</f>
        <v>272769.59018514695</v>
      </c>
      <c r="AI94" s="185">
        <f>IFERROR((TablaPrincipal[[#This Row],[LIBRAS RALEO PLANTA]]+TablaPrincipal[[#This Row],[LIBRAS PLANTA]])/TablaPrincipal[[#This Row],[HAS]],"0")</f>
        <v>5039.2947368421055</v>
      </c>
      <c r="AJ94" s="186">
        <f t="shared" si="1"/>
        <v>2.569230769230769</v>
      </c>
      <c r="AK94" s="186">
        <f>IFERROR(TablaPrincipal[[#This Row],[LBS/HA]]/TablaPrincipal[[#This Row],[DIAS]],"-")</f>
        <v>55.376865240023136</v>
      </c>
      <c r="AL94" s="186">
        <f>IFERROR(TablaPrincipal[[#This Row],[CAM COSECHADOS TOTALES]]/TablaPrincipal[[#This Row],[ANIM SEMBRADOS]]*100,"-")</f>
        <v>44.863419438346533</v>
      </c>
      <c r="AM94" s="185">
        <v>37367.97</v>
      </c>
      <c r="AN94" s="187">
        <f>IFERROR(((TablaPrincipal[[#This Row],[BALANCEADO ACUMULADO (LBS)]]/2.2046)/TablaPrincipal[[#This Row],[HAS]])/TablaPrincipal[[#This Row],[DIAS]],"-")</f>
        <v>49.016772700983232</v>
      </c>
      <c r="AO94" s="184">
        <f>IFERROR(TablaPrincipal[[#This Row],[BALANCEADO ACUMULADO (LBS)]]/TablaPrincipal[[#This Row],[LIBRAS TOTALES]],"-")</f>
        <v>1.9513993186181025</v>
      </c>
      <c r="AP94" s="184"/>
      <c r="AQ94" s="184" t="s">
        <v>105</v>
      </c>
      <c r="AR94" s="185">
        <f>TablaPrincipal[[#This Row],[LIBRAS RALEO PLANTA]]-TablaPrincipal[[#This Row],[LIBRAS RALEO CAMARONERA]]</f>
        <v>81.699999999999818</v>
      </c>
      <c r="AS94" s="185">
        <f>TablaPrincipal[[#This Row],[LIBRAS PLANTA]]-TablaPrincipal[[#This Row],[LIBRAS CAMARONERA]]</f>
        <v>767.6200000000008</v>
      </c>
      <c r="AT94" s="187">
        <f>TablaPrincipal[[#This Row],[GRAMAJE RALEO PLANTA]]-TablaPrincipal[[#This Row],[GRAMAJE RALEO CAMARONERA]]</f>
        <v>0.10000000000000142</v>
      </c>
      <c r="AU94" s="187">
        <f>TablaPrincipal[[#This Row],[GRAMOS PLANTA]]-TablaPrincipal[[#This Row],[GRAMAJE CAMARONERA]]</f>
        <v>3.3999999999999986</v>
      </c>
      <c r="AV94" s="183" t="str">
        <f>+VLOOKUP(TablaPrincipal[[#This Row],[CODIGO]],TablaCosechas[#All],10,0)</f>
        <v>CARLOS FLORES</v>
      </c>
      <c r="AW94" s="183" t="s">
        <v>194</v>
      </c>
      <c r="AX94" s="188" t="str">
        <f>+VLOOKUP(TablaPrincipal[[#This Row],[CODIGO]],TablaCosechas[#All],10,0)</f>
        <v>CARLOS FLORES</v>
      </c>
    </row>
    <row r="95" spans="1:50" hidden="1" x14ac:dyDescent="0.25">
      <c r="A95" s="196">
        <v>46053</v>
      </c>
      <c r="B95" s="183">
        <v>93</v>
      </c>
      <c r="C95" s="183">
        <f>YEAR(TablaPrincipal[[#This Row],[FECHA]])</f>
        <v>2026</v>
      </c>
      <c r="D95" s="183" t="s">
        <v>186</v>
      </c>
      <c r="E95" s="183" t="str">
        <f>UPPER(TEXT(TablaPrincipal[[#This Row],[FECHA]],"MMMM"))</f>
        <v>ENERO</v>
      </c>
      <c r="F95" s="183" t="str">
        <f>IFERROR(VLOOKUP(TablaPrincipal[[#This Row],[CODIGO]],COSECHAS!A:J,9,0),"-")</f>
        <v>01</v>
      </c>
      <c r="G95" s="183" t="str">
        <f>IFERROR(VLOOKUP(TablaPrincipal[[#This Row],[CODIGO]],COSECHAS!A:I,8,0),"-")</f>
        <v>TUNA</v>
      </c>
      <c r="H95" s="184">
        <f>IFERROR(VLOOKUP(TablaPrincipal[[#This Row],[CODIGO]],DATOS!A:B,2,0),"-")</f>
        <v>7.4</v>
      </c>
      <c r="I95" s="183" t="str">
        <f>IFERROR(VLOOKUP(TablaPrincipal[[#This Row],[CODIGO]],Tabla8[[#Headers],[#Data]],3,0),"-")</f>
        <v>ASC-BAP</v>
      </c>
      <c r="J95" s="183">
        <f>IFERROR(TablaPrincipal[[#This Row],[FECHA]]-TablaPrincipal[[#This Row],[FECHA DE SIEMBRA]],"-")</f>
        <v>91</v>
      </c>
      <c r="K95" s="196">
        <f>VLOOKUP(TablaPrincipal[[#This Row],[CODIGO]]&amp;TablaPrincipal[[#This Row],[AGUAJE ]],Tabla4[#All],4,0)</f>
        <v>45962</v>
      </c>
      <c r="L95" s="183" t="str">
        <f>VLOOKUP(TablaPrincipal[[#This Row],[CODIGO]]&amp;TablaPrincipal[[#This Row],[AGUAJE ]],Tabla4[#All],15,0)</f>
        <v>MA PC 8</v>
      </c>
      <c r="M95" s="184">
        <f>VLOOKUP(TablaPrincipal[[#This Row],[CODIGO]]&amp;TablaPrincipal[[#This Row],[AGUAJE ]],Tabla4[#All],14,0)</f>
        <v>0.61</v>
      </c>
      <c r="N95" s="183">
        <v>5</v>
      </c>
      <c r="O95" s="170">
        <f>VLOOKUP(TablaPrincipal[[#This Row],[CODIGO]]&amp;TablaPrincipal[[#This Row],[AGUAJE ]],Tabla4[#All],5,0)</f>
        <v>1193606</v>
      </c>
      <c r="P95" s="221">
        <f>IFERROR(TablaPrincipal[[#This Row],[ANIM SEMBRADOS]]/TablaPrincipal[[#This Row],[HAS]],"-")</f>
        <v>161298.10810810811</v>
      </c>
      <c r="Q95" s="222">
        <f>IFERROR(TablaPrincipal[[#This Row],[DENSIDAD]]/10000,"-")</f>
        <v>16.12981081081081</v>
      </c>
      <c r="R95" s="183" t="str">
        <f>VLOOKUP(TablaPrincipal[[#This Row],[CODIGO]]&amp;TablaPrincipal[[#This Row],[AGUAJE ]],Tabla4[#All],8,0)</f>
        <v>EMPAGRAN</v>
      </c>
      <c r="S95" s="183" t="str">
        <f>VLOOKUP(TablaPrincipal[[#This Row],[CODIGO]]&amp;TablaPrincipal[[#This Row],[AGUAJE ]],Tabla4[#All],7,0)</f>
        <v>EMPAGRAN</v>
      </c>
      <c r="T95" s="183" t="str">
        <f>IF(ISNUMBER(FIND("/",TablaPrincipal[[#This Row],[LABORATORIO]])),"COMBINADO","UNICO")</f>
        <v>UNICO</v>
      </c>
      <c r="U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21550</v>
      </c>
      <c r="V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20676.78</v>
      </c>
      <c r="W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22.380000000000003</v>
      </c>
      <c r="Y95" s="185">
        <f>IFERROR(TablaPrincipal[[#This Row],[LIBRAS RALEO PLANTA]]/TablaPrincipal[[#This Row],[HAS]],"-")</f>
        <v>2794.159459459459</v>
      </c>
      <c r="Z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422451.24338215444</v>
      </c>
      <c r="AA9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35500</v>
      </c>
      <c r="AB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36556.980000000003</v>
      </c>
      <c r="AC95" s="186">
        <f>SUMIFS(COSECHAS!F:F,COSECHAS!A:A,'BASE 2026'!AW:AW,COSECHAS!G:G,"="&amp;A:A)</f>
        <v>32</v>
      </c>
      <c r="AD95" s="186">
        <f>SUMIFS(COSECHAS!M:M,COSECHAS!A:A,'BASE 2026'!AW:AW,COSECHAS!G:G,"="&amp;A:A)</f>
        <v>32.92</v>
      </c>
      <c r="AE95" s="185">
        <f>IFERROR(TablaPrincipal[[#This Row],[LIBRAS PLANTA]]/TablaPrincipal[[#This Row],[HAS]],"-")</f>
        <v>4940.1324324324323</v>
      </c>
      <c r="AF95" s="185">
        <f>IFERROR(TablaPrincipal[[#This Row],[LIBRAS PLANTA]]*454/TablaPrincipal[[#This Row],[GRAMOS PLANTA]],"-")</f>
        <v>504157.62211421633</v>
      </c>
      <c r="AG95" s="185">
        <f>TablaPrincipal[[#This Row],[LIBRAS RALEO PLANTA]]+TablaPrincipal[[#This Row],[LIBRAS PLANTA]]</f>
        <v>57233.760000000002</v>
      </c>
      <c r="AH95" s="185">
        <f>IFERROR(TablaPrincipal[[#This Row],[CAM COSECHADOS RALEO]]+TablaPrincipal[[#This Row],[CAM COSECHADOS]],"-")</f>
        <v>926608.86549637071</v>
      </c>
      <c r="AI95" s="185">
        <f>IFERROR((TablaPrincipal[[#This Row],[LIBRAS RALEO PLANTA]]+TablaPrincipal[[#This Row],[LIBRAS PLANTA]])/TablaPrincipal[[#This Row],[HAS]],"0")</f>
        <v>7734.2918918918922</v>
      </c>
      <c r="AJ95" s="186">
        <f t="shared" si="1"/>
        <v>2.5323076923076924</v>
      </c>
      <c r="AK95" s="186">
        <f>IFERROR(TablaPrincipal[[#This Row],[LBS/HA]]/TablaPrincipal[[#This Row],[DIAS]],"-")</f>
        <v>84.992218592218592</v>
      </c>
      <c r="AL95" s="186">
        <f>IFERROR(TablaPrincipal[[#This Row],[CAM COSECHADOS TOTALES]]/TablaPrincipal[[#This Row],[ANIM SEMBRADOS]]*100,"-")</f>
        <v>77.631049567141147</v>
      </c>
      <c r="AM95" s="185">
        <v>74184.790000000008</v>
      </c>
      <c r="AN95" s="187">
        <f>IFERROR(((TablaPrincipal[[#This Row],[BALANCEADO ACUMULADO (LBS)]]/2.2046)/TablaPrincipal[[#This Row],[HAS]])/TablaPrincipal[[#This Row],[DIAS]],"-")</f>
        <v>49.970299970299976</v>
      </c>
      <c r="AO95" s="184">
        <f>IFERROR(TablaPrincipal[[#This Row],[BALANCEADO ACUMULADO (LBS)]]/TablaPrincipal[[#This Row],[LIBRAS TOTALES]],"-")</f>
        <v>1.2961718747815976</v>
      </c>
      <c r="AP95" s="184"/>
      <c r="AQ95" s="184" t="s">
        <v>105</v>
      </c>
      <c r="AR95" s="185">
        <f>TablaPrincipal[[#This Row],[LIBRAS RALEO PLANTA]]-TablaPrincipal[[#This Row],[LIBRAS RALEO CAMARONERA]]</f>
        <v>-873.22000000000116</v>
      </c>
      <c r="AS95" s="185">
        <f>TablaPrincipal[[#This Row],[LIBRAS PLANTA]]-TablaPrincipal[[#This Row],[LIBRAS CAMARONERA]]</f>
        <v>1056.9800000000032</v>
      </c>
      <c r="AT95" s="187">
        <f>TablaPrincipal[[#This Row],[GRAMAJE RALEO PLANTA]]-TablaPrincipal[[#This Row],[GRAMAJE RALEO CAMARONERA]]</f>
        <v>1.3800000000000026</v>
      </c>
      <c r="AU95" s="187">
        <f>TablaPrincipal[[#This Row],[GRAMOS PLANTA]]-TablaPrincipal[[#This Row],[GRAMAJE CAMARONERA]]</f>
        <v>0.92000000000000171</v>
      </c>
      <c r="AV95" s="183" t="str">
        <f>+VLOOKUP(TablaPrincipal[[#This Row],[CODIGO]],TablaCosechas[#All],10,0)</f>
        <v>GUSTAVO CARRASCO</v>
      </c>
      <c r="AW95" s="183" t="s">
        <v>195</v>
      </c>
      <c r="AX95" s="188" t="str">
        <f>+VLOOKUP(TablaPrincipal[[#This Row],[CODIGO]],TablaCosechas[#All],10,0)</f>
        <v>GUSTAVO CARRASCO</v>
      </c>
    </row>
    <row r="96" spans="1:50" hidden="1" x14ac:dyDescent="0.25">
      <c r="A96" s="196">
        <v>46054</v>
      </c>
      <c r="B96" s="183">
        <v>95</v>
      </c>
      <c r="C96" s="183">
        <f>YEAR(TablaPrincipal[[#This Row],[FECHA]])</f>
        <v>2026</v>
      </c>
      <c r="D96" s="183" t="s">
        <v>186</v>
      </c>
      <c r="E96" s="183" t="str">
        <f>UPPER(TEXT(TablaPrincipal[[#This Row],[FECHA]],"MMMM"))</f>
        <v>FEBRERO</v>
      </c>
      <c r="F96" s="183" t="str">
        <f>IFERROR(VLOOKUP(TablaPrincipal[[#This Row],[CODIGO]],COSECHAS!A:J,9,0),"-")</f>
        <v>15</v>
      </c>
      <c r="G96" s="183" t="str">
        <f>IFERROR(VLOOKUP(TablaPrincipal[[#This Row],[CODIGO]],COSECHAS!A:I,8,0),"-")</f>
        <v>CHERNA</v>
      </c>
      <c r="H96" s="184">
        <f>IFERROR(VLOOKUP(TablaPrincipal[[#This Row],[CODIGO]],DATOS!A:B,2,0),"-")</f>
        <v>1.65</v>
      </c>
      <c r="I96" s="183" t="str">
        <f>IFERROR(VLOOKUP(TablaPrincipal[[#This Row],[CODIGO]],Tabla8[[#Headers],[#Data]],3,0),"-")</f>
        <v>ASC</v>
      </c>
      <c r="J96" s="183">
        <f>IFERROR(TablaPrincipal[[#This Row],[FECHA]]-TablaPrincipal[[#This Row],[FECHA DE SIEMBRA]],"-")</f>
        <v>80</v>
      </c>
      <c r="K96" s="196">
        <f>VLOOKUP(TablaPrincipal[[#This Row],[CODIGO]]&amp;TablaPrincipal[[#This Row],[AGUAJE ]],Tabla4[#All],4,0)</f>
        <v>45974</v>
      </c>
      <c r="L96" s="183" t="str">
        <f>VLOOKUP(TablaPrincipal[[#This Row],[CODIGO]]&amp;TablaPrincipal[[#This Row],[AGUAJE ]],Tabla4[#All],15,0)</f>
        <v>CH PC 5</v>
      </c>
      <c r="M96" s="184">
        <f>VLOOKUP(TablaPrincipal[[#This Row],[CODIGO]]&amp;TablaPrincipal[[#This Row],[AGUAJE ]],Tabla4[#All],14,0)</f>
        <v>0.65</v>
      </c>
      <c r="N96" s="183">
        <v>5</v>
      </c>
      <c r="O96" s="170">
        <f>VLOOKUP(TablaPrincipal[[#This Row],[CODIGO]]&amp;TablaPrincipal[[#This Row],[AGUAJE ]],Tabla4[#All],5,0)</f>
        <v>297000</v>
      </c>
      <c r="P96" s="221">
        <f>IFERROR(TablaPrincipal[[#This Row],[ANIM SEMBRADOS]]/TablaPrincipal[[#This Row],[HAS]],"-")</f>
        <v>180000</v>
      </c>
      <c r="Q96" s="222">
        <f>IFERROR(TablaPrincipal[[#This Row],[DENSIDAD]]/10000,"-")</f>
        <v>18</v>
      </c>
      <c r="R96" s="183" t="str">
        <f>VLOOKUP(TablaPrincipal[[#This Row],[CODIGO]]&amp;TablaPrincipal[[#This Row],[AGUAJE ]],Tabla4[#All],8,0)</f>
        <v>BIOLACAM</v>
      </c>
      <c r="S96" s="183" t="str">
        <f>VLOOKUP(TablaPrincipal[[#This Row],[CODIGO]]&amp;TablaPrincipal[[#This Row],[AGUAJE ]],Tabla4[#All],7,0)</f>
        <v>TEXCUMAR</v>
      </c>
      <c r="T96" s="183" t="str">
        <f>IF(ISNUMBER(FIND("/",TablaPrincipal[[#This Row],[LABORATORIO]])),"COMBINADO","UNICO")</f>
        <v>UNICO</v>
      </c>
      <c r="U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4950</v>
      </c>
      <c r="V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5128.04</v>
      </c>
      <c r="W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23.310000000000002</v>
      </c>
      <c r="Y96" s="185">
        <f>IFERROR(TablaPrincipal[[#This Row],[LIBRAS RALEO PLANTA]]/TablaPrincipal[[#This Row],[HAS]],"-")</f>
        <v>3107.9030303030304</v>
      </c>
      <c r="Z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99044.634688013743</v>
      </c>
      <c r="AA9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9800</v>
      </c>
      <c r="AB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10171.94</v>
      </c>
      <c r="AC96" s="186">
        <f>SUMIFS(COSECHAS!F:F,COSECHAS!A:A,'BASE 2026'!AW:AW,COSECHAS!G:G,"="&amp;A:A)</f>
        <v>32.5</v>
      </c>
      <c r="AD96" s="186">
        <f>SUMIFS(COSECHAS!M:M,COSECHAS!A:A,'BASE 2026'!AW:AW,COSECHAS!G:G,"="&amp;A:A)</f>
        <v>34.08</v>
      </c>
      <c r="AE96" s="185">
        <f>IFERROR(TablaPrincipal[[#This Row],[LIBRAS PLANTA]]/TablaPrincipal[[#This Row],[HAS]],"-")</f>
        <v>6164.8121212121223</v>
      </c>
      <c r="AF96" s="185">
        <f>IFERROR(TablaPrincipal[[#This Row],[LIBRAS PLANTA]]*454/TablaPrincipal[[#This Row],[GRAMOS PLANTA]],"-")</f>
        <v>135506.47769953051</v>
      </c>
      <c r="AG96" s="185">
        <f>TablaPrincipal[[#This Row],[LIBRAS RALEO PLANTA]]+TablaPrincipal[[#This Row],[LIBRAS PLANTA]]</f>
        <v>15299.98</v>
      </c>
      <c r="AH96" s="185">
        <f>IFERROR(TablaPrincipal[[#This Row],[CAM COSECHADOS RALEO]]+TablaPrincipal[[#This Row],[CAM COSECHADOS]],"-")</f>
        <v>234551.11238754424</v>
      </c>
      <c r="AI96" s="185">
        <f>IFERROR((TablaPrincipal[[#This Row],[LIBRAS RALEO PLANTA]]+TablaPrincipal[[#This Row],[LIBRAS PLANTA]])/TablaPrincipal[[#This Row],[HAS]],"0")</f>
        <v>9272.7151515151509</v>
      </c>
      <c r="AJ96" s="186">
        <f t="shared" si="1"/>
        <v>2.9819999999999998</v>
      </c>
      <c r="AK96" s="186">
        <f>IFERROR(TablaPrincipal[[#This Row],[LBS/HA]]/TablaPrincipal[[#This Row],[DIAS]],"-")</f>
        <v>115.90893939393939</v>
      </c>
      <c r="AL96" s="186">
        <f>IFERROR(TablaPrincipal[[#This Row],[CAM COSECHADOS TOTALES]]/TablaPrincipal[[#This Row],[ANIM SEMBRADOS]]*100,"-")</f>
        <v>78.973438514324656</v>
      </c>
      <c r="AM96" s="185">
        <v>21384.620000000003</v>
      </c>
      <c r="AN96" s="187">
        <f>IFERROR(((TablaPrincipal[[#This Row],[BALANCEADO ACUMULADO (LBS)]]/2.2046)/TablaPrincipal[[#This Row],[HAS]])/TablaPrincipal[[#This Row],[DIAS]],"-")</f>
        <v>73.484848484848484</v>
      </c>
      <c r="AO96" s="184">
        <f>IFERROR(TablaPrincipal[[#This Row],[BALANCEADO ACUMULADO (LBS)]]/TablaPrincipal[[#This Row],[LIBRAS TOTALES]],"-")</f>
        <v>1.3976894087443255</v>
      </c>
      <c r="AP96" s="184"/>
      <c r="AQ96" s="184" t="s">
        <v>105</v>
      </c>
      <c r="AR96" s="185">
        <f>TablaPrincipal[[#This Row],[LIBRAS RALEO PLANTA]]-TablaPrincipal[[#This Row],[LIBRAS RALEO CAMARONERA]]</f>
        <v>178.03999999999996</v>
      </c>
      <c r="AS96" s="185">
        <f>TablaPrincipal[[#This Row],[LIBRAS PLANTA]]-TablaPrincipal[[#This Row],[LIBRAS CAMARONERA]]</f>
        <v>371.94000000000051</v>
      </c>
      <c r="AT96" s="187">
        <f>TablaPrincipal[[#This Row],[GRAMAJE RALEO PLANTA]]-TablaPrincipal[[#This Row],[GRAMAJE RALEO CAMARONERA]]</f>
        <v>0.56000000000000227</v>
      </c>
      <c r="AU96" s="187">
        <f>TablaPrincipal[[#This Row],[GRAMOS PLANTA]]-TablaPrincipal[[#This Row],[GRAMAJE CAMARONERA]]</f>
        <v>1.5799999999999983</v>
      </c>
      <c r="AV96" s="183" t="str">
        <f>+VLOOKUP(TablaPrincipal[[#This Row],[CODIGO]],TablaCosechas[#All],10,0)</f>
        <v>SANTIAGO OBRIEN</v>
      </c>
      <c r="AW96" s="183" t="s">
        <v>21</v>
      </c>
      <c r="AX96" s="188" t="str">
        <f>+VLOOKUP(TablaPrincipal[[#This Row],[CODIGO]],TablaCosechas[#All],10,0)</f>
        <v>SANTIAGO OBRIEN</v>
      </c>
    </row>
    <row r="97" spans="1:50" hidden="1" x14ac:dyDescent="0.25">
      <c r="A97" s="196">
        <v>46054</v>
      </c>
      <c r="B97" s="183">
        <v>96</v>
      </c>
      <c r="C97" s="183">
        <f>YEAR(TablaPrincipal[[#This Row],[FECHA]])</f>
        <v>2026</v>
      </c>
      <c r="D97" s="183" t="s">
        <v>186</v>
      </c>
      <c r="E97" s="183" t="str">
        <f>UPPER(TEXT(TablaPrincipal[[#This Row],[FECHA]],"MMMM"))</f>
        <v>FEBRERO</v>
      </c>
      <c r="F97" s="183" t="str">
        <f>IFERROR(VLOOKUP(TablaPrincipal[[#This Row],[CODIGO]],COSECHAS!A:J,9,0),"-")</f>
        <v>03</v>
      </c>
      <c r="G97" s="183" t="str">
        <f>IFERROR(VLOOKUP(TablaPrincipal[[#This Row],[CODIGO]],COSECHAS!A:I,8,0),"-")</f>
        <v>DELFIN</v>
      </c>
      <c r="H97" s="184">
        <f>IFERROR(VLOOKUP(TablaPrincipal[[#This Row],[CODIGO]],DATOS!A:B,2,0),"-")</f>
        <v>5.7</v>
      </c>
      <c r="I97" s="183" t="str">
        <f>IFERROR(VLOOKUP(TablaPrincipal[[#This Row],[CODIGO]],Tabla8[[#Headers],[#Data]],3,0),"-")</f>
        <v>CONVENCIONAL</v>
      </c>
      <c r="J97" s="183">
        <f>IFERROR(TablaPrincipal[[#This Row],[FECHA]]-TablaPrincipal[[#This Row],[FECHA DE SIEMBRA]],"-")</f>
        <v>92</v>
      </c>
      <c r="K97" s="196">
        <f>VLOOKUP(TablaPrincipal[[#This Row],[CODIGO]]&amp;TablaPrincipal[[#This Row],[AGUAJE ]],Tabla4[#All],4,0)</f>
        <v>45962</v>
      </c>
      <c r="L97" s="183" t="str">
        <f>VLOOKUP(TablaPrincipal[[#This Row],[CODIGO]]&amp;TablaPrincipal[[#This Row],[AGUAJE ]],Tabla4[#All],15,0)</f>
        <v>DE PC 2</v>
      </c>
      <c r="M97" s="184">
        <f>VLOOKUP(TablaPrincipal[[#This Row],[CODIGO]]&amp;TablaPrincipal[[#This Row],[AGUAJE ]],Tabla4[#All],14,0)</f>
        <v>0.6</v>
      </c>
      <c r="N97" s="183">
        <v>21</v>
      </c>
      <c r="O97" s="170">
        <f>VLOOKUP(TablaPrincipal[[#This Row],[CODIGO]]&amp;TablaPrincipal[[#This Row],[AGUAJE ]],Tabla4[#All],5,0)</f>
        <v>969000</v>
      </c>
      <c r="P97" s="221">
        <f>IFERROR(TablaPrincipal[[#This Row],[ANIM SEMBRADOS]]/TablaPrincipal[[#This Row],[HAS]],"-")</f>
        <v>170000</v>
      </c>
      <c r="Q97" s="222">
        <f>IFERROR(TablaPrincipal[[#This Row],[DENSIDAD]]/10000,"-")</f>
        <v>17</v>
      </c>
      <c r="R97" s="183" t="str">
        <f>VLOOKUP(TablaPrincipal[[#This Row],[CODIGO]]&amp;TablaPrincipal[[#This Row],[AGUAJE ]],Tabla4[#All],8,0)</f>
        <v>PRICMARSA</v>
      </c>
      <c r="S97" s="183" t="str">
        <f>VLOOKUP(TablaPrincipal[[#This Row],[CODIGO]]&amp;TablaPrincipal[[#This Row],[AGUAJE ]],Tabla4[#All],7,0)</f>
        <v>TEXCUMAR</v>
      </c>
      <c r="T97" s="183" t="str">
        <f>IF(ISNUMBER(FIND("/",TablaPrincipal[[#This Row],[LABORATORIO]])),"COMBINADO","UNICO")</f>
        <v>UNICO</v>
      </c>
      <c r="U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11650</v>
      </c>
      <c r="V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11910.92</v>
      </c>
      <c r="W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97" s="185">
        <f>IFERROR(TablaPrincipal[[#This Row],[LIBRAS RALEO PLANTA]]/TablaPrincipal[[#This Row],[HAS]],"-")</f>
        <v>2089.6350877192981</v>
      </c>
      <c r="Z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216103.31271626297</v>
      </c>
      <c r="AA9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26900</v>
      </c>
      <c r="AB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24780.959999999999</v>
      </c>
      <c r="AC97" s="186">
        <f>SUMIFS(COSECHAS!F:F,COSECHAS!A:A,'BASE 2026'!AW:AW,COSECHAS!G:G,"="&amp;A:A)</f>
        <v>31</v>
      </c>
      <c r="AD97" s="186">
        <f>SUMIFS(COSECHAS!M:M,COSECHAS!A:A,'BASE 2026'!AW:AW,COSECHAS!G:G,"="&amp;A:A)</f>
        <v>32.700000000000003</v>
      </c>
      <c r="AE97" s="185">
        <f>IFERROR(TablaPrincipal[[#This Row],[LIBRAS PLANTA]]/TablaPrincipal[[#This Row],[HAS]],"-")</f>
        <v>4347.5368421052626</v>
      </c>
      <c r="AF97" s="185">
        <f>IFERROR(TablaPrincipal[[#This Row],[LIBRAS PLANTA]]*454/TablaPrincipal[[#This Row],[GRAMOS PLANTA]],"-")</f>
        <v>344053.69541284401</v>
      </c>
      <c r="AG97" s="185">
        <f>TablaPrincipal[[#This Row],[LIBRAS RALEO PLANTA]]+TablaPrincipal[[#This Row],[LIBRAS PLANTA]]</f>
        <v>36691.879999999997</v>
      </c>
      <c r="AH97" s="185">
        <f>IFERROR(TablaPrincipal[[#This Row],[CAM COSECHADOS RALEO]]+TablaPrincipal[[#This Row],[CAM COSECHADOS]],"-")</f>
        <v>560157.00812910695</v>
      </c>
      <c r="AI97" s="185">
        <f>IFERROR((TablaPrincipal[[#This Row],[LIBRAS RALEO PLANTA]]+TablaPrincipal[[#This Row],[LIBRAS PLANTA]])/TablaPrincipal[[#This Row],[HAS]],"0")</f>
        <v>6437.1719298245607</v>
      </c>
      <c r="AJ97" s="186">
        <f t="shared" si="1"/>
        <v>2.4880434782608698</v>
      </c>
      <c r="AK97" s="186">
        <f>IFERROR(TablaPrincipal[[#This Row],[LBS/HA]]/TablaPrincipal[[#This Row],[DIAS]],"-")</f>
        <v>69.96926010678871</v>
      </c>
      <c r="AL97" s="186">
        <f>IFERROR(TablaPrincipal[[#This Row],[CAM COSECHADOS TOTALES]]/TablaPrincipal[[#This Row],[ANIM SEMBRADOS]]*100,"-")</f>
        <v>57.807740776997619</v>
      </c>
      <c r="AM97" s="185">
        <v>66468.69</v>
      </c>
      <c r="AN97" s="187">
        <f>IFERROR(((TablaPrincipal[[#This Row],[BALANCEADO ACUMULADO (LBS)]]/2.2046)/TablaPrincipal[[#This Row],[HAS]])/TablaPrincipal[[#This Row],[DIAS]],"-")</f>
        <v>57.494279176201367</v>
      </c>
      <c r="AO97" s="184">
        <f>IFERROR(TablaPrincipal[[#This Row],[BALANCEADO ACUMULADO (LBS)]]/TablaPrincipal[[#This Row],[LIBRAS TOTALES]],"-")</f>
        <v>1.8115367759842234</v>
      </c>
      <c r="AP97" s="184"/>
      <c r="AQ97" s="184" t="s">
        <v>105</v>
      </c>
      <c r="AR97" s="185">
        <f>TablaPrincipal[[#This Row],[LIBRAS RALEO PLANTA]]-TablaPrincipal[[#This Row],[LIBRAS RALEO CAMARONERA]]</f>
        <v>260.92000000000007</v>
      </c>
      <c r="AS97" s="185">
        <f>TablaPrincipal[[#This Row],[LIBRAS PLANTA]]-TablaPrincipal[[#This Row],[LIBRAS CAMARONERA]]</f>
        <v>-2119.0400000000009</v>
      </c>
      <c r="AT97" s="187">
        <f>TablaPrincipal[[#This Row],[GRAMAJE RALEO PLANTA]]-TablaPrincipal[[#This Row],[GRAMAJE RALEO CAMARONERA]]</f>
        <v>3.66</v>
      </c>
      <c r="AU97" s="187">
        <f>TablaPrincipal[[#This Row],[GRAMOS PLANTA]]-TablaPrincipal[[#This Row],[GRAMAJE CAMARONERA]]</f>
        <v>1.7000000000000028</v>
      </c>
      <c r="AV97" s="183" t="str">
        <f>+VLOOKUP(TablaPrincipal[[#This Row],[CODIGO]],TablaCosechas[#All],10,0)</f>
        <v>CARLOS FLORES</v>
      </c>
      <c r="AW97" s="183" t="s">
        <v>196</v>
      </c>
      <c r="AX97" s="188" t="str">
        <f>+VLOOKUP(TablaPrincipal[[#This Row],[CODIGO]],TablaCosechas[#All],10,0)</f>
        <v>CARLOS FLORES</v>
      </c>
    </row>
    <row r="98" spans="1:50" hidden="1" x14ac:dyDescent="0.25">
      <c r="A98" s="196">
        <v>46054</v>
      </c>
      <c r="B98" s="183">
        <v>97</v>
      </c>
      <c r="C98" s="183">
        <f>YEAR(TablaPrincipal[[#This Row],[FECHA]])</f>
        <v>2026</v>
      </c>
      <c r="D98" s="183" t="s">
        <v>186</v>
      </c>
      <c r="E98" s="183" t="str">
        <f>UPPER(TEXT(TablaPrincipal[[#This Row],[FECHA]],"MMMM"))</f>
        <v>FEBRERO</v>
      </c>
      <c r="F98" s="183" t="str">
        <f>IFERROR(VLOOKUP(TablaPrincipal[[#This Row],[CODIGO]],COSECHAS!A:J,9,0),"-")</f>
        <v>05</v>
      </c>
      <c r="G98" s="183" t="str">
        <f>IFERROR(VLOOKUP(TablaPrincipal[[#This Row],[CODIGO]],COSECHAS!A:I,8,0),"-")</f>
        <v>PAMPANO</v>
      </c>
      <c r="H98" s="184">
        <f>IFERROR(VLOOKUP(TablaPrincipal[[#This Row],[CODIGO]],DATOS!A:B,2,0),"-")</f>
        <v>3.3</v>
      </c>
      <c r="I98" s="183" t="str">
        <f>IFERROR(VLOOKUP(TablaPrincipal[[#This Row],[CODIGO]],Tabla8[[#Headers],[#Data]],3,0),"-")</f>
        <v>ASC-BAP</v>
      </c>
      <c r="J98" s="183">
        <f>IFERROR(TablaPrincipal[[#This Row],[FECHA]]-TablaPrincipal[[#This Row],[FECHA DE SIEMBRA]],"-")</f>
        <v>88</v>
      </c>
      <c r="K98" s="196">
        <f>VLOOKUP(TablaPrincipal[[#This Row],[CODIGO]]&amp;TablaPrincipal[[#This Row],[AGUAJE ]],Tabla4[#All],4,0)</f>
        <v>45966</v>
      </c>
      <c r="L98" s="183" t="str">
        <f>VLOOKUP(TablaPrincipal[[#This Row],[CODIGO]]&amp;TablaPrincipal[[#This Row],[AGUAJE ]],Tabla4[#All],15,0)</f>
        <v>PA PC 4</v>
      </c>
      <c r="M98" s="184">
        <f>VLOOKUP(TablaPrincipal[[#This Row],[CODIGO]]&amp;TablaPrincipal[[#This Row],[AGUAJE ]],Tabla4[#All],14,0)</f>
        <v>0.55000000000000004</v>
      </c>
      <c r="N98" s="183">
        <v>53</v>
      </c>
      <c r="O98" s="170">
        <f>VLOOKUP(TablaPrincipal[[#This Row],[CODIGO]]&amp;TablaPrincipal[[#This Row],[AGUAJE ]],Tabla4[#All],5,0)</f>
        <v>491636</v>
      </c>
      <c r="P98" s="221">
        <f>IFERROR(TablaPrincipal[[#This Row],[ANIM SEMBRADOS]]/TablaPrincipal[[#This Row],[HAS]],"-")</f>
        <v>148980.60606060608</v>
      </c>
      <c r="Q98" s="222">
        <f>IFERROR(TablaPrincipal[[#This Row],[DENSIDAD]]/10000,"-")</f>
        <v>14.898060606060607</v>
      </c>
      <c r="R98" s="183" t="str">
        <f>VLOOKUP(TablaPrincipal[[#This Row],[CODIGO]]&amp;TablaPrincipal[[#This Row],[AGUAJE ]],Tabla4[#All],8,0)</f>
        <v>TIBALLOSA</v>
      </c>
      <c r="S98" s="183" t="str">
        <f>VLOOKUP(TablaPrincipal[[#This Row],[CODIGO]]&amp;TablaPrincipal[[#This Row],[AGUAJE ]],Tabla4[#All],7,0)</f>
        <v>TEXCUMAR</v>
      </c>
      <c r="T98" s="183" t="str">
        <f>IF(ISNUMBER(FIND("/",TablaPrincipal[[#This Row],[LABORATORIO]])),"COMBINADO","UNICO")</f>
        <v>UNICO</v>
      </c>
      <c r="U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8550</v>
      </c>
      <c r="V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7881.35</v>
      </c>
      <c r="W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18.68</v>
      </c>
      <c r="Y98" s="185">
        <f>IFERROR(TablaPrincipal[[#This Row],[LIBRAS RALEO PLANTA]]/TablaPrincipal[[#This Row],[HAS]],"-")</f>
        <v>2388.287878787879</v>
      </c>
      <c r="Z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198725.67482303147</v>
      </c>
      <c r="AA9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9850.0499999999993</v>
      </c>
      <c r="AC98" s="186">
        <f>SUMIFS(COSECHAS!F:F,COSECHAS!A:A,'BASE 2026'!AW:AW,COSECHAS!G:G,"="&amp;A:A)</f>
        <v>31</v>
      </c>
      <c r="AD98" s="186">
        <f>SUMIFS(COSECHAS!M:M,COSECHAS!A:A,'BASE 2026'!AW:AW,COSECHAS!G:G,"="&amp;A:A)</f>
        <v>32.78</v>
      </c>
      <c r="AE98" s="185">
        <f>IFERROR(TablaPrincipal[[#This Row],[LIBRAS PLANTA]]/TablaPrincipal[[#This Row],[HAS]],"-")</f>
        <v>2984.8636363636365</v>
      </c>
      <c r="AF98" s="185">
        <f>IFERROR(TablaPrincipal[[#This Row],[LIBRAS PLANTA]]*454/TablaPrincipal[[#This Row],[GRAMOS PLANTA]],"-")</f>
        <v>136422.2910311165</v>
      </c>
      <c r="AG98" s="185">
        <f>TablaPrincipal[[#This Row],[LIBRAS RALEO PLANTA]]+TablaPrincipal[[#This Row],[LIBRAS PLANTA]]</f>
        <v>17731.400000000001</v>
      </c>
      <c r="AH98" s="185">
        <f>IFERROR(TablaPrincipal[[#This Row],[CAM COSECHADOS RALEO]]+TablaPrincipal[[#This Row],[CAM COSECHADOS]],"-")</f>
        <v>335147.96585414797</v>
      </c>
      <c r="AI98" s="185">
        <f>IFERROR((TablaPrincipal[[#This Row],[LIBRAS RALEO PLANTA]]+TablaPrincipal[[#This Row],[LIBRAS PLANTA]])/TablaPrincipal[[#This Row],[HAS]],"0")</f>
        <v>5373.1515151515159</v>
      </c>
      <c r="AJ98" s="186">
        <f t="shared" si="1"/>
        <v>2.6074999999999999</v>
      </c>
      <c r="AK98" s="186">
        <f>IFERROR(TablaPrincipal[[#This Row],[LBS/HA]]/TablaPrincipal[[#This Row],[DIAS]],"-")</f>
        <v>61.058539944903593</v>
      </c>
      <c r="AL98" s="186">
        <f>IFERROR(TablaPrincipal[[#This Row],[CAM COSECHADOS TOTALES]]/TablaPrincipal[[#This Row],[ANIM SEMBRADOS]]*100,"-")</f>
        <v>68.169939925910214</v>
      </c>
      <c r="AM98" s="185">
        <v>29596.755000000001</v>
      </c>
      <c r="AN98" s="187">
        <f>IFERROR(((TablaPrincipal[[#This Row],[BALANCEADO ACUMULADO (LBS)]]/2.2046)/TablaPrincipal[[#This Row],[HAS]])/TablaPrincipal[[#This Row],[DIAS]],"-")</f>
        <v>46.22933884297521</v>
      </c>
      <c r="AO98" s="184">
        <f>IFERROR(TablaPrincipal[[#This Row],[BALANCEADO ACUMULADO (LBS)]]/TablaPrincipal[[#This Row],[LIBRAS TOTALES]],"-")</f>
        <v>1.6691719209989058</v>
      </c>
      <c r="AP98" s="184"/>
      <c r="AQ98" s="184" t="s">
        <v>105</v>
      </c>
      <c r="AR98" s="185">
        <f>TablaPrincipal[[#This Row],[LIBRAS RALEO PLANTA]]-TablaPrincipal[[#This Row],[LIBRAS RALEO CAMARONERA]]</f>
        <v>-668.64999999999964</v>
      </c>
      <c r="AS98" s="185">
        <f>TablaPrincipal[[#This Row],[LIBRAS PLANTA]]-TablaPrincipal[[#This Row],[LIBRAS CAMARONERA]]</f>
        <v>-149.95000000000073</v>
      </c>
      <c r="AT98" s="187">
        <f>TablaPrincipal[[#This Row],[GRAMAJE RALEO PLANTA]]-TablaPrincipal[[#This Row],[GRAMAJE RALEO CAMARONERA]]</f>
        <v>0.67999999999999972</v>
      </c>
      <c r="AU98" s="187">
        <f>TablaPrincipal[[#This Row],[GRAMOS PLANTA]]-TablaPrincipal[[#This Row],[GRAMAJE CAMARONERA]]</f>
        <v>1.7800000000000011</v>
      </c>
      <c r="AV98" s="183" t="str">
        <f>+VLOOKUP(TablaPrincipal[[#This Row],[CODIGO]],TablaCosechas[#All],10,0)</f>
        <v>GUSTAVO CARRASCO</v>
      </c>
      <c r="AW98" s="183" t="s">
        <v>197</v>
      </c>
      <c r="AX98" s="188" t="str">
        <f>+VLOOKUP(TablaPrincipal[[#This Row],[CODIGO]],TablaCosechas[#All],10,0)</f>
        <v>GUSTAVO CARRASCO</v>
      </c>
    </row>
    <row r="99" spans="1:50" hidden="1" x14ac:dyDescent="0.25">
      <c r="A99" s="196">
        <v>46056</v>
      </c>
      <c r="B99" s="183">
        <v>94</v>
      </c>
      <c r="C99" s="183">
        <f>YEAR(TablaPrincipal[[#This Row],[FECHA]])</f>
        <v>2026</v>
      </c>
      <c r="D99" s="183" t="s">
        <v>186</v>
      </c>
      <c r="E99" s="183" t="str">
        <f>UPPER(TEXT(TablaPrincipal[[#This Row],[FECHA]],"MMMM"))</f>
        <v>FEBRERO</v>
      </c>
      <c r="F99" s="183" t="str">
        <f>IFERROR(VLOOKUP(TablaPrincipal[[#This Row],[CODIGO]],COSECHAS!A:J,9,0),"-")</f>
        <v>14</v>
      </c>
      <c r="G99" s="183" t="str">
        <f>IFERROR(VLOOKUP(TablaPrincipal[[#This Row],[CODIGO]],COSECHAS!A:I,8,0),"-")</f>
        <v>ROBALO</v>
      </c>
      <c r="H99" s="184">
        <f>IFERROR(VLOOKUP(TablaPrincipal[[#This Row],[CODIGO]],DATOS!A:B,2,0),"-")</f>
        <v>9.3000000000000007</v>
      </c>
      <c r="I99" s="183" t="str">
        <f>IFERROR(VLOOKUP(TablaPrincipal[[#This Row],[CODIGO]],Tabla8[[#Headers],[#Data]],3,0),"-")</f>
        <v>BAP</v>
      </c>
      <c r="J99" s="183">
        <f>IFERROR(TablaPrincipal[[#This Row],[FECHA]]-TablaPrincipal[[#This Row],[FECHA DE SIEMBRA]],"-")</f>
        <v>88</v>
      </c>
      <c r="K99" s="196">
        <f>VLOOKUP(TablaPrincipal[[#This Row],[CODIGO]]&amp;TablaPrincipal[[#This Row],[AGUAJE ]],Tabla4[#All],4,0)</f>
        <v>45968</v>
      </c>
      <c r="L99" s="183" t="str">
        <f>VLOOKUP(TablaPrincipal[[#This Row],[CODIGO]]&amp;TablaPrincipal[[#This Row],[AGUAJE ]],Tabla4[#All],15,0)</f>
        <v>RO PC 9</v>
      </c>
      <c r="M99" s="184">
        <f>VLOOKUP(TablaPrincipal[[#This Row],[CODIGO]]&amp;TablaPrincipal[[#This Row],[AGUAJE ]],Tabla4[#All],14,0)</f>
        <v>0.56000000000000005</v>
      </c>
      <c r="N99" s="183">
        <v>10</v>
      </c>
      <c r="O99" s="170">
        <f>VLOOKUP(TablaPrincipal[[#This Row],[CODIGO]]&amp;TablaPrincipal[[#This Row],[AGUAJE ]],Tabla4[#All],5,0)</f>
        <v>1457750</v>
      </c>
      <c r="P99" s="221">
        <f>IFERROR(TablaPrincipal[[#This Row],[ANIM SEMBRADOS]]/TablaPrincipal[[#This Row],[HAS]],"-")</f>
        <v>156747.31182795699</v>
      </c>
      <c r="Q99" s="222">
        <f>IFERROR(TablaPrincipal[[#This Row],[DENSIDAD]]/10000,"-")</f>
        <v>15.674731182795698</v>
      </c>
      <c r="R99" s="183" t="str">
        <f>VLOOKUP(TablaPrincipal[[#This Row],[CODIGO]]&amp;TablaPrincipal[[#This Row],[AGUAJE ]],Tabla4[#All],8,0)</f>
        <v>TECSERV</v>
      </c>
      <c r="S99" s="183" t="str">
        <f>VLOOKUP(TablaPrincipal[[#This Row],[CODIGO]]&amp;TablaPrincipal[[#This Row],[AGUAJE ]],Tabla4[#All],7,0)</f>
        <v>EMPAGRAN - SEMACUA</v>
      </c>
      <c r="T99" s="183" t="str">
        <f>IF(ISNUMBER(FIND("/",TablaPrincipal[[#This Row],[LABORATORIO]])),"COMBINADO","UNICO")</f>
        <v>UNICO</v>
      </c>
      <c r="U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29750</v>
      </c>
      <c r="V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32026.38</v>
      </c>
      <c r="W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28.833333333333332</v>
      </c>
      <c r="Y99" s="185">
        <f>IFERROR(TablaPrincipal[[#This Row],[LIBRAS RALEO PLANTA]]/TablaPrincipal[[#This Row],[HAS]],"-")</f>
        <v>3443.6967741935482</v>
      </c>
      <c r="Z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531019.27313959762</v>
      </c>
      <c r="AA9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37300</v>
      </c>
      <c r="AB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35834.949999999997</v>
      </c>
      <c r="AC99" s="186">
        <f>SUMIFS(COSECHAS!F:F,COSECHAS!A:A,'BASE 2026'!AW:AW,COSECHAS!G:G,"="&amp;A:A)</f>
        <v>37</v>
      </c>
      <c r="AD99" s="186">
        <f>SUMIFS(COSECHAS!M:M,COSECHAS!A:A,'BASE 2026'!AW:AW,COSECHAS!G:G,"="&amp;A:A)</f>
        <v>38.880000000000003</v>
      </c>
      <c r="AE99" s="185">
        <f>IFERROR(TablaPrincipal[[#This Row],[LIBRAS PLANTA]]/TablaPrincipal[[#This Row],[HAS]],"-")</f>
        <v>3853.2204301075262</v>
      </c>
      <c r="AF99" s="185">
        <f>IFERROR(TablaPrincipal[[#This Row],[LIBRAS PLANTA]]*454/TablaPrincipal[[#This Row],[GRAMOS PLANTA]],"-")</f>
        <v>418443.08899176947</v>
      </c>
      <c r="AG99" s="185">
        <f>TablaPrincipal[[#This Row],[LIBRAS RALEO PLANTA]]+TablaPrincipal[[#This Row],[LIBRAS PLANTA]]</f>
        <v>67861.33</v>
      </c>
      <c r="AH99" s="185">
        <f>IFERROR(TablaPrincipal[[#This Row],[CAM COSECHADOS RALEO]]+TablaPrincipal[[#This Row],[CAM COSECHADOS]],"-")</f>
        <v>949462.36213136709</v>
      </c>
      <c r="AI99" s="185">
        <f>IFERROR((TablaPrincipal[[#This Row],[LIBRAS RALEO PLANTA]]+TablaPrincipal[[#This Row],[LIBRAS PLANTA]])/TablaPrincipal[[#This Row],[HAS]],"0")</f>
        <v>7296.9172043010749</v>
      </c>
      <c r="AJ99" s="186">
        <f t="shared" si="1"/>
        <v>3.0927272727272732</v>
      </c>
      <c r="AK99" s="186">
        <f>IFERROR(TablaPrincipal[[#This Row],[LBS/HA]]/TablaPrincipal[[#This Row],[DIAS]],"-")</f>
        <v>82.919513685239494</v>
      </c>
      <c r="AL99" s="186">
        <f>IFERROR(TablaPrincipal[[#This Row],[CAM COSECHADOS TOTALES]]/TablaPrincipal[[#This Row],[ANIM SEMBRADOS]]*100,"-")</f>
        <v>65.13204336349628</v>
      </c>
      <c r="AM99" s="185">
        <v>100033.72500000001</v>
      </c>
      <c r="AN99" s="187">
        <f>IFERROR(((TablaPrincipal[[#This Row],[BALANCEADO ACUMULADO (LBS)]]/2.2046)/TablaPrincipal[[#This Row],[HAS]])/TablaPrincipal[[#This Row],[DIAS]],"-")</f>
        <v>55.443548387096776</v>
      </c>
      <c r="AO99" s="184">
        <f>IFERROR(TablaPrincipal[[#This Row],[BALANCEADO ACUMULADO (LBS)]]/TablaPrincipal[[#This Row],[LIBRAS TOTALES]],"-")</f>
        <v>1.4740902513994347</v>
      </c>
      <c r="AP99" s="184"/>
      <c r="AQ99" s="184" t="s">
        <v>105</v>
      </c>
      <c r="AR99" s="185">
        <f>TablaPrincipal[[#This Row],[LIBRAS RALEO PLANTA]]-TablaPrincipal[[#This Row],[LIBRAS RALEO CAMARONERA]]</f>
        <v>2276.380000000001</v>
      </c>
      <c r="AS99" s="185">
        <f>TablaPrincipal[[#This Row],[LIBRAS PLANTA]]-TablaPrincipal[[#This Row],[LIBRAS CAMARONERA]]</f>
        <v>-1465.0500000000029</v>
      </c>
      <c r="AT99" s="187">
        <f>TablaPrincipal[[#This Row],[GRAMAJE RALEO PLANTA]]-TablaPrincipal[[#This Row],[GRAMAJE RALEO CAMARONERA]]</f>
        <v>2.5</v>
      </c>
      <c r="AU99" s="187">
        <f>TablaPrincipal[[#This Row],[GRAMOS PLANTA]]-TablaPrincipal[[#This Row],[GRAMAJE CAMARONERA]]</f>
        <v>1.8800000000000026</v>
      </c>
      <c r="AV99" s="183" t="str">
        <f>+VLOOKUP(TablaPrincipal[[#This Row],[CODIGO]],TablaCosechas[#All],10,0)</f>
        <v>VICTOR QUINTANA</v>
      </c>
      <c r="AW99" s="183" t="s">
        <v>198</v>
      </c>
      <c r="AX99" s="188" t="str">
        <f>+VLOOKUP(TablaPrincipal[[#This Row],[CODIGO]],TablaCosechas[#All],10,0)</f>
        <v>VICTOR QUINTANA</v>
      </c>
    </row>
    <row r="100" spans="1:50" hidden="1" x14ac:dyDescent="0.25">
      <c r="A100" s="196">
        <v>46056</v>
      </c>
      <c r="B100" s="183">
        <v>98</v>
      </c>
      <c r="C100" s="183">
        <f>YEAR(TablaPrincipal[[#This Row],[FECHA]])</f>
        <v>2026</v>
      </c>
      <c r="D100" s="183" t="s">
        <v>186</v>
      </c>
      <c r="E100" s="183" t="str">
        <f>UPPER(TEXT(TablaPrincipal[[#This Row],[FECHA]],"MMMM"))</f>
        <v>FEBRERO</v>
      </c>
      <c r="F100" s="183" t="str">
        <f>IFERROR(VLOOKUP(TablaPrincipal[[#This Row],[CODIGO]],COSECHAS!A:J,9,0),"-")</f>
        <v>08</v>
      </c>
      <c r="G100" s="183" t="str">
        <f>IFERROR(VLOOKUP(TablaPrincipal[[#This Row],[CODIGO]],COSECHAS!A:I,8,0),"-")</f>
        <v>ROBALO</v>
      </c>
      <c r="H100" s="184">
        <f>IFERROR(VLOOKUP(TablaPrincipal[[#This Row],[CODIGO]],DATOS!A:B,2,0),"-")</f>
        <v>12.79</v>
      </c>
      <c r="I100" s="183" t="str">
        <f>IFERROR(VLOOKUP(TablaPrincipal[[#This Row],[CODIGO]],Tabla8[[#Headers],[#Data]],3,0),"-")</f>
        <v>ASC-BAP</v>
      </c>
      <c r="J100" s="183">
        <f>IFERROR(TablaPrincipal[[#This Row],[FECHA]]-TablaPrincipal[[#This Row],[FECHA DE SIEMBRA]],"-")</f>
        <v>82</v>
      </c>
      <c r="K100" s="196">
        <f>VLOOKUP(TablaPrincipal[[#This Row],[CODIGO]]&amp;TablaPrincipal[[#This Row],[AGUAJE ]],Tabla4[#All],4,0)</f>
        <v>45974</v>
      </c>
      <c r="L100" s="183" t="str">
        <f>VLOOKUP(TablaPrincipal[[#This Row],[CODIGO]]&amp;TablaPrincipal[[#This Row],[AGUAJE ]],Tabla4[#All],15,0)</f>
        <v>RO PC 16 /CA PC 20</v>
      </c>
      <c r="M100" s="184">
        <f>VLOOKUP(TablaPrincipal[[#This Row],[CODIGO]]&amp;TablaPrincipal[[#This Row],[AGUAJE ]],Tabla4[#All],14,0)</f>
        <v>0.5</v>
      </c>
      <c r="N100" s="183">
        <v>5</v>
      </c>
      <c r="O100" s="170">
        <f>VLOOKUP(TablaPrincipal[[#This Row],[CODIGO]]&amp;TablaPrincipal[[#This Row],[AGUAJE ]],Tabla4[#All],5,0)</f>
        <v>2414156</v>
      </c>
      <c r="P100" s="221">
        <f>IFERROR(TablaPrincipal[[#This Row],[ANIM SEMBRADOS]]/TablaPrincipal[[#This Row],[HAS]],"-")</f>
        <v>188753.40109460519</v>
      </c>
      <c r="Q100" s="222">
        <f>IFERROR(TablaPrincipal[[#This Row],[DENSIDAD]]/10000,"-")</f>
        <v>18.87534010946052</v>
      </c>
      <c r="R100" s="183" t="str">
        <f>VLOOKUP(TablaPrincipal[[#This Row],[CODIGO]]&amp;TablaPrincipal[[#This Row],[AGUAJE ]],Tabla4[#All],8,0)</f>
        <v>DEONES</v>
      </c>
      <c r="S100" s="183" t="str">
        <f>VLOOKUP(TablaPrincipal[[#This Row],[CODIGO]]&amp;TablaPrincipal[[#This Row],[AGUAJE ]],Tabla4[#All],7,0)</f>
        <v>TEXCUMAR</v>
      </c>
      <c r="T100" s="183" t="str">
        <f>IF(ISNUMBER(FIND("/",TablaPrincipal[[#This Row],[LABORATORIO]])),"COMBINADO","UNICO")</f>
        <v>UNICO</v>
      </c>
      <c r="U1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29800</v>
      </c>
      <c r="V1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27577.97</v>
      </c>
      <c r="W1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00" s="185">
        <f>IFERROR(TablaPrincipal[[#This Row],[LIBRAS RALEO PLANTA]]/TablaPrincipal[[#This Row],[HAS]],"-")</f>
        <v>2156.213448006255</v>
      </c>
      <c r="Z1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544396.43910306273</v>
      </c>
      <c r="AA10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53500</v>
      </c>
      <c r="AB1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56459.99</v>
      </c>
      <c r="AC100" s="186">
        <f>SUMIFS(COSECHAS!F:F,COSECHAS!A:A,'BASE 2026'!AW:AW,COSECHAS!G:G,"="&amp;A:A)</f>
        <v>34</v>
      </c>
      <c r="AD100" s="186">
        <f>SUMIFS(COSECHAS!M:M,COSECHAS!A:A,'BASE 2026'!AW:AW,COSECHAS!G:G,"="&amp;A:A)</f>
        <v>36.18</v>
      </c>
      <c r="AE100" s="185">
        <f>IFERROR(TablaPrincipal[[#This Row],[LIBRAS PLANTA]]/TablaPrincipal[[#This Row],[HAS]],"-")</f>
        <v>4414.3854573885847</v>
      </c>
      <c r="AF100" s="185">
        <f>IFERROR(TablaPrincipal[[#This Row],[LIBRAS PLANTA]]*454/TablaPrincipal[[#This Row],[GRAMOS PLANTA]],"-")</f>
        <v>708480.80320619128</v>
      </c>
      <c r="AG100" s="185">
        <f>TablaPrincipal[[#This Row],[LIBRAS RALEO PLANTA]]+TablaPrincipal[[#This Row],[LIBRAS PLANTA]]</f>
        <v>84037.959999999992</v>
      </c>
      <c r="AH100" s="185">
        <f>IFERROR(TablaPrincipal[[#This Row],[CAM COSECHADOS RALEO]]+TablaPrincipal[[#This Row],[CAM COSECHADOS]],"-")</f>
        <v>1252877.2423092541</v>
      </c>
      <c r="AI100" s="185">
        <f>IFERROR((TablaPrincipal[[#This Row],[LIBRAS RALEO PLANTA]]+TablaPrincipal[[#This Row],[LIBRAS PLANTA]])/TablaPrincipal[[#This Row],[HAS]],"0")</f>
        <v>6570.5989053948397</v>
      </c>
      <c r="AJ100" s="186">
        <f t="shared" si="1"/>
        <v>3.088536585365854</v>
      </c>
      <c r="AK100" s="186">
        <f>IFERROR(TablaPrincipal[[#This Row],[LBS/HA]]/TablaPrincipal[[#This Row],[DIAS]],"-")</f>
        <v>80.129254943839513</v>
      </c>
      <c r="AL100" s="186">
        <f>IFERROR(TablaPrincipal[[#This Row],[CAM COSECHADOS TOTALES]]/TablaPrincipal[[#This Row],[ANIM SEMBRADOS]]*100,"-")</f>
        <v>51.897111964150376</v>
      </c>
      <c r="AM100" s="185">
        <v>114143.16500000001</v>
      </c>
      <c r="AN100" s="187">
        <f>IFERROR(((TablaPrincipal[[#This Row],[BALANCEADO ACUMULADO (LBS)]]/2.2046)/TablaPrincipal[[#This Row],[HAS]])/TablaPrincipal[[#This Row],[DIAS]],"-")</f>
        <v>49.366883426457413</v>
      </c>
      <c r="AO100" s="184">
        <f>IFERROR(TablaPrincipal[[#This Row],[BALANCEADO ACUMULADO (LBS)]]/TablaPrincipal[[#This Row],[LIBRAS TOTALES]],"-")</f>
        <v>1.3582334102350893</v>
      </c>
      <c r="AP100" s="184"/>
      <c r="AQ100" s="184" t="s">
        <v>105</v>
      </c>
      <c r="AR100" s="185">
        <f>TablaPrincipal[[#This Row],[LIBRAS RALEO PLANTA]]-TablaPrincipal[[#This Row],[LIBRAS RALEO CAMARONERA]]</f>
        <v>-2222.0299999999988</v>
      </c>
      <c r="AS100" s="185">
        <f>TablaPrincipal[[#This Row],[LIBRAS PLANTA]]-TablaPrincipal[[#This Row],[LIBRAS CAMARONERA]]</f>
        <v>2959.989999999998</v>
      </c>
      <c r="AT100" s="187">
        <f>TablaPrincipal[[#This Row],[GRAMAJE RALEO PLANTA]]-TablaPrincipal[[#This Row],[GRAMAJE RALEO CAMARONERA]]</f>
        <v>2.3599999999999994</v>
      </c>
      <c r="AU100" s="187">
        <f>TablaPrincipal[[#This Row],[GRAMOS PLANTA]]-TablaPrincipal[[#This Row],[GRAMAJE CAMARONERA]]</f>
        <v>2.1799999999999997</v>
      </c>
      <c r="AV100" s="183" t="str">
        <f>+VLOOKUP(TablaPrincipal[[#This Row],[CODIGO]],TablaCosechas[#All],10,0)</f>
        <v>VICTOR QUINTANA</v>
      </c>
      <c r="AW100" s="183" t="s">
        <v>199</v>
      </c>
      <c r="AX100" s="188" t="str">
        <f>+VLOOKUP(TablaPrincipal[[#This Row],[CODIGO]],TablaCosechas[#All],10,0)</f>
        <v>VICTOR QUINTANA</v>
      </c>
    </row>
    <row r="101" spans="1:50" hidden="1" x14ac:dyDescent="0.25">
      <c r="A101" s="196">
        <v>46057</v>
      </c>
      <c r="B101" s="183">
        <v>99</v>
      </c>
      <c r="C101" s="183">
        <f>YEAR(TablaPrincipal[[#This Row],[FECHA]])</f>
        <v>2026</v>
      </c>
      <c r="D101" s="183" t="s">
        <v>186</v>
      </c>
      <c r="E101" s="183" t="str">
        <f>UPPER(TEXT(TablaPrincipal[[#This Row],[FECHA]],"MMMM"))</f>
        <v>FEBRERO</v>
      </c>
      <c r="F101" s="183" t="str">
        <f>IFERROR(VLOOKUP(TablaPrincipal[[#This Row],[CODIGO]],COSECHAS!A:J,9,0),"-")</f>
        <v>03</v>
      </c>
      <c r="G101" s="183" t="str">
        <f>IFERROR(VLOOKUP(TablaPrincipal[[#This Row],[CODIGO]],COSECHAS!A:I,8,0),"-")</f>
        <v>CATANUDA</v>
      </c>
      <c r="H101" s="184">
        <f>IFERROR(VLOOKUP(TablaPrincipal[[#This Row],[CODIGO]],DATOS!A:B,2,0),"-")</f>
        <v>9.2200000000000006</v>
      </c>
      <c r="I101" s="183" t="str">
        <f>IFERROR(VLOOKUP(TablaPrincipal[[#This Row],[CODIGO]],Tabla8[[#Headers],[#Data]],3,0),"-")</f>
        <v>ASC-BAP</v>
      </c>
      <c r="J101" s="183">
        <f>IFERROR(TablaPrincipal[[#This Row],[FECHA]]-TablaPrincipal[[#This Row],[FECHA DE SIEMBRA]],"-")</f>
        <v>86</v>
      </c>
      <c r="K101" s="196">
        <f>VLOOKUP(TablaPrincipal[[#This Row],[CODIGO]]&amp;TablaPrincipal[[#This Row],[AGUAJE ]],Tabla4[#All],4,0)</f>
        <v>45971</v>
      </c>
      <c r="L101" s="183" t="str">
        <f>VLOOKUP(TablaPrincipal[[#This Row],[CODIGO]]&amp;TablaPrincipal[[#This Row],[AGUAJE ]],Tabla4[#All],15,0)</f>
        <v>CA 15 - 1B</v>
      </c>
      <c r="M101" s="184">
        <f>VLOOKUP(TablaPrincipal[[#This Row],[CODIGO]]&amp;TablaPrincipal[[#This Row],[AGUAJE ]],Tabla4[#All],14,0)</f>
        <v>0.43</v>
      </c>
      <c r="N101" s="183">
        <v>4</v>
      </c>
      <c r="O101" s="170">
        <f>VLOOKUP(TablaPrincipal[[#This Row],[CODIGO]]&amp;TablaPrincipal[[#This Row],[AGUAJE ]],Tabla4[#All],5,0)</f>
        <v>1844000</v>
      </c>
      <c r="P101" s="221">
        <f>IFERROR(TablaPrincipal[[#This Row],[ANIM SEMBRADOS]]/TablaPrincipal[[#This Row],[HAS]],"-")</f>
        <v>200000</v>
      </c>
      <c r="Q101" s="222">
        <f>IFERROR(TablaPrincipal[[#This Row],[DENSIDAD]]/10000,"-")</f>
        <v>20</v>
      </c>
      <c r="R101" s="183" t="str">
        <f>VLOOKUP(TablaPrincipal[[#This Row],[CODIGO]]&amp;TablaPrincipal[[#This Row],[AGUAJE ]],Tabla4[#All],8,0)</f>
        <v>NEMEN</v>
      </c>
      <c r="S101" s="183" t="str">
        <f>VLOOKUP(TablaPrincipal[[#This Row],[CODIGO]]&amp;TablaPrincipal[[#This Row],[AGUAJE ]],Tabla4[#All],7,0)</f>
        <v>TEXCUMAR</v>
      </c>
      <c r="T101" s="183" t="str">
        <f>IF(ISNUMBER(FIND("/",TablaPrincipal[[#This Row],[LABORATORIO]])),"COMBINADO","UNICO")</f>
        <v>UNICO</v>
      </c>
      <c r="U1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23800</v>
      </c>
      <c r="V1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22582.59</v>
      </c>
      <c r="W1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24.855</v>
      </c>
      <c r="Y101" s="185">
        <f>IFERROR(TablaPrincipal[[#This Row],[LIBRAS RALEO PLANTA]]/TablaPrincipal[[#This Row],[HAS]],"-")</f>
        <v>2449.3047722342731</v>
      </c>
      <c r="Z1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444292.25680136215</v>
      </c>
      <c r="AA10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40700</v>
      </c>
      <c r="AB1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42696.62</v>
      </c>
      <c r="AC101" s="186">
        <f>SUMIFS(COSECHAS!F:F,COSECHAS!A:A,'BASE 2026'!AW:AW,COSECHAS!G:G,"="&amp;A:A)</f>
        <v>30</v>
      </c>
      <c r="AD101" s="186">
        <f>SUMIFS(COSECHAS!M:M,COSECHAS!A:A,'BASE 2026'!AW:AW,COSECHAS!G:G,"="&amp;A:A)</f>
        <v>30.8</v>
      </c>
      <c r="AE101" s="185">
        <f>IFERROR(TablaPrincipal[[#This Row],[LIBRAS PLANTA]]/TablaPrincipal[[#This Row],[HAS]],"-")</f>
        <v>4630.8698481561823</v>
      </c>
      <c r="AF101" s="185">
        <f>IFERROR(TablaPrincipal[[#This Row],[LIBRAS PLANTA]]*454/TablaPrincipal[[#This Row],[GRAMOS PLANTA]],"-")</f>
        <v>629359.26883116888</v>
      </c>
      <c r="AG101" s="185">
        <f>TablaPrincipal[[#This Row],[LIBRAS RALEO PLANTA]]+TablaPrincipal[[#This Row],[LIBRAS PLANTA]]</f>
        <v>65279.210000000006</v>
      </c>
      <c r="AH101" s="185">
        <f>IFERROR(TablaPrincipal[[#This Row],[CAM COSECHADOS RALEO]]+TablaPrincipal[[#This Row],[CAM COSECHADOS]],"-")</f>
        <v>1073651.5256325309</v>
      </c>
      <c r="AI101" s="185">
        <f>IFERROR((TablaPrincipal[[#This Row],[LIBRAS RALEO PLANTA]]+TablaPrincipal[[#This Row],[LIBRAS PLANTA]])/TablaPrincipal[[#This Row],[HAS]],"0")</f>
        <v>7080.1746203904559</v>
      </c>
      <c r="AJ101" s="186">
        <f t="shared" si="1"/>
        <v>2.5069767441860464</v>
      </c>
      <c r="AK101" s="186">
        <f>IFERROR(TablaPrincipal[[#This Row],[LBS/HA]]/TablaPrincipal[[#This Row],[DIAS]],"-")</f>
        <v>82.327611865005295</v>
      </c>
      <c r="AL101" s="186">
        <f>IFERROR(TablaPrincipal[[#This Row],[CAM COSECHADOS TOTALES]]/TablaPrincipal[[#This Row],[ANIM SEMBRADOS]]*100,"-")</f>
        <v>58.224052366189319</v>
      </c>
      <c r="AM101" s="185">
        <v>103009.93500000001</v>
      </c>
      <c r="AN101" s="187">
        <f>IFERROR(((TablaPrincipal[[#This Row],[BALANCEADO ACUMULADO (LBS)]]/2.2046)/TablaPrincipal[[#This Row],[HAS]])/TablaPrincipal[[#This Row],[DIAS]],"-")</f>
        <v>58.927760682036016</v>
      </c>
      <c r="AO101" s="184">
        <f>IFERROR(TablaPrincipal[[#This Row],[BALANCEADO ACUMULADO (LBS)]]/TablaPrincipal[[#This Row],[LIBRAS TOTALES]],"-")</f>
        <v>1.5779899144000058</v>
      </c>
      <c r="AP101" s="184"/>
      <c r="AQ101" s="184" t="s">
        <v>105</v>
      </c>
      <c r="AR101" s="185">
        <f>TablaPrincipal[[#This Row],[LIBRAS RALEO PLANTA]]-TablaPrincipal[[#This Row],[LIBRAS RALEO CAMARONERA]]</f>
        <v>-1217.4099999999999</v>
      </c>
      <c r="AS101" s="185">
        <f>TablaPrincipal[[#This Row],[LIBRAS PLANTA]]-TablaPrincipal[[#This Row],[LIBRAS CAMARONERA]]</f>
        <v>1996.6200000000026</v>
      </c>
      <c r="AT101" s="187">
        <f>TablaPrincipal[[#This Row],[GRAMAJE RALEO PLANTA]]-TablaPrincipal[[#This Row],[GRAMAJE RALEO CAMARONERA]]</f>
        <v>2.3550000000000004</v>
      </c>
      <c r="AU101" s="187">
        <f>TablaPrincipal[[#This Row],[GRAMOS PLANTA]]-TablaPrincipal[[#This Row],[GRAMAJE CAMARONERA]]</f>
        <v>0.80000000000000071</v>
      </c>
      <c r="AV101" s="183" t="str">
        <f>+VLOOKUP(TablaPrincipal[[#This Row],[CODIGO]],TablaCosechas[#All],10,0)</f>
        <v>VICTOR QUINTANA</v>
      </c>
      <c r="AW101" s="183" t="s">
        <v>200</v>
      </c>
      <c r="AX101" s="188" t="str">
        <f>+VLOOKUP(TablaPrincipal[[#This Row],[CODIGO]],TablaCosechas[#All],10,0)</f>
        <v>VICTOR QUINTANA</v>
      </c>
    </row>
    <row r="102" spans="1:50" hidden="1" x14ac:dyDescent="0.25">
      <c r="A102" s="196">
        <v>46057</v>
      </c>
      <c r="B102" s="183">
        <v>100</v>
      </c>
      <c r="C102" s="183">
        <f>YEAR(TablaPrincipal[[#This Row],[FECHA]])</f>
        <v>2026</v>
      </c>
      <c r="D102" s="183" t="s">
        <v>186</v>
      </c>
      <c r="E102" s="183" t="str">
        <f>UPPER(TEXT(TablaPrincipal[[#This Row],[FECHA]],"MMMM"))</f>
        <v>FEBRERO</v>
      </c>
      <c r="F102" s="183" t="str">
        <f>IFERROR(VLOOKUP(TablaPrincipal[[#This Row],[CODIGO]],COSECHAS!A:J,9,0),"-")</f>
        <v>11</v>
      </c>
      <c r="G102" s="183" t="str">
        <f>IFERROR(VLOOKUP(TablaPrincipal[[#This Row],[CODIGO]],COSECHAS!A:I,8,0),"-")</f>
        <v>TAMBULERO</v>
      </c>
      <c r="H102" s="184">
        <f>IFERROR(VLOOKUP(TablaPrincipal[[#This Row],[CODIGO]],DATOS!A:B,2,0),"-")</f>
        <v>1.7</v>
      </c>
      <c r="I102" s="183" t="str">
        <f>IFERROR(VLOOKUP(TablaPrincipal[[#This Row],[CODIGO]],Tabla8[[#Headers],[#Data]],3,0),"-")</f>
        <v>ASC-BAP</v>
      </c>
      <c r="J102" s="183">
        <f>IFERROR(TablaPrincipal[[#This Row],[FECHA]]-TablaPrincipal[[#This Row],[FECHA DE SIEMBRA]],"-")</f>
        <v>77</v>
      </c>
      <c r="K102" s="196">
        <f>VLOOKUP(TablaPrincipal[[#This Row],[CODIGO]]&amp;TablaPrincipal[[#This Row],[AGUAJE ]],Tabla4[#All],4,0)</f>
        <v>45980</v>
      </c>
      <c r="L102" s="183" t="str">
        <f>VLOOKUP(TablaPrincipal[[#This Row],[CODIGO]]&amp;TablaPrincipal[[#This Row],[AGUAJE ]],Tabla4[#All],15,0)</f>
        <v>TI 39</v>
      </c>
      <c r="M102" s="184">
        <f>VLOOKUP(TablaPrincipal[[#This Row],[CODIGO]]&amp;TablaPrincipal[[#This Row],[AGUAJE ]],Tabla4[#All],14,0)</f>
        <v>0.65</v>
      </c>
      <c r="N102" s="183">
        <v>5</v>
      </c>
      <c r="O102" s="170">
        <f>VLOOKUP(TablaPrincipal[[#This Row],[CODIGO]]&amp;TablaPrincipal[[#This Row],[AGUAJE ]],Tabla4[#All],5,0)</f>
        <v>289000</v>
      </c>
      <c r="P102" s="221">
        <f>IFERROR(TablaPrincipal[[#This Row],[ANIM SEMBRADOS]]/TablaPrincipal[[#This Row],[HAS]],"-")</f>
        <v>170000</v>
      </c>
      <c r="Q102" s="222">
        <f>IFERROR(TablaPrincipal[[#This Row],[DENSIDAD]]/10000,"-")</f>
        <v>17</v>
      </c>
      <c r="R102" s="183" t="str">
        <f>VLOOKUP(TablaPrincipal[[#This Row],[CODIGO]]&amp;TablaPrincipal[[#This Row],[AGUAJE ]],Tabla4[#All],8,0)</f>
        <v>TECSERV</v>
      </c>
      <c r="S102" s="183" t="str">
        <f>VLOOKUP(TablaPrincipal[[#This Row],[CODIGO]]&amp;TablaPrincipal[[#This Row],[AGUAJE ]],Tabla4[#All],7,0)</f>
        <v>TEXCUMAR</v>
      </c>
      <c r="T102" s="183" t="str">
        <f>IF(ISNUMBER(FIND("/",TablaPrincipal[[#This Row],[LABORATORIO]])),"COMBINADO","UNICO")</f>
        <v>UNICO</v>
      </c>
      <c r="U1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2" s="185">
        <f>IFERROR(TablaPrincipal[[#This Row],[LIBRAS RALEO PLANTA]]/TablaPrincipal[[#This Row],[HAS]],"-")</f>
        <v>0</v>
      </c>
      <c r="Z1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13150</v>
      </c>
      <c r="AB1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12776.93</v>
      </c>
      <c r="AC102" s="186">
        <f>SUMIFS(COSECHAS!F:F,COSECHAS!A:A,'BASE 2026'!AW:AW,COSECHAS!G:G,"="&amp;A:A)</f>
        <v>40</v>
      </c>
      <c r="AD102" s="186">
        <f>SUMIFS(COSECHAS!M:M,COSECHAS!A:A,'BASE 2026'!AW:AW,COSECHAS!G:G,"="&amp;A:A)</f>
        <v>39.24</v>
      </c>
      <c r="AE102" s="185">
        <f>IFERROR(TablaPrincipal[[#This Row],[LIBRAS PLANTA]]/TablaPrincipal[[#This Row],[HAS]],"-")</f>
        <v>7515.8411764705888</v>
      </c>
      <c r="AF102" s="185">
        <f>IFERROR(TablaPrincipal[[#This Row],[LIBRAS PLANTA]]*454/TablaPrincipal[[#This Row],[GRAMOS PLANTA]],"-")</f>
        <v>147826.86595310905</v>
      </c>
      <c r="AG102" s="185">
        <f>TablaPrincipal[[#This Row],[LIBRAS RALEO PLANTA]]+TablaPrincipal[[#This Row],[LIBRAS PLANTA]]</f>
        <v>12776.93</v>
      </c>
      <c r="AH102" s="185">
        <f>IFERROR(TablaPrincipal[[#This Row],[CAM COSECHADOS RALEO]]+TablaPrincipal[[#This Row],[CAM COSECHADOS]],"-")</f>
        <v>147826.86595310905</v>
      </c>
      <c r="AI102" s="185">
        <f>IFERROR((TablaPrincipal[[#This Row],[LIBRAS RALEO PLANTA]]+TablaPrincipal[[#This Row],[LIBRAS PLANTA]])/TablaPrincipal[[#This Row],[HAS]],"0")</f>
        <v>7515.8411764705888</v>
      </c>
      <c r="AJ102" s="186">
        <f t="shared" si="1"/>
        <v>3.5672727272727274</v>
      </c>
      <c r="AK102" s="186">
        <f>IFERROR(TablaPrincipal[[#This Row],[LBS/HA]]/TablaPrincipal[[#This Row],[DIAS]],"-")</f>
        <v>97.608326967150504</v>
      </c>
      <c r="AL102" s="186">
        <f>IFERROR(TablaPrincipal[[#This Row],[CAM COSECHADOS TOTALES]]/TablaPrincipal[[#This Row],[ANIM SEMBRADOS]]*100,"-")</f>
        <v>51.151164689657115</v>
      </c>
      <c r="AM102" s="185">
        <v>18805.238000000001</v>
      </c>
      <c r="AN102" s="187">
        <f>IFERROR(((TablaPrincipal[[#This Row],[BALANCEADO ACUMULADO (LBS)]]/2.2046)/TablaPrincipal[[#This Row],[HAS]])/TablaPrincipal[[#This Row],[DIAS]],"-")</f>
        <v>65.164247517188699</v>
      </c>
      <c r="AO102" s="184">
        <f>IFERROR(TablaPrincipal[[#This Row],[BALANCEADO ACUMULADO (LBS)]]/TablaPrincipal[[#This Row],[LIBRAS TOTALES]],"-")</f>
        <v>1.4718119297828196</v>
      </c>
      <c r="AP102" s="184"/>
      <c r="AQ102" s="184" t="s">
        <v>105</v>
      </c>
      <c r="AR102" s="185">
        <f>TablaPrincipal[[#This Row],[LIBRAS RALEO PLANTA]]-TablaPrincipal[[#This Row],[LIBRAS RALEO CAMARONERA]]</f>
        <v>0</v>
      </c>
      <c r="AS102" s="185">
        <f>TablaPrincipal[[#This Row],[LIBRAS PLANTA]]-TablaPrincipal[[#This Row],[LIBRAS CAMARONERA]]</f>
        <v>-373.06999999999971</v>
      </c>
      <c r="AT102" s="187">
        <f>TablaPrincipal[[#This Row],[GRAMAJE RALEO PLANTA]]-TablaPrincipal[[#This Row],[GRAMAJE RALEO CAMARONERA]]</f>
        <v>0</v>
      </c>
      <c r="AU102" s="187">
        <f>TablaPrincipal[[#This Row],[GRAMOS PLANTA]]-TablaPrincipal[[#This Row],[GRAMAJE CAMARONERA]]</f>
        <v>-0.75999999999999801</v>
      </c>
      <c r="AV102" s="183" t="str">
        <f>+VLOOKUP(TablaPrincipal[[#This Row],[CODIGO]],TablaCosechas[#All],10,0)</f>
        <v>ALFONSO GRUNAUER</v>
      </c>
      <c r="AW102" s="183" t="s">
        <v>201</v>
      </c>
      <c r="AX102" s="188" t="str">
        <f>+VLOOKUP(TablaPrincipal[[#This Row],[CODIGO]],TablaCosechas[#All],10,0)</f>
        <v>ALFONSO GRUNAUER</v>
      </c>
    </row>
    <row r="103" spans="1:50" hidden="1" x14ac:dyDescent="0.25">
      <c r="A103" s="196">
        <v>46058</v>
      </c>
      <c r="B103" s="183">
        <v>101</v>
      </c>
      <c r="C103" s="183">
        <f>YEAR(TablaPrincipal[[#This Row],[FECHA]])</f>
        <v>2026</v>
      </c>
      <c r="D103" s="183" t="s">
        <v>186</v>
      </c>
      <c r="E103" s="183" t="str">
        <f>UPPER(TEXT(TablaPrincipal[[#This Row],[FECHA]],"MMMM"))</f>
        <v>FEBRERO</v>
      </c>
      <c r="F103" s="183" t="str">
        <f>IFERROR(VLOOKUP(TablaPrincipal[[#This Row],[CODIGO]],COSECHAS!A:J,9,0),"-")</f>
        <v>04</v>
      </c>
      <c r="G103" s="183" t="str">
        <f>IFERROR(VLOOKUP(TablaPrincipal[[#This Row],[CODIGO]],COSECHAS!A:I,8,0),"-")</f>
        <v>BARRACUDA</v>
      </c>
      <c r="H103" s="184">
        <f>IFERROR(VLOOKUP(TablaPrincipal[[#This Row],[CODIGO]],DATOS!A:B,2,0),"-")</f>
        <v>10</v>
      </c>
      <c r="I103" s="183" t="str">
        <f>IFERROR(VLOOKUP(TablaPrincipal[[#This Row],[CODIGO]],Tabla8[[#Headers],[#Data]],3,0),"-")</f>
        <v>CONVENCIONAL</v>
      </c>
      <c r="J103" s="183">
        <f>IFERROR(TablaPrincipal[[#This Row],[FECHA]]-TablaPrincipal[[#This Row],[FECHA DE SIEMBRA]],"-")</f>
        <v>78</v>
      </c>
      <c r="K103" s="196">
        <f>VLOOKUP(TablaPrincipal[[#This Row],[CODIGO]]&amp;TablaPrincipal[[#This Row],[AGUAJE ]],Tabla4[#All],4,0)</f>
        <v>45980</v>
      </c>
      <c r="L103" s="183" t="str">
        <f>VLOOKUP(TablaPrincipal[[#This Row],[CODIGO]]&amp;TablaPrincipal[[#This Row],[AGUAJE ]],Tabla4[#All],15,0)</f>
        <v>MA PC 12/PA PC 7</v>
      </c>
      <c r="M103" s="184">
        <f>VLOOKUP(TablaPrincipal[[#This Row],[CODIGO]]&amp;TablaPrincipal[[#This Row],[AGUAJE ]],Tabla4[#All],14,0)</f>
        <v>0.77</v>
      </c>
      <c r="N103" s="183">
        <v>16</v>
      </c>
      <c r="O103" s="170">
        <f>VLOOKUP(TablaPrincipal[[#This Row],[CODIGO]]&amp;TablaPrincipal[[#This Row],[AGUAJE ]],Tabla4[#All],5,0)</f>
        <v>1333364</v>
      </c>
      <c r="P103" s="221">
        <f>IFERROR(TablaPrincipal[[#This Row],[ANIM SEMBRADOS]]/TablaPrincipal[[#This Row],[HAS]],"-")</f>
        <v>133336.4</v>
      </c>
      <c r="Q103" s="222">
        <f>IFERROR(TablaPrincipal[[#This Row],[DENSIDAD]]/10000,"-")</f>
        <v>13.333639999999999</v>
      </c>
      <c r="R103" s="183" t="str">
        <f>VLOOKUP(TablaPrincipal[[#This Row],[CODIGO]]&amp;TablaPrincipal[[#This Row],[AGUAJE ]],Tabla4[#All],8,0)</f>
        <v>BIOLACAM/EMPAGRAN</v>
      </c>
      <c r="S103" s="183" t="str">
        <f>VLOOKUP(TablaPrincipal[[#This Row],[CODIGO]]&amp;TablaPrincipal[[#This Row],[AGUAJE ]],Tabla4[#All],7,0)</f>
        <v>TEXCUMAR/EMPAGRAN</v>
      </c>
      <c r="T103" s="183" t="str">
        <f>IF(ISNUMBER(FIND("/",TablaPrincipal[[#This Row],[LABORATORIO]])),"COMBINADO","UNICO")</f>
        <v>COMBINADO</v>
      </c>
      <c r="U1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10400</v>
      </c>
      <c r="V1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10514.75</v>
      </c>
      <c r="W1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34.479999999999997</v>
      </c>
      <c r="Y103" s="185">
        <f>IFERROR(TablaPrincipal[[#This Row],[LIBRAS RALEO PLANTA]]/TablaPrincipal[[#This Row],[HAS]],"-")</f>
        <v>1051.4749999999999</v>
      </c>
      <c r="Z1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138448.27436194898</v>
      </c>
      <c r="AA10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21700</v>
      </c>
      <c r="AB1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23565.45</v>
      </c>
      <c r="AC103" s="186">
        <f>SUMIFS(COSECHAS!F:F,COSECHAS!A:A,'BASE 2026'!AW:AW,COSECHAS!G:G,"="&amp;A:A)</f>
        <v>40</v>
      </c>
      <c r="AD103" s="186">
        <f>SUMIFS(COSECHAS!M:M,COSECHAS!A:A,'BASE 2026'!AW:AW,COSECHAS!G:G,"="&amp;A:A)</f>
        <v>45.67</v>
      </c>
      <c r="AE103" s="185">
        <f>IFERROR(TablaPrincipal[[#This Row],[LIBRAS PLANTA]]/TablaPrincipal[[#This Row],[HAS]],"-")</f>
        <v>2356.5450000000001</v>
      </c>
      <c r="AF103" s="185">
        <f>IFERROR(TablaPrincipal[[#This Row],[LIBRAS PLANTA]]*454/TablaPrincipal[[#This Row],[GRAMOS PLANTA]],"-")</f>
        <v>234261.31596233853</v>
      </c>
      <c r="AG103" s="185">
        <f>TablaPrincipal[[#This Row],[LIBRAS RALEO PLANTA]]+TablaPrincipal[[#This Row],[LIBRAS PLANTA]]</f>
        <v>34080.199999999997</v>
      </c>
      <c r="AH103" s="185">
        <f>IFERROR(TablaPrincipal[[#This Row],[CAM COSECHADOS RALEO]]+TablaPrincipal[[#This Row],[CAM COSECHADOS]],"-")</f>
        <v>372709.59032428754</v>
      </c>
      <c r="AI103" s="185">
        <f>IFERROR((TablaPrincipal[[#This Row],[LIBRAS RALEO PLANTA]]+TablaPrincipal[[#This Row],[LIBRAS PLANTA]])/TablaPrincipal[[#This Row],[HAS]],"0")</f>
        <v>3408.0199999999995</v>
      </c>
      <c r="AJ103" s="186">
        <f t="shared" si="1"/>
        <v>4.098589743589744</v>
      </c>
      <c r="AK103" s="186">
        <f>IFERROR(TablaPrincipal[[#This Row],[LBS/HA]]/TablaPrincipal[[#This Row],[DIAS]],"-")</f>
        <v>43.692564102564099</v>
      </c>
      <c r="AL103" s="186">
        <f>IFERROR(TablaPrincipal[[#This Row],[CAM COSECHADOS TOTALES]]/TablaPrincipal[[#This Row],[ANIM SEMBRADOS]]*100,"-")</f>
        <v>27.95257636506517</v>
      </c>
      <c r="AM103" s="185">
        <v>59358.855000000003</v>
      </c>
      <c r="AN103" s="187">
        <f>IFERROR(((TablaPrincipal[[#This Row],[BALANCEADO ACUMULADO (LBS)]]/2.2046)/TablaPrincipal[[#This Row],[HAS]])/TablaPrincipal[[#This Row],[DIAS]],"-")</f>
        <v>34.519230769230766</v>
      </c>
      <c r="AO103" s="184">
        <f>IFERROR(TablaPrincipal[[#This Row],[BALANCEADO ACUMULADO (LBS)]]/TablaPrincipal[[#This Row],[LIBRAS TOTALES]],"-")</f>
        <v>1.741740218660689</v>
      </c>
      <c r="AP103" s="184"/>
      <c r="AQ103" s="184" t="s">
        <v>105</v>
      </c>
      <c r="AR103" s="185">
        <f>TablaPrincipal[[#This Row],[LIBRAS RALEO PLANTA]]-TablaPrincipal[[#This Row],[LIBRAS RALEO CAMARONERA]]</f>
        <v>114.75</v>
      </c>
      <c r="AS103" s="185">
        <f>TablaPrincipal[[#This Row],[LIBRAS PLANTA]]-TablaPrincipal[[#This Row],[LIBRAS CAMARONERA]]</f>
        <v>1865.4500000000007</v>
      </c>
      <c r="AT103" s="187">
        <f>TablaPrincipal[[#This Row],[GRAMAJE RALEO PLANTA]]-TablaPrincipal[[#This Row],[GRAMAJE RALEO CAMARONERA]]</f>
        <v>7.4799999999999969</v>
      </c>
      <c r="AU103" s="187">
        <f>TablaPrincipal[[#This Row],[GRAMOS PLANTA]]-TablaPrincipal[[#This Row],[GRAMAJE CAMARONERA]]</f>
        <v>5.6700000000000017</v>
      </c>
      <c r="AV103" s="183" t="str">
        <f>+VLOOKUP(TablaPrincipal[[#This Row],[CODIGO]],TablaCosechas[#All],10,0)</f>
        <v>GUSTAVO CARRASCO</v>
      </c>
      <c r="AW103" s="183" t="s">
        <v>202</v>
      </c>
      <c r="AX103" s="188" t="str">
        <f>+VLOOKUP(TablaPrincipal[[#This Row],[CODIGO]],TablaCosechas[#All],10,0)</f>
        <v>GUSTAVO CARRASCO</v>
      </c>
    </row>
    <row r="104" spans="1:50" hidden="1" x14ac:dyDescent="0.25">
      <c r="A104" s="196">
        <v>46058</v>
      </c>
      <c r="B104" s="183">
        <v>102</v>
      </c>
      <c r="C104" s="183">
        <f>YEAR(TablaPrincipal[[#This Row],[FECHA]])</f>
        <v>2026</v>
      </c>
      <c r="D104" s="183" t="s">
        <v>186</v>
      </c>
      <c r="E104" s="183" t="str">
        <f>UPPER(TEXT(TablaPrincipal[[#This Row],[FECHA]],"MMMM"))</f>
        <v>FEBRERO</v>
      </c>
      <c r="F104" s="183" t="str">
        <f>IFERROR(VLOOKUP(TablaPrincipal[[#This Row],[CODIGO]],COSECHAS!A:J,9,0),"-")</f>
        <v>04</v>
      </c>
      <c r="G104" s="183" t="str">
        <f>IFERROR(VLOOKUP(TablaPrincipal[[#This Row],[CODIGO]],COSECHAS!A:I,8,0),"-")</f>
        <v>CATANUDA</v>
      </c>
      <c r="H104" s="184">
        <f>IFERROR(VLOOKUP(TablaPrincipal[[#This Row],[CODIGO]],DATOS!A:B,2,0),"-")</f>
        <v>10.3</v>
      </c>
      <c r="I104" s="183" t="str">
        <f>IFERROR(VLOOKUP(TablaPrincipal[[#This Row],[CODIGO]],Tabla8[[#Headers],[#Data]],3,0),"-")</f>
        <v>ASC-BAP</v>
      </c>
      <c r="J104" s="183">
        <f>IFERROR(TablaPrincipal[[#This Row],[FECHA]]-TablaPrincipal[[#This Row],[FECHA DE SIEMBRA]],"-")</f>
        <v>85</v>
      </c>
      <c r="K104" s="196">
        <f>VLOOKUP(TablaPrincipal[[#This Row],[CODIGO]]&amp;TablaPrincipal[[#This Row],[AGUAJE ]],Tabla4[#All],4,0)</f>
        <v>45973</v>
      </c>
      <c r="L104" s="183" t="str">
        <f>VLOOKUP(TablaPrincipal[[#This Row],[CODIGO]]&amp;TablaPrincipal[[#This Row],[AGUAJE ]],Tabla4[#All],15,0)</f>
        <v>CA PC 1A - 6 /RO PC 16</v>
      </c>
      <c r="M104" s="184">
        <f>VLOOKUP(TablaPrincipal[[#This Row],[CODIGO]]&amp;TablaPrincipal[[#This Row],[AGUAJE ]],Tabla4[#All],14,0)</f>
        <v>0.44</v>
      </c>
      <c r="N104" s="183">
        <v>5</v>
      </c>
      <c r="O104" s="170">
        <f>VLOOKUP(TablaPrincipal[[#This Row],[CODIGO]]&amp;TablaPrincipal[[#This Row],[AGUAJE ]],Tabla4[#All],5,0)</f>
        <v>1745000</v>
      </c>
      <c r="P104" s="221">
        <f>IFERROR(TablaPrincipal[[#This Row],[ANIM SEMBRADOS]]/TablaPrincipal[[#This Row],[HAS]],"-")</f>
        <v>169417.47572815532</v>
      </c>
      <c r="Q104" s="222">
        <f>IFERROR(TablaPrincipal[[#This Row],[DENSIDAD]]/10000,"-")</f>
        <v>16.941747572815533</v>
      </c>
      <c r="R104" s="183" t="str">
        <f>VLOOKUP(TablaPrincipal[[#This Row],[CODIGO]]&amp;TablaPrincipal[[#This Row],[AGUAJE ]],Tabla4[#All],8,0)</f>
        <v>ACUATECSA/GRILSAN</v>
      </c>
      <c r="S104" s="183" t="str">
        <f>VLOOKUP(TablaPrincipal[[#This Row],[CODIGO]]&amp;TablaPrincipal[[#This Row],[AGUAJE ]],Tabla4[#All],7,0)</f>
        <v>TEXCUMAR/AQUAGEN</v>
      </c>
      <c r="T104" s="183" t="str">
        <f>IF(ISNUMBER(FIND("/",TablaPrincipal[[#This Row],[LABORATORIO]])),"COMBINADO","UNICO")</f>
        <v>COMBINADO</v>
      </c>
      <c r="U1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20600</v>
      </c>
      <c r="V1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21037.82</v>
      </c>
      <c r="W1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</v>
      </c>
      <c r="Y104" s="185">
        <f>IFERROR(TablaPrincipal[[#This Row],[LIBRAS RALEO PLANTA]]/TablaPrincipal[[#This Row],[HAS]],"-")</f>
        <v>2042.5067961165046</v>
      </c>
      <c r="Z1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368848.82753572939</v>
      </c>
      <c r="AA10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54300</v>
      </c>
      <c r="AB1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54809.19</v>
      </c>
      <c r="AC104" s="186">
        <f>SUMIFS(COSECHAS!F:F,COSECHAS!A:A,'BASE 2026'!AW:AW,COSECHAS!G:G,"="&amp;A:A)</f>
        <v>36.5</v>
      </c>
      <c r="AD104" s="186">
        <f>SUMIFS(COSECHAS!M:M,COSECHAS!A:A,'BASE 2026'!AW:AW,COSECHAS!G:G,"="&amp;A:A)</f>
        <v>35.29</v>
      </c>
      <c r="AE104" s="185">
        <f>IFERROR(TablaPrincipal[[#This Row],[LIBRAS PLANTA]]/TablaPrincipal[[#This Row],[HAS]],"-")</f>
        <v>5321.2805825242713</v>
      </c>
      <c r="AF104" s="185">
        <f>IFERROR(TablaPrincipal[[#This Row],[LIBRAS PLANTA]]*454/TablaPrincipal[[#This Row],[GRAMOS PLANTA]],"-")</f>
        <v>705111.14366676123</v>
      </c>
      <c r="AG104" s="185">
        <f>TablaPrincipal[[#This Row],[LIBRAS RALEO PLANTA]]+TablaPrincipal[[#This Row],[LIBRAS PLANTA]]</f>
        <v>75847.010000000009</v>
      </c>
      <c r="AH104" s="185">
        <f>IFERROR(TablaPrincipal[[#This Row],[CAM COSECHADOS RALEO]]+TablaPrincipal[[#This Row],[CAM COSECHADOS]],"-")</f>
        <v>1073959.9712024906</v>
      </c>
      <c r="AI104" s="185">
        <f>IFERROR((TablaPrincipal[[#This Row],[LIBRAS RALEO PLANTA]]+TablaPrincipal[[#This Row],[LIBRAS PLANTA]])/TablaPrincipal[[#This Row],[HAS]],"0")</f>
        <v>7363.7873786407772</v>
      </c>
      <c r="AJ104" s="186">
        <f t="shared" si="1"/>
        <v>2.9062352941176472</v>
      </c>
      <c r="AK104" s="186">
        <f>IFERROR(TablaPrincipal[[#This Row],[LBS/HA]]/TablaPrincipal[[#This Row],[DIAS]],"-")</f>
        <v>86.632792689891502</v>
      </c>
      <c r="AL104" s="186">
        <f>IFERROR(TablaPrincipal[[#This Row],[CAM COSECHADOS TOTALES]]/TablaPrincipal[[#This Row],[ANIM SEMBRADOS]]*100,"-")</f>
        <v>61.544984023065361</v>
      </c>
      <c r="AM104" s="185">
        <v>102088.41220000001</v>
      </c>
      <c r="AN104" s="187">
        <f>IFERROR(((TablaPrincipal[[#This Row],[BALANCEADO ACUMULADO (LBS)]]/2.2046)/TablaPrincipal[[#This Row],[HAS]])/TablaPrincipal[[#This Row],[DIAS]],"-")</f>
        <v>52.892061679040545</v>
      </c>
      <c r="AO104" s="184">
        <f>IFERROR(TablaPrincipal[[#This Row],[BALANCEADO ACUMULADO (LBS)]]/TablaPrincipal[[#This Row],[LIBRAS TOTALES]],"-")</f>
        <v>1.345978070856056</v>
      </c>
      <c r="AP104" s="184"/>
      <c r="AQ104" s="184" t="s">
        <v>105</v>
      </c>
      <c r="AR104" s="185">
        <f>TablaPrincipal[[#This Row],[LIBRAS RALEO PLANTA]]-TablaPrincipal[[#This Row],[LIBRAS RALEO CAMARONERA]]</f>
        <v>437.81999999999971</v>
      </c>
      <c r="AS104" s="185">
        <f>TablaPrincipal[[#This Row],[LIBRAS PLANTA]]-TablaPrincipal[[#This Row],[LIBRAS CAMARONERA]]</f>
        <v>509.19000000000233</v>
      </c>
      <c r="AT104" s="187">
        <f>TablaPrincipal[[#This Row],[GRAMAJE RALEO PLANTA]]-TablaPrincipal[[#This Row],[GRAMAJE RALEO CAMARONERA]]</f>
        <v>1.8200000000000003</v>
      </c>
      <c r="AU104" s="187">
        <f>TablaPrincipal[[#This Row],[GRAMOS PLANTA]]-TablaPrincipal[[#This Row],[GRAMAJE CAMARONERA]]</f>
        <v>-1.2100000000000009</v>
      </c>
      <c r="AV104" s="183" t="str">
        <f>+VLOOKUP(TablaPrincipal[[#This Row],[CODIGO]],TablaCosechas[#All],10,0)</f>
        <v>VICTOR QUINTANA</v>
      </c>
      <c r="AW104" s="183" t="s">
        <v>203</v>
      </c>
      <c r="AX104" s="188" t="str">
        <f>+VLOOKUP(TablaPrincipal[[#This Row],[CODIGO]],TablaCosechas[#All],10,0)</f>
        <v>VICTOR QUINTANA</v>
      </c>
    </row>
    <row r="105" spans="1:50" hidden="1" x14ac:dyDescent="0.25">
      <c r="A105" s="196">
        <v>46058</v>
      </c>
      <c r="B105" s="183">
        <v>103</v>
      </c>
      <c r="C105" s="183">
        <f>YEAR(TablaPrincipal[[#This Row],[FECHA]])</f>
        <v>2026</v>
      </c>
      <c r="D105" s="183" t="s">
        <v>186</v>
      </c>
      <c r="E105" s="183" t="str">
        <f>UPPER(TEXT(TablaPrincipal[[#This Row],[FECHA]],"MMMM"))</f>
        <v>FEBRERO</v>
      </c>
      <c r="F105" s="183" t="str">
        <f>IFERROR(VLOOKUP(TablaPrincipal[[#This Row],[CODIGO]],COSECHAS!A:J,9,0),"-")</f>
        <v>17</v>
      </c>
      <c r="G105" s="183" t="str">
        <f>IFERROR(VLOOKUP(TablaPrincipal[[#This Row],[CODIGO]],COSECHAS!A:I,8,0),"-")</f>
        <v>TAMBULERO</v>
      </c>
      <c r="H105" s="184">
        <f>IFERROR(VLOOKUP(TablaPrincipal[[#This Row],[CODIGO]],DATOS!A:B,2,0),"-")</f>
        <v>1.5</v>
      </c>
      <c r="I105" s="183" t="str">
        <f>IFERROR(VLOOKUP(TablaPrincipal[[#This Row],[CODIGO]],Tabla8[[#Headers],[#Data]],3,0),"-")</f>
        <v>ASC-BAP</v>
      </c>
      <c r="J105" s="183">
        <f>IFERROR(TablaPrincipal[[#This Row],[FECHA]]-TablaPrincipal[[#This Row],[FECHA DE SIEMBRA]],"-")</f>
        <v>78</v>
      </c>
      <c r="K105" s="196">
        <f>VLOOKUP(TablaPrincipal[[#This Row],[CODIGO]]&amp;TablaPrincipal[[#This Row],[AGUAJE ]],Tabla4[#All],4,0)</f>
        <v>45980</v>
      </c>
      <c r="L105" s="183" t="str">
        <f>VLOOKUP(TablaPrincipal[[#This Row],[CODIGO]]&amp;TablaPrincipal[[#This Row],[AGUAJE ]],Tabla4[#All],15,0)</f>
        <v>TI PC 39</v>
      </c>
      <c r="M105" s="184">
        <f>VLOOKUP(TablaPrincipal[[#This Row],[CODIGO]]&amp;TablaPrincipal[[#This Row],[AGUAJE ]],Tabla4[#All],14,0)</f>
        <v>0.65</v>
      </c>
      <c r="N105" s="183">
        <v>5</v>
      </c>
      <c r="O105" s="170">
        <f>VLOOKUP(TablaPrincipal[[#This Row],[CODIGO]]&amp;TablaPrincipal[[#This Row],[AGUAJE ]],Tabla4[#All],5,0)</f>
        <v>255000</v>
      </c>
      <c r="P105" s="221">
        <f>IFERROR(TablaPrincipal[[#This Row],[ANIM SEMBRADOS]]/TablaPrincipal[[#This Row],[HAS]],"-")</f>
        <v>170000</v>
      </c>
      <c r="Q105" s="222">
        <f>IFERROR(TablaPrincipal[[#This Row],[DENSIDAD]]/10000,"-")</f>
        <v>17</v>
      </c>
      <c r="R105" s="183" t="str">
        <f>VLOOKUP(TablaPrincipal[[#This Row],[CODIGO]]&amp;TablaPrincipal[[#This Row],[AGUAJE ]],Tabla4[#All],8,0)</f>
        <v>TECSERV</v>
      </c>
      <c r="S105" s="183" t="str">
        <f>VLOOKUP(TablaPrincipal[[#This Row],[CODIGO]]&amp;TablaPrincipal[[#This Row],[AGUAJE ]],Tabla4[#All],7,0)</f>
        <v>TEXCUMAR</v>
      </c>
      <c r="T105" s="183" t="str">
        <f>IF(ISNUMBER(FIND("/",TablaPrincipal[[#This Row],[LABORATORIO]])),"COMBINADO","UNICO")</f>
        <v>UNICO</v>
      </c>
      <c r="U1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05" s="185">
        <f>IFERROR(TablaPrincipal[[#This Row],[LIBRAS RALEO PLANTA]]/TablaPrincipal[[#This Row],[HAS]],"-")</f>
        <v>0</v>
      </c>
      <c r="Z1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0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11396.37</v>
      </c>
      <c r="AC105" s="186">
        <f>SUMIFS(COSECHAS!F:F,COSECHAS!A:A,'BASE 2026'!AW:AW,COSECHAS!G:G,"="&amp;A:A)</f>
        <v>42</v>
      </c>
      <c r="AD105" s="186">
        <f>SUMIFS(COSECHAS!M:M,COSECHAS!A:A,'BASE 2026'!AW:AW,COSECHAS!G:G,"="&amp;A:A)</f>
        <v>41.52</v>
      </c>
      <c r="AE105" s="185">
        <f>IFERROR(TablaPrincipal[[#This Row],[LIBRAS PLANTA]]/TablaPrincipal[[#This Row],[HAS]],"-")</f>
        <v>7597.5800000000008</v>
      </c>
      <c r="AF105" s="185">
        <f>IFERROR(TablaPrincipal[[#This Row],[LIBRAS PLANTA]]*454/TablaPrincipal[[#This Row],[GRAMOS PLANTA]],"-")</f>
        <v>124613.48699421965</v>
      </c>
      <c r="AG105" s="185">
        <f>TablaPrincipal[[#This Row],[LIBRAS RALEO PLANTA]]+TablaPrincipal[[#This Row],[LIBRAS PLANTA]]</f>
        <v>11396.37</v>
      </c>
      <c r="AH105" s="185">
        <f>IFERROR(TablaPrincipal[[#This Row],[CAM COSECHADOS RALEO]]+TablaPrincipal[[#This Row],[CAM COSECHADOS]],"-")</f>
        <v>124613.48699421965</v>
      </c>
      <c r="AI105" s="185">
        <f>IFERROR((TablaPrincipal[[#This Row],[LIBRAS RALEO PLANTA]]+TablaPrincipal[[#This Row],[LIBRAS PLANTA]])/TablaPrincipal[[#This Row],[HAS]],"0")</f>
        <v>7597.5800000000008</v>
      </c>
      <c r="AJ105" s="186">
        <f t="shared" si="1"/>
        <v>3.7261538461538466</v>
      </c>
      <c r="AK105" s="186">
        <f>IFERROR(TablaPrincipal[[#This Row],[LBS/HA]]/TablaPrincipal[[#This Row],[DIAS]],"-")</f>
        <v>97.404871794871809</v>
      </c>
      <c r="AL105" s="186">
        <f>IFERROR(TablaPrincipal[[#This Row],[CAM COSECHADOS TOTALES]]/TablaPrincipal[[#This Row],[ANIM SEMBRADOS]]*100,"-")</f>
        <v>48.868034115380254</v>
      </c>
      <c r="AM105" s="185">
        <v>17493.501</v>
      </c>
      <c r="AN105" s="187">
        <f>IFERROR(((TablaPrincipal[[#This Row],[BALANCEADO ACUMULADO (LBS)]]/2.2046)/TablaPrincipal[[#This Row],[HAS]])/TablaPrincipal[[#This Row],[DIAS]],"-")</f>
        <v>67.820512820512818</v>
      </c>
      <c r="AO105" s="184">
        <f>IFERROR(TablaPrincipal[[#This Row],[BALANCEADO ACUMULADO (LBS)]]/TablaPrincipal[[#This Row],[LIBRAS TOTALES]],"-")</f>
        <v>1.5350064099357952</v>
      </c>
      <c r="AP105" s="184"/>
      <c r="AQ105" s="184" t="s">
        <v>105</v>
      </c>
      <c r="AR105" s="185">
        <f>TablaPrincipal[[#This Row],[LIBRAS RALEO PLANTA]]-TablaPrincipal[[#This Row],[LIBRAS RALEO CAMARONERA]]</f>
        <v>0</v>
      </c>
      <c r="AS105" s="185">
        <f>TablaPrincipal[[#This Row],[LIBRAS PLANTA]]-TablaPrincipal[[#This Row],[LIBRAS CAMARONERA]]</f>
        <v>196.3700000000008</v>
      </c>
      <c r="AT105" s="187">
        <f>TablaPrincipal[[#This Row],[GRAMAJE RALEO PLANTA]]-TablaPrincipal[[#This Row],[GRAMAJE RALEO CAMARONERA]]</f>
        <v>0</v>
      </c>
      <c r="AU105" s="187">
        <f>TablaPrincipal[[#This Row],[GRAMOS PLANTA]]-TablaPrincipal[[#This Row],[GRAMAJE CAMARONERA]]</f>
        <v>-0.47999999999999687</v>
      </c>
      <c r="AV105" s="183" t="str">
        <f>+VLOOKUP(TablaPrincipal[[#This Row],[CODIGO]],TablaCosechas[#All],10,0)</f>
        <v>ALFONSO GRUNAUER</v>
      </c>
      <c r="AW105" s="183" t="s">
        <v>204</v>
      </c>
      <c r="AX105" s="188" t="str">
        <f>+VLOOKUP(TablaPrincipal[[#This Row],[CODIGO]],TablaCosechas[#All],10,0)</f>
        <v>ALFONSO GRUNAUER</v>
      </c>
    </row>
    <row r="106" spans="1:50" hidden="1" x14ac:dyDescent="0.25">
      <c r="A106" s="196">
        <v>46059</v>
      </c>
      <c r="B106" s="183">
        <v>104</v>
      </c>
      <c r="C106" s="183">
        <f>YEAR(TablaPrincipal[[#This Row],[FECHA]])</f>
        <v>2026</v>
      </c>
      <c r="D106" s="183" t="s">
        <v>186</v>
      </c>
      <c r="E106" s="183" t="str">
        <f>UPPER(TEXT(TablaPrincipal[[#This Row],[FECHA]],"MMMM"))</f>
        <v>FEBRERO</v>
      </c>
      <c r="F106" s="183" t="str">
        <f>IFERROR(VLOOKUP(TablaPrincipal[[#This Row],[CODIGO]],COSECHAS!A:J,9,0),"-")</f>
        <v>03</v>
      </c>
      <c r="G106" s="183" t="str">
        <f>IFERROR(VLOOKUP(TablaPrincipal[[#This Row],[CODIGO]],COSECHAS!A:I,8,0),"-")</f>
        <v>BARRACUDA</v>
      </c>
      <c r="H106" s="184">
        <f>IFERROR(VLOOKUP(TablaPrincipal[[#This Row],[CODIGO]],DATOS!A:B,2,0),"-")</f>
        <v>3</v>
      </c>
      <c r="I106" s="183" t="str">
        <f>IFERROR(VLOOKUP(TablaPrincipal[[#This Row],[CODIGO]],Tabla8[[#Headers],[#Data]],3,0),"-")</f>
        <v>CONVENCIONAL</v>
      </c>
      <c r="J106" s="183">
        <f>IFERROR(TablaPrincipal[[#This Row],[FECHA]]-TablaPrincipal[[#This Row],[FECHA DE SIEMBRA]],"-")</f>
        <v>84</v>
      </c>
      <c r="K106" s="196">
        <f>VLOOKUP(TablaPrincipal[[#This Row],[CODIGO]]&amp;TablaPrincipal[[#This Row],[AGUAJE ]],Tabla4[#All],4,0)</f>
        <v>45975</v>
      </c>
      <c r="L106" s="183" t="str">
        <f>VLOOKUP(TablaPrincipal[[#This Row],[CODIGO]]&amp;TablaPrincipal[[#This Row],[AGUAJE ]],Tabla4[#All],15,0)</f>
        <v>PA PC 21</v>
      </c>
      <c r="M106" s="184">
        <f>VLOOKUP(TablaPrincipal[[#This Row],[CODIGO]]&amp;TablaPrincipal[[#This Row],[AGUAJE ]],Tabla4[#All],14,0)</f>
        <v>0.83</v>
      </c>
      <c r="N106" s="183">
        <v>14</v>
      </c>
      <c r="O106" s="170">
        <f>VLOOKUP(TablaPrincipal[[#This Row],[CODIGO]]&amp;TablaPrincipal[[#This Row],[AGUAJE ]],Tabla4[#All],5,0)</f>
        <v>487710</v>
      </c>
      <c r="P106" s="221">
        <f>IFERROR(TablaPrincipal[[#This Row],[ANIM SEMBRADOS]]/TablaPrincipal[[#This Row],[HAS]],"-")</f>
        <v>162570</v>
      </c>
      <c r="Q106" s="222">
        <f>IFERROR(TablaPrincipal[[#This Row],[DENSIDAD]]/10000,"-")</f>
        <v>16.257000000000001</v>
      </c>
      <c r="R106" s="183" t="str">
        <f>VLOOKUP(TablaPrincipal[[#This Row],[CODIGO]]&amp;TablaPrincipal[[#This Row],[AGUAJE ]],Tabla4[#All],8,0)</f>
        <v>PRICMARSA</v>
      </c>
      <c r="S106" s="183" t="str">
        <f>VLOOKUP(TablaPrincipal[[#This Row],[CODIGO]]&amp;TablaPrincipal[[#This Row],[AGUAJE ]],Tabla4[#All],7,0)</f>
        <v>TEXCUMAR</v>
      </c>
      <c r="T106" s="183" t="str">
        <f>IF(ISNUMBER(FIND("/",TablaPrincipal[[#This Row],[LABORATORIO]])),"COMBINADO","UNICO")</f>
        <v>UNICO</v>
      </c>
      <c r="U1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7700</v>
      </c>
      <c r="V1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7720.6</v>
      </c>
      <c r="W1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06" s="185">
        <f>IFERROR(TablaPrincipal[[#This Row],[LIBRAS RALEO PLANTA]]/TablaPrincipal[[#This Row],[HAS]],"-")</f>
        <v>2573.5333333333333</v>
      </c>
      <c r="Z1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138460.16835680066</v>
      </c>
      <c r="AA10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1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11723.68</v>
      </c>
      <c r="AC106" s="186">
        <f>SUMIFS(COSECHAS!F:F,COSECHAS!A:A,'BASE 2026'!AW:AW,COSECHAS!G:G,"="&amp;A:A)</f>
        <v>34</v>
      </c>
      <c r="AD106" s="186">
        <f>SUMIFS(COSECHAS!M:M,COSECHAS!A:A,'BASE 2026'!AW:AW,COSECHAS!G:G,"="&amp;A:A)</f>
        <v>35.299999999999997</v>
      </c>
      <c r="AE106" s="185">
        <f>IFERROR(TablaPrincipal[[#This Row],[LIBRAS PLANTA]]/TablaPrincipal[[#This Row],[HAS]],"-")</f>
        <v>3907.8933333333334</v>
      </c>
      <c r="AF106" s="185">
        <f>IFERROR(TablaPrincipal[[#This Row],[LIBRAS PLANTA]]*454/TablaPrincipal[[#This Row],[GRAMOS PLANTA]],"-")</f>
        <v>150780.47365439095</v>
      </c>
      <c r="AG106" s="185">
        <f>TablaPrincipal[[#This Row],[LIBRAS RALEO PLANTA]]+TablaPrincipal[[#This Row],[LIBRAS PLANTA]]</f>
        <v>19444.28</v>
      </c>
      <c r="AH106" s="185">
        <f>IFERROR(TablaPrincipal[[#This Row],[CAM COSECHADOS RALEO]]+TablaPrincipal[[#This Row],[CAM COSECHADOS]],"-")</f>
        <v>289240.64201119158</v>
      </c>
      <c r="AI106" s="185">
        <f>IFERROR((TablaPrincipal[[#This Row],[LIBRAS RALEO PLANTA]]+TablaPrincipal[[#This Row],[LIBRAS PLANTA]])/TablaPrincipal[[#This Row],[HAS]],"0")</f>
        <v>6481.4266666666663</v>
      </c>
      <c r="AJ106" s="186">
        <f t="shared" si="1"/>
        <v>2.9416666666666664</v>
      </c>
      <c r="AK106" s="186">
        <f>IFERROR(TablaPrincipal[[#This Row],[LBS/HA]]/TablaPrincipal[[#This Row],[DIAS]],"-")</f>
        <v>77.159841269841266</v>
      </c>
      <c r="AL106" s="186">
        <f>IFERROR(TablaPrincipal[[#This Row],[CAM COSECHADOS TOTALES]]/TablaPrincipal[[#This Row],[ANIM SEMBRADOS]]*100,"-")</f>
        <v>59.305866603348619</v>
      </c>
      <c r="AM106" s="185">
        <v>28108.65</v>
      </c>
      <c r="AN106" s="187">
        <f>IFERROR(((TablaPrincipal[[#This Row],[BALANCEADO ACUMULADO (LBS)]]/2.2046)/TablaPrincipal[[#This Row],[HAS]])/TablaPrincipal[[#This Row],[DIAS]],"-")</f>
        <v>50.595238095238095</v>
      </c>
      <c r="AO106" s="184">
        <f>IFERROR(TablaPrincipal[[#This Row],[BALANCEADO ACUMULADO (LBS)]]/TablaPrincipal[[#This Row],[LIBRAS TOTALES]],"-")</f>
        <v>1.4455999399309207</v>
      </c>
      <c r="AP106" s="184"/>
      <c r="AQ106" s="184" t="s">
        <v>105</v>
      </c>
      <c r="AR106" s="185">
        <f>TablaPrincipal[[#This Row],[LIBRAS RALEO PLANTA]]-TablaPrincipal[[#This Row],[LIBRAS RALEO CAMARONERA]]</f>
        <v>20.600000000000364</v>
      </c>
      <c r="AS106" s="185">
        <f>TablaPrincipal[[#This Row],[LIBRAS PLANTA]]-TablaPrincipal[[#This Row],[LIBRAS CAMARONERA]]</f>
        <v>623.68000000000029</v>
      </c>
      <c r="AT106" s="187">
        <f>TablaPrincipal[[#This Row],[GRAMAJE RALEO PLANTA]]-TablaPrincipal[[#This Row],[GRAMAJE RALEO CAMARONERA]]</f>
        <v>2.0300000000000011</v>
      </c>
      <c r="AU106" s="187">
        <f>TablaPrincipal[[#This Row],[GRAMOS PLANTA]]-TablaPrincipal[[#This Row],[GRAMAJE CAMARONERA]]</f>
        <v>1.2999999999999972</v>
      </c>
      <c r="AV106" s="183" t="str">
        <f>+VLOOKUP(TablaPrincipal[[#This Row],[CODIGO]],TablaCosechas[#All],10,0)</f>
        <v>GUSTAVO CARRASCO</v>
      </c>
      <c r="AW106" s="183" t="s">
        <v>205</v>
      </c>
      <c r="AX106" s="188" t="str">
        <f>+VLOOKUP(TablaPrincipal[[#This Row],[CODIGO]],TablaCosechas[#All],10,0)</f>
        <v>GUSTAVO CARRASCO</v>
      </c>
    </row>
    <row r="107" spans="1:50" hidden="1" x14ac:dyDescent="0.25">
      <c r="A107" s="196">
        <v>46059</v>
      </c>
      <c r="B107" s="183">
        <v>105</v>
      </c>
      <c r="C107" s="183">
        <f>YEAR(TablaPrincipal[[#This Row],[FECHA]])</f>
        <v>2026</v>
      </c>
      <c r="D107" s="183" t="s">
        <v>186</v>
      </c>
      <c r="E107" s="183" t="str">
        <f>UPPER(TEXT(TablaPrincipal[[#This Row],[FECHA]],"MMMM"))</f>
        <v>FEBRERO</v>
      </c>
      <c r="F107" s="183" t="str">
        <f>IFERROR(VLOOKUP(TablaPrincipal[[#This Row],[CODIGO]],COSECHAS!A:J,9,0),"-")</f>
        <v>27</v>
      </c>
      <c r="G107" s="183" t="str">
        <f>IFERROR(VLOOKUP(TablaPrincipal[[#This Row],[CODIGO]],COSECHAS!A:I,8,0),"-")</f>
        <v>DORADO</v>
      </c>
      <c r="H107" s="184">
        <f>IFERROR(VLOOKUP(TablaPrincipal[[#This Row],[CODIGO]],DATOS!A:B,2,0),"-")</f>
        <v>5.34</v>
      </c>
      <c r="I107" s="183" t="str">
        <f>IFERROR(VLOOKUP(TablaPrincipal[[#This Row],[CODIGO]],Tabla8[[#Headers],[#Data]],3,0),"-")</f>
        <v>ASC-BAP</v>
      </c>
      <c r="J107" s="183">
        <f>IFERROR(TablaPrincipal[[#This Row],[FECHA]]-TablaPrincipal[[#This Row],[FECHA DE SIEMBRA]],"-")</f>
        <v>94</v>
      </c>
      <c r="K107" s="196">
        <f>VLOOKUP(TablaPrincipal[[#This Row],[CODIGO]]&amp;TablaPrincipal[[#This Row],[AGUAJE ]],Tabla4[#All],4,0)</f>
        <v>45965</v>
      </c>
      <c r="L107" s="183" t="str">
        <f>VLOOKUP(TablaPrincipal[[#This Row],[CODIGO]]&amp;TablaPrincipal[[#This Row],[AGUAJE ]],Tabla4[#All],15,0)</f>
        <v>DO PC 13</v>
      </c>
      <c r="M107" s="184">
        <f>VLOOKUP(TablaPrincipal[[#This Row],[CODIGO]]&amp;TablaPrincipal[[#This Row],[AGUAJE ]],Tabla4[#All],14,0)</f>
        <v>0.77</v>
      </c>
      <c r="N107" s="183">
        <v>5</v>
      </c>
      <c r="O107" s="170">
        <f>VLOOKUP(TablaPrincipal[[#This Row],[CODIGO]]&amp;TablaPrincipal[[#This Row],[AGUAJE ]],Tabla4[#All],5,0)</f>
        <v>934506</v>
      </c>
      <c r="P107" s="221">
        <f>IFERROR(TablaPrincipal[[#This Row],[ANIM SEMBRADOS]]/TablaPrincipal[[#This Row],[HAS]],"-")</f>
        <v>175001.12359550563</v>
      </c>
      <c r="Q107" s="222">
        <f>IFERROR(TablaPrincipal[[#This Row],[DENSIDAD]]/10000,"-")</f>
        <v>17.500112359550563</v>
      </c>
      <c r="R107" s="183" t="str">
        <f>VLOOKUP(TablaPrincipal[[#This Row],[CODIGO]]&amp;TablaPrincipal[[#This Row],[AGUAJE ]],Tabla4[#All],8,0)</f>
        <v>PRICMARSA</v>
      </c>
      <c r="S107" s="183" t="str">
        <f>VLOOKUP(TablaPrincipal[[#This Row],[CODIGO]]&amp;TablaPrincipal[[#This Row],[AGUAJE ]],Tabla4[#All],7,0)</f>
        <v>TEXCUMAR</v>
      </c>
      <c r="T107" s="183" t="str">
        <f>IF(ISNUMBER(FIND("/",TablaPrincipal[[#This Row],[LABORATORIO]])),"COMBINADO","UNICO")</f>
        <v>UNICO</v>
      </c>
      <c r="U1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22000</v>
      </c>
      <c r="V1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22312.47</v>
      </c>
      <c r="W1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25.08</v>
      </c>
      <c r="Y107" s="185">
        <f>IFERROR(TablaPrincipal[[#This Row],[LIBRAS RALEO PLANTA]]/TablaPrincipal[[#This Row],[HAS]],"-")</f>
        <v>4178.3651685393261</v>
      </c>
      <c r="Z1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403185.45439079037</v>
      </c>
      <c r="AA10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24220</v>
      </c>
      <c r="AB1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26195.27</v>
      </c>
      <c r="AC107" s="186">
        <f>SUMIFS(COSECHAS!F:F,COSECHAS!A:A,'BASE 2026'!AW:AW,COSECHAS!G:G,"="&amp;A:A)</f>
        <v>43</v>
      </c>
      <c r="AD107" s="186">
        <f>SUMIFS(COSECHAS!M:M,COSECHAS!A:A,'BASE 2026'!AW:AW,COSECHAS!G:G,"="&amp;A:A)</f>
        <v>41.22</v>
      </c>
      <c r="AE107" s="185">
        <f>IFERROR(TablaPrincipal[[#This Row],[LIBRAS PLANTA]]/TablaPrincipal[[#This Row],[HAS]],"-")</f>
        <v>4905.4812734082398</v>
      </c>
      <c r="AF107" s="185">
        <f>IFERROR(TablaPrincipal[[#This Row],[LIBRAS PLANTA]]*454/TablaPrincipal[[#This Row],[GRAMOS PLANTA]],"-")</f>
        <v>288516.55943716643</v>
      </c>
      <c r="AG107" s="185">
        <f>TablaPrincipal[[#This Row],[LIBRAS RALEO PLANTA]]+TablaPrincipal[[#This Row],[LIBRAS PLANTA]]</f>
        <v>48507.740000000005</v>
      </c>
      <c r="AH107" s="185">
        <f>IFERROR(TablaPrincipal[[#This Row],[CAM COSECHADOS RALEO]]+TablaPrincipal[[#This Row],[CAM COSECHADOS]],"-")</f>
        <v>691702.01382795675</v>
      </c>
      <c r="AI107" s="185">
        <f>IFERROR((TablaPrincipal[[#This Row],[LIBRAS RALEO PLANTA]]+TablaPrincipal[[#This Row],[LIBRAS PLANTA]])/TablaPrincipal[[#This Row],[HAS]],"0")</f>
        <v>9083.8464419475677</v>
      </c>
      <c r="AJ107" s="186">
        <f t="shared" si="1"/>
        <v>3.069574468085106</v>
      </c>
      <c r="AK107" s="186">
        <f>IFERROR(TablaPrincipal[[#This Row],[LBS/HA]]/TablaPrincipal[[#This Row],[DIAS]],"-")</f>
        <v>96.636664276037948</v>
      </c>
      <c r="AL107" s="186">
        <f>IFERROR(TablaPrincipal[[#This Row],[CAM COSECHADOS TOTALES]]/TablaPrincipal[[#This Row],[ANIM SEMBRADOS]]*100,"-")</f>
        <v>74.017931808672898</v>
      </c>
      <c r="AM107" s="185">
        <v>77326.345000000001</v>
      </c>
      <c r="AN107" s="187">
        <f>IFERROR(((TablaPrincipal[[#This Row],[BALANCEADO ACUMULADO (LBS)]]/2.2046)/TablaPrincipal[[#This Row],[HAS]])/TablaPrincipal[[#This Row],[DIAS]],"-")</f>
        <v>69.876085743883976</v>
      </c>
      <c r="AO107" s="184">
        <f>IFERROR(TablaPrincipal[[#This Row],[BALANCEADO ACUMULADO (LBS)]]/TablaPrincipal[[#This Row],[LIBRAS TOTALES]],"-")</f>
        <v>1.594103229711382</v>
      </c>
      <c r="AP107" s="184"/>
      <c r="AQ107" s="184" t="s">
        <v>105</v>
      </c>
      <c r="AR107" s="185">
        <f>TablaPrincipal[[#This Row],[LIBRAS RALEO PLANTA]]-TablaPrincipal[[#This Row],[LIBRAS RALEO CAMARONERA]]</f>
        <v>312.47000000000116</v>
      </c>
      <c r="AS107" s="185">
        <f>TablaPrincipal[[#This Row],[LIBRAS PLANTA]]-TablaPrincipal[[#This Row],[LIBRAS CAMARONERA]]</f>
        <v>1975.2700000000004</v>
      </c>
      <c r="AT107" s="187">
        <f>TablaPrincipal[[#This Row],[GRAMAJE RALEO PLANTA]]-TablaPrincipal[[#This Row],[GRAMAJE RALEO CAMARONERA]]</f>
        <v>-0.92000000000000171</v>
      </c>
      <c r="AU107" s="187">
        <f>TablaPrincipal[[#This Row],[GRAMOS PLANTA]]-TablaPrincipal[[#This Row],[GRAMAJE CAMARONERA]]</f>
        <v>-1.7800000000000011</v>
      </c>
      <c r="AV107" s="183" t="str">
        <f>+VLOOKUP(TablaPrincipal[[#This Row],[CODIGO]],TablaCosechas[#All],10,0)</f>
        <v>JOSE CEDEÑO</v>
      </c>
      <c r="AW107" s="183" t="s">
        <v>206</v>
      </c>
      <c r="AX107" s="188" t="str">
        <f>+VLOOKUP(TablaPrincipal[[#This Row],[CODIGO]],TablaCosechas[#All],10,0)</f>
        <v>JOSE CEDEÑO</v>
      </c>
    </row>
    <row r="108" spans="1:50" hidden="1" x14ac:dyDescent="0.25">
      <c r="A108" s="196">
        <v>46060</v>
      </c>
      <c r="B108" s="183">
        <v>106</v>
      </c>
      <c r="C108" s="183">
        <f>YEAR(TablaPrincipal[[#This Row],[FECHA]])</f>
        <v>2026</v>
      </c>
      <c r="D108" s="183" t="s">
        <v>186</v>
      </c>
      <c r="E108" s="183" t="str">
        <f>UPPER(TEXT(TablaPrincipal[[#This Row],[FECHA]],"MMMM"))</f>
        <v>FEBRERO</v>
      </c>
      <c r="F108" s="183" t="str">
        <f>IFERROR(VLOOKUP(TablaPrincipal[[#This Row],[CODIGO]],COSECHAS!A:J,9,0),"-")</f>
        <v>02</v>
      </c>
      <c r="G108" s="183" t="str">
        <f>IFERROR(VLOOKUP(TablaPrincipal[[#This Row],[CODIGO]],COSECHAS!A:I,8,0),"-")</f>
        <v>BARRACUDA</v>
      </c>
      <c r="H108" s="184">
        <f>IFERROR(VLOOKUP(TablaPrincipal[[#This Row],[CODIGO]],DATOS!A:B,2,0),"-")</f>
        <v>4.2</v>
      </c>
      <c r="I108" s="183" t="str">
        <f>IFERROR(VLOOKUP(TablaPrincipal[[#This Row],[CODIGO]],Tabla8[[#Headers],[#Data]],3,0),"-")</f>
        <v>CONVENCIONAL</v>
      </c>
      <c r="J108" s="183">
        <f>IFERROR(TablaPrincipal[[#This Row],[FECHA]]-TablaPrincipal[[#This Row],[FECHA DE SIEMBRA]],"-")</f>
        <v>91</v>
      </c>
      <c r="K108" s="196">
        <f>VLOOKUP(TablaPrincipal[[#This Row],[CODIGO]]&amp;TablaPrincipal[[#This Row],[AGUAJE ]],Tabla4[#All],4,0)</f>
        <v>45969</v>
      </c>
      <c r="L108" s="183" t="str">
        <f>VLOOKUP(TablaPrincipal[[#This Row],[CODIGO]]&amp;TablaPrincipal[[#This Row],[AGUAJE ]],Tabla4[#All],15,0)</f>
        <v>PA PC 20</v>
      </c>
      <c r="M108" s="184">
        <f>VLOOKUP(TablaPrincipal[[#This Row],[CODIGO]]&amp;TablaPrincipal[[#This Row],[AGUAJE ]],Tabla4[#All],14,0)</f>
        <v>0.8</v>
      </c>
      <c r="N108" s="183">
        <v>7</v>
      </c>
      <c r="O108" s="170">
        <f>VLOOKUP(TablaPrincipal[[#This Row],[CODIGO]]&amp;TablaPrincipal[[#This Row],[AGUAJE ]],Tabla4[#All],5,0)</f>
        <v>672000</v>
      </c>
      <c r="P108" s="221">
        <f>IFERROR(TablaPrincipal[[#This Row],[ANIM SEMBRADOS]]/TablaPrincipal[[#This Row],[HAS]],"-")</f>
        <v>160000</v>
      </c>
      <c r="Q108" s="222">
        <f>IFERROR(TablaPrincipal[[#This Row],[DENSIDAD]]/10000,"-")</f>
        <v>16</v>
      </c>
      <c r="R108" s="183" t="str">
        <f>VLOOKUP(TablaPrincipal[[#This Row],[CODIGO]]&amp;TablaPrincipal[[#This Row],[AGUAJE ]],Tabla4[#All],8,0)</f>
        <v>TECSERV</v>
      </c>
      <c r="S108" s="183" t="str">
        <f>VLOOKUP(TablaPrincipal[[#This Row],[CODIGO]]&amp;TablaPrincipal[[#This Row],[AGUAJE ]],Tabla4[#All],7,0)</f>
        <v>EMPAGRAN-SEMACUA</v>
      </c>
      <c r="T108" s="183" t="str">
        <f>IF(ISNUMBER(FIND("/",TablaPrincipal[[#This Row],[LABORATORIO]])),"COMBINADO","UNICO")</f>
        <v>UNICO</v>
      </c>
      <c r="U1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10600</v>
      </c>
      <c r="V1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10729.91</v>
      </c>
      <c r="W1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25.27</v>
      </c>
      <c r="Y108" s="185">
        <f>IFERROR(TablaPrincipal[[#This Row],[LIBRAS RALEO PLANTA]]/TablaPrincipal[[#This Row],[HAS]],"-")</f>
        <v>2554.7404761904759</v>
      </c>
      <c r="Z1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196316.76846267597</v>
      </c>
      <c r="AA10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1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18478.54</v>
      </c>
      <c r="AC108" s="186">
        <f>SUMIFS(COSECHAS!F:F,COSECHAS!A:A,'BASE 2026'!AW:AW,COSECHAS!G:G,"="&amp;A:A)</f>
        <v>34</v>
      </c>
      <c r="AD108" s="186">
        <f>SUMIFS(COSECHAS!M:M,COSECHAS!A:A,'BASE 2026'!AW:AW,COSECHAS!G:G,"="&amp;A:A)</f>
        <v>34.869999999999997</v>
      </c>
      <c r="AE108" s="185">
        <f>IFERROR(TablaPrincipal[[#This Row],[LIBRAS PLANTA]]/TablaPrincipal[[#This Row],[HAS]],"-")</f>
        <v>4399.6523809523806</v>
      </c>
      <c r="AF108" s="185">
        <f>IFERROR(TablaPrincipal[[#This Row],[LIBRAS PLANTA]]*454/TablaPrincipal[[#This Row],[GRAMOS PLANTA]],"-")</f>
        <v>240586.66934327505</v>
      </c>
      <c r="AG108" s="185">
        <f>TablaPrincipal[[#This Row],[LIBRAS RALEO PLANTA]]+TablaPrincipal[[#This Row],[LIBRAS PLANTA]]</f>
        <v>29208.45</v>
      </c>
      <c r="AH108" s="185">
        <f>IFERROR(TablaPrincipal[[#This Row],[CAM COSECHADOS RALEO]]+TablaPrincipal[[#This Row],[CAM COSECHADOS]],"-")</f>
        <v>436903.43780595099</v>
      </c>
      <c r="AI108" s="185">
        <f>IFERROR((TablaPrincipal[[#This Row],[LIBRAS RALEO PLANTA]]+TablaPrincipal[[#This Row],[LIBRAS PLANTA]])/TablaPrincipal[[#This Row],[HAS]],"0")</f>
        <v>6954.3928571428569</v>
      </c>
      <c r="AJ108" s="186">
        <f t="shared" si="1"/>
        <v>2.6823076923076923</v>
      </c>
      <c r="AK108" s="186">
        <f>IFERROR(TablaPrincipal[[#This Row],[LBS/HA]]/TablaPrincipal[[#This Row],[DIAS]],"-")</f>
        <v>76.421899529042378</v>
      </c>
      <c r="AL108" s="186">
        <f>IFERROR(TablaPrincipal[[#This Row],[CAM COSECHADOS TOTALES]]/TablaPrincipal[[#This Row],[ANIM SEMBRADOS]]*100,"-")</f>
        <v>65.01539253064746</v>
      </c>
      <c r="AM108" s="185">
        <v>45249.415000000001</v>
      </c>
      <c r="AN108" s="187">
        <f>IFERROR(((TablaPrincipal[[#This Row],[BALANCEADO ACUMULADO (LBS)]]/2.2046)/TablaPrincipal[[#This Row],[HAS]])/TablaPrincipal[[#This Row],[DIAS]],"-")</f>
        <v>53.702250130821554</v>
      </c>
      <c r="AO108" s="184">
        <f>IFERROR(TablaPrincipal[[#This Row],[BALANCEADO ACUMULADO (LBS)]]/TablaPrincipal[[#This Row],[LIBRAS TOTALES]],"-")</f>
        <v>1.5491891901145045</v>
      </c>
      <c r="AP108" s="184"/>
      <c r="AQ108" s="184" t="s">
        <v>105</v>
      </c>
      <c r="AR108" s="185">
        <f>TablaPrincipal[[#This Row],[LIBRAS RALEO PLANTA]]-TablaPrincipal[[#This Row],[LIBRAS RALEO CAMARONERA]]</f>
        <v>129.90999999999985</v>
      </c>
      <c r="AS108" s="185">
        <f>TablaPrincipal[[#This Row],[LIBRAS PLANTA]]-TablaPrincipal[[#This Row],[LIBRAS CAMARONERA]]</f>
        <v>1728.5400000000009</v>
      </c>
      <c r="AT108" s="187">
        <f>TablaPrincipal[[#This Row],[GRAMAJE RALEO PLANTA]]-TablaPrincipal[[#This Row],[GRAMAJE RALEO CAMARONERA]]</f>
        <v>1.7699999999999996</v>
      </c>
      <c r="AU108" s="187">
        <f>TablaPrincipal[[#This Row],[GRAMOS PLANTA]]-TablaPrincipal[[#This Row],[GRAMAJE CAMARONERA]]</f>
        <v>0.86999999999999744</v>
      </c>
      <c r="AV108" s="183" t="str">
        <f>+VLOOKUP(TablaPrincipal[[#This Row],[CODIGO]],TablaCosechas[#All],10,0)</f>
        <v>GUSTAVO CARRASCO</v>
      </c>
      <c r="AW108" s="183" t="s">
        <v>207</v>
      </c>
      <c r="AX108" s="188" t="str">
        <f>+VLOOKUP(TablaPrincipal[[#This Row],[CODIGO]],TablaCosechas[#All],10,0)</f>
        <v>GUSTAVO CARRASCO</v>
      </c>
    </row>
    <row r="109" spans="1:50" hidden="1" x14ac:dyDescent="0.25">
      <c r="A109" s="196">
        <v>46060</v>
      </c>
      <c r="B109" s="183">
        <v>107</v>
      </c>
      <c r="C109" s="183">
        <f>YEAR(TablaPrincipal[[#This Row],[FECHA]])</f>
        <v>2026</v>
      </c>
      <c r="D109" s="183" t="s">
        <v>186</v>
      </c>
      <c r="E109" s="183" t="str">
        <f>UPPER(TEXT(TablaPrincipal[[#This Row],[FECHA]],"MMMM"))</f>
        <v>FEBRERO</v>
      </c>
      <c r="F109" s="183" t="str">
        <f>IFERROR(VLOOKUP(TablaPrincipal[[#This Row],[CODIGO]],COSECHAS!A:J,9,0),"-")</f>
        <v>04</v>
      </c>
      <c r="G109" s="183" t="str">
        <f>IFERROR(VLOOKUP(TablaPrincipal[[#This Row],[CODIGO]],COSECHAS!A:I,8,0),"-")</f>
        <v>DORADO</v>
      </c>
      <c r="H109" s="184">
        <f>IFERROR(VLOOKUP(TablaPrincipal[[#This Row],[CODIGO]],DATOS!A:B,2,0),"-")</f>
        <v>9.81</v>
      </c>
      <c r="I109" s="183" t="str">
        <f>IFERROR(VLOOKUP(TablaPrincipal[[#This Row],[CODIGO]],Tabla8[[#Headers],[#Data]],3,0),"-")</f>
        <v>ASC-BAP</v>
      </c>
      <c r="J109" s="183">
        <f>IFERROR(TablaPrincipal[[#This Row],[FECHA]]-TablaPrincipal[[#This Row],[FECHA DE SIEMBRA]],"-")</f>
        <v>83</v>
      </c>
      <c r="K109" s="196">
        <f>VLOOKUP(TablaPrincipal[[#This Row],[CODIGO]]&amp;TablaPrincipal[[#This Row],[AGUAJE ]],Tabla4[#All],4,0)</f>
        <v>45977</v>
      </c>
      <c r="L109" s="183" t="str">
        <f>VLOOKUP(TablaPrincipal[[#This Row],[CODIGO]]&amp;TablaPrincipal[[#This Row],[AGUAJE ]],Tabla4[#All],15,0)</f>
        <v>DO PS 2</v>
      </c>
      <c r="M109" s="184">
        <f>VLOOKUP(TablaPrincipal[[#This Row],[CODIGO]]&amp;TablaPrincipal[[#This Row],[AGUAJE ]],Tabla4[#All],14,0)</f>
        <v>1.46</v>
      </c>
      <c r="N109" s="183">
        <v>2</v>
      </c>
      <c r="O109" s="170">
        <f>VLOOKUP(TablaPrincipal[[#This Row],[CODIGO]]&amp;TablaPrincipal[[#This Row],[AGUAJE ]],Tabla4[#All],5,0)</f>
        <v>1667700</v>
      </c>
      <c r="P109" s="221">
        <f>IFERROR(TablaPrincipal[[#This Row],[ANIM SEMBRADOS]]/TablaPrincipal[[#This Row],[HAS]],"-")</f>
        <v>170000</v>
      </c>
      <c r="Q109" s="222">
        <f>IFERROR(TablaPrincipal[[#This Row],[DENSIDAD]]/10000,"-")</f>
        <v>17</v>
      </c>
      <c r="R109" s="183" t="str">
        <f>VLOOKUP(TablaPrincipal[[#This Row],[CODIGO]]&amp;TablaPrincipal[[#This Row],[AGUAJE ]],Tabla4[#All],8,0)</f>
        <v>BIOLACAM</v>
      </c>
      <c r="S109" s="183" t="str">
        <f>VLOOKUP(TablaPrincipal[[#This Row],[CODIGO]]&amp;TablaPrincipal[[#This Row],[AGUAJE ]],Tabla4[#All],7,0)</f>
        <v>TEXCUMAR</v>
      </c>
      <c r="T109" s="183" t="str">
        <f>IF(ISNUMBER(FIND("/",TablaPrincipal[[#This Row],[LABORATORIO]])),"COMBINADO","UNICO")</f>
        <v>UNICO</v>
      </c>
      <c r="U1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36800</v>
      </c>
      <c r="V1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34541.979999999996</v>
      </c>
      <c r="W1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29.313333333333333</v>
      </c>
      <c r="Y109" s="185">
        <f>IFERROR(TablaPrincipal[[#This Row],[LIBRAS RALEO PLANTA]]/TablaPrincipal[[#This Row],[HAS]],"-")</f>
        <v>3521.0988786952084</v>
      </c>
      <c r="Z1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610222.11898463336</v>
      </c>
      <c r="AA10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48250</v>
      </c>
      <c r="AB1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52494.99</v>
      </c>
      <c r="AC109" s="186">
        <f>SUMIFS(COSECHAS!F:F,COSECHAS!A:A,'BASE 2026'!AW:AW,COSECHAS!G:G,"="&amp;A:A)</f>
        <v>36</v>
      </c>
      <c r="AD109" s="186">
        <f>SUMIFS(COSECHAS!M:M,COSECHAS!A:A,'BASE 2026'!AW:AW,COSECHAS!G:G,"="&amp;A:A)</f>
        <v>37.94</v>
      </c>
      <c r="AE109" s="185">
        <f>IFERROR(TablaPrincipal[[#This Row],[LIBRAS PLANTA]]/TablaPrincipal[[#This Row],[HAS]],"-")</f>
        <v>5351.1712538226293</v>
      </c>
      <c r="AF109" s="185">
        <f>IFERROR(TablaPrincipal[[#This Row],[LIBRAS PLANTA]]*454/TablaPrincipal[[#This Row],[GRAMOS PLANTA]],"-")</f>
        <v>628168.83131259889</v>
      </c>
      <c r="AG109" s="185">
        <f>TablaPrincipal[[#This Row],[LIBRAS RALEO PLANTA]]+TablaPrincipal[[#This Row],[LIBRAS PLANTA]]</f>
        <v>87036.97</v>
      </c>
      <c r="AH109" s="185">
        <f>IFERROR(TablaPrincipal[[#This Row],[CAM COSECHADOS RALEO]]+TablaPrincipal[[#This Row],[CAM COSECHADOS]],"-")</f>
        <v>1238390.9502972323</v>
      </c>
      <c r="AI109" s="185">
        <f>IFERROR((TablaPrincipal[[#This Row],[LIBRAS RALEO PLANTA]]+TablaPrincipal[[#This Row],[LIBRAS PLANTA]])/TablaPrincipal[[#This Row],[HAS]],"0")</f>
        <v>8872.2701325178386</v>
      </c>
      <c r="AJ109" s="186">
        <f t="shared" si="1"/>
        <v>3.1997590361445778</v>
      </c>
      <c r="AK109" s="186">
        <f>IFERROR(TablaPrincipal[[#This Row],[LBS/HA]]/TablaPrincipal[[#This Row],[DIAS]],"-")</f>
        <v>106.89482087370889</v>
      </c>
      <c r="AL109" s="186">
        <f>IFERROR(TablaPrincipal[[#This Row],[CAM COSECHADOS TOTALES]]/TablaPrincipal[[#This Row],[ANIM SEMBRADOS]]*100,"-")</f>
        <v>74.257417419034127</v>
      </c>
      <c r="AM109" s="185">
        <v>119048.40000000001</v>
      </c>
      <c r="AN109" s="187">
        <f>IFERROR(((TablaPrincipal[[#This Row],[BALANCEADO ACUMULADO (LBS)]]/2.2046)/TablaPrincipal[[#This Row],[HAS]])/TablaPrincipal[[#This Row],[DIAS]],"-")</f>
        <v>66.320327180280756</v>
      </c>
      <c r="AO109" s="184">
        <f>IFERROR(TablaPrincipal[[#This Row],[BALANCEADO ACUMULADO (LBS)]]/TablaPrincipal[[#This Row],[LIBRAS TOTALES]],"-")</f>
        <v>1.3677911811498034</v>
      </c>
      <c r="AP109" s="184"/>
      <c r="AQ109" s="184" t="s">
        <v>105</v>
      </c>
      <c r="AR109" s="185">
        <f>TablaPrincipal[[#This Row],[LIBRAS RALEO PLANTA]]-TablaPrincipal[[#This Row],[LIBRAS RALEO CAMARONERA]]</f>
        <v>-2258.0200000000041</v>
      </c>
      <c r="AS109" s="185">
        <f>TablaPrincipal[[#This Row],[LIBRAS PLANTA]]-TablaPrincipal[[#This Row],[LIBRAS CAMARONERA]]</f>
        <v>4244.989999999998</v>
      </c>
      <c r="AT109" s="187">
        <f>TablaPrincipal[[#This Row],[GRAMAJE RALEO PLANTA]]-TablaPrincipal[[#This Row],[GRAMAJE RALEO CAMARONERA]]</f>
        <v>1.3133333333333326</v>
      </c>
      <c r="AU109" s="187">
        <f>TablaPrincipal[[#This Row],[GRAMOS PLANTA]]-TablaPrincipal[[#This Row],[GRAMAJE CAMARONERA]]</f>
        <v>1.9399999999999977</v>
      </c>
      <c r="AV109" s="183" t="str">
        <f>+VLOOKUP(TablaPrincipal[[#This Row],[CODIGO]],TablaCosechas[#All],10,0)</f>
        <v>JOSE CEDEÑO</v>
      </c>
      <c r="AW109" s="183" t="s">
        <v>208</v>
      </c>
      <c r="AX109" s="188" t="str">
        <f>+VLOOKUP(TablaPrincipal[[#This Row],[CODIGO]],TablaCosechas[#All],10,0)</f>
        <v>JOSE CEDEÑO</v>
      </c>
    </row>
    <row r="110" spans="1:50" hidden="1" x14ac:dyDescent="0.25">
      <c r="A110" s="196">
        <v>46061</v>
      </c>
      <c r="B110" s="183">
        <v>108</v>
      </c>
      <c r="C110" s="183">
        <f>YEAR(TablaPrincipal[[#This Row],[FECHA]])</f>
        <v>2026</v>
      </c>
      <c r="D110" s="183" t="s">
        <v>186</v>
      </c>
      <c r="E110" s="183" t="str">
        <f>UPPER(TEXT(TablaPrincipal[[#This Row],[FECHA]],"MMMM"))</f>
        <v>FEBRERO</v>
      </c>
      <c r="F110" s="183" t="str">
        <f>IFERROR(VLOOKUP(TablaPrincipal[[#This Row],[CODIGO]],COSECHAS!A:J,9,0),"-")</f>
        <v>05</v>
      </c>
      <c r="G110" s="183" t="str">
        <f>IFERROR(VLOOKUP(TablaPrincipal[[#This Row],[CODIGO]],COSECHAS!A:I,8,0),"-")</f>
        <v>BARRACUDA</v>
      </c>
      <c r="H110" s="184">
        <f>IFERROR(VLOOKUP(TablaPrincipal[[#This Row],[CODIGO]],DATOS!A:B,2,0),"-")</f>
        <v>4</v>
      </c>
      <c r="I110" s="183" t="str">
        <f>IFERROR(VLOOKUP(TablaPrincipal[[#This Row],[CODIGO]],Tabla8[[#Headers],[#Data]],3,0),"-")</f>
        <v>CONVENCIONAL</v>
      </c>
      <c r="J110" s="183">
        <f>IFERROR(TablaPrincipal[[#This Row],[FECHA]]-TablaPrincipal[[#This Row],[FECHA DE SIEMBRA]],"-")</f>
        <v>86</v>
      </c>
      <c r="K110" s="196">
        <f>VLOOKUP(TablaPrincipal[[#This Row],[CODIGO]]&amp;TablaPrincipal[[#This Row],[AGUAJE ]],Tabla4[#All],4,0)</f>
        <v>45975</v>
      </c>
      <c r="L110" s="183" t="str">
        <f>VLOOKUP(TablaPrincipal[[#This Row],[CODIGO]]&amp;TablaPrincipal[[#This Row],[AGUAJE ]],Tabla4[#All],15,0)</f>
        <v>PA PC 21</v>
      </c>
      <c r="M110" s="184">
        <f>VLOOKUP(TablaPrincipal[[#This Row],[CODIGO]]&amp;TablaPrincipal[[#This Row],[AGUAJE ]],Tabla4[#All],14,0)</f>
        <v>0.83</v>
      </c>
      <c r="N110" s="183">
        <v>17</v>
      </c>
      <c r="O110" s="170">
        <f>VLOOKUP(TablaPrincipal[[#This Row],[CODIGO]]&amp;TablaPrincipal[[#This Row],[AGUAJE ]],Tabla4[#All],5,0)</f>
        <v>650602</v>
      </c>
      <c r="P110" s="221">
        <f>IFERROR(TablaPrincipal[[#This Row],[ANIM SEMBRADOS]]/TablaPrincipal[[#This Row],[HAS]],"-")</f>
        <v>162650.5</v>
      </c>
      <c r="Q110" s="222">
        <f>IFERROR(TablaPrincipal[[#This Row],[DENSIDAD]]/10000,"-")</f>
        <v>16.265049999999999</v>
      </c>
      <c r="R110" s="183" t="str">
        <f>VLOOKUP(TablaPrincipal[[#This Row],[CODIGO]]&amp;TablaPrincipal[[#This Row],[AGUAJE ]],Tabla4[#All],8,0)</f>
        <v>PRICMARSA</v>
      </c>
      <c r="S110" s="183" t="str">
        <f>VLOOKUP(TablaPrincipal[[#This Row],[CODIGO]]&amp;TablaPrincipal[[#This Row],[AGUAJE ]],Tabla4[#All],7,0)</f>
        <v>TEXCUMAR</v>
      </c>
      <c r="T110" s="183" t="str">
        <f>IF(ISNUMBER(FIND("/",TablaPrincipal[[#This Row],[LABORATORIO]])),"COMBINADO","UNICO")</f>
        <v>UNICO</v>
      </c>
      <c r="U1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10300</v>
      </c>
      <c r="V1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9998.7199999999993</v>
      </c>
      <c r="W1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25.07</v>
      </c>
      <c r="Y110" s="185">
        <f>IFERROR(TablaPrincipal[[#This Row],[LIBRAS RALEO PLANTA]]/TablaPrincipal[[#This Row],[HAS]],"-")</f>
        <v>2499.6799999999998</v>
      </c>
      <c r="Z1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188038.97687391238</v>
      </c>
      <c r="AA11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16863.099999999999</v>
      </c>
      <c r="AC110" s="186">
        <f>SUMIFS(COSECHAS!F:F,COSECHAS!A:A,'BASE 2026'!AW:AW,COSECHAS!G:G,"="&amp;A:A)</f>
        <v>33</v>
      </c>
      <c r="AD110" s="186">
        <f>SUMIFS(COSECHAS!M:M,COSECHAS!A:A,'BASE 2026'!AW:AW,COSECHAS!G:G,"="&amp;A:A)</f>
        <v>34.880000000000003</v>
      </c>
      <c r="AE110" s="185">
        <f>IFERROR(TablaPrincipal[[#This Row],[LIBRAS PLANTA]]/TablaPrincipal[[#This Row],[HAS]],"-")</f>
        <v>4215.7749999999996</v>
      </c>
      <c r="AF110" s="185">
        <f>IFERROR(TablaPrincipal[[#This Row],[LIBRAS PLANTA]]*454/TablaPrincipal[[#This Row],[GRAMOS PLANTA]],"-")</f>
        <v>219491.03784403668</v>
      </c>
      <c r="AG110" s="185">
        <f>TablaPrincipal[[#This Row],[LIBRAS RALEO PLANTA]]+TablaPrincipal[[#This Row],[LIBRAS PLANTA]]</f>
        <v>26861.82</v>
      </c>
      <c r="AH110" s="185">
        <f>IFERROR(TablaPrincipal[[#This Row],[CAM COSECHADOS RALEO]]+TablaPrincipal[[#This Row],[CAM COSECHADOS]],"-")</f>
        <v>407530.01471794909</v>
      </c>
      <c r="AI110" s="185">
        <f>IFERROR((TablaPrincipal[[#This Row],[LIBRAS RALEO PLANTA]]+TablaPrincipal[[#This Row],[LIBRAS PLANTA]])/TablaPrincipal[[#This Row],[HAS]],"0")</f>
        <v>6715.4549999999999</v>
      </c>
      <c r="AJ110" s="186">
        <f t="shared" si="1"/>
        <v>2.8390697674418606</v>
      </c>
      <c r="AK110" s="186">
        <f>IFERROR(TablaPrincipal[[#This Row],[LBS/HA]]/TablaPrincipal[[#This Row],[DIAS]],"-")</f>
        <v>78.08668604651163</v>
      </c>
      <c r="AL110" s="186">
        <f>IFERROR(TablaPrincipal[[#This Row],[CAM COSECHADOS TOTALES]]/TablaPrincipal[[#This Row],[ANIM SEMBRADOS]]*100,"-")</f>
        <v>62.638912071888662</v>
      </c>
      <c r="AM110" s="185">
        <v>36375.9</v>
      </c>
      <c r="AN110" s="187">
        <f>IFERROR(((TablaPrincipal[[#This Row],[BALANCEADO ACUMULADO (LBS)]]/2.2046)/TablaPrincipal[[#This Row],[HAS]])/TablaPrincipal[[#This Row],[DIAS]],"-")</f>
        <v>47.965116279069768</v>
      </c>
      <c r="AO110" s="184">
        <f>IFERROR(TablaPrincipal[[#This Row],[BALANCEADO ACUMULADO (LBS)]]/TablaPrincipal[[#This Row],[LIBRAS TOTALES]],"-")</f>
        <v>1.3541859784631125</v>
      </c>
      <c r="AP110" s="184"/>
      <c r="AQ110" s="184" t="s">
        <v>105</v>
      </c>
      <c r="AR110" s="185">
        <f>TablaPrincipal[[#This Row],[LIBRAS RALEO PLANTA]]-TablaPrincipal[[#This Row],[LIBRAS RALEO CAMARONERA]]</f>
        <v>-301.28000000000065</v>
      </c>
      <c r="AS110" s="185">
        <f>TablaPrincipal[[#This Row],[LIBRAS PLANTA]]-TablaPrincipal[[#This Row],[LIBRAS CAMARONERA]]</f>
        <v>63.099999999998545</v>
      </c>
      <c r="AT110" s="187">
        <f>TablaPrincipal[[#This Row],[GRAMAJE RALEO PLANTA]]-TablaPrincipal[[#This Row],[GRAMAJE RALEO CAMARONERA]]</f>
        <v>1.0700000000000003</v>
      </c>
      <c r="AU110" s="187">
        <f>TablaPrincipal[[#This Row],[GRAMOS PLANTA]]-TablaPrincipal[[#This Row],[GRAMAJE CAMARONERA]]</f>
        <v>1.8800000000000026</v>
      </c>
      <c r="AV110" s="183" t="str">
        <f>+VLOOKUP(TablaPrincipal[[#This Row],[CODIGO]],TablaCosechas[#All],10,0)</f>
        <v>GUSTAVO CARRASCO</v>
      </c>
      <c r="AW110" s="183" t="s">
        <v>209</v>
      </c>
      <c r="AX110" s="188" t="str">
        <f>+VLOOKUP(TablaPrincipal[[#This Row],[CODIGO]],TablaCosechas[#All],10,0)</f>
        <v>GUSTAVO CARRASCO</v>
      </c>
    </row>
    <row r="111" spans="1:50" hidden="1" x14ac:dyDescent="0.25">
      <c r="A111" s="196">
        <v>46061</v>
      </c>
      <c r="B111" s="183">
        <v>109</v>
      </c>
      <c r="C111" s="183">
        <f>YEAR(TablaPrincipal[[#This Row],[FECHA]])</f>
        <v>2026</v>
      </c>
      <c r="D111" s="183" t="s">
        <v>186</v>
      </c>
      <c r="E111" s="183" t="str">
        <f>UPPER(TEXT(TablaPrincipal[[#This Row],[FECHA]],"MMMM"))</f>
        <v>FEBRERO</v>
      </c>
      <c r="F111" s="183" t="str">
        <f>IFERROR(VLOOKUP(TablaPrincipal[[#This Row],[CODIGO]],COSECHAS!A:J,9,0),"-")</f>
        <v>09</v>
      </c>
      <c r="G111" s="183" t="str">
        <f>IFERROR(VLOOKUP(TablaPrincipal[[#This Row],[CODIGO]],COSECHAS!A:I,8,0),"-")</f>
        <v>MERO</v>
      </c>
      <c r="H111" s="184">
        <f>IFERROR(VLOOKUP(TablaPrincipal[[#This Row],[CODIGO]],DATOS!A:B,2,0),"-")</f>
        <v>7.6</v>
      </c>
      <c r="I111" s="183" t="str">
        <f>IFERROR(VLOOKUP(TablaPrincipal[[#This Row],[CODIGO]],Tabla8[[#Headers],[#Data]],3,0),"-")</f>
        <v>CONVENCIONAL</v>
      </c>
      <c r="J111" s="183">
        <f>IFERROR(TablaPrincipal[[#This Row],[FECHA]]-TablaPrincipal[[#This Row],[FECHA DE SIEMBRA]],"-")</f>
        <v>59</v>
      </c>
      <c r="K111" s="196">
        <f>VLOOKUP(TablaPrincipal[[#This Row],[CODIGO]]&amp;TablaPrincipal[[#This Row],[AGUAJE ]],Tabla4[#All],4,0)</f>
        <v>46002</v>
      </c>
      <c r="L111" s="183" t="str">
        <f>VLOOKUP(TablaPrincipal[[#This Row],[CODIGO]]&amp;TablaPrincipal[[#This Row],[AGUAJE ]],Tabla4[#All],15,0)</f>
        <v>ME PS 6</v>
      </c>
      <c r="M111" s="184">
        <f>VLOOKUP(TablaPrincipal[[#This Row],[CODIGO]]&amp;TablaPrincipal[[#This Row],[AGUAJE ]],Tabla4[#All],14,0)</f>
        <v>3.2</v>
      </c>
      <c r="N111" s="183">
        <v>5</v>
      </c>
      <c r="O111" s="170">
        <f>VLOOKUP(TablaPrincipal[[#This Row],[CODIGO]]&amp;TablaPrincipal[[#This Row],[AGUAJE ]],Tabla4[#All],5,0)</f>
        <v>1064000</v>
      </c>
      <c r="P111" s="221">
        <f>IFERROR(TablaPrincipal[[#This Row],[ANIM SEMBRADOS]]/TablaPrincipal[[#This Row],[HAS]],"-")</f>
        <v>140000</v>
      </c>
      <c r="Q111" s="222">
        <f>IFERROR(TablaPrincipal[[#This Row],[DENSIDAD]]/10000,"-")</f>
        <v>14</v>
      </c>
      <c r="R111" s="183" t="str">
        <f>VLOOKUP(TablaPrincipal[[#This Row],[CODIGO]]&amp;TablaPrincipal[[#This Row],[AGUAJE ]],Tabla4[#All],8,0)</f>
        <v>GABSO</v>
      </c>
      <c r="S111" s="183" t="str">
        <f>VLOOKUP(TablaPrincipal[[#This Row],[CODIGO]]&amp;TablaPrincipal[[#This Row],[AGUAJE ]],Tabla4[#All],7,0)</f>
        <v>TEXCUMAR</v>
      </c>
      <c r="T111" s="183" t="str">
        <f>IF(ISNUMBER(FIND("/",TablaPrincipal[[#This Row],[LABORATORIO]])),"COMBINADO","UNICO")</f>
        <v>UNICO</v>
      </c>
      <c r="U1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26500</v>
      </c>
      <c r="V1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25589</v>
      </c>
      <c r="W1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28.96</v>
      </c>
      <c r="Y111" s="185">
        <f>IFERROR(TablaPrincipal[[#This Row],[LIBRAS RALEO PLANTA]]/TablaPrincipal[[#This Row],[HAS]],"-")</f>
        <v>3366.9736842105267</v>
      </c>
      <c r="Z1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415775.56561323267</v>
      </c>
      <c r="AA11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31916.639999999999</v>
      </c>
      <c r="AC111" s="186">
        <f>SUMIFS(COSECHAS!F:F,COSECHAS!A:A,'BASE 2026'!AW:AW,COSECHAS!G:G,"="&amp;A:A)</f>
        <v>39</v>
      </c>
      <c r="AD111" s="186">
        <f>SUMIFS(COSECHAS!M:M,COSECHAS!A:A,'BASE 2026'!AW:AW,COSECHAS!G:G,"="&amp;A:A)</f>
        <v>37.44</v>
      </c>
      <c r="AE111" s="185">
        <f>IFERROR(TablaPrincipal[[#This Row],[LIBRAS PLANTA]]/TablaPrincipal[[#This Row],[HAS]],"-")</f>
        <v>4199.5578947368422</v>
      </c>
      <c r="AF111" s="185">
        <f>IFERROR(TablaPrincipal[[#This Row],[LIBRAS PLANTA]]*454/TablaPrincipal[[#This Row],[GRAMOS PLANTA]],"-")</f>
        <v>387023.358974359</v>
      </c>
      <c r="AG111" s="185">
        <f>TablaPrincipal[[#This Row],[LIBRAS RALEO PLANTA]]+TablaPrincipal[[#This Row],[LIBRAS PLANTA]]</f>
        <v>57505.64</v>
      </c>
      <c r="AH111" s="185">
        <f>IFERROR(TablaPrincipal[[#This Row],[CAM COSECHADOS RALEO]]+TablaPrincipal[[#This Row],[CAM COSECHADOS]],"-")</f>
        <v>802798.92458759167</v>
      </c>
      <c r="AI111" s="185">
        <f>IFERROR((TablaPrincipal[[#This Row],[LIBRAS RALEO PLANTA]]+TablaPrincipal[[#This Row],[LIBRAS PLANTA]])/TablaPrincipal[[#This Row],[HAS]],"0")</f>
        <v>7566.5315789473689</v>
      </c>
      <c r="AJ111" s="186">
        <f t="shared" si="1"/>
        <v>4.442033898305084</v>
      </c>
      <c r="AK111" s="186">
        <f>IFERROR(TablaPrincipal[[#This Row],[LBS/HA]]/TablaPrincipal[[#This Row],[DIAS]],"-")</f>
        <v>128.24629794826049</v>
      </c>
      <c r="AL111" s="186">
        <f>IFERROR(TablaPrincipal[[#This Row],[CAM COSECHADOS TOTALES]]/TablaPrincipal[[#This Row],[ANIM SEMBRADOS]]*100,"-")</f>
        <v>75.451026746954113</v>
      </c>
      <c r="AM111" s="185">
        <v>63795.612500000003</v>
      </c>
      <c r="AN111" s="187">
        <f>IFERROR(((TablaPrincipal[[#This Row],[BALANCEADO ACUMULADO (LBS)]]/2.2046)/TablaPrincipal[[#This Row],[HAS]])/TablaPrincipal[[#This Row],[DIAS]],"-")</f>
        <v>64.535013380909902</v>
      </c>
      <c r="AO111" s="184">
        <f>IFERROR(TablaPrincipal[[#This Row],[BALANCEADO ACUMULADO (LBS)]]/TablaPrincipal[[#This Row],[LIBRAS TOTALES]],"-")</f>
        <v>1.1093800973261059</v>
      </c>
      <c r="AP111" s="184"/>
      <c r="AQ111" s="184" t="s">
        <v>105</v>
      </c>
      <c r="AR111" s="185">
        <f>TablaPrincipal[[#This Row],[LIBRAS RALEO PLANTA]]-TablaPrincipal[[#This Row],[LIBRAS RALEO CAMARONERA]]</f>
        <v>-911</v>
      </c>
      <c r="AS111" s="185">
        <f>TablaPrincipal[[#This Row],[LIBRAS PLANTA]]-TablaPrincipal[[#This Row],[LIBRAS CAMARONERA]]</f>
        <v>816.63999999999942</v>
      </c>
      <c r="AT111" s="187">
        <f>TablaPrincipal[[#This Row],[GRAMAJE RALEO PLANTA]]-TablaPrincipal[[#This Row],[GRAMAJE RALEO CAMARONERA]]</f>
        <v>2.4600000000000009</v>
      </c>
      <c r="AU111" s="187">
        <f>TablaPrincipal[[#This Row],[GRAMOS PLANTA]]-TablaPrincipal[[#This Row],[GRAMAJE CAMARONERA]]</f>
        <v>-1.5600000000000023</v>
      </c>
      <c r="AV111" s="183" t="str">
        <f>+VLOOKUP(TablaPrincipal[[#This Row],[CODIGO]],TablaCosechas[#All],10,0)</f>
        <v>NESTOR MOGOLLON</v>
      </c>
      <c r="AW111" s="183" t="s">
        <v>210</v>
      </c>
      <c r="AX111" s="188" t="str">
        <f>+VLOOKUP(TablaPrincipal[[#This Row],[CODIGO]],TablaCosechas[#All],10,0)</f>
        <v>NESTOR MOGOLLON</v>
      </c>
    </row>
    <row r="112" spans="1:50" hidden="1" x14ac:dyDescent="0.25">
      <c r="A112" s="196">
        <v>46061</v>
      </c>
      <c r="B112" s="183">
        <v>110</v>
      </c>
      <c r="C112" s="183">
        <f>YEAR(TablaPrincipal[[#This Row],[FECHA]])</f>
        <v>2026</v>
      </c>
      <c r="D112" s="183" t="s">
        <v>186</v>
      </c>
      <c r="E112" s="183" t="str">
        <f>UPPER(TEXT(TablaPrincipal[[#This Row],[FECHA]],"MMMM"))</f>
        <v>FEBRERO</v>
      </c>
      <c r="F112" s="183" t="str">
        <f>IFERROR(VLOOKUP(TablaPrincipal[[#This Row],[CODIGO]],COSECHAS!A:J,9,0),"-")</f>
        <v>13</v>
      </c>
      <c r="G112" s="183" t="str">
        <f>IFERROR(VLOOKUP(TablaPrincipal[[#This Row],[CODIGO]],COSECHAS!A:I,8,0),"-")</f>
        <v>WAHOO</v>
      </c>
      <c r="H112" s="184">
        <f>IFERROR(VLOOKUP(TablaPrincipal[[#This Row],[CODIGO]],DATOS!A:B,2,0),"-")</f>
        <v>9</v>
      </c>
      <c r="I112" s="183" t="str">
        <f>IFERROR(VLOOKUP(TablaPrincipal[[#This Row],[CODIGO]],Tabla8[[#Headers],[#Data]],3,0),"-")</f>
        <v>CONVENCIONAL</v>
      </c>
      <c r="J112" s="183">
        <f>IFERROR(TablaPrincipal[[#This Row],[FECHA]]-TablaPrincipal[[#This Row],[FECHA DE SIEMBRA]],"-")</f>
        <v>69</v>
      </c>
      <c r="K112" s="196">
        <f>VLOOKUP(TablaPrincipal[[#This Row],[CODIGO]]&amp;TablaPrincipal[[#This Row],[AGUAJE ]],Tabla4[#All],4,0)</f>
        <v>45992</v>
      </c>
      <c r="L112" s="183" t="str">
        <f>VLOOKUP(TablaPrincipal[[#This Row],[CODIGO]]&amp;TablaPrincipal[[#This Row],[AGUAJE ]],Tabla4[#All],15,0)</f>
        <v>WA PC 5 - 6</v>
      </c>
      <c r="M112" s="184">
        <f>VLOOKUP(TablaPrincipal[[#This Row],[CODIGO]]&amp;TablaPrincipal[[#This Row],[AGUAJE ]],Tabla4[#All],14,0)</f>
        <v>1.56</v>
      </c>
      <c r="N112" s="183">
        <v>39</v>
      </c>
      <c r="O112" s="170">
        <f>VLOOKUP(TablaPrincipal[[#This Row],[CODIGO]]&amp;TablaPrincipal[[#This Row],[AGUAJE ]],Tabla4[#All],5,0)</f>
        <v>1305000</v>
      </c>
      <c r="P112" s="221">
        <f>IFERROR(TablaPrincipal[[#This Row],[ANIM SEMBRADOS]]/TablaPrincipal[[#This Row],[HAS]],"-")</f>
        <v>145000</v>
      </c>
      <c r="Q112" s="222">
        <f>IFERROR(TablaPrincipal[[#This Row],[DENSIDAD]]/10000,"-")</f>
        <v>14.5</v>
      </c>
      <c r="R112" s="183" t="str">
        <f>VLOOKUP(TablaPrincipal[[#This Row],[CODIGO]]&amp;TablaPrincipal[[#This Row],[AGUAJE ]],Tabla4[#All],8,0)</f>
        <v>LARVASLAB/TECSERV</v>
      </c>
      <c r="S112" s="183" t="str">
        <f>VLOOKUP(TablaPrincipal[[#This Row],[CODIGO]]&amp;TablaPrincipal[[#This Row],[AGUAJE ]],Tabla4[#All],7,0)</f>
        <v>TEXCUMAR</v>
      </c>
      <c r="T112" s="183" t="str">
        <f>IF(ISNUMBER(FIND("/",TablaPrincipal[[#This Row],[LABORATORIO]])),"COMBINADO","UNICO")</f>
        <v>COMBINADO</v>
      </c>
      <c r="U1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10200</v>
      </c>
      <c r="V1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9818.57</v>
      </c>
      <c r="W1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28.52</v>
      </c>
      <c r="Y112" s="185">
        <f>IFERROR(TablaPrincipal[[#This Row],[LIBRAS RALEO PLANTA]]/TablaPrincipal[[#This Row],[HAS]],"-")</f>
        <v>1090.9522222222222</v>
      </c>
      <c r="Z1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156298.4144460028</v>
      </c>
      <c r="AA11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1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26862.74</v>
      </c>
      <c r="AC112" s="186">
        <f>SUMIFS(COSECHAS!F:F,COSECHAS!A:A,'BASE 2026'!AW:AW,COSECHAS!G:G,"="&amp;A:A)</f>
        <v>34</v>
      </c>
      <c r="AD112" s="186">
        <f>SUMIFS(COSECHAS!M:M,COSECHAS!A:A,'BASE 2026'!AW:AW,COSECHAS!G:G,"="&amp;A:A)</f>
        <v>33.909999999999997</v>
      </c>
      <c r="AE112" s="185">
        <f>IFERROR(TablaPrincipal[[#This Row],[LIBRAS PLANTA]]/TablaPrincipal[[#This Row],[HAS]],"-")</f>
        <v>2984.7488888888893</v>
      </c>
      <c r="AF112" s="185">
        <f>IFERROR(TablaPrincipal[[#This Row],[LIBRAS PLANTA]]*454/TablaPrincipal[[#This Row],[GRAMOS PLANTA]],"-")</f>
        <v>359648.59805367154</v>
      </c>
      <c r="AG112" s="185">
        <f>TablaPrincipal[[#This Row],[LIBRAS RALEO PLANTA]]+TablaPrincipal[[#This Row],[LIBRAS PLANTA]]</f>
        <v>36681.31</v>
      </c>
      <c r="AH112" s="185">
        <f>IFERROR(TablaPrincipal[[#This Row],[CAM COSECHADOS RALEO]]+TablaPrincipal[[#This Row],[CAM COSECHADOS]],"-")</f>
        <v>515947.01249967434</v>
      </c>
      <c r="AI112" s="185">
        <f>IFERROR((TablaPrincipal[[#This Row],[LIBRAS RALEO PLANTA]]+TablaPrincipal[[#This Row],[LIBRAS PLANTA]])/TablaPrincipal[[#This Row],[HAS]],"0")</f>
        <v>4075.701111111111</v>
      </c>
      <c r="AJ112" s="186">
        <f t="shared" si="1"/>
        <v>3.4401449275362315</v>
      </c>
      <c r="AK112" s="186">
        <f>IFERROR(TablaPrincipal[[#This Row],[LBS/HA]]/TablaPrincipal[[#This Row],[DIAS]],"-")</f>
        <v>59.068132045088568</v>
      </c>
      <c r="AL112" s="186">
        <f>IFERROR(TablaPrincipal[[#This Row],[CAM COSECHADOS TOTALES]]/TablaPrincipal[[#This Row],[ANIM SEMBRADOS]]*100,"-")</f>
        <v>39.536169540204931</v>
      </c>
      <c r="AM112" s="185">
        <v>49144.943200000002</v>
      </c>
      <c r="AN112" s="187">
        <f>IFERROR(((TablaPrincipal[[#This Row],[BALANCEADO ACUMULADO (LBS)]]/2.2046)/TablaPrincipal[[#This Row],[HAS]])/TablaPrincipal[[#This Row],[DIAS]],"-")</f>
        <v>35.896940418679549</v>
      </c>
      <c r="AO112" s="184">
        <f>IFERROR(TablaPrincipal[[#This Row],[BALANCEADO ACUMULADO (LBS)]]/TablaPrincipal[[#This Row],[LIBRAS TOTALES]],"-")</f>
        <v>1.3397815726864717</v>
      </c>
      <c r="AP112" s="184"/>
      <c r="AQ112" s="184" t="s">
        <v>123</v>
      </c>
      <c r="AR112" s="185">
        <f>TablaPrincipal[[#This Row],[LIBRAS RALEO PLANTA]]-TablaPrincipal[[#This Row],[LIBRAS RALEO CAMARONERA]]</f>
        <v>-381.43000000000029</v>
      </c>
      <c r="AS112" s="185">
        <f>TablaPrincipal[[#This Row],[LIBRAS PLANTA]]-TablaPrincipal[[#This Row],[LIBRAS CAMARONERA]]</f>
        <v>1862.7400000000016</v>
      </c>
      <c r="AT112" s="187">
        <f>TablaPrincipal[[#This Row],[GRAMAJE RALEO PLANTA]]-TablaPrincipal[[#This Row],[GRAMAJE RALEO CAMARONERA]]</f>
        <v>2.5199999999999996</v>
      </c>
      <c r="AU112" s="187">
        <f>TablaPrincipal[[#This Row],[GRAMOS PLANTA]]-TablaPrincipal[[#This Row],[GRAMAJE CAMARONERA]]</f>
        <v>-9.0000000000003411E-2</v>
      </c>
      <c r="AV112" s="183" t="str">
        <f>+VLOOKUP(TablaPrincipal[[#This Row],[CODIGO]],TablaCosechas[#All],10,0)</f>
        <v>JUNIOR ESQUIVEL</v>
      </c>
      <c r="AW112" s="183" t="s">
        <v>211</v>
      </c>
      <c r="AX112" s="188" t="str">
        <f>+VLOOKUP(TablaPrincipal[[#This Row],[CODIGO]],TablaCosechas[#All],10,0)</f>
        <v>JUNIOR ESQUIVEL</v>
      </c>
    </row>
    <row r="113" spans="1:50" hidden="1" x14ac:dyDescent="0.25">
      <c r="A113" s="196">
        <v>46061</v>
      </c>
      <c r="B113" s="183">
        <v>111</v>
      </c>
      <c r="C113" s="183">
        <f>YEAR(TablaPrincipal[[#This Row],[FECHA]])</f>
        <v>2026</v>
      </c>
      <c r="D113" s="183" t="s">
        <v>186</v>
      </c>
      <c r="E113" s="183" t="str">
        <f>UPPER(TEXT(TablaPrincipal[[#This Row],[FECHA]],"MMMM"))</f>
        <v>FEBRERO</v>
      </c>
      <c r="F113" s="183" t="str">
        <f>IFERROR(VLOOKUP(TablaPrincipal[[#This Row],[CODIGO]],COSECHAS!A:J,9,0),"-")</f>
        <v>09</v>
      </c>
      <c r="G113" s="183" t="str">
        <f>IFERROR(VLOOKUP(TablaPrincipal[[#This Row],[CODIGO]],COSECHAS!A:I,8,0),"-")</f>
        <v>CATANUDA</v>
      </c>
      <c r="H113" s="184">
        <f>IFERROR(VLOOKUP(TablaPrincipal[[#This Row],[CODIGO]],DATOS!A:B,2,0),"-")</f>
        <v>11.4</v>
      </c>
      <c r="I113" s="183" t="str">
        <f>IFERROR(VLOOKUP(TablaPrincipal[[#This Row],[CODIGO]],Tabla8[[#Headers],[#Data]],3,0),"-")</f>
        <v>ASC-BAP</v>
      </c>
      <c r="J113" s="183">
        <f>IFERROR(TablaPrincipal[[#This Row],[FECHA]]-TablaPrincipal[[#This Row],[FECHA DE SIEMBRA]],"-")</f>
        <v>84</v>
      </c>
      <c r="K113" s="196">
        <f>VLOOKUP(TablaPrincipal[[#This Row],[CODIGO]]&amp;TablaPrincipal[[#This Row],[AGUAJE ]],Tabla4[#All],4,0)</f>
        <v>45977</v>
      </c>
      <c r="L113" s="183" t="str">
        <f>VLOOKUP(TablaPrincipal[[#This Row],[CODIGO]]&amp;TablaPrincipal[[#This Row],[AGUAJE ]],Tabla4[#All],15,0)</f>
        <v>CA PC 20</v>
      </c>
      <c r="M113" s="184">
        <f>VLOOKUP(TablaPrincipal[[#This Row],[CODIGO]]&amp;TablaPrincipal[[#This Row],[AGUAJE ]],Tabla4[#All],14,0)</f>
        <v>0.57999999999999996</v>
      </c>
      <c r="N113" s="183">
        <v>5</v>
      </c>
      <c r="O113" s="170">
        <f>VLOOKUP(TablaPrincipal[[#This Row],[CODIGO]]&amp;TablaPrincipal[[#This Row],[AGUAJE ]],Tabla4[#All],5,0)</f>
        <v>1911754</v>
      </c>
      <c r="P113" s="221">
        <f>IFERROR(TablaPrincipal[[#This Row],[ANIM SEMBRADOS]]/TablaPrincipal[[#This Row],[HAS]],"-")</f>
        <v>167697.71929824562</v>
      </c>
      <c r="Q113" s="222">
        <f>IFERROR(TablaPrincipal[[#This Row],[DENSIDAD]]/10000,"-")</f>
        <v>16.769771929824561</v>
      </c>
      <c r="R113" s="183" t="str">
        <f>VLOOKUP(TablaPrincipal[[#This Row],[CODIGO]]&amp;TablaPrincipal[[#This Row],[AGUAJE ]],Tabla4[#All],8,0)</f>
        <v>DEONES</v>
      </c>
      <c r="S113" s="183" t="str">
        <f>VLOOKUP(TablaPrincipal[[#This Row],[CODIGO]]&amp;TablaPrincipal[[#This Row],[AGUAJE ]],Tabla4[#All],7,0)</f>
        <v>TEXCUMAR</v>
      </c>
      <c r="T113" s="183" t="str">
        <f>IF(ISNUMBER(FIND("/",TablaPrincipal[[#This Row],[LABORATORIO]])),"COMBINADO","UNICO")</f>
        <v>UNICO</v>
      </c>
      <c r="U1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27050</v>
      </c>
      <c r="V1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28223.58</v>
      </c>
      <c r="W1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26.03</v>
      </c>
      <c r="Y113" s="185">
        <f>IFERROR(TablaPrincipal[[#This Row],[LIBRAS RALEO PLANTA]]/TablaPrincipal[[#This Row],[HAS]],"-")</f>
        <v>2475.7526315789473</v>
      </c>
      <c r="Z1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529288.26015473891</v>
      </c>
      <c r="AA11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48000</v>
      </c>
      <c r="AB1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51452.11</v>
      </c>
      <c r="AC113" s="186">
        <f>SUMIFS(COSECHAS!F:F,COSECHAS!A:A,'BASE 2026'!AW:AW,COSECHAS!G:G,"="&amp;A:A)</f>
        <v>40</v>
      </c>
      <c r="AD113" s="186">
        <f>SUMIFS(COSECHAS!M:M,COSECHAS!A:A,'BASE 2026'!AW:AW,COSECHAS!G:G,"="&amp;A:A)</f>
        <v>40.49</v>
      </c>
      <c r="AE113" s="185">
        <f>IFERROR(TablaPrincipal[[#This Row],[LIBRAS PLANTA]]/TablaPrincipal[[#This Row],[HAS]],"-")</f>
        <v>4513.3429824561399</v>
      </c>
      <c r="AF113" s="185">
        <f>IFERROR(TablaPrincipal[[#This Row],[LIBRAS PLANTA]]*454/TablaPrincipal[[#This Row],[GRAMOS PLANTA]],"-")</f>
        <v>576914.24895035813</v>
      </c>
      <c r="AG113" s="185">
        <f>TablaPrincipal[[#This Row],[LIBRAS RALEO PLANTA]]+TablaPrincipal[[#This Row],[LIBRAS PLANTA]]</f>
        <v>79675.69</v>
      </c>
      <c r="AH113" s="185">
        <f>IFERROR(TablaPrincipal[[#This Row],[CAM COSECHADOS RALEO]]+TablaPrincipal[[#This Row],[CAM COSECHADOS]],"-")</f>
        <v>1106202.509105097</v>
      </c>
      <c r="AI113" s="185">
        <f>IFERROR((TablaPrincipal[[#This Row],[LIBRAS RALEO PLANTA]]+TablaPrincipal[[#This Row],[LIBRAS PLANTA]])/TablaPrincipal[[#This Row],[HAS]],"0")</f>
        <v>6989.0956140350881</v>
      </c>
      <c r="AJ113" s="186">
        <f t="shared" si="1"/>
        <v>3.374166666666667</v>
      </c>
      <c r="AK113" s="186">
        <f>IFERROR(TablaPrincipal[[#This Row],[LBS/HA]]/TablaPrincipal[[#This Row],[DIAS]],"-")</f>
        <v>83.203519214703434</v>
      </c>
      <c r="AL113" s="186">
        <f>IFERROR(TablaPrincipal[[#This Row],[CAM COSECHADOS TOTALES]]/TablaPrincipal[[#This Row],[ANIM SEMBRADOS]]*100,"-")</f>
        <v>57.863224510323874</v>
      </c>
      <c r="AM113" s="185">
        <v>95703.890599999999</v>
      </c>
      <c r="AN113" s="187">
        <f>IFERROR(((TablaPrincipal[[#This Row],[BALANCEADO ACUMULADO (LBS)]]/2.2046)/TablaPrincipal[[#This Row],[HAS]])/TablaPrincipal[[#This Row],[DIAS]],"-")</f>
        <v>45.333124477861318</v>
      </c>
      <c r="AO113" s="184">
        <f>IFERROR(TablaPrincipal[[#This Row],[BALANCEADO ACUMULADO (LBS)]]/TablaPrincipal[[#This Row],[LIBRAS TOTALES]],"-")</f>
        <v>1.2011680174969304</v>
      </c>
      <c r="AP113" s="184"/>
      <c r="AQ113" s="184" t="s">
        <v>105</v>
      </c>
      <c r="AR113" s="185">
        <f>TablaPrincipal[[#This Row],[LIBRAS RALEO PLANTA]]-TablaPrincipal[[#This Row],[LIBRAS RALEO CAMARONERA]]</f>
        <v>1173.5800000000017</v>
      </c>
      <c r="AS113" s="185">
        <f>TablaPrincipal[[#This Row],[LIBRAS PLANTA]]-TablaPrincipal[[#This Row],[LIBRAS CAMARONERA]]</f>
        <v>3452.1100000000006</v>
      </c>
      <c r="AT113" s="187">
        <f>TablaPrincipal[[#This Row],[GRAMAJE RALEO PLANTA]]-TablaPrincipal[[#This Row],[GRAMAJE RALEO CAMARONERA]]</f>
        <v>3.5300000000000011</v>
      </c>
      <c r="AU113" s="187">
        <f>TablaPrincipal[[#This Row],[GRAMOS PLANTA]]-TablaPrincipal[[#This Row],[GRAMAJE CAMARONERA]]</f>
        <v>0.49000000000000199</v>
      </c>
      <c r="AV113" s="183" t="str">
        <f>+VLOOKUP(TablaPrincipal[[#This Row],[CODIGO]],TablaCosechas[#All],10,0)</f>
        <v>VICTOR QUINTANA</v>
      </c>
      <c r="AW113" s="183" t="s">
        <v>212</v>
      </c>
      <c r="AX113" s="188" t="str">
        <f>+VLOOKUP(TablaPrincipal[[#This Row],[CODIGO]],TablaCosechas[#All],10,0)</f>
        <v>VICTOR QUINTANA</v>
      </c>
    </row>
    <row r="114" spans="1:50" hidden="1" x14ac:dyDescent="0.25">
      <c r="A114" s="196">
        <v>46062</v>
      </c>
      <c r="B114" s="183">
        <v>112</v>
      </c>
      <c r="C114" s="183">
        <f>YEAR(TablaPrincipal[[#This Row],[FECHA]])</f>
        <v>2026</v>
      </c>
      <c r="D114" s="183" t="s">
        <v>186</v>
      </c>
      <c r="E114" s="183" t="str">
        <f>UPPER(TEXT(TablaPrincipal[[#This Row],[FECHA]],"MMMM"))</f>
        <v>FEBRERO</v>
      </c>
      <c r="F114" s="183" t="str">
        <f>IFERROR(VLOOKUP(TablaPrincipal[[#This Row],[CODIGO]],COSECHAS!A:J,9,0),"-")</f>
        <v>07</v>
      </c>
      <c r="G114" s="183" t="str">
        <f>IFERROR(VLOOKUP(TablaPrincipal[[#This Row],[CODIGO]],COSECHAS!A:I,8,0),"-")</f>
        <v>CATANUDA</v>
      </c>
      <c r="H114" s="184">
        <f>IFERROR(VLOOKUP(TablaPrincipal[[#This Row],[CODIGO]],DATOS!A:B,2,0),"-")</f>
        <v>7.72</v>
      </c>
      <c r="I114" s="183" t="str">
        <f>IFERROR(VLOOKUP(TablaPrincipal[[#This Row],[CODIGO]],Tabla8[[#Headers],[#Data]],3,0),"-")</f>
        <v>ASC-BAP</v>
      </c>
      <c r="J114" s="183">
        <f>IFERROR(TablaPrincipal[[#This Row],[FECHA]]-TablaPrincipal[[#This Row],[FECHA DE SIEMBRA]],"-")</f>
        <v>78</v>
      </c>
      <c r="K114" s="196">
        <f>VLOOKUP(TablaPrincipal[[#This Row],[CODIGO]]&amp;TablaPrincipal[[#This Row],[AGUAJE ]],Tabla4[#All],4,0)</f>
        <v>45984</v>
      </c>
      <c r="L114" s="183" t="str">
        <f>VLOOKUP(TablaPrincipal[[#This Row],[CODIGO]]&amp;TablaPrincipal[[#This Row],[AGUAJE ]],Tabla4[#All],15,0)</f>
        <v>CA PC 8/RO PC 1</v>
      </c>
      <c r="M114" s="184">
        <f>VLOOKUP(TablaPrincipal[[#This Row],[CODIGO]]&amp;TablaPrincipal[[#This Row],[AGUAJE ]],Tabla4[#All],14,0)</f>
        <v>0.5</v>
      </c>
      <c r="N114" s="183">
        <v>5</v>
      </c>
      <c r="O114" s="170">
        <f>VLOOKUP(TablaPrincipal[[#This Row],[CODIGO]]&amp;TablaPrincipal[[#This Row],[AGUAJE ]],Tabla4[#All],5,0)</f>
        <v>1403500</v>
      </c>
      <c r="P114" s="221">
        <f>IFERROR(TablaPrincipal[[#This Row],[ANIM SEMBRADOS]]/TablaPrincipal[[#This Row],[HAS]],"-")</f>
        <v>181800.51813471504</v>
      </c>
      <c r="Q114" s="222">
        <f>IFERROR(TablaPrincipal[[#This Row],[DENSIDAD]]/10000,"-")</f>
        <v>18.180051813471504</v>
      </c>
      <c r="R114" s="183" t="str">
        <f>VLOOKUP(TablaPrincipal[[#This Row],[CODIGO]]&amp;TablaPrincipal[[#This Row],[AGUAJE ]],Tabla4[#All],8,0)</f>
        <v>GABSO</v>
      </c>
      <c r="S114" s="183" t="str">
        <f>VLOOKUP(TablaPrincipal[[#This Row],[CODIGO]]&amp;TablaPrincipal[[#This Row],[AGUAJE ]],Tabla4[#All],7,0)</f>
        <v>TEXCUMAR</v>
      </c>
      <c r="T114" s="183" t="str">
        <f>IF(ISNUMBER(FIND("/",TablaPrincipal[[#This Row],[LABORATORIO]])),"COMBINADO","UNICO")</f>
        <v>UNICO</v>
      </c>
      <c r="U1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8800</v>
      </c>
      <c r="V1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8835.92</v>
      </c>
      <c r="W1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20.76</v>
      </c>
      <c r="Y114" s="185">
        <f>IFERROR(TablaPrincipal[[#This Row],[LIBRAS RALEO PLANTA]]/TablaPrincipal[[#This Row],[HAS]],"-")</f>
        <v>1144.5492227979275</v>
      </c>
      <c r="Z1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193232.54720616571</v>
      </c>
      <c r="AA11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33900</v>
      </c>
      <c r="AB1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37115.39</v>
      </c>
      <c r="AC114" s="186">
        <f>SUMIFS(COSECHAS!F:F,COSECHAS!A:A,'BASE 2026'!AW:AW,COSECHAS!G:G,"="&amp;A:A)</f>
        <v>32</v>
      </c>
      <c r="AD114" s="186">
        <f>SUMIFS(COSECHAS!M:M,COSECHAS!A:A,'BASE 2026'!AW:AW,COSECHAS!G:G,"="&amp;A:A)</f>
        <v>30.8</v>
      </c>
      <c r="AE114" s="185">
        <f>IFERROR(TablaPrincipal[[#This Row],[LIBRAS PLANTA]]/TablaPrincipal[[#This Row],[HAS]],"-")</f>
        <v>4807.693005181347</v>
      </c>
      <c r="AF114" s="185">
        <f>IFERROR(TablaPrincipal[[#This Row],[LIBRAS PLANTA]]*454/TablaPrincipal[[#This Row],[GRAMOS PLANTA]],"-")</f>
        <v>547090.48896103888</v>
      </c>
      <c r="AG114" s="185">
        <f>TablaPrincipal[[#This Row],[LIBRAS RALEO PLANTA]]+TablaPrincipal[[#This Row],[LIBRAS PLANTA]]</f>
        <v>45951.31</v>
      </c>
      <c r="AH114" s="185">
        <f>IFERROR(TablaPrincipal[[#This Row],[CAM COSECHADOS RALEO]]+TablaPrincipal[[#This Row],[CAM COSECHADOS]],"-")</f>
        <v>740323.03616720461</v>
      </c>
      <c r="AI114" s="185">
        <f>IFERROR((TablaPrincipal[[#This Row],[LIBRAS RALEO PLANTA]]+TablaPrincipal[[#This Row],[LIBRAS PLANTA]])/TablaPrincipal[[#This Row],[HAS]],"0")</f>
        <v>5952.2422279792745</v>
      </c>
      <c r="AJ114" s="186">
        <f t="shared" si="1"/>
        <v>2.7641025641025645</v>
      </c>
      <c r="AK114" s="186">
        <f>IFERROR(TablaPrincipal[[#This Row],[LBS/HA]]/TablaPrincipal[[#This Row],[DIAS]],"-")</f>
        <v>76.310797794606088</v>
      </c>
      <c r="AL114" s="186">
        <f>IFERROR(TablaPrincipal[[#This Row],[CAM COSECHADOS TOTALES]]/TablaPrincipal[[#This Row],[ANIM SEMBRADOS]]*100,"-")</f>
        <v>52.748346004075856</v>
      </c>
      <c r="AM114" s="185">
        <v>74498.945500000002</v>
      </c>
      <c r="AN114" s="187">
        <f>IFERROR(((TablaPrincipal[[#This Row],[BALANCEADO ACUMULADO (LBS)]]/2.2046)/TablaPrincipal[[#This Row],[HAS]])/TablaPrincipal[[#This Row],[DIAS]],"-")</f>
        <v>56.118805633054343</v>
      </c>
      <c r="AO114" s="184">
        <f>IFERROR(TablaPrincipal[[#This Row],[BALANCEADO ACUMULADO (LBS)]]/TablaPrincipal[[#This Row],[LIBRAS TOTALES]],"-")</f>
        <v>1.6212583602077939</v>
      </c>
      <c r="AP114" s="184"/>
      <c r="AQ114" s="184" t="s">
        <v>105</v>
      </c>
      <c r="AR114" s="185">
        <f>TablaPrincipal[[#This Row],[LIBRAS RALEO PLANTA]]-TablaPrincipal[[#This Row],[LIBRAS RALEO CAMARONERA]]</f>
        <v>35.920000000000073</v>
      </c>
      <c r="AS114" s="185">
        <f>TablaPrincipal[[#This Row],[LIBRAS PLANTA]]-TablaPrincipal[[#This Row],[LIBRAS CAMARONERA]]</f>
        <v>3215.3899999999994</v>
      </c>
      <c r="AT114" s="187">
        <f>TablaPrincipal[[#This Row],[GRAMAJE RALEO PLANTA]]-TablaPrincipal[[#This Row],[GRAMAJE RALEO CAMARONERA]]</f>
        <v>2.7600000000000016</v>
      </c>
      <c r="AU114" s="187">
        <f>TablaPrincipal[[#This Row],[GRAMOS PLANTA]]-TablaPrincipal[[#This Row],[GRAMAJE CAMARONERA]]</f>
        <v>-1.1999999999999993</v>
      </c>
      <c r="AV114" s="183" t="str">
        <f>+VLOOKUP(TablaPrincipal[[#This Row],[CODIGO]],TablaCosechas[#All],10,0)</f>
        <v>VICTOR QUINTANA</v>
      </c>
      <c r="AW114" s="183" t="s">
        <v>213</v>
      </c>
      <c r="AX114" s="188" t="str">
        <f>+VLOOKUP(TablaPrincipal[[#This Row],[CODIGO]],TablaCosechas[#All],10,0)</f>
        <v>VICTOR QUINTANA</v>
      </c>
    </row>
    <row r="115" spans="1:50" hidden="1" x14ac:dyDescent="0.25">
      <c r="A115" s="196">
        <v>46062</v>
      </c>
      <c r="B115" s="183">
        <v>113</v>
      </c>
      <c r="C115" s="183">
        <f>YEAR(TablaPrincipal[[#This Row],[FECHA]])</f>
        <v>2026</v>
      </c>
      <c r="D115" s="183" t="s">
        <v>186</v>
      </c>
      <c r="E115" s="183" t="str">
        <f>UPPER(TEXT(TablaPrincipal[[#This Row],[FECHA]],"MMMM"))</f>
        <v>FEBRERO</v>
      </c>
      <c r="F115" s="183" t="str">
        <f>IFERROR(VLOOKUP(TablaPrincipal[[#This Row],[CODIGO]],COSECHAS!A:J,9,0),"-")</f>
        <v>01</v>
      </c>
      <c r="G115" s="183" t="str">
        <f>IFERROR(VLOOKUP(TablaPrincipal[[#This Row],[CODIGO]],COSECHAS!A:I,8,0),"-")</f>
        <v>CHERNA</v>
      </c>
      <c r="H115" s="184">
        <f>IFERROR(VLOOKUP(TablaPrincipal[[#This Row],[CODIGO]],DATOS!A:B,2,0),"-")</f>
        <v>7.54</v>
      </c>
      <c r="I115" s="183" t="str">
        <f>IFERROR(VLOOKUP(TablaPrincipal[[#This Row],[CODIGO]],Tabla8[[#Headers],[#Data]],3,0),"-")</f>
        <v>ASC</v>
      </c>
      <c r="J115" s="183">
        <f>IFERROR(TablaPrincipal[[#This Row],[FECHA]]-TablaPrincipal[[#This Row],[FECHA DE SIEMBRA]],"-")</f>
        <v>81</v>
      </c>
      <c r="K115" s="196">
        <f>VLOOKUP(TablaPrincipal[[#This Row],[CODIGO]]&amp;TablaPrincipal[[#This Row],[AGUAJE ]],Tabla4[#All],4,0)</f>
        <v>45981</v>
      </c>
      <c r="L115" s="183" t="str">
        <f>VLOOKUP(TablaPrincipal[[#This Row],[CODIGO]]&amp;TablaPrincipal[[#This Row],[AGUAJE ]],Tabla4[#All],15,0)</f>
        <v>CH PC 1</v>
      </c>
      <c r="M115" s="184">
        <f>VLOOKUP(TablaPrincipal[[#This Row],[CODIGO]]&amp;TablaPrincipal[[#This Row],[AGUAJE ]],Tabla4[#All],14,0)</f>
        <v>0.65</v>
      </c>
      <c r="N115" s="183">
        <v>5</v>
      </c>
      <c r="O115" s="170">
        <f>VLOOKUP(TablaPrincipal[[#This Row],[CODIGO]]&amp;TablaPrincipal[[#This Row],[AGUAJE ]],Tabla4[#All],5,0)</f>
        <v>1357200</v>
      </c>
      <c r="P115" s="221">
        <f>IFERROR(TablaPrincipal[[#This Row],[ANIM SEMBRADOS]]/TablaPrincipal[[#This Row],[HAS]],"-")</f>
        <v>180000</v>
      </c>
      <c r="Q115" s="222">
        <f>IFERROR(TablaPrincipal[[#This Row],[DENSIDAD]]/10000,"-")</f>
        <v>18</v>
      </c>
      <c r="R115" s="183" t="str">
        <f>VLOOKUP(TablaPrincipal[[#This Row],[CODIGO]]&amp;TablaPrincipal[[#This Row],[AGUAJE ]],Tabla4[#All],8,0)</f>
        <v>TECSERV</v>
      </c>
      <c r="S115" s="183" t="str">
        <f>VLOOKUP(TablaPrincipal[[#This Row],[CODIGO]]&amp;TablaPrincipal[[#This Row],[AGUAJE ]],Tabla4[#All],7,0)</f>
        <v>TEXCUMAR</v>
      </c>
      <c r="T115" s="183" t="str">
        <f>IF(ISNUMBER(FIND("/",TablaPrincipal[[#This Row],[LABORATORIO]])),"COMBINADO","UNICO")</f>
        <v>UNICO</v>
      </c>
      <c r="U1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19850</v>
      </c>
      <c r="V1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21938.69</v>
      </c>
      <c r="W1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1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115" s="185">
        <f>IFERROR(TablaPrincipal[[#This Row],[LIBRAS RALEO PLANTA]]/TablaPrincipal[[#This Row],[HAS]],"-")</f>
        <v>2909.6405835543765</v>
      </c>
      <c r="Z1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421920.0409866526</v>
      </c>
      <c r="AA11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43550</v>
      </c>
      <c r="AB1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45301.440000000002</v>
      </c>
      <c r="AC115" s="186">
        <f>SUMIFS(COSECHAS!F:F,COSECHAS!A:A,'BASE 2026'!AW:AW,COSECHAS!G:G,"="&amp;A:A)</f>
        <v>30</v>
      </c>
      <c r="AD115" s="186">
        <f>SUMIFS(COSECHAS!M:M,COSECHAS!A:A,'BASE 2026'!AW:AW,COSECHAS!G:G,"="&amp;A:A)</f>
        <v>29.22</v>
      </c>
      <c r="AE115" s="185">
        <f>IFERROR(TablaPrincipal[[#This Row],[LIBRAS PLANTA]]/TablaPrincipal[[#This Row],[HAS]],"-")</f>
        <v>6008.1485411140584</v>
      </c>
      <c r="AF115" s="185">
        <f>IFERROR(TablaPrincipal[[#This Row],[LIBRAS PLANTA]]*454/TablaPrincipal[[#This Row],[GRAMOS PLANTA]],"-")</f>
        <v>703862.20944558526</v>
      </c>
      <c r="AG115" s="185">
        <f>TablaPrincipal[[#This Row],[LIBRAS RALEO PLANTA]]+TablaPrincipal[[#This Row],[LIBRAS PLANTA]]</f>
        <v>67240.13</v>
      </c>
      <c r="AH115" s="185">
        <f>IFERROR(TablaPrincipal[[#This Row],[CAM COSECHADOS RALEO]]+TablaPrincipal[[#This Row],[CAM COSECHADOS]],"-")</f>
        <v>1125782.250432238</v>
      </c>
      <c r="AI115" s="185">
        <f>IFERROR((TablaPrincipal[[#This Row],[LIBRAS RALEO PLANTA]]+TablaPrincipal[[#This Row],[LIBRAS PLANTA]])/TablaPrincipal[[#This Row],[HAS]],"0")</f>
        <v>8917.7891246684358</v>
      </c>
      <c r="AJ115" s="186">
        <f t="shared" si="1"/>
        <v>2.525185185185185</v>
      </c>
      <c r="AK115" s="186">
        <f>IFERROR(TablaPrincipal[[#This Row],[LBS/HA]]/TablaPrincipal[[#This Row],[DIAS]],"-")</f>
        <v>110.09616203294365</v>
      </c>
      <c r="AL115" s="186">
        <f>IFERROR(TablaPrincipal[[#This Row],[CAM COSECHADOS TOTALES]]/TablaPrincipal[[#This Row],[ANIM SEMBRADOS]]*100,"-")</f>
        <v>82.948883763059087</v>
      </c>
      <c r="AM115" s="185">
        <v>88459.575000000012</v>
      </c>
      <c r="AN115" s="187">
        <f>IFERROR(((TablaPrincipal[[#This Row],[BALANCEADO ACUMULADO (LBS)]]/2.2046)/TablaPrincipal[[#This Row],[HAS]])/TablaPrincipal[[#This Row],[DIAS]],"-")</f>
        <v>65.698988112781208</v>
      </c>
      <c r="AO115" s="184">
        <f>IFERROR(TablaPrincipal[[#This Row],[BALANCEADO ACUMULADO (LBS)]]/TablaPrincipal[[#This Row],[LIBRAS TOTALES]],"-")</f>
        <v>1.3155770965939537</v>
      </c>
      <c r="AP115" s="184"/>
      <c r="AQ115" s="184" t="s">
        <v>105</v>
      </c>
      <c r="AR115" s="185">
        <f>TablaPrincipal[[#This Row],[LIBRAS RALEO PLANTA]]-TablaPrincipal[[#This Row],[LIBRAS RALEO CAMARONERA]]</f>
        <v>2088.6899999999987</v>
      </c>
      <c r="AS115" s="185">
        <f>TablaPrincipal[[#This Row],[LIBRAS PLANTA]]-TablaPrincipal[[#This Row],[LIBRAS CAMARONERA]]</f>
        <v>1751.4400000000023</v>
      </c>
      <c r="AT115" s="187">
        <f>TablaPrincipal[[#This Row],[GRAMAJE RALEO PLANTA]]-TablaPrincipal[[#This Row],[GRAMAJE RALEO CAMARONERA]]</f>
        <v>0.46000000000000085</v>
      </c>
      <c r="AU115" s="187">
        <f>TablaPrincipal[[#This Row],[GRAMOS PLANTA]]-TablaPrincipal[[#This Row],[GRAMAJE CAMARONERA]]</f>
        <v>-0.78000000000000114</v>
      </c>
      <c r="AV115" s="183" t="str">
        <f>+VLOOKUP(TablaPrincipal[[#This Row],[CODIGO]],TablaCosechas[#All],10,0)</f>
        <v>SANTIAGO OBRIEN</v>
      </c>
      <c r="AW115" s="183" t="s">
        <v>7</v>
      </c>
      <c r="AX115" s="188" t="str">
        <f>+VLOOKUP(TablaPrincipal[[#This Row],[CODIGO]],TablaCosechas[#All],10,0)</f>
        <v>SANTIAGO OBRIEN</v>
      </c>
    </row>
    <row r="116" spans="1:50" hidden="1" x14ac:dyDescent="0.25">
      <c r="A116" s="196">
        <v>46062</v>
      </c>
      <c r="B116" s="183">
        <v>114</v>
      </c>
      <c r="C116" s="183">
        <f>YEAR(TablaPrincipal[[#This Row],[FECHA]])</f>
        <v>2026</v>
      </c>
      <c r="D116" s="183" t="s">
        <v>186</v>
      </c>
      <c r="E116" s="183" t="str">
        <f>UPPER(TEXT(TablaPrincipal[[#This Row],[FECHA]],"MMMM"))</f>
        <v>FEBRERO</v>
      </c>
      <c r="F116" s="183" t="str">
        <f>IFERROR(VLOOKUP(TablaPrincipal[[#This Row],[CODIGO]],COSECHAS!A:J,9,0),"-")</f>
        <v>30</v>
      </c>
      <c r="G116" s="183" t="str">
        <f>IFERROR(VLOOKUP(TablaPrincipal[[#This Row],[CODIGO]],COSECHAS!A:I,8,0),"-")</f>
        <v>WAHOO</v>
      </c>
      <c r="H116" s="184">
        <f>IFERROR(VLOOKUP(TablaPrincipal[[#This Row],[CODIGO]],DATOS!A:B,2,0),"-")</f>
        <v>14</v>
      </c>
      <c r="I116" s="183" t="str">
        <f>IFERROR(VLOOKUP(TablaPrincipal[[#This Row],[CODIGO]],Tabla8[[#Headers],[#Data]],3,0),"-")</f>
        <v>CONVENCIONAL</v>
      </c>
      <c r="J116" s="183">
        <f>IFERROR(TablaPrincipal[[#This Row],[FECHA]]-TablaPrincipal[[#This Row],[FECHA DE SIEMBRA]],"-")</f>
        <v>87</v>
      </c>
      <c r="K116" s="196">
        <f>VLOOKUP(TablaPrincipal[[#This Row],[CODIGO]]&amp;TablaPrincipal[[#This Row],[AGUAJE ]],Tabla4[#All],4,0)</f>
        <v>45975</v>
      </c>
      <c r="L116" s="183" t="str">
        <f>VLOOKUP(TablaPrincipal[[#This Row],[CODIGO]]&amp;TablaPrincipal[[#This Row],[AGUAJE ]],Tabla4[#All],15,0)</f>
        <v>WA PS 23</v>
      </c>
      <c r="M116" s="184">
        <f>VLOOKUP(TablaPrincipal[[#This Row],[CODIGO]]&amp;TablaPrincipal[[#This Row],[AGUAJE ]],Tabla4[#All],14,0)</f>
        <v>1.5</v>
      </c>
      <c r="N116" s="183">
        <v>42</v>
      </c>
      <c r="O116" s="170">
        <f>VLOOKUP(TablaPrincipal[[#This Row],[CODIGO]]&amp;TablaPrincipal[[#This Row],[AGUAJE ]],Tabla4[#All],5,0)</f>
        <v>2240000</v>
      </c>
      <c r="P116" s="221">
        <f>IFERROR(TablaPrincipal[[#This Row],[ANIM SEMBRADOS]]/TablaPrincipal[[#This Row],[HAS]],"-")</f>
        <v>160000</v>
      </c>
      <c r="Q116" s="222">
        <f>IFERROR(TablaPrincipal[[#This Row],[DENSIDAD]]/10000,"-")</f>
        <v>16</v>
      </c>
      <c r="R116" s="183" t="str">
        <f>VLOOKUP(TablaPrincipal[[#This Row],[CODIGO]]&amp;TablaPrincipal[[#This Row],[AGUAJE ]],Tabla4[#All],8,0)</f>
        <v>GENESIS</v>
      </c>
      <c r="S116" s="183" t="str">
        <f>VLOOKUP(TablaPrincipal[[#This Row],[CODIGO]]&amp;TablaPrincipal[[#This Row],[AGUAJE ]],Tabla4[#All],7,0)</f>
        <v>TEXCUMAR</v>
      </c>
      <c r="T116" s="183" t="str">
        <f>IF(ISNUMBER(FIND("/",TablaPrincipal[[#This Row],[LABORATORIO]])),"COMBINADO","UNICO")</f>
        <v>UNICO</v>
      </c>
      <c r="U1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31000</v>
      </c>
      <c r="V1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34571.360000000001</v>
      </c>
      <c r="W1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25.509999999999998</v>
      </c>
      <c r="Y116" s="185">
        <f>IFERROR(TablaPrincipal[[#This Row],[LIBRAS RALEO PLANTA]]/TablaPrincipal[[#This Row],[HAS]],"-")</f>
        <v>2469.3828571428571</v>
      </c>
      <c r="Z1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621965.6246256968</v>
      </c>
      <c r="AA11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32250</v>
      </c>
      <c r="AB1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34897.81</v>
      </c>
      <c r="AC116" s="186">
        <f>SUMIFS(COSECHAS!F:F,COSECHAS!A:A,'BASE 2026'!AW:AW,COSECHAS!G:G,"="&amp;A:A)</f>
        <v>32</v>
      </c>
      <c r="AD116" s="186">
        <f>SUMIFS(COSECHAS!M:M,COSECHAS!A:A,'BASE 2026'!AW:AW,COSECHAS!G:G,"="&amp;A:A)</f>
        <v>32.46</v>
      </c>
      <c r="AE116" s="185">
        <f>IFERROR(TablaPrincipal[[#This Row],[LIBRAS PLANTA]]/TablaPrincipal[[#This Row],[HAS]],"-")</f>
        <v>2492.7007142857142</v>
      </c>
      <c r="AF116" s="185">
        <f>IFERROR(TablaPrincipal[[#This Row],[LIBRAS PLANTA]]*454/TablaPrincipal[[#This Row],[GRAMOS PLANTA]],"-")</f>
        <v>488096.29513247067</v>
      </c>
      <c r="AG116" s="185">
        <f>TablaPrincipal[[#This Row],[LIBRAS RALEO PLANTA]]+TablaPrincipal[[#This Row],[LIBRAS PLANTA]]</f>
        <v>69469.17</v>
      </c>
      <c r="AH116" s="185">
        <f>IFERROR(TablaPrincipal[[#This Row],[CAM COSECHADOS RALEO]]+TablaPrincipal[[#This Row],[CAM COSECHADOS]],"-")</f>
        <v>1110061.9197581676</v>
      </c>
      <c r="AI116" s="185">
        <f>IFERROR((TablaPrincipal[[#This Row],[LIBRAS RALEO PLANTA]]+TablaPrincipal[[#This Row],[LIBRAS PLANTA]])/TablaPrincipal[[#This Row],[HAS]],"0")</f>
        <v>4962.0835714285713</v>
      </c>
      <c r="AJ116" s="186">
        <f t="shared" si="1"/>
        <v>2.6117241379310343</v>
      </c>
      <c r="AK116" s="186">
        <f>IFERROR(TablaPrincipal[[#This Row],[LBS/HA]]/TablaPrincipal[[#This Row],[DIAS]],"-")</f>
        <v>57.035443349753692</v>
      </c>
      <c r="AL116" s="186">
        <f>IFERROR(TablaPrincipal[[#This Row],[CAM COSECHADOS TOTALES]]/TablaPrincipal[[#This Row],[ANIM SEMBRADOS]]*100,"-")</f>
        <v>49.556335703489623</v>
      </c>
      <c r="AM116" s="185">
        <v>101823.86020000001</v>
      </c>
      <c r="AN116" s="187">
        <f>IFERROR(((TablaPrincipal[[#This Row],[BALANCEADO ACUMULADO (LBS)]]/2.2046)/TablaPrincipal[[#This Row],[HAS]])/TablaPrincipal[[#This Row],[DIAS]],"-")</f>
        <v>37.920361247947454</v>
      </c>
      <c r="AO116" s="184">
        <f>IFERROR(TablaPrincipal[[#This Row],[BALANCEADO ACUMULADO (LBS)]]/TablaPrincipal[[#This Row],[LIBRAS TOTALES]],"-")</f>
        <v>1.4657417124747569</v>
      </c>
      <c r="AP116" s="184"/>
      <c r="AQ116" s="184" t="s">
        <v>123</v>
      </c>
      <c r="AR116" s="185">
        <f>TablaPrincipal[[#This Row],[LIBRAS RALEO PLANTA]]-TablaPrincipal[[#This Row],[LIBRAS RALEO CAMARONERA]]</f>
        <v>3571.3600000000006</v>
      </c>
      <c r="AS116" s="185">
        <f>TablaPrincipal[[#This Row],[LIBRAS PLANTA]]-TablaPrincipal[[#This Row],[LIBRAS CAMARONERA]]</f>
        <v>2647.8099999999977</v>
      </c>
      <c r="AT116" s="187">
        <f>TablaPrincipal[[#This Row],[GRAMAJE RALEO PLANTA]]-TablaPrincipal[[#This Row],[GRAMAJE RALEO CAMARONERA]]</f>
        <v>0.50999999999999801</v>
      </c>
      <c r="AU116" s="187">
        <f>TablaPrincipal[[#This Row],[GRAMOS PLANTA]]-TablaPrincipal[[#This Row],[GRAMAJE CAMARONERA]]</f>
        <v>0.46000000000000085</v>
      </c>
      <c r="AV116" s="183" t="str">
        <f>+VLOOKUP(TablaPrincipal[[#This Row],[CODIGO]],TablaCosechas[#All],10,0)</f>
        <v>JUNIOR ESQUIVEL</v>
      </c>
      <c r="AW116" s="183" t="s">
        <v>214</v>
      </c>
      <c r="AX116" s="188" t="str">
        <f>+VLOOKUP(TablaPrincipal[[#This Row],[CODIGO]],TablaCosechas[#All],10,0)</f>
        <v>JUNIOR ESQUIVEL</v>
      </c>
    </row>
    <row r="117" spans="1:50" hidden="1" x14ac:dyDescent="0.25">
      <c r="A117" s="196">
        <v>46063</v>
      </c>
      <c r="B117" s="183">
        <v>115</v>
      </c>
      <c r="C117" s="183">
        <f>YEAR(TablaPrincipal[[#This Row],[FECHA]])</f>
        <v>2026</v>
      </c>
      <c r="D117" s="183" t="s">
        <v>186</v>
      </c>
      <c r="E117" s="183" t="str">
        <f>UPPER(TEXT(TablaPrincipal[[#This Row],[FECHA]],"MMMM"))</f>
        <v>FEBRERO</v>
      </c>
      <c r="F117" s="183" t="str">
        <f>IFERROR(VLOOKUP(TablaPrincipal[[#This Row],[CODIGO]],COSECHAS!A:J,9,0),"-")</f>
        <v>11</v>
      </c>
      <c r="G117" s="183" t="str">
        <f>IFERROR(VLOOKUP(TablaPrincipal[[#This Row],[CODIGO]],COSECHAS!A:I,8,0),"-")</f>
        <v>CHERNA</v>
      </c>
      <c r="H117" s="184">
        <f>IFERROR(VLOOKUP(TablaPrincipal[[#This Row],[CODIGO]],DATOS!A:B,2,0),"-")</f>
        <v>6.38</v>
      </c>
      <c r="I117" s="183" t="str">
        <f>IFERROR(VLOOKUP(TablaPrincipal[[#This Row],[CODIGO]],Tabla8[[#Headers],[#Data]],3,0),"-")</f>
        <v>ASC</v>
      </c>
      <c r="J117" s="183">
        <f>IFERROR(TablaPrincipal[[#This Row],[FECHA]]-TablaPrincipal[[#This Row],[FECHA DE SIEMBRA]],"-")</f>
        <v>70</v>
      </c>
      <c r="K117" s="196">
        <f>VLOOKUP(TablaPrincipal[[#This Row],[CODIGO]]&amp;TablaPrincipal[[#This Row],[AGUAJE ]],Tabla4[#All],4,0)</f>
        <v>45993</v>
      </c>
      <c r="L117" s="183" t="str">
        <f>VLOOKUP(TablaPrincipal[[#This Row],[CODIGO]]&amp;TablaPrincipal[[#This Row],[AGUAJE ]],Tabla4[#All],15,0)</f>
        <v>CH 6</v>
      </c>
      <c r="M117" s="184">
        <f>VLOOKUP(TablaPrincipal[[#This Row],[CODIGO]]&amp;TablaPrincipal[[#This Row],[AGUAJE ]],Tabla4[#All],14,0)</f>
        <v>0.56999999999999995</v>
      </c>
      <c r="N117" s="183">
        <v>6</v>
      </c>
      <c r="O117" s="170">
        <f>VLOOKUP(TablaPrincipal[[#This Row],[CODIGO]]&amp;TablaPrincipal[[#This Row],[AGUAJE ]],Tabla4[#All],5,0)</f>
        <v>1134000</v>
      </c>
      <c r="P117" s="221">
        <f>IFERROR(TablaPrincipal[[#This Row],[ANIM SEMBRADOS]]/TablaPrincipal[[#This Row],[HAS]],"-")</f>
        <v>177742.94670846395</v>
      </c>
      <c r="Q117" s="222">
        <f>IFERROR(TablaPrincipal[[#This Row],[DENSIDAD]]/10000,"-")</f>
        <v>17.774294670846395</v>
      </c>
      <c r="R117" s="183" t="str">
        <f>VLOOKUP(TablaPrincipal[[#This Row],[CODIGO]]&amp;TablaPrincipal[[#This Row],[AGUAJE ]],Tabla4[#All],8,0)</f>
        <v>EMPAGRAN</v>
      </c>
      <c r="S117" s="183" t="str">
        <f>VLOOKUP(TablaPrincipal[[#This Row],[CODIGO]]&amp;TablaPrincipal[[#This Row],[AGUAJE ]],Tabla4[#All],7,0)</f>
        <v>EMPAGRAN</v>
      </c>
      <c r="T117" s="183" t="str">
        <f>IF(ISNUMBER(FIND("/",TablaPrincipal[[#This Row],[LABORATORIO]])),"COMBINADO","UNICO")</f>
        <v>UNICO</v>
      </c>
      <c r="U1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17" s="185">
        <f>IFERROR(TablaPrincipal[[#This Row],[LIBRAS RALEO PLANTA]]/TablaPrincipal[[#This Row],[HAS]],"-")</f>
        <v>0</v>
      </c>
      <c r="Z1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1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41373.81</v>
      </c>
      <c r="AC117" s="186">
        <f>SUMIFS(COSECHAS!F:F,COSECHAS!A:A,'BASE 2026'!AW:AW,COSECHAS!G:G,"="&amp;A:A)</f>
        <v>30</v>
      </c>
      <c r="AD117" s="186">
        <f>SUMIFS(COSECHAS!M:M,COSECHAS!A:A,'BASE 2026'!AW:AW,COSECHAS!G:G,"="&amp;A:A)</f>
        <v>30.92</v>
      </c>
      <c r="AE117" s="185">
        <f>IFERROR(TablaPrincipal[[#This Row],[LIBRAS PLANTA]]/TablaPrincipal[[#This Row],[HAS]],"-")</f>
        <v>6484.9231974921631</v>
      </c>
      <c r="AF117" s="185">
        <f>IFERROR(TablaPrincipal[[#This Row],[LIBRAS PLANTA]]*454/TablaPrincipal[[#This Row],[GRAMOS PLANTA]],"-")</f>
        <v>607493.84670116426</v>
      </c>
      <c r="AG117" s="185">
        <f>TablaPrincipal[[#This Row],[LIBRAS RALEO PLANTA]]+TablaPrincipal[[#This Row],[LIBRAS PLANTA]]</f>
        <v>41373.81</v>
      </c>
      <c r="AH117" s="185">
        <f>IFERROR(TablaPrincipal[[#This Row],[CAM COSECHADOS RALEO]]+TablaPrincipal[[#This Row],[CAM COSECHADOS]],"-")</f>
        <v>607493.84670116426</v>
      </c>
      <c r="AI117" s="185">
        <f>IFERROR((TablaPrincipal[[#This Row],[LIBRAS RALEO PLANTA]]+TablaPrincipal[[#This Row],[LIBRAS PLANTA]])/TablaPrincipal[[#This Row],[HAS]],"0")</f>
        <v>6484.9231974921631</v>
      </c>
      <c r="AJ117" s="186">
        <f t="shared" si="1"/>
        <v>3.0920000000000001</v>
      </c>
      <c r="AK117" s="186">
        <f>IFERROR(TablaPrincipal[[#This Row],[LBS/HA]]/TablaPrincipal[[#This Row],[DIAS]],"-")</f>
        <v>92.641759964173758</v>
      </c>
      <c r="AL117" s="186">
        <f>IFERROR(TablaPrincipal[[#This Row],[CAM COSECHADOS TOTALES]]/TablaPrincipal[[#This Row],[ANIM SEMBRADOS]]*100,"-")</f>
        <v>53.570885952483629</v>
      </c>
      <c r="AM117" s="185">
        <v>56713.335000000006</v>
      </c>
      <c r="AN117" s="187">
        <f>IFERROR(((TablaPrincipal[[#This Row],[BALANCEADO ACUMULADO (LBS)]]/2.2046)/TablaPrincipal[[#This Row],[HAS]])/TablaPrincipal[[#This Row],[DIAS]],"-")</f>
        <v>57.601880877742943</v>
      </c>
      <c r="AO117" s="184">
        <f>IFERROR(TablaPrincipal[[#This Row],[BALANCEADO ACUMULADO (LBS)]]/TablaPrincipal[[#This Row],[LIBRAS TOTALES]],"-")</f>
        <v>1.3707544700379299</v>
      </c>
      <c r="AP117" s="184"/>
      <c r="AQ117" s="184" t="s">
        <v>105</v>
      </c>
      <c r="AR117" s="185">
        <f>TablaPrincipal[[#This Row],[LIBRAS RALEO PLANTA]]-TablaPrincipal[[#This Row],[LIBRAS RALEO CAMARONERA]]</f>
        <v>0</v>
      </c>
      <c r="AS117" s="185">
        <f>TablaPrincipal[[#This Row],[LIBRAS PLANTA]]-TablaPrincipal[[#This Row],[LIBRAS CAMARONERA]]</f>
        <v>-226.19000000000233</v>
      </c>
      <c r="AT117" s="187">
        <f>TablaPrincipal[[#This Row],[GRAMAJE RALEO PLANTA]]-TablaPrincipal[[#This Row],[GRAMAJE RALEO CAMARONERA]]</f>
        <v>0</v>
      </c>
      <c r="AU117" s="187">
        <f>TablaPrincipal[[#This Row],[GRAMOS PLANTA]]-TablaPrincipal[[#This Row],[GRAMAJE CAMARONERA]]</f>
        <v>0.92000000000000171</v>
      </c>
      <c r="AV117" s="183" t="str">
        <f>+VLOOKUP(TablaPrincipal[[#This Row],[CODIGO]],TablaCosechas[#All],10,0)</f>
        <v>SANTIAGO OBRIEN</v>
      </c>
      <c r="AW117" s="183" t="s">
        <v>17</v>
      </c>
      <c r="AX117" s="188" t="str">
        <f>+VLOOKUP(TablaPrincipal[[#This Row],[CODIGO]],TablaCosechas[#All],10,0)</f>
        <v>SANTIAGO OBRIEN</v>
      </c>
    </row>
    <row r="118" spans="1:50" hidden="1" x14ac:dyDescent="0.25">
      <c r="A118" s="196">
        <v>46063</v>
      </c>
      <c r="B118" s="183">
        <v>116</v>
      </c>
      <c r="C118" s="183">
        <f>YEAR(TablaPrincipal[[#This Row],[FECHA]])</f>
        <v>2026</v>
      </c>
      <c r="D118" s="183" t="s">
        <v>186</v>
      </c>
      <c r="E118" s="183" t="str">
        <f>UPPER(TEXT(TablaPrincipal[[#This Row],[FECHA]],"MMMM"))</f>
        <v>FEBRERO</v>
      </c>
      <c r="F118" s="183" t="str">
        <f>IFERROR(VLOOKUP(TablaPrincipal[[#This Row],[CODIGO]],COSECHAS!A:J,9,0),"-")</f>
        <v>03</v>
      </c>
      <c r="G118" s="183" t="str">
        <f>IFERROR(VLOOKUP(TablaPrincipal[[#This Row],[CODIGO]],COSECHAS!A:I,8,0),"-")</f>
        <v>ROBALO</v>
      </c>
      <c r="H118" s="184">
        <f>IFERROR(VLOOKUP(TablaPrincipal[[#This Row],[CODIGO]],DATOS!A:B,2,0),"-")</f>
        <v>9.89</v>
      </c>
      <c r="I118" s="183" t="str">
        <f>IFERROR(VLOOKUP(TablaPrincipal[[#This Row],[CODIGO]],Tabla8[[#Headers],[#Data]],3,0),"-")</f>
        <v>ASC-BAP</v>
      </c>
      <c r="J118" s="183">
        <f>IFERROR(TablaPrincipal[[#This Row],[FECHA]]-TablaPrincipal[[#This Row],[FECHA DE SIEMBRA]],"-")</f>
        <v>94</v>
      </c>
      <c r="K118" s="196">
        <f>VLOOKUP(TablaPrincipal[[#This Row],[CODIGO]]&amp;TablaPrincipal[[#This Row],[AGUAJE ]],Tabla4[#All],4,0)</f>
        <v>45969</v>
      </c>
      <c r="L118" s="183" t="str">
        <f>VLOOKUP(TablaPrincipal[[#This Row],[CODIGO]]&amp;TablaPrincipal[[#This Row],[AGUAJE ]],Tabla4[#All],15,0)</f>
        <v>RO PC 2</v>
      </c>
      <c r="M118" s="184">
        <f>VLOOKUP(TablaPrincipal[[#This Row],[CODIGO]]&amp;TablaPrincipal[[#This Row],[AGUAJE ]],Tabla4[#All],14,0)</f>
        <v>0.55000000000000004</v>
      </c>
      <c r="N118" s="183">
        <v>4</v>
      </c>
      <c r="O118" s="170">
        <f>VLOOKUP(TablaPrincipal[[#This Row],[CODIGO]]&amp;TablaPrincipal[[#This Row],[AGUAJE ]],Tabla4[#All],5,0)</f>
        <v>1978000</v>
      </c>
      <c r="P118" s="221">
        <f>IFERROR(TablaPrincipal[[#This Row],[ANIM SEMBRADOS]]/TablaPrincipal[[#This Row],[HAS]],"-")</f>
        <v>200000</v>
      </c>
      <c r="Q118" s="222">
        <f>IFERROR(TablaPrincipal[[#This Row],[DENSIDAD]]/10000,"-")</f>
        <v>20</v>
      </c>
      <c r="R118" s="183" t="str">
        <f>VLOOKUP(TablaPrincipal[[#This Row],[CODIGO]]&amp;TablaPrincipal[[#This Row],[AGUAJE ]],Tabla4[#All],8,0)</f>
        <v>TIBALLOSA</v>
      </c>
      <c r="S118" s="183" t="str">
        <f>VLOOKUP(TablaPrincipal[[#This Row],[CODIGO]]&amp;TablaPrincipal[[#This Row],[AGUAJE ]],Tabla4[#All],7,0)</f>
        <v>TEXCUMAR</v>
      </c>
      <c r="T118" s="183" t="str">
        <f>IF(ISNUMBER(FIND("/",TablaPrincipal[[#This Row],[LABORATORIO]])),"COMBINADO","UNICO")</f>
        <v>UNICO</v>
      </c>
      <c r="U1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33000</v>
      </c>
      <c r="V1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34505.15</v>
      </c>
      <c r="W1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X1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31.594999999999999</v>
      </c>
      <c r="Y118" s="185">
        <f>IFERROR(TablaPrincipal[[#This Row],[LIBRAS RALEO PLANTA]]/TablaPrincipal[[#This Row],[HAS]],"-")</f>
        <v>3488.8928210313447</v>
      </c>
      <c r="Z1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602893.00473502651</v>
      </c>
      <c r="AA11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39100</v>
      </c>
      <c r="AB1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40603.919999999998</v>
      </c>
      <c r="AC118" s="186">
        <f>SUMIFS(COSECHAS!F:F,COSECHAS!A:A,'BASE 2026'!AW:AW,COSECHAS!G:G,"="&amp;A:A)</f>
        <v>40</v>
      </c>
      <c r="AD118" s="186">
        <f>SUMIFS(COSECHAS!M:M,COSECHAS!A:A,'BASE 2026'!AW:AW,COSECHAS!G:G,"="&amp;A:A)</f>
        <v>42.38</v>
      </c>
      <c r="AE118" s="185">
        <f>IFERROR(TablaPrincipal[[#This Row],[LIBRAS PLANTA]]/TablaPrincipal[[#This Row],[HAS]],"-")</f>
        <v>4105.5530839231542</v>
      </c>
      <c r="AF118" s="185">
        <f>IFERROR(TablaPrincipal[[#This Row],[LIBRAS PLANTA]]*454/TablaPrincipal[[#This Row],[GRAMOS PLANTA]],"-")</f>
        <v>434973.56488909858</v>
      </c>
      <c r="AG118" s="185">
        <f>TablaPrincipal[[#This Row],[LIBRAS RALEO PLANTA]]+TablaPrincipal[[#This Row],[LIBRAS PLANTA]]</f>
        <v>75109.070000000007</v>
      </c>
      <c r="AH118" s="185">
        <f>IFERROR(TablaPrincipal[[#This Row],[CAM COSECHADOS RALEO]]+TablaPrincipal[[#This Row],[CAM COSECHADOS]],"-")</f>
        <v>1037866.569624125</v>
      </c>
      <c r="AI118" s="185">
        <f>IFERROR((TablaPrincipal[[#This Row],[LIBRAS RALEO PLANTA]]+TablaPrincipal[[#This Row],[LIBRAS PLANTA]])/TablaPrincipal[[#This Row],[HAS]],"0")</f>
        <v>7594.4459049544994</v>
      </c>
      <c r="AJ118" s="186">
        <f t="shared" si="1"/>
        <v>3.155957446808511</v>
      </c>
      <c r="AK118" s="186">
        <f>IFERROR(TablaPrincipal[[#This Row],[LBS/HA]]/TablaPrincipal[[#This Row],[DIAS]],"-")</f>
        <v>80.791977712281906</v>
      </c>
      <c r="AL118" s="186">
        <f>IFERROR(TablaPrincipal[[#This Row],[CAM COSECHADOS TOTALES]]/TablaPrincipal[[#This Row],[ANIM SEMBRADOS]]*100,"-")</f>
        <v>52.470504025486605</v>
      </c>
      <c r="AM118" s="185">
        <v>124324.00780000001</v>
      </c>
      <c r="AN118" s="187">
        <f>IFERROR(((TablaPrincipal[[#This Row],[BALANCEADO ACUMULADO (LBS)]]/2.2046)/TablaPrincipal[[#This Row],[HAS]])/TablaPrincipal[[#This Row],[DIAS]],"-")</f>
        <v>60.65981111374051</v>
      </c>
      <c r="AO118" s="184">
        <f>IFERROR(TablaPrincipal[[#This Row],[BALANCEADO ACUMULADO (LBS)]]/TablaPrincipal[[#This Row],[LIBRAS TOTALES]],"-")</f>
        <v>1.6552462678608588</v>
      </c>
      <c r="AP118" s="184"/>
      <c r="AQ118" s="184" t="s">
        <v>105</v>
      </c>
      <c r="AR118" s="185">
        <f>TablaPrincipal[[#This Row],[LIBRAS RALEO PLANTA]]-TablaPrincipal[[#This Row],[LIBRAS RALEO CAMARONERA]]</f>
        <v>1505.1500000000015</v>
      </c>
      <c r="AS118" s="185">
        <f>TablaPrincipal[[#This Row],[LIBRAS PLANTA]]-TablaPrincipal[[#This Row],[LIBRAS CAMARONERA]]</f>
        <v>1503.9199999999983</v>
      </c>
      <c r="AT118" s="187">
        <f>TablaPrincipal[[#This Row],[GRAMAJE RALEO PLANTA]]-TablaPrincipal[[#This Row],[GRAMAJE RALEO CAMARONERA]]</f>
        <v>1.5949999999999989</v>
      </c>
      <c r="AU118" s="187">
        <f>TablaPrincipal[[#This Row],[GRAMOS PLANTA]]-TablaPrincipal[[#This Row],[GRAMAJE CAMARONERA]]</f>
        <v>2.3800000000000026</v>
      </c>
      <c r="AV118" s="183" t="str">
        <f>+VLOOKUP(TablaPrincipal[[#This Row],[CODIGO]],TablaCosechas[#All],10,0)</f>
        <v>VICTOR QUINTANA</v>
      </c>
      <c r="AW118" s="183" t="s">
        <v>215</v>
      </c>
      <c r="AX118" s="188" t="str">
        <f>+VLOOKUP(TablaPrincipal[[#This Row],[CODIGO]],TablaCosechas[#All],10,0)</f>
        <v>VICTOR QUINTANA</v>
      </c>
    </row>
    <row r="119" spans="1:50" hidden="1" x14ac:dyDescent="0.25">
      <c r="A119" s="196">
        <v>46064</v>
      </c>
      <c r="B119" s="183">
        <v>117</v>
      </c>
      <c r="C119" s="183">
        <f>YEAR(TablaPrincipal[[#This Row],[FECHA]])</f>
        <v>2026</v>
      </c>
      <c r="D119" s="183" t="s">
        <v>186</v>
      </c>
      <c r="E119" s="183" t="str">
        <f>UPPER(TEXT(TablaPrincipal[[#This Row],[FECHA]],"MMMM"))</f>
        <v>FEBRERO</v>
      </c>
      <c r="F119" s="183" t="str">
        <f>IFERROR(VLOOKUP(TablaPrincipal[[#This Row],[CODIGO]],COSECHAS!A:J,9,0),"-")</f>
        <v>09</v>
      </c>
      <c r="G119" s="183" t="str">
        <f>IFERROR(VLOOKUP(TablaPrincipal[[#This Row],[CODIGO]],COSECHAS!A:I,8,0),"-")</f>
        <v>CHERNA</v>
      </c>
      <c r="H119" s="184">
        <f>IFERROR(VLOOKUP(TablaPrincipal[[#This Row],[CODIGO]],DATOS!A:B,2,0),"-")</f>
        <v>9.4</v>
      </c>
      <c r="I119" s="183" t="str">
        <f>IFERROR(VLOOKUP(TablaPrincipal[[#This Row],[CODIGO]],Tabla8[[#Headers],[#Data]],3,0),"-")</f>
        <v>ASC</v>
      </c>
      <c r="J119" s="183">
        <f>IFERROR(TablaPrincipal[[#This Row],[FECHA]]-TablaPrincipal[[#This Row],[FECHA DE SIEMBRA]],"-")</f>
        <v>71</v>
      </c>
      <c r="K119" s="196">
        <f>VLOOKUP(TablaPrincipal[[#This Row],[CODIGO]]&amp;TablaPrincipal[[#This Row],[AGUAJE ]],Tabla4[#All],4,0)</f>
        <v>45993</v>
      </c>
      <c r="L119" s="183" t="str">
        <f>VLOOKUP(TablaPrincipal[[#This Row],[CODIGO]]&amp;TablaPrincipal[[#This Row],[AGUAJE ]],Tabla4[#All],15,0)</f>
        <v>CH 4 - 6</v>
      </c>
      <c r="M119" s="184">
        <f>VLOOKUP(TablaPrincipal[[#This Row],[CODIGO]]&amp;TablaPrincipal[[#This Row],[AGUAJE ]],Tabla4[#All],14,0)</f>
        <v>0.69</v>
      </c>
      <c r="N119" s="183">
        <v>7</v>
      </c>
      <c r="O119" s="170">
        <f>VLOOKUP(TablaPrincipal[[#This Row],[CODIGO]]&amp;TablaPrincipal[[#This Row],[AGUAJE ]],Tabla4[#All],5,0)</f>
        <v>1645000</v>
      </c>
      <c r="P119" s="221">
        <f>IFERROR(TablaPrincipal[[#This Row],[ANIM SEMBRADOS]]/TablaPrincipal[[#This Row],[HAS]],"-")</f>
        <v>175000</v>
      </c>
      <c r="Q119" s="222">
        <f>IFERROR(TablaPrincipal[[#This Row],[DENSIDAD]]/10000,"-")</f>
        <v>17.5</v>
      </c>
      <c r="R119" s="183" t="str">
        <f>VLOOKUP(TablaPrincipal[[#This Row],[CODIGO]]&amp;TablaPrincipal[[#This Row],[AGUAJE ]],Tabla4[#All],8,0)</f>
        <v>EMPAGRAN</v>
      </c>
      <c r="S119" s="183" t="str">
        <f>VLOOKUP(TablaPrincipal[[#This Row],[CODIGO]]&amp;TablaPrincipal[[#This Row],[AGUAJE ]],Tabla4[#All],7,0)</f>
        <v>EMPAGRAN</v>
      </c>
      <c r="T119" s="183" t="str">
        <f>IF(ISNUMBER(FIND("/",TablaPrincipal[[#This Row],[LABORATORIO]])),"COMBINADO","UNICO")</f>
        <v>UNICO</v>
      </c>
      <c r="U1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12800</v>
      </c>
      <c r="V1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12927.36</v>
      </c>
      <c r="W1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26.56</v>
      </c>
      <c r="Y119" s="185">
        <f>IFERROR(TablaPrincipal[[#This Row],[LIBRAS RALEO PLANTA]]/TablaPrincipal[[#This Row],[HAS]],"-")</f>
        <v>1375.2510638297872</v>
      </c>
      <c r="Z1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220972.19277108437</v>
      </c>
      <c r="AA11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59800</v>
      </c>
      <c r="AB1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56905.120000000003</v>
      </c>
      <c r="AC119" s="186">
        <f>SUMIFS(COSECHAS!F:F,COSECHAS!A:A,'BASE 2026'!AW:AW,COSECHAS!G:G,"="&amp;A:A)</f>
        <v>28</v>
      </c>
      <c r="AD119" s="186">
        <f>SUMIFS(COSECHAS!M:M,COSECHAS!A:A,'BASE 2026'!AW:AW,COSECHAS!G:G,"="&amp;A:A)</f>
        <v>28.09</v>
      </c>
      <c r="AE119" s="185">
        <f>IFERROR(TablaPrincipal[[#This Row],[LIBRAS PLANTA]]/TablaPrincipal[[#This Row],[HAS]],"-")</f>
        <v>6053.7361702127664</v>
      </c>
      <c r="AF119" s="185">
        <f>IFERROR(TablaPrincipal[[#This Row],[LIBRAS PLANTA]]*454/TablaPrincipal[[#This Row],[GRAMOS PLANTA]],"-")</f>
        <v>919719.63260946958</v>
      </c>
      <c r="AG119" s="185">
        <f>TablaPrincipal[[#This Row],[LIBRAS RALEO PLANTA]]+TablaPrincipal[[#This Row],[LIBRAS PLANTA]]</f>
        <v>69832.48000000001</v>
      </c>
      <c r="AH119" s="185">
        <f>IFERROR(TablaPrincipal[[#This Row],[CAM COSECHADOS RALEO]]+TablaPrincipal[[#This Row],[CAM COSECHADOS]],"-")</f>
        <v>1140691.825380554</v>
      </c>
      <c r="AI119" s="185">
        <f>IFERROR((TablaPrincipal[[#This Row],[LIBRAS RALEO PLANTA]]+TablaPrincipal[[#This Row],[LIBRAS PLANTA]])/TablaPrincipal[[#This Row],[HAS]],"0")</f>
        <v>7428.9872340425536</v>
      </c>
      <c r="AJ119" s="186">
        <f t="shared" si="1"/>
        <v>2.7694366197183098</v>
      </c>
      <c r="AK119" s="186">
        <f>IFERROR(TablaPrincipal[[#This Row],[LBS/HA]]/TablaPrincipal[[#This Row],[DIAS]],"-")</f>
        <v>104.63362301468385</v>
      </c>
      <c r="AL119" s="186">
        <f>IFERROR(TablaPrincipal[[#This Row],[CAM COSECHADOS TOTALES]]/TablaPrincipal[[#This Row],[ANIM SEMBRADOS]]*100,"-")</f>
        <v>69.34296810824037</v>
      </c>
      <c r="AM119" s="185">
        <v>86640.78</v>
      </c>
      <c r="AN119" s="187">
        <f>IFERROR(((TablaPrincipal[[#This Row],[BALANCEADO ACUMULADO (LBS)]]/2.2046)/TablaPrincipal[[#This Row],[HAS]])/TablaPrincipal[[#This Row],[DIAS]],"-")</f>
        <v>58.885226251123754</v>
      </c>
      <c r="AO119" s="184">
        <f>IFERROR(TablaPrincipal[[#This Row],[BALANCEADO ACUMULADO (LBS)]]/TablaPrincipal[[#This Row],[LIBRAS TOTALES]],"-")</f>
        <v>1.2406945879625066</v>
      </c>
      <c r="AP119" s="184"/>
      <c r="AQ119" s="184" t="s">
        <v>105</v>
      </c>
      <c r="AR119" s="185">
        <f>TablaPrincipal[[#This Row],[LIBRAS RALEO PLANTA]]-TablaPrincipal[[#This Row],[LIBRAS RALEO CAMARONERA]]</f>
        <v>127.36000000000058</v>
      </c>
      <c r="AS119" s="185">
        <f>TablaPrincipal[[#This Row],[LIBRAS PLANTA]]-TablaPrincipal[[#This Row],[LIBRAS CAMARONERA]]</f>
        <v>-2894.8799999999974</v>
      </c>
      <c r="AT119" s="187">
        <f>TablaPrincipal[[#This Row],[GRAMAJE RALEO PLANTA]]-TablaPrincipal[[#This Row],[GRAMAJE RALEO CAMARONERA]]</f>
        <v>1.5599999999999987</v>
      </c>
      <c r="AU119" s="187">
        <f>TablaPrincipal[[#This Row],[GRAMOS PLANTA]]-TablaPrincipal[[#This Row],[GRAMAJE CAMARONERA]]</f>
        <v>8.9999999999999858E-2</v>
      </c>
      <c r="AV119" s="183" t="str">
        <f>+VLOOKUP(TablaPrincipal[[#This Row],[CODIGO]],TablaCosechas[#All],10,0)</f>
        <v>SANTIAGO OBRIEN</v>
      </c>
      <c r="AW119" s="183" t="s">
        <v>15</v>
      </c>
      <c r="AX119" s="188" t="str">
        <f>+VLOOKUP(TablaPrincipal[[#This Row],[CODIGO]],TablaCosechas[#All],10,0)</f>
        <v>SANTIAGO OBRIEN</v>
      </c>
    </row>
    <row r="120" spans="1:50" hidden="1" x14ac:dyDescent="0.25">
      <c r="A120" s="196">
        <v>46064</v>
      </c>
      <c r="B120" s="183">
        <v>118</v>
      </c>
      <c r="C120" s="183">
        <f>YEAR(TablaPrincipal[[#This Row],[FECHA]])</f>
        <v>2026</v>
      </c>
      <c r="D120" s="183" t="s">
        <v>186</v>
      </c>
      <c r="E120" s="183" t="str">
        <f>UPPER(TEXT(TablaPrincipal[[#This Row],[FECHA]],"MMMM"))</f>
        <v>FEBRERO</v>
      </c>
      <c r="F120" s="183" t="str">
        <f>IFERROR(VLOOKUP(TablaPrincipal[[#This Row],[CODIGO]],COSECHAS!A:J,9,0),"-")</f>
        <v>21</v>
      </c>
      <c r="G120" s="183" t="str">
        <f>IFERROR(VLOOKUP(TablaPrincipal[[#This Row],[CODIGO]],COSECHAS!A:I,8,0),"-")</f>
        <v>DORADO</v>
      </c>
      <c r="H120" s="184">
        <f>IFERROR(VLOOKUP(TablaPrincipal[[#This Row],[CODIGO]],DATOS!A:B,2,0),"-")</f>
        <v>7.78</v>
      </c>
      <c r="I120" s="183" t="str">
        <f>IFERROR(VLOOKUP(TablaPrincipal[[#This Row],[CODIGO]],Tabla8[[#Headers],[#Data]],3,0),"-")</f>
        <v>ASC-BAP</v>
      </c>
      <c r="J120" s="183">
        <f>IFERROR(TablaPrincipal[[#This Row],[FECHA]]-TablaPrincipal[[#This Row],[FECHA DE SIEMBRA]],"-")</f>
        <v>91</v>
      </c>
      <c r="K120" s="196">
        <f>VLOOKUP(TablaPrincipal[[#This Row],[CODIGO]]&amp;TablaPrincipal[[#This Row],[AGUAJE ]],Tabla4[#All],4,0)</f>
        <v>45973</v>
      </c>
      <c r="L120" s="183" t="str">
        <f>VLOOKUP(TablaPrincipal[[#This Row],[CODIGO]]&amp;TablaPrincipal[[#This Row],[AGUAJE ]],Tabla4[#All],15,0)</f>
        <v>DO PC 3</v>
      </c>
      <c r="M120" s="184">
        <f>VLOOKUP(TablaPrincipal[[#This Row],[CODIGO]]&amp;TablaPrincipal[[#This Row],[AGUAJE ]],Tabla4[#All],14,0)</f>
        <v>0.55000000000000004</v>
      </c>
      <c r="N120" s="183">
        <v>9</v>
      </c>
      <c r="O120" s="170">
        <f>VLOOKUP(TablaPrincipal[[#This Row],[CODIGO]]&amp;TablaPrincipal[[#This Row],[AGUAJE ]],Tabla4[#All],5,0)</f>
        <v>1246509</v>
      </c>
      <c r="P120" s="221">
        <f>IFERROR(TablaPrincipal[[#This Row],[ANIM SEMBRADOS]]/TablaPrincipal[[#This Row],[HAS]],"-")</f>
        <v>160219.66580976863</v>
      </c>
      <c r="Q120" s="222">
        <f>IFERROR(TablaPrincipal[[#This Row],[DENSIDAD]]/10000,"-")</f>
        <v>16.021966580976862</v>
      </c>
      <c r="R120" s="183" t="str">
        <f>VLOOKUP(TablaPrincipal[[#This Row],[CODIGO]]&amp;TablaPrincipal[[#This Row],[AGUAJE ]],Tabla4[#All],8,0)</f>
        <v>GRILSAN</v>
      </c>
      <c r="S120" s="183" t="str">
        <f>VLOOKUP(TablaPrincipal[[#This Row],[CODIGO]]&amp;TablaPrincipal[[#This Row],[AGUAJE ]],Tabla4[#All],7,0)</f>
        <v>AQUAGEN</v>
      </c>
      <c r="T120" s="183" t="str">
        <f>IF(ISNUMBER(FIND("/",TablaPrincipal[[#This Row],[LABORATORIO]])),"COMBINADO","UNICO")</f>
        <v>UNICO</v>
      </c>
      <c r="U1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26000</v>
      </c>
      <c r="V1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25234.480000000003</v>
      </c>
      <c r="W1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27.03</v>
      </c>
      <c r="Y120" s="185">
        <f>IFERROR(TablaPrincipal[[#This Row],[LIBRAS RALEO PLANTA]]/TablaPrincipal[[#This Row],[HAS]],"-")</f>
        <v>3243.5064267352186</v>
      </c>
      <c r="Z1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428199.27638064127</v>
      </c>
      <c r="AA12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47600</v>
      </c>
      <c r="AB1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49754.62</v>
      </c>
      <c r="AC120" s="186">
        <f>SUMIFS(COSECHAS!F:F,COSECHAS!A:A,'BASE 2026'!AW:AW,COSECHAS!G:G,"="&amp;A:A)</f>
        <v>39</v>
      </c>
      <c r="AD120" s="186">
        <f>SUMIFS(COSECHAS!M:M,COSECHAS!A:A,'BASE 2026'!AW:AW,COSECHAS!G:G,"="&amp;A:A)</f>
        <v>38.14</v>
      </c>
      <c r="AE120" s="185">
        <f>IFERROR(TablaPrincipal[[#This Row],[LIBRAS PLANTA]]/TablaPrincipal[[#This Row],[HAS]],"-")</f>
        <v>6395.1953727506425</v>
      </c>
      <c r="AF120" s="185">
        <f>IFERROR(TablaPrincipal[[#This Row],[LIBRAS PLANTA]]*454/TablaPrincipal[[#This Row],[GRAMOS PLANTA]],"-")</f>
        <v>592254.78447823809</v>
      </c>
      <c r="AG120" s="185">
        <f>TablaPrincipal[[#This Row],[LIBRAS RALEO PLANTA]]+TablaPrincipal[[#This Row],[LIBRAS PLANTA]]</f>
        <v>74989.100000000006</v>
      </c>
      <c r="AH120" s="185">
        <f>IFERROR(TablaPrincipal[[#This Row],[CAM COSECHADOS RALEO]]+TablaPrincipal[[#This Row],[CAM COSECHADOS]],"-")</f>
        <v>1020454.0608588794</v>
      </c>
      <c r="AI120" s="185">
        <f>IFERROR((TablaPrincipal[[#This Row],[LIBRAS RALEO PLANTA]]+TablaPrincipal[[#This Row],[LIBRAS PLANTA]])/TablaPrincipal[[#This Row],[HAS]],"0")</f>
        <v>9638.7017994858616</v>
      </c>
      <c r="AJ120" s="186">
        <f t="shared" si="1"/>
        <v>2.933846153846154</v>
      </c>
      <c r="AK120" s="186">
        <f>IFERROR(TablaPrincipal[[#This Row],[LBS/HA]]/TablaPrincipal[[#This Row],[DIAS]],"-")</f>
        <v>105.91979999435013</v>
      </c>
      <c r="AL120" s="186">
        <f>IFERROR(TablaPrincipal[[#This Row],[CAM COSECHADOS TOTALES]]/TablaPrincipal[[#This Row],[ANIM SEMBRADOS]]*100,"-")</f>
        <v>81.864957321517878</v>
      </c>
      <c r="AM120" s="185">
        <v>103946.89</v>
      </c>
      <c r="AN120" s="187">
        <f>IFERROR(((TablaPrincipal[[#This Row],[BALANCEADO ACUMULADO (LBS)]]/2.2046)/TablaPrincipal[[#This Row],[HAS]])/TablaPrincipal[[#This Row],[DIAS]],"-")</f>
        <v>66.597926495098733</v>
      </c>
      <c r="AO120" s="184">
        <f>IFERROR(TablaPrincipal[[#This Row],[BALANCEADO ACUMULADO (LBS)]]/TablaPrincipal[[#This Row],[LIBRAS TOTALES]],"-")</f>
        <v>1.3861599885850076</v>
      </c>
      <c r="AP120" s="184"/>
      <c r="AQ120" s="184" t="s">
        <v>105</v>
      </c>
      <c r="AR120" s="185">
        <f>TablaPrincipal[[#This Row],[LIBRAS RALEO PLANTA]]-TablaPrincipal[[#This Row],[LIBRAS RALEO CAMARONERA]]</f>
        <v>-765.5199999999968</v>
      </c>
      <c r="AS120" s="185">
        <f>TablaPrincipal[[#This Row],[LIBRAS PLANTA]]-TablaPrincipal[[#This Row],[LIBRAS CAMARONERA]]</f>
        <v>2154.6200000000026</v>
      </c>
      <c r="AT120" s="187">
        <f>TablaPrincipal[[#This Row],[GRAMAJE RALEO PLANTA]]-TablaPrincipal[[#This Row],[GRAMAJE RALEO CAMARONERA]]</f>
        <v>3.0300000000000011</v>
      </c>
      <c r="AU120" s="187">
        <f>TablaPrincipal[[#This Row],[GRAMOS PLANTA]]-TablaPrincipal[[#This Row],[GRAMAJE CAMARONERA]]</f>
        <v>-0.85999999999999943</v>
      </c>
      <c r="AV120" s="183" t="str">
        <f>+VLOOKUP(TablaPrincipal[[#This Row],[CODIGO]],TablaCosechas[#All],10,0)</f>
        <v>JOSE CEDEÑO</v>
      </c>
      <c r="AW120" s="183" t="s">
        <v>216</v>
      </c>
      <c r="AX120" s="188" t="str">
        <f>+VLOOKUP(TablaPrincipal[[#This Row],[CODIGO]],TablaCosechas[#All],10,0)</f>
        <v>JOSE CEDEÑO</v>
      </c>
    </row>
    <row r="121" spans="1:50" hidden="1" x14ac:dyDescent="0.25">
      <c r="A121" s="196">
        <v>46064</v>
      </c>
      <c r="B121" s="183">
        <v>119</v>
      </c>
      <c r="C121" s="183">
        <f>YEAR(TablaPrincipal[[#This Row],[FECHA]])</f>
        <v>2026</v>
      </c>
      <c r="D121" s="183" t="s">
        <v>186</v>
      </c>
      <c r="E121" s="183" t="str">
        <f>UPPER(TEXT(TablaPrincipal[[#This Row],[FECHA]],"MMMM"))</f>
        <v>FEBRERO</v>
      </c>
      <c r="F121" s="183" t="str">
        <f>IFERROR(VLOOKUP(TablaPrincipal[[#This Row],[CODIGO]],COSECHAS!A:J,9,0),"-")</f>
        <v>06</v>
      </c>
      <c r="G121" s="183" t="str">
        <f>IFERROR(VLOOKUP(TablaPrincipal[[#This Row],[CODIGO]],COSECHAS!A:I,8,0),"-")</f>
        <v>PARGO ROJO</v>
      </c>
      <c r="H121" s="184">
        <f>IFERROR(VLOOKUP(TablaPrincipal[[#This Row],[CODIGO]],DATOS!A:B,2,0),"-")</f>
        <v>7.5</v>
      </c>
      <c r="I121" s="183" t="str">
        <f>IFERROR(VLOOKUP(TablaPrincipal[[#This Row],[CODIGO]],Tabla8[[#Headers],[#Data]],3,0),"-")</f>
        <v>CONVENCIONAL</v>
      </c>
      <c r="J121" s="183">
        <f>IFERROR(TablaPrincipal[[#This Row],[FECHA]]-TablaPrincipal[[#This Row],[FECHA DE SIEMBRA]],"-")</f>
        <v>77</v>
      </c>
      <c r="K121" s="196">
        <f>VLOOKUP(TablaPrincipal[[#This Row],[CODIGO]]&amp;TablaPrincipal[[#This Row],[AGUAJE ]],Tabla4[#All],4,0)</f>
        <v>45987</v>
      </c>
      <c r="L121" s="183" t="str">
        <f>VLOOKUP(TablaPrincipal[[#This Row],[CODIGO]]&amp;TablaPrincipal[[#This Row],[AGUAJE ]],Tabla4[#All],15,0)</f>
        <v>PR PC 1 - 8</v>
      </c>
      <c r="M121" s="184">
        <f>VLOOKUP(TablaPrincipal[[#This Row],[CODIGO]]&amp;TablaPrincipal[[#This Row],[AGUAJE ]],Tabla4[#All],14,0)</f>
        <v>0.6</v>
      </c>
      <c r="N121" s="183">
        <v>8</v>
      </c>
      <c r="O121" s="170">
        <f>VLOOKUP(TablaPrincipal[[#This Row],[CODIGO]]&amp;TablaPrincipal[[#This Row],[AGUAJE ]],Tabla4[#All],5,0)</f>
        <v>1500000</v>
      </c>
      <c r="P121" s="221">
        <f>IFERROR(TablaPrincipal[[#This Row],[ANIM SEMBRADOS]]/TablaPrincipal[[#This Row],[HAS]],"-")</f>
        <v>200000</v>
      </c>
      <c r="Q121" s="222">
        <f>IFERROR(TablaPrincipal[[#This Row],[DENSIDAD]]/10000,"-")</f>
        <v>20</v>
      </c>
      <c r="R121" s="183" t="str">
        <f>VLOOKUP(TablaPrincipal[[#This Row],[CODIGO]]&amp;TablaPrincipal[[#This Row],[AGUAJE ]],Tabla4[#All],8,0)</f>
        <v>TECSERV</v>
      </c>
      <c r="S121" s="183" t="str">
        <f>VLOOKUP(TablaPrincipal[[#This Row],[CODIGO]]&amp;TablaPrincipal[[#This Row],[AGUAJE ]],Tabla4[#All],7,0)</f>
        <v>EMPAGRAN/SEMACUA</v>
      </c>
      <c r="T121" s="183" t="str">
        <f>IF(ISNUMBER(FIND("/",TablaPrincipal[[#This Row],[LABORATORIO]])),"COMBINADO","UNICO")</f>
        <v>UNICO</v>
      </c>
      <c r="U1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21" s="185">
        <f>IFERROR(TablaPrincipal[[#This Row],[LIBRAS RALEO PLANTA]]/TablaPrincipal[[#This Row],[HAS]],"-")</f>
        <v>0</v>
      </c>
      <c r="Z1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2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29844.5</v>
      </c>
      <c r="AC121" s="186">
        <f>SUMIFS(COSECHAS!F:F,COSECHAS!A:A,'BASE 2026'!AW:AW,COSECHAS!G:G,"="&amp;A:A)</f>
        <v>23</v>
      </c>
      <c r="AD121" s="186">
        <f>SUMIFS(COSECHAS!M:M,COSECHAS!A:A,'BASE 2026'!AW:AW,COSECHAS!G:G,"="&amp;A:A)</f>
        <v>22.76</v>
      </c>
      <c r="AE121" s="185">
        <f>IFERROR(TablaPrincipal[[#This Row],[LIBRAS PLANTA]]/TablaPrincipal[[#This Row],[HAS]],"-")</f>
        <v>3979.2666666666669</v>
      </c>
      <c r="AF121" s="185">
        <f>IFERROR(TablaPrincipal[[#This Row],[LIBRAS PLANTA]]*454/TablaPrincipal[[#This Row],[GRAMOS PLANTA]],"-")</f>
        <v>595316.47627416521</v>
      </c>
      <c r="AG121" s="185">
        <f>TablaPrincipal[[#This Row],[LIBRAS RALEO PLANTA]]+TablaPrincipal[[#This Row],[LIBRAS PLANTA]]</f>
        <v>29844.5</v>
      </c>
      <c r="AH121" s="185">
        <f>IFERROR(TablaPrincipal[[#This Row],[CAM COSECHADOS RALEO]]+TablaPrincipal[[#This Row],[CAM COSECHADOS]],"-")</f>
        <v>595316.47627416521</v>
      </c>
      <c r="AI121" s="185">
        <f>IFERROR((TablaPrincipal[[#This Row],[LIBRAS RALEO PLANTA]]+TablaPrincipal[[#This Row],[LIBRAS PLANTA]])/TablaPrincipal[[#This Row],[HAS]],"0")</f>
        <v>3979.2666666666669</v>
      </c>
      <c r="AJ121" s="186">
        <f t="shared" si="1"/>
        <v>2.0690909090909093</v>
      </c>
      <c r="AK121" s="186">
        <f>IFERROR(TablaPrincipal[[#This Row],[LBS/HA]]/TablaPrincipal[[#This Row],[DIAS]],"-")</f>
        <v>51.67878787878788</v>
      </c>
      <c r="AL121" s="186">
        <f>IFERROR(TablaPrincipal[[#This Row],[CAM COSECHADOS TOTALES]]/TablaPrincipal[[#This Row],[ANIM SEMBRADOS]]*100,"-")</f>
        <v>39.687765084944346</v>
      </c>
      <c r="AM121" s="185">
        <v>49863.642800000001</v>
      </c>
      <c r="AN121" s="187">
        <f>IFERROR(((TablaPrincipal[[#This Row],[BALANCEADO ACUMULADO (LBS)]]/2.2046)/TablaPrincipal[[#This Row],[HAS]])/TablaPrincipal[[#This Row],[DIAS]],"-")</f>
        <v>39.165367965367963</v>
      </c>
      <c r="AO121" s="184">
        <f>IFERROR(TablaPrincipal[[#This Row],[BALANCEADO ACUMULADO (LBS)]]/TablaPrincipal[[#This Row],[LIBRAS TOTALES]],"-")</f>
        <v>1.6707816448591868</v>
      </c>
      <c r="AP121" s="184"/>
      <c r="AQ121" s="184" t="s">
        <v>105</v>
      </c>
      <c r="AR121" s="185">
        <f>TablaPrincipal[[#This Row],[LIBRAS RALEO PLANTA]]-TablaPrincipal[[#This Row],[LIBRAS RALEO CAMARONERA]]</f>
        <v>0</v>
      </c>
      <c r="AS121" s="185">
        <f>TablaPrincipal[[#This Row],[LIBRAS PLANTA]]-TablaPrincipal[[#This Row],[LIBRAS CAMARONERA]]</f>
        <v>3244.5</v>
      </c>
      <c r="AT121" s="187">
        <f>TablaPrincipal[[#This Row],[GRAMAJE RALEO PLANTA]]-TablaPrincipal[[#This Row],[GRAMAJE RALEO CAMARONERA]]</f>
        <v>0</v>
      </c>
      <c r="AU121" s="187">
        <f>TablaPrincipal[[#This Row],[GRAMOS PLANTA]]-TablaPrincipal[[#This Row],[GRAMAJE CAMARONERA]]</f>
        <v>-0.23999999999999844</v>
      </c>
      <c r="AV121" s="183" t="str">
        <f>+VLOOKUP(TablaPrincipal[[#This Row],[CODIGO]],TablaCosechas[#All],10,0)</f>
        <v>WILMER TORRES</v>
      </c>
      <c r="AW121" s="183" t="s">
        <v>217</v>
      </c>
      <c r="AX121" s="188" t="str">
        <f>+VLOOKUP(TablaPrincipal[[#This Row],[CODIGO]],TablaCosechas[#All],10,0)</f>
        <v>WILMER TORRES</v>
      </c>
    </row>
    <row r="122" spans="1:50" hidden="1" x14ac:dyDescent="0.25">
      <c r="A122" s="196">
        <v>46064</v>
      </c>
      <c r="B122" s="183">
        <v>120</v>
      </c>
      <c r="C122" s="183">
        <f>YEAR(TablaPrincipal[[#This Row],[FECHA]])</f>
        <v>2026</v>
      </c>
      <c r="D122" s="183" t="s">
        <v>186</v>
      </c>
      <c r="E122" s="183" t="str">
        <f>UPPER(TEXT(TablaPrincipal[[#This Row],[FECHA]],"MMMM"))</f>
        <v>FEBRERO</v>
      </c>
      <c r="F122" s="183" t="str">
        <f>IFERROR(VLOOKUP(TablaPrincipal[[#This Row],[CODIGO]],COSECHAS!A:J,9,0),"-")</f>
        <v>06</v>
      </c>
      <c r="G122" s="183" t="str">
        <f>IFERROR(VLOOKUP(TablaPrincipal[[#This Row],[CODIGO]],COSECHAS!A:I,8,0),"-")</f>
        <v>TUNA</v>
      </c>
      <c r="H122" s="184">
        <f>IFERROR(VLOOKUP(TablaPrincipal[[#This Row],[CODIGO]],DATOS!A:B,2,0),"-")</f>
        <v>5</v>
      </c>
      <c r="I122" s="183" t="str">
        <f>IFERROR(VLOOKUP(TablaPrincipal[[#This Row],[CODIGO]],Tabla8[[#Headers],[#Data]],3,0),"-")</f>
        <v>ASC-BAP</v>
      </c>
      <c r="J122" s="183">
        <f>IFERROR(TablaPrincipal[[#This Row],[FECHA]]-TablaPrincipal[[#This Row],[FECHA DE SIEMBRA]],"-")</f>
        <v>84</v>
      </c>
      <c r="K122" s="196">
        <f>VLOOKUP(TablaPrincipal[[#This Row],[CODIGO]]&amp;TablaPrincipal[[#This Row],[AGUAJE ]],Tabla4[#All],4,0)</f>
        <v>45980</v>
      </c>
      <c r="L122" s="183" t="str">
        <f>VLOOKUP(TablaPrincipal[[#This Row],[CODIGO]]&amp;TablaPrincipal[[#This Row],[AGUAJE ]],Tabla4[#All],15,0)</f>
        <v>TU PC 7</v>
      </c>
      <c r="M122" s="184">
        <f>VLOOKUP(TablaPrincipal[[#This Row],[CODIGO]]&amp;TablaPrincipal[[#This Row],[AGUAJE ]],Tabla4[#All],14,0)</f>
        <v>0.85</v>
      </c>
      <c r="N122" s="183">
        <v>1</v>
      </c>
      <c r="O122" s="170">
        <f>VLOOKUP(TablaPrincipal[[#This Row],[CODIGO]]&amp;TablaPrincipal[[#This Row],[AGUAJE ]],Tabla4[#All],5,0)</f>
        <v>900000</v>
      </c>
      <c r="P122" s="221">
        <f>IFERROR(TablaPrincipal[[#This Row],[ANIM SEMBRADOS]]/TablaPrincipal[[#This Row],[HAS]],"-")</f>
        <v>180000</v>
      </c>
      <c r="Q122" s="222">
        <f>IFERROR(TablaPrincipal[[#This Row],[DENSIDAD]]/10000,"-")</f>
        <v>18</v>
      </c>
      <c r="R122" s="183" t="str">
        <f>VLOOKUP(TablaPrincipal[[#This Row],[CODIGO]]&amp;TablaPrincipal[[#This Row],[AGUAJE ]],Tabla4[#All],8,0)</f>
        <v>ACUATECSA</v>
      </c>
      <c r="S122" s="183" t="str">
        <f>VLOOKUP(TablaPrincipal[[#This Row],[CODIGO]]&amp;TablaPrincipal[[#This Row],[AGUAJE ]],Tabla4[#All],7,0)</f>
        <v>TEXCUMAR</v>
      </c>
      <c r="T122" s="183" t="str">
        <f>IF(ISNUMBER(FIND("/",TablaPrincipal[[#This Row],[LABORATORIO]])),"COMBINADO","UNICO")</f>
        <v>UNICO</v>
      </c>
      <c r="U1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18400</v>
      </c>
      <c r="V1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17189.09</v>
      </c>
      <c r="W1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1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26.946666666666669</v>
      </c>
      <c r="Y122" s="185">
        <f>IFERROR(TablaPrincipal[[#This Row],[LIBRAS RALEO PLANTA]]/TablaPrincipal[[#This Row],[HAS]],"-")</f>
        <v>3437.8180000000002</v>
      </c>
      <c r="Z1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297340.02597347001</v>
      </c>
      <c r="AA12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21650</v>
      </c>
      <c r="AB1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22959.11</v>
      </c>
      <c r="AC122" s="186">
        <f>SUMIFS(COSECHAS!F:F,COSECHAS!A:A,'BASE 2026'!AW:AW,COSECHAS!G:G,"="&amp;A:A)</f>
        <v>37</v>
      </c>
      <c r="AD122" s="186">
        <f>SUMIFS(COSECHAS!M:M,COSECHAS!A:A,'BASE 2026'!AW:AW,COSECHAS!G:G,"="&amp;A:A)</f>
        <v>39.619999999999997</v>
      </c>
      <c r="AE122" s="185">
        <f>IFERROR(TablaPrincipal[[#This Row],[LIBRAS PLANTA]]/TablaPrincipal[[#This Row],[HAS]],"-")</f>
        <v>4591.8220000000001</v>
      </c>
      <c r="AF122" s="185">
        <f>IFERROR(TablaPrincipal[[#This Row],[LIBRAS PLANTA]]*454/TablaPrincipal[[#This Row],[GRAMOS PLANTA]],"-")</f>
        <v>263085.20797576982</v>
      </c>
      <c r="AG122" s="185">
        <f>TablaPrincipal[[#This Row],[LIBRAS RALEO PLANTA]]+TablaPrincipal[[#This Row],[LIBRAS PLANTA]]</f>
        <v>40148.199999999997</v>
      </c>
      <c r="AH122" s="185">
        <f>IFERROR(TablaPrincipal[[#This Row],[CAM COSECHADOS RALEO]]+TablaPrincipal[[#This Row],[CAM COSECHADOS]],"-")</f>
        <v>560425.23394923983</v>
      </c>
      <c r="AI122" s="185">
        <f>IFERROR((TablaPrincipal[[#This Row],[LIBRAS RALEO PLANTA]]+TablaPrincipal[[#This Row],[LIBRAS PLANTA]])/TablaPrincipal[[#This Row],[HAS]],"0")</f>
        <v>8029.6399999999994</v>
      </c>
      <c r="AJ122" s="186">
        <f t="shared" si="1"/>
        <v>3.3016666666666663</v>
      </c>
      <c r="AK122" s="186">
        <f>IFERROR(TablaPrincipal[[#This Row],[LBS/HA]]/TablaPrincipal[[#This Row],[DIAS]],"-")</f>
        <v>95.590952380952373</v>
      </c>
      <c r="AL122" s="186">
        <f>IFERROR(TablaPrincipal[[#This Row],[CAM COSECHADOS TOTALES]]/TablaPrincipal[[#This Row],[ANIM SEMBRADOS]]*100,"-")</f>
        <v>62.269470438804433</v>
      </c>
      <c r="AM122" s="185">
        <v>52689.94</v>
      </c>
      <c r="AN122" s="187">
        <f>IFERROR(((TablaPrincipal[[#This Row],[BALANCEADO ACUMULADO (LBS)]]/2.2046)/TablaPrincipal[[#This Row],[HAS]])/TablaPrincipal[[#This Row],[DIAS]],"-")</f>
        <v>56.904761904761905</v>
      </c>
      <c r="AO122" s="184">
        <f>IFERROR(TablaPrincipal[[#This Row],[BALANCEADO ACUMULADO (LBS)]]/TablaPrincipal[[#This Row],[LIBRAS TOTALES]],"-")</f>
        <v>1.3123861094644345</v>
      </c>
      <c r="AP122" s="184"/>
      <c r="AQ122" s="184" t="s">
        <v>105</v>
      </c>
      <c r="AR122" s="185">
        <f>TablaPrincipal[[#This Row],[LIBRAS RALEO PLANTA]]-TablaPrincipal[[#This Row],[LIBRAS RALEO CAMARONERA]]</f>
        <v>-1210.9099999999999</v>
      </c>
      <c r="AS122" s="185">
        <f>TablaPrincipal[[#This Row],[LIBRAS PLANTA]]-TablaPrincipal[[#This Row],[LIBRAS CAMARONERA]]</f>
        <v>1309.1100000000006</v>
      </c>
      <c r="AT122" s="187">
        <f>TablaPrincipal[[#This Row],[GRAMAJE RALEO PLANTA]]-TablaPrincipal[[#This Row],[GRAMAJE RALEO CAMARONERA]]</f>
        <v>3.2800000000000011</v>
      </c>
      <c r="AU122" s="187">
        <f>TablaPrincipal[[#This Row],[GRAMOS PLANTA]]-TablaPrincipal[[#This Row],[GRAMAJE CAMARONERA]]</f>
        <v>2.6199999999999974</v>
      </c>
      <c r="AV122" s="183" t="str">
        <f>+VLOOKUP(TablaPrincipal[[#This Row],[CODIGO]],TablaCosechas[#All],10,0)</f>
        <v>GUSTAVO CARRASCO</v>
      </c>
      <c r="AW122" s="183" t="s">
        <v>218</v>
      </c>
      <c r="AX122" s="188" t="str">
        <f>+VLOOKUP(TablaPrincipal[[#This Row],[CODIGO]],TablaCosechas[#All],10,0)</f>
        <v>GUSTAVO CARRASCO</v>
      </c>
    </row>
    <row r="123" spans="1:50" hidden="1" x14ac:dyDescent="0.25">
      <c r="A123" s="196">
        <v>46065</v>
      </c>
      <c r="B123" s="183">
        <v>121</v>
      </c>
      <c r="C123" s="183">
        <f>YEAR(TablaPrincipal[[#This Row],[FECHA]])</f>
        <v>2026</v>
      </c>
      <c r="D123" s="183" t="s">
        <v>186</v>
      </c>
      <c r="E123" s="183" t="str">
        <f>UPPER(TEXT(TablaPrincipal[[#This Row],[FECHA]],"MMMM"))</f>
        <v>FEBRERO</v>
      </c>
      <c r="F123" s="183" t="str">
        <f>IFERROR(VLOOKUP(TablaPrincipal[[#This Row],[CODIGO]],COSECHAS!A:J,9,0),"-")</f>
        <v>13</v>
      </c>
      <c r="G123" s="183" t="str">
        <f>IFERROR(VLOOKUP(TablaPrincipal[[#This Row],[CODIGO]],COSECHAS!A:I,8,0),"-")</f>
        <v>CHERNA</v>
      </c>
      <c r="H123" s="184">
        <f>IFERROR(VLOOKUP(TablaPrincipal[[#This Row],[CODIGO]],DATOS!A:B,2,0),"-")</f>
        <v>6.3</v>
      </c>
      <c r="I123" s="183" t="str">
        <f>IFERROR(VLOOKUP(TablaPrincipal[[#This Row],[CODIGO]],Tabla8[[#Headers],[#Data]],3,0),"-")</f>
        <v>ASC</v>
      </c>
      <c r="J123" s="183">
        <f>IFERROR(TablaPrincipal[[#This Row],[FECHA]]-TablaPrincipal[[#This Row],[FECHA DE SIEMBRA]],"-")</f>
        <v>72</v>
      </c>
      <c r="K123" s="196">
        <f>VLOOKUP(TablaPrincipal[[#This Row],[CODIGO]]&amp;TablaPrincipal[[#This Row],[AGUAJE ]],Tabla4[#All],4,0)</f>
        <v>45993</v>
      </c>
      <c r="L123" s="183" t="str">
        <f>VLOOKUP(TablaPrincipal[[#This Row],[CODIGO]]&amp;TablaPrincipal[[#This Row],[AGUAJE ]],Tabla4[#All],15,0)</f>
        <v>CH 6</v>
      </c>
      <c r="M123" s="184">
        <f>VLOOKUP(TablaPrincipal[[#This Row],[CODIGO]]&amp;TablaPrincipal[[#This Row],[AGUAJE ]],Tabla4[#All],14,0)</f>
        <v>0.56999999999999995</v>
      </c>
      <c r="N123" s="183">
        <v>6</v>
      </c>
      <c r="O123" s="170">
        <f>VLOOKUP(TablaPrincipal[[#This Row],[CODIGO]]&amp;TablaPrincipal[[#This Row],[AGUAJE ]],Tabla4[#All],5,0)</f>
        <v>1134000</v>
      </c>
      <c r="P123" s="221">
        <f>IFERROR(TablaPrincipal[[#This Row],[ANIM SEMBRADOS]]/TablaPrincipal[[#This Row],[HAS]],"-")</f>
        <v>180000</v>
      </c>
      <c r="Q123" s="222">
        <f>IFERROR(TablaPrincipal[[#This Row],[DENSIDAD]]/10000,"-")</f>
        <v>18</v>
      </c>
      <c r="R123" s="183" t="str">
        <f>VLOOKUP(TablaPrincipal[[#This Row],[CODIGO]]&amp;TablaPrincipal[[#This Row],[AGUAJE ]],Tabla4[#All],8,0)</f>
        <v>EMPAGRAN</v>
      </c>
      <c r="S123" s="183" t="str">
        <f>VLOOKUP(TablaPrincipal[[#This Row],[CODIGO]]&amp;TablaPrincipal[[#This Row],[AGUAJE ]],Tabla4[#All],7,0)</f>
        <v>EMPAGRAN</v>
      </c>
      <c r="T123" s="183" t="str">
        <f>IF(ISNUMBER(FIND("/",TablaPrincipal[[#This Row],[LABORATORIO]])),"COMBINADO","UNICO")</f>
        <v>UNICO</v>
      </c>
      <c r="U1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9500</v>
      </c>
      <c r="V1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9878.76</v>
      </c>
      <c r="W1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3" s="185">
        <f>IFERROR(TablaPrincipal[[#This Row],[LIBRAS RALEO PLANTA]]/TablaPrincipal[[#This Row],[HAS]],"-")</f>
        <v>1568.0571428571429</v>
      </c>
      <c r="Z1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158928.3146704465</v>
      </c>
      <c r="AA12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34000</v>
      </c>
      <c r="AB1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34658.29</v>
      </c>
      <c r="AC123" s="186">
        <f>SUMIFS(COSECHAS!F:F,COSECHAS!A:A,'BASE 2026'!AW:AW,COSECHAS!G:G,"="&amp;A:A)</f>
        <v>29</v>
      </c>
      <c r="AD123" s="186">
        <f>SUMIFS(COSECHAS!M:M,COSECHAS!A:A,'BASE 2026'!AW:AW,COSECHAS!G:G,"="&amp;A:A)</f>
        <v>30.63</v>
      </c>
      <c r="AE123" s="185">
        <f>IFERROR(TablaPrincipal[[#This Row],[LIBRAS PLANTA]]/TablaPrincipal[[#This Row],[HAS]],"-")</f>
        <v>5501.315873015873</v>
      </c>
      <c r="AF123" s="185">
        <f>IFERROR(TablaPrincipal[[#This Row],[LIBRAS PLANTA]]*454/TablaPrincipal[[#This Row],[GRAMOS PLANTA]],"-")</f>
        <v>513707.59582109045</v>
      </c>
      <c r="AG123" s="185">
        <f>TablaPrincipal[[#This Row],[LIBRAS RALEO PLANTA]]+TablaPrincipal[[#This Row],[LIBRAS PLANTA]]</f>
        <v>44537.05</v>
      </c>
      <c r="AH123" s="185">
        <f>IFERROR(TablaPrincipal[[#This Row],[CAM COSECHADOS RALEO]]+TablaPrincipal[[#This Row],[CAM COSECHADOS]],"-")</f>
        <v>672635.91049153695</v>
      </c>
      <c r="AI123" s="185">
        <f>IFERROR((TablaPrincipal[[#This Row],[LIBRAS RALEO PLANTA]]+TablaPrincipal[[#This Row],[LIBRAS PLANTA]])/TablaPrincipal[[#This Row],[HAS]],"0")</f>
        <v>7069.3730158730168</v>
      </c>
      <c r="AJ123" s="186">
        <f t="shared" si="1"/>
        <v>2.9779166666666663</v>
      </c>
      <c r="AK123" s="186">
        <f>IFERROR(TablaPrincipal[[#This Row],[LBS/HA]]/TablaPrincipal[[#This Row],[DIAS]],"-")</f>
        <v>98.185736331569672</v>
      </c>
      <c r="AL123" s="186">
        <f>IFERROR(TablaPrincipal[[#This Row],[CAM COSECHADOS TOTALES]]/TablaPrincipal[[#This Row],[ANIM SEMBRADOS]]*100,"-")</f>
        <v>59.315336022181384</v>
      </c>
      <c r="AM123" s="185">
        <v>57484.945</v>
      </c>
      <c r="AN123" s="187">
        <f>IFERROR(((TablaPrincipal[[#This Row],[BALANCEADO ACUMULADO (LBS)]]/2.2046)/TablaPrincipal[[#This Row],[HAS]])/TablaPrincipal[[#This Row],[DIAS]],"-")</f>
        <v>57.484567901234563</v>
      </c>
      <c r="AO123" s="184">
        <f>IFERROR(TablaPrincipal[[#This Row],[BALANCEADO ACUMULADO (LBS)]]/TablaPrincipal[[#This Row],[LIBRAS TOTALES]],"-")</f>
        <v>1.290721882118371</v>
      </c>
      <c r="AP123" s="184"/>
      <c r="AQ123" s="184" t="s">
        <v>105</v>
      </c>
      <c r="AR123" s="185">
        <f>TablaPrincipal[[#This Row],[LIBRAS RALEO PLANTA]]-TablaPrincipal[[#This Row],[LIBRAS RALEO CAMARONERA]]</f>
        <v>378.76000000000022</v>
      </c>
      <c r="AS123" s="185">
        <f>TablaPrincipal[[#This Row],[LIBRAS PLANTA]]-TablaPrincipal[[#This Row],[LIBRAS CAMARONERA]]</f>
        <v>658.29000000000087</v>
      </c>
      <c r="AT123" s="187">
        <f>TablaPrincipal[[#This Row],[GRAMAJE RALEO PLANTA]]-TablaPrincipal[[#This Row],[GRAMAJE RALEO CAMARONERA]]</f>
        <v>1.2199999999999989</v>
      </c>
      <c r="AU123" s="187">
        <f>TablaPrincipal[[#This Row],[GRAMOS PLANTA]]-TablaPrincipal[[#This Row],[GRAMAJE CAMARONERA]]</f>
        <v>1.629999999999999</v>
      </c>
      <c r="AV123" s="183" t="str">
        <f>+VLOOKUP(TablaPrincipal[[#This Row],[CODIGO]],TablaCosechas[#All],10,0)</f>
        <v>SANTIAGO OBRIEN</v>
      </c>
      <c r="AW123" s="183" t="s">
        <v>19</v>
      </c>
      <c r="AX123" s="188" t="str">
        <f>+VLOOKUP(TablaPrincipal[[#This Row],[CODIGO]],TablaCosechas[#All],10,0)</f>
        <v>SANTIAGO OBRIEN</v>
      </c>
    </row>
    <row r="124" spans="1:50" hidden="1" x14ac:dyDescent="0.25">
      <c r="A124" s="196">
        <v>46065</v>
      </c>
      <c r="B124" s="183">
        <v>122</v>
      </c>
      <c r="C124" s="183">
        <f>YEAR(TablaPrincipal[[#This Row],[FECHA]])</f>
        <v>2026</v>
      </c>
      <c r="D124" s="183" t="s">
        <v>186</v>
      </c>
      <c r="E124" s="183" t="str">
        <f>UPPER(TEXT(TablaPrincipal[[#This Row],[FECHA]],"MMMM"))</f>
        <v>FEBRERO</v>
      </c>
      <c r="F124" s="183" t="str">
        <f>IFERROR(VLOOKUP(TablaPrincipal[[#This Row],[CODIGO]],COSECHAS!A:J,9,0),"-")</f>
        <v>11</v>
      </c>
      <c r="G124" s="183" t="str">
        <f>IFERROR(VLOOKUP(TablaPrincipal[[#This Row],[CODIGO]],COSECHAS!A:I,8,0),"-")</f>
        <v>DORADO</v>
      </c>
      <c r="H124" s="184">
        <f>IFERROR(VLOOKUP(TablaPrincipal[[#This Row],[CODIGO]],DATOS!A:B,2,0),"-")</f>
        <v>13.43</v>
      </c>
      <c r="I124" s="183" t="str">
        <f>IFERROR(VLOOKUP(TablaPrincipal[[#This Row],[CODIGO]],Tabla8[[#Headers],[#Data]],3,0),"-")</f>
        <v>ASC-BAP</v>
      </c>
      <c r="J124" s="183">
        <f>IFERROR(TablaPrincipal[[#This Row],[FECHA]]-TablaPrincipal[[#This Row],[FECHA DE SIEMBRA]],"-")</f>
        <v>91</v>
      </c>
      <c r="K124" s="196">
        <f>VLOOKUP(TablaPrincipal[[#This Row],[CODIGO]]&amp;TablaPrincipal[[#This Row],[AGUAJE ]],Tabla4[#All],4,0)</f>
        <v>45974</v>
      </c>
      <c r="L124" s="183" t="str">
        <f>VLOOKUP(TablaPrincipal[[#This Row],[CODIGO]]&amp;TablaPrincipal[[#This Row],[AGUAJE ]],Tabla4[#All],15,0)</f>
        <v>DO PC 2 - PS 15</v>
      </c>
      <c r="M124" s="184">
        <f>VLOOKUP(TablaPrincipal[[#This Row],[CODIGO]]&amp;TablaPrincipal[[#This Row],[AGUAJE ]],Tabla4[#All],14,0)</f>
        <v>0.92</v>
      </c>
      <c r="N124" s="183">
        <v>4</v>
      </c>
      <c r="O124" s="170">
        <f>VLOOKUP(TablaPrincipal[[#This Row],[CODIGO]]&amp;TablaPrincipal[[#This Row],[AGUAJE ]],Tabla4[#All],5,0)</f>
        <v>2092419</v>
      </c>
      <c r="P124" s="221">
        <f>IFERROR(TablaPrincipal[[#This Row],[ANIM SEMBRADOS]]/TablaPrincipal[[#This Row],[HAS]],"-")</f>
        <v>155801.86150409532</v>
      </c>
      <c r="Q124" s="222">
        <f>IFERROR(TablaPrincipal[[#This Row],[DENSIDAD]]/10000,"-")</f>
        <v>15.580186150409531</v>
      </c>
      <c r="R124" s="183" t="str">
        <f>VLOOKUP(TablaPrincipal[[#This Row],[CODIGO]]&amp;TablaPrincipal[[#This Row],[AGUAJE ]],Tabla4[#All],8,0)</f>
        <v>GENESIS</v>
      </c>
      <c r="S124" s="183" t="str">
        <f>VLOOKUP(TablaPrincipal[[#This Row],[CODIGO]]&amp;TablaPrincipal[[#This Row],[AGUAJE ]],Tabla4[#All],7,0)</f>
        <v>TEXCUMAR</v>
      </c>
      <c r="T124" s="183" t="str">
        <f>IF(ISNUMBER(FIND("/",TablaPrincipal[[#This Row],[LABORATORIO]])),"COMBINADO","UNICO")</f>
        <v>UNICO</v>
      </c>
      <c r="U1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36700</v>
      </c>
      <c r="V1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35481.81</v>
      </c>
      <c r="W1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25.78</v>
      </c>
      <c r="Y124" s="185">
        <f>IFERROR(TablaPrincipal[[#This Row],[LIBRAS RALEO PLANTA]]/TablaPrincipal[[#This Row],[HAS]],"-")</f>
        <v>2641.9813849590469</v>
      </c>
      <c r="Z1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626306.0709258276</v>
      </c>
      <c r="AA12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65446.7</v>
      </c>
      <c r="AC124" s="186">
        <f>SUMIFS(COSECHAS!F:F,COSECHAS!A:A,'BASE 2026'!AW:AW,COSECHAS!G:G,"="&amp;A:A)</f>
        <v>35</v>
      </c>
      <c r="AD124" s="186">
        <f>SUMIFS(COSECHAS!M:M,COSECHAS!A:A,'BASE 2026'!AW:AW,COSECHAS!G:G,"="&amp;A:A)</f>
        <v>37.24</v>
      </c>
      <c r="AE124" s="185">
        <f>IFERROR(TablaPrincipal[[#This Row],[LIBRAS PLANTA]]/TablaPrincipal[[#This Row],[HAS]],"-")</f>
        <v>4873.1720029784065</v>
      </c>
      <c r="AF124" s="185">
        <f>IFERROR(TablaPrincipal[[#This Row],[LIBRAS PLANTA]]*454/TablaPrincipal[[#This Row],[GRAMOS PLANTA]],"-")</f>
        <v>797873.30290010734</v>
      </c>
      <c r="AG124" s="185">
        <f>TablaPrincipal[[#This Row],[LIBRAS RALEO PLANTA]]+TablaPrincipal[[#This Row],[LIBRAS PLANTA]]</f>
        <v>100928.51</v>
      </c>
      <c r="AH124" s="185">
        <f>IFERROR(TablaPrincipal[[#This Row],[CAM COSECHADOS RALEO]]+TablaPrincipal[[#This Row],[CAM COSECHADOS]],"-")</f>
        <v>1424179.3738259349</v>
      </c>
      <c r="AI124" s="185">
        <f>IFERROR((TablaPrincipal[[#This Row],[LIBRAS RALEO PLANTA]]+TablaPrincipal[[#This Row],[LIBRAS PLANTA]])/TablaPrincipal[[#This Row],[HAS]],"0")</f>
        <v>7515.1533879374529</v>
      </c>
      <c r="AJ124" s="186">
        <f t="shared" si="1"/>
        <v>2.8646153846153846</v>
      </c>
      <c r="AK124" s="186">
        <f>IFERROR(TablaPrincipal[[#This Row],[LBS/HA]]/TablaPrincipal[[#This Row],[DIAS]],"-")</f>
        <v>82.584103164147834</v>
      </c>
      <c r="AL124" s="186">
        <f>IFERROR(TablaPrincipal[[#This Row],[CAM COSECHADOS TOTALES]]/TablaPrincipal[[#This Row],[ANIM SEMBRADOS]]*100,"-")</f>
        <v>68.063775650380492</v>
      </c>
      <c r="AM124" s="185">
        <v>126984.96000000001</v>
      </c>
      <c r="AN124" s="187">
        <f>IFERROR(((TablaPrincipal[[#This Row],[BALANCEADO ACUMULADO (LBS)]]/2.2046)/TablaPrincipal[[#This Row],[HAS]])/TablaPrincipal[[#This Row],[DIAS]],"-")</f>
        <v>47.130828962548989</v>
      </c>
      <c r="AO124" s="184">
        <f>IFERROR(TablaPrincipal[[#This Row],[BALANCEADO ACUMULADO (LBS)]]/TablaPrincipal[[#This Row],[LIBRAS TOTALES]],"-")</f>
        <v>1.2581673899674137</v>
      </c>
      <c r="AP124" s="184"/>
      <c r="AQ124" s="184" t="s">
        <v>105</v>
      </c>
      <c r="AR124" s="185">
        <f>TablaPrincipal[[#This Row],[LIBRAS RALEO PLANTA]]-TablaPrincipal[[#This Row],[LIBRAS RALEO CAMARONERA]]</f>
        <v>-1218.1900000000023</v>
      </c>
      <c r="AS124" s="185">
        <f>TablaPrincipal[[#This Row],[LIBRAS PLANTA]]-TablaPrincipal[[#This Row],[LIBRAS CAMARONERA]]</f>
        <v>146.69999999999709</v>
      </c>
      <c r="AT124" s="187">
        <f>TablaPrincipal[[#This Row],[GRAMAJE RALEO PLANTA]]-TablaPrincipal[[#This Row],[GRAMAJE RALEO CAMARONERA]]</f>
        <v>0.78000000000000114</v>
      </c>
      <c r="AU124" s="187">
        <f>TablaPrincipal[[#This Row],[GRAMOS PLANTA]]-TablaPrincipal[[#This Row],[GRAMAJE CAMARONERA]]</f>
        <v>2.240000000000002</v>
      </c>
      <c r="AV124" s="183" t="str">
        <f>+VLOOKUP(TablaPrincipal[[#This Row],[CODIGO]],TablaCosechas[#All],10,0)</f>
        <v>JOSE CEDEÑO</v>
      </c>
      <c r="AW124" s="183" t="s">
        <v>219</v>
      </c>
      <c r="AX124" s="188" t="str">
        <f>+VLOOKUP(TablaPrincipal[[#This Row],[CODIGO]],TablaCosechas[#All],10,0)</f>
        <v>JOSE CEDEÑO</v>
      </c>
    </row>
    <row r="125" spans="1:50" hidden="1" x14ac:dyDescent="0.25">
      <c r="A125" s="196">
        <v>46065</v>
      </c>
      <c r="B125" s="183">
        <v>123</v>
      </c>
      <c r="C125" s="183">
        <f>YEAR(TablaPrincipal[[#This Row],[FECHA]])</f>
        <v>2026</v>
      </c>
      <c r="D125" s="183" t="s">
        <v>186</v>
      </c>
      <c r="E125" s="183" t="str">
        <f>UPPER(TEXT(TablaPrincipal[[#This Row],[FECHA]],"MMMM"))</f>
        <v>FEBRERO</v>
      </c>
      <c r="F125" s="183" t="str">
        <f>IFERROR(VLOOKUP(TablaPrincipal[[#This Row],[CODIGO]],COSECHAS!A:J,9,0),"-")</f>
        <v>13</v>
      </c>
      <c r="G125" s="183" t="str">
        <f>IFERROR(VLOOKUP(TablaPrincipal[[#This Row],[CODIGO]],COSECHAS!A:I,8,0),"-")</f>
        <v>DORADO</v>
      </c>
      <c r="H125" s="184">
        <f>IFERROR(VLOOKUP(TablaPrincipal[[#This Row],[CODIGO]],DATOS!A:B,2,0),"-")</f>
        <v>5.7</v>
      </c>
      <c r="I125" s="183" t="str">
        <f>IFERROR(VLOOKUP(TablaPrincipal[[#This Row],[CODIGO]],Tabla8[[#Headers],[#Data]],3,0),"-")</f>
        <v>ASC-BAP</v>
      </c>
      <c r="J125" s="183">
        <f>IFERROR(TablaPrincipal[[#This Row],[FECHA]]-TablaPrincipal[[#This Row],[FECHA DE SIEMBRA]],"-")</f>
        <v>79</v>
      </c>
      <c r="K125" s="196">
        <f>VLOOKUP(TablaPrincipal[[#This Row],[CODIGO]]&amp;TablaPrincipal[[#This Row],[AGUAJE ]],Tabla4[#All],4,0)</f>
        <v>45986</v>
      </c>
      <c r="L125" s="183" t="str">
        <f>VLOOKUP(TablaPrincipal[[#This Row],[CODIGO]]&amp;TablaPrincipal[[#This Row],[AGUAJE ]],Tabla4[#All],15,0)</f>
        <v>DO PS 15</v>
      </c>
      <c r="M125" s="184">
        <f>VLOOKUP(TablaPrincipal[[#This Row],[CODIGO]]&amp;TablaPrincipal[[#This Row],[AGUAJE ]],Tabla4[#All],14,0)</f>
        <v>0.8</v>
      </c>
      <c r="N125" s="183">
        <v>4</v>
      </c>
      <c r="O125" s="170">
        <f>VLOOKUP(TablaPrincipal[[#This Row],[CODIGO]]&amp;TablaPrincipal[[#This Row],[AGUAJE ]],Tabla4[#All],5,0)</f>
        <v>1083000</v>
      </c>
      <c r="P125" s="221">
        <f>IFERROR(TablaPrincipal[[#This Row],[ANIM SEMBRADOS]]/TablaPrincipal[[#This Row],[HAS]],"-")</f>
        <v>190000</v>
      </c>
      <c r="Q125" s="222">
        <f>IFERROR(TablaPrincipal[[#This Row],[DENSIDAD]]/10000,"-")</f>
        <v>19</v>
      </c>
      <c r="R125" s="183" t="str">
        <f>VLOOKUP(TablaPrincipal[[#This Row],[CODIGO]]&amp;TablaPrincipal[[#This Row],[AGUAJE ]],Tabla4[#All],8,0)</f>
        <v>GENESIS</v>
      </c>
      <c r="S125" s="183" t="str">
        <f>VLOOKUP(TablaPrincipal[[#This Row],[CODIGO]]&amp;TablaPrincipal[[#This Row],[AGUAJE ]],Tabla4[#All],7,0)</f>
        <v>TEXCUMAR</v>
      </c>
      <c r="T125" s="183" t="str">
        <f>IF(ISNUMBER(FIND("/",TablaPrincipal[[#This Row],[LABORATORIO]])),"COMBINADO","UNICO")</f>
        <v>UNICO</v>
      </c>
      <c r="U1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40700</v>
      </c>
      <c r="V1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35289.300000000003</v>
      </c>
      <c r="W1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28.875</v>
      </c>
      <c r="X1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30.949999999999996</v>
      </c>
      <c r="Y125" s="185">
        <f>IFERROR(TablaPrincipal[[#This Row],[LIBRAS RALEO PLANTA]]/TablaPrincipal[[#This Row],[HAS]],"-")</f>
        <v>6191.105263157895</v>
      </c>
      <c r="Z1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528162.72055835766</v>
      </c>
      <c r="AA12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1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18632.13</v>
      </c>
      <c r="AC125" s="186">
        <f>SUMIFS(COSECHAS!F:F,COSECHAS!A:A,'BASE 2026'!AW:AW,COSECHAS!G:G,"="&amp;A:A)</f>
        <v>36</v>
      </c>
      <c r="AD125" s="186">
        <f>SUMIFS(COSECHAS!M:M,COSECHAS!A:A,'BASE 2026'!AW:AW,COSECHAS!G:G,"="&amp;A:A)</f>
        <v>35.090000000000003</v>
      </c>
      <c r="AE125" s="185">
        <f>IFERROR(TablaPrincipal[[#This Row],[LIBRAS PLANTA]]/TablaPrincipal[[#This Row],[HAS]],"-")</f>
        <v>3268.7947368421055</v>
      </c>
      <c r="AF125" s="185">
        <f>IFERROR(TablaPrincipal[[#This Row],[LIBRAS PLANTA]]*454/TablaPrincipal[[#This Row],[GRAMOS PLANTA]],"-")</f>
        <v>241065.46081504697</v>
      </c>
      <c r="AG125" s="185">
        <f>TablaPrincipal[[#This Row],[LIBRAS RALEO PLANTA]]+TablaPrincipal[[#This Row],[LIBRAS PLANTA]]</f>
        <v>53921.430000000008</v>
      </c>
      <c r="AH125" s="185">
        <f>IFERROR(TablaPrincipal[[#This Row],[CAM COSECHADOS RALEO]]+TablaPrincipal[[#This Row],[CAM COSECHADOS]],"-")</f>
        <v>769228.18137340457</v>
      </c>
      <c r="AI125" s="185">
        <f>IFERROR((TablaPrincipal[[#This Row],[LIBRAS RALEO PLANTA]]+TablaPrincipal[[#This Row],[LIBRAS PLANTA]])/TablaPrincipal[[#This Row],[HAS]],"0")</f>
        <v>9459.9000000000015</v>
      </c>
      <c r="AJ125" s="186">
        <f t="shared" si="1"/>
        <v>3.109240506329114</v>
      </c>
      <c r="AK125" s="186">
        <f>IFERROR(TablaPrincipal[[#This Row],[LBS/HA]]/TablaPrincipal[[#This Row],[DIAS]],"-")</f>
        <v>119.74556962025318</v>
      </c>
      <c r="AL125" s="186">
        <f>IFERROR(TablaPrincipal[[#This Row],[CAM COSECHADOS TOTALES]]/TablaPrincipal[[#This Row],[ANIM SEMBRADOS]]*100,"-")</f>
        <v>71.02753290613154</v>
      </c>
      <c r="AM125" s="185">
        <v>71759.73000000001</v>
      </c>
      <c r="AN125" s="187">
        <f>IFERROR(((TablaPrincipal[[#This Row],[BALANCEADO ACUMULADO (LBS)]]/2.2046)/TablaPrincipal[[#This Row],[HAS]])/TablaPrincipal[[#This Row],[DIAS]],"-")</f>
        <v>72.285143237841439</v>
      </c>
      <c r="AO125" s="184">
        <f>IFERROR(TablaPrincipal[[#This Row],[BALANCEADO ACUMULADO (LBS)]]/TablaPrincipal[[#This Row],[LIBRAS TOTALES]],"-")</f>
        <v>1.3308202323269245</v>
      </c>
      <c r="AP125" s="184"/>
      <c r="AQ125" s="184" t="s">
        <v>105</v>
      </c>
      <c r="AR125" s="185">
        <f>TablaPrincipal[[#This Row],[LIBRAS RALEO PLANTA]]-TablaPrincipal[[#This Row],[LIBRAS RALEO CAMARONERA]]</f>
        <v>-5410.6999999999971</v>
      </c>
      <c r="AS125" s="185">
        <f>TablaPrincipal[[#This Row],[LIBRAS PLANTA]]-TablaPrincipal[[#This Row],[LIBRAS CAMARONERA]]</f>
        <v>-67.869999999998981</v>
      </c>
      <c r="AT125" s="187">
        <f>TablaPrincipal[[#This Row],[GRAMAJE RALEO PLANTA]]-TablaPrincipal[[#This Row],[GRAMAJE RALEO CAMARONERA]]</f>
        <v>2.0749999999999957</v>
      </c>
      <c r="AU125" s="187">
        <f>TablaPrincipal[[#This Row],[GRAMOS PLANTA]]-TablaPrincipal[[#This Row],[GRAMAJE CAMARONERA]]</f>
        <v>-0.90999999999999659</v>
      </c>
      <c r="AV125" s="183" t="str">
        <f>+VLOOKUP(TablaPrincipal[[#This Row],[CODIGO]],TablaCosechas[#All],10,0)</f>
        <v>JOSE CEDEÑO</v>
      </c>
      <c r="AW125" s="183" t="s">
        <v>220</v>
      </c>
      <c r="AX125" s="188" t="str">
        <f>+VLOOKUP(TablaPrincipal[[#This Row],[CODIGO]],TablaCosechas[#All],10,0)</f>
        <v>JOSE CEDEÑO</v>
      </c>
    </row>
    <row r="126" spans="1:50" hidden="1" x14ac:dyDescent="0.25">
      <c r="A126" s="196">
        <v>46065</v>
      </c>
      <c r="B126" s="183">
        <v>124</v>
      </c>
      <c r="C126" s="183">
        <f>YEAR(TablaPrincipal[[#This Row],[FECHA]])</f>
        <v>2026</v>
      </c>
      <c r="D126" s="183" t="s">
        <v>186</v>
      </c>
      <c r="E126" s="183" t="str">
        <f>UPPER(TEXT(TablaPrincipal[[#This Row],[FECHA]],"MMMM"))</f>
        <v>FEBRERO</v>
      </c>
      <c r="F126" s="183" t="str">
        <f>IFERROR(VLOOKUP(TablaPrincipal[[#This Row],[CODIGO]],COSECHAS!A:J,9,0),"-")</f>
        <v>11</v>
      </c>
      <c r="G126" s="183" t="str">
        <f>IFERROR(VLOOKUP(TablaPrincipal[[#This Row],[CODIGO]],COSECHAS!A:I,8,0),"-")</f>
        <v>MANTARRAYA</v>
      </c>
      <c r="H126" s="184">
        <f>IFERROR(VLOOKUP(TablaPrincipal[[#This Row],[CODIGO]],DATOS!A:B,2,0),"-")</f>
        <v>3.4</v>
      </c>
      <c r="I126" s="183" t="str">
        <f>IFERROR(VLOOKUP(TablaPrincipal[[#This Row],[CODIGO]],Tabla8[[#Headers],[#Data]],3,0),"-")</f>
        <v>ASC-BAP</v>
      </c>
      <c r="J126" s="183">
        <f>IFERROR(TablaPrincipal[[#This Row],[FECHA]]-TablaPrincipal[[#This Row],[FECHA DE SIEMBRA]],"-")</f>
        <v>85</v>
      </c>
      <c r="K126" s="196">
        <f>VLOOKUP(TablaPrincipal[[#This Row],[CODIGO]]&amp;TablaPrincipal[[#This Row],[AGUAJE ]],Tabla4[#All],4,0)</f>
        <v>45980</v>
      </c>
      <c r="L126" s="183" t="str">
        <f>VLOOKUP(TablaPrincipal[[#This Row],[CODIGO]]&amp;TablaPrincipal[[#This Row],[AGUAJE ]],Tabla4[#All],15,0)</f>
        <v>MA PC 12</v>
      </c>
      <c r="M126" s="184">
        <f>VLOOKUP(TablaPrincipal[[#This Row],[CODIGO]]&amp;TablaPrincipal[[#This Row],[AGUAJE ]],Tabla4[#All],14,0)</f>
        <v>0.85</v>
      </c>
      <c r="N126" s="183">
        <v>13</v>
      </c>
      <c r="O126" s="170">
        <f>VLOOKUP(TablaPrincipal[[#This Row],[CODIGO]]&amp;TablaPrincipal[[#This Row],[AGUAJE ]],Tabla4[#All],5,0)</f>
        <v>471111</v>
      </c>
      <c r="P126" s="221">
        <f>IFERROR(TablaPrincipal[[#This Row],[ANIM SEMBRADOS]]/TablaPrincipal[[#This Row],[HAS]],"-")</f>
        <v>138562.05882352943</v>
      </c>
      <c r="Q126" s="222">
        <f>IFERROR(TablaPrincipal[[#This Row],[DENSIDAD]]/10000,"-")</f>
        <v>13.856205882352942</v>
      </c>
      <c r="R126" s="183" t="str">
        <f>VLOOKUP(TablaPrincipal[[#This Row],[CODIGO]]&amp;TablaPrincipal[[#This Row],[AGUAJE ]],Tabla4[#All],8,0)</f>
        <v>BIOLACAM</v>
      </c>
      <c r="S126" s="183" t="str">
        <f>VLOOKUP(TablaPrincipal[[#This Row],[CODIGO]]&amp;TablaPrincipal[[#This Row],[AGUAJE ]],Tabla4[#All],7,0)</f>
        <v>TEXCUMAR</v>
      </c>
      <c r="T126" s="183" t="str">
        <f>IF(ISNUMBER(FIND("/",TablaPrincipal[[#This Row],[LABORATORIO]])),"COMBINADO","UNICO")</f>
        <v>UNICO</v>
      </c>
      <c r="U1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7600</v>
      </c>
      <c r="V1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6918.91</v>
      </c>
      <c r="W1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</v>
      </c>
      <c r="Y126" s="185">
        <f>IFERROR(TablaPrincipal[[#This Row],[LIBRAS RALEO PLANTA]]/TablaPrincipal[[#This Row],[HAS]],"-")</f>
        <v>2034.9735294117647</v>
      </c>
      <c r="Z1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126361.81565490839</v>
      </c>
      <c r="AA12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1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14290.69</v>
      </c>
      <c r="AC126" s="186">
        <f>SUMIFS(COSECHAS!F:F,COSECHAS!A:A,'BASE 2026'!AW:AW,COSECHAS!G:G,"="&amp;A:A)</f>
        <v>41</v>
      </c>
      <c r="AD126" s="186">
        <f>SUMIFS(COSECHAS!M:M,COSECHAS!A:A,'BASE 2026'!AW:AW,COSECHAS!G:G,"="&amp;A:A)</f>
        <v>47.22</v>
      </c>
      <c r="AE126" s="185">
        <f>IFERROR(TablaPrincipal[[#This Row],[LIBRAS PLANTA]]/TablaPrincipal[[#This Row],[HAS]],"-")</f>
        <v>4203.1441176470589</v>
      </c>
      <c r="AF126" s="185">
        <f>IFERROR(TablaPrincipal[[#This Row],[LIBRAS PLANTA]]*454/TablaPrincipal[[#This Row],[GRAMOS PLANTA]],"-")</f>
        <v>137398.84074544685</v>
      </c>
      <c r="AG126" s="185">
        <f>TablaPrincipal[[#This Row],[LIBRAS RALEO PLANTA]]+TablaPrincipal[[#This Row],[LIBRAS PLANTA]]</f>
        <v>21209.599999999999</v>
      </c>
      <c r="AH126" s="185">
        <f>IFERROR(TablaPrincipal[[#This Row],[CAM COSECHADOS RALEO]]+TablaPrincipal[[#This Row],[CAM COSECHADOS]],"-")</f>
        <v>263760.65640035528</v>
      </c>
      <c r="AI126" s="185">
        <f>IFERROR((TablaPrincipal[[#This Row],[LIBRAS RALEO PLANTA]]+TablaPrincipal[[#This Row],[LIBRAS PLANTA]])/TablaPrincipal[[#This Row],[HAS]],"0")</f>
        <v>6238.1176470588234</v>
      </c>
      <c r="AJ126" s="186">
        <f t="shared" si="1"/>
        <v>3.8887058823529412</v>
      </c>
      <c r="AK126" s="186">
        <f>IFERROR(TablaPrincipal[[#This Row],[LBS/HA]]/TablaPrincipal[[#This Row],[DIAS]],"-")</f>
        <v>73.389619377162632</v>
      </c>
      <c r="AL126" s="186">
        <f>IFERROR(TablaPrincipal[[#This Row],[CAM COSECHADOS TOTALES]]/TablaPrincipal[[#This Row],[ANIM SEMBRADOS]]*100,"-")</f>
        <v>55.986944987562438</v>
      </c>
      <c r="AM126" s="185">
        <v>30533.710000000003</v>
      </c>
      <c r="AN126" s="187">
        <f>IFERROR(((TablaPrincipal[[#This Row],[BALANCEADO ACUMULADO (LBS)]]/2.2046)/TablaPrincipal[[#This Row],[HAS]])/TablaPrincipal[[#This Row],[DIAS]],"-")</f>
        <v>47.923875432525953</v>
      </c>
      <c r="AO126" s="184">
        <f>IFERROR(TablaPrincipal[[#This Row],[BALANCEADO ACUMULADO (LBS)]]/TablaPrincipal[[#This Row],[LIBRAS TOTALES]],"-")</f>
        <v>1.439617437386844</v>
      </c>
      <c r="AP126" s="184"/>
      <c r="AQ126" s="184" t="s">
        <v>105</v>
      </c>
      <c r="AR126" s="185">
        <f>TablaPrincipal[[#This Row],[LIBRAS RALEO PLANTA]]-TablaPrincipal[[#This Row],[LIBRAS RALEO CAMARONERA]]</f>
        <v>-681.09000000000015</v>
      </c>
      <c r="AS126" s="185">
        <f>TablaPrincipal[[#This Row],[LIBRAS PLANTA]]-TablaPrincipal[[#This Row],[LIBRAS CAMARONERA]]</f>
        <v>-559.30999999999949</v>
      </c>
      <c r="AT126" s="187">
        <f>TablaPrincipal[[#This Row],[GRAMAJE RALEO PLANTA]]-TablaPrincipal[[#This Row],[GRAMAJE RALEO CAMARONERA]]</f>
        <v>2.1499999999999986</v>
      </c>
      <c r="AU126" s="187">
        <f>TablaPrincipal[[#This Row],[GRAMOS PLANTA]]-TablaPrincipal[[#This Row],[GRAMAJE CAMARONERA]]</f>
        <v>6.2199999999999989</v>
      </c>
      <c r="AV126" s="183" t="str">
        <f>+VLOOKUP(TablaPrincipal[[#This Row],[CODIGO]],TablaCosechas[#All],10,0)</f>
        <v>GUSTAVO CARRASCO</v>
      </c>
      <c r="AW126" s="183" t="s">
        <v>221</v>
      </c>
      <c r="AX126" s="188" t="str">
        <f>+VLOOKUP(TablaPrincipal[[#This Row],[CODIGO]],TablaCosechas[#All],10,0)</f>
        <v>GUSTAVO CARRASCO</v>
      </c>
    </row>
    <row r="127" spans="1:50" hidden="1" x14ac:dyDescent="0.25">
      <c r="A127" s="196">
        <v>46066</v>
      </c>
      <c r="B127" s="183">
        <v>125</v>
      </c>
      <c r="C127" s="183">
        <f>YEAR(TablaPrincipal[[#This Row],[FECHA]])</f>
        <v>2026</v>
      </c>
      <c r="D127" s="183" t="s">
        <v>186</v>
      </c>
      <c r="E127" s="183" t="str">
        <f>UPPER(TEXT(TablaPrincipal[[#This Row],[FECHA]],"MMMM"))</f>
        <v>FEBRERO</v>
      </c>
      <c r="F127" s="183" t="str">
        <f>IFERROR(VLOOKUP(TablaPrincipal[[#This Row],[CODIGO]],COSECHAS!A:J,9,0),"-")</f>
        <v>17</v>
      </c>
      <c r="G127" s="183" t="str">
        <f>IFERROR(VLOOKUP(TablaPrincipal[[#This Row],[CODIGO]],COSECHAS!A:I,8,0),"-")</f>
        <v>GUATO</v>
      </c>
      <c r="H127" s="184">
        <f>IFERROR(VLOOKUP(TablaPrincipal[[#This Row],[CODIGO]],DATOS!A:B,2,0),"-")</f>
        <v>5.9</v>
      </c>
      <c r="I127" s="183" t="str">
        <f>IFERROR(VLOOKUP(TablaPrincipal[[#This Row],[CODIGO]],Tabla8[[#Headers],[#Data]],3,0),"-")</f>
        <v>CONVENCIONAL</v>
      </c>
      <c r="J127" s="183">
        <f>IFERROR(TablaPrincipal[[#This Row],[FECHA]]-TablaPrincipal[[#This Row],[FECHA DE SIEMBRA]],"-")</f>
        <v>79</v>
      </c>
      <c r="K127" s="196">
        <f>VLOOKUP(TablaPrincipal[[#This Row],[CODIGO]]&amp;TablaPrincipal[[#This Row],[AGUAJE ]],Tabla4[#All],4,0)</f>
        <v>45987</v>
      </c>
      <c r="L127" s="183" t="str">
        <f>VLOOKUP(TablaPrincipal[[#This Row],[CODIGO]]&amp;TablaPrincipal[[#This Row],[AGUAJE ]],Tabla4[#All],15,0)</f>
        <v>GT 7</v>
      </c>
      <c r="M127" s="184">
        <f>VLOOKUP(TablaPrincipal[[#This Row],[CODIGO]]&amp;TablaPrincipal[[#This Row],[AGUAJE ]],Tabla4[#All],14,0)</f>
        <v>0.68</v>
      </c>
      <c r="N127" s="183">
        <v>13</v>
      </c>
      <c r="O127" s="170">
        <f>VLOOKUP(TablaPrincipal[[#This Row],[CODIGO]]&amp;TablaPrincipal[[#This Row],[AGUAJE ]],Tabla4[#All],5,0)</f>
        <v>944000</v>
      </c>
      <c r="P127" s="221">
        <f>IFERROR(TablaPrincipal[[#This Row],[ANIM SEMBRADOS]]/TablaPrincipal[[#This Row],[HAS]],"-")</f>
        <v>160000</v>
      </c>
      <c r="Q127" s="222">
        <f>IFERROR(TablaPrincipal[[#This Row],[DENSIDAD]]/10000,"-")</f>
        <v>16</v>
      </c>
      <c r="R127" s="183" t="str">
        <f>VLOOKUP(TablaPrincipal[[#This Row],[CODIGO]]&amp;TablaPrincipal[[#This Row],[AGUAJE ]],Tabla4[#All],8,0)</f>
        <v>GABSO</v>
      </c>
      <c r="S127" s="183" t="str">
        <f>VLOOKUP(TablaPrincipal[[#This Row],[CODIGO]]&amp;TablaPrincipal[[#This Row],[AGUAJE ]],Tabla4[#All],7,0)</f>
        <v>TEXCUMAR</v>
      </c>
      <c r="T127" s="183" t="str">
        <f>IF(ISNUMBER(FIND("/",TablaPrincipal[[#This Row],[LABORATORIO]])),"COMBINADO","UNICO")</f>
        <v>UNICO</v>
      </c>
      <c r="U1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4800</v>
      </c>
      <c r="V1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5624.08</v>
      </c>
      <c r="W1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25.74</v>
      </c>
      <c r="Y127" s="185">
        <f>IFERROR(TablaPrincipal[[#This Row],[LIBRAS RALEO PLANTA]]/TablaPrincipal[[#This Row],[HAS]],"-")</f>
        <v>953.23389830508472</v>
      </c>
      <c r="Z1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99197.059829059828</v>
      </c>
      <c r="AA12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16268.73</v>
      </c>
      <c r="AC127" s="186">
        <f>SUMIFS(COSECHAS!F:F,COSECHAS!A:A,'BASE 2026'!AW:AW,COSECHAS!G:G,"="&amp;A:A)</f>
        <v>29</v>
      </c>
      <c r="AD127" s="186">
        <f>SUMIFS(COSECHAS!M:M,COSECHAS!A:A,'BASE 2026'!AW:AW,COSECHAS!G:G,"="&amp;A:A)</f>
        <v>27.61</v>
      </c>
      <c r="AE127" s="185">
        <f>IFERROR(TablaPrincipal[[#This Row],[LIBRAS PLANTA]]/TablaPrincipal[[#This Row],[HAS]],"-")</f>
        <v>2757.4118644067794</v>
      </c>
      <c r="AF127" s="185">
        <f>IFERROR(TablaPrincipal[[#This Row],[LIBRAS PLANTA]]*454/TablaPrincipal[[#This Row],[GRAMOS PLANTA]],"-")</f>
        <v>267511.89496559219</v>
      </c>
      <c r="AG127" s="185">
        <f>TablaPrincipal[[#This Row],[LIBRAS RALEO PLANTA]]+TablaPrincipal[[#This Row],[LIBRAS PLANTA]]</f>
        <v>21892.809999999998</v>
      </c>
      <c r="AH127" s="185">
        <f>IFERROR(TablaPrincipal[[#This Row],[CAM COSECHADOS RALEO]]+TablaPrincipal[[#This Row],[CAM COSECHADOS]],"-")</f>
        <v>366708.954794652</v>
      </c>
      <c r="AI127" s="185">
        <f>IFERROR((TablaPrincipal[[#This Row],[LIBRAS RALEO PLANTA]]+TablaPrincipal[[#This Row],[LIBRAS PLANTA]])/TablaPrincipal[[#This Row],[HAS]],"0")</f>
        <v>3710.6457627118639</v>
      </c>
      <c r="AJ127" s="186">
        <f t="shared" si="1"/>
        <v>2.4464556962025314</v>
      </c>
      <c r="AK127" s="186">
        <f>IFERROR(TablaPrincipal[[#This Row],[LBS/HA]]/TablaPrincipal[[#This Row],[DIAS]],"-")</f>
        <v>46.970199527998275</v>
      </c>
      <c r="AL127" s="186">
        <f>IFERROR(TablaPrincipal[[#This Row],[CAM COSECHADOS TOTALES]]/TablaPrincipal[[#This Row],[ANIM SEMBRADOS]]*100,"-")</f>
        <v>38.846287584179237</v>
      </c>
      <c r="AM127" s="185">
        <v>50536.927640000009</v>
      </c>
      <c r="AN127" s="187">
        <f>IFERROR(((TablaPrincipal[[#This Row],[BALANCEADO ACUMULADO (LBS)]]/2.2046)/TablaPrincipal[[#This Row],[HAS]])/TablaPrincipal[[#This Row],[DIAS]],"-")</f>
        <v>49.181291568332973</v>
      </c>
      <c r="AO127" s="184">
        <f>IFERROR(TablaPrincipal[[#This Row],[BALANCEADO ACUMULADO (LBS)]]/TablaPrincipal[[#This Row],[LIBRAS TOTALES]],"-")</f>
        <v>2.3083801321072999</v>
      </c>
      <c r="AP127" s="184"/>
      <c r="AQ127" s="184" t="s">
        <v>105</v>
      </c>
      <c r="AR127" s="185">
        <f>TablaPrincipal[[#This Row],[LIBRAS RALEO PLANTA]]-TablaPrincipal[[#This Row],[LIBRAS RALEO CAMARONERA]]</f>
        <v>824.07999999999993</v>
      </c>
      <c r="AS127" s="185">
        <f>TablaPrincipal[[#This Row],[LIBRAS PLANTA]]-TablaPrincipal[[#This Row],[LIBRAS CAMARONERA]]</f>
        <v>1468.7299999999996</v>
      </c>
      <c r="AT127" s="187">
        <f>TablaPrincipal[[#This Row],[GRAMAJE RALEO PLANTA]]-TablaPrincipal[[#This Row],[GRAMAJE RALEO CAMARONERA]]</f>
        <v>-0.26000000000000156</v>
      </c>
      <c r="AU127" s="187">
        <f>TablaPrincipal[[#This Row],[GRAMOS PLANTA]]-TablaPrincipal[[#This Row],[GRAMAJE CAMARONERA]]</f>
        <v>-1.3900000000000006</v>
      </c>
      <c r="AV127" s="183" t="str">
        <f>+VLOOKUP(TablaPrincipal[[#This Row],[CODIGO]],TablaCosechas[#All],10,0)</f>
        <v>JULIO SANTOS</v>
      </c>
      <c r="AW127" s="183" t="s">
        <v>222</v>
      </c>
      <c r="AX127" s="188" t="str">
        <f>+VLOOKUP(TablaPrincipal[[#This Row],[CODIGO]],TablaCosechas[#All],10,0)</f>
        <v>JULIO SANTOS</v>
      </c>
    </row>
    <row r="128" spans="1:50" hidden="1" x14ac:dyDescent="0.25">
      <c r="A128" s="196">
        <v>46066</v>
      </c>
      <c r="B128" s="183">
        <v>126</v>
      </c>
      <c r="C128" s="183">
        <f>YEAR(TablaPrincipal[[#This Row],[FECHA]])</f>
        <v>2026</v>
      </c>
      <c r="D128" s="183" t="s">
        <v>186</v>
      </c>
      <c r="E128" s="183" t="str">
        <f>UPPER(TEXT(TablaPrincipal[[#This Row],[FECHA]],"MMMM"))</f>
        <v>FEBRERO</v>
      </c>
      <c r="F128" s="183" t="str">
        <f>IFERROR(VLOOKUP(TablaPrincipal[[#This Row],[CODIGO]],COSECHAS!A:J,9,0),"-")</f>
        <v>17</v>
      </c>
      <c r="G128" s="183" t="str">
        <f>IFERROR(VLOOKUP(TablaPrincipal[[#This Row],[CODIGO]],COSECHAS!A:I,8,0),"-")</f>
        <v>MERO</v>
      </c>
      <c r="H128" s="184">
        <f>IFERROR(VLOOKUP(TablaPrincipal[[#This Row],[CODIGO]],DATOS!A:B,2,0),"-")</f>
        <v>4.5999999999999996</v>
      </c>
      <c r="I128" s="183" t="str">
        <f>IFERROR(VLOOKUP(TablaPrincipal[[#This Row],[CODIGO]],Tabla8[[#Headers],[#Data]],3,0),"-")</f>
        <v>CONVENCIONAL</v>
      </c>
      <c r="J128" s="183">
        <f>IFERROR(TablaPrincipal[[#This Row],[FECHA]]-TablaPrincipal[[#This Row],[FECHA DE SIEMBRA]],"-")</f>
        <v>73</v>
      </c>
      <c r="K128" s="196">
        <f>VLOOKUP(TablaPrincipal[[#This Row],[CODIGO]]&amp;TablaPrincipal[[#This Row],[AGUAJE ]],Tabla4[#All],4,0)</f>
        <v>45993</v>
      </c>
      <c r="L128" s="183" t="str">
        <f>VLOOKUP(TablaPrincipal[[#This Row],[CODIGO]]&amp;TablaPrincipal[[#This Row],[AGUAJE ]],Tabla4[#All],15,0)</f>
        <v>ME 8</v>
      </c>
      <c r="M128" s="184">
        <f>VLOOKUP(TablaPrincipal[[#This Row],[CODIGO]]&amp;TablaPrincipal[[#This Row],[AGUAJE ]],Tabla4[#All],14,0)</f>
        <v>0.15</v>
      </c>
      <c r="N128" s="183">
        <v>10</v>
      </c>
      <c r="O128" s="170">
        <f>VLOOKUP(TablaPrincipal[[#This Row],[CODIGO]]&amp;TablaPrincipal[[#This Row],[AGUAJE ]],Tabla4[#All],5,0)</f>
        <v>736000</v>
      </c>
      <c r="P128" s="221">
        <f>IFERROR(TablaPrincipal[[#This Row],[ANIM SEMBRADOS]]/TablaPrincipal[[#This Row],[HAS]],"-")</f>
        <v>160000</v>
      </c>
      <c r="Q128" s="222">
        <f>IFERROR(TablaPrincipal[[#This Row],[DENSIDAD]]/10000,"-")</f>
        <v>16</v>
      </c>
      <c r="R128" s="183" t="str">
        <f>VLOOKUP(TablaPrincipal[[#This Row],[CODIGO]]&amp;TablaPrincipal[[#This Row],[AGUAJE ]],Tabla4[#All],8,0)</f>
        <v>GENESIS</v>
      </c>
      <c r="S128" s="183" t="str">
        <f>VLOOKUP(TablaPrincipal[[#This Row],[CODIGO]]&amp;TablaPrincipal[[#This Row],[AGUAJE ]],Tabla4[#All],7,0)</f>
        <v>TEXCUMAR</v>
      </c>
      <c r="T128" s="183" t="str">
        <f>IF(ISNUMBER(FIND("/",TablaPrincipal[[#This Row],[LABORATORIO]])),"COMBINADO","UNICO")</f>
        <v>UNICO</v>
      </c>
      <c r="U1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4750</v>
      </c>
      <c r="V1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4163.59</v>
      </c>
      <c r="W1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28.22</v>
      </c>
      <c r="Y128" s="185">
        <f>IFERROR(TablaPrincipal[[#This Row],[LIBRAS RALEO PLANTA]]/TablaPrincipal[[#This Row],[HAS]],"-")</f>
        <v>905.12826086956534</v>
      </c>
      <c r="Z1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66983.34018426649</v>
      </c>
      <c r="AA12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6450</v>
      </c>
      <c r="AB1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5458.65</v>
      </c>
      <c r="AC128" s="186">
        <f>SUMIFS(COSECHAS!F:F,COSECHAS!A:A,'BASE 2026'!AW:AW,COSECHAS!G:G,"="&amp;A:A)</f>
        <v>30</v>
      </c>
      <c r="AD128" s="186">
        <f>SUMIFS(COSECHAS!M:M,COSECHAS!A:A,'BASE 2026'!AW:AW,COSECHAS!G:G,"="&amp;A:A)</f>
        <v>35.42</v>
      </c>
      <c r="AE128" s="185">
        <f>IFERROR(TablaPrincipal[[#This Row],[LIBRAS PLANTA]]/TablaPrincipal[[#This Row],[HAS]],"-")</f>
        <v>1186.663043478261</v>
      </c>
      <c r="AF128" s="185">
        <f>IFERROR(TablaPrincipal[[#This Row],[LIBRAS PLANTA]]*454/TablaPrincipal[[#This Row],[GRAMOS PLANTA]],"-")</f>
        <v>69966.885940146793</v>
      </c>
      <c r="AG128" s="185">
        <f>TablaPrincipal[[#This Row],[LIBRAS RALEO PLANTA]]+TablaPrincipal[[#This Row],[LIBRAS PLANTA]]</f>
        <v>9622.24</v>
      </c>
      <c r="AH128" s="185">
        <f>IFERROR(TablaPrincipal[[#This Row],[CAM COSECHADOS RALEO]]+TablaPrincipal[[#This Row],[CAM COSECHADOS]],"-")</f>
        <v>136950.22612441328</v>
      </c>
      <c r="AI128" s="185">
        <f>IFERROR((TablaPrincipal[[#This Row],[LIBRAS RALEO PLANTA]]+TablaPrincipal[[#This Row],[LIBRAS PLANTA]])/TablaPrincipal[[#This Row],[HAS]],"0")</f>
        <v>2091.7913043478261</v>
      </c>
      <c r="AJ128" s="186">
        <f t="shared" si="1"/>
        <v>3.3964383561643836</v>
      </c>
      <c r="AK128" s="186">
        <f>IFERROR(TablaPrincipal[[#This Row],[LBS/HA]]/TablaPrincipal[[#This Row],[DIAS]],"-")</f>
        <v>28.654675402025013</v>
      </c>
      <c r="AL128" s="186">
        <f>IFERROR(TablaPrincipal[[#This Row],[CAM COSECHADOS TOTALES]]/TablaPrincipal[[#This Row],[ANIM SEMBRADOS]]*100,"-")</f>
        <v>18.607367679947455</v>
      </c>
      <c r="AM128" s="185">
        <v>26813.447500000002</v>
      </c>
      <c r="AN128" s="187">
        <f>IFERROR(((TablaPrincipal[[#This Row],[BALANCEADO ACUMULADO (LBS)]]/2.2046)/TablaPrincipal[[#This Row],[HAS]])/TablaPrincipal[[#This Row],[DIAS]],"-")</f>
        <v>36.219475878499111</v>
      </c>
      <c r="AO128" s="184">
        <f>IFERROR(TablaPrincipal[[#This Row],[BALANCEADO ACUMULADO (LBS)]]/TablaPrincipal[[#This Row],[LIBRAS TOTALES]],"-")</f>
        <v>2.7866117972530309</v>
      </c>
      <c r="AP128" s="184"/>
      <c r="AQ128" s="184" t="s">
        <v>105</v>
      </c>
      <c r="AR128" s="185">
        <f>TablaPrincipal[[#This Row],[LIBRAS RALEO PLANTA]]-TablaPrincipal[[#This Row],[LIBRAS RALEO CAMARONERA]]</f>
        <v>-586.40999999999985</v>
      </c>
      <c r="AS128" s="185">
        <f>TablaPrincipal[[#This Row],[LIBRAS PLANTA]]-TablaPrincipal[[#This Row],[LIBRAS CAMARONERA]]</f>
        <v>-991.35000000000036</v>
      </c>
      <c r="AT128" s="187">
        <f>TablaPrincipal[[#This Row],[GRAMAJE RALEO PLANTA]]-TablaPrincipal[[#This Row],[GRAMAJE RALEO CAMARONERA]]</f>
        <v>2.2199999999999989</v>
      </c>
      <c r="AU128" s="187">
        <f>TablaPrincipal[[#This Row],[GRAMOS PLANTA]]-TablaPrincipal[[#This Row],[GRAMAJE CAMARONERA]]</f>
        <v>5.4200000000000017</v>
      </c>
      <c r="AV128" s="183" t="str">
        <f>+VLOOKUP(TablaPrincipal[[#This Row],[CODIGO]],TablaCosechas[#All],10,0)</f>
        <v>NESTOR MOGOLLON</v>
      </c>
      <c r="AW128" s="183" t="s">
        <v>223</v>
      </c>
      <c r="AX128" s="188" t="str">
        <f>+VLOOKUP(TablaPrincipal[[#This Row],[CODIGO]],TablaCosechas[#All],10,0)</f>
        <v>NESTOR MOGOLLON</v>
      </c>
    </row>
    <row r="129" spans="1:50" hidden="1" x14ac:dyDescent="0.25">
      <c r="A129" s="196">
        <v>46066</v>
      </c>
      <c r="B129" s="183">
        <v>127</v>
      </c>
      <c r="C129" s="183">
        <f>YEAR(TablaPrincipal[[#This Row],[FECHA]])</f>
        <v>2026</v>
      </c>
      <c r="D129" s="183" t="s">
        <v>186</v>
      </c>
      <c r="E129" s="183" t="str">
        <f>UPPER(TEXT(TablaPrincipal[[#This Row],[FECHA]],"MMMM"))</f>
        <v>FEBRERO</v>
      </c>
      <c r="F129" s="183" t="str">
        <f>IFERROR(VLOOKUP(TablaPrincipal[[#This Row],[CODIGO]],COSECHAS!A:J,9,0),"-")</f>
        <v>02</v>
      </c>
      <c r="G129" s="183" t="str">
        <f>IFERROR(VLOOKUP(TablaPrincipal[[#This Row],[CODIGO]],COSECHAS!A:I,8,0),"-")</f>
        <v>TIBURON</v>
      </c>
      <c r="H129" s="184">
        <f>IFERROR(VLOOKUP(TablaPrincipal[[#This Row],[CODIGO]],DATOS!A:B,2,0),"-")</f>
        <v>8.36</v>
      </c>
      <c r="I129" s="183" t="str">
        <f>IFERROR(VLOOKUP(TablaPrincipal[[#This Row],[CODIGO]],Tabla8[[#Headers],[#Data]],3,0),"-")</f>
        <v>ASC-BAP</v>
      </c>
      <c r="J129" s="183">
        <f>IFERROR(TablaPrincipal[[#This Row],[FECHA]]-TablaPrincipal[[#This Row],[FECHA DE SIEMBRA]],"-")</f>
        <v>83</v>
      </c>
      <c r="K129" s="196">
        <f>VLOOKUP(TablaPrincipal[[#This Row],[CODIGO]]&amp;TablaPrincipal[[#This Row],[AGUAJE ]],Tabla4[#All],4,0)</f>
        <v>45983</v>
      </c>
      <c r="L129" s="183" t="str">
        <f>VLOOKUP(TablaPrincipal[[#This Row],[CODIGO]]&amp;TablaPrincipal[[#This Row],[AGUAJE ]],Tabla4[#All],15,0)</f>
        <v>TI PC 33 - 34</v>
      </c>
      <c r="M129" s="184">
        <f>VLOOKUP(TablaPrincipal[[#This Row],[CODIGO]]&amp;TablaPrincipal[[#This Row],[AGUAJE ]],Tabla4[#All],14,0)</f>
        <v>0.28000000000000003</v>
      </c>
      <c r="N129" s="183">
        <v>10</v>
      </c>
      <c r="O129" s="170">
        <f>VLOOKUP(TablaPrincipal[[#This Row],[CODIGO]]&amp;TablaPrincipal[[#This Row],[AGUAJE ]],Tabla4[#All],5,0)</f>
        <v>1421200</v>
      </c>
      <c r="P129" s="221">
        <f>IFERROR(TablaPrincipal[[#This Row],[ANIM SEMBRADOS]]/TablaPrincipal[[#This Row],[HAS]],"-")</f>
        <v>170000</v>
      </c>
      <c r="Q129" s="222">
        <f>IFERROR(TablaPrincipal[[#This Row],[DENSIDAD]]/10000,"-")</f>
        <v>17</v>
      </c>
      <c r="R129" s="183" t="str">
        <f>VLOOKUP(TablaPrincipal[[#This Row],[CODIGO]]&amp;TablaPrincipal[[#This Row],[AGUAJE ]],Tabla4[#All],8,0)</f>
        <v>EMPAGRAN</v>
      </c>
      <c r="S129" s="183" t="str">
        <f>VLOOKUP(TablaPrincipal[[#This Row],[CODIGO]]&amp;TablaPrincipal[[#This Row],[AGUAJE ]],Tabla4[#All],7,0)</f>
        <v>EMPAGRAN</v>
      </c>
      <c r="T129" s="183" t="str">
        <f>IF(ISNUMBER(FIND("/",TablaPrincipal[[#This Row],[LABORATORIO]])),"COMBINADO","UNICO")</f>
        <v>UNICO</v>
      </c>
      <c r="U1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55050</v>
      </c>
      <c r="V1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55871.740000000005</v>
      </c>
      <c r="W1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27.145</v>
      </c>
      <c r="Y129" s="185">
        <f>IFERROR(TablaPrincipal[[#This Row],[LIBRAS RALEO PLANTA]]/TablaPrincipal[[#This Row],[HAS]],"-")</f>
        <v>6683.2224880382782</v>
      </c>
      <c r="Z1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952314.54230828723</v>
      </c>
      <c r="AA12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32100</v>
      </c>
      <c r="AB1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30742</v>
      </c>
      <c r="AC129" s="186">
        <f>SUMIFS(COSECHAS!F:F,COSECHAS!A:A,'BASE 2026'!AW:AW,COSECHAS!G:G,"="&amp;A:A)</f>
        <v>34</v>
      </c>
      <c r="AD129" s="186">
        <f>SUMIFS(COSECHAS!M:M,COSECHAS!A:A,'BASE 2026'!AW:AW,COSECHAS!G:G,"="&amp;A:A)</f>
        <v>34.74</v>
      </c>
      <c r="AE129" s="185">
        <f>IFERROR(TablaPrincipal[[#This Row],[LIBRAS PLANTA]]/TablaPrincipal[[#This Row],[HAS]],"-")</f>
        <v>3677.2727272727275</v>
      </c>
      <c r="AF129" s="185">
        <f>IFERROR(TablaPrincipal[[#This Row],[LIBRAS PLANTA]]*454/TablaPrincipal[[#This Row],[GRAMOS PLANTA]],"-")</f>
        <v>401752.10132412205</v>
      </c>
      <c r="AG129" s="185">
        <f>TablaPrincipal[[#This Row],[LIBRAS RALEO PLANTA]]+TablaPrincipal[[#This Row],[LIBRAS PLANTA]]</f>
        <v>86613.74</v>
      </c>
      <c r="AH129" s="185">
        <f>IFERROR(TablaPrincipal[[#This Row],[CAM COSECHADOS RALEO]]+TablaPrincipal[[#This Row],[CAM COSECHADOS]],"-")</f>
        <v>1354066.6436324092</v>
      </c>
      <c r="AI129" s="185">
        <f>IFERROR((TablaPrincipal[[#This Row],[LIBRAS RALEO PLANTA]]+TablaPrincipal[[#This Row],[LIBRAS PLANTA]])/TablaPrincipal[[#This Row],[HAS]],"0")</f>
        <v>10360.495215311006</v>
      </c>
      <c r="AJ129" s="186">
        <f t="shared" si="1"/>
        <v>2.9298795180722892</v>
      </c>
      <c r="AK129" s="186">
        <f>IFERROR(TablaPrincipal[[#This Row],[LBS/HA]]/TablaPrincipal[[#This Row],[DIAS]],"-")</f>
        <v>124.82524355796393</v>
      </c>
      <c r="AL129" s="186">
        <f>IFERROR(TablaPrincipal[[#This Row],[CAM COSECHADOS TOTALES]]/TablaPrincipal[[#This Row],[ANIM SEMBRADOS]]*100,"-")</f>
        <v>95.276290714354715</v>
      </c>
      <c r="AM129" s="185">
        <v>113151.095</v>
      </c>
      <c r="AN129" s="187">
        <f>IFERROR(((TablaPrincipal[[#This Row],[BALANCEADO ACUMULADO (LBS)]]/2.2046)/TablaPrincipal[[#This Row],[HAS]])/TablaPrincipal[[#This Row],[DIAS]],"-")</f>
        <v>73.968121288983696</v>
      </c>
      <c r="AO129" s="184">
        <f>IFERROR(TablaPrincipal[[#This Row],[BALANCEADO ACUMULADO (LBS)]]/TablaPrincipal[[#This Row],[LIBRAS TOTALES]],"-")</f>
        <v>1.3063873584029508</v>
      </c>
      <c r="AP129" s="184"/>
      <c r="AQ129" s="184" t="s">
        <v>105</v>
      </c>
      <c r="AR129" s="185">
        <f>TablaPrincipal[[#This Row],[LIBRAS RALEO PLANTA]]-TablaPrincipal[[#This Row],[LIBRAS RALEO CAMARONERA]]</f>
        <v>821.74000000000524</v>
      </c>
      <c r="AS129" s="185">
        <f>TablaPrincipal[[#This Row],[LIBRAS PLANTA]]-TablaPrincipal[[#This Row],[LIBRAS CAMARONERA]]</f>
        <v>-1358</v>
      </c>
      <c r="AT129" s="187">
        <f>TablaPrincipal[[#This Row],[GRAMAJE RALEO PLANTA]]-TablaPrincipal[[#This Row],[GRAMAJE RALEO CAMARONERA]]</f>
        <v>0.64499999999999957</v>
      </c>
      <c r="AU129" s="187">
        <f>TablaPrincipal[[#This Row],[GRAMOS PLANTA]]-TablaPrincipal[[#This Row],[GRAMAJE CAMARONERA]]</f>
        <v>0.74000000000000199</v>
      </c>
      <c r="AV129" s="183" t="str">
        <f>+VLOOKUP(TablaPrincipal[[#This Row],[CODIGO]],TablaCosechas[#All],10,0)</f>
        <v>ALFONSO GRUNAUER</v>
      </c>
      <c r="AW129" s="183" t="s">
        <v>224</v>
      </c>
      <c r="AX129" s="188" t="str">
        <f>+VLOOKUP(TablaPrincipal[[#This Row],[CODIGO]],TablaCosechas[#All],10,0)</f>
        <v>ALFONSO GRUNAUER</v>
      </c>
    </row>
    <row r="130" spans="1:50" hidden="1" x14ac:dyDescent="0.25">
      <c r="A130" s="196">
        <v>46067</v>
      </c>
      <c r="B130" s="183">
        <v>128</v>
      </c>
      <c r="C130" s="183">
        <f>YEAR(TablaPrincipal[[#This Row],[FECHA]])</f>
        <v>2026</v>
      </c>
      <c r="D130" s="183" t="s">
        <v>225</v>
      </c>
      <c r="E130" s="183" t="str">
        <f>UPPER(TEXT(TablaPrincipal[[#This Row],[FECHA]],"MMMM"))</f>
        <v>FEBRERO</v>
      </c>
      <c r="F130" s="183" t="str">
        <f>IFERROR(VLOOKUP(TablaPrincipal[[#This Row],[CODIGO]],COSECHAS!A:J,9,0),"-")</f>
        <v>01</v>
      </c>
      <c r="G130" s="183" t="str">
        <f>IFERROR(VLOOKUP(TablaPrincipal[[#This Row],[CODIGO]],COSECHAS!A:I,8,0),"-")</f>
        <v>BARRACUDA</v>
      </c>
      <c r="H130" s="184">
        <f>IFERROR(VLOOKUP(TablaPrincipal[[#This Row],[CODIGO]],DATOS!A:B,2,0),"-")</f>
        <v>5</v>
      </c>
      <c r="I130" s="183" t="str">
        <f>IFERROR(VLOOKUP(TablaPrincipal[[#This Row],[CODIGO]],Tabla8[[#Headers],[#Data]],3,0),"-")</f>
        <v>CONVENCIONAL</v>
      </c>
      <c r="J130" s="183">
        <f>IFERROR(TablaPrincipal[[#This Row],[FECHA]]-TablaPrincipal[[#This Row],[FECHA DE SIEMBRA]],"-")</f>
        <v>85</v>
      </c>
      <c r="K130" s="196">
        <f>VLOOKUP(TablaPrincipal[[#This Row],[CODIGO]]&amp;TablaPrincipal[[#This Row],[AGUAJE ]],Tabla4[#All],4,0)</f>
        <v>45982</v>
      </c>
      <c r="L130" s="183" t="str">
        <f>VLOOKUP(TablaPrincipal[[#This Row],[CODIGO]]&amp;TablaPrincipal[[#This Row],[AGUAJE ]],Tabla4[#All],15,0)</f>
        <v>PA PC 1 - 7</v>
      </c>
      <c r="M130" s="184">
        <f>VLOOKUP(TablaPrincipal[[#This Row],[CODIGO]]&amp;TablaPrincipal[[#This Row],[AGUAJE ]],Tabla4[#All],14,0)</f>
        <v>1.2</v>
      </c>
      <c r="N130" s="183">
        <v>11</v>
      </c>
      <c r="O130" s="170">
        <f>VLOOKUP(TablaPrincipal[[#This Row],[CODIGO]]&amp;TablaPrincipal[[#This Row],[AGUAJE ]],Tabla4[#All],5,0)</f>
        <v>795935</v>
      </c>
      <c r="P130" s="221">
        <f>IFERROR(TablaPrincipal[[#This Row],[ANIM SEMBRADOS]]/TablaPrincipal[[#This Row],[HAS]],"-")</f>
        <v>159187</v>
      </c>
      <c r="Q130" s="222">
        <f>IFERROR(TablaPrincipal[[#This Row],[DENSIDAD]]/10000,"-")</f>
        <v>15.918699999999999</v>
      </c>
      <c r="R130" s="183" t="str">
        <f>VLOOKUP(TablaPrincipal[[#This Row],[CODIGO]]&amp;TablaPrincipal[[#This Row],[AGUAJE ]],Tabla4[#All],8,0)</f>
        <v>EMPAGRAN</v>
      </c>
      <c r="S130" s="183" t="str">
        <f>VLOOKUP(TablaPrincipal[[#This Row],[CODIGO]]&amp;TablaPrincipal[[#This Row],[AGUAJE ]],Tabla4[#All],7,0)</f>
        <v>EMPAGRAN</v>
      </c>
      <c r="T130" s="183" t="str">
        <f>IF(ISNUMBER(FIND("/",TablaPrincipal[[#This Row],[LABORATORIO]])),"COMBINADO","UNICO")</f>
        <v>UNICO</v>
      </c>
      <c r="U1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9150</v>
      </c>
      <c r="V1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9109.130000000001</v>
      </c>
      <c r="W1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1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24.759999999999998</v>
      </c>
      <c r="Y130" s="185">
        <f>IFERROR(TablaPrincipal[[#This Row],[LIBRAS RALEO PLANTA]]/TablaPrincipal[[#This Row],[HAS]],"-")</f>
        <v>1821.8260000000002</v>
      </c>
      <c r="Z1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171354.24425165297</v>
      </c>
      <c r="AA13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1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15989.09</v>
      </c>
      <c r="AC130" s="186">
        <f>SUMIFS(COSECHAS!F:F,COSECHAS!A:A,'BASE 2026'!AW:AW,COSECHAS!G:G,"="&amp;A:A)</f>
        <v>42</v>
      </c>
      <c r="AD130" s="186">
        <f>SUMIFS(COSECHAS!M:M,COSECHAS!A:A,'BASE 2026'!AW:AW,COSECHAS!G:G,"="&amp;A:A)</f>
        <v>41.5</v>
      </c>
      <c r="AE130" s="185">
        <f>IFERROR(TablaPrincipal[[#This Row],[LIBRAS PLANTA]]/TablaPrincipal[[#This Row],[HAS]],"-")</f>
        <v>3197.8180000000002</v>
      </c>
      <c r="AF130" s="185">
        <f>IFERROR(TablaPrincipal[[#This Row],[LIBRAS PLANTA]]*454/TablaPrincipal[[#This Row],[GRAMOS PLANTA]],"-")</f>
        <v>174916.79180722893</v>
      </c>
      <c r="AG130" s="185">
        <f>TablaPrincipal[[#This Row],[LIBRAS RALEO PLANTA]]+TablaPrincipal[[#This Row],[LIBRAS PLANTA]]</f>
        <v>25098.22</v>
      </c>
      <c r="AH130" s="185">
        <f>IFERROR(TablaPrincipal[[#This Row],[CAM COSECHADOS RALEO]]+TablaPrincipal[[#This Row],[CAM COSECHADOS]],"-")</f>
        <v>346271.0360588819</v>
      </c>
      <c r="AI130" s="185">
        <f>IFERROR((TablaPrincipal[[#This Row],[LIBRAS RALEO PLANTA]]+TablaPrincipal[[#This Row],[LIBRAS PLANTA]])/TablaPrincipal[[#This Row],[HAS]],"0")</f>
        <v>5019.6440000000002</v>
      </c>
      <c r="AJ130" s="186">
        <f t="shared" si="1"/>
        <v>3.4176470588235297</v>
      </c>
      <c r="AK130" s="186">
        <f>IFERROR(TablaPrincipal[[#This Row],[LBS/HA]]/TablaPrincipal[[#This Row],[DIAS]],"-")</f>
        <v>59.054635294117652</v>
      </c>
      <c r="AL130" s="186">
        <f>IFERROR(TablaPrincipal[[#This Row],[CAM COSECHADOS TOTALES]]/TablaPrincipal[[#This Row],[ANIM SEMBRADOS]]*100,"-")</f>
        <v>43.50493897854497</v>
      </c>
      <c r="AM130" s="185">
        <v>38635.615000000005</v>
      </c>
      <c r="AN130" s="187">
        <f>IFERROR(((TablaPrincipal[[#This Row],[BALANCEADO ACUMULADO (LBS)]]/2.2046)/TablaPrincipal[[#This Row],[HAS]])/TablaPrincipal[[#This Row],[DIAS]],"-")</f>
        <v>41.235294117647058</v>
      </c>
      <c r="AO130" s="184">
        <f>IFERROR(TablaPrincipal[[#This Row],[BALANCEADO ACUMULADO (LBS)]]/TablaPrincipal[[#This Row],[LIBRAS TOTALES]],"-")</f>
        <v>1.5393766968334808</v>
      </c>
      <c r="AP130" s="184"/>
      <c r="AQ130" s="184" t="s">
        <v>105</v>
      </c>
      <c r="AR130" s="185">
        <f>TablaPrincipal[[#This Row],[LIBRAS RALEO PLANTA]]-TablaPrincipal[[#This Row],[LIBRAS RALEO CAMARONERA]]</f>
        <v>-40.869999999998981</v>
      </c>
      <c r="AS130" s="185">
        <f>TablaPrincipal[[#This Row],[LIBRAS PLANTA]]-TablaPrincipal[[#This Row],[LIBRAS CAMARONERA]]</f>
        <v>-510.90999999999985</v>
      </c>
      <c r="AT130" s="187">
        <f>TablaPrincipal[[#This Row],[GRAMAJE RALEO PLANTA]]-TablaPrincipal[[#This Row],[GRAMAJE RALEO CAMARONERA]]</f>
        <v>0.75999999999999801</v>
      </c>
      <c r="AU130" s="187">
        <f>TablaPrincipal[[#This Row],[GRAMOS PLANTA]]-TablaPrincipal[[#This Row],[GRAMAJE CAMARONERA]]</f>
        <v>-0.5</v>
      </c>
      <c r="AV130" s="183" t="str">
        <f>+VLOOKUP(TablaPrincipal[[#This Row],[CODIGO]],TablaCosechas[#All],10,0)</f>
        <v>GUSTAVO CARRASCO</v>
      </c>
      <c r="AW130" s="183" t="s">
        <v>226</v>
      </c>
      <c r="AX130" s="188" t="str">
        <f>+VLOOKUP(TablaPrincipal[[#This Row],[CODIGO]],TablaCosechas[#All],10,0)</f>
        <v>GUSTAVO CARRASCO</v>
      </c>
    </row>
    <row r="131" spans="1:50" hidden="1" x14ac:dyDescent="0.25">
      <c r="A131" s="196">
        <v>46067</v>
      </c>
      <c r="B131" s="183">
        <v>129</v>
      </c>
      <c r="C131" s="183">
        <f>YEAR(TablaPrincipal[[#This Row],[FECHA]])</f>
        <v>2026</v>
      </c>
      <c r="D131" s="183" t="s">
        <v>225</v>
      </c>
      <c r="E131" s="183" t="str">
        <f>UPPER(TEXT(TablaPrincipal[[#This Row],[FECHA]],"MMMM"))</f>
        <v>FEBRERO</v>
      </c>
      <c r="F131" s="183" t="str">
        <f>IFERROR(VLOOKUP(TablaPrincipal[[#This Row],[CODIGO]],COSECHAS!A:J,9,0),"-")</f>
        <v>03</v>
      </c>
      <c r="G131" s="183" t="str">
        <f>IFERROR(VLOOKUP(TablaPrincipal[[#This Row],[CODIGO]],COSECHAS!A:I,8,0),"-")</f>
        <v>MERO</v>
      </c>
      <c r="H131" s="184">
        <f>IFERROR(VLOOKUP(TablaPrincipal[[#This Row],[CODIGO]],DATOS!A:B,2,0),"-")</f>
        <v>2.5499999999999998</v>
      </c>
      <c r="I131" s="183" t="str">
        <f>IFERROR(VLOOKUP(TablaPrincipal[[#This Row],[CODIGO]],Tabla8[[#Headers],[#Data]],3,0),"-")</f>
        <v>CONVENCIONAL</v>
      </c>
      <c r="J131" s="183">
        <f>IFERROR(TablaPrincipal[[#This Row],[FECHA]]-TablaPrincipal[[#This Row],[FECHA DE SIEMBRA]],"-")</f>
        <v>56</v>
      </c>
      <c r="K131" s="196">
        <f>VLOOKUP(TablaPrincipal[[#This Row],[CODIGO]]&amp;TablaPrincipal[[#This Row],[AGUAJE ]],Tabla4[#All],4,0)</f>
        <v>46011</v>
      </c>
      <c r="L131" s="183" t="str">
        <f>VLOOKUP(TablaPrincipal[[#This Row],[CODIGO]]&amp;TablaPrincipal[[#This Row],[AGUAJE ]],Tabla4[#All],15,0)</f>
        <v>ME PC 3</v>
      </c>
      <c r="M131" s="184">
        <f>VLOOKUP(TablaPrincipal[[#This Row],[CODIGO]]&amp;TablaPrincipal[[#This Row],[AGUAJE ]],Tabla4[#All],14,0)</f>
        <v>0.5</v>
      </c>
      <c r="N131" s="183">
        <v>24</v>
      </c>
      <c r="O131" s="170">
        <f>VLOOKUP(TablaPrincipal[[#This Row],[CODIGO]]&amp;TablaPrincipal[[#This Row],[AGUAJE ]],Tabla4[#All],5,0)</f>
        <v>433500</v>
      </c>
      <c r="P131" s="221">
        <f>IFERROR(TablaPrincipal[[#This Row],[ANIM SEMBRADOS]]/TablaPrincipal[[#This Row],[HAS]],"-")</f>
        <v>170000</v>
      </c>
      <c r="Q131" s="222">
        <f>IFERROR(TablaPrincipal[[#This Row],[DENSIDAD]]/10000,"-")</f>
        <v>17</v>
      </c>
      <c r="R131" s="183" t="str">
        <f>VLOOKUP(TablaPrincipal[[#This Row],[CODIGO]]&amp;TablaPrincipal[[#This Row],[AGUAJE ]],Tabla4[#All],8,0)</f>
        <v>BIOLACAM</v>
      </c>
      <c r="S131" s="183" t="str">
        <f>VLOOKUP(TablaPrincipal[[#This Row],[CODIGO]]&amp;TablaPrincipal[[#This Row],[AGUAJE ]],Tabla4[#All],7,0)</f>
        <v>TEXCUMAR</v>
      </c>
      <c r="T131" s="183" t="str">
        <f>IF(ISNUMBER(FIND("/",TablaPrincipal[[#This Row],[LABORATORIO]])),"COMBINADO","UNICO")</f>
        <v>UNICO</v>
      </c>
      <c r="U1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1" s="185">
        <f>IFERROR(TablaPrincipal[[#This Row],[LIBRAS RALEO PLANTA]]/TablaPrincipal[[#This Row],[HAS]],"-")</f>
        <v>0</v>
      </c>
      <c r="Z1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10552.63</v>
      </c>
      <c r="AC131" s="186">
        <f>SUMIFS(COSECHAS!F:F,COSECHAS!A:A,'BASE 2026'!AW:AW,COSECHAS!G:G,"="&amp;A:A)</f>
        <v>18</v>
      </c>
      <c r="AD131" s="186">
        <f>SUMIFS(COSECHAS!M:M,COSECHAS!A:A,'BASE 2026'!AW:AW,COSECHAS!G:G,"="&amp;A:A)</f>
        <v>20.6</v>
      </c>
      <c r="AE131" s="185">
        <f>IFERROR(TablaPrincipal[[#This Row],[LIBRAS PLANTA]]/TablaPrincipal[[#This Row],[HAS]],"-")</f>
        <v>4138.2862745098037</v>
      </c>
      <c r="AF131" s="185">
        <f>IFERROR(TablaPrincipal[[#This Row],[LIBRAS PLANTA]]*454/TablaPrincipal[[#This Row],[GRAMOS PLANTA]],"-")</f>
        <v>232567.67087378638</v>
      </c>
      <c r="AG131" s="185">
        <f>TablaPrincipal[[#This Row],[LIBRAS RALEO PLANTA]]+TablaPrincipal[[#This Row],[LIBRAS PLANTA]]</f>
        <v>10552.63</v>
      </c>
      <c r="AH131" s="185">
        <f>IFERROR(TablaPrincipal[[#This Row],[CAM COSECHADOS RALEO]]+TablaPrincipal[[#This Row],[CAM COSECHADOS]],"-")</f>
        <v>232567.67087378638</v>
      </c>
      <c r="AI131" s="185">
        <f>IFERROR((TablaPrincipal[[#This Row],[LIBRAS RALEO PLANTA]]+TablaPrincipal[[#This Row],[LIBRAS PLANTA]])/TablaPrincipal[[#This Row],[HAS]],"0")</f>
        <v>4138.2862745098037</v>
      </c>
      <c r="AJ131" s="186">
        <f t="shared" ref="AJ131:AJ194" si="2">IFERROR(AD131/(J131/7),"-")</f>
        <v>2.5750000000000002</v>
      </c>
      <c r="AK131" s="186">
        <f>IFERROR(TablaPrincipal[[#This Row],[LBS/HA]]/TablaPrincipal[[#This Row],[DIAS]],"-")</f>
        <v>73.897969187675059</v>
      </c>
      <c r="AL131" s="186">
        <f>IFERROR(TablaPrincipal[[#This Row],[CAM COSECHADOS TOTALES]]/TablaPrincipal[[#This Row],[ANIM SEMBRADOS]]*100,"-")</f>
        <v>53.648828344587393</v>
      </c>
      <c r="AM131" s="185">
        <v>17499.012500000001</v>
      </c>
      <c r="AN131" s="187">
        <f>IFERROR(((TablaPrincipal[[#This Row],[BALANCEADO ACUMULADO (LBS)]]/2.2046)/TablaPrincipal[[#This Row],[HAS]])/TablaPrincipal[[#This Row],[DIAS]],"-")</f>
        <v>55.584733893557427</v>
      </c>
      <c r="AO131" s="184">
        <f>IFERROR(TablaPrincipal[[#This Row],[BALANCEADO ACUMULADO (LBS)]]/TablaPrincipal[[#This Row],[LIBRAS TOTALES]],"-")</f>
        <v>1.6582607842784218</v>
      </c>
      <c r="AP131" s="184"/>
      <c r="AQ131" s="184" t="s">
        <v>105</v>
      </c>
      <c r="AR131" s="185">
        <f>TablaPrincipal[[#This Row],[LIBRAS RALEO PLANTA]]-TablaPrincipal[[#This Row],[LIBRAS RALEO CAMARONERA]]</f>
        <v>0</v>
      </c>
      <c r="AS131" s="185">
        <f>TablaPrincipal[[#This Row],[LIBRAS PLANTA]]-TablaPrincipal[[#This Row],[LIBRAS CAMARONERA]]</f>
        <v>552.6299999999992</v>
      </c>
      <c r="AT131" s="187">
        <f>TablaPrincipal[[#This Row],[GRAMAJE RALEO PLANTA]]-TablaPrincipal[[#This Row],[GRAMAJE RALEO CAMARONERA]]</f>
        <v>0</v>
      </c>
      <c r="AU131" s="187">
        <f>TablaPrincipal[[#This Row],[GRAMOS PLANTA]]-TablaPrincipal[[#This Row],[GRAMAJE CAMARONERA]]</f>
        <v>2.6000000000000014</v>
      </c>
      <c r="AV131" s="183" t="str">
        <f>+VLOOKUP(TablaPrincipal[[#This Row],[CODIGO]],TablaCosechas[#All],10,0)</f>
        <v>NESTOR MOGOLLON</v>
      </c>
      <c r="AW131" s="183" t="s">
        <v>227</v>
      </c>
      <c r="AX131" s="188" t="str">
        <f>+VLOOKUP(TablaPrincipal[[#This Row],[CODIGO]],TablaCosechas[#All],10,0)</f>
        <v>NESTOR MOGOLLON</v>
      </c>
    </row>
    <row r="132" spans="1:50" hidden="1" x14ac:dyDescent="0.25">
      <c r="A132" s="196">
        <v>46067</v>
      </c>
      <c r="B132" s="183">
        <v>130</v>
      </c>
      <c r="C132" s="183">
        <f>YEAR(TablaPrincipal[[#This Row],[FECHA]])</f>
        <v>2026</v>
      </c>
      <c r="D132" s="183" t="s">
        <v>225</v>
      </c>
      <c r="E132" s="183" t="str">
        <f>UPPER(TEXT(TablaPrincipal[[#This Row],[FECHA]],"MMMM"))</f>
        <v>FEBRERO</v>
      </c>
      <c r="F132" s="183" t="str">
        <f>IFERROR(VLOOKUP(TablaPrincipal[[#This Row],[CODIGO]],COSECHAS!A:J,9,0),"-")</f>
        <v>14</v>
      </c>
      <c r="G132" s="183" t="str">
        <f>IFERROR(VLOOKUP(TablaPrincipal[[#This Row],[CODIGO]],COSECHAS!A:I,8,0),"-")</f>
        <v>MERO</v>
      </c>
      <c r="H132" s="184">
        <f>IFERROR(VLOOKUP(TablaPrincipal[[#This Row],[CODIGO]],DATOS!A:B,2,0),"-")</f>
        <v>1.4</v>
      </c>
      <c r="I132" s="183" t="str">
        <f>IFERROR(VLOOKUP(TablaPrincipal[[#This Row],[CODIGO]],Tabla8[[#Headers],[#Data]],3,0),"-")</f>
        <v>CONVENCIONAL</v>
      </c>
      <c r="J132" s="183">
        <f>IFERROR(TablaPrincipal[[#This Row],[FECHA]]-TablaPrincipal[[#This Row],[FECHA DE SIEMBRA]],"-")</f>
        <v>79</v>
      </c>
      <c r="K132" s="196">
        <f>VLOOKUP(TablaPrincipal[[#This Row],[CODIGO]]&amp;TablaPrincipal[[#This Row],[AGUAJE ]],Tabla4[#All],4,0)</f>
        <v>45988</v>
      </c>
      <c r="L132" s="183" t="str">
        <f>VLOOKUP(TablaPrincipal[[#This Row],[CODIGO]]&amp;TablaPrincipal[[#This Row],[AGUAJE ]],Tabla4[#All],15,0)</f>
        <v>ME PC 12</v>
      </c>
      <c r="M132" s="184">
        <f>VLOOKUP(TablaPrincipal[[#This Row],[CODIGO]]&amp;TablaPrincipal[[#This Row],[AGUAJE ]],Tabla4[#All],14,0)</f>
        <v>0.5</v>
      </c>
      <c r="N132" s="183">
        <v>6</v>
      </c>
      <c r="O132" s="170">
        <f>VLOOKUP(TablaPrincipal[[#This Row],[CODIGO]]&amp;TablaPrincipal[[#This Row],[AGUAJE ]],Tabla4[#All],5,0)</f>
        <v>224000</v>
      </c>
      <c r="P132" s="221">
        <f>IFERROR(TablaPrincipal[[#This Row],[ANIM SEMBRADOS]]/TablaPrincipal[[#This Row],[HAS]],"-")</f>
        <v>160000</v>
      </c>
      <c r="Q132" s="222">
        <f>IFERROR(TablaPrincipal[[#This Row],[DENSIDAD]]/10000,"-")</f>
        <v>16</v>
      </c>
      <c r="R132" s="183" t="str">
        <f>VLOOKUP(TablaPrincipal[[#This Row],[CODIGO]]&amp;TablaPrincipal[[#This Row],[AGUAJE ]],Tabla4[#All],8,0)</f>
        <v>GENESIS</v>
      </c>
      <c r="S132" s="183" t="str">
        <f>VLOOKUP(TablaPrincipal[[#This Row],[CODIGO]]&amp;TablaPrincipal[[#This Row],[AGUAJE ]],Tabla4[#All],7,0)</f>
        <v>TEXCUMAR</v>
      </c>
      <c r="T132" s="183" t="str">
        <f>IF(ISNUMBER(FIND("/",TablaPrincipal[[#This Row],[LABORATORIO]])),"COMBINADO","UNICO")</f>
        <v>UNICO</v>
      </c>
      <c r="U1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</v>
      </c>
      <c r="V1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817.05</v>
      </c>
      <c r="W1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23.38</v>
      </c>
      <c r="Y132" s="185">
        <f>IFERROR(TablaPrincipal[[#This Row],[LIBRAS RALEO PLANTA]]/TablaPrincipal[[#This Row],[HAS]],"-")</f>
        <v>583.60714285714289</v>
      </c>
      <c r="Z1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15865.727117194181</v>
      </c>
      <c r="AA13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1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7384.85</v>
      </c>
      <c r="AC132" s="186">
        <f>SUMIFS(COSECHAS!F:F,COSECHAS!A:A,'BASE 2026'!AW:AW,COSECHAS!G:G,"="&amp;A:A)</f>
        <v>39</v>
      </c>
      <c r="AD132" s="186">
        <f>SUMIFS(COSECHAS!M:M,COSECHAS!A:A,'BASE 2026'!AW:AW,COSECHAS!G:G,"="&amp;A:A)</f>
        <v>38.380000000000003</v>
      </c>
      <c r="AE132" s="185">
        <f>IFERROR(TablaPrincipal[[#This Row],[LIBRAS PLANTA]]/TablaPrincipal[[#This Row],[HAS]],"-")</f>
        <v>5274.8928571428578</v>
      </c>
      <c r="AF132" s="185">
        <f>IFERROR(TablaPrincipal[[#This Row],[LIBRAS PLANTA]]*454/TablaPrincipal[[#This Row],[GRAMOS PLANTA]],"-")</f>
        <v>87355.964043772809</v>
      </c>
      <c r="AG132" s="185">
        <f>TablaPrincipal[[#This Row],[LIBRAS RALEO PLANTA]]+TablaPrincipal[[#This Row],[LIBRAS PLANTA]]</f>
        <v>8201.9</v>
      </c>
      <c r="AH132" s="185">
        <f>IFERROR(TablaPrincipal[[#This Row],[CAM COSECHADOS RALEO]]+TablaPrincipal[[#This Row],[CAM COSECHADOS]],"-")</f>
        <v>103221.69116096699</v>
      </c>
      <c r="AI132" s="185">
        <f>IFERROR((TablaPrincipal[[#This Row],[LIBRAS RALEO PLANTA]]+TablaPrincipal[[#This Row],[LIBRAS PLANTA]])/TablaPrincipal[[#This Row],[HAS]],"0")</f>
        <v>5858.5</v>
      </c>
      <c r="AJ132" s="186">
        <f t="shared" si="2"/>
        <v>3.4007594936708863</v>
      </c>
      <c r="AK132" s="186">
        <f>IFERROR(TablaPrincipal[[#This Row],[LBS/HA]]/TablaPrincipal[[#This Row],[DIAS]],"-")</f>
        <v>74.158227848101262</v>
      </c>
      <c r="AL132" s="186">
        <f>IFERROR(TablaPrincipal[[#This Row],[CAM COSECHADOS TOTALES]]/TablaPrincipal[[#This Row],[ANIM SEMBRADOS]]*100,"-")</f>
        <v>46.081112125431694</v>
      </c>
      <c r="AM132" s="185">
        <v>13172.485000000001</v>
      </c>
      <c r="AN132" s="187">
        <f>IFERROR(((TablaPrincipal[[#This Row],[BALANCEADO ACUMULADO (LBS)]]/2.2046)/TablaPrincipal[[#This Row],[HAS]])/TablaPrincipal[[#This Row],[DIAS]],"-")</f>
        <v>54.023508137432188</v>
      </c>
      <c r="AO132" s="184">
        <f>IFERROR(TablaPrincipal[[#This Row],[BALANCEADO ACUMULADO (LBS)]]/TablaPrincipal[[#This Row],[LIBRAS TOTALES]],"-")</f>
        <v>1.6060284812055745</v>
      </c>
      <c r="AP132" s="184"/>
      <c r="AQ132" s="184" t="s">
        <v>105</v>
      </c>
      <c r="AR132" s="185">
        <f>TablaPrincipal[[#This Row],[LIBRAS RALEO PLANTA]]-TablaPrincipal[[#This Row],[LIBRAS RALEO CAMARONERA]]</f>
        <v>17.049999999999955</v>
      </c>
      <c r="AS132" s="185">
        <f>TablaPrincipal[[#This Row],[LIBRAS PLANTA]]-TablaPrincipal[[#This Row],[LIBRAS CAMARONERA]]</f>
        <v>-215.14999999999964</v>
      </c>
      <c r="AT132" s="187">
        <f>TablaPrincipal[[#This Row],[GRAMAJE RALEO PLANTA]]-TablaPrincipal[[#This Row],[GRAMAJE RALEO CAMARONERA]]</f>
        <v>3.379999999999999</v>
      </c>
      <c r="AU132" s="187">
        <f>TablaPrincipal[[#This Row],[GRAMOS PLANTA]]-TablaPrincipal[[#This Row],[GRAMAJE CAMARONERA]]</f>
        <v>-0.61999999999999744</v>
      </c>
      <c r="AV132" s="183" t="str">
        <f>+VLOOKUP(TablaPrincipal[[#This Row],[CODIGO]],TablaCosechas[#All],10,0)</f>
        <v>NESTOR MOGOLLON</v>
      </c>
      <c r="AW132" s="183" t="s">
        <v>228</v>
      </c>
      <c r="AX132" s="188" t="str">
        <f>+VLOOKUP(TablaPrincipal[[#This Row],[CODIGO]],TablaCosechas[#All],10,0)</f>
        <v>NESTOR MOGOLLON</v>
      </c>
    </row>
    <row r="133" spans="1:50" hidden="1" x14ac:dyDescent="0.25">
      <c r="A133" s="196">
        <v>46067</v>
      </c>
      <c r="B133" s="183">
        <v>131</v>
      </c>
      <c r="C133" s="183">
        <f>YEAR(TablaPrincipal[[#This Row],[FECHA]])</f>
        <v>2026</v>
      </c>
      <c r="D133" s="183" t="s">
        <v>225</v>
      </c>
      <c r="E133" s="183" t="str">
        <f>UPPER(TEXT(TablaPrincipal[[#This Row],[FECHA]],"MMMM"))</f>
        <v>FEBRERO</v>
      </c>
      <c r="F133" s="183" t="str">
        <f>IFERROR(VLOOKUP(TablaPrincipal[[#This Row],[CODIGO]],COSECHAS!A:J,9,0),"-")</f>
        <v>11</v>
      </c>
      <c r="G133" s="183" t="str">
        <f>IFERROR(VLOOKUP(TablaPrincipal[[#This Row],[CODIGO]],COSECHAS!A:I,8,0),"-")</f>
        <v>PARGO ROJO</v>
      </c>
      <c r="H133" s="184">
        <f>IFERROR(VLOOKUP(TablaPrincipal[[#This Row],[CODIGO]],DATOS!A:B,2,0),"-")</f>
        <v>8.4</v>
      </c>
      <c r="I133" s="183" t="str">
        <f>IFERROR(VLOOKUP(TablaPrincipal[[#This Row],[CODIGO]],Tabla8[[#Headers],[#Data]],3,0),"-")</f>
        <v>CONVENCIONAL</v>
      </c>
      <c r="J133" s="183">
        <f>IFERROR(TablaPrincipal[[#This Row],[FECHA]]-TablaPrincipal[[#This Row],[FECHA DE SIEMBRA]],"-")</f>
        <v>67</v>
      </c>
      <c r="K133" s="196">
        <f>VLOOKUP(TablaPrincipal[[#This Row],[CODIGO]]&amp;TablaPrincipal[[#This Row],[AGUAJE ]],Tabla4[#All],4,0)</f>
        <v>46000</v>
      </c>
      <c r="L133" s="183" t="str">
        <f>VLOOKUP(TablaPrincipal[[#This Row],[CODIGO]]&amp;TablaPrincipal[[#This Row],[AGUAJE ]],Tabla4[#All],15,0)</f>
        <v>PR PS 4</v>
      </c>
      <c r="M133" s="184">
        <f>VLOOKUP(TablaPrincipal[[#This Row],[CODIGO]]&amp;TablaPrincipal[[#This Row],[AGUAJE ]],Tabla4[#All],14,0)</f>
        <v>0.25</v>
      </c>
      <c r="N133" s="183">
        <v>20</v>
      </c>
      <c r="O133" s="170">
        <f>VLOOKUP(TablaPrincipal[[#This Row],[CODIGO]]&amp;TablaPrincipal[[#This Row],[AGUAJE ]],Tabla4[#All],5,0)</f>
        <v>1512000</v>
      </c>
      <c r="P133" s="221">
        <f>IFERROR(TablaPrincipal[[#This Row],[ANIM SEMBRADOS]]/TablaPrincipal[[#This Row],[HAS]],"-")</f>
        <v>180000</v>
      </c>
      <c r="Q133" s="222">
        <f>IFERROR(TablaPrincipal[[#This Row],[DENSIDAD]]/10000,"-")</f>
        <v>18</v>
      </c>
      <c r="R133" s="183" t="str">
        <f>VLOOKUP(TablaPrincipal[[#This Row],[CODIGO]]&amp;TablaPrincipal[[#This Row],[AGUAJE ]],Tabla4[#All],8,0)</f>
        <v>MAKROLAB</v>
      </c>
      <c r="S133" s="183" t="str">
        <f>VLOOKUP(TablaPrincipal[[#This Row],[CODIGO]]&amp;TablaPrincipal[[#This Row],[AGUAJE ]],Tabla4[#All],7,0)</f>
        <v>TEXCUMAR</v>
      </c>
      <c r="T133" s="183" t="str">
        <f>IF(ISNUMBER(FIND("/",TablaPrincipal[[#This Row],[LABORATORIO]])),"COMBINADO","UNICO")</f>
        <v>UNICO</v>
      </c>
      <c r="U1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33" s="185">
        <f>IFERROR(TablaPrincipal[[#This Row],[LIBRAS RALEO PLANTA]]/TablaPrincipal[[#This Row],[HAS]],"-")</f>
        <v>0</v>
      </c>
      <c r="Z1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3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1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21682.78</v>
      </c>
      <c r="AC133" s="186">
        <f>SUMIFS(COSECHAS!F:F,COSECHAS!A:A,'BASE 2026'!AW:AW,COSECHAS!G:G,"="&amp;A:A)</f>
        <v>20</v>
      </c>
      <c r="AD133" s="186">
        <f>SUMIFS(COSECHAS!M:M,COSECHAS!A:A,'BASE 2026'!AW:AW,COSECHAS!G:G,"="&amp;A:A)</f>
        <v>20.059999999999999</v>
      </c>
      <c r="AE133" s="185">
        <f>IFERROR(TablaPrincipal[[#This Row],[LIBRAS PLANTA]]/TablaPrincipal[[#This Row],[HAS]],"-")</f>
        <v>2581.2833333333333</v>
      </c>
      <c r="AF133" s="185">
        <f>IFERROR(TablaPrincipal[[#This Row],[LIBRAS PLANTA]]*454/TablaPrincipal[[#This Row],[GRAMOS PLANTA]],"-")</f>
        <v>490726.92522432702</v>
      </c>
      <c r="AG133" s="185">
        <f>TablaPrincipal[[#This Row],[LIBRAS RALEO PLANTA]]+TablaPrincipal[[#This Row],[LIBRAS PLANTA]]</f>
        <v>21682.78</v>
      </c>
      <c r="AH133" s="185">
        <f>IFERROR(TablaPrincipal[[#This Row],[CAM COSECHADOS RALEO]]+TablaPrincipal[[#This Row],[CAM COSECHADOS]],"-")</f>
        <v>490726.92522432702</v>
      </c>
      <c r="AI133" s="185">
        <f>IFERROR((TablaPrincipal[[#This Row],[LIBRAS RALEO PLANTA]]+TablaPrincipal[[#This Row],[LIBRAS PLANTA]])/TablaPrincipal[[#This Row],[HAS]],"0")</f>
        <v>2581.2833333333333</v>
      </c>
      <c r="AJ133" s="186">
        <f t="shared" si="2"/>
        <v>2.095820895522388</v>
      </c>
      <c r="AK133" s="186">
        <f>IFERROR(TablaPrincipal[[#This Row],[LBS/HA]]/TablaPrincipal[[#This Row],[DIAS]],"-")</f>
        <v>38.526616915422885</v>
      </c>
      <c r="AL133" s="186">
        <f>IFERROR(TablaPrincipal[[#This Row],[CAM COSECHADOS TOTALES]]/TablaPrincipal[[#This Row],[ANIM SEMBRADOS]]*100,"-")</f>
        <v>32.455484472508402</v>
      </c>
      <c r="AM133" s="185">
        <v>33840.61</v>
      </c>
      <c r="AN133" s="187">
        <f>IFERROR(((TablaPrincipal[[#This Row],[BALANCEADO ACUMULADO (LBS)]]/2.2046)/TablaPrincipal[[#This Row],[HAS]])/TablaPrincipal[[#This Row],[DIAS]],"-")</f>
        <v>27.274342572850035</v>
      </c>
      <c r="AO133" s="184">
        <f>IFERROR(TablaPrincipal[[#This Row],[BALANCEADO ACUMULADO (LBS)]]/TablaPrincipal[[#This Row],[LIBRAS TOTALES]],"-")</f>
        <v>1.5607136169808484</v>
      </c>
      <c r="AP133" s="184"/>
      <c r="AQ133" s="184" t="s">
        <v>105</v>
      </c>
      <c r="AR133" s="185">
        <f>TablaPrincipal[[#This Row],[LIBRAS RALEO PLANTA]]-TablaPrincipal[[#This Row],[LIBRAS RALEO CAMARONERA]]</f>
        <v>0</v>
      </c>
      <c r="AS133" s="185">
        <f>TablaPrincipal[[#This Row],[LIBRAS PLANTA]]-TablaPrincipal[[#This Row],[LIBRAS CAMARONERA]]</f>
        <v>2782.7799999999988</v>
      </c>
      <c r="AT133" s="187">
        <f>TablaPrincipal[[#This Row],[GRAMAJE RALEO PLANTA]]-TablaPrincipal[[#This Row],[GRAMAJE RALEO CAMARONERA]]</f>
        <v>0</v>
      </c>
      <c r="AU133" s="187">
        <f>TablaPrincipal[[#This Row],[GRAMOS PLANTA]]-TablaPrincipal[[#This Row],[GRAMAJE CAMARONERA]]</f>
        <v>5.9999999999998721E-2</v>
      </c>
      <c r="AV133" s="183" t="str">
        <f>+VLOOKUP(TablaPrincipal[[#This Row],[CODIGO]],TablaCosechas[#All],10,0)</f>
        <v>WILMER TORRES</v>
      </c>
      <c r="AW133" s="183" t="s">
        <v>229</v>
      </c>
      <c r="AX133" s="188" t="str">
        <f>+VLOOKUP(TablaPrincipal[[#This Row],[CODIGO]],TablaCosechas[#All],10,0)</f>
        <v>WILMER TORRES</v>
      </c>
    </row>
    <row r="134" spans="1:50" hidden="1" x14ac:dyDescent="0.25">
      <c r="A134" s="196">
        <v>46067</v>
      </c>
      <c r="B134" s="183">
        <v>132</v>
      </c>
      <c r="C134" s="183">
        <f>YEAR(TablaPrincipal[[#This Row],[FECHA]])</f>
        <v>2026</v>
      </c>
      <c r="D134" s="183" t="s">
        <v>225</v>
      </c>
      <c r="E134" s="183" t="str">
        <f>UPPER(TEXT(TablaPrincipal[[#This Row],[FECHA]],"MMMM"))</f>
        <v>FEBRERO</v>
      </c>
      <c r="F134" s="183" t="str">
        <f>IFERROR(VLOOKUP(TablaPrincipal[[#This Row],[CODIGO]],COSECHAS!A:J,9,0),"-")</f>
        <v>26</v>
      </c>
      <c r="G134" s="183" t="str">
        <f>IFERROR(VLOOKUP(TablaPrincipal[[#This Row],[CODIGO]],COSECHAS!A:I,8,0),"-")</f>
        <v>TAMBULERO</v>
      </c>
      <c r="H134" s="184">
        <f>IFERROR(VLOOKUP(TablaPrincipal[[#This Row],[CODIGO]],DATOS!A:B,2,0),"-")</f>
        <v>4</v>
      </c>
      <c r="I134" s="183" t="str">
        <f>IFERROR(VLOOKUP(TablaPrincipal[[#This Row],[CODIGO]],Tabla8[[#Headers],[#Data]],3,0),"-")</f>
        <v>ASC-BAP</v>
      </c>
      <c r="J134" s="183">
        <f>IFERROR(TablaPrincipal[[#This Row],[FECHA]]-TablaPrincipal[[#This Row],[FECHA DE SIEMBRA]],"-")</f>
        <v>78</v>
      </c>
      <c r="K134" s="196">
        <f>VLOOKUP(TablaPrincipal[[#This Row],[CODIGO]]&amp;TablaPrincipal[[#This Row],[AGUAJE ]],Tabla4[#All],4,0)</f>
        <v>45989</v>
      </c>
      <c r="L134" s="183" t="str">
        <f>VLOOKUP(TablaPrincipal[[#This Row],[CODIGO]]&amp;TablaPrincipal[[#This Row],[AGUAJE ]],Tabla4[#All],15,0)</f>
        <v>TA PC 5</v>
      </c>
      <c r="M134" s="184">
        <f>VLOOKUP(TablaPrincipal[[#This Row],[CODIGO]]&amp;TablaPrincipal[[#This Row],[AGUAJE ]],Tabla4[#All],14,0)</f>
        <v>0.45</v>
      </c>
      <c r="N134" s="183">
        <v>7</v>
      </c>
      <c r="O134" s="170">
        <f>VLOOKUP(TablaPrincipal[[#This Row],[CODIGO]]&amp;TablaPrincipal[[#This Row],[AGUAJE ]],Tabla4[#All],5,0)</f>
        <v>660000</v>
      </c>
      <c r="P134" s="221">
        <f>IFERROR(TablaPrincipal[[#This Row],[ANIM SEMBRADOS]]/TablaPrincipal[[#This Row],[HAS]],"-")</f>
        <v>165000</v>
      </c>
      <c r="Q134" s="222">
        <f>IFERROR(TablaPrincipal[[#This Row],[DENSIDAD]]/10000,"-")</f>
        <v>16.5</v>
      </c>
      <c r="R134" s="183" t="str">
        <f>VLOOKUP(TablaPrincipal[[#This Row],[CODIGO]]&amp;TablaPrincipal[[#This Row],[AGUAJE ]],Tabla4[#All],8,0)</f>
        <v>AMBARTEK</v>
      </c>
      <c r="S134" s="183" t="str">
        <f>VLOOKUP(TablaPrincipal[[#This Row],[CODIGO]]&amp;TablaPrincipal[[#This Row],[AGUAJE ]],Tabla4[#All],7,0)</f>
        <v>TEXCUMAR</v>
      </c>
      <c r="T134" s="183" t="str">
        <f>IF(ISNUMBER(FIND("/",TablaPrincipal[[#This Row],[LABORATORIO]])),"COMBINADO","UNICO")</f>
        <v>UNICO</v>
      </c>
      <c r="U1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7800</v>
      </c>
      <c r="V1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9009.84</v>
      </c>
      <c r="W1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134" s="185">
        <f>IFERROR(TablaPrincipal[[#This Row],[LIBRAS RALEO PLANTA]]/TablaPrincipal[[#This Row],[HAS]],"-")</f>
        <v>2252.46</v>
      </c>
      <c r="Z1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167230.88143908422</v>
      </c>
      <c r="AA13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1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24590.69</v>
      </c>
      <c r="AC134" s="186">
        <f>SUMIFS(COSECHAS!F:F,COSECHAS!A:A,'BASE 2026'!AW:AW,COSECHAS!G:G,"="&amp;A:A)</f>
        <v>36</v>
      </c>
      <c r="AD134" s="186">
        <f>SUMIFS(COSECHAS!M:M,COSECHAS!A:A,'BASE 2026'!AW:AW,COSECHAS!G:G,"="&amp;A:A)</f>
        <v>36.79</v>
      </c>
      <c r="AE134" s="185">
        <f>IFERROR(TablaPrincipal[[#This Row],[LIBRAS PLANTA]]/TablaPrincipal[[#This Row],[HAS]],"-")</f>
        <v>6147.6724999999997</v>
      </c>
      <c r="AF134" s="185">
        <f>IFERROR(TablaPrincipal[[#This Row],[LIBRAS PLANTA]]*454/TablaPrincipal[[#This Row],[GRAMOS PLANTA]],"-")</f>
        <v>303456.73443870619</v>
      </c>
      <c r="AG134" s="185">
        <f>TablaPrincipal[[#This Row],[LIBRAS RALEO PLANTA]]+TablaPrincipal[[#This Row],[LIBRAS PLANTA]]</f>
        <v>33600.53</v>
      </c>
      <c r="AH134" s="185">
        <f>IFERROR(TablaPrincipal[[#This Row],[CAM COSECHADOS RALEO]]+TablaPrincipal[[#This Row],[CAM COSECHADOS]],"-")</f>
        <v>470687.61587779038</v>
      </c>
      <c r="AI134" s="185">
        <f>IFERROR((TablaPrincipal[[#This Row],[LIBRAS RALEO PLANTA]]+TablaPrincipal[[#This Row],[LIBRAS PLANTA]])/TablaPrincipal[[#This Row],[HAS]],"0")</f>
        <v>8400.1324999999997</v>
      </c>
      <c r="AJ134" s="186">
        <f t="shared" si="2"/>
        <v>3.3016666666666667</v>
      </c>
      <c r="AK134" s="186">
        <f>IFERROR(TablaPrincipal[[#This Row],[LBS/HA]]/TablaPrincipal[[#This Row],[DIAS]],"-")</f>
        <v>107.69400641025641</v>
      </c>
      <c r="AL134" s="186">
        <f>IFERROR(TablaPrincipal[[#This Row],[CAM COSECHADOS TOTALES]]/TablaPrincipal[[#This Row],[ANIM SEMBRADOS]]*100,"-")</f>
        <v>71.316305436028841</v>
      </c>
      <c r="AM134" s="185">
        <v>45304.53</v>
      </c>
      <c r="AN134" s="187">
        <f>IFERROR(((TablaPrincipal[[#This Row],[BALANCEADO ACUMULADO (LBS)]]/2.2046)/TablaPrincipal[[#This Row],[HAS]])/TablaPrincipal[[#This Row],[DIAS]],"-")</f>
        <v>65.865384615384613</v>
      </c>
      <c r="AO134" s="184">
        <f>IFERROR(TablaPrincipal[[#This Row],[BALANCEADO ACUMULADO (LBS)]]/TablaPrincipal[[#This Row],[LIBRAS TOTALES]],"-")</f>
        <v>1.3483278388763511</v>
      </c>
      <c r="AP134" s="184"/>
      <c r="AQ134" s="184" t="s">
        <v>105</v>
      </c>
      <c r="AR134" s="185">
        <f>TablaPrincipal[[#This Row],[LIBRAS RALEO PLANTA]]-TablaPrincipal[[#This Row],[LIBRAS RALEO CAMARONERA]]</f>
        <v>1209.8400000000001</v>
      </c>
      <c r="AS134" s="185">
        <f>TablaPrincipal[[#This Row],[LIBRAS PLANTA]]-TablaPrincipal[[#This Row],[LIBRAS CAMARONERA]]</f>
        <v>2090.6899999999987</v>
      </c>
      <c r="AT134" s="187">
        <f>TablaPrincipal[[#This Row],[GRAMAJE RALEO PLANTA]]-TablaPrincipal[[#This Row],[GRAMAJE RALEO CAMARONERA]]</f>
        <v>2.9600000000000009</v>
      </c>
      <c r="AU134" s="187">
        <f>TablaPrincipal[[#This Row],[GRAMOS PLANTA]]-TablaPrincipal[[#This Row],[GRAMAJE CAMARONERA]]</f>
        <v>0.78999999999999915</v>
      </c>
      <c r="AV134" s="183" t="str">
        <f>+VLOOKUP(TablaPrincipal[[#This Row],[CODIGO]],TablaCosechas[#All],10,0)</f>
        <v>ALFONSO GRUNAUER</v>
      </c>
      <c r="AW134" s="183" t="s">
        <v>230</v>
      </c>
      <c r="AX134" s="188" t="str">
        <f>+VLOOKUP(TablaPrincipal[[#This Row],[CODIGO]],TablaCosechas[#All],10,0)</f>
        <v>ALFONSO GRUNAUER</v>
      </c>
    </row>
    <row r="135" spans="1:50" hidden="1" x14ac:dyDescent="0.25">
      <c r="A135" s="196">
        <v>46067</v>
      </c>
      <c r="B135" s="183">
        <v>133</v>
      </c>
      <c r="C135" s="183">
        <f>YEAR(TablaPrincipal[[#This Row],[FECHA]])</f>
        <v>2026</v>
      </c>
      <c r="D135" s="183" t="s">
        <v>225</v>
      </c>
      <c r="E135" s="183" t="str">
        <f>UPPER(TEXT(TablaPrincipal[[#This Row],[FECHA]],"MMMM"))</f>
        <v>FEBRERO</v>
      </c>
      <c r="F135" s="183" t="str">
        <f>IFERROR(VLOOKUP(TablaPrincipal[[#This Row],[CODIGO]],COSECHAS!A:J,9,0),"-")</f>
        <v>16</v>
      </c>
      <c r="G135" s="183" t="str">
        <f>IFERROR(VLOOKUP(TablaPrincipal[[#This Row],[CODIGO]],COSECHAS!A:I,8,0),"-")</f>
        <v>GUATO</v>
      </c>
      <c r="H135" s="184">
        <f>IFERROR(VLOOKUP(TablaPrincipal[[#This Row],[CODIGO]],DATOS!A:B,2,0),"-")</f>
        <v>2.4</v>
      </c>
      <c r="I135" s="183" t="str">
        <f>IFERROR(VLOOKUP(TablaPrincipal[[#This Row],[CODIGO]],Tabla8[[#Headers],[#Data]],3,0),"-")</f>
        <v>CONVENCIONAL</v>
      </c>
      <c r="J135" s="183">
        <f>IFERROR(TablaPrincipal[[#This Row],[FECHA]]-TablaPrincipal[[#This Row],[FECHA DE SIEMBRA]],"-")</f>
        <v>80</v>
      </c>
      <c r="K135" s="196">
        <f>VLOOKUP(TablaPrincipal[[#This Row],[CODIGO]]&amp;TablaPrincipal[[#This Row],[AGUAJE ]],Tabla4[#All],4,0)</f>
        <v>45987</v>
      </c>
      <c r="L135" s="183" t="str">
        <f>VLOOKUP(TablaPrincipal[[#This Row],[CODIGO]]&amp;TablaPrincipal[[#This Row],[AGUAJE ]],Tabla4[#All],15,0)</f>
        <v>GT 7</v>
      </c>
      <c r="M135" s="184">
        <f>VLOOKUP(TablaPrincipal[[#This Row],[CODIGO]]&amp;TablaPrincipal[[#This Row],[AGUAJE ]],Tabla4[#All],14,0)</f>
        <v>0.68</v>
      </c>
      <c r="N135" s="183">
        <v>4</v>
      </c>
      <c r="O135" s="170">
        <f>VLOOKUP(TablaPrincipal[[#This Row],[CODIGO]]&amp;TablaPrincipal[[#This Row],[AGUAJE ]],Tabla4[#All],5,0)</f>
        <v>384000</v>
      </c>
      <c r="P135" s="221">
        <f>IFERROR(TablaPrincipal[[#This Row],[ANIM SEMBRADOS]]/TablaPrincipal[[#This Row],[HAS]],"-")</f>
        <v>160000</v>
      </c>
      <c r="Q135" s="222">
        <f>IFERROR(TablaPrincipal[[#This Row],[DENSIDAD]]/10000,"-")</f>
        <v>16</v>
      </c>
      <c r="R135" s="183" t="str">
        <f>VLOOKUP(TablaPrincipal[[#This Row],[CODIGO]]&amp;TablaPrincipal[[#This Row],[AGUAJE ]],Tabla4[#All],8,0)</f>
        <v>GABSO</v>
      </c>
      <c r="S135" s="183" t="str">
        <f>VLOOKUP(TablaPrincipal[[#This Row],[CODIGO]]&amp;TablaPrincipal[[#This Row],[AGUAJE ]],Tabla4[#All],7,0)</f>
        <v>TEXCUMAR</v>
      </c>
      <c r="T135" s="183" t="str">
        <f>IF(ISNUMBER(FIND("/",TablaPrincipal[[#This Row],[LABORATORIO]])),"COMBINADO","UNICO")</f>
        <v>UNICO</v>
      </c>
      <c r="U1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4000</v>
      </c>
      <c r="V1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4195.7700000000004</v>
      </c>
      <c r="W1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</v>
      </c>
      <c r="Y135" s="185">
        <f>IFERROR(TablaPrincipal[[#This Row],[LIBRAS RALEO PLANTA]]/TablaPrincipal[[#This Row],[HAS]],"-")</f>
        <v>1748.2375000000002</v>
      </c>
      <c r="Z1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80036.957142857151</v>
      </c>
      <c r="AA13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</v>
      </c>
      <c r="AB1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9809.7999999999993</v>
      </c>
      <c r="AC135" s="186">
        <f>SUMIFS(COSECHAS!F:F,COSECHAS!A:A,'BASE 2026'!AW:AW,COSECHAS!G:G,"="&amp;A:A)</f>
        <v>26</v>
      </c>
      <c r="AD135" s="186">
        <f>SUMIFS(COSECHAS!M:M,COSECHAS!A:A,'BASE 2026'!AW:AW,COSECHAS!G:G,"="&amp;A:A)</f>
        <v>27.44</v>
      </c>
      <c r="AE135" s="185">
        <f>IFERROR(TablaPrincipal[[#This Row],[LIBRAS PLANTA]]/TablaPrincipal[[#This Row],[HAS]],"-")</f>
        <v>4087.4166666666665</v>
      </c>
      <c r="AF135" s="185">
        <f>IFERROR(TablaPrincipal[[#This Row],[LIBRAS PLANTA]]*454/TablaPrincipal[[#This Row],[GRAMOS PLANTA]],"-")</f>
        <v>162304.99999999997</v>
      </c>
      <c r="AG135" s="185">
        <f>TablaPrincipal[[#This Row],[LIBRAS RALEO PLANTA]]+TablaPrincipal[[#This Row],[LIBRAS PLANTA]]</f>
        <v>14005.57</v>
      </c>
      <c r="AH135" s="185">
        <f>IFERROR(TablaPrincipal[[#This Row],[CAM COSECHADOS RALEO]]+TablaPrincipal[[#This Row],[CAM COSECHADOS]],"-")</f>
        <v>242341.95714285714</v>
      </c>
      <c r="AI135" s="185">
        <f>IFERROR((TablaPrincipal[[#This Row],[LIBRAS RALEO PLANTA]]+TablaPrincipal[[#This Row],[LIBRAS PLANTA]])/TablaPrincipal[[#This Row],[HAS]],"0")</f>
        <v>5835.6541666666672</v>
      </c>
      <c r="AJ135" s="186">
        <f t="shared" si="2"/>
        <v>2.4010000000000002</v>
      </c>
      <c r="AK135" s="186">
        <f>IFERROR(TablaPrincipal[[#This Row],[LBS/HA]]/TablaPrincipal[[#This Row],[DIAS]],"-")</f>
        <v>72.945677083333337</v>
      </c>
      <c r="AL135" s="186">
        <f>IFERROR(TablaPrincipal[[#This Row],[CAM COSECHADOS TOTALES]]/TablaPrincipal[[#This Row],[ANIM SEMBRADOS]]*100,"-")</f>
        <v>63.109884672619046</v>
      </c>
      <c r="AM135" s="185">
        <v>22547.766960000001</v>
      </c>
      <c r="AN135" s="187">
        <f>IFERROR(((TablaPrincipal[[#This Row],[BALANCEADO ACUMULADO (LBS)]]/2.2046)/TablaPrincipal[[#This Row],[HAS]])/TablaPrincipal[[#This Row],[DIAS]],"-")</f>
        <v>53.268749999999997</v>
      </c>
      <c r="AO135" s="184">
        <f>IFERROR(TablaPrincipal[[#This Row],[BALANCEADO ACUMULADO (LBS)]]/TablaPrincipal[[#This Row],[LIBRAS TOTALES]],"-")</f>
        <v>1.6099142669666426</v>
      </c>
      <c r="AP135" s="184"/>
      <c r="AQ135" s="184" t="s">
        <v>105</v>
      </c>
      <c r="AR135" s="185">
        <f>TablaPrincipal[[#This Row],[LIBRAS RALEO PLANTA]]-TablaPrincipal[[#This Row],[LIBRAS RALEO CAMARONERA]]</f>
        <v>195.77000000000044</v>
      </c>
      <c r="AS135" s="185">
        <f>TablaPrincipal[[#This Row],[LIBRAS PLANTA]]-TablaPrincipal[[#This Row],[LIBRAS CAMARONERA]]</f>
        <v>409.79999999999927</v>
      </c>
      <c r="AT135" s="187">
        <f>TablaPrincipal[[#This Row],[GRAMAJE RALEO PLANTA]]-TablaPrincipal[[#This Row],[GRAMAJE RALEO CAMARONERA]]</f>
        <v>-1.1999999999999993</v>
      </c>
      <c r="AU135" s="187">
        <f>TablaPrincipal[[#This Row],[GRAMOS PLANTA]]-TablaPrincipal[[#This Row],[GRAMAJE CAMARONERA]]</f>
        <v>1.4400000000000013</v>
      </c>
      <c r="AV135" s="183" t="str">
        <f>+VLOOKUP(TablaPrincipal[[#This Row],[CODIGO]],TablaCosechas[#All],10,0)</f>
        <v>JULIO SANTOS</v>
      </c>
      <c r="AW135" s="183" t="s">
        <v>231</v>
      </c>
      <c r="AX135" s="188" t="str">
        <f>+VLOOKUP(TablaPrincipal[[#This Row],[CODIGO]],TablaCosechas[#All],10,0)</f>
        <v>JULIO SANTOS</v>
      </c>
    </row>
    <row r="136" spans="1:50" hidden="1" x14ac:dyDescent="0.25">
      <c r="A136" s="196">
        <v>46067</v>
      </c>
      <c r="B136" s="183">
        <v>134</v>
      </c>
      <c r="C136" s="183">
        <f>YEAR(TablaPrincipal[[#This Row],[FECHA]])</f>
        <v>2026</v>
      </c>
      <c r="D136" s="183" t="s">
        <v>225</v>
      </c>
      <c r="E136" s="183" t="str">
        <f>UPPER(TEXT(TablaPrincipal[[#This Row],[FECHA]],"MMMM"))</f>
        <v>FEBRERO</v>
      </c>
      <c r="F136" s="183" t="str">
        <f>IFERROR(VLOOKUP(TablaPrincipal[[#This Row],[CODIGO]],COSECHAS!A:J,9,0),"-")</f>
        <v>09</v>
      </c>
      <c r="G136" s="183" t="str">
        <f>IFERROR(VLOOKUP(TablaPrincipal[[#This Row],[CODIGO]],COSECHAS!A:I,8,0),"-")</f>
        <v>TIBURON</v>
      </c>
      <c r="H136" s="184">
        <f>IFERROR(VLOOKUP(TablaPrincipal[[#This Row],[CODIGO]],DATOS!A:B,2,0),"-")</f>
        <v>6.7</v>
      </c>
      <c r="I136" s="183" t="str">
        <f>IFERROR(VLOOKUP(TablaPrincipal[[#This Row],[CODIGO]],Tabla8[[#Headers],[#Data]],3,0),"-")</f>
        <v>ASC-BAP</v>
      </c>
      <c r="J136" s="183">
        <f>IFERROR(TablaPrincipal[[#This Row],[FECHA]]-TablaPrincipal[[#This Row],[FECHA DE SIEMBRA]],"-")</f>
        <v>86</v>
      </c>
      <c r="K136" s="196">
        <f>VLOOKUP(TablaPrincipal[[#This Row],[CODIGO]]&amp;TablaPrincipal[[#This Row],[AGUAJE ]],Tabla4[#All],4,0)</f>
        <v>45981</v>
      </c>
      <c r="L136" s="183" t="str">
        <f>VLOOKUP(TablaPrincipal[[#This Row],[CODIGO]]&amp;TablaPrincipal[[#This Row],[AGUAJE ]],Tabla4[#All],15,0)</f>
        <v>TI PC 31 - 32</v>
      </c>
      <c r="M136" s="184">
        <f>VLOOKUP(TablaPrincipal[[#This Row],[CODIGO]]&amp;TablaPrincipal[[#This Row],[AGUAJE ]],Tabla4[#All],14,0)</f>
        <v>0.45</v>
      </c>
      <c r="N136" s="183">
        <v>7</v>
      </c>
      <c r="O136" s="170">
        <f>VLOOKUP(TablaPrincipal[[#This Row],[CODIGO]]&amp;TablaPrincipal[[#This Row],[AGUAJE ]],Tabla4[#All],5,0)</f>
        <v>1206000</v>
      </c>
      <c r="P136" s="221">
        <f>IFERROR(TablaPrincipal[[#This Row],[ANIM SEMBRADOS]]/TablaPrincipal[[#This Row],[HAS]],"-")</f>
        <v>180000</v>
      </c>
      <c r="Q136" s="222">
        <f>IFERROR(TablaPrincipal[[#This Row],[DENSIDAD]]/10000,"-")</f>
        <v>18</v>
      </c>
      <c r="R136" s="183" t="str">
        <f>VLOOKUP(TablaPrincipal[[#This Row],[CODIGO]]&amp;TablaPrincipal[[#This Row],[AGUAJE ]],Tabla4[#All],8,0)</f>
        <v>MEGALATINA</v>
      </c>
      <c r="S136" s="183" t="str">
        <f>VLOOKUP(TablaPrincipal[[#This Row],[CODIGO]]&amp;TablaPrincipal[[#This Row],[AGUAJE ]],Tabla4[#All],7,0)</f>
        <v>TEXCUMAR</v>
      </c>
      <c r="T136" s="183" t="str">
        <f>IF(ISNUMBER(FIND("/",TablaPrincipal[[#This Row],[LABORATORIO]])),"COMBINADO","UNICO")</f>
        <v>UNICO</v>
      </c>
      <c r="U1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19000</v>
      </c>
      <c r="V1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18788.45</v>
      </c>
      <c r="W1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136" s="185">
        <f>IFERROR(TablaPrincipal[[#This Row],[LIBRAS RALEO PLANTA]]/TablaPrincipal[[#This Row],[HAS]],"-")</f>
        <v>2804.2462686567164</v>
      </c>
      <c r="Z1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400141.77763900138</v>
      </c>
      <c r="AA13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44500</v>
      </c>
      <c r="AB1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46772.44</v>
      </c>
      <c r="AC136" s="186">
        <f>SUMIFS(COSECHAS!F:F,COSECHAS!A:A,'BASE 2026'!AW:AW,COSECHAS!G:G,"="&amp;A:A)</f>
        <v>35.5</v>
      </c>
      <c r="AD136" s="186">
        <f>SUMIFS(COSECHAS!M:M,COSECHAS!A:A,'BASE 2026'!AW:AW,COSECHAS!G:G,"="&amp;A:A)</f>
        <v>34.42</v>
      </c>
      <c r="AE136" s="185">
        <f>IFERROR(TablaPrincipal[[#This Row],[LIBRAS PLANTA]]/TablaPrincipal[[#This Row],[HAS]],"-")</f>
        <v>6980.961194029851</v>
      </c>
      <c r="AF136" s="185">
        <f>IFERROR(TablaPrincipal[[#This Row],[LIBRAS PLANTA]]*454/TablaPrincipal[[#This Row],[GRAMOS PLANTA]],"-")</f>
        <v>616928.75537478214</v>
      </c>
      <c r="AG136" s="185">
        <f>TablaPrincipal[[#This Row],[LIBRAS RALEO PLANTA]]+TablaPrincipal[[#This Row],[LIBRAS PLANTA]]</f>
        <v>65560.89</v>
      </c>
      <c r="AH136" s="185">
        <f>IFERROR(TablaPrincipal[[#This Row],[CAM COSECHADOS RALEO]]+TablaPrincipal[[#This Row],[CAM COSECHADOS]],"-")</f>
        <v>1017070.5330137835</v>
      </c>
      <c r="AI136" s="185">
        <f>IFERROR((TablaPrincipal[[#This Row],[LIBRAS RALEO PLANTA]]+TablaPrincipal[[#This Row],[LIBRAS PLANTA]])/TablaPrincipal[[#This Row],[HAS]],"0")</f>
        <v>9785.2074626865669</v>
      </c>
      <c r="AJ136" s="186">
        <f t="shared" si="2"/>
        <v>2.8016279069767442</v>
      </c>
      <c r="AK136" s="186">
        <f>IFERROR(TablaPrincipal[[#This Row],[LBS/HA]]/TablaPrincipal[[#This Row],[DIAS]],"-")</f>
        <v>113.78148212426241</v>
      </c>
      <c r="AL136" s="186">
        <f>IFERROR(TablaPrincipal[[#This Row],[CAM COSECHADOS TOTALES]]/TablaPrincipal[[#This Row],[ANIM SEMBRADOS]]*100,"-")</f>
        <v>84.334206717560818</v>
      </c>
      <c r="AM136" s="185">
        <v>87743.08</v>
      </c>
      <c r="AN136" s="187">
        <f>IFERROR(((TablaPrincipal[[#This Row],[BALANCEADO ACUMULADO (LBS)]]/2.2046)/TablaPrincipal[[#This Row],[HAS]])/TablaPrincipal[[#This Row],[DIAS]],"-")</f>
        <v>69.073238458868445</v>
      </c>
      <c r="AO136" s="184">
        <f>IFERROR(TablaPrincipal[[#This Row],[BALANCEADO ACUMULADO (LBS)]]/TablaPrincipal[[#This Row],[LIBRAS TOTALES]],"-")</f>
        <v>1.3383448577345427</v>
      </c>
      <c r="AP136" s="184"/>
      <c r="AQ136" s="184" t="s">
        <v>105</v>
      </c>
      <c r="AR136" s="185">
        <f>TablaPrincipal[[#This Row],[LIBRAS RALEO PLANTA]]-TablaPrincipal[[#This Row],[LIBRAS RALEO CAMARONERA]]</f>
        <v>-211.54999999999927</v>
      </c>
      <c r="AS136" s="185">
        <f>TablaPrincipal[[#This Row],[LIBRAS PLANTA]]-TablaPrincipal[[#This Row],[LIBRAS CAMARONERA]]</f>
        <v>2272.4400000000023</v>
      </c>
      <c r="AT136" s="187">
        <f>TablaPrincipal[[#This Row],[GRAMAJE RALEO PLANTA]]-TablaPrincipal[[#This Row],[GRAMAJE RALEO CAMARONERA]]</f>
        <v>0.21000000000000085</v>
      </c>
      <c r="AU136" s="187">
        <f>TablaPrincipal[[#This Row],[GRAMOS PLANTA]]-TablaPrincipal[[#This Row],[GRAMAJE CAMARONERA]]</f>
        <v>-1.0799999999999983</v>
      </c>
      <c r="AV136" s="183" t="str">
        <f>+VLOOKUP(TablaPrincipal[[#This Row],[CODIGO]],TablaCosechas[#All],10,0)</f>
        <v>ALFONSO GRUNAUER</v>
      </c>
      <c r="AW136" s="183" t="s">
        <v>232</v>
      </c>
      <c r="AX136" s="188" t="str">
        <f>+VLOOKUP(TablaPrincipal[[#This Row],[CODIGO]],TablaCosechas[#All],10,0)</f>
        <v>ALFONSO GRUNAUER</v>
      </c>
    </row>
    <row r="137" spans="1:50" hidden="1" x14ac:dyDescent="0.25">
      <c r="A137" s="196">
        <v>46068</v>
      </c>
      <c r="B137" s="183">
        <v>135</v>
      </c>
      <c r="C137" s="183">
        <f>YEAR(TablaPrincipal[[#This Row],[FECHA]])</f>
        <v>2026</v>
      </c>
      <c r="D137" s="183" t="s">
        <v>225</v>
      </c>
      <c r="E137" s="183" t="str">
        <f>UPPER(TEXT(TablaPrincipal[[#This Row],[FECHA]],"MMMM"))</f>
        <v>FEBRERO</v>
      </c>
      <c r="F137" s="183" t="str">
        <f>IFERROR(VLOOKUP(TablaPrincipal[[#This Row],[CODIGO]],COSECHAS!A:J,9,0),"-")</f>
        <v>14</v>
      </c>
      <c r="G137" s="183" t="str">
        <f>IFERROR(VLOOKUP(TablaPrincipal[[#This Row],[CODIGO]],COSECHAS!A:I,8,0),"-")</f>
        <v>GUATO</v>
      </c>
      <c r="H137" s="184">
        <f>IFERROR(VLOOKUP(TablaPrincipal[[#This Row],[CODIGO]],DATOS!A:B,2,0),"-")</f>
        <v>5.26</v>
      </c>
      <c r="I137" s="183" t="str">
        <f>IFERROR(VLOOKUP(TablaPrincipal[[#This Row],[CODIGO]],Tabla8[[#Headers],[#Data]],3,0),"-")</f>
        <v>CONVENCIONAL</v>
      </c>
      <c r="J137" s="183">
        <f>IFERROR(TablaPrincipal[[#This Row],[FECHA]]-TablaPrincipal[[#This Row],[FECHA DE SIEMBRA]],"-")</f>
        <v>81</v>
      </c>
      <c r="K137" s="196">
        <f>VLOOKUP(TablaPrincipal[[#This Row],[CODIGO]]&amp;TablaPrincipal[[#This Row],[AGUAJE ]],Tabla4[#All],4,0)</f>
        <v>45987</v>
      </c>
      <c r="L137" s="183" t="str">
        <f>VLOOKUP(TablaPrincipal[[#This Row],[CODIGO]]&amp;TablaPrincipal[[#This Row],[AGUAJE ]],Tabla4[#All],15,0)</f>
        <v>GT 6</v>
      </c>
      <c r="M137" s="184">
        <f>VLOOKUP(TablaPrincipal[[#This Row],[CODIGO]]&amp;TablaPrincipal[[#This Row],[AGUAJE ]],Tabla4[#All],14,0)</f>
        <v>0.8</v>
      </c>
      <c r="N137" s="183">
        <v>9</v>
      </c>
      <c r="O137" s="170">
        <f>VLOOKUP(TablaPrincipal[[#This Row],[CODIGO]]&amp;TablaPrincipal[[#This Row],[AGUAJE ]],Tabla4[#All],5,0)</f>
        <v>736400</v>
      </c>
      <c r="P137" s="221">
        <f>IFERROR(TablaPrincipal[[#This Row],[ANIM SEMBRADOS]]/TablaPrincipal[[#This Row],[HAS]],"-")</f>
        <v>140000</v>
      </c>
      <c r="Q137" s="222">
        <f>IFERROR(TablaPrincipal[[#This Row],[DENSIDAD]]/10000,"-")</f>
        <v>14</v>
      </c>
      <c r="R137" s="183" t="str">
        <f>VLOOKUP(TablaPrincipal[[#This Row],[CODIGO]]&amp;TablaPrincipal[[#This Row],[AGUAJE ]],Tabla4[#All],8,0)</f>
        <v>TECSERV</v>
      </c>
      <c r="S137" s="183" t="str">
        <f>VLOOKUP(TablaPrincipal[[#This Row],[CODIGO]]&amp;TablaPrincipal[[#This Row],[AGUAJE ]],Tabla4[#All],7,0)</f>
        <v>EMPAGRAN/SEMACUA</v>
      </c>
      <c r="T137" s="183" t="str">
        <f>IF(ISNUMBER(FIND("/",TablaPrincipal[[#This Row],[LABORATORIO]])),"COMBINADO","UNICO")</f>
        <v>UNICO</v>
      </c>
      <c r="U1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6000</v>
      </c>
      <c r="V1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5951.93</v>
      </c>
      <c r="W1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27.14</v>
      </c>
      <c r="Y137" s="185">
        <f>IFERROR(TablaPrincipal[[#This Row],[LIBRAS RALEO PLANTA]]/TablaPrincipal[[#This Row],[HAS]],"-")</f>
        <v>1131.545627376426</v>
      </c>
      <c r="Z1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99564.341193809887</v>
      </c>
      <c r="AA13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17500</v>
      </c>
      <c r="AB1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18375.490000000002</v>
      </c>
      <c r="AC137" s="186">
        <f>SUMIFS(COSECHAS!F:F,COSECHAS!A:A,'BASE 2026'!AW:AW,COSECHAS!G:G,"="&amp;A:A)</f>
        <v>29</v>
      </c>
      <c r="AD137" s="186">
        <f>SUMIFS(COSECHAS!M:M,COSECHAS!A:A,'BASE 2026'!AW:AW,COSECHAS!G:G,"="&amp;A:A)</f>
        <v>23.35</v>
      </c>
      <c r="AE137" s="185">
        <f>IFERROR(TablaPrincipal[[#This Row],[LIBRAS PLANTA]]/TablaPrincipal[[#This Row],[HAS]],"-")</f>
        <v>3493.4391634980993</v>
      </c>
      <c r="AF137" s="185">
        <f>IFERROR(TablaPrincipal[[#This Row],[LIBRAS PLANTA]]*454/TablaPrincipal[[#This Row],[GRAMOS PLANTA]],"-")</f>
        <v>357279.33447537472</v>
      </c>
      <c r="AG137" s="185">
        <f>TablaPrincipal[[#This Row],[LIBRAS RALEO PLANTA]]+TablaPrincipal[[#This Row],[LIBRAS PLANTA]]</f>
        <v>24327.420000000002</v>
      </c>
      <c r="AH137" s="185">
        <f>IFERROR(TablaPrincipal[[#This Row],[CAM COSECHADOS RALEO]]+TablaPrincipal[[#This Row],[CAM COSECHADOS]],"-")</f>
        <v>456843.67566918459</v>
      </c>
      <c r="AI137" s="185">
        <f>IFERROR((TablaPrincipal[[#This Row],[LIBRAS RALEO PLANTA]]+TablaPrincipal[[#This Row],[LIBRAS PLANTA]])/TablaPrincipal[[#This Row],[HAS]],"0")</f>
        <v>4624.9847908745251</v>
      </c>
      <c r="AJ137" s="186">
        <f t="shared" si="2"/>
        <v>2.0179012345679013</v>
      </c>
      <c r="AK137" s="186">
        <f>IFERROR(TablaPrincipal[[#This Row],[LBS/HA]]/TablaPrincipal[[#This Row],[DIAS]],"-")</f>
        <v>57.098577665117595</v>
      </c>
      <c r="AL137" s="186">
        <f>IFERROR(TablaPrincipal[[#This Row],[CAM COSECHADOS TOTALES]]/TablaPrincipal[[#This Row],[ANIM SEMBRADOS]]*100,"-")</f>
        <v>62.037435587884929</v>
      </c>
      <c r="AM137" s="185">
        <v>43540.850000000006</v>
      </c>
      <c r="AN137" s="187">
        <f>IFERROR(((TablaPrincipal[[#This Row],[BALANCEADO ACUMULADO (LBS)]]/2.2046)/TablaPrincipal[[#This Row],[HAS]])/TablaPrincipal[[#This Row],[DIAS]],"-")</f>
        <v>46.354973477913909</v>
      </c>
      <c r="AO137" s="184">
        <f>IFERROR(TablaPrincipal[[#This Row],[BALANCEADO ACUMULADO (LBS)]]/TablaPrincipal[[#This Row],[LIBRAS TOTALES]],"-")</f>
        <v>1.789784942258571</v>
      </c>
      <c r="AP137" s="184"/>
      <c r="AQ137" s="184" t="s">
        <v>105</v>
      </c>
      <c r="AR137" s="185">
        <f>TablaPrincipal[[#This Row],[LIBRAS RALEO PLANTA]]-TablaPrincipal[[#This Row],[LIBRAS RALEO CAMARONERA]]</f>
        <v>-48.069999999999709</v>
      </c>
      <c r="AS137" s="185">
        <f>TablaPrincipal[[#This Row],[LIBRAS PLANTA]]-TablaPrincipal[[#This Row],[LIBRAS CAMARONERA]]</f>
        <v>875.4900000000016</v>
      </c>
      <c r="AT137" s="187">
        <f>TablaPrincipal[[#This Row],[GRAMAJE RALEO PLANTA]]-TablaPrincipal[[#This Row],[GRAMAJE RALEO CAMARONERA]]</f>
        <v>-0.85999999999999943</v>
      </c>
      <c r="AU137" s="187">
        <f>TablaPrincipal[[#This Row],[GRAMOS PLANTA]]-TablaPrincipal[[#This Row],[GRAMAJE CAMARONERA]]</f>
        <v>-5.6499999999999986</v>
      </c>
      <c r="AV137" s="183" t="str">
        <f>+VLOOKUP(TablaPrincipal[[#This Row],[CODIGO]],TablaCosechas[#All],10,0)</f>
        <v>JULIO SANTOS</v>
      </c>
      <c r="AW137" s="183" t="s">
        <v>233</v>
      </c>
      <c r="AX137" s="188" t="str">
        <f>+VLOOKUP(TablaPrincipal[[#This Row],[CODIGO]],TablaCosechas[#All],10,0)</f>
        <v>JULIO SANTOS</v>
      </c>
    </row>
    <row r="138" spans="1:50" hidden="1" x14ac:dyDescent="0.25">
      <c r="A138" s="196">
        <v>46068</v>
      </c>
      <c r="B138" s="183">
        <v>136</v>
      </c>
      <c r="C138" s="183">
        <f>YEAR(TablaPrincipal[[#This Row],[FECHA]])</f>
        <v>2026</v>
      </c>
      <c r="D138" s="183" t="s">
        <v>225</v>
      </c>
      <c r="E138" s="183" t="str">
        <f>UPPER(TEXT(TablaPrincipal[[#This Row],[FECHA]],"MMMM"))</f>
        <v>FEBRERO</v>
      </c>
      <c r="F138" s="183" t="str">
        <f>IFERROR(VLOOKUP(TablaPrincipal[[#This Row],[CODIGO]],COSECHAS!A:J,9,0),"-")</f>
        <v>15</v>
      </c>
      <c r="G138" s="183" t="str">
        <f>IFERROR(VLOOKUP(TablaPrincipal[[#This Row],[CODIGO]],COSECHAS!A:I,8,0),"-")</f>
        <v>MERO</v>
      </c>
      <c r="H138" s="184">
        <f>IFERROR(VLOOKUP(TablaPrincipal[[#This Row],[CODIGO]],DATOS!A:B,2,0),"-")</f>
        <v>2.6</v>
      </c>
      <c r="I138" s="183" t="str">
        <f>IFERROR(VLOOKUP(TablaPrincipal[[#This Row],[CODIGO]],Tabla8[[#Headers],[#Data]],3,0),"-")</f>
        <v>CONVENCIONAL</v>
      </c>
      <c r="J138" s="183">
        <f>IFERROR(TablaPrincipal[[#This Row],[FECHA]]-TablaPrincipal[[#This Row],[FECHA DE SIEMBRA]],"-")</f>
        <v>80</v>
      </c>
      <c r="K138" s="196">
        <f>VLOOKUP(TablaPrincipal[[#This Row],[CODIGO]]&amp;TablaPrincipal[[#This Row],[AGUAJE ]],Tabla4[#All],4,0)</f>
        <v>45988</v>
      </c>
      <c r="L138" s="183" t="str">
        <f>VLOOKUP(TablaPrincipal[[#This Row],[CODIGO]]&amp;TablaPrincipal[[#This Row],[AGUAJE ]],Tabla4[#All],15,0)</f>
        <v>ME PC 12</v>
      </c>
      <c r="M138" s="184">
        <f>VLOOKUP(TablaPrincipal[[#This Row],[CODIGO]]&amp;TablaPrincipal[[#This Row],[AGUAJE ]],Tabla4[#All],14,0)</f>
        <v>0.5</v>
      </c>
      <c r="N138" s="183">
        <v>5</v>
      </c>
      <c r="O138" s="170">
        <f>VLOOKUP(TablaPrincipal[[#This Row],[CODIGO]]&amp;TablaPrincipal[[#This Row],[AGUAJE ]],Tabla4[#All],5,0)</f>
        <v>416000</v>
      </c>
      <c r="P138" s="221">
        <f>IFERROR(TablaPrincipal[[#This Row],[ANIM SEMBRADOS]]/TablaPrincipal[[#This Row],[HAS]],"-")</f>
        <v>160000</v>
      </c>
      <c r="Q138" s="222">
        <f>IFERROR(TablaPrincipal[[#This Row],[DENSIDAD]]/10000,"-")</f>
        <v>16</v>
      </c>
      <c r="R138" s="183" t="str">
        <f>VLOOKUP(TablaPrincipal[[#This Row],[CODIGO]]&amp;TablaPrincipal[[#This Row],[AGUAJE ]],Tabla4[#All],8,0)</f>
        <v>GENESIS</v>
      </c>
      <c r="S138" s="183" t="str">
        <f>VLOOKUP(TablaPrincipal[[#This Row],[CODIGO]]&amp;TablaPrincipal[[#This Row],[AGUAJE ]],Tabla4[#All],7,0)</f>
        <v>TEXCUMAR</v>
      </c>
      <c r="T138" s="183" t="str">
        <f>IF(ISNUMBER(FIND("/",TablaPrincipal[[#This Row],[LABORATORIO]])),"COMBINADO","UNICO")</f>
        <v>UNICO</v>
      </c>
      <c r="U1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6750</v>
      </c>
      <c r="V1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6530.43</v>
      </c>
      <c r="W1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28.97</v>
      </c>
      <c r="Y138" s="185">
        <f>IFERROR(TablaPrincipal[[#This Row],[LIBRAS RALEO PLANTA]]/TablaPrincipal[[#This Row],[HAS]],"-")</f>
        <v>2511.7038461538464</v>
      </c>
      <c r="Z1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101291.45862243873</v>
      </c>
      <c r="AA13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6700</v>
      </c>
      <c r="AB1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5813.52</v>
      </c>
      <c r="AC138" s="186">
        <f>SUMIFS(COSECHAS!F:F,COSECHAS!A:A,'BASE 2026'!AW:AW,COSECHAS!G:G,"="&amp;A:A)</f>
        <v>47</v>
      </c>
      <c r="AD138" s="186">
        <f>SUMIFS(COSECHAS!M:M,COSECHAS!A:A,'BASE 2026'!AW:AW,COSECHAS!G:G,"="&amp;A:A)</f>
        <v>44</v>
      </c>
      <c r="AE138" s="185">
        <f>IFERROR(TablaPrincipal[[#This Row],[LIBRAS PLANTA]]/TablaPrincipal[[#This Row],[HAS]],"-")</f>
        <v>2235.9692307692308</v>
      </c>
      <c r="AF138" s="185">
        <f>IFERROR(TablaPrincipal[[#This Row],[LIBRAS PLANTA]]*454/TablaPrincipal[[#This Row],[GRAMOS PLANTA]],"-")</f>
        <v>59984.956363636367</v>
      </c>
      <c r="AG138" s="185">
        <f>TablaPrincipal[[#This Row],[LIBRAS RALEO PLANTA]]+TablaPrincipal[[#This Row],[LIBRAS PLANTA]]</f>
        <v>12343.95</v>
      </c>
      <c r="AH138" s="185">
        <f>IFERROR(TablaPrincipal[[#This Row],[CAM COSECHADOS RALEO]]+TablaPrincipal[[#This Row],[CAM COSECHADOS]],"-")</f>
        <v>161276.41498607511</v>
      </c>
      <c r="AI138" s="185">
        <f>IFERROR((TablaPrincipal[[#This Row],[LIBRAS RALEO PLANTA]]+TablaPrincipal[[#This Row],[LIBRAS PLANTA]])/TablaPrincipal[[#This Row],[HAS]],"0")</f>
        <v>4747.6730769230771</v>
      </c>
      <c r="AJ138" s="186">
        <f t="shared" si="2"/>
        <v>3.85</v>
      </c>
      <c r="AK138" s="186">
        <f>IFERROR(TablaPrincipal[[#This Row],[LBS/HA]]/TablaPrincipal[[#This Row],[DIAS]],"-")</f>
        <v>59.345913461538466</v>
      </c>
      <c r="AL138" s="186">
        <f>IFERROR(TablaPrincipal[[#This Row],[CAM COSECHADOS TOTALES]]/TablaPrincipal[[#This Row],[ANIM SEMBRADOS]]*100,"-")</f>
        <v>38.768368987037285</v>
      </c>
      <c r="AM138" s="185">
        <v>20227.205000000002</v>
      </c>
      <c r="AN138" s="187">
        <f>IFERROR(((TablaPrincipal[[#This Row],[BALANCEADO ACUMULADO (LBS)]]/2.2046)/TablaPrincipal[[#This Row],[HAS]])/TablaPrincipal[[#This Row],[DIAS]],"-")</f>
        <v>44.11057692307692</v>
      </c>
      <c r="AO138" s="184">
        <f>IFERROR(TablaPrincipal[[#This Row],[BALANCEADO ACUMULADO (LBS)]]/TablaPrincipal[[#This Row],[LIBRAS TOTALES]],"-")</f>
        <v>1.6386330955650339</v>
      </c>
      <c r="AP138" s="184"/>
      <c r="AQ138" s="184" t="s">
        <v>105</v>
      </c>
      <c r="AR138" s="185">
        <f>TablaPrincipal[[#This Row],[LIBRAS RALEO PLANTA]]-TablaPrincipal[[#This Row],[LIBRAS RALEO CAMARONERA]]</f>
        <v>-219.56999999999971</v>
      </c>
      <c r="AS138" s="185">
        <f>TablaPrincipal[[#This Row],[LIBRAS PLANTA]]-TablaPrincipal[[#This Row],[LIBRAS CAMARONERA]]</f>
        <v>-886.47999999999956</v>
      </c>
      <c r="AT138" s="187">
        <f>TablaPrincipal[[#This Row],[GRAMAJE RALEO PLANTA]]-TablaPrincipal[[#This Row],[GRAMAJE RALEO CAMARONERA]]</f>
        <v>2.4699999999999989</v>
      </c>
      <c r="AU138" s="187">
        <f>TablaPrincipal[[#This Row],[GRAMOS PLANTA]]-TablaPrincipal[[#This Row],[GRAMAJE CAMARONERA]]</f>
        <v>-3</v>
      </c>
      <c r="AV138" s="183" t="str">
        <f>+VLOOKUP(TablaPrincipal[[#This Row],[CODIGO]],TablaCosechas[#All],10,0)</f>
        <v>NESTOR MOGOLLON</v>
      </c>
      <c r="AW138" s="183" t="s">
        <v>234</v>
      </c>
      <c r="AX138" s="188" t="str">
        <f>+VLOOKUP(TablaPrincipal[[#This Row],[CODIGO]],TablaCosechas[#All],10,0)</f>
        <v>NESTOR MOGOLLON</v>
      </c>
    </row>
    <row r="139" spans="1:50" hidden="1" x14ac:dyDescent="0.25">
      <c r="A139" s="196">
        <v>46068</v>
      </c>
      <c r="B139" s="183">
        <v>137</v>
      </c>
      <c r="C139" s="183">
        <f>YEAR(TablaPrincipal[[#This Row],[FECHA]])</f>
        <v>2026</v>
      </c>
      <c r="D139" s="183" t="s">
        <v>225</v>
      </c>
      <c r="E139" s="183" t="str">
        <f>UPPER(TEXT(TablaPrincipal[[#This Row],[FECHA]],"MMMM"))</f>
        <v>FEBRERO</v>
      </c>
      <c r="F139" s="183" t="str">
        <f>IFERROR(VLOOKUP(TablaPrincipal[[#This Row],[CODIGO]],COSECHAS!A:J,9,0),"-")</f>
        <v>18</v>
      </c>
      <c r="G139" s="183" t="str">
        <f>IFERROR(VLOOKUP(TablaPrincipal[[#This Row],[CODIGO]],COSECHAS!A:I,8,0),"-")</f>
        <v>MERO</v>
      </c>
      <c r="H139" s="184">
        <f>IFERROR(VLOOKUP(TablaPrincipal[[#This Row],[CODIGO]],DATOS!A:B,2,0),"-")</f>
        <v>3.05</v>
      </c>
      <c r="I139" s="183" t="str">
        <f>IFERROR(VLOOKUP(TablaPrincipal[[#This Row],[CODIGO]],Tabla8[[#Headers],[#Data]],3,0),"-")</f>
        <v>CONVENCIONAL</v>
      </c>
      <c r="J139" s="183">
        <f>IFERROR(TablaPrincipal[[#This Row],[FECHA]]-TablaPrincipal[[#This Row],[FECHA DE SIEMBRA]],"-")</f>
        <v>80</v>
      </c>
      <c r="K139" s="196">
        <f>VLOOKUP(TablaPrincipal[[#This Row],[CODIGO]]&amp;TablaPrincipal[[#This Row],[AGUAJE ]],Tabla4[#All],4,0)</f>
        <v>45988</v>
      </c>
      <c r="L139" s="183" t="str">
        <f>VLOOKUP(TablaPrincipal[[#This Row],[CODIGO]]&amp;TablaPrincipal[[#This Row],[AGUAJE ]],Tabla4[#All],15,0)</f>
        <v>ME PC 12</v>
      </c>
      <c r="M139" s="184">
        <f>VLOOKUP(TablaPrincipal[[#This Row],[CODIGO]]&amp;TablaPrincipal[[#This Row],[AGUAJE ]],Tabla4[#All],14,0)</f>
        <v>0.5</v>
      </c>
      <c r="N139" s="183">
        <v>6</v>
      </c>
      <c r="O139" s="170">
        <f>VLOOKUP(TablaPrincipal[[#This Row],[CODIGO]]&amp;TablaPrincipal[[#This Row],[AGUAJE ]],Tabla4[#All],5,0)</f>
        <v>488000</v>
      </c>
      <c r="P139" s="221">
        <f>IFERROR(TablaPrincipal[[#This Row],[ANIM SEMBRADOS]]/TablaPrincipal[[#This Row],[HAS]],"-")</f>
        <v>160000</v>
      </c>
      <c r="Q139" s="222">
        <f>IFERROR(TablaPrincipal[[#This Row],[DENSIDAD]]/10000,"-")</f>
        <v>16</v>
      </c>
      <c r="R139" s="183" t="str">
        <f>VLOOKUP(TablaPrincipal[[#This Row],[CODIGO]]&amp;TablaPrincipal[[#This Row],[AGUAJE ]],Tabla4[#All],8,0)</f>
        <v>GENESIS</v>
      </c>
      <c r="S139" s="183" t="str">
        <f>VLOOKUP(TablaPrincipal[[#This Row],[CODIGO]]&amp;TablaPrincipal[[#This Row],[AGUAJE ]],Tabla4[#All],7,0)</f>
        <v>TEXCUMAR</v>
      </c>
      <c r="T139" s="183" t="str">
        <f>IF(ISNUMBER(FIND("/",TablaPrincipal[[#This Row],[LABORATORIO]])),"COMBINADO","UNICO")</f>
        <v>UNICO</v>
      </c>
      <c r="U1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9000</v>
      </c>
      <c r="V1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8838.2200000000012</v>
      </c>
      <c r="W1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29.36</v>
      </c>
      <c r="Y139" s="185">
        <f>IFERROR(TablaPrincipal[[#This Row],[LIBRAS RALEO PLANTA]]/TablaPrincipal[[#This Row],[HAS]],"-")</f>
        <v>2897.7770491803285</v>
      </c>
      <c r="Z1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136321.06730070504</v>
      </c>
      <c r="AA13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9050</v>
      </c>
      <c r="AB1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8599.9</v>
      </c>
      <c r="AC139" s="186">
        <f>SUMIFS(COSECHAS!F:F,COSECHAS!A:A,'BASE 2026'!AW:AW,COSECHAS!G:G,"="&amp;A:A)</f>
        <v>49</v>
      </c>
      <c r="AD139" s="186">
        <f>SUMIFS(COSECHAS!M:M,COSECHAS!A:A,'BASE 2026'!AW:AW,COSECHAS!G:G,"="&amp;A:A)</f>
        <v>50.1</v>
      </c>
      <c r="AE139" s="185">
        <f>IFERROR(TablaPrincipal[[#This Row],[LIBRAS PLANTA]]/TablaPrincipal[[#This Row],[HAS]],"-")</f>
        <v>2819.6393442622953</v>
      </c>
      <c r="AF139" s="185">
        <f>IFERROR(TablaPrincipal[[#This Row],[LIBRAS PLANTA]]*454/TablaPrincipal[[#This Row],[GRAMOS PLANTA]],"-")</f>
        <v>77931.229540918153</v>
      </c>
      <c r="AG139" s="185">
        <f>TablaPrincipal[[#This Row],[LIBRAS RALEO PLANTA]]+TablaPrincipal[[#This Row],[LIBRAS PLANTA]]</f>
        <v>17438.120000000003</v>
      </c>
      <c r="AH139" s="185">
        <f>IFERROR(TablaPrincipal[[#This Row],[CAM COSECHADOS RALEO]]+TablaPrincipal[[#This Row],[CAM COSECHADOS]],"-")</f>
        <v>214252.2968416232</v>
      </c>
      <c r="AI139" s="185">
        <f>IFERROR((TablaPrincipal[[#This Row],[LIBRAS RALEO PLANTA]]+TablaPrincipal[[#This Row],[LIBRAS PLANTA]])/TablaPrincipal[[#This Row],[HAS]],"0")</f>
        <v>5717.4163934426242</v>
      </c>
      <c r="AJ139" s="186">
        <f t="shared" si="2"/>
        <v>4.38375</v>
      </c>
      <c r="AK139" s="186">
        <f>IFERROR(TablaPrincipal[[#This Row],[LBS/HA]]/TablaPrincipal[[#This Row],[DIAS]],"-")</f>
        <v>71.467704918032808</v>
      </c>
      <c r="AL139" s="186">
        <f>IFERROR(TablaPrincipal[[#This Row],[CAM COSECHADOS TOTALES]]/TablaPrincipal[[#This Row],[ANIM SEMBRADOS]]*100,"-")</f>
        <v>43.904159188857214</v>
      </c>
      <c r="AM139" s="185">
        <v>26730.775000000001</v>
      </c>
      <c r="AN139" s="187">
        <f>IFERROR(((TablaPrincipal[[#This Row],[BALANCEADO ACUMULADO (LBS)]]/2.2046)/TablaPrincipal[[#This Row],[HAS]])/TablaPrincipal[[#This Row],[DIAS]],"-")</f>
        <v>49.692622950819676</v>
      </c>
      <c r="AO139" s="184">
        <f>IFERROR(TablaPrincipal[[#This Row],[BALANCEADO ACUMULADO (LBS)]]/TablaPrincipal[[#This Row],[LIBRAS TOTALES]],"-")</f>
        <v>1.5328931673827224</v>
      </c>
      <c r="AP139" s="184"/>
      <c r="AQ139" s="184" t="s">
        <v>105</v>
      </c>
      <c r="AR139" s="185">
        <f>TablaPrincipal[[#This Row],[LIBRAS RALEO PLANTA]]-TablaPrincipal[[#This Row],[LIBRAS RALEO CAMARONERA]]</f>
        <v>-161.77999999999884</v>
      </c>
      <c r="AS139" s="185">
        <f>TablaPrincipal[[#This Row],[LIBRAS PLANTA]]-TablaPrincipal[[#This Row],[LIBRAS CAMARONERA]]</f>
        <v>-450.10000000000036</v>
      </c>
      <c r="AT139" s="187">
        <f>TablaPrincipal[[#This Row],[GRAMAJE RALEO PLANTA]]-TablaPrincipal[[#This Row],[GRAMAJE RALEO CAMARONERA]]</f>
        <v>1.3599999999999994</v>
      </c>
      <c r="AU139" s="187">
        <f>TablaPrincipal[[#This Row],[GRAMOS PLANTA]]-TablaPrincipal[[#This Row],[GRAMAJE CAMARONERA]]</f>
        <v>1.1000000000000014</v>
      </c>
      <c r="AV139" s="183" t="str">
        <f>+VLOOKUP(TablaPrincipal[[#This Row],[CODIGO]],TablaCosechas[#All],10,0)</f>
        <v>NESTOR MOGOLLON</v>
      </c>
      <c r="AW139" s="183" t="s">
        <v>235</v>
      </c>
      <c r="AX139" s="188" t="str">
        <f>+VLOOKUP(TablaPrincipal[[#This Row],[CODIGO]],TablaCosechas[#All],10,0)</f>
        <v>NESTOR MOGOLLON</v>
      </c>
    </row>
    <row r="140" spans="1:50" hidden="1" x14ac:dyDescent="0.25">
      <c r="A140" s="196">
        <v>46068</v>
      </c>
      <c r="B140" s="183">
        <v>138</v>
      </c>
      <c r="C140" s="183">
        <f>YEAR(TablaPrincipal[[#This Row],[FECHA]])</f>
        <v>2026</v>
      </c>
      <c r="D140" s="183" t="s">
        <v>225</v>
      </c>
      <c r="E140" s="183" t="str">
        <f>UPPER(TEXT(TablaPrincipal[[#This Row],[FECHA]],"MMMM"))</f>
        <v>FEBRERO</v>
      </c>
      <c r="F140" s="183" t="str">
        <f>IFERROR(VLOOKUP(TablaPrincipal[[#This Row],[CODIGO]],COSECHAS!A:J,9,0),"-")</f>
        <v>32</v>
      </c>
      <c r="G140" s="183" t="str">
        <f>IFERROR(VLOOKUP(TablaPrincipal[[#This Row],[CODIGO]],COSECHAS!A:I,8,0),"-")</f>
        <v>WAHOO</v>
      </c>
      <c r="H140" s="184">
        <f>IFERROR(VLOOKUP(TablaPrincipal[[#This Row],[CODIGO]],DATOS!A:B,2,0),"-")</f>
        <v>10</v>
      </c>
      <c r="I140" s="183" t="str">
        <f>IFERROR(VLOOKUP(TablaPrincipal[[#This Row],[CODIGO]],Tabla8[[#Headers],[#Data]],3,0),"-")</f>
        <v>CONVENCIONAL</v>
      </c>
      <c r="J140" s="183">
        <f>IFERROR(TablaPrincipal[[#This Row],[FECHA]]-TablaPrincipal[[#This Row],[FECHA DE SIEMBRA]],"-")</f>
        <v>90</v>
      </c>
      <c r="K140" s="196">
        <f>VLOOKUP(TablaPrincipal[[#This Row],[CODIGO]]&amp;TablaPrincipal[[#This Row],[AGUAJE ]],Tabla4[#All],4,0)</f>
        <v>45978</v>
      </c>
      <c r="L140" s="183" t="str">
        <f>VLOOKUP(TablaPrincipal[[#This Row],[CODIGO]]&amp;TablaPrincipal[[#This Row],[AGUAJE ]],Tabla4[#All],15,0)</f>
        <v>WA PC 9 - 13</v>
      </c>
      <c r="M140" s="184">
        <f>VLOOKUP(TablaPrincipal[[#This Row],[CODIGO]]&amp;TablaPrincipal[[#This Row],[AGUAJE ]],Tabla4[#All],14,0)</f>
        <v>0.46</v>
      </c>
      <c r="N140" s="183">
        <v>22</v>
      </c>
      <c r="O140" s="170">
        <f>VLOOKUP(TablaPrincipal[[#This Row],[CODIGO]]&amp;TablaPrincipal[[#This Row],[AGUAJE ]],Tabla4[#All],5,0)</f>
        <v>1700000</v>
      </c>
      <c r="P140" s="221">
        <f>IFERROR(TablaPrincipal[[#This Row],[ANIM SEMBRADOS]]/TablaPrincipal[[#This Row],[HAS]],"-")</f>
        <v>170000</v>
      </c>
      <c r="Q140" s="222">
        <f>IFERROR(TablaPrincipal[[#This Row],[DENSIDAD]]/10000,"-")</f>
        <v>17</v>
      </c>
      <c r="R140" s="183" t="str">
        <f>VLOOKUP(TablaPrincipal[[#This Row],[CODIGO]]&amp;TablaPrincipal[[#This Row],[AGUAJE ]],Tabla4[#All],8,0)</f>
        <v>EMPAGRAN/TECSERV</v>
      </c>
      <c r="S140" s="183" t="str">
        <f>VLOOKUP(TablaPrincipal[[#This Row],[CODIGO]]&amp;TablaPrincipal[[#This Row],[AGUAJE ]],Tabla4[#All],7,0)</f>
        <v>EMPAGRAN/TEXCUMAR</v>
      </c>
      <c r="T140" s="183" t="str">
        <f>IF(ISNUMBER(FIND("/",TablaPrincipal[[#This Row],[LABORATORIO]])),"COMBINADO","UNICO")</f>
        <v>COMBINADO</v>
      </c>
      <c r="U1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36200</v>
      </c>
      <c r="V1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38421.14</v>
      </c>
      <c r="W1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23.75</v>
      </c>
      <c r="X1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22.589999999999996</v>
      </c>
      <c r="Y140" s="185">
        <f>IFERROR(TablaPrincipal[[#This Row],[LIBRAS RALEO PLANTA]]/TablaPrincipal[[#This Row],[HAS]],"-")</f>
        <v>3842.114</v>
      </c>
      <c r="Z1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773189.44152623671</v>
      </c>
      <c r="AA14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12450</v>
      </c>
      <c r="AB1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13264.06</v>
      </c>
      <c r="AC140" s="186">
        <f>SUMIFS(COSECHAS!F:F,COSECHAS!A:A,'BASE 2026'!AW:AW,COSECHAS!G:G,"="&amp;A:A)</f>
        <v>29</v>
      </c>
      <c r="AD140" s="186">
        <f>SUMIFS(COSECHAS!M:M,COSECHAS!A:A,'BASE 2026'!AW:AW,COSECHAS!G:G,"="&amp;A:A)</f>
        <v>28.68</v>
      </c>
      <c r="AE140" s="185">
        <f>IFERROR(TablaPrincipal[[#This Row],[LIBRAS PLANTA]]/TablaPrincipal[[#This Row],[HAS]],"-")</f>
        <v>1326.4059999999999</v>
      </c>
      <c r="AF140" s="185">
        <f>IFERROR(TablaPrincipal[[#This Row],[LIBRAS PLANTA]]*454/TablaPrincipal[[#This Row],[GRAMOS PLANTA]],"-")</f>
        <v>209968.03486750351</v>
      </c>
      <c r="AG140" s="185">
        <f>TablaPrincipal[[#This Row],[LIBRAS RALEO PLANTA]]+TablaPrincipal[[#This Row],[LIBRAS PLANTA]]</f>
        <v>51685.2</v>
      </c>
      <c r="AH140" s="185">
        <f>IFERROR(TablaPrincipal[[#This Row],[CAM COSECHADOS RALEO]]+TablaPrincipal[[#This Row],[CAM COSECHADOS]],"-")</f>
        <v>983157.47639374016</v>
      </c>
      <c r="AI140" s="185">
        <f>IFERROR((TablaPrincipal[[#This Row],[LIBRAS RALEO PLANTA]]+TablaPrincipal[[#This Row],[LIBRAS PLANTA]])/TablaPrincipal[[#This Row],[HAS]],"0")</f>
        <v>5168.5199999999995</v>
      </c>
      <c r="AJ140" s="186">
        <f t="shared" si="2"/>
        <v>2.2306666666666666</v>
      </c>
      <c r="AK140" s="186">
        <f>IFERROR(TablaPrincipal[[#This Row],[LBS/HA]]/TablaPrincipal[[#This Row],[DIAS]],"-")</f>
        <v>57.427999999999997</v>
      </c>
      <c r="AL140" s="186">
        <f>IFERROR(TablaPrincipal[[#This Row],[CAM COSECHADOS TOTALES]]/TablaPrincipal[[#This Row],[ANIM SEMBRADOS]]*100,"-")</f>
        <v>57.832792729043533</v>
      </c>
      <c r="AM140" s="185">
        <v>71129.214399999997</v>
      </c>
      <c r="AN140" s="187">
        <f>IFERROR(((TablaPrincipal[[#This Row],[BALANCEADO ACUMULADO (LBS)]]/2.2046)/TablaPrincipal[[#This Row],[HAS]])/TablaPrincipal[[#This Row],[DIAS]],"-")</f>
        <v>35.848888888888887</v>
      </c>
      <c r="AO140" s="184">
        <f>IFERROR(TablaPrincipal[[#This Row],[BALANCEADO ACUMULADO (LBS)]]/TablaPrincipal[[#This Row],[LIBRAS TOTALES]],"-")</f>
        <v>1.3762008157073979</v>
      </c>
      <c r="AP140" s="184"/>
      <c r="AQ140" s="184" t="s">
        <v>105</v>
      </c>
      <c r="AR140" s="185">
        <f>TablaPrincipal[[#This Row],[LIBRAS RALEO PLANTA]]-TablaPrincipal[[#This Row],[LIBRAS RALEO CAMARONERA]]</f>
        <v>2221.1399999999994</v>
      </c>
      <c r="AS140" s="185">
        <f>TablaPrincipal[[#This Row],[LIBRAS PLANTA]]-TablaPrincipal[[#This Row],[LIBRAS CAMARONERA]]</f>
        <v>814.05999999999949</v>
      </c>
      <c r="AT140" s="187">
        <f>TablaPrincipal[[#This Row],[GRAMAJE RALEO PLANTA]]-TablaPrincipal[[#This Row],[GRAMAJE RALEO CAMARONERA]]</f>
        <v>-1.1600000000000037</v>
      </c>
      <c r="AU140" s="187">
        <f>TablaPrincipal[[#This Row],[GRAMOS PLANTA]]-TablaPrincipal[[#This Row],[GRAMAJE CAMARONERA]]</f>
        <v>-0.32000000000000028</v>
      </c>
      <c r="AV140" s="183" t="str">
        <f>+VLOOKUP(TablaPrincipal[[#This Row],[CODIGO]],TablaCosechas[#All],10,0)</f>
        <v>JUNIOR ESQUIVEL</v>
      </c>
      <c r="AW140" s="183" t="s">
        <v>236</v>
      </c>
      <c r="AX140" s="188" t="str">
        <f>+VLOOKUP(TablaPrincipal[[#This Row],[CODIGO]],TablaCosechas[#All],10,0)</f>
        <v>JUNIOR ESQUIVEL</v>
      </c>
    </row>
    <row r="141" spans="1:50" hidden="1" x14ac:dyDescent="0.25">
      <c r="A141" s="196">
        <v>46068</v>
      </c>
      <c r="B141" s="183">
        <v>139</v>
      </c>
      <c r="C141" s="183">
        <f>YEAR(TablaPrincipal[[#This Row],[FECHA]])</f>
        <v>2026</v>
      </c>
      <c r="D141" s="183" t="s">
        <v>225</v>
      </c>
      <c r="E141" s="183" t="str">
        <f>UPPER(TEXT(TablaPrincipal[[#This Row],[FECHA]],"MMMM"))</f>
        <v>FEBRERO</v>
      </c>
      <c r="F141" s="183" t="str">
        <f>IFERROR(VLOOKUP(TablaPrincipal[[#This Row],[CODIGO]],COSECHAS!A:J,9,0),"-")</f>
        <v>08</v>
      </c>
      <c r="G141" s="183" t="str">
        <f>IFERROR(VLOOKUP(TablaPrincipal[[#This Row],[CODIGO]],COSECHAS!A:I,8,0),"-")</f>
        <v>TIBURON</v>
      </c>
      <c r="H141" s="184">
        <f>IFERROR(VLOOKUP(TablaPrincipal[[#This Row],[CODIGO]],DATOS!A:B,2,0),"-")</f>
        <v>6.2</v>
      </c>
      <c r="I141" s="183" t="str">
        <f>IFERROR(VLOOKUP(TablaPrincipal[[#This Row],[CODIGO]],Tabla8[[#Headers],[#Data]],3,0),"-")</f>
        <v>ASC-BAP</v>
      </c>
      <c r="J141" s="183">
        <f>IFERROR(TablaPrincipal[[#This Row],[FECHA]]-TablaPrincipal[[#This Row],[FECHA DE SIEMBRA]],"-")</f>
        <v>80</v>
      </c>
      <c r="K141" s="196">
        <f>VLOOKUP(TablaPrincipal[[#This Row],[CODIGO]]&amp;TablaPrincipal[[#This Row],[AGUAJE ]],Tabla4[#All],4,0)</f>
        <v>45988</v>
      </c>
      <c r="L141" s="183" t="str">
        <f>VLOOKUP(TablaPrincipal[[#This Row],[CODIGO]]&amp;TablaPrincipal[[#This Row],[AGUAJE ]],Tabla4[#All],15,0)</f>
        <v>TI PC 36/TA PC 14</v>
      </c>
      <c r="M141" s="184">
        <f>VLOOKUP(TablaPrincipal[[#This Row],[CODIGO]]&amp;TablaPrincipal[[#This Row],[AGUAJE ]],Tabla4[#All],14,0)</f>
        <v>0.56999999999999995</v>
      </c>
      <c r="N141" s="183">
        <v>8</v>
      </c>
      <c r="O141" s="170">
        <f>VLOOKUP(TablaPrincipal[[#This Row],[CODIGO]]&amp;TablaPrincipal[[#This Row],[AGUAJE ]],Tabla4[#All],5,0)</f>
        <v>992000</v>
      </c>
      <c r="P141" s="221">
        <f>IFERROR(TablaPrincipal[[#This Row],[ANIM SEMBRADOS]]/TablaPrincipal[[#This Row],[HAS]],"-")</f>
        <v>160000</v>
      </c>
      <c r="Q141" s="222">
        <f>IFERROR(TablaPrincipal[[#This Row],[DENSIDAD]]/10000,"-")</f>
        <v>16</v>
      </c>
      <c r="R141" s="183" t="str">
        <f>VLOOKUP(TablaPrincipal[[#This Row],[CODIGO]]&amp;TablaPrincipal[[#This Row],[AGUAJE ]],Tabla4[#All],8,0)</f>
        <v>AMBARTEK/PRONAUPLIO</v>
      </c>
      <c r="S141" s="183" t="str">
        <f>VLOOKUP(TablaPrincipal[[#This Row],[CODIGO]]&amp;TablaPrincipal[[#This Row],[AGUAJE ]],Tabla4[#All],7,0)</f>
        <v>TEXCUMAR/SEMACUA</v>
      </c>
      <c r="T141" s="183" t="str">
        <f>IF(ISNUMBER(FIND("/",TablaPrincipal[[#This Row],[LABORATORIO]])),"COMBINADO","UNICO")</f>
        <v>COMBINADO</v>
      </c>
      <c r="U1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28180</v>
      </c>
      <c r="V1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29619.74</v>
      </c>
      <c r="W1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27.840000000000003</v>
      </c>
      <c r="Y141" s="185">
        <f>IFERROR(TablaPrincipal[[#This Row],[LIBRAS RALEO PLANTA]]/TablaPrincipal[[#This Row],[HAS]],"-")</f>
        <v>4777.3774193548388</v>
      </c>
      <c r="Z1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495501.47804459796</v>
      </c>
      <c r="AA14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31100</v>
      </c>
      <c r="AB1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31823.87</v>
      </c>
      <c r="AC141" s="186">
        <f>SUMIFS(COSECHAS!F:F,COSECHAS!A:A,'BASE 2026'!AW:AW,COSECHAS!G:G,"="&amp;A:A)</f>
        <v>37</v>
      </c>
      <c r="AD141" s="186">
        <f>SUMIFS(COSECHAS!M:M,COSECHAS!A:A,'BASE 2026'!AW:AW,COSECHAS!G:G,"="&amp;A:A)</f>
        <v>38.04</v>
      </c>
      <c r="AE141" s="185">
        <f>IFERROR(TablaPrincipal[[#This Row],[LIBRAS PLANTA]]/TablaPrincipal[[#This Row],[HAS]],"-")</f>
        <v>5132.8822580645156</v>
      </c>
      <c r="AF141" s="185">
        <f>IFERROR(TablaPrincipal[[#This Row],[LIBRAS PLANTA]]*454/TablaPrincipal[[#This Row],[GRAMOS PLANTA]],"-")</f>
        <v>379811.69768664567</v>
      </c>
      <c r="AG141" s="185">
        <f>TablaPrincipal[[#This Row],[LIBRAS RALEO PLANTA]]+TablaPrincipal[[#This Row],[LIBRAS PLANTA]]</f>
        <v>61443.61</v>
      </c>
      <c r="AH141" s="185">
        <f>IFERROR(TablaPrincipal[[#This Row],[CAM COSECHADOS RALEO]]+TablaPrincipal[[#This Row],[CAM COSECHADOS]],"-")</f>
        <v>875313.17573124357</v>
      </c>
      <c r="AI141" s="185">
        <f>IFERROR((TablaPrincipal[[#This Row],[LIBRAS RALEO PLANTA]]+TablaPrincipal[[#This Row],[LIBRAS PLANTA]])/TablaPrincipal[[#This Row],[HAS]],"0")</f>
        <v>9910.2596774193553</v>
      </c>
      <c r="AJ141" s="186">
        <f t="shared" si="2"/>
        <v>3.3285</v>
      </c>
      <c r="AK141" s="186">
        <f>IFERROR(TablaPrincipal[[#This Row],[LBS/HA]]/TablaPrincipal[[#This Row],[DIAS]],"-")</f>
        <v>123.87824596774195</v>
      </c>
      <c r="AL141" s="186">
        <f>IFERROR(TablaPrincipal[[#This Row],[CAM COSECHADOS TOTALES]]/TablaPrincipal[[#This Row],[ANIM SEMBRADOS]]*100,"-")</f>
        <v>88.237215295488255</v>
      </c>
      <c r="AM141" s="185">
        <v>73743.87000000001</v>
      </c>
      <c r="AN141" s="187">
        <f>IFERROR(((TablaPrincipal[[#This Row],[BALANCEADO ACUMULADO (LBS)]]/2.2046)/TablaPrincipal[[#This Row],[HAS]])/TablaPrincipal[[#This Row],[DIAS]],"-")</f>
        <v>67.439516129032256</v>
      </c>
      <c r="AO141" s="184">
        <f>IFERROR(TablaPrincipal[[#This Row],[BALANCEADO ACUMULADO (LBS)]]/TablaPrincipal[[#This Row],[LIBRAS TOTALES]],"-")</f>
        <v>1.2001877819353388</v>
      </c>
      <c r="AP141" s="184"/>
      <c r="AQ141" s="184" t="s">
        <v>105</v>
      </c>
      <c r="AR141" s="185">
        <f>TablaPrincipal[[#This Row],[LIBRAS RALEO PLANTA]]-TablaPrincipal[[#This Row],[LIBRAS RALEO CAMARONERA]]</f>
        <v>1439.7400000000016</v>
      </c>
      <c r="AS141" s="185">
        <f>TablaPrincipal[[#This Row],[LIBRAS PLANTA]]-TablaPrincipal[[#This Row],[LIBRAS CAMARONERA]]</f>
        <v>723.86999999999898</v>
      </c>
      <c r="AT141" s="187">
        <f>TablaPrincipal[[#This Row],[GRAMAJE RALEO PLANTA]]-TablaPrincipal[[#This Row],[GRAMAJE RALEO CAMARONERA]]</f>
        <v>1.5066666666666713</v>
      </c>
      <c r="AU141" s="187">
        <f>TablaPrincipal[[#This Row],[GRAMOS PLANTA]]-TablaPrincipal[[#This Row],[GRAMAJE CAMARONERA]]</f>
        <v>1.0399999999999991</v>
      </c>
      <c r="AV141" s="183" t="str">
        <f>+VLOOKUP(TablaPrincipal[[#This Row],[CODIGO]],TablaCosechas[#All],10,0)</f>
        <v>ALFONSO GRUNAUER</v>
      </c>
      <c r="AW141" s="183" t="s">
        <v>237</v>
      </c>
      <c r="AX141" s="188" t="str">
        <f>+VLOOKUP(TablaPrincipal[[#This Row],[CODIGO]],TablaCosechas[#All],10,0)</f>
        <v>ALFONSO GRUNAUER</v>
      </c>
    </row>
    <row r="142" spans="1:50" hidden="1" x14ac:dyDescent="0.25">
      <c r="A142" s="196">
        <v>46069</v>
      </c>
      <c r="B142" s="183">
        <v>140</v>
      </c>
      <c r="C142" s="183">
        <f>YEAR(TablaPrincipal[[#This Row],[FECHA]])</f>
        <v>2026</v>
      </c>
      <c r="D142" s="183" t="s">
        <v>225</v>
      </c>
      <c r="E142" s="183" t="str">
        <f>UPPER(TEXT(TablaPrincipal[[#This Row],[FECHA]],"MMMM"))</f>
        <v>FEBRERO</v>
      </c>
      <c r="F142" s="183" t="str">
        <f>IFERROR(VLOOKUP(TablaPrincipal[[#This Row],[CODIGO]],COSECHAS!A:J,9,0),"-")</f>
        <v>06</v>
      </c>
      <c r="G142" s="183" t="str">
        <f>IFERROR(VLOOKUP(TablaPrincipal[[#This Row],[CODIGO]],COSECHAS!A:I,8,0),"-")</f>
        <v>GUATO</v>
      </c>
      <c r="H142" s="184">
        <f>IFERROR(VLOOKUP(TablaPrincipal[[#This Row],[CODIGO]],DATOS!A:B,2,0),"-")</f>
        <v>9.8000000000000007</v>
      </c>
      <c r="I142" s="183" t="str">
        <f>IFERROR(VLOOKUP(TablaPrincipal[[#This Row],[CODIGO]],Tabla8[[#Headers],[#Data]],3,0),"-")</f>
        <v>CONVENCIONAL</v>
      </c>
      <c r="J142" s="183">
        <f>IFERROR(TablaPrincipal[[#This Row],[FECHA]]-TablaPrincipal[[#This Row],[FECHA DE SIEMBRA]],"-")</f>
        <v>78</v>
      </c>
      <c r="K142" s="196">
        <f>VLOOKUP(TablaPrincipal[[#This Row],[CODIGO]]&amp;TablaPrincipal[[#This Row],[AGUAJE ]],Tabla4[#All],4,0)</f>
        <v>45991</v>
      </c>
      <c r="L142" s="183" t="str">
        <f>VLOOKUP(TablaPrincipal[[#This Row],[CODIGO]]&amp;TablaPrincipal[[#This Row],[AGUAJE ]],Tabla4[#All],15,0)</f>
        <v>GT PC 4</v>
      </c>
      <c r="M142" s="184">
        <f>VLOOKUP(TablaPrincipal[[#This Row],[CODIGO]]&amp;TablaPrincipal[[#This Row],[AGUAJE ]],Tabla4[#All],14,0)</f>
        <v>0.6</v>
      </c>
      <c r="N142" s="183">
        <v>11</v>
      </c>
      <c r="O142" s="170">
        <f>VLOOKUP(TablaPrincipal[[#This Row],[CODIGO]]&amp;TablaPrincipal[[#This Row],[AGUAJE ]],Tabla4[#All],5,0)</f>
        <v>1470000</v>
      </c>
      <c r="P142" s="221">
        <f>IFERROR(TablaPrincipal[[#This Row],[ANIM SEMBRADOS]]/TablaPrincipal[[#This Row],[HAS]],"-")</f>
        <v>150000</v>
      </c>
      <c r="Q142" s="222">
        <f>IFERROR(TablaPrincipal[[#This Row],[DENSIDAD]]/10000,"-")</f>
        <v>15</v>
      </c>
      <c r="R142" s="183" t="str">
        <f>VLOOKUP(TablaPrincipal[[#This Row],[CODIGO]]&amp;TablaPrincipal[[#This Row],[AGUAJE ]],Tabla4[#All],8,0)</f>
        <v>EMPAGRAN</v>
      </c>
      <c r="S142" s="183" t="str">
        <f>VLOOKUP(TablaPrincipal[[#This Row],[CODIGO]]&amp;TablaPrincipal[[#This Row],[AGUAJE ]],Tabla4[#All],7,0)</f>
        <v>EMPAGRAN</v>
      </c>
      <c r="T142" s="183" t="str">
        <f>IF(ISNUMBER(FIND("/",TablaPrincipal[[#This Row],[LABORATORIO]])),"COMBINADO","UNICO")</f>
        <v>UNICO</v>
      </c>
      <c r="U1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11600</v>
      </c>
      <c r="V1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11339.59</v>
      </c>
      <c r="W1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142" s="185">
        <f>IFERROR(TablaPrincipal[[#This Row],[LIBRAS RALEO PLANTA]]/TablaPrincipal[[#This Row],[HAS]],"-")</f>
        <v>1157.1010204081631</v>
      </c>
      <c r="Z1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185854.65198555958</v>
      </c>
      <c r="AA14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37900</v>
      </c>
      <c r="AB1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41752.14</v>
      </c>
      <c r="AC142" s="186">
        <f>SUMIFS(COSECHAS!F:F,COSECHAS!A:A,'BASE 2026'!AW:AW,COSECHAS!G:G,"="&amp;A:A)</f>
        <v>29</v>
      </c>
      <c r="AD142" s="186">
        <f>SUMIFS(COSECHAS!M:M,COSECHAS!A:A,'BASE 2026'!AW:AW,COSECHAS!G:G,"="&amp;A:A)</f>
        <v>29.73</v>
      </c>
      <c r="AE142" s="185">
        <f>IFERROR(TablaPrincipal[[#This Row],[LIBRAS PLANTA]]/TablaPrincipal[[#This Row],[HAS]],"-")</f>
        <v>4260.4224489795915</v>
      </c>
      <c r="AF142" s="185">
        <f>IFERROR(TablaPrincipal[[#This Row],[LIBRAS PLANTA]]*454/TablaPrincipal[[#This Row],[GRAMOS PLANTA]],"-")</f>
        <v>637587.33804238134</v>
      </c>
      <c r="AG142" s="185">
        <f>TablaPrincipal[[#This Row],[LIBRAS RALEO PLANTA]]+TablaPrincipal[[#This Row],[LIBRAS PLANTA]]</f>
        <v>53091.729999999996</v>
      </c>
      <c r="AH142" s="185">
        <f>IFERROR(TablaPrincipal[[#This Row],[CAM COSECHADOS RALEO]]+TablaPrincipal[[#This Row],[CAM COSECHADOS]],"-")</f>
        <v>823441.99002794095</v>
      </c>
      <c r="AI142" s="185">
        <f>IFERROR((TablaPrincipal[[#This Row],[LIBRAS RALEO PLANTA]]+TablaPrincipal[[#This Row],[LIBRAS PLANTA]])/TablaPrincipal[[#This Row],[HAS]],"0")</f>
        <v>5417.5234693877546</v>
      </c>
      <c r="AJ142" s="186">
        <f t="shared" si="2"/>
        <v>2.6680769230769235</v>
      </c>
      <c r="AK142" s="186">
        <f>IFERROR(TablaPrincipal[[#This Row],[LBS/HA]]/TablaPrincipal[[#This Row],[DIAS]],"-")</f>
        <v>69.455429094714802</v>
      </c>
      <c r="AL142" s="186">
        <f>IFERROR(TablaPrincipal[[#This Row],[CAM COSECHADOS TOTALES]]/TablaPrincipal[[#This Row],[ANIM SEMBRADOS]]*100,"-")</f>
        <v>56.016461906662649</v>
      </c>
      <c r="AM142" s="185">
        <v>84546.41</v>
      </c>
      <c r="AN142" s="187">
        <f>IFERROR(((TablaPrincipal[[#This Row],[BALANCEADO ACUMULADO (LBS)]]/2.2046)/TablaPrincipal[[#This Row],[HAS]])/TablaPrincipal[[#This Row],[DIAS]],"-")</f>
        <v>50.170068027210881</v>
      </c>
      <c r="AO142" s="184">
        <f>IFERROR(TablaPrincipal[[#This Row],[BALANCEADO ACUMULADO (LBS)]]/TablaPrincipal[[#This Row],[LIBRAS TOTALES]],"-")</f>
        <v>1.5924591268734323</v>
      </c>
      <c r="AP142" s="184"/>
      <c r="AQ142" s="184" t="s">
        <v>105</v>
      </c>
      <c r="AR142" s="185">
        <f>TablaPrincipal[[#This Row],[LIBRAS RALEO PLANTA]]-TablaPrincipal[[#This Row],[LIBRAS RALEO CAMARONERA]]</f>
        <v>-260.40999999999985</v>
      </c>
      <c r="AS142" s="185">
        <f>TablaPrincipal[[#This Row],[LIBRAS PLANTA]]-TablaPrincipal[[#This Row],[LIBRAS CAMARONERA]]</f>
        <v>3852.1399999999994</v>
      </c>
      <c r="AT142" s="187">
        <f>TablaPrincipal[[#This Row],[GRAMAJE RALEO PLANTA]]-TablaPrincipal[[#This Row],[GRAMAJE RALEO CAMARONERA]]</f>
        <v>0.69999999999999929</v>
      </c>
      <c r="AU142" s="187">
        <f>TablaPrincipal[[#This Row],[GRAMOS PLANTA]]-TablaPrincipal[[#This Row],[GRAMAJE CAMARONERA]]</f>
        <v>0.73000000000000043</v>
      </c>
      <c r="AV142" s="183" t="str">
        <f>+VLOOKUP(TablaPrincipal[[#This Row],[CODIGO]],TablaCosechas[#All],10,0)</f>
        <v>JULIO SANTOS</v>
      </c>
      <c r="AW142" s="183" t="s">
        <v>238</v>
      </c>
      <c r="AX142" s="188" t="str">
        <f>+VLOOKUP(TablaPrincipal[[#This Row],[CODIGO]],TablaCosechas[#All],10,0)</f>
        <v>JULIO SANTOS</v>
      </c>
    </row>
    <row r="143" spans="1:50" hidden="1" x14ac:dyDescent="0.25">
      <c r="A143" s="196">
        <v>46069</v>
      </c>
      <c r="B143" s="183">
        <v>141</v>
      </c>
      <c r="C143" s="183">
        <f>YEAR(TablaPrincipal[[#This Row],[FECHA]])</f>
        <v>2026</v>
      </c>
      <c r="D143" s="183" t="s">
        <v>225</v>
      </c>
      <c r="E143" s="183" t="str">
        <f>UPPER(TEXT(TablaPrincipal[[#This Row],[FECHA]],"MMMM"))</f>
        <v>FEBRERO</v>
      </c>
      <c r="F143" s="183" t="str">
        <f>IFERROR(VLOOKUP(TablaPrincipal[[#This Row],[CODIGO]],COSECHAS!A:J,9,0),"-")</f>
        <v>7A</v>
      </c>
      <c r="G143" s="183" t="str">
        <f>IFERROR(VLOOKUP(TablaPrincipal[[#This Row],[CODIGO]],COSECHAS!A:I,8,0),"-")</f>
        <v>TAMBULERO</v>
      </c>
      <c r="H143" s="184">
        <f>IFERROR(VLOOKUP(TablaPrincipal[[#This Row],[CODIGO]],DATOS!A:B,2,0),"-")</f>
        <v>12.5</v>
      </c>
      <c r="I143" s="183" t="str">
        <f>IFERROR(VLOOKUP(TablaPrincipal[[#This Row],[CODIGO]],Tabla8[[#Headers],[#Data]],3,0),"-")</f>
        <v>ASC-BAP</v>
      </c>
      <c r="J143" s="183">
        <f>IFERROR(TablaPrincipal[[#This Row],[FECHA]]-TablaPrincipal[[#This Row],[FECHA DE SIEMBRA]],"-")</f>
        <v>80</v>
      </c>
      <c r="K143" s="196">
        <f>VLOOKUP(TablaPrincipal[[#This Row],[CODIGO]]&amp;TablaPrincipal[[#This Row],[AGUAJE ]],Tabla4[#All],4,0)</f>
        <v>45989</v>
      </c>
      <c r="L143" s="183" t="str">
        <f>VLOOKUP(TablaPrincipal[[#This Row],[CODIGO]]&amp;TablaPrincipal[[#This Row],[AGUAJE ]],Tabla4[#All],15,0)</f>
        <v>TA PC 5</v>
      </c>
      <c r="M143" s="184">
        <f>VLOOKUP(TablaPrincipal[[#This Row],[CODIGO]]&amp;TablaPrincipal[[#This Row],[AGUAJE ]],Tabla4[#All],14,0)</f>
        <v>0.45</v>
      </c>
      <c r="N143" s="183">
        <v>6</v>
      </c>
      <c r="O143" s="170">
        <f>VLOOKUP(TablaPrincipal[[#This Row],[CODIGO]]&amp;TablaPrincipal[[#This Row],[AGUAJE ]],Tabla4[#All],5,0)</f>
        <v>2062500</v>
      </c>
      <c r="P143" s="221">
        <f>IFERROR(TablaPrincipal[[#This Row],[ANIM SEMBRADOS]]/TablaPrincipal[[#This Row],[HAS]],"-")</f>
        <v>165000</v>
      </c>
      <c r="Q143" s="222">
        <f>IFERROR(TablaPrincipal[[#This Row],[DENSIDAD]]/10000,"-")</f>
        <v>16.5</v>
      </c>
      <c r="R143" s="183" t="str">
        <f>VLOOKUP(TablaPrincipal[[#This Row],[CODIGO]]&amp;TablaPrincipal[[#This Row],[AGUAJE ]],Tabla4[#All],8,0)</f>
        <v>AMBARTEK</v>
      </c>
      <c r="S143" s="183" t="str">
        <f>VLOOKUP(TablaPrincipal[[#This Row],[CODIGO]]&amp;TablaPrincipal[[#This Row],[AGUAJE ]],Tabla4[#All],7,0)</f>
        <v>TEXCUMAR</v>
      </c>
      <c r="T143" s="183" t="str">
        <f>IF(ISNUMBER(FIND("/",TablaPrincipal[[#This Row],[LABORATORIO]])),"COMBINADO","UNICO")</f>
        <v>UNICO</v>
      </c>
      <c r="U1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52100</v>
      </c>
      <c r="V1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56903.01</v>
      </c>
      <c r="W1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27.360000000000003</v>
      </c>
      <c r="Y143" s="185">
        <f>IFERROR(TablaPrincipal[[#This Row],[LIBRAS RALEO PLANTA]]/TablaPrincipal[[#This Row],[HAS]],"-")</f>
        <v>4552.2408000000005</v>
      </c>
      <c r="Z1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958907.52196429088</v>
      </c>
      <c r="AA14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40600</v>
      </c>
      <c r="AB1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41557.480000000003</v>
      </c>
      <c r="AC143" s="186">
        <f>SUMIFS(COSECHAS!F:F,COSECHAS!A:A,'BASE 2026'!AW:AW,COSECHAS!G:G,"="&amp;A:A)</f>
        <v>34</v>
      </c>
      <c r="AD143" s="186">
        <f>SUMIFS(COSECHAS!M:M,COSECHAS!A:A,'BASE 2026'!AW:AW,COSECHAS!G:G,"="&amp;A:A)</f>
        <v>35.64</v>
      </c>
      <c r="AE143" s="185">
        <f>IFERROR(TablaPrincipal[[#This Row],[LIBRAS PLANTA]]/TablaPrincipal[[#This Row],[HAS]],"-")</f>
        <v>3324.5984000000003</v>
      </c>
      <c r="AF143" s="185">
        <f>IFERROR(TablaPrincipal[[#This Row],[LIBRAS PLANTA]]*454/TablaPrincipal[[#This Row],[GRAMOS PLANTA]],"-")</f>
        <v>529379.79573512916</v>
      </c>
      <c r="AG143" s="185">
        <f>TablaPrincipal[[#This Row],[LIBRAS RALEO PLANTA]]+TablaPrincipal[[#This Row],[LIBRAS PLANTA]]</f>
        <v>98460.49</v>
      </c>
      <c r="AH143" s="185">
        <f>IFERROR(TablaPrincipal[[#This Row],[CAM COSECHADOS RALEO]]+TablaPrincipal[[#This Row],[CAM COSECHADOS]],"-")</f>
        <v>1488287.31769942</v>
      </c>
      <c r="AI143" s="185">
        <f>IFERROR((TablaPrincipal[[#This Row],[LIBRAS RALEO PLANTA]]+TablaPrincipal[[#This Row],[LIBRAS PLANTA]])/TablaPrincipal[[#This Row],[HAS]],"0")</f>
        <v>7876.8392000000003</v>
      </c>
      <c r="AJ143" s="186">
        <f t="shared" si="2"/>
        <v>3.1185</v>
      </c>
      <c r="AK143" s="186">
        <f>IFERROR(TablaPrincipal[[#This Row],[LBS/HA]]/TablaPrincipal[[#This Row],[DIAS]],"-")</f>
        <v>98.460490000000007</v>
      </c>
      <c r="AL143" s="186">
        <f>IFERROR(TablaPrincipal[[#This Row],[CAM COSECHADOS TOTALES]]/TablaPrincipal[[#This Row],[ANIM SEMBRADOS]]*100,"-")</f>
        <v>72.15938510057795</v>
      </c>
      <c r="AM143" s="185">
        <v>130622.55</v>
      </c>
      <c r="AN143" s="187">
        <f>IFERROR(((TablaPrincipal[[#This Row],[BALANCEADO ACUMULADO (LBS)]]/2.2046)/TablaPrincipal[[#This Row],[HAS]])/TablaPrincipal[[#This Row],[DIAS]],"-")</f>
        <v>59.25</v>
      </c>
      <c r="AO143" s="184">
        <f>IFERROR(TablaPrincipal[[#This Row],[BALANCEADO ACUMULADO (LBS)]]/TablaPrincipal[[#This Row],[LIBRAS TOTALES]],"-")</f>
        <v>1.3266494001807223</v>
      </c>
      <c r="AP143" s="184"/>
      <c r="AQ143" s="184" t="s">
        <v>105</v>
      </c>
      <c r="AR143" s="185">
        <f>TablaPrincipal[[#This Row],[LIBRAS RALEO PLANTA]]-TablaPrincipal[[#This Row],[LIBRAS RALEO CAMARONERA]]</f>
        <v>4803.010000000002</v>
      </c>
      <c r="AS143" s="185">
        <f>TablaPrincipal[[#This Row],[LIBRAS PLANTA]]-TablaPrincipal[[#This Row],[LIBRAS CAMARONERA]]</f>
        <v>957.4800000000032</v>
      </c>
      <c r="AT143" s="187">
        <f>TablaPrincipal[[#This Row],[GRAMAJE RALEO PLANTA]]-TablaPrincipal[[#This Row],[GRAMAJE RALEO CAMARONERA]]</f>
        <v>2.360000000000003</v>
      </c>
      <c r="AU143" s="187">
        <f>TablaPrincipal[[#This Row],[GRAMOS PLANTA]]-TablaPrincipal[[#This Row],[GRAMAJE CAMARONERA]]</f>
        <v>1.6400000000000006</v>
      </c>
      <c r="AV143" s="183" t="str">
        <f>+VLOOKUP(TablaPrincipal[[#This Row],[CODIGO]],TablaCosechas[#All],10,0)</f>
        <v>ALFONSO GRUNAUER</v>
      </c>
      <c r="AW143" s="183" t="s">
        <v>239</v>
      </c>
      <c r="AX143" s="188" t="str">
        <f>+VLOOKUP(TablaPrincipal[[#This Row],[CODIGO]],TablaCosechas[#All],10,0)</f>
        <v>ALFONSO GRUNAUER</v>
      </c>
    </row>
    <row r="144" spans="1:50" hidden="1" x14ac:dyDescent="0.25">
      <c r="A144" s="196">
        <v>46070</v>
      </c>
      <c r="B144" s="183">
        <v>142</v>
      </c>
      <c r="C144" s="183">
        <f>YEAR(TablaPrincipal[[#This Row],[FECHA]])</f>
        <v>2026</v>
      </c>
      <c r="D144" s="183" t="s">
        <v>225</v>
      </c>
      <c r="E144" s="183" t="str">
        <f>UPPER(TEXT(TablaPrincipal[[#This Row],[FECHA]],"MMMM"))</f>
        <v>FEBRERO</v>
      </c>
      <c r="F144" s="183" t="str">
        <f>IFERROR(VLOOKUP(TablaPrincipal[[#This Row],[CODIGO]],COSECHAS!A:J,9,0),"-")</f>
        <v>19</v>
      </c>
      <c r="G144" s="183" t="str">
        <f>IFERROR(VLOOKUP(TablaPrincipal[[#This Row],[CODIGO]],COSECHAS!A:I,8,0),"-")</f>
        <v>GUATO</v>
      </c>
      <c r="H144" s="184">
        <f>IFERROR(VLOOKUP(TablaPrincipal[[#This Row],[CODIGO]],DATOS!A:B,2,0),"-")</f>
        <v>3.35</v>
      </c>
      <c r="I144" s="183" t="str">
        <f>IFERROR(VLOOKUP(TablaPrincipal[[#This Row],[CODIGO]],Tabla8[[#Headers],[#Data]],3,0),"-")</f>
        <v>CONVENCIONAL</v>
      </c>
      <c r="J144" s="183">
        <f>IFERROR(TablaPrincipal[[#This Row],[FECHA]]-TablaPrincipal[[#This Row],[FECHA DE SIEMBRA]],"-")</f>
        <v>79</v>
      </c>
      <c r="K144" s="196">
        <f>VLOOKUP(TablaPrincipal[[#This Row],[CODIGO]]&amp;TablaPrincipal[[#This Row],[AGUAJE ]],Tabla4[#All],4,0)</f>
        <v>45991</v>
      </c>
      <c r="L144" s="183" t="str">
        <f>VLOOKUP(TablaPrincipal[[#This Row],[CODIGO]]&amp;TablaPrincipal[[#This Row],[AGUAJE ]],Tabla4[#All],15,0)</f>
        <v>GT 8</v>
      </c>
      <c r="M144" s="184">
        <f>VLOOKUP(TablaPrincipal[[#This Row],[CODIGO]]&amp;TablaPrincipal[[#This Row],[AGUAJE ]],Tabla4[#All],14,0)</f>
        <v>0.8</v>
      </c>
      <c r="N144" s="183">
        <v>10</v>
      </c>
      <c r="O144" s="170">
        <f>VLOOKUP(TablaPrincipal[[#This Row],[CODIGO]]&amp;TablaPrincipal[[#This Row],[AGUAJE ]],Tabla4[#All],5,0)</f>
        <v>536000</v>
      </c>
      <c r="P144" s="221">
        <f>IFERROR(TablaPrincipal[[#This Row],[ANIM SEMBRADOS]]/TablaPrincipal[[#This Row],[HAS]],"-")</f>
        <v>160000</v>
      </c>
      <c r="Q144" s="222">
        <f>IFERROR(TablaPrincipal[[#This Row],[DENSIDAD]]/10000,"-")</f>
        <v>16</v>
      </c>
      <c r="R144" s="183" t="str">
        <f>VLOOKUP(TablaPrincipal[[#This Row],[CODIGO]]&amp;TablaPrincipal[[#This Row],[AGUAJE ]],Tabla4[#All],8,0)</f>
        <v>EMPAGRAN</v>
      </c>
      <c r="S144" s="183" t="str">
        <f>VLOOKUP(TablaPrincipal[[#This Row],[CODIGO]]&amp;TablaPrincipal[[#This Row],[AGUAJE ]],Tabla4[#All],7,0)</f>
        <v>EMPAGRAN</v>
      </c>
      <c r="T144" s="183" t="str">
        <f>IF(ISNUMBER(FIND("/",TablaPrincipal[[#This Row],[LABORATORIO]])),"COMBINADO","UNICO")</f>
        <v>UNICO</v>
      </c>
      <c r="U1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4400</v>
      </c>
      <c r="V1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4530.24</v>
      </c>
      <c r="W1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</v>
      </c>
      <c r="Y144" s="185">
        <f>IFERROR(TablaPrincipal[[#This Row],[LIBRAS RALEO PLANTA]]/TablaPrincipal[[#This Row],[HAS]],"-")</f>
        <v>1352.3104477611939</v>
      </c>
      <c r="Z1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80340.974999999991</v>
      </c>
      <c r="AA14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15850</v>
      </c>
      <c r="AB1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17709.07</v>
      </c>
      <c r="AC144" s="186">
        <f>SUMIFS(COSECHAS!F:F,COSECHAS!A:A,'BASE 2026'!AW:AW,COSECHAS!G:G,"="&amp;A:A)</f>
        <v>27</v>
      </c>
      <c r="AD144" s="186">
        <f>SUMIFS(COSECHAS!M:M,COSECHAS!A:A,'BASE 2026'!AW:AW,COSECHAS!G:G,"="&amp;A:A)</f>
        <v>28.08</v>
      </c>
      <c r="AE144" s="185">
        <f>IFERROR(TablaPrincipal[[#This Row],[LIBRAS PLANTA]]/TablaPrincipal[[#This Row],[HAS]],"-")</f>
        <v>5286.2895522388053</v>
      </c>
      <c r="AF144" s="185">
        <f>IFERROR(TablaPrincipal[[#This Row],[LIBRAS PLANTA]]*454/TablaPrincipal[[#This Row],[GRAMOS PLANTA]],"-")</f>
        <v>286321.85826210829</v>
      </c>
      <c r="AG144" s="185">
        <f>TablaPrincipal[[#This Row],[LIBRAS RALEO PLANTA]]+TablaPrincipal[[#This Row],[LIBRAS PLANTA]]</f>
        <v>22239.309999999998</v>
      </c>
      <c r="AH144" s="185">
        <f>IFERROR(TablaPrincipal[[#This Row],[CAM COSECHADOS RALEO]]+TablaPrincipal[[#This Row],[CAM COSECHADOS]],"-")</f>
        <v>366662.83326210827</v>
      </c>
      <c r="AI144" s="185">
        <f>IFERROR((TablaPrincipal[[#This Row],[LIBRAS RALEO PLANTA]]+TablaPrincipal[[#This Row],[LIBRAS PLANTA]])/TablaPrincipal[[#This Row],[HAS]],"0")</f>
        <v>6638.5999999999995</v>
      </c>
      <c r="AJ144" s="186">
        <f t="shared" si="2"/>
        <v>2.4881012658227846</v>
      </c>
      <c r="AK144" s="186">
        <f>IFERROR(TablaPrincipal[[#This Row],[LBS/HA]]/TablaPrincipal[[#This Row],[DIAS]],"-")</f>
        <v>84.032911392405055</v>
      </c>
      <c r="AL144" s="186">
        <f>IFERROR(TablaPrincipal[[#This Row],[CAM COSECHADOS TOTALES]]/TablaPrincipal[[#This Row],[ANIM SEMBRADOS]]*100,"-")</f>
        <v>68.407245011587364</v>
      </c>
      <c r="AM144" s="185">
        <v>33069</v>
      </c>
      <c r="AN144" s="187">
        <f>IFERROR(((TablaPrincipal[[#This Row],[BALANCEADO ACUMULADO (LBS)]]/2.2046)/TablaPrincipal[[#This Row],[HAS]])/TablaPrincipal[[#This Row],[DIAS]],"-")</f>
        <v>56.678632155677313</v>
      </c>
      <c r="AO144" s="184">
        <f>IFERROR(TablaPrincipal[[#This Row],[BALANCEADO ACUMULADO (LBS)]]/TablaPrincipal[[#This Row],[LIBRAS TOTALES]],"-")</f>
        <v>1.4869616008770057</v>
      </c>
      <c r="AP144" s="184"/>
      <c r="AQ144" s="184" t="s">
        <v>105</v>
      </c>
      <c r="AR144" s="185">
        <f>TablaPrincipal[[#This Row],[LIBRAS RALEO PLANTA]]-TablaPrincipal[[#This Row],[LIBRAS RALEO CAMARONERA]]</f>
        <v>130.23999999999978</v>
      </c>
      <c r="AS144" s="185">
        <f>TablaPrincipal[[#This Row],[LIBRAS PLANTA]]-TablaPrincipal[[#This Row],[LIBRAS CAMARONERA]]</f>
        <v>1859.0699999999997</v>
      </c>
      <c r="AT144" s="187">
        <f>TablaPrincipal[[#This Row],[GRAMAJE RALEO PLANTA]]-TablaPrincipal[[#This Row],[GRAMAJE RALEO CAMARONERA]]</f>
        <v>0.60000000000000142</v>
      </c>
      <c r="AU144" s="187">
        <f>TablaPrincipal[[#This Row],[GRAMOS PLANTA]]-TablaPrincipal[[#This Row],[GRAMAJE CAMARONERA]]</f>
        <v>1.0799999999999983</v>
      </c>
      <c r="AV144" s="183" t="str">
        <f>+VLOOKUP(TablaPrincipal[[#This Row],[CODIGO]],TablaCosechas[#All],10,0)</f>
        <v>JULIO SANTOS</v>
      </c>
      <c r="AW144" s="183" t="s">
        <v>240</v>
      </c>
      <c r="AX144" s="188" t="str">
        <f>+VLOOKUP(TablaPrincipal[[#This Row],[CODIGO]],TablaCosechas[#All],10,0)</f>
        <v>JULIO SANTOS</v>
      </c>
    </row>
    <row r="145" spans="1:50" hidden="1" x14ac:dyDescent="0.25">
      <c r="A145" s="196">
        <v>46070</v>
      </c>
      <c r="B145" s="183">
        <v>143</v>
      </c>
      <c r="C145" s="183">
        <f>YEAR(TablaPrincipal[[#This Row],[FECHA]])</f>
        <v>2026</v>
      </c>
      <c r="D145" s="183" t="s">
        <v>225</v>
      </c>
      <c r="E145" s="183" t="str">
        <f>UPPER(TEXT(TablaPrincipal[[#This Row],[FECHA]],"MMMM"))</f>
        <v>FEBRERO</v>
      </c>
      <c r="F145" s="183" t="str">
        <f>IFERROR(VLOOKUP(TablaPrincipal[[#This Row],[CODIGO]],COSECHAS!A:J,9,0),"-")</f>
        <v>06</v>
      </c>
      <c r="G145" s="183" t="str">
        <f>IFERROR(VLOOKUP(TablaPrincipal[[#This Row],[CODIGO]],COSECHAS!A:I,8,0),"-")</f>
        <v>BARRACUDA</v>
      </c>
      <c r="H145" s="184">
        <f>IFERROR(VLOOKUP(TablaPrincipal[[#This Row],[CODIGO]],DATOS!A:B,2,0),"-")</f>
        <v>5.4</v>
      </c>
      <c r="I145" s="183" t="str">
        <f>IFERROR(VLOOKUP(TablaPrincipal[[#This Row],[CODIGO]],Tabla8[[#Headers],[#Data]],3,0),"-")</f>
        <v>CONVENCIONAL</v>
      </c>
      <c r="J145" s="183">
        <f>IFERROR(TablaPrincipal[[#This Row],[FECHA]]-TablaPrincipal[[#This Row],[FECHA DE SIEMBRA]],"-")</f>
        <v>80</v>
      </c>
      <c r="K145" s="196">
        <f>VLOOKUP(TablaPrincipal[[#This Row],[CODIGO]]&amp;TablaPrincipal[[#This Row],[AGUAJE ]],Tabla4[#All],4,0)</f>
        <v>45990</v>
      </c>
      <c r="L145" s="183" t="str">
        <f>VLOOKUP(TablaPrincipal[[#This Row],[CODIGO]]&amp;TablaPrincipal[[#This Row],[AGUAJE ]],Tabla4[#All],15,0)</f>
        <v>PA 1</v>
      </c>
      <c r="M145" s="184">
        <f>VLOOKUP(TablaPrincipal[[#This Row],[CODIGO]]&amp;TablaPrincipal[[#This Row],[AGUAJE ]],Tabla4[#All],14,0)</f>
        <v>1.6</v>
      </c>
      <c r="N145" s="183">
        <v>24</v>
      </c>
      <c r="O145" s="170">
        <f>VLOOKUP(TablaPrincipal[[#This Row],[CODIGO]]&amp;TablaPrincipal[[#This Row],[AGUAJE ]],Tabla4[#All],5,0)</f>
        <v>1289333</v>
      </c>
      <c r="P145" s="221">
        <f>IFERROR(TablaPrincipal[[#This Row],[ANIM SEMBRADOS]]/TablaPrincipal[[#This Row],[HAS]],"-")</f>
        <v>238765.37037037036</v>
      </c>
      <c r="Q145" s="222">
        <f>IFERROR(TablaPrincipal[[#This Row],[DENSIDAD]]/10000,"-")</f>
        <v>23.876537037037036</v>
      </c>
      <c r="R145" s="183" t="str">
        <f>VLOOKUP(TablaPrincipal[[#This Row],[CODIGO]]&amp;TablaPrincipal[[#This Row],[AGUAJE ]],Tabla4[#All],8,0)</f>
        <v>ACUATECSA / DEONES</v>
      </c>
      <c r="S145" s="183" t="str">
        <f>VLOOKUP(TablaPrincipal[[#This Row],[CODIGO]]&amp;TablaPrincipal[[#This Row],[AGUAJE ]],Tabla4[#All],7,0)</f>
        <v>TEXCUMAR</v>
      </c>
      <c r="T145" s="183" t="str">
        <f>IF(ISNUMBER(FIND("/",TablaPrincipal[[#This Row],[LABORATORIO]])),"COMBINADO","UNICO")</f>
        <v>COMBINADO</v>
      </c>
      <c r="U1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5100</v>
      </c>
      <c r="V1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4993.8900000000003</v>
      </c>
      <c r="W1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23.48</v>
      </c>
      <c r="Y145" s="185">
        <f>IFERROR(TablaPrincipal[[#This Row],[LIBRAS RALEO PLANTA]]/TablaPrincipal[[#This Row],[HAS]],"-")</f>
        <v>924.79444444444448</v>
      </c>
      <c r="Z1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96559.883304940377</v>
      </c>
      <c r="AA14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20100</v>
      </c>
      <c r="AB1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20365.169999999998</v>
      </c>
      <c r="AC145" s="186">
        <f>SUMIFS(COSECHAS!F:F,COSECHAS!A:A,'BASE 2026'!AW:AW,COSECHAS!G:G,"="&amp;A:A)</f>
        <v>30</v>
      </c>
      <c r="AD145" s="186">
        <f>SUMIFS(COSECHAS!M:M,COSECHAS!A:A,'BASE 2026'!AW:AW,COSECHAS!G:G,"="&amp;A:A)</f>
        <v>28.34</v>
      </c>
      <c r="AE145" s="185">
        <f>IFERROR(TablaPrincipal[[#This Row],[LIBRAS PLANTA]]/TablaPrincipal[[#This Row],[HAS]],"-")</f>
        <v>3771.3277777777771</v>
      </c>
      <c r="AF145" s="185">
        <f>IFERROR(TablaPrincipal[[#This Row],[LIBRAS PLANTA]]*454/TablaPrincipal[[#This Row],[GRAMOS PLANTA]],"-")</f>
        <v>326245.13690896257</v>
      </c>
      <c r="AG145" s="185">
        <f>TablaPrincipal[[#This Row],[LIBRAS RALEO PLANTA]]+TablaPrincipal[[#This Row],[LIBRAS PLANTA]]</f>
        <v>25359.059999999998</v>
      </c>
      <c r="AH145" s="185">
        <f>IFERROR(TablaPrincipal[[#This Row],[CAM COSECHADOS RALEO]]+TablaPrincipal[[#This Row],[CAM COSECHADOS]],"-")</f>
        <v>422805.02021390293</v>
      </c>
      <c r="AI145" s="185">
        <f>IFERROR((TablaPrincipal[[#This Row],[LIBRAS RALEO PLANTA]]+TablaPrincipal[[#This Row],[LIBRAS PLANTA]])/TablaPrincipal[[#This Row],[HAS]],"0")</f>
        <v>4696.1222222222214</v>
      </c>
      <c r="AJ145" s="186">
        <f t="shared" si="2"/>
        <v>2.4797500000000001</v>
      </c>
      <c r="AK145" s="186">
        <f>IFERROR(TablaPrincipal[[#This Row],[LBS/HA]]/TablaPrincipal[[#This Row],[DIAS]],"-")</f>
        <v>58.70152777777777</v>
      </c>
      <c r="AL145" s="186">
        <f>IFERROR(TablaPrincipal[[#This Row],[CAM COSECHADOS TOTALES]]/TablaPrincipal[[#This Row],[ANIM SEMBRADOS]]*100,"-")</f>
        <v>32.792538484154434</v>
      </c>
      <c r="AM145" s="185">
        <v>41446.480000000003</v>
      </c>
      <c r="AN145" s="187">
        <f>IFERROR(((TablaPrincipal[[#This Row],[BALANCEADO ACUMULADO (LBS)]]/2.2046)/TablaPrincipal[[#This Row],[HAS]])/TablaPrincipal[[#This Row],[DIAS]],"-")</f>
        <v>43.518518518518519</v>
      </c>
      <c r="AO145" s="184">
        <f>IFERROR(TablaPrincipal[[#This Row],[BALANCEADO ACUMULADO (LBS)]]/TablaPrincipal[[#This Row],[LIBRAS TOTALES]],"-")</f>
        <v>1.6343855016708035</v>
      </c>
      <c r="AP145" s="184"/>
      <c r="AQ145" s="184" t="s">
        <v>105</v>
      </c>
      <c r="AR145" s="185">
        <f>TablaPrincipal[[#This Row],[LIBRAS RALEO PLANTA]]-TablaPrincipal[[#This Row],[LIBRAS RALEO CAMARONERA]]</f>
        <v>-106.10999999999967</v>
      </c>
      <c r="AS145" s="185">
        <f>TablaPrincipal[[#This Row],[LIBRAS PLANTA]]-TablaPrincipal[[#This Row],[LIBRAS CAMARONERA]]</f>
        <v>265.16999999999825</v>
      </c>
      <c r="AT145" s="187">
        <f>TablaPrincipal[[#This Row],[GRAMAJE RALEO PLANTA]]-TablaPrincipal[[#This Row],[GRAMAJE RALEO CAMARONERA]]</f>
        <v>2.4800000000000004</v>
      </c>
      <c r="AU145" s="187">
        <f>TablaPrincipal[[#This Row],[GRAMOS PLANTA]]-TablaPrincipal[[#This Row],[GRAMAJE CAMARONERA]]</f>
        <v>-1.6600000000000001</v>
      </c>
      <c r="AV145" s="183" t="str">
        <f>+VLOOKUP(TablaPrincipal[[#This Row],[CODIGO]],TablaCosechas[#All],10,0)</f>
        <v>GUSTAVO CARRASCO</v>
      </c>
      <c r="AW145" s="183" t="s">
        <v>241</v>
      </c>
      <c r="AX145" s="188" t="str">
        <f>+VLOOKUP(TablaPrincipal[[#This Row],[CODIGO]],TablaCosechas[#All],10,0)</f>
        <v>GUSTAVO CARRASCO</v>
      </c>
    </row>
    <row r="146" spans="1:50" hidden="1" x14ac:dyDescent="0.25">
      <c r="A146" s="196">
        <v>46070</v>
      </c>
      <c r="B146" s="183">
        <v>144</v>
      </c>
      <c r="C146" s="183">
        <f>YEAR(TablaPrincipal[[#This Row],[FECHA]])</f>
        <v>2026</v>
      </c>
      <c r="D146" s="183" t="s">
        <v>225</v>
      </c>
      <c r="E146" s="183" t="str">
        <f>UPPER(TEXT(TablaPrincipal[[#This Row],[FECHA]],"MMMM"))</f>
        <v>FEBRERO</v>
      </c>
      <c r="F146" s="183" t="str">
        <f>IFERROR(VLOOKUP(TablaPrincipal[[#This Row],[CODIGO]],COSECHAS!A:J,9,0),"-")</f>
        <v>06</v>
      </c>
      <c r="G146" s="183" t="str">
        <f>IFERROR(VLOOKUP(TablaPrincipal[[#This Row],[CODIGO]],COSECHAS!A:I,8,0),"-")</f>
        <v>DELFIN</v>
      </c>
      <c r="H146" s="184">
        <f>IFERROR(VLOOKUP(TablaPrincipal[[#This Row],[CODIGO]],DATOS!A:B,2,0),"-")</f>
        <v>8.69</v>
      </c>
      <c r="I146" s="183" t="str">
        <f>IFERROR(VLOOKUP(TablaPrincipal[[#This Row],[CODIGO]],Tabla8[[#Headers],[#Data]],3,0),"-")</f>
        <v>CONVENCIONAL</v>
      </c>
      <c r="J146" s="183">
        <f>IFERROR(TablaPrincipal[[#This Row],[FECHA]]-TablaPrincipal[[#This Row],[FECHA DE SIEMBRA]],"-")</f>
        <v>87</v>
      </c>
      <c r="K146" s="196">
        <f>VLOOKUP(TablaPrincipal[[#This Row],[CODIGO]]&amp;TablaPrincipal[[#This Row],[AGUAJE ]],Tabla4[#All],4,0)</f>
        <v>45983</v>
      </c>
      <c r="L146" s="183" t="str">
        <f>VLOOKUP(TablaPrincipal[[#This Row],[CODIGO]]&amp;TablaPrincipal[[#This Row],[AGUAJE ]],Tabla4[#All],15,0)</f>
        <v>DE PC 3</v>
      </c>
      <c r="M146" s="184">
        <f>VLOOKUP(TablaPrincipal[[#This Row],[CODIGO]]&amp;TablaPrincipal[[#This Row],[AGUAJE ]],Tabla4[#All],14,0)</f>
        <v>0.5</v>
      </c>
      <c r="N146" s="183">
        <v>8</v>
      </c>
      <c r="O146" s="170">
        <f>VLOOKUP(TablaPrincipal[[#This Row],[CODIGO]]&amp;TablaPrincipal[[#This Row],[AGUAJE ]],Tabla4[#All],5,0)</f>
        <v>1470772</v>
      </c>
      <c r="P146" s="221">
        <f>IFERROR(TablaPrincipal[[#This Row],[ANIM SEMBRADOS]]/TablaPrincipal[[#This Row],[HAS]],"-")</f>
        <v>169248.79171461452</v>
      </c>
      <c r="Q146" s="222">
        <f>IFERROR(TablaPrincipal[[#This Row],[DENSIDAD]]/10000,"-")</f>
        <v>16.924879171461452</v>
      </c>
      <c r="R146" s="183" t="str">
        <f>VLOOKUP(TablaPrincipal[[#This Row],[CODIGO]]&amp;TablaPrincipal[[#This Row],[AGUAJE ]],Tabla4[#All],8,0)</f>
        <v>TECSERV</v>
      </c>
      <c r="S146" s="183" t="str">
        <f>VLOOKUP(TablaPrincipal[[#This Row],[CODIGO]]&amp;TablaPrincipal[[#This Row],[AGUAJE ]],Tabla4[#All],7,0)</f>
        <v>EMPAGRAN - SEMACUA</v>
      </c>
      <c r="T146" s="183" t="str">
        <f>IF(ISNUMBER(FIND("/",TablaPrincipal[[#This Row],[LABORATORIO]])),"COMBINADO","UNICO")</f>
        <v>UNICO</v>
      </c>
      <c r="U1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15200</v>
      </c>
      <c r="V1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16514.7</v>
      </c>
      <c r="W1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21.44</v>
      </c>
      <c r="Y146" s="185">
        <f>IFERROR(TablaPrincipal[[#This Row],[LIBRAS RALEO PLANTA]]/TablaPrincipal[[#This Row],[HAS]],"-")</f>
        <v>1900.4257767548909</v>
      </c>
      <c r="Z1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349704.93470149254</v>
      </c>
      <c r="AA14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30500</v>
      </c>
      <c r="AB1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30866.07</v>
      </c>
      <c r="AC146" s="186">
        <f>SUMIFS(COSECHAS!F:F,COSECHAS!A:A,'BASE 2026'!AW:AW,COSECHAS!G:G,"="&amp;A:A)</f>
        <v>34</v>
      </c>
      <c r="AD146" s="186">
        <f>SUMIFS(COSECHAS!M:M,COSECHAS!A:A,'BASE 2026'!AW:AW,COSECHAS!G:G,"="&amp;A:A)</f>
        <v>34.130000000000003</v>
      </c>
      <c r="AE146" s="185">
        <f>IFERROR(TablaPrincipal[[#This Row],[LIBRAS PLANTA]]/TablaPrincipal[[#This Row],[HAS]],"-")</f>
        <v>3551.9067894131185</v>
      </c>
      <c r="AF146" s="185">
        <f>IFERROR(TablaPrincipal[[#This Row],[LIBRAS PLANTA]]*454/TablaPrincipal[[#This Row],[GRAMOS PLANTA]],"-")</f>
        <v>410582.94110752997</v>
      </c>
      <c r="AG146" s="185">
        <f>TablaPrincipal[[#This Row],[LIBRAS RALEO PLANTA]]+TablaPrincipal[[#This Row],[LIBRAS PLANTA]]</f>
        <v>47380.770000000004</v>
      </c>
      <c r="AH146" s="185">
        <f>IFERROR(TablaPrincipal[[#This Row],[CAM COSECHADOS RALEO]]+TablaPrincipal[[#This Row],[CAM COSECHADOS]],"-")</f>
        <v>760287.87580902246</v>
      </c>
      <c r="AI146" s="185">
        <f>IFERROR((TablaPrincipal[[#This Row],[LIBRAS RALEO PLANTA]]+TablaPrincipal[[#This Row],[LIBRAS PLANTA]])/TablaPrincipal[[#This Row],[HAS]],"0")</f>
        <v>5452.3325661680101</v>
      </c>
      <c r="AJ146" s="186">
        <f t="shared" si="2"/>
        <v>2.7460919540229884</v>
      </c>
      <c r="AK146" s="186">
        <f>IFERROR(TablaPrincipal[[#This Row],[LBS/HA]]/TablaPrincipal[[#This Row],[DIAS]],"-")</f>
        <v>62.670489266298965</v>
      </c>
      <c r="AL146" s="186">
        <f>IFERROR(TablaPrincipal[[#This Row],[CAM COSECHADOS TOTALES]]/TablaPrincipal[[#This Row],[ANIM SEMBRADOS]]*100,"-")</f>
        <v>51.693115983240254</v>
      </c>
      <c r="AM146" s="185">
        <v>75066.63</v>
      </c>
      <c r="AN146" s="187">
        <f>IFERROR(((TablaPrincipal[[#This Row],[BALANCEADO ACUMULADO (LBS)]]/2.2046)/TablaPrincipal[[#This Row],[HAS]])/TablaPrincipal[[#This Row],[DIAS]],"-")</f>
        <v>45.037895321614222</v>
      </c>
      <c r="AO146" s="184">
        <f>IFERROR(TablaPrincipal[[#This Row],[BALANCEADO ACUMULADO (LBS)]]/TablaPrincipal[[#This Row],[LIBRAS TOTALES]],"-")</f>
        <v>1.5843269326353286</v>
      </c>
      <c r="AP146" s="184"/>
      <c r="AQ146" s="184" t="s">
        <v>105</v>
      </c>
      <c r="AR146" s="185">
        <f>TablaPrincipal[[#This Row],[LIBRAS RALEO PLANTA]]-TablaPrincipal[[#This Row],[LIBRAS RALEO CAMARONERA]]</f>
        <v>1314.7000000000007</v>
      </c>
      <c r="AS146" s="185">
        <f>TablaPrincipal[[#This Row],[LIBRAS PLANTA]]-TablaPrincipal[[#This Row],[LIBRAS CAMARONERA]]</f>
        <v>366.06999999999971</v>
      </c>
      <c r="AT146" s="187">
        <f>TablaPrincipal[[#This Row],[GRAMAJE RALEO PLANTA]]-TablaPrincipal[[#This Row],[GRAMAJE RALEO CAMARONERA]]</f>
        <v>0.44000000000000128</v>
      </c>
      <c r="AU146" s="187">
        <f>TablaPrincipal[[#This Row],[GRAMOS PLANTA]]-TablaPrincipal[[#This Row],[GRAMAJE CAMARONERA]]</f>
        <v>0.13000000000000256</v>
      </c>
      <c r="AV146" s="183" t="str">
        <f>+VLOOKUP(TablaPrincipal[[#This Row],[CODIGO]],TablaCosechas[#All],10,0)</f>
        <v>CARLOS FLORES</v>
      </c>
      <c r="AW146" s="183" t="s">
        <v>242</v>
      </c>
      <c r="AX146" s="188" t="str">
        <f>+VLOOKUP(TablaPrincipal[[#This Row],[CODIGO]],TablaCosechas[#All],10,0)</f>
        <v>CARLOS FLORES</v>
      </c>
    </row>
    <row r="147" spans="1:50" hidden="1" x14ac:dyDescent="0.25">
      <c r="A147" s="196">
        <v>46071</v>
      </c>
      <c r="B147" s="183">
        <v>145</v>
      </c>
      <c r="C147" s="183">
        <f>YEAR(TablaPrincipal[[#This Row],[FECHA]])</f>
        <v>2026</v>
      </c>
      <c r="D147" s="183" t="s">
        <v>225</v>
      </c>
      <c r="E147" s="183" t="str">
        <f>UPPER(TEXT(TablaPrincipal[[#This Row],[FECHA]],"MMMM"))</f>
        <v>FEBRERO</v>
      </c>
      <c r="F147" s="183" t="str">
        <f>IFERROR(VLOOKUP(TablaPrincipal[[#This Row],[CODIGO]],COSECHAS!A:J,9,0),"-")</f>
        <v>20</v>
      </c>
      <c r="G147" s="183" t="str">
        <f>IFERROR(VLOOKUP(TablaPrincipal[[#This Row],[CODIGO]],COSECHAS!A:I,8,0),"-")</f>
        <v>GUATO</v>
      </c>
      <c r="H147" s="184">
        <f>IFERROR(VLOOKUP(TablaPrincipal[[#This Row],[CODIGO]],DATOS!A:B,2,0),"-")</f>
        <v>2.04</v>
      </c>
      <c r="I147" s="183" t="str">
        <f>IFERROR(VLOOKUP(TablaPrincipal[[#This Row],[CODIGO]],Tabla8[[#Headers],[#Data]],3,0),"-")</f>
        <v>CONVENCIONAL</v>
      </c>
      <c r="J147" s="183">
        <f>IFERROR(TablaPrincipal[[#This Row],[FECHA]]-TablaPrincipal[[#This Row],[FECHA DE SIEMBRA]],"-")</f>
        <v>80</v>
      </c>
      <c r="K147" s="196">
        <f>VLOOKUP(TablaPrincipal[[#This Row],[CODIGO]]&amp;TablaPrincipal[[#This Row],[AGUAJE ]],Tabla4[#All],4,0)</f>
        <v>45991</v>
      </c>
      <c r="L147" s="183" t="str">
        <f>VLOOKUP(TablaPrincipal[[#This Row],[CODIGO]]&amp;TablaPrincipal[[#This Row],[AGUAJE ]],Tabla4[#All],15,0)</f>
        <v>GT 8</v>
      </c>
      <c r="M147" s="184">
        <f>VLOOKUP(TablaPrincipal[[#This Row],[CODIGO]]&amp;TablaPrincipal[[#This Row],[AGUAJE ]],Tabla4[#All],14,0)</f>
        <v>0.8</v>
      </c>
      <c r="N147" s="183">
        <v>10</v>
      </c>
      <c r="O147" s="170">
        <f>VLOOKUP(TablaPrincipal[[#This Row],[CODIGO]]&amp;TablaPrincipal[[#This Row],[AGUAJE ]],Tabla4[#All],5,0)</f>
        <v>326400</v>
      </c>
      <c r="P147" s="221">
        <f>IFERROR(TablaPrincipal[[#This Row],[ANIM SEMBRADOS]]/TablaPrincipal[[#This Row],[HAS]],"-")</f>
        <v>160000</v>
      </c>
      <c r="Q147" s="222">
        <f>IFERROR(TablaPrincipal[[#This Row],[DENSIDAD]]/10000,"-")</f>
        <v>16</v>
      </c>
      <c r="R147" s="183" t="str">
        <f>VLOOKUP(TablaPrincipal[[#This Row],[CODIGO]]&amp;TablaPrincipal[[#This Row],[AGUAJE ]],Tabla4[#All],8,0)</f>
        <v>EMPAGRAN</v>
      </c>
      <c r="S147" s="183" t="str">
        <f>VLOOKUP(TablaPrincipal[[#This Row],[CODIGO]]&amp;TablaPrincipal[[#This Row],[AGUAJE ]],Tabla4[#All],7,0)</f>
        <v>EMPAGRAN</v>
      </c>
      <c r="T147" s="183" t="str">
        <f>IF(ISNUMBER(FIND("/",TablaPrincipal[[#This Row],[LABORATORIO]])),"COMBINADO","UNICO")</f>
        <v>UNICO</v>
      </c>
      <c r="U1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3200</v>
      </c>
      <c r="V1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3181.32</v>
      </c>
      <c r="W1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27.02</v>
      </c>
      <c r="Y147" s="185">
        <f>IFERROR(TablaPrincipal[[#This Row],[LIBRAS RALEO PLANTA]]/TablaPrincipal[[#This Row],[HAS]],"-")</f>
        <v>1559.4705882352941</v>
      </c>
      <c r="Z1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53453.711324944488</v>
      </c>
      <c r="AA14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1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10179.700000000001</v>
      </c>
      <c r="AC147" s="186">
        <f>SUMIFS(COSECHAS!F:F,COSECHAS!A:A,'BASE 2026'!AW:AW,COSECHAS!G:G,"="&amp;A:A)</f>
        <v>27</v>
      </c>
      <c r="AD147" s="186">
        <f>SUMIFS(COSECHAS!M:M,COSECHAS!A:A,'BASE 2026'!AW:AW,COSECHAS!G:G,"="&amp;A:A)</f>
        <v>28.96</v>
      </c>
      <c r="AE147" s="185">
        <f>IFERROR(TablaPrincipal[[#This Row],[LIBRAS PLANTA]]/TablaPrincipal[[#This Row],[HAS]],"-")</f>
        <v>4990.0490196078435</v>
      </c>
      <c r="AF147" s="185">
        <f>IFERROR(TablaPrincipal[[#This Row],[LIBRAS PLANTA]]*454/TablaPrincipal[[#This Row],[GRAMOS PLANTA]],"-")</f>
        <v>159585.07596685085</v>
      </c>
      <c r="AG147" s="185">
        <f>TablaPrincipal[[#This Row],[LIBRAS RALEO PLANTA]]+TablaPrincipal[[#This Row],[LIBRAS PLANTA]]</f>
        <v>13361.02</v>
      </c>
      <c r="AH147" s="185">
        <f>IFERROR(TablaPrincipal[[#This Row],[CAM COSECHADOS RALEO]]+TablaPrincipal[[#This Row],[CAM COSECHADOS]],"-")</f>
        <v>213038.78729179534</v>
      </c>
      <c r="AI147" s="185">
        <f>IFERROR((TablaPrincipal[[#This Row],[LIBRAS RALEO PLANTA]]+TablaPrincipal[[#This Row],[LIBRAS PLANTA]])/TablaPrincipal[[#This Row],[HAS]],"0")</f>
        <v>6549.5196078431372</v>
      </c>
      <c r="AJ147" s="186">
        <f t="shared" si="2"/>
        <v>2.5339999999999998</v>
      </c>
      <c r="AK147" s="186">
        <f>IFERROR(TablaPrincipal[[#This Row],[LBS/HA]]/TablaPrincipal[[#This Row],[DIAS]],"-")</f>
        <v>81.868995098039221</v>
      </c>
      <c r="AL147" s="186">
        <f>IFERROR(TablaPrincipal[[#This Row],[CAM COSECHADOS TOTALES]]/TablaPrincipal[[#This Row],[ANIM SEMBRADOS]]*100,"-")</f>
        <v>65.269236302633374</v>
      </c>
      <c r="AM147" s="185">
        <v>20679.148000000001</v>
      </c>
      <c r="AN147" s="187">
        <f>IFERROR(((TablaPrincipal[[#This Row],[BALANCEADO ACUMULADO (LBS)]]/2.2046)/TablaPrincipal[[#This Row],[HAS]])/TablaPrincipal[[#This Row],[DIAS]],"-")</f>
        <v>57.475490196078432</v>
      </c>
      <c r="AO147" s="184">
        <f>IFERROR(TablaPrincipal[[#This Row],[BALANCEADO ACUMULADO (LBS)]]/TablaPrincipal[[#This Row],[LIBRAS TOTALES]],"-")</f>
        <v>1.5477222547380365</v>
      </c>
      <c r="AP147" s="184"/>
      <c r="AQ147" s="184" t="s">
        <v>105</v>
      </c>
      <c r="AR147" s="185">
        <f>TablaPrincipal[[#This Row],[LIBRAS RALEO PLANTA]]-TablaPrincipal[[#This Row],[LIBRAS RALEO CAMARONERA]]</f>
        <v>-18.679999999999836</v>
      </c>
      <c r="AS147" s="185">
        <f>TablaPrincipal[[#This Row],[LIBRAS PLANTA]]-TablaPrincipal[[#This Row],[LIBRAS CAMARONERA]]</f>
        <v>179.70000000000073</v>
      </c>
      <c r="AT147" s="187">
        <f>TablaPrincipal[[#This Row],[GRAMAJE RALEO PLANTA]]-TablaPrincipal[[#This Row],[GRAMAJE RALEO CAMARONERA]]</f>
        <v>2.0199999999999996</v>
      </c>
      <c r="AU147" s="187">
        <f>TablaPrincipal[[#This Row],[GRAMOS PLANTA]]-TablaPrincipal[[#This Row],[GRAMAJE CAMARONERA]]</f>
        <v>1.9600000000000009</v>
      </c>
      <c r="AV147" s="183" t="str">
        <f>+VLOOKUP(TablaPrincipal[[#This Row],[CODIGO]],TablaCosechas[#All],10,0)</f>
        <v>JULIO SANTOS</v>
      </c>
      <c r="AW147" s="183" t="s">
        <v>243</v>
      </c>
      <c r="AX147" s="188" t="str">
        <f>+VLOOKUP(TablaPrincipal[[#This Row],[CODIGO]],TablaCosechas[#All],10,0)</f>
        <v>JULIO SANTOS</v>
      </c>
    </row>
    <row r="148" spans="1:50" hidden="1" x14ac:dyDescent="0.25">
      <c r="A148" s="196">
        <v>46071</v>
      </c>
      <c r="B148" s="183">
        <v>146</v>
      </c>
      <c r="C148" s="183">
        <f>YEAR(TablaPrincipal[[#This Row],[FECHA]])</f>
        <v>2026</v>
      </c>
      <c r="D148" s="183" t="s">
        <v>225</v>
      </c>
      <c r="E148" s="183" t="str">
        <f>UPPER(TEXT(TablaPrincipal[[#This Row],[FECHA]],"MMMM"))</f>
        <v>FEBRERO</v>
      </c>
      <c r="F148" s="183" t="str">
        <f>IFERROR(VLOOKUP(TablaPrincipal[[#This Row],[CODIGO]],COSECHAS!A:J,9,0),"-")</f>
        <v>03</v>
      </c>
      <c r="G148" s="183" t="str">
        <f>IFERROR(VLOOKUP(TablaPrincipal[[#This Row],[CODIGO]],COSECHAS!A:I,8,0),"-")</f>
        <v>PAMPANO</v>
      </c>
      <c r="H148" s="184">
        <f>IFERROR(VLOOKUP(TablaPrincipal[[#This Row],[CODIGO]],DATOS!A:B,2,0),"-")</f>
        <v>8.4</v>
      </c>
      <c r="I148" s="183" t="str">
        <f>IFERROR(VLOOKUP(TablaPrincipal[[#This Row],[CODIGO]],Tabla8[[#Headers],[#Data]],3,0),"-")</f>
        <v>ASC-BAP</v>
      </c>
      <c r="J148" s="183">
        <f>IFERROR(TablaPrincipal[[#This Row],[FECHA]]-TablaPrincipal[[#This Row],[FECHA DE SIEMBRA]],"-")</f>
        <v>86</v>
      </c>
      <c r="K148" s="196">
        <f>VLOOKUP(TablaPrincipal[[#This Row],[CODIGO]]&amp;TablaPrincipal[[#This Row],[AGUAJE ]],Tabla4[#All],4,0)</f>
        <v>45985</v>
      </c>
      <c r="L148" s="183" t="str">
        <f>VLOOKUP(TablaPrincipal[[#This Row],[CODIGO]]&amp;TablaPrincipal[[#This Row],[AGUAJE ]],Tabla4[#All],15,0)</f>
        <v>MA PC 3</v>
      </c>
      <c r="M148" s="184">
        <f>VLOOKUP(TablaPrincipal[[#This Row],[CODIGO]]&amp;TablaPrincipal[[#This Row],[AGUAJE ]],Tabla4[#All],14,0)</f>
        <v>0.57999999999999996</v>
      </c>
      <c r="N148" s="183">
        <v>12</v>
      </c>
      <c r="O148" s="170">
        <f>VLOOKUP(TablaPrincipal[[#This Row],[CODIGO]]&amp;TablaPrincipal[[#This Row],[AGUAJE ]],Tabla4[#All],5,0)</f>
        <v>1159224</v>
      </c>
      <c r="P148" s="221">
        <f>IFERROR(TablaPrincipal[[#This Row],[ANIM SEMBRADOS]]/TablaPrincipal[[#This Row],[HAS]],"-")</f>
        <v>138002.85714285713</v>
      </c>
      <c r="Q148" s="222">
        <f>IFERROR(TablaPrincipal[[#This Row],[DENSIDAD]]/10000,"-")</f>
        <v>13.800285714285714</v>
      </c>
      <c r="R148" s="183" t="str">
        <f>VLOOKUP(TablaPrincipal[[#This Row],[CODIGO]]&amp;TablaPrincipal[[#This Row],[AGUAJE ]],Tabla4[#All],8,0)</f>
        <v>GABSO</v>
      </c>
      <c r="S148" s="183" t="str">
        <f>VLOOKUP(TablaPrincipal[[#This Row],[CODIGO]]&amp;TablaPrincipal[[#This Row],[AGUAJE ]],Tabla4[#All],7,0)</f>
        <v>TEXCUMAR</v>
      </c>
      <c r="T148" s="183" t="str">
        <f>IF(ISNUMBER(FIND("/",TablaPrincipal[[#This Row],[LABORATORIO]])),"COMBINADO","UNICO")</f>
        <v>UNICO</v>
      </c>
      <c r="U1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18050</v>
      </c>
      <c r="V1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17120.59</v>
      </c>
      <c r="W1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1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23.71</v>
      </c>
      <c r="Y148" s="185">
        <f>IFERROR(TablaPrincipal[[#This Row],[LIBRAS RALEO PLANTA]]/TablaPrincipal[[#This Row],[HAS]],"-")</f>
        <v>2038.1654761904761</v>
      </c>
      <c r="Z1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331105.81017789606</v>
      </c>
      <c r="AA14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31750</v>
      </c>
      <c r="AB1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32075.64</v>
      </c>
      <c r="AC148" s="186">
        <f>SUMIFS(COSECHAS!F:F,COSECHAS!A:A,'BASE 2026'!AW:AW,COSECHAS!G:G,"="&amp;A:A)</f>
        <v>32</v>
      </c>
      <c r="AD148" s="186">
        <f>SUMIFS(COSECHAS!M:M,COSECHAS!A:A,'BASE 2026'!AW:AW,COSECHAS!G:G,"="&amp;A:A)</f>
        <v>34.479999999999997</v>
      </c>
      <c r="AE148" s="185">
        <f>IFERROR(TablaPrincipal[[#This Row],[LIBRAS PLANTA]]/TablaPrincipal[[#This Row],[HAS]],"-")</f>
        <v>3818.528571428571</v>
      </c>
      <c r="AF148" s="185">
        <f>IFERROR(TablaPrincipal[[#This Row],[LIBRAS PLANTA]]*454/TablaPrincipal[[#This Row],[GRAMOS PLANTA]],"-")</f>
        <v>422341.66357308591</v>
      </c>
      <c r="AG148" s="185">
        <f>TablaPrincipal[[#This Row],[LIBRAS RALEO PLANTA]]+TablaPrincipal[[#This Row],[LIBRAS PLANTA]]</f>
        <v>49196.229999999996</v>
      </c>
      <c r="AH148" s="185">
        <f>IFERROR(TablaPrincipal[[#This Row],[CAM COSECHADOS RALEO]]+TablaPrincipal[[#This Row],[CAM COSECHADOS]],"-")</f>
        <v>753447.47375098197</v>
      </c>
      <c r="AI148" s="185">
        <f>IFERROR((TablaPrincipal[[#This Row],[LIBRAS RALEO PLANTA]]+TablaPrincipal[[#This Row],[LIBRAS PLANTA]])/TablaPrincipal[[#This Row],[HAS]],"0")</f>
        <v>5856.6940476190466</v>
      </c>
      <c r="AJ148" s="186">
        <f t="shared" si="2"/>
        <v>2.8065116279069762</v>
      </c>
      <c r="AK148" s="186">
        <f>IFERROR(TablaPrincipal[[#This Row],[LBS/HA]]/TablaPrincipal[[#This Row],[DIAS]],"-")</f>
        <v>68.101093576965653</v>
      </c>
      <c r="AL148" s="186">
        <f>IFERROR(TablaPrincipal[[#This Row],[CAM COSECHADOS TOTALES]]/TablaPrincipal[[#This Row],[ANIM SEMBRADOS]]*100,"-")</f>
        <v>64.995848408157698</v>
      </c>
      <c r="AM148" s="185">
        <v>69092.164000000004</v>
      </c>
      <c r="AN148" s="187">
        <f>IFERROR(((TablaPrincipal[[#This Row],[BALANCEADO ACUMULADO (LBS)]]/2.2046)/TablaPrincipal[[#This Row],[HAS]])/TablaPrincipal[[#This Row],[DIAS]],"-")</f>
        <v>43.383167220376521</v>
      </c>
      <c r="AO148" s="184">
        <f>IFERROR(TablaPrincipal[[#This Row],[BALANCEADO ACUMULADO (LBS)]]/TablaPrincipal[[#This Row],[LIBRAS TOTALES]],"-")</f>
        <v>1.4044198915242085</v>
      </c>
      <c r="AP148" s="184"/>
      <c r="AQ148" s="184" t="s">
        <v>105</v>
      </c>
      <c r="AR148" s="185">
        <f>TablaPrincipal[[#This Row],[LIBRAS RALEO PLANTA]]-TablaPrincipal[[#This Row],[LIBRAS RALEO CAMARONERA]]</f>
        <v>-929.40999999999985</v>
      </c>
      <c r="AS148" s="185">
        <f>TablaPrincipal[[#This Row],[LIBRAS PLANTA]]-TablaPrincipal[[#This Row],[LIBRAS CAMARONERA]]</f>
        <v>325.63999999999942</v>
      </c>
      <c r="AT148" s="187">
        <f>TablaPrincipal[[#This Row],[GRAMAJE RALEO PLANTA]]-TablaPrincipal[[#This Row],[GRAMAJE RALEO CAMARONERA]]</f>
        <v>4.2100000000000009</v>
      </c>
      <c r="AU148" s="187">
        <f>TablaPrincipal[[#This Row],[GRAMOS PLANTA]]-TablaPrincipal[[#This Row],[GRAMAJE CAMARONERA]]</f>
        <v>2.4799999999999969</v>
      </c>
      <c r="AV148" s="183" t="str">
        <f>+VLOOKUP(TablaPrincipal[[#This Row],[CODIGO]],TablaCosechas[#All],10,0)</f>
        <v>GUSTAVO CARRASCO</v>
      </c>
      <c r="AW148" s="183" t="s">
        <v>244</v>
      </c>
      <c r="AX148" s="188" t="str">
        <f>+VLOOKUP(TablaPrincipal[[#This Row],[CODIGO]],TablaCosechas[#All],10,0)</f>
        <v>GUSTAVO CARRASCO</v>
      </c>
    </row>
    <row r="149" spans="1:50" hidden="1" x14ac:dyDescent="0.25">
      <c r="A149" s="196">
        <v>46072</v>
      </c>
      <c r="B149" s="183">
        <v>147</v>
      </c>
      <c r="C149" s="183">
        <f>YEAR(TablaPrincipal[[#This Row],[FECHA]])</f>
        <v>2026</v>
      </c>
      <c r="D149" s="183" t="s">
        <v>225</v>
      </c>
      <c r="E149" s="183" t="str">
        <f>UPPER(TEXT(TablaPrincipal[[#This Row],[FECHA]],"MMMM"))</f>
        <v>FEBRERO</v>
      </c>
      <c r="F149" s="183" t="str">
        <f>IFERROR(VLOOKUP(TablaPrincipal[[#This Row],[CODIGO]],COSECHAS!A:J,9,0),"-")</f>
        <v>16</v>
      </c>
      <c r="G149" s="183" t="str">
        <f>IFERROR(VLOOKUP(TablaPrincipal[[#This Row],[CODIGO]],COSECHAS!A:I,8,0),"-")</f>
        <v>CATANUDA</v>
      </c>
      <c r="H149" s="184">
        <f>IFERROR(VLOOKUP(TablaPrincipal[[#This Row],[CODIGO]],DATOS!A:B,2,0),"-")</f>
        <v>8</v>
      </c>
      <c r="I149" s="183" t="str">
        <f>IFERROR(VLOOKUP(TablaPrincipal[[#This Row],[CODIGO]],Tabla8[[#Headers],[#Data]],3,0),"-")</f>
        <v>ASC-BAP</v>
      </c>
      <c r="J149" s="183">
        <f>IFERROR(TablaPrincipal[[#This Row],[FECHA]]-TablaPrincipal[[#This Row],[FECHA DE SIEMBRA]],"-")</f>
        <v>70</v>
      </c>
      <c r="K149" s="196">
        <f>VLOOKUP(TablaPrincipal[[#This Row],[CODIGO]]&amp;TablaPrincipal[[#This Row],[AGUAJE ]],Tabla4[#All],4,0)</f>
        <v>46002</v>
      </c>
      <c r="L149" s="183" t="str">
        <f>VLOOKUP(TablaPrincipal[[#This Row],[CODIGO]]&amp;TablaPrincipal[[#This Row],[AGUAJE ]],Tabla4[#All],15,0)</f>
        <v>CA PC 15</v>
      </c>
      <c r="M149" s="184">
        <f>VLOOKUP(TablaPrincipal[[#This Row],[CODIGO]]&amp;TablaPrincipal[[#This Row],[AGUAJE ]],Tabla4[#All],14,0)</f>
        <v>0.46</v>
      </c>
      <c r="N149" s="183">
        <v>6</v>
      </c>
      <c r="O149" s="170">
        <f>VLOOKUP(TablaPrincipal[[#This Row],[CODIGO]]&amp;TablaPrincipal[[#This Row],[AGUAJE ]],Tabla4[#All],5,0)</f>
        <v>1160000</v>
      </c>
      <c r="P149" s="221">
        <f>IFERROR(TablaPrincipal[[#This Row],[ANIM SEMBRADOS]]/TablaPrincipal[[#This Row],[HAS]],"-")</f>
        <v>145000</v>
      </c>
      <c r="Q149" s="222">
        <f>IFERROR(TablaPrincipal[[#This Row],[DENSIDAD]]/10000,"-")</f>
        <v>14.5</v>
      </c>
      <c r="R149" s="183" t="str">
        <f>VLOOKUP(TablaPrincipal[[#This Row],[CODIGO]]&amp;TablaPrincipal[[#This Row],[AGUAJE ]],Tabla4[#All],8,0)</f>
        <v>GRILSAN</v>
      </c>
      <c r="S149" s="183" t="str">
        <f>VLOOKUP(TablaPrincipal[[#This Row],[CODIGO]]&amp;TablaPrincipal[[#This Row],[AGUAJE ]],Tabla4[#All],7,0)</f>
        <v>AQUAGEN</v>
      </c>
      <c r="T149" s="183" t="str">
        <f>IF(ISNUMBER(FIND("/",TablaPrincipal[[#This Row],[LABORATORIO]])),"COMBINADO","UNICO")</f>
        <v>UNICO</v>
      </c>
      <c r="U1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49" s="185">
        <f>IFERROR(TablaPrincipal[[#This Row],[LIBRAS RALEO PLANTA]]/TablaPrincipal[[#This Row],[HAS]],"-")</f>
        <v>0</v>
      </c>
      <c r="Z1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4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1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34301.360000000001</v>
      </c>
      <c r="AC149" s="186">
        <f>SUMIFS(COSECHAS!F:F,COSECHAS!A:A,'BASE 2026'!AW:AW,COSECHAS!G:G,"="&amp;A:A)</f>
        <v>34</v>
      </c>
      <c r="AD149" s="186">
        <f>SUMIFS(COSECHAS!M:M,COSECHAS!A:A,'BASE 2026'!AW:AW,COSECHAS!G:G,"="&amp;A:A)</f>
        <v>34.020000000000003</v>
      </c>
      <c r="AE149" s="185">
        <f>IFERROR(TablaPrincipal[[#This Row],[LIBRAS PLANTA]]/TablaPrincipal[[#This Row],[HAS]],"-")</f>
        <v>4287.67</v>
      </c>
      <c r="AF149" s="185">
        <f>IFERROR(TablaPrincipal[[#This Row],[LIBRAS PLANTA]]*454/TablaPrincipal[[#This Row],[GRAMOS PLANTA]],"-")</f>
        <v>457754.77483833034</v>
      </c>
      <c r="AG149" s="185">
        <f>TablaPrincipal[[#This Row],[LIBRAS RALEO PLANTA]]+TablaPrincipal[[#This Row],[LIBRAS PLANTA]]</f>
        <v>34301.360000000001</v>
      </c>
      <c r="AH149" s="185">
        <f>IFERROR(TablaPrincipal[[#This Row],[CAM COSECHADOS RALEO]]+TablaPrincipal[[#This Row],[CAM COSECHADOS]],"-")</f>
        <v>457754.77483833034</v>
      </c>
      <c r="AI149" s="185">
        <f>IFERROR((TablaPrincipal[[#This Row],[LIBRAS RALEO PLANTA]]+TablaPrincipal[[#This Row],[LIBRAS PLANTA]])/TablaPrincipal[[#This Row],[HAS]],"0")</f>
        <v>4287.67</v>
      </c>
      <c r="AJ149" s="186">
        <f t="shared" si="2"/>
        <v>3.4020000000000001</v>
      </c>
      <c r="AK149" s="186">
        <f>IFERROR(TablaPrincipal[[#This Row],[LBS/HA]]/TablaPrincipal[[#This Row],[DIAS]],"-")</f>
        <v>61.252428571428574</v>
      </c>
      <c r="AL149" s="186">
        <f>IFERROR(TablaPrincipal[[#This Row],[CAM COSECHADOS TOTALES]]/TablaPrincipal[[#This Row],[ANIM SEMBRADOS]]*100,"-")</f>
        <v>39.46161852054572</v>
      </c>
      <c r="AM149" s="185">
        <v>47839.82</v>
      </c>
      <c r="AN149" s="187">
        <f>IFERROR(((TablaPrincipal[[#This Row],[BALANCEADO ACUMULADO (LBS)]]/2.2046)/TablaPrincipal[[#This Row],[HAS]])/TablaPrincipal[[#This Row],[DIAS]],"-")</f>
        <v>38.75</v>
      </c>
      <c r="AO149" s="184">
        <f>IFERROR(TablaPrincipal[[#This Row],[BALANCEADO ACUMULADO (LBS)]]/TablaPrincipal[[#This Row],[LIBRAS TOTALES]],"-")</f>
        <v>1.3946916390487141</v>
      </c>
      <c r="AP149" s="184"/>
      <c r="AQ149" s="184" t="s">
        <v>105</v>
      </c>
      <c r="AR149" s="185">
        <f>TablaPrincipal[[#This Row],[LIBRAS RALEO PLANTA]]-TablaPrincipal[[#This Row],[LIBRAS RALEO CAMARONERA]]</f>
        <v>0</v>
      </c>
      <c r="AS149" s="185">
        <f>TablaPrincipal[[#This Row],[LIBRAS PLANTA]]-TablaPrincipal[[#This Row],[LIBRAS CAMARONERA]]</f>
        <v>501.36000000000058</v>
      </c>
      <c r="AT149" s="187">
        <f>TablaPrincipal[[#This Row],[GRAMAJE RALEO PLANTA]]-TablaPrincipal[[#This Row],[GRAMAJE RALEO CAMARONERA]]</f>
        <v>0</v>
      </c>
      <c r="AU149" s="187">
        <f>TablaPrincipal[[#This Row],[GRAMOS PLANTA]]-TablaPrincipal[[#This Row],[GRAMAJE CAMARONERA]]</f>
        <v>2.0000000000003126E-2</v>
      </c>
      <c r="AV149" s="183" t="str">
        <f>+VLOOKUP(TablaPrincipal[[#This Row],[CODIGO]],TablaCosechas[#All],10,0)</f>
        <v>VICTOR QUINTANA</v>
      </c>
      <c r="AW149" s="183" t="s">
        <v>245</v>
      </c>
      <c r="AX149" s="188" t="str">
        <f>+VLOOKUP(TablaPrincipal[[#This Row],[CODIGO]],TablaCosechas[#All],10,0)</f>
        <v>VICTOR QUINTANA</v>
      </c>
    </row>
    <row r="150" spans="1:50" hidden="1" x14ac:dyDescent="0.25">
      <c r="A150" s="196">
        <v>46073</v>
      </c>
      <c r="B150" s="183">
        <v>148</v>
      </c>
      <c r="C150" s="183">
        <f>YEAR(TablaPrincipal[[#This Row],[FECHA]])</f>
        <v>2026</v>
      </c>
      <c r="D150" s="183" t="s">
        <v>225</v>
      </c>
      <c r="E150" s="183" t="str">
        <f>UPPER(TEXT(TablaPrincipal[[#This Row],[FECHA]],"MMMM"))</f>
        <v>FEBRERO</v>
      </c>
      <c r="F150" s="183" t="str">
        <f>IFERROR(VLOOKUP(TablaPrincipal[[#This Row],[CODIGO]],COSECHAS!A:J,9,0),"-")</f>
        <v>09</v>
      </c>
      <c r="G150" s="183" t="str">
        <f>IFERROR(VLOOKUP(TablaPrincipal[[#This Row],[CODIGO]],COSECHAS!A:I,8,0),"-")</f>
        <v>MANTARRAYA</v>
      </c>
      <c r="H150" s="184">
        <f>IFERROR(VLOOKUP(TablaPrincipal[[#This Row],[CODIGO]],DATOS!A:B,2,0),"-")</f>
        <v>4.6500000000000004</v>
      </c>
      <c r="I150" s="183" t="str">
        <f>IFERROR(VLOOKUP(TablaPrincipal[[#This Row],[CODIGO]],Tabla8[[#Headers],[#Data]],3,0),"-")</f>
        <v>ASC-BAP</v>
      </c>
      <c r="J150" s="183">
        <f>IFERROR(TablaPrincipal[[#This Row],[FECHA]]-TablaPrincipal[[#This Row],[FECHA DE SIEMBRA]],"-")</f>
        <v>88</v>
      </c>
      <c r="K150" s="196">
        <f>VLOOKUP(TablaPrincipal[[#This Row],[CODIGO]]&amp;TablaPrincipal[[#This Row],[AGUAJE ]],Tabla4[#All],4,0)</f>
        <v>45985</v>
      </c>
      <c r="L150" s="183" t="str">
        <f>VLOOKUP(TablaPrincipal[[#This Row],[CODIGO]]&amp;TablaPrincipal[[#This Row],[AGUAJE ]],Tabla4[#All],15,0)</f>
        <v>MA PC 3 - 7</v>
      </c>
      <c r="M150" s="184">
        <f>VLOOKUP(TablaPrincipal[[#This Row],[CODIGO]]&amp;TablaPrincipal[[#This Row],[AGUAJE ]],Tabla4[#All],14,0)</f>
        <v>0.73</v>
      </c>
      <c r="N150" s="183">
        <v>5</v>
      </c>
      <c r="O150" s="170">
        <f>VLOOKUP(TablaPrincipal[[#This Row],[CODIGO]]&amp;TablaPrincipal[[#This Row],[AGUAJE ]],Tabla4[#All],5,0)</f>
        <v>641379</v>
      </c>
      <c r="P150" s="221">
        <f>IFERROR(TablaPrincipal[[#This Row],[ANIM SEMBRADOS]]/TablaPrincipal[[#This Row],[HAS]],"-")</f>
        <v>137930.96774193548</v>
      </c>
      <c r="Q150" s="222">
        <f>IFERROR(TablaPrincipal[[#This Row],[DENSIDAD]]/10000,"-")</f>
        <v>13.793096774193549</v>
      </c>
      <c r="R150" s="183" t="str">
        <f>VLOOKUP(TablaPrincipal[[#This Row],[CODIGO]]&amp;TablaPrincipal[[#This Row],[AGUAJE ]],Tabla4[#All],8,0)</f>
        <v>TECSERV/GABSO</v>
      </c>
      <c r="S150" s="183" t="str">
        <f>VLOOKUP(TablaPrincipal[[#This Row],[CODIGO]]&amp;TablaPrincipal[[#This Row],[AGUAJE ]],Tabla4[#All],7,0)</f>
        <v>TEXCUMAR</v>
      </c>
      <c r="T150" s="183" t="str">
        <f>IF(ISNUMBER(FIND("/",TablaPrincipal[[#This Row],[LABORATORIO]])),"COMBINADO","UNICO")</f>
        <v>COMBINADO</v>
      </c>
      <c r="U1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1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7721.4400000000005</v>
      </c>
      <c r="W1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26.29</v>
      </c>
      <c r="Y150" s="185">
        <f>IFERROR(TablaPrincipal[[#This Row],[LIBRAS RALEO PLANTA]]/TablaPrincipal[[#This Row],[HAS]],"-")</f>
        <v>1660.5247311827957</v>
      </c>
      <c r="Z1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138893.9518541116</v>
      </c>
      <c r="AA15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1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20924.23</v>
      </c>
      <c r="AC150" s="186">
        <f>SUMIFS(COSECHAS!F:F,COSECHAS!A:A,'BASE 2026'!AW:AW,COSECHAS!G:G,"="&amp;A:A)</f>
        <v>38</v>
      </c>
      <c r="AD150" s="186">
        <f>SUMIFS(COSECHAS!M:M,COSECHAS!A:A,'BASE 2026'!AW:AW,COSECHAS!G:G,"="&amp;A:A)</f>
        <v>39.06</v>
      </c>
      <c r="AE150" s="185">
        <f>IFERROR(TablaPrincipal[[#This Row],[LIBRAS PLANTA]]/TablaPrincipal[[#This Row],[HAS]],"-")</f>
        <v>4499.8344086021498</v>
      </c>
      <c r="AF150" s="185">
        <f>IFERROR(TablaPrincipal[[#This Row],[LIBRAS PLANTA]]*454/TablaPrincipal[[#This Row],[GRAMOS PLANTA]],"-")</f>
        <v>243205.33589349716</v>
      </c>
      <c r="AG150" s="185">
        <f>TablaPrincipal[[#This Row],[LIBRAS RALEO PLANTA]]+TablaPrincipal[[#This Row],[LIBRAS PLANTA]]</f>
        <v>28645.67</v>
      </c>
      <c r="AH150" s="185">
        <f>IFERROR(TablaPrincipal[[#This Row],[CAM COSECHADOS RALEO]]+TablaPrincipal[[#This Row],[CAM COSECHADOS]],"-")</f>
        <v>382099.28774760873</v>
      </c>
      <c r="AI150" s="185">
        <f>IFERROR((TablaPrincipal[[#This Row],[LIBRAS RALEO PLANTA]]+TablaPrincipal[[#This Row],[LIBRAS PLANTA]])/TablaPrincipal[[#This Row],[HAS]],"0")</f>
        <v>6160.359139784945</v>
      </c>
      <c r="AJ150" s="186">
        <f t="shared" si="2"/>
        <v>3.1070454545454549</v>
      </c>
      <c r="AK150" s="186">
        <f>IFERROR(TablaPrincipal[[#This Row],[LBS/HA]]/TablaPrincipal[[#This Row],[DIAS]],"-")</f>
        <v>70.004081133919826</v>
      </c>
      <c r="AL150" s="186">
        <f>IFERROR(TablaPrincipal[[#This Row],[CAM COSECHADOS TOTALES]]/TablaPrincipal[[#This Row],[ANIM SEMBRADOS]]*100,"-")</f>
        <v>59.574648959134727</v>
      </c>
      <c r="AM150" s="185">
        <v>35648.382000000005</v>
      </c>
      <c r="AN150" s="187">
        <f>IFERROR(((TablaPrincipal[[#This Row],[BALANCEADO ACUMULADO (LBS)]]/2.2046)/TablaPrincipal[[#This Row],[HAS]])/TablaPrincipal[[#This Row],[DIAS]],"-")</f>
        <v>39.516129032258064</v>
      </c>
      <c r="AO150" s="184">
        <f>IFERROR(TablaPrincipal[[#This Row],[BALANCEADO ACUMULADO (LBS)]]/TablaPrincipal[[#This Row],[LIBRAS TOTALES]],"-")</f>
        <v>1.2444597036829652</v>
      </c>
      <c r="AP150" s="184"/>
      <c r="AQ150" s="184" t="s">
        <v>105</v>
      </c>
      <c r="AR150" s="185">
        <f>TablaPrincipal[[#This Row],[LIBRAS RALEO PLANTA]]-TablaPrincipal[[#This Row],[LIBRAS RALEO CAMARONERA]]</f>
        <v>-278.55999999999949</v>
      </c>
      <c r="AS150" s="185">
        <f>TablaPrincipal[[#This Row],[LIBRAS PLANTA]]-TablaPrincipal[[#This Row],[LIBRAS CAMARONERA]]</f>
        <v>724.22999999999956</v>
      </c>
      <c r="AT150" s="187">
        <f>TablaPrincipal[[#This Row],[GRAMAJE RALEO PLANTA]]-TablaPrincipal[[#This Row],[GRAMAJE RALEO CAMARONERA]]</f>
        <v>3.2899999999999991</v>
      </c>
      <c r="AU150" s="187">
        <f>TablaPrincipal[[#This Row],[GRAMOS PLANTA]]-TablaPrincipal[[#This Row],[GRAMAJE CAMARONERA]]</f>
        <v>1.0600000000000023</v>
      </c>
      <c r="AV150" s="183" t="str">
        <f>+VLOOKUP(TablaPrincipal[[#This Row],[CODIGO]],TablaCosechas[#All],10,0)</f>
        <v>GUSTAVO CARRASCO</v>
      </c>
      <c r="AW150" s="183" t="s">
        <v>246</v>
      </c>
      <c r="AX150" s="188" t="str">
        <f>+VLOOKUP(TablaPrincipal[[#This Row],[CODIGO]],TablaCosechas[#All],10,0)</f>
        <v>GUSTAVO CARRASCO</v>
      </c>
    </row>
    <row r="151" spans="1:50" hidden="1" x14ac:dyDescent="0.25">
      <c r="A151" s="196">
        <v>46074</v>
      </c>
      <c r="B151" s="183">
        <v>149</v>
      </c>
      <c r="C151" s="183">
        <f>YEAR(TablaPrincipal[[#This Row],[FECHA]])</f>
        <v>2026</v>
      </c>
      <c r="D151" s="183" t="s">
        <v>225</v>
      </c>
      <c r="E151" s="183" t="str">
        <f>UPPER(TEXT(TablaPrincipal[[#This Row],[FECHA]],"MMMM"))</f>
        <v>FEBRERO</v>
      </c>
      <c r="F151" s="183" t="str">
        <f>IFERROR(VLOOKUP(TablaPrincipal[[#This Row],[CODIGO]],COSECHAS!A:J,9,0),"-")</f>
        <v>18</v>
      </c>
      <c r="G151" s="183" t="str">
        <f>IFERROR(VLOOKUP(TablaPrincipal[[#This Row],[CODIGO]],COSECHAS!A:I,8,0),"-")</f>
        <v>PAMPANO</v>
      </c>
      <c r="H151" s="184">
        <f>IFERROR(VLOOKUP(TablaPrincipal[[#This Row],[CODIGO]],DATOS!A:B,2,0),"-")</f>
        <v>25.25</v>
      </c>
      <c r="I151" s="183" t="str">
        <f>IFERROR(VLOOKUP(TablaPrincipal[[#This Row],[CODIGO]],Tabla8[[#Headers],[#Data]],3,0),"-")</f>
        <v>ASC-BAP</v>
      </c>
      <c r="J151" s="183">
        <f>IFERROR(TablaPrincipal[[#This Row],[FECHA]]-TablaPrincipal[[#This Row],[FECHA DE SIEMBRA]],"-")</f>
        <v>93</v>
      </c>
      <c r="K151" s="196">
        <f>VLOOKUP(TablaPrincipal[[#This Row],[CODIGO]]&amp;TablaPrincipal[[#This Row],[AGUAJE ]],Tabla4[#All],4,0)</f>
        <v>45981</v>
      </c>
      <c r="L151" s="183" t="str">
        <f>VLOOKUP(TablaPrincipal[[#This Row],[CODIGO]]&amp;TablaPrincipal[[#This Row],[AGUAJE ]],Tabla4[#All],15,0)</f>
        <v>PA PC 16</v>
      </c>
      <c r="M151" s="184">
        <f>VLOOKUP(TablaPrincipal[[#This Row],[CODIGO]]&amp;TablaPrincipal[[#This Row],[AGUAJE ]],Tabla4[#All],14,0)</f>
        <v>0.88</v>
      </c>
      <c r="N151" s="183">
        <v>12</v>
      </c>
      <c r="O151" s="170">
        <f>VLOOKUP(TablaPrincipal[[#This Row],[CODIGO]]&amp;TablaPrincipal[[#This Row],[AGUAJE ]],Tabla4[#All],5,0)</f>
        <v>3231818</v>
      </c>
      <c r="P151" s="221">
        <f>IFERROR(TablaPrincipal[[#This Row],[ANIM SEMBRADOS]]/TablaPrincipal[[#This Row],[HAS]],"-")</f>
        <v>127992.79207920792</v>
      </c>
      <c r="Q151" s="222">
        <f>IFERROR(TablaPrincipal[[#This Row],[DENSIDAD]]/10000,"-")</f>
        <v>12.799279207920792</v>
      </c>
      <c r="R151" s="183" t="str">
        <f>VLOOKUP(TablaPrincipal[[#This Row],[CODIGO]]&amp;TablaPrincipal[[#This Row],[AGUAJE ]],Tabla4[#All],8,0)</f>
        <v>NEMEN</v>
      </c>
      <c r="S151" s="183" t="str">
        <f>VLOOKUP(TablaPrincipal[[#This Row],[CODIGO]]&amp;TablaPrincipal[[#This Row],[AGUAJE ]],Tabla4[#All],7,0)</f>
        <v>TEXCUMAR</v>
      </c>
      <c r="T151" s="183" t="str">
        <f>IF(ISNUMBER(FIND("/",TablaPrincipal[[#This Row],[LABORATORIO]])),"COMBINADO","UNICO")</f>
        <v>UNICO</v>
      </c>
      <c r="U1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72500</v>
      </c>
      <c r="V1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67768.5</v>
      </c>
      <c r="W1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1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27.74666666666667</v>
      </c>
      <c r="Y151" s="185">
        <f>IFERROR(TablaPrincipal[[#This Row],[LIBRAS RALEO PLANTA]]/TablaPrincipal[[#This Row],[HAS]],"-")</f>
        <v>2683.90099009901</v>
      </c>
      <c r="Z1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1174099.2587907091</v>
      </c>
      <c r="AA15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67900</v>
      </c>
      <c r="AB1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72641.09</v>
      </c>
      <c r="AC151" s="186">
        <f>SUMIFS(COSECHAS!F:F,COSECHAS!A:A,'BASE 2026'!AW:AW,COSECHAS!G:G,"="&amp;A:A)</f>
        <v>42</v>
      </c>
      <c r="AD151" s="186">
        <f>SUMIFS(COSECHAS!M:M,COSECHAS!A:A,'BASE 2026'!AW:AW,COSECHAS!G:G,"="&amp;A:A)</f>
        <v>42.85</v>
      </c>
      <c r="AE151" s="185">
        <f>IFERROR(TablaPrincipal[[#This Row],[LIBRAS PLANTA]]/TablaPrincipal[[#This Row],[HAS]],"-")</f>
        <v>2876.8748514851482</v>
      </c>
      <c r="AF151" s="185">
        <f>IFERROR(TablaPrincipal[[#This Row],[LIBRAS PLANTA]]*454/TablaPrincipal[[#This Row],[GRAMOS PLANTA]],"-")</f>
        <v>769639.55332555424</v>
      </c>
      <c r="AG151" s="185">
        <f>TablaPrincipal[[#This Row],[LIBRAS RALEO PLANTA]]+TablaPrincipal[[#This Row],[LIBRAS PLANTA]]</f>
        <v>140409.59</v>
      </c>
      <c r="AH151" s="185">
        <f>IFERROR(TablaPrincipal[[#This Row],[CAM COSECHADOS RALEO]]+TablaPrincipal[[#This Row],[CAM COSECHADOS]],"-")</f>
        <v>1943738.8121162634</v>
      </c>
      <c r="AI151" s="185">
        <f>IFERROR((TablaPrincipal[[#This Row],[LIBRAS RALEO PLANTA]]+TablaPrincipal[[#This Row],[LIBRAS PLANTA]])/TablaPrincipal[[#This Row],[HAS]],"0")</f>
        <v>5560.7758415841581</v>
      </c>
      <c r="AJ151" s="186">
        <f t="shared" si="2"/>
        <v>3.2252688172043009</v>
      </c>
      <c r="AK151" s="186">
        <f>IFERROR(TablaPrincipal[[#This Row],[LBS/HA]]/TablaPrincipal[[#This Row],[DIAS]],"-")</f>
        <v>59.793288619184494</v>
      </c>
      <c r="AL151" s="186">
        <f>IFERROR(TablaPrincipal[[#This Row],[CAM COSECHADOS TOTALES]]/TablaPrincipal[[#This Row],[ANIM SEMBRADOS]]*100,"-")</f>
        <v>60.143820354867238</v>
      </c>
      <c r="AM151" s="185">
        <v>189408.209</v>
      </c>
      <c r="AN151" s="187">
        <f>IFERROR(((TablaPrincipal[[#This Row],[BALANCEADO ACUMULADO (LBS)]]/2.2046)/TablaPrincipal[[#This Row],[HAS]])/TablaPrincipal[[#This Row],[DIAS]],"-")</f>
        <v>36.586819972319809</v>
      </c>
      <c r="AO151" s="184">
        <f>IFERROR(TablaPrincipal[[#This Row],[BALANCEADO ACUMULADO (LBS)]]/TablaPrincipal[[#This Row],[LIBRAS TOTALES]],"-")</f>
        <v>1.3489691765355913</v>
      </c>
      <c r="AP151" s="184"/>
      <c r="AQ151" s="184" t="s">
        <v>105</v>
      </c>
      <c r="AR151" s="185">
        <f>TablaPrincipal[[#This Row],[LIBRAS RALEO PLANTA]]-TablaPrincipal[[#This Row],[LIBRAS RALEO CAMARONERA]]</f>
        <v>-4731.5</v>
      </c>
      <c r="AS151" s="185">
        <f>TablaPrincipal[[#This Row],[LIBRAS PLANTA]]-TablaPrincipal[[#This Row],[LIBRAS CAMARONERA]]</f>
        <v>4741.0899999999965</v>
      </c>
      <c r="AT151" s="187">
        <f>TablaPrincipal[[#This Row],[GRAMAJE RALEO PLANTA]]-TablaPrincipal[[#This Row],[GRAMAJE RALEO CAMARONERA]]</f>
        <v>1.4133333333333375</v>
      </c>
      <c r="AU151" s="187">
        <f>TablaPrincipal[[#This Row],[GRAMOS PLANTA]]-TablaPrincipal[[#This Row],[GRAMAJE CAMARONERA]]</f>
        <v>0.85000000000000142</v>
      </c>
      <c r="AV151" s="183" t="str">
        <f>+VLOOKUP(TablaPrincipal[[#This Row],[CODIGO]],TablaCosechas[#All],10,0)</f>
        <v>GUSTAVO CARRASCO</v>
      </c>
      <c r="AW151" s="183" t="s">
        <v>247</v>
      </c>
      <c r="AX151" s="188" t="str">
        <f>+VLOOKUP(TablaPrincipal[[#This Row],[CODIGO]],TablaCosechas[#All],10,0)</f>
        <v>GUSTAVO CARRASCO</v>
      </c>
    </row>
    <row r="152" spans="1:50" hidden="1" x14ac:dyDescent="0.25">
      <c r="A152" s="196">
        <v>46074</v>
      </c>
      <c r="B152" s="183">
        <v>150</v>
      </c>
      <c r="C152" s="183">
        <f>YEAR(TablaPrincipal[[#This Row],[FECHA]])</f>
        <v>2026</v>
      </c>
      <c r="D152" s="183" t="s">
        <v>225</v>
      </c>
      <c r="E152" s="183" t="str">
        <f>UPPER(TEXT(TablaPrincipal[[#This Row],[FECHA]],"MMMM"))</f>
        <v>FEBRERO</v>
      </c>
      <c r="F152" s="183" t="str">
        <f>IFERROR(VLOOKUP(TablaPrincipal[[#This Row],[CODIGO]],COSECHAS!A:J,9,0),"-")</f>
        <v>22</v>
      </c>
      <c r="G152" s="183" t="str">
        <f>IFERROR(VLOOKUP(TablaPrincipal[[#This Row],[CODIGO]],COSECHAS!A:I,8,0),"-")</f>
        <v>CHERNA</v>
      </c>
      <c r="H152" s="184">
        <f>IFERROR(VLOOKUP(TablaPrincipal[[#This Row],[CODIGO]],DATOS!A:B,2,0),"-")</f>
        <v>5.36</v>
      </c>
      <c r="I152" s="183" t="str">
        <f>IFERROR(VLOOKUP(TablaPrincipal[[#This Row],[CODIGO]],Tabla8[[#Headers],[#Data]],3,0),"-")</f>
        <v>ASC</v>
      </c>
      <c r="J152" s="183">
        <f>IFERROR(TablaPrincipal[[#This Row],[FECHA]]-TablaPrincipal[[#This Row],[FECHA DE SIEMBRA]],"-")</f>
        <v>73</v>
      </c>
      <c r="K152" s="196">
        <f>VLOOKUP(TablaPrincipal[[#This Row],[CODIGO]]&amp;TablaPrincipal[[#This Row],[AGUAJE ]],Tabla4[#All],4,0)</f>
        <v>46001</v>
      </c>
      <c r="L152" s="183" t="str">
        <f>VLOOKUP(TablaPrincipal[[#This Row],[CODIGO]]&amp;TablaPrincipal[[#This Row],[AGUAJE ]],Tabla4[#All],15,0)</f>
        <v>CH PC 7</v>
      </c>
      <c r="M152" s="184">
        <f>VLOOKUP(TablaPrincipal[[#This Row],[CODIGO]]&amp;TablaPrincipal[[#This Row],[AGUAJE ]],Tabla4[#All],14,0)</f>
        <v>0.5</v>
      </c>
      <c r="N152" s="183">
        <v>5</v>
      </c>
      <c r="O152" s="170">
        <f>VLOOKUP(TablaPrincipal[[#This Row],[CODIGO]]&amp;TablaPrincipal[[#This Row],[AGUAJE ]],Tabla4[#All],5,0)</f>
        <v>804000</v>
      </c>
      <c r="P152" s="221">
        <f>IFERROR(TablaPrincipal[[#This Row],[ANIM SEMBRADOS]]/TablaPrincipal[[#This Row],[HAS]],"-")</f>
        <v>150000</v>
      </c>
      <c r="Q152" s="222">
        <f>IFERROR(TablaPrincipal[[#This Row],[DENSIDAD]]/10000,"-")</f>
        <v>15</v>
      </c>
      <c r="R152" s="183" t="str">
        <f>VLOOKUP(TablaPrincipal[[#This Row],[CODIGO]]&amp;TablaPrincipal[[#This Row],[AGUAJE ]],Tabla4[#All],8,0)</f>
        <v>MEGALATINA</v>
      </c>
      <c r="S152" s="183" t="str">
        <f>VLOOKUP(TablaPrincipal[[#This Row],[CODIGO]]&amp;TablaPrincipal[[#This Row],[AGUAJE ]],Tabla4[#All],7,0)</f>
        <v>TEXCUMAR</v>
      </c>
      <c r="T152" s="183" t="str">
        <f>IF(ISNUMBER(FIND("/",TablaPrincipal[[#This Row],[LABORATORIO]])),"COMBINADO","UNICO")</f>
        <v>UNICO</v>
      </c>
      <c r="U1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5600</v>
      </c>
      <c r="V1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6066.03</v>
      </c>
      <c r="W1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23.78</v>
      </c>
      <c r="Y152" s="185">
        <f>IFERROR(TablaPrincipal[[#This Row],[LIBRAS RALEO PLANTA]]/TablaPrincipal[[#This Row],[HAS]],"-")</f>
        <v>1131.7220149253731</v>
      </c>
      <c r="Z1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115810.66526492851</v>
      </c>
      <c r="AA15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1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24396.22</v>
      </c>
      <c r="AC152" s="186">
        <f>SUMIFS(COSECHAS!F:F,COSECHAS!A:A,'BASE 2026'!AW:AW,COSECHAS!G:G,"="&amp;A:A)</f>
        <v>29</v>
      </c>
      <c r="AD152" s="186">
        <f>SUMIFS(COSECHAS!M:M,COSECHAS!A:A,'BASE 2026'!AW:AW,COSECHAS!G:G,"="&amp;A:A)</f>
        <v>27.36</v>
      </c>
      <c r="AE152" s="185">
        <f>IFERROR(TablaPrincipal[[#This Row],[LIBRAS PLANTA]]/TablaPrincipal[[#This Row],[HAS]],"-")</f>
        <v>4551.5335820895525</v>
      </c>
      <c r="AF152" s="185">
        <f>IFERROR(TablaPrincipal[[#This Row],[LIBRAS PLANTA]]*454/TablaPrincipal[[#This Row],[GRAMOS PLANTA]],"-")</f>
        <v>404820.31725146202</v>
      </c>
      <c r="AG152" s="185">
        <f>TablaPrincipal[[#This Row],[LIBRAS RALEO PLANTA]]+TablaPrincipal[[#This Row],[LIBRAS PLANTA]]</f>
        <v>30462.25</v>
      </c>
      <c r="AH152" s="185">
        <f>IFERROR(TablaPrincipal[[#This Row],[CAM COSECHADOS RALEO]]+TablaPrincipal[[#This Row],[CAM COSECHADOS]],"-")</f>
        <v>520630.9825163905</v>
      </c>
      <c r="AI152" s="185">
        <f>IFERROR((TablaPrincipal[[#This Row],[LIBRAS RALEO PLANTA]]+TablaPrincipal[[#This Row],[LIBRAS PLANTA]])/TablaPrincipal[[#This Row],[HAS]],"0")</f>
        <v>5683.2555970149251</v>
      </c>
      <c r="AJ152" s="186">
        <f t="shared" si="2"/>
        <v>2.6235616438356164</v>
      </c>
      <c r="AK152" s="186">
        <f>IFERROR(TablaPrincipal[[#This Row],[LBS/HA]]/TablaPrincipal[[#This Row],[DIAS]],"-")</f>
        <v>77.852816397464721</v>
      </c>
      <c r="AL152" s="186">
        <f>IFERROR(TablaPrincipal[[#This Row],[CAM COSECHADOS TOTALES]]/TablaPrincipal[[#This Row],[ANIM SEMBRADOS]]*100,"-")</f>
        <v>64.755097327909255</v>
      </c>
      <c r="AM152" s="185">
        <v>38745.845000000001</v>
      </c>
      <c r="AN152" s="187">
        <f>IFERROR(((TablaPrincipal[[#This Row],[BALANCEADO ACUMULADO (LBS)]]/2.2046)/TablaPrincipal[[#This Row],[HAS]])/TablaPrincipal[[#This Row],[DIAS]],"-")</f>
        <v>44.916683704763855</v>
      </c>
      <c r="AO152" s="184">
        <f>IFERROR(TablaPrincipal[[#This Row],[BALANCEADO ACUMULADO (LBS)]]/TablaPrincipal[[#This Row],[LIBRAS TOTALES]],"-")</f>
        <v>1.271929847598257</v>
      </c>
      <c r="AP152" s="184"/>
      <c r="AQ152" s="184" t="s">
        <v>105</v>
      </c>
      <c r="AR152" s="185">
        <f>TablaPrincipal[[#This Row],[LIBRAS RALEO PLANTA]]-TablaPrincipal[[#This Row],[LIBRAS RALEO CAMARONERA]]</f>
        <v>466.02999999999975</v>
      </c>
      <c r="AS152" s="185">
        <f>TablaPrincipal[[#This Row],[LIBRAS PLANTA]]-TablaPrincipal[[#This Row],[LIBRAS CAMARONERA]]</f>
        <v>-403.77999999999884</v>
      </c>
      <c r="AT152" s="187">
        <f>TablaPrincipal[[#This Row],[GRAMAJE RALEO PLANTA]]-TablaPrincipal[[#This Row],[GRAMAJE RALEO CAMARONERA]]</f>
        <v>0.78000000000000114</v>
      </c>
      <c r="AU152" s="187">
        <f>TablaPrincipal[[#This Row],[GRAMOS PLANTA]]-TablaPrincipal[[#This Row],[GRAMAJE CAMARONERA]]</f>
        <v>-1.6400000000000006</v>
      </c>
      <c r="AV152" s="183" t="str">
        <f>+VLOOKUP(TablaPrincipal[[#This Row],[CODIGO]],TablaCosechas[#All],10,0)</f>
        <v>SANTIAGO OBRIEN</v>
      </c>
      <c r="AW152" s="183" t="s">
        <v>28</v>
      </c>
      <c r="AX152" s="188" t="str">
        <f>+VLOOKUP(TablaPrincipal[[#This Row],[CODIGO]],TablaCosechas[#All],10,0)</f>
        <v>SANTIAGO OBRIEN</v>
      </c>
    </row>
    <row r="153" spans="1:50" hidden="1" x14ac:dyDescent="0.25">
      <c r="A153" s="196">
        <v>46075</v>
      </c>
      <c r="B153" s="183">
        <v>151</v>
      </c>
      <c r="C153" s="183">
        <f>YEAR(TablaPrincipal[[#This Row],[FECHA]])</f>
        <v>2026</v>
      </c>
      <c r="D153" s="183" t="s">
        <v>225</v>
      </c>
      <c r="E153" s="183" t="str">
        <f>UPPER(TEXT(TablaPrincipal[[#This Row],[FECHA]],"MMMM"))</f>
        <v>FEBRERO</v>
      </c>
      <c r="F153" s="183" t="str">
        <f>IFERROR(VLOOKUP(TablaPrincipal[[#This Row],[CODIGO]],COSECHAS!A:J,9,0),"-")</f>
        <v>25</v>
      </c>
      <c r="G153" s="183" t="str">
        <f>IFERROR(VLOOKUP(TablaPrincipal[[#This Row],[CODIGO]],COSECHAS!A:I,8,0),"-")</f>
        <v>CHERNA</v>
      </c>
      <c r="H153" s="184">
        <f>IFERROR(VLOOKUP(TablaPrincipal[[#This Row],[CODIGO]],DATOS!A:B,2,0),"-")</f>
        <v>2.2000000000000002</v>
      </c>
      <c r="I153" s="183" t="str">
        <f>IFERROR(VLOOKUP(TablaPrincipal[[#This Row],[CODIGO]],Tabla8[[#Headers],[#Data]],3,0),"-")</f>
        <v>ASC</v>
      </c>
      <c r="J153" s="183">
        <f>IFERROR(TablaPrincipal[[#This Row],[FECHA]]-TablaPrincipal[[#This Row],[FECHA DE SIEMBRA]],"-")</f>
        <v>74</v>
      </c>
      <c r="K153" s="196">
        <f>VLOOKUP(TablaPrincipal[[#This Row],[CODIGO]]&amp;TablaPrincipal[[#This Row],[AGUAJE ]],Tabla4[#All],4,0)</f>
        <v>46001</v>
      </c>
      <c r="L153" s="183" t="str">
        <f>VLOOKUP(TablaPrincipal[[#This Row],[CODIGO]]&amp;TablaPrincipal[[#This Row],[AGUAJE ]],Tabla4[#All],15,0)</f>
        <v>CH 7</v>
      </c>
      <c r="M153" s="184">
        <f>VLOOKUP(TablaPrincipal[[#This Row],[CODIGO]]&amp;TablaPrincipal[[#This Row],[AGUAJE ]],Tabla4[#All],14,0)</f>
        <v>0.5</v>
      </c>
      <c r="N153" s="183">
        <v>5</v>
      </c>
      <c r="O153" s="170">
        <f>VLOOKUP(TablaPrincipal[[#This Row],[CODIGO]]&amp;TablaPrincipal[[#This Row],[AGUAJE ]],Tabla4[#All],5,0)</f>
        <v>396000</v>
      </c>
      <c r="P153" s="221">
        <f>IFERROR(TablaPrincipal[[#This Row],[ANIM SEMBRADOS]]/TablaPrincipal[[#This Row],[HAS]],"-")</f>
        <v>180000</v>
      </c>
      <c r="Q153" s="222">
        <f>IFERROR(TablaPrincipal[[#This Row],[DENSIDAD]]/10000,"-")</f>
        <v>18</v>
      </c>
      <c r="R153" s="183" t="str">
        <f>VLOOKUP(TablaPrincipal[[#This Row],[CODIGO]]&amp;TablaPrincipal[[#This Row],[AGUAJE ]],Tabla4[#All],8,0)</f>
        <v>MEGALATINA</v>
      </c>
      <c r="S153" s="183" t="str">
        <f>VLOOKUP(TablaPrincipal[[#This Row],[CODIGO]]&amp;TablaPrincipal[[#This Row],[AGUAJE ]],Tabla4[#All],7,0)</f>
        <v>TEXCUMAR</v>
      </c>
      <c r="T153" s="183" t="str">
        <f>IF(ISNUMBER(FIND("/",TablaPrincipal[[#This Row],[LABORATORIO]])),"COMBINADO","UNICO")</f>
        <v>UNICO</v>
      </c>
      <c r="U1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4800</v>
      </c>
      <c r="V1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5324.71</v>
      </c>
      <c r="W1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25.43</v>
      </c>
      <c r="Y153" s="185">
        <f>IFERROR(TablaPrincipal[[#This Row],[LIBRAS RALEO PLANTA]]/TablaPrincipal[[#This Row],[HAS]],"-")</f>
        <v>2420.3227272727272</v>
      </c>
      <c r="Z1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96651.666235933779</v>
      </c>
      <c r="AA15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10467.1</v>
      </c>
      <c r="AC153" s="186">
        <f>SUMIFS(COSECHAS!F:F,COSECHAS!A:A,'BASE 2026'!AW:AW,COSECHAS!G:G,"="&amp;A:A)</f>
        <v>31</v>
      </c>
      <c r="AD153" s="186">
        <f>SUMIFS(COSECHAS!M:M,COSECHAS!A:A,'BASE 2026'!AW:AW,COSECHAS!G:G,"="&amp;A:A)</f>
        <v>28.36</v>
      </c>
      <c r="AE153" s="185">
        <f>IFERROR(TablaPrincipal[[#This Row],[LIBRAS PLANTA]]/TablaPrincipal[[#This Row],[HAS]],"-")</f>
        <v>4757.772727272727</v>
      </c>
      <c r="AF153" s="185">
        <f>IFERROR(TablaPrincipal[[#This Row],[LIBRAS PLANTA]]*454/TablaPrincipal[[#This Row],[GRAMOS PLANTA]],"-")</f>
        <v>167562.17912552893</v>
      </c>
      <c r="AG153" s="185">
        <f>TablaPrincipal[[#This Row],[LIBRAS RALEO PLANTA]]+TablaPrincipal[[#This Row],[LIBRAS PLANTA]]</f>
        <v>15791.810000000001</v>
      </c>
      <c r="AH153" s="185">
        <f>IFERROR(TablaPrincipal[[#This Row],[CAM COSECHADOS RALEO]]+TablaPrincipal[[#This Row],[CAM COSECHADOS]],"-")</f>
        <v>264213.84536146268</v>
      </c>
      <c r="AI153" s="185">
        <f>IFERROR((TablaPrincipal[[#This Row],[LIBRAS RALEO PLANTA]]+TablaPrincipal[[#This Row],[LIBRAS PLANTA]])/TablaPrincipal[[#This Row],[HAS]],"0")</f>
        <v>7178.0954545454542</v>
      </c>
      <c r="AJ153" s="186">
        <f t="shared" si="2"/>
        <v>2.6827027027027026</v>
      </c>
      <c r="AK153" s="186">
        <f>IFERROR(TablaPrincipal[[#This Row],[LBS/HA]]/TablaPrincipal[[#This Row],[DIAS]],"-")</f>
        <v>97.001289926289928</v>
      </c>
      <c r="AL153" s="186">
        <f>IFERROR(TablaPrincipal[[#This Row],[CAM COSECHADOS TOTALES]]/TablaPrincipal[[#This Row],[ANIM SEMBRADOS]]*100,"-")</f>
        <v>66.720668020571381</v>
      </c>
      <c r="AM153" s="185">
        <v>22597.15</v>
      </c>
      <c r="AN153" s="187">
        <f>IFERROR(((TablaPrincipal[[#This Row],[BALANCEADO ACUMULADO (LBS)]]/2.2046)/TablaPrincipal[[#This Row],[HAS]])/TablaPrincipal[[#This Row],[DIAS]],"-")</f>
        <v>62.960687960687963</v>
      </c>
      <c r="AO153" s="184">
        <f>IFERROR(TablaPrincipal[[#This Row],[BALANCEADO ACUMULADO (LBS)]]/TablaPrincipal[[#This Row],[LIBRAS TOTALES]],"-")</f>
        <v>1.4309411017483114</v>
      </c>
      <c r="AP153" s="184"/>
      <c r="AQ153" s="184" t="s">
        <v>105</v>
      </c>
      <c r="AR153" s="185">
        <f>TablaPrincipal[[#This Row],[LIBRAS RALEO PLANTA]]-TablaPrincipal[[#This Row],[LIBRAS RALEO CAMARONERA]]</f>
        <v>524.71</v>
      </c>
      <c r="AS153" s="185">
        <f>TablaPrincipal[[#This Row],[LIBRAS PLANTA]]-TablaPrincipal[[#This Row],[LIBRAS CAMARONERA]]</f>
        <v>-732.89999999999964</v>
      </c>
      <c r="AT153" s="187">
        <f>TablaPrincipal[[#This Row],[GRAMAJE RALEO PLANTA]]-TablaPrincipal[[#This Row],[GRAMAJE RALEO CAMARONERA]]</f>
        <v>0.42999999999999972</v>
      </c>
      <c r="AU153" s="187">
        <f>TablaPrincipal[[#This Row],[GRAMOS PLANTA]]-TablaPrincipal[[#This Row],[GRAMAJE CAMARONERA]]</f>
        <v>-2.6400000000000006</v>
      </c>
      <c r="AV153" s="183" t="str">
        <f>+VLOOKUP(TablaPrincipal[[#This Row],[CODIGO]],TablaCosechas[#All],10,0)</f>
        <v>SANTIAGO OBRIEN</v>
      </c>
      <c r="AW153" s="183" t="s">
        <v>29</v>
      </c>
      <c r="AX153" s="188" t="str">
        <f>+VLOOKUP(TablaPrincipal[[#This Row],[CODIGO]],TablaCosechas[#All],10,0)</f>
        <v>SANTIAGO OBRIEN</v>
      </c>
    </row>
    <row r="154" spans="1:50" hidden="1" x14ac:dyDescent="0.25">
      <c r="A154" s="196">
        <v>46075</v>
      </c>
      <c r="B154" s="183">
        <v>152</v>
      </c>
      <c r="C154" s="183">
        <f>YEAR(TablaPrincipal[[#This Row],[FECHA]])</f>
        <v>2026</v>
      </c>
      <c r="D154" s="183" t="s">
        <v>225</v>
      </c>
      <c r="E154" s="183" t="str">
        <f>UPPER(TEXT(TablaPrincipal[[#This Row],[FECHA]],"MMMM"))</f>
        <v>FEBRERO</v>
      </c>
      <c r="F154" s="183" t="str">
        <f>IFERROR(VLOOKUP(TablaPrincipal[[#This Row],[CODIGO]],COSECHAS!A:J,9,0),"-")</f>
        <v>16</v>
      </c>
      <c r="G154" s="183" t="str">
        <f>IFERROR(VLOOKUP(TablaPrincipal[[#This Row],[CODIGO]],COSECHAS!A:I,8,0),"-")</f>
        <v>TAMBULERO</v>
      </c>
      <c r="H154" s="184">
        <f>IFERROR(VLOOKUP(TablaPrincipal[[#This Row],[CODIGO]],DATOS!A:B,2,0),"-")</f>
        <v>11</v>
      </c>
      <c r="I154" s="183" t="str">
        <f>IFERROR(VLOOKUP(TablaPrincipal[[#This Row],[CODIGO]],Tabla8[[#Headers],[#Data]],3,0),"-")</f>
        <v>ASC-BAP</v>
      </c>
      <c r="J154" s="183">
        <f>IFERROR(TablaPrincipal[[#This Row],[FECHA]]-TablaPrincipal[[#This Row],[FECHA DE SIEMBRA]],"-")</f>
        <v>81</v>
      </c>
      <c r="K154" s="196">
        <f>VLOOKUP(TablaPrincipal[[#This Row],[CODIGO]]&amp;TablaPrincipal[[#This Row],[AGUAJE ]],Tabla4[#All],4,0)</f>
        <v>45994</v>
      </c>
      <c r="L154" s="183" t="str">
        <f>VLOOKUP(TablaPrincipal[[#This Row],[CODIGO]]&amp;TablaPrincipal[[#This Row],[AGUAJE ]],Tabla4[#All],15,0)</f>
        <v>TA PC14</v>
      </c>
      <c r="M154" s="184">
        <f>VLOOKUP(TablaPrincipal[[#This Row],[CODIGO]]&amp;TablaPrincipal[[#This Row],[AGUAJE ]],Tabla4[#All],14,0)</f>
        <v>0.6</v>
      </c>
      <c r="N154" s="183">
        <v>10</v>
      </c>
      <c r="O154" s="170">
        <f>VLOOKUP(TablaPrincipal[[#This Row],[CODIGO]]&amp;TablaPrincipal[[#This Row],[AGUAJE ]],Tabla4[#All],5,0)</f>
        <v>1540000</v>
      </c>
      <c r="P154" s="221">
        <f>IFERROR(TablaPrincipal[[#This Row],[ANIM SEMBRADOS]]/TablaPrincipal[[#This Row],[HAS]],"-")</f>
        <v>140000</v>
      </c>
      <c r="Q154" s="222">
        <f>IFERROR(TablaPrincipal[[#This Row],[DENSIDAD]]/10000,"-")</f>
        <v>14</v>
      </c>
      <c r="R154" s="183" t="str">
        <f>VLOOKUP(TablaPrincipal[[#This Row],[CODIGO]]&amp;TablaPrincipal[[#This Row],[AGUAJE ]],Tabla4[#All],8,0)</f>
        <v>PRONAUPLIO</v>
      </c>
      <c r="S154" s="183" t="str">
        <f>VLOOKUP(TablaPrincipal[[#This Row],[CODIGO]]&amp;TablaPrincipal[[#This Row],[AGUAJE ]],Tabla4[#All],7,0)</f>
        <v>SEMACUA</v>
      </c>
      <c r="T154" s="183" t="str">
        <f>IF(ISNUMBER(FIND("/",TablaPrincipal[[#This Row],[LABORATORIO]])),"COMBINADO","UNICO")</f>
        <v>UNICO</v>
      </c>
      <c r="U1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25850</v>
      </c>
      <c r="V1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25646</v>
      </c>
      <c r="W1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1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27.055</v>
      </c>
      <c r="Y154" s="185">
        <f>IFERROR(TablaPrincipal[[#This Row],[LIBRAS RALEO PLANTA]]/TablaPrincipal[[#This Row],[HAS]],"-")</f>
        <v>2331.4545454545455</v>
      </c>
      <c r="Z1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431363.35270474246</v>
      </c>
      <c r="AA15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65300</v>
      </c>
      <c r="AB1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64677.05</v>
      </c>
      <c r="AC154" s="186">
        <f>SUMIFS(COSECHAS!F:F,COSECHAS!A:A,'BASE 2026'!AW:AW,COSECHAS!G:G,"="&amp;A:A)</f>
        <v>40</v>
      </c>
      <c r="AD154" s="186">
        <f>SUMIFS(COSECHAS!M:M,COSECHAS!A:A,'BASE 2026'!AW:AW,COSECHAS!G:G,"="&amp;A:A)</f>
        <v>41.14</v>
      </c>
      <c r="AE154" s="185">
        <f>IFERROR(TablaPrincipal[[#This Row],[LIBRAS PLANTA]]/TablaPrincipal[[#This Row],[HAS]],"-")</f>
        <v>5879.7318181818182</v>
      </c>
      <c r="AF154" s="185">
        <f>IFERROR(TablaPrincipal[[#This Row],[LIBRAS PLANTA]]*454/TablaPrincipal[[#This Row],[GRAMOS PLANTA]],"-")</f>
        <v>713742.84637822083</v>
      </c>
      <c r="AG154" s="185">
        <f>TablaPrincipal[[#This Row],[LIBRAS RALEO PLANTA]]+TablaPrincipal[[#This Row],[LIBRAS PLANTA]]</f>
        <v>90323.05</v>
      </c>
      <c r="AH154" s="185">
        <f>IFERROR(TablaPrincipal[[#This Row],[CAM COSECHADOS RALEO]]+TablaPrincipal[[#This Row],[CAM COSECHADOS]],"-")</f>
        <v>1145106.1990829632</v>
      </c>
      <c r="AI154" s="185">
        <f>IFERROR((TablaPrincipal[[#This Row],[LIBRAS RALEO PLANTA]]+TablaPrincipal[[#This Row],[LIBRAS PLANTA]])/TablaPrincipal[[#This Row],[HAS]],"0")</f>
        <v>8211.1863636363632</v>
      </c>
      <c r="AJ154" s="186">
        <f t="shared" si="2"/>
        <v>3.5553086419753086</v>
      </c>
      <c r="AK154" s="186">
        <f>IFERROR(TablaPrincipal[[#This Row],[LBS/HA]]/TablaPrincipal[[#This Row],[DIAS]],"-")</f>
        <v>101.37267115600449</v>
      </c>
      <c r="AL154" s="186">
        <f>IFERROR(TablaPrincipal[[#This Row],[CAM COSECHADOS TOTALES]]/TablaPrincipal[[#This Row],[ANIM SEMBRADOS]]*100,"-")</f>
        <v>74.357545394997601</v>
      </c>
      <c r="AM154" s="185">
        <v>116678.455</v>
      </c>
      <c r="AN154" s="187">
        <f>IFERROR(((TablaPrincipal[[#This Row],[BALANCEADO ACUMULADO (LBS)]]/2.2046)/TablaPrincipal[[#This Row],[HAS]])/TablaPrincipal[[#This Row],[DIAS]],"-")</f>
        <v>59.399551066217725</v>
      </c>
      <c r="AO154" s="184">
        <f>IFERROR(TablaPrincipal[[#This Row],[BALANCEADO ACUMULADO (LBS)]]/TablaPrincipal[[#This Row],[LIBRAS TOTALES]],"-")</f>
        <v>1.2917904676602483</v>
      </c>
      <c r="AP154" s="184"/>
      <c r="AQ154" s="184" t="s">
        <v>105</v>
      </c>
      <c r="AR154" s="185">
        <f>TablaPrincipal[[#This Row],[LIBRAS RALEO PLANTA]]-TablaPrincipal[[#This Row],[LIBRAS RALEO CAMARONERA]]</f>
        <v>-204</v>
      </c>
      <c r="AS154" s="185">
        <f>TablaPrincipal[[#This Row],[LIBRAS PLANTA]]-TablaPrincipal[[#This Row],[LIBRAS CAMARONERA]]</f>
        <v>-622.94999999999709</v>
      </c>
      <c r="AT154" s="187">
        <f>TablaPrincipal[[#This Row],[GRAMAJE RALEO PLANTA]]-TablaPrincipal[[#This Row],[GRAMAJE RALEO CAMARONERA]]</f>
        <v>1.5549999999999997</v>
      </c>
      <c r="AU154" s="187">
        <f>TablaPrincipal[[#This Row],[GRAMOS PLANTA]]-TablaPrincipal[[#This Row],[GRAMAJE CAMARONERA]]</f>
        <v>1.1400000000000006</v>
      </c>
      <c r="AV154" s="183" t="str">
        <f>+VLOOKUP(TablaPrincipal[[#This Row],[CODIGO]],TablaCosechas[#All],10,0)</f>
        <v>ALFONSO GRUNAUER</v>
      </c>
      <c r="AW154" s="183" t="s">
        <v>248</v>
      </c>
      <c r="AX154" s="188" t="str">
        <f>+VLOOKUP(TablaPrincipal[[#This Row],[CODIGO]],TablaCosechas[#All],10,0)</f>
        <v>ALFONSO GRUNAUER</v>
      </c>
    </row>
    <row r="155" spans="1:50" hidden="1" x14ac:dyDescent="0.25">
      <c r="A155" s="196">
        <v>46075</v>
      </c>
      <c r="B155" s="183">
        <v>153</v>
      </c>
      <c r="C155" s="183">
        <f>YEAR(TablaPrincipal[[#This Row],[FECHA]])</f>
        <v>2026</v>
      </c>
      <c r="D155" s="183" t="s">
        <v>225</v>
      </c>
      <c r="E155" s="183" t="str">
        <f>UPPER(TEXT(TablaPrincipal[[#This Row],[FECHA]],"MMMM"))</f>
        <v>FEBRERO</v>
      </c>
      <c r="F155" s="183" t="str">
        <f>IFERROR(VLOOKUP(TablaPrincipal[[#This Row],[CODIGO]],COSECHAS!A:J,9,0),"-")</f>
        <v>14</v>
      </c>
      <c r="G155" s="183" t="str">
        <f>IFERROR(VLOOKUP(TablaPrincipal[[#This Row],[CODIGO]],COSECHAS!A:I,8,0),"-")</f>
        <v>DORADO</v>
      </c>
      <c r="H155" s="184">
        <f>IFERROR(VLOOKUP(TablaPrincipal[[#This Row],[CODIGO]],DATOS!A:B,2,0),"-")</f>
        <v>8.61</v>
      </c>
      <c r="I155" s="183" t="str">
        <f>IFERROR(VLOOKUP(TablaPrincipal[[#This Row],[CODIGO]],Tabla8[[#Headers],[#Data]],3,0),"-")</f>
        <v>ASC-BAP</v>
      </c>
      <c r="J155" s="183">
        <f>IFERROR(TablaPrincipal[[#This Row],[FECHA]]-TablaPrincipal[[#This Row],[FECHA DE SIEMBRA]],"-")</f>
        <v>92</v>
      </c>
      <c r="K155" s="196">
        <f>VLOOKUP(TablaPrincipal[[#This Row],[CODIGO]]&amp;TablaPrincipal[[#This Row],[AGUAJE ]],Tabla4[#All],4,0)</f>
        <v>45983</v>
      </c>
      <c r="L155" s="183" t="str">
        <f>VLOOKUP(TablaPrincipal[[#This Row],[CODIGO]]&amp;TablaPrincipal[[#This Row],[AGUAJE ]],Tabla4[#All],15,0)</f>
        <v>DO PS 15</v>
      </c>
      <c r="M155" s="184">
        <f>VLOOKUP(TablaPrincipal[[#This Row],[CODIGO]]&amp;TablaPrincipal[[#This Row],[AGUAJE ]],Tabla4[#All],14,0)</f>
        <v>0.9</v>
      </c>
      <c r="N155" s="183">
        <v>2</v>
      </c>
      <c r="O155" s="170">
        <f>VLOOKUP(TablaPrincipal[[#This Row],[CODIGO]]&amp;TablaPrincipal[[#This Row],[AGUAJE ]],Tabla4[#All],5,0)</f>
        <v>1489530</v>
      </c>
      <c r="P155" s="221">
        <f>IFERROR(TablaPrincipal[[#This Row],[ANIM SEMBRADOS]]/TablaPrincipal[[#This Row],[HAS]],"-")</f>
        <v>173000</v>
      </c>
      <c r="Q155" s="222">
        <f>IFERROR(TablaPrincipal[[#This Row],[DENSIDAD]]/10000,"-")</f>
        <v>17.3</v>
      </c>
      <c r="R155" s="183" t="str">
        <f>VLOOKUP(TablaPrincipal[[#This Row],[CODIGO]]&amp;TablaPrincipal[[#This Row],[AGUAJE ]],Tabla4[#All],8,0)</f>
        <v>GENESIS</v>
      </c>
      <c r="S155" s="183" t="str">
        <f>VLOOKUP(TablaPrincipal[[#This Row],[CODIGO]]&amp;TablaPrincipal[[#This Row],[AGUAJE ]],Tabla4[#All],7,0)</f>
        <v>TEXCUMAR</v>
      </c>
      <c r="T155" s="183" t="str">
        <f>IF(ISNUMBER(FIND("/",TablaPrincipal[[#This Row],[LABORATORIO]])),"COMBINADO","UNICO")</f>
        <v>UNICO</v>
      </c>
      <c r="U1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28800</v>
      </c>
      <c r="V1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27892.86</v>
      </c>
      <c r="W1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23.22</v>
      </c>
      <c r="Y155" s="185">
        <f>IFERROR(TablaPrincipal[[#This Row],[LIBRAS RALEO PLANTA]]/TablaPrincipal[[#This Row],[HAS]],"-")</f>
        <v>3239.5888501742165</v>
      </c>
      <c r="Z1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549573.52487922704</v>
      </c>
      <c r="AA15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40670</v>
      </c>
      <c r="AB1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41695.480000000003</v>
      </c>
      <c r="AC155" s="186">
        <f>SUMIFS(COSECHAS!F:F,COSECHAS!A:A,'BASE 2026'!AW:AW,COSECHAS!G:G,"="&amp;A:A)</f>
        <v>43</v>
      </c>
      <c r="AD155" s="186">
        <f>SUMIFS(COSECHAS!M:M,COSECHAS!A:A,'BASE 2026'!AW:AW,COSECHAS!G:G,"="&amp;A:A)</f>
        <v>42.06</v>
      </c>
      <c r="AE155" s="185">
        <f>IFERROR(TablaPrincipal[[#This Row],[LIBRAS PLANTA]]/TablaPrincipal[[#This Row],[HAS]],"-")</f>
        <v>4842.6806039488974</v>
      </c>
      <c r="AF155" s="185">
        <f>IFERROR(TablaPrincipal[[#This Row],[LIBRAS PLANTA]]*454/TablaPrincipal[[#This Row],[GRAMOS PLANTA]],"-")</f>
        <v>450065.33333333337</v>
      </c>
      <c r="AG155" s="185">
        <f>TablaPrincipal[[#This Row],[LIBRAS RALEO PLANTA]]+TablaPrincipal[[#This Row],[LIBRAS PLANTA]]</f>
        <v>69588.34</v>
      </c>
      <c r="AH155" s="185">
        <f>IFERROR(TablaPrincipal[[#This Row],[CAM COSECHADOS RALEO]]+TablaPrincipal[[#This Row],[CAM COSECHADOS]],"-")</f>
        <v>999638.85821256042</v>
      </c>
      <c r="AI155" s="185">
        <f>IFERROR((TablaPrincipal[[#This Row],[LIBRAS RALEO PLANTA]]+TablaPrincipal[[#This Row],[LIBRAS PLANTA]])/TablaPrincipal[[#This Row],[HAS]],"0")</f>
        <v>8082.2694541231131</v>
      </c>
      <c r="AJ155" s="186">
        <f t="shared" si="2"/>
        <v>3.2002173913043479</v>
      </c>
      <c r="AK155" s="186">
        <f>IFERROR(TablaPrincipal[[#This Row],[LBS/HA]]/TablaPrincipal[[#This Row],[DIAS]],"-")</f>
        <v>87.850754936120794</v>
      </c>
      <c r="AL155" s="186">
        <f>IFERROR(TablaPrincipal[[#This Row],[CAM COSECHADOS TOTALES]]/TablaPrincipal[[#This Row],[ANIM SEMBRADOS]]*100,"-")</f>
        <v>67.111025505532652</v>
      </c>
      <c r="AM155" s="185">
        <v>97829.125</v>
      </c>
      <c r="AN155" s="187">
        <f>IFERROR(((TablaPrincipal[[#This Row],[BALANCEADO ACUMULADO (LBS)]]/2.2046)/TablaPrincipal[[#This Row],[HAS]])/TablaPrincipal[[#This Row],[DIAS]],"-")</f>
        <v>56.020552441549263</v>
      </c>
      <c r="AO155" s="184">
        <f>IFERROR(TablaPrincipal[[#This Row],[BALANCEADO ACUMULADO (LBS)]]/TablaPrincipal[[#This Row],[LIBRAS TOTALES]],"-")</f>
        <v>1.4058263927548782</v>
      </c>
      <c r="AP155" s="184"/>
      <c r="AQ155" s="184" t="s">
        <v>105</v>
      </c>
      <c r="AR155" s="185">
        <f>TablaPrincipal[[#This Row],[LIBRAS RALEO PLANTA]]-TablaPrincipal[[#This Row],[LIBRAS RALEO CAMARONERA]]</f>
        <v>-907.13999999999942</v>
      </c>
      <c r="AS155" s="185">
        <f>TablaPrincipal[[#This Row],[LIBRAS PLANTA]]-TablaPrincipal[[#This Row],[LIBRAS CAMARONERA]]</f>
        <v>1025.4800000000032</v>
      </c>
      <c r="AT155" s="187">
        <f>TablaPrincipal[[#This Row],[GRAMAJE RALEO PLANTA]]-TablaPrincipal[[#This Row],[GRAMAJE RALEO CAMARONERA]]</f>
        <v>1.2199999999999989</v>
      </c>
      <c r="AU155" s="187">
        <f>TablaPrincipal[[#This Row],[GRAMOS PLANTA]]-TablaPrincipal[[#This Row],[GRAMAJE CAMARONERA]]</f>
        <v>-0.93999999999999773</v>
      </c>
      <c r="AV155" s="183" t="str">
        <f>+VLOOKUP(TablaPrincipal[[#This Row],[CODIGO]],TablaCosechas[#All],10,0)</f>
        <v>JOSE CEDEÑO</v>
      </c>
      <c r="AW155" s="183" t="s">
        <v>249</v>
      </c>
      <c r="AX155" s="188" t="str">
        <f>+VLOOKUP(TablaPrincipal[[#This Row],[CODIGO]],TablaCosechas[#All],10,0)</f>
        <v>JOSE CEDEÑO</v>
      </c>
    </row>
    <row r="156" spans="1:50" hidden="1" x14ac:dyDescent="0.25">
      <c r="A156" s="196">
        <v>46076</v>
      </c>
      <c r="B156" s="183">
        <v>154</v>
      </c>
      <c r="C156" s="183">
        <f>YEAR(TablaPrincipal[[#This Row],[FECHA]])</f>
        <v>2026</v>
      </c>
      <c r="D156" s="183" t="s">
        <v>225</v>
      </c>
      <c r="E156" s="183" t="str">
        <f>UPPER(TEXT(TablaPrincipal[[#This Row],[FECHA]],"MMMM"))</f>
        <v>FEBRERO</v>
      </c>
      <c r="F156" s="183" t="str">
        <f>IFERROR(VLOOKUP(TablaPrincipal[[#This Row],[CODIGO]],COSECHAS!A:J,9,0),"-")</f>
        <v>12</v>
      </c>
      <c r="G156" s="183" t="str">
        <f>IFERROR(VLOOKUP(TablaPrincipal[[#This Row],[CODIGO]],COSECHAS!A:I,8,0),"-")</f>
        <v>CHERNA</v>
      </c>
      <c r="H156" s="184">
        <f>IFERROR(VLOOKUP(TablaPrincipal[[#This Row],[CODIGO]],DATOS!A:B,2,0),"-")</f>
        <v>6.08</v>
      </c>
      <c r="I156" s="183" t="str">
        <f>IFERROR(VLOOKUP(TablaPrincipal[[#This Row],[CODIGO]],Tabla8[[#Headers],[#Data]],3,0),"-")</f>
        <v>ASC</v>
      </c>
      <c r="J156" s="183">
        <f>IFERROR(TablaPrincipal[[#This Row],[FECHA]]-TablaPrincipal[[#This Row],[FECHA DE SIEMBRA]],"-")</f>
        <v>76</v>
      </c>
      <c r="K156" s="196">
        <f>VLOOKUP(TablaPrincipal[[#This Row],[CODIGO]]&amp;TablaPrincipal[[#This Row],[AGUAJE ]],Tabla4[#All],4,0)</f>
        <v>46000</v>
      </c>
      <c r="L156" s="183" t="str">
        <f>VLOOKUP(TablaPrincipal[[#This Row],[CODIGO]]&amp;TablaPrincipal[[#This Row],[AGUAJE ]],Tabla4[#All],15,0)</f>
        <v>CH 5</v>
      </c>
      <c r="M156" s="184">
        <f>VLOOKUP(TablaPrincipal[[#This Row],[CODIGO]]&amp;TablaPrincipal[[#This Row],[AGUAJE ]],Tabla4[#All],14,0)</f>
        <v>0.52</v>
      </c>
      <c r="N156" s="183">
        <v>5</v>
      </c>
      <c r="O156" s="170">
        <f>VLOOKUP(TablaPrincipal[[#This Row],[CODIGO]]&amp;TablaPrincipal[[#This Row],[AGUAJE ]],Tabla4[#All],5,0)</f>
        <v>1094400</v>
      </c>
      <c r="P156" s="221">
        <f>IFERROR(TablaPrincipal[[#This Row],[ANIM SEMBRADOS]]/TablaPrincipal[[#This Row],[HAS]],"-")</f>
        <v>180000</v>
      </c>
      <c r="Q156" s="222">
        <f>IFERROR(TablaPrincipal[[#This Row],[DENSIDAD]]/10000,"-")</f>
        <v>18</v>
      </c>
      <c r="R156" s="183" t="str">
        <f>VLOOKUP(TablaPrincipal[[#This Row],[CODIGO]]&amp;TablaPrincipal[[#This Row],[AGUAJE ]],Tabla4[#All],8,0)</f>
        <v>EMPAGRAN</v>
      </c>
      <c r="S156" s="183" t="str">
        <f>VLOOKUP(TablaPrincipal[[#This Row],[CODIGO]]&amp;TablaPrincipal[[#This Row],[AGUAJE ]],Tabla4[#All],7,0)</f>
        <v>EMPAGRAN</v>
      </c>
      <c r="T156" s="183" t="str">
        <f>IF(ISNUMBER(FIND("/",TablaPrincipal[[#This Row],[LABORATORIO]])),"COMBINADO","UNICO")</f>
        <v>UNICO</v>
      </c>
      <c r="U1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16650</v>
      </c>
      <c r="V1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17117.330000000002</v>
      </c>
      <c r="W1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1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20.73</v>
      </c>
      <c r="Y156" s="185">
        <f>IFERROR(TablaPrincipal[[#This Row],[LIBRAS RALEO PLANTA]]/TablaPrincipal[[#This Row],[HAS]],"-")</f>
        <v>2815.3503289473688</v>
      </c>
      <c r="Z1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382195.08784752688</v>
      </c>
      <c r="AA15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27500</v>
      </c>
      <c r="AB1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28304.61</v>
      </c>
      <c r="AC156" s="186">
        <f>SUMIFS(COSECHAS!F:F,COSECHAS!A:A,'BASE 2026'!AW:AW,COSECHAS!G:G,"="&amp;A:A)</f>
        <v>28</v>
      </c>
      <c r="AD156" s="186">
        <f>SUMIFS(COSECHAS!M:M,COSECHAS!A:A,'BASE 2026'!AW:AW,COSECHAS!G:G,"="&amp;A:A)</f>
        <v>26.42</v>
      </c>
      <c r="AE156" s="185">
        <f>IFERROR(TablaPrincipal[[#This Row],[LIBRAS PLANTA]]/TablaPrincipal[[#This Row],[HAS]],"-")</f>
        <v>4655.363486842105</v>
      </c>
      <c r="AF156" s="185">
        <f>IFERROR(TablaPrincipal[[#This Row],[LIBRAS PLANTA]]*454/TablaPrincipal[[#This Row],[GRAMOS PLANTA]],"-")</f>
        <v>486385.04693414073</v>
      </c>
      <c r="AG156" s="185">
        <f>TablaPrincipal[[#This Row],[LIBRAS RALEO PLANTA]]+TablaPrincipal[[#This Row],[LIBRAS PLANTA]]</f>
        <v>45421.94</v>
      </c>
      <c r="AH156" s="185">
        <f>IFERROR(TablaPrincipal[[#This Row],[CAM COSECHADOS RALEO]]+TablaPrincipal[[#This Row],[CAM COSECHADOS]],"-")</f>
        <v>868580.13478166761</v>
      </c>
      <c r="AI156" s="185">
        <f>IFERROR((TablaPrincipal[[#This Row],[LIBRAS RALEO PLANTA]]+TablaPrincipal[[#This Row],[LIBRAS PLANTA]])/TablaPrincipal[[#This Row],[HAS]],"0")</f>
        <v>7470.7138157894742</v>
      </c>
      <c r="AJ156" s="186">
        <f t="shared" si="2"/>
        <v>2.4334210526315792</v>
      </c>
      <c r="AK156" s="186">
        <f>IFERROR(TablaPrincipal[[#This Row],[LBS/HA]]/TablaPrincipal[[#This Row],[DIAS]],"-")</f>
        <v>98.298865997229925</v>
      </c>
      <c r="AL156" s="186">
        <f>IFERROR(TablaPrincipal[[#This Row],[CAM COSECHADOS TOTALES]]/TablaPrincipal[[#This Row],[ANIM SEMBRADOS]]*100,"-")</f>
        <v>79.365874888675762</v>
      </c>
      <c r="AM156" s="185">
        <v>63051.560000000005</v>
      </c>
      <c r="AN156" s="187">
        <f>IFERROR(((TablaPrincipal[[#This Row],[BALANCEADO ACUMULADO (LBS)]]/2.2046)/TablaPrincipal[[#This Row],[HAS]])/TablaPrincipal[[#This Row],[DIAS]],"-")</f>
        <v>61.894044321329638</v>
      </c>
      <c r="AO156" s="184">
        <f>IFERROR(TablaPrincipal[[#This Row],[BALANCEADO ACUMULADO (LBS)]]/TablaPrincipal[[#This Row],[LIBRAS TOTALES]],"-")</f>
        <v>1.3881300534499408</v>
      </c>
      <c r="AP156" s="184"/>
      <c r="AQ156" s="184" t="s">
        <v>105</v>
      </c>
      <c r="AR156" s="185">
        <f>TablaPrincipal[[#This Row],[LIBRAS RALEO PLANTA]]-TablaPrincipal[[#This Row],[LIBRAS RALEO CAMARONERA]]</f>
        <v>467.33000000000175</v>
      </c>
      <c r="AS156" s="185">
        <f>TablaPrincipal[[#This Row],[LIBRAS PLANTA]]-TablaPrincipal[[#This Row],[LIBRAS CAMARONERA]]</f>
        <v>804.61000000000058</v>
      </c>
      <c r="AT156" s="187">
        <f>TablaPrincipal[[#This Row],[GRAMAJE RALEO PLANTA]]-TablaPrincipal[[#This Row],[GRAMAJE RALEO CAMARONERA]]</f>
        <v>-2.5199999999999996</v>
      </c>
      <c r="AU156" s="187">
        <f>TablaPrincipal[[#This Row],[GRAMOS PLANTA]]-TablaPrincipal[[#This Row],[GRAMAJE CAMARONERA]]</f>
        <v>-1.5799999999999983</v>
      </c>
      <c r="AV156" s="183" t="str">
        <f>+VLOOKUP(TablaPrincipal[[#This Row],[CODIGO]],TablaCosechas[#All],10,0)</f>
        <v>SANTIAGO OBRIEN</v>
      </c>
      <c r="AW156" s="183" t="s">
        <v>18</v>
      </c>
      <c r="AX156" s="188" t="str">
        <f>+VLOOKUP(TablaPrincipal[[#This Row],[CODIGO]],TablaCosechas[#All],10,0)</f>
        <v>SANTIAGO OBRIEN</v>
      </c>
    </row>
    <row r="157" spans="1:50" hidden="1" x14ac:dyDescent="0.25">
      <c r="A157" s="196">
        <v>46076</v>
      </c>
      <c r="B157" s="183">
        <v>155</v>
      </c>
      <c r="C157" s="183">
        <f>YEAR(TablaPrincipal[[#This Row],[FECHA]])</f>
        <v>2026</v>
      </c>
      <c r="D157" s="183" t="s">
        <v>225</v>
      </c>
      <c r="E157" s="183" t="str">
        <f>UPPER(TEXT(TablaPrincipal[[#This Row],[FECHA]],"MMMM"))</f>
        <v>FEBRERO</v>
      </c>
      <c r="F157" s="183" t="str">
        <f>IFERROR(VLOOKUP(TablaPrincipal[[#This Row],[CODIGO]],COSECHAS!A:J,9,0),"-")</f>
        <v>10</v>
      </c>
      <c r="G157" s="183" t="str">
        <f>IFERROR(VLOOKUP(TablaPrincipal[[#This Row],[CODIGO]],COSECHAS!A:I,8,0),"-")</f>
        <v>DORADO</v>
      </c>
      <c r="H157" s="184">
        <f>IFERROR(VLOOKUP(TablaPrincipal[[#This Row],[CODIGO]],DATOS!A:B,2,0),"-")</f>
        <v>4.0199999999999996</v>
      </c>
      <c r="I157" s="183" t="str">
        <f>IFERROR(VLOOKUP(TablaPrincipal[[#This Row],[CODIGO]],Tabla8[[#Headers],[#Data]],3,0),"-")</f>
        <v>ASC-BAP</v>
      </c>
      <c r="J157" s="183">
        <f>IFERROR(TablaPrincipal[[#This Row],[FECHA]]-TablaPrincipal[[#This Row],[FECHA DE SIEMBRA]],"-")</f>
        <v>89</v>
      </c>
      <c r="K157" s="196">
        <f>VLOOKUP(TablaPrincipal[[#This Row],[CODIGO]]&amp;TablaPrincipal[[#This Row],[AGUAJE ]],Tabla4[#All],4,0)</f>
        <v>45987</v>
      </c>
      <c r="L157" s="183" t="str">
        <f>VLOOKUP(TablaPrincipal[[#This Row],[CODIGO]]&amp;TablaPrincipal[[#This Row],[AGUAJE ]],Tabla4[#All],15,0)</f>
        <v>DO PC 0 - TU PC 7</v>
      </c>
      <c r="M157" s="184">
        <f>VLOOKUP(TablaPrincipal[[#This Row],[CODIGO]]&amp;TablaPrincipal[[#This Row],[AGUAJE ]],Tabla4[#All],14,0)</f>
        <v>0.99</v>
      </c>
      <c r="N157" s="183">
        <v>7</v>
      </c>
      <c r="O157" s="170">
        <f>VLOOKUP(TablaPrincipal[[#This Row],[CODIGO]]&amp;TablaPrincipal[[#This Row],[AGUAJE ]],Tabla4[#All],5,0)</f>
        <v>793154</v>
      </c>
      <c r="P157" s="221">
        <f>IFERROR(TablaPrincipal[[#This Row],[ANIM SEMBRADOS]]/TablaPrincipal[[#This Row],[HAS]],"-")</f>
        <v>197301.99004975127</v>
      </c>
      <c r="Q157" s="222">
        <f>IFERROR(TablaPrincipal[[#This Row],[DENSIDAD]]/10000,"-")</f>
        <v>19.730199004975127</v>
      </c>
      <c r="R157" s="183" t="str">
        <f>VLOOKUP(TablaPrincipal[[#This Row],[CODIGO]]&amp;TablaPrincipal[[#This Row],[AGUAJE ]],Tabla4[#All],8,0)</f>
        <v>TECSERV/MAKROLAB</v>
      </c>
      <c r="S157" s="183" t="str">
        <f>VLOOKUP(TablaPrincipal[[#This Row],[CODIGO]]&amp;TablaPrincipal[[#This Row],[AGUAJE ]],Tabla4[#All],7,0)</f>
        <v>EMPAGRAN - SEMACUA/TEXCUMAR</v>
      </c>
      <c r="T157" s="183" t="str">
        <f>IF(ISNUMBER(FIND("/",TablaPrincipal[[#This Row],[LABORATORIO]])),"COMBINADO","UNICO")</f>
        <v>COMBINADO</v>
      </c>
      <c r="U1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16900</v>
      </c>
      <c r="V1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15606.31</v>
      </c>
      <c r="W1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30.549999999999997</v>
      </c>
      <c r="Y157" s="185">
        <f>IFERROR(TablaPrincipal[[#This Row],[LIBRAS RALEO PLANTA]]/TablaPrincipal[[#This Row],[HAS]],"-")</f>
        <v>3882.166666666667</v>
      </c>
      <c r="Z1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225208.26129321172</v>
      </c>
      <c r="AA15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17550</v>
      </c>
      <c r="AB1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18621.490000000002</v>
      </c>
      <c r="AC157" s="186">
        <f>SUMIFS(COSECHAS!F:F,COSECHAS!A:A,'BASE 2026'!AW:AW,COSECHAS!G:G,"="&amp;A:A)</f>
        <v>35</v>
      </c>
      <c r="AD157" s="186">
        <f>SUMIFS(COSECHAS!M:M,COSECHAS!A:A,'BASE 2026'!AW:AW,COSECHAS!G:G,"="&amp;A:A)</f>
        <v>39.32</v>
      </c>
      <c r="AE157" s="185">
        <f>IFERROR(TablaPrincipal[[#This Row],[LIBRAS PLANTA]]/TablaPrincipal[[#This Row],[HAS]],"-")</f>
        <v>4632.2114427860706</v>
      </c>
      <c r="AF157" s="185">
        <f>IFERROR(TablaPrincipal[[#This Row],[LIBRAS PLANTA]]*454/TablaPrincipal[[#This Row],[GRAMOS PLANTA]],"-")</f>
        <v>215009.0656154629</v>
      </c>
      <c r="AG157" s="185">
        <f>TablaPrincipal[[#This Row],[LIBRAS RALEO PLANTA]]+TablaPrincipal[[#This Row],[LIBRAS PLANTA]]</f>
        <v>34227.800000000003</v>
      </c>
      <c r="AH157" s="185">
        <f>IFERROR(TablaPrincipal[[#This Row],[CAM COSECHADOS RALEO]]+TablaPrincipal[[#This Row],[CAM COSECHADOS]],"-")</f>
        <v>440217.32690867461</v>
      </c>
      <c r="AI157" s="185">
        <f>IFERROR((TablaPrincipal[[#This Row],[LIBRAS RALEO PLANTA]]+TablaPrincipal[[#This Row],[LIBRAS PLANTA]])/TablaPrincipal[[#This Row],[HAS]],"0")</f>
        <v>8514.3781094527385</v>
      </c>
      <c r="AJ157" s="186">
        <f t="shared" si="2"/>
        <v>3.0925842696629218</v>
      </c>
      <c r="AK157" s="186">
        <f>IFERROR(TablaPrincipal[[#This Row],[LBS/HA]]/TablaPrincipal[[#This Row],[DIAS]],"-")</f>
        <v>95.667169769131888</v>
      </c>
      <c r="AL157" s="186">
        <f>IFERROR(TablaPrincipal[[#This Row],[CAM COSECHADOS TOTALES]]/TablaPrincipal[[#This Row],[ANIM SEMBRADOS]]*100,"-")</f>
        <v>55.502125300846316</v>
      </c>
      <c r="AM157" s="185">
        <v>50099.535000000003</v>
      </c>
      <c r="AN157" s="187">
        <f>IFERROR(((TablaPrincipal[[#This Row],[BALANCEADO ACUMULADO (LBS)]]/2.2046)/TablaPrincipal[[#This Row],[HAS]])/TablaPrincipal[[#This Row],[DIAS]],"-")</f>
        <v>63.516686231762549</v>
      </c>
      <c r="AO157" s="184">
        <f>IFERROR(TablaPrincipal[[#This Row],[BALANCEADO ACUMULADO (LBS)]]/TablaPrincipal[[#This Row],[LIBRAS TOTALES]],"-")</f>
        <v>1.4637088857595288</v>
      </c>
      <c r="AP157" s="184"/>
      <c r="AQ157" s="184" t="s">
        <v>105</v>
      </c>
      <c r="AR157" s="185">
        <f>TablaPrincipal[[#This Row],[LIBRAS RALEO PLANTA]]-TablaPrincipal[[#This Row],[LIBRAS RALEO CAMARONERA]]</f>
        <v>-1293.6900000000005</v>
      </c>
      <c r="AS157" s="185">
        <f>TablaPrincipal[[#This Row],[LIBRAS PLANTA]]-TablaPrincipal[[#This Row],[LIBRAS CAMARONERA]]</f>
        <v>1071.4900000000016</v>
      </c>
      <c r="AT157" s="187">
        <f>TablaPrincipal[[#This Row],[GRAMAJE RALEO PLANTA]]-TablaPrincipal[[#This Row],[GRAMAJE RALEO CAMARONERA]]</f>
        <v>5.5499999999999972</v>
      </c>
      <c r="AU157" s="187">
        <f>TablaPrincipal[[#This Row],[GRAMOS PLANTA]]-TablaPrincipal[[#This Row],[GRAMAJE CAMARONERA]]</f>
        <v>4.32</v>
      </c>
      <c r="AV157" s="183" t="str">
        <f>+VLOOKUP(TablaPrincipal[[#This Row],[CODIGO]],TablaCosechas[#All],10,0)</f>
        <v>JOSE CEDEÑO</v>
      </c>
      <c r="AW157" s="183" t="s">
        <v>250</v>
      </c>
      <c r="AX157" s="188" t="str">
        <f>+VLOOKUP(TablaPrincipal[[#This Row],[CODIGO]],TablaCosechas[#All],10,0)</f>
        <v>JOSE CEDEÑO</v>
      </c>
    </row>
    <row r="158" spans="1:50" hidden="1" x14ac:dyDescent="0.25">
      <c r="A158" s="196">
        <v>46076</v>
      </c>
      <c r="B158" s="183">
        <v>156</v>
      </c>
      <c r="C158" s="183">
        <f>YEAR(TablaPrincipal[[#This Row],[FECHA]])</f>
        <v>2026</v>
      </c>
      <c r="D158" s="183" t="s">
        <v>225</v>
      </c>
      <c r="E158" s="183" t="str">
        <f>UPPER(TEXT(TablaPrincipal[[#This Row],[FECHA]],"MMMM"))</f>
        <v>FEBRERO</v>
      </c>
      <c r="F158" s="183" t="str">
        <f>IFERROR(VLOOKUP(TablaPrincipal[[#This Row],[CODIGO]],COSECHAS!A:J,9,0),"-")</f>
        <v>01</v>
      </c>
      <c r="G158" s="183" t="str">
        <f>IFERROR(VLOOKUP(TablaPrincipal[[#This Row],[CODIGO]],COSECHAS!A:I,8,0),"-")</f>
        <v>PARGO ROJO</v>
      </c>
      <c r="H158" s="184">
        <f>IFERROR(VLOOKUP(TablaPrincipal[[#This Row],[CODIGO]],DATOS!A:B,2,0),"-")</f>
        <v>4.8</v>
      </c>
      <c r="I158" s="183" t="str">
        <f>IFERROR(VLOOKUP(TablaPrincipal[[#This Row],[CODIGO]],Tabla8[[#Headers],[#Data]],3,0),"-")</f>
        <v>CONVENCIONAL</v>
      </c>
      <c r="J158" s="183">
        <f>IFERROR(TablaPrincipal[[#This Row],[FECHA]]-TablaPrincipal[[#This Row],[FECHA DE SIEMBRA]],"-")</f>
        <v>66</v>
      </c>
      <c r="K158" s="196">
        <f>VLOOKUP(TablaPrincipal[[#This Row],[CODIGO]]&amp;TablaPrincipal[[#This Row],[AGUAJE ]],Tabla4[#All],4,0)</f>
        <v>46010</v>
      </c>
      <c r="L158" s="183" t="str">
        <f>VLOOKUP(TablaPrincipal[[#This Row],[CODIGO]]&amp;TablaPrincipal[[#This Row],[AGUAJE ]],Tabla4[#All],15,0)</f>
        <v>PR PS 01 CORRAL</v>
      </c>
      <c r="M158" s="184">
        <f>VLOOKUP(TablaPrincipal[[#This Row],[CODIGO]]&amp;TablaPrincipal[[#This Row],[AGUAJE ]],Tabla4[#All],14,0)</f>
        <v>0.5</v>
      </c>
      <c r="N158" s="183">
        <v>36</v>
      </c>
      <c r="O158" s="170">
        <f>VLOOKUP(TablaPrincipal[[#This Row],[CODIGO]]&amp;TablaPrincipal[[#This Row],[AGUAJE ]],Tabla4[#All],5,0)</f>
        <v>960000</v>
      </c>
      <c r="P158" s="221">
        <f>IFERROR(TablaPrincipal[[#This Row],[ANIM SEMBRADOS]]/TablaPrincipal[[#This Row],[HAS]],"-")</f>
        <v>200000</v>
      </c>
      <c r="Q158" s="222">
        <f>IFERROR(TablaPrincipal[[#This Row],[DENSIDAD]]/10000,"-")</f>
        <v>20</v>
      </c>
      <c r="R158" s="183" t="str">
        <f>VLOOKUP(TablaPrincipal[[#This Row],[CODIGO]]&amp;TablaPrincipal[[#This Row],[AGUAJE ]],Tabla4[#All],8,0)</f>
        <v>GABSO</v>
      </c>
      <c r="S158" s="183" t="str">
        <f>VLOOKUP(TablaPrincipal[[#This Row],[CODIGO]]&amp;TablaPrincipal[[#This Row],[AGUAJE ]],Tabla4[#All],7,0)</f>
        <v>TEXCUMAR</v>
      </c>
      <c r="T158" s="183" t="str">
        <f>IF(ISNUMBER(FIND("/",TablaPrincipal[[#This Row],[LABORATORIO]])),"COMBINADO","UNICO")</f>
        <v>UNICO</v>
      </c>
      <c r="U1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3600</v>
      </c>
      <c r="V1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4010.39</v>
      </c>
      <c r="W1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1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20.079999999999998</v>
      </c>
      <c r="Y158" s="185">
        <f>IFERROR(TablaPrincipal[[#This Row],[LIBRAS RALEO PLANTA]]/TablaPrincipal[[#This Row],[HAS]],"-")</f>
        <v>835.4979166666667</v>
      </c>
      <c r="Z1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90673.160358565743</v>
      </c>
      <c r="AA15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9900</v>
      </c>
      <c r="AB1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10802.89</v>
      </c>
      <c r="AC158" s="186">
        <f>SUMIFS(COSECHAS!F:F,COSECHAS!A:A,'BASE 2026'!AW:AW,COSECHAS!G:G,"="&amp;A:A)</f>
        <v>21</v>
      </c>
      <c r="AD158" s="186">
        <f>SUMIFS(COSECHAS!M:M,COSECHAS!A:A,'BASE 2026'!AW:AW,COSECHAS!G:G,"="&amp;A:A)</f>
        <v>22.62</v>
      </c>
      <c r="AE158" s="185">
        <f>IFERROR(TablaPrincipal[[#This Row],[LIBRAS PLANTA]]/TablaPrincipal[[#This Row],[HAS]],"-")</f>
        <v>2250.6020833333332</v>
      </c>
      <c r="AF158" s="185">
        <f>IFERROR(TablaPrincipal[[#This Row],[LIBRAS PLANTA]]*454/TablaPrincipal[[#This Row],[GRAMOS PLANTA]],"-")</f>
        <v>216821.93015030943</v>
      </c>
      <c r="AG158" s="185">
        <f>TablaPrincipal[[#This Row],[LIBRAS RALEO PLANTA]]+TablaPrincipal[[#This Row],[LIBRAS PLANTA]]</f>
        <v>14813.279999999999</v>
      </c>
      <c r="AH158" s="185">
        <f>IFERROR(TablaPrincipal[[#This Row],[CAM COSECHADOS RALEO]]+TablaPrincipal[[#This Row],[CAM COSECHADOS]],"-")</f>
        <v>307495.0905088752</v>
      </c>
      <c r="AI158" s="185">
        <f>IFERROR((TablaPrincipal[[#This Row],[LIBRAS RALEO PLANTA]]+TablaPrincipal[[#This Row],[LIBRAS PLANTA]])/TablaPrincipal[[#This Row],[HAS]],"0")</f>
        <v>3086.1</v>
      </c>
      <c r="AJ158" s="186">
        <f t="shared" si="2"/>
        <v>2.3990909090909089</v>
      </c>
      <c r="AK158" s="186">
        <f>IFERROR(TablaPrincipal[[#This Row],[LBS/HA]]/TablaPrincipal[[#This Row],[DIAS]],"-")</f>
        <v>46.759090909090908</v>
      </c>
      <c r="AL158" s="186">
        <f>IFERROR(TablaPrincipal[[#This Row],[CAM COSECHADOS TOTALES]]/TablaPrincipal[[#This Row],[ANIM SEMBRADOS]]*100,"-")</f>
        <v>32.030738594674503</v>
      </c>
      <c r="AM158" s="185">
        <v>32892.632000000005</v>
      </c>
      <c r="AN158" s="187">
        <f>IFERROR(((TablaPrincipal[[#This Row],[BALANCEADO ACUMULADO (LBS)]]/2.2046)/TablaPrincipal[[#This Row],[HAS]])/TablaPrincipal[[#This Row],[DIAS]],"-")</f>
        <v>47.095959595959606</v>
      </c>
      <c r="AO158" s="184">
        <f>IFERROR(TablaPrincipal[[#This Row],[BALANCEADO ACUMULADO (LBS)]]/TablaPrincipal[[#This Row],[LIBRAS TOTALES]],"-")</f>
        <v>2.2204827020079287</v>
      </c>
      <c r="AP158" s="184"/>
      <c r="AQ158" s="184" t="s">
        <v>105</v>
      </c>
      <c r="AR158" s="185">
        <f>TablaPrincipal[[#This Row],[LIBRAS RALEO PLANTA]]-TablaPrincipal[[#This Row],[LIBRAS RALEO CAMARONERA]]</f>
        <v>410.38999999999987</v>
      </c>
      <c r="AS158" s="185">
        <f>TablaPrincipal[[#This Row],[LIBRAS PLANTA]]-TablaPrincipal[[#This Row],[LIBRAS CAMARONERA]]</f>
        <v>902.88999999999942</v>
      </c>
      <c r="AT158" s="187">
        <f>TablaPrincipal[[#This Row],[GRAMAJE RALEO PLANTA]]-TablaPrincipal[[#This Row],[GRAMAJE RALEO CAMARONERA]]</f>
        <v>3.0799999999999983</v>
      </c>
      <c r="AU158" s="187">
        <f>TablaPrincipal[[#This Row],[GRAMOS PLANTA]]-TablaPrincipal[[#This Row],[GRAMAJE CAMARONERA]]</f>
        <v>1.620000000000001</v>
      </c>
      <c r="AV158" s="183" t="str">
        <f>+VLOOKUP(TablaPrincipal[[#This Row],[CODIGO]],TablaCosechas[#All],10,0)</f>
        <v>WILMER TORRES</v>
      </c>
      <c r="AW158" s="183" t="s">
        <v>251</v>
      </c>
      <c r="AX158" s="188" t="str">
        <f>+VLOOKUP(TablaPrincipal[[#This Row],[CODIGO]],TablaCosechas[#All],10,0)</f>
        <v>WILMER TORRES</v>
      </c>
    </row>
    <row r="159" spans="1:50" hidden="1" x14ac:dyDescent="0.25">
      <c r="A159" s="196">
        <v>46076</v>
      </c>
      <c r="B159" s="183">
        <v>157</v>
      </c>
      <c r="C159" s="183">
        <f>YEAR(TablaPrincipal[[#This Row],[FECHA]])</f>
        <v>2026</v>
      </c>
      <c r="D159" s="183" t="s">
        <v>225</v>
      </c>
      <c r="E159" s="183" t="str">
        <f>UPPER(TEXT(TablaPrincipal[[#This Row],[FECHA]],"MMMM"))</f>
        <v>FEBRERO</v>
      </c>
      <c r="F159" s="183" t="str">
        <f>IFERROR(VLOOKUP(TablaPrincipal[[#This Row],[CODIGO]],COSECHAS!A:J,9,0),"-")</f>
        <v>13</v>
      </c>
      <c r="G159" s="183" t="str">
        <f>IFERROR(VLOOKUP(TablaPrincipal[[#This Row],[CODIGO]],COSECHAS!A:I,8,0),"-")</f>
        <v>DELFIN</v>
      </c>
      <c r="H159" s="184">
        <f>IFERROR(VLOOKUP(TablaPrincipal[[#This Row],[CODIGO]],DATOS!A:B,2,0),"-")</f>
        <v>9.18</v>
      </c>
      <c r="I159" s="183" t="str">
        <f>IFERROR(VLOOKUP(TablaPrincipal[[#This Row],[CODIGO]],Tabla8[[#Headers],[#Data]],3,0),"-")</f>
        <v>CONVENCIONAL</v>
      </c>
      <c r="J159" s="183">
        <f>IFERROR(TablaPrincipal[[#This Row],[FECHA]]-TablaPrincipal[[#This Row],[FECHA DE SIEMBRA]],"-")</f>
        <v>73</v>
      </c>
      <c r="K159" s="196">
        <f>VLOOKUP(TablaPrincipal[[#This Row],[CODIGO]]&amp;TablaPrincipal[[#This Row],[AGUAJE ]],Tabla4[#All],4,0)</f>
        <v>46003</v>
      </c>
      <c r="L159" s="183" t="str">
        <f>VLOOKUP(TablaPrincipal[[#This Row],[CODIGO]]&amp;TablaPrincipal[[#This Row],[AGUAJE ]],Tabla4[#All],15,0)</f>
        <v>DE 14</v>
      </c>
      <c r="M159" s="184">
        <f>VLOOKUP(TablaPrincipal[[#This Row],[CODIGO]]&amp;TablaPrincipal[[#This Row],[AGUAJE ]],Tabla4[#All],14,0)</f>
        <v>0.7</v>
      </c>
      <c r="N159" s="183">
        <v>7</v>
      </c>
      <c r="O159" s="170">
        <f>VLOOKUP(TablaPrincipal[[#This Row],[CODIGO]]&amp;TablaPrincipal[[#This Row],[AGUAJE ]],Tabla4[#All],5,0)</f>
        <v>1377000</v>
      </c>
      <c r="P159" s="221">
        <f>IFERROR(TablaPrincipal[[#This Row],[ANIM SEMBRADOS]]/TablaPrincipal[[#This Row],[HAS]],"-")</f>
        <v>150000</v>
      </c>
      <c r="Q159" s="222">
        <f>IFERROR(TablaPrincipal[[#This Row],[DENSIDAD]]/10000,"-")</f>
        <v>15</v>
      </c>
      <c r="R159" s="183" t="str">
        <f>VLOOKUP(TablaPrincipal[[#This Row],[CODIGO]]&amp;TablaPrincipal[[#This Row],[AGUAJE ]],Tabla4[#All],8,0)</f>
        <v>GENESIS</v>
      </c>
      <c r="S159" s="183" t="str">
        <f>VLOOKUP(TablaPrincipal[[#This Row],[CODIGO]]&amp;TablaPrincipal[[#This Row],[AGUAJE ]],Tabla4[#All],7,0)</f>
        <v>TEXCUMAR</v>
      </c>
      <c r="T159" s="183" t="str">
        <f>IF(ISNUMBER(FIND("/",TablaPrincipal[[#This Row],[LABORATORIO]])),"COMBINADO","UNICO")</f>
        <v>UNICO</v>
      </c>
      <c r="U1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10000</v>
      </c>
      <c r="V1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9683.18</v>
      </c>
      <c r="W1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Y159" s="185">
        <f>IFERROR(TablaPrincipal[[#This Row],[LIBRAS RALEO PLANTA]]/TablaPrincipal[[#This Row],[HAS]],"-")</f>
        <v>1054.8126361655775</v>
      </c>
      <c r="Z1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183173.48833333331</v>
      </c>
      <c r="AA15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1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7184.71</v>
      </c>
      <c r="AC159" s="186">
        <f>SUMIFS(COSECHAS!F:F,COSECHAS!A:A,'BASE 2026'!AW:AW,COSECHAS!G:G,"="&amp;A:A)</f>
        <v>30</v>
      </c>
      <c r="AD159" s="186">
        <f>SUMIFS(COSECHAS!M:M,COSECHAS!A:A,'BASE 2026'!AW:AW,COSECHAS!G:G,"="&amp;A:A)</f>
        <v>28.18</v>
      </c>
      <c r="AE159" s="185">
        <f>IFERROR(TablaPrincipal[[#This Row],[LIBRAS PLANTA]]/TablaPrincipal[[#This Row],[HAS]],"-")</f>
        <v>782.64814814814815</v>
      </c>
      <c r="AF159" s="185">
        <f>IFERROR(TablaPrincipal[[#This Row],[LIBRAS PLANTA]]*454/TablaPrincipal[[#This Row],[GRAMOS PLANTA]],"-")</f>
        <v>115750.82824698367</v>
      </c>
      <c r="AG159" s="185">
        <f>TablaPrincipal[[#This Row],[LIBRAS RALEO PLANTA]]+TablaPrincipal[[#This Row],[LIBRAS PLANTA]]</f>
        <v>16867.89</v>
      </c>
      <c r="AH159" s="185">
        <f>IFERROR(TablaPrincipal[[#This Row],[CAM COSECHADOS RALEO]]+TablaPrincipal[[#This Row],[CAM COSECHADOS]],"-")</f>
        <v>298924.31658031698</v>
      </c>
      <c r="AI159" s="185">
        <f>IFERROR((TablaPrincipal[[#This Row],[LIBRAS RALEO PLANTA]]+TablaPrincipal[[#This Row],[LIBRAS PLANTA]])/TablaPrincipal[[#This Row],[HAS]],"0")</f>
        <v>1837.4607843137255</v>
      </c>
      <c r="AJ159" s="186">
        <f t="shared" si="2"/>
        <v>2.7021917808219178</v>
      </c>
      <c r="AK159" s="186">
        <f>IFERROR(TablaPrincipal[[#This Row],[LBS/HA]]/TablaPrincipal[[#This Row],[DIAS]],"-")</f>
        <v>25.170695675530485</v>
      </c>
      <c r="AL159" s="186">
        <f>IFERROR(TablaPrincipal[[#This Row],[CAM COSECHADOS TOTALES]]/TablaPrincipal[[#This Row],[ANIM SEMBRADOS]]*100,"-")</f>
        <v>21.708374479325851</v>
      </c>
      <c r="AM159" s="185">
        <v>73413.180000000008</v>
      </c>
      <c r="AN159" s="187">
        <f>IFERROR(((TablaPrincipal[[#This Row],[BALANCEADO ACUMULADO (LBS)]]/2.2046)/TablaPrincipal[[#This Row],[HAS]])/TablaPrincipal[[#This Row],[DIAS]],"-")</f>
        <v>49.691109320440503</v>
      </c>
      <c r="AO159" s="184">
        <f>IFERROR(TablaPrincipal[[#This Row],[BALANCEADO ACUMULADO (LBS)]]/TablaPrincipal[[#This Row],[LIBRAS TOTALES]],"-")</f>
        <v>4.3522444123123885</v>
      </c>
      <c r="AP159" s="184"/>
      <c r="AQ159" s="184" t="s">
        <v>105</v>
      </c>
      <c r="AR159" s="185">
        <f>TablaPrincipal[[#This Row],[LIBRAS RALEO PLANTA]]-TablaPrincipal[[#This Row],[LIBRAS RALEO CAMARONERA]]</f>
        <v>-316.81999999999971</v>
      </c>
      <c r="AS159" s="185">
        <f>TablaPrincipal[[#This Row],[LIBRAS PLANTA]]-TablaPrincipal[[#This Row],[LIBRAS CAMARONERA]]</f>
        <v>584.71</v>
      </c>
      <c r="AT159" s="187">
        <f>TablaPrincipal[[#This Row],[GRAMAJE RALEO PLANTA]]-TablaPrincipal[[#This Row],[GRAMAJE RALEO CAMARONERA]]</f>
        <v>2</v>
      </c>
      <c r="AU159" s="187">
        <f>TablaPrincipal[[#This Row],[GRAMOS PLANTA]]-TablaPrincipal[[#This Row],[GRAMAJE CAMARONERA]]</f>
        <v>-1.8200000000000003</v>
      </c>
      <c r="AV159" s="183" t="str">
        <f>+VLOOKUP(TablaPrincipal[[#This Row],[CODIGO]],TablaCosechas[#All],10,0)</f>
        <v>CARLOS FLORES</v>
      </c>
      <c r="AW159" s="183" t="s">
        <v>252</v>
      </c>
      <c r="AX159" s="188" t="str">
        <f>+VLOOKUP(TablaPrincipal[[#This Row],[CODIGO]],TablaCosechas[#All],10,0)</f>
        <v>CARLOS FLORES</v>
      </c>
    </row>
    <row r="160" spans="1:50" hidden="1" x14ac:dyDescent="0.25">
      <c r="A160" s="196">
        <v>46077</v>
      </c>
      <c r="B160" s="183">
        <v>158</v>
      </c>
      <c r="C160" s="183">
        <f>YEAR(TablaPrincipal[[#This Row],[FECHA]])</f>
        <v>2026</v>
      </c>
      <c r="D160" s="183" t="s">
        <v>225</v>
      </c>
      <c r="E160" s="183" t="str">
        <f>UPPER(TEXT(TablaPrincipal[[#This Row],[FECHA]],"MMMM"))</f>
        <v>FEBRERO</v>
      </c>
      <c r="F160" s="183" t="str">
        <f>IFERROR(VLOOKUP(TablaPrincipal[[#This Row],[CODIGO]],COSECHAS!A:J,9,0),"-")</f>
        <v>16</v>
      </c>
      <c r="G160" s="183" t="str">
        <f>IFERROR(VLOOKUP(TablaPrincipal[[#This Row],[CODIGO]],COSECHAS!A:I,8,0),"-")</f>
        <v>DORADO</v>
      </c>
      <c r="H160" s="184">
        <f>IFERROR(VLOOKUP(TablaPrincipal[[#This Row],[CODIGO]],DATOS!A:B,2,0),"-")</f>
        <v>4.74</v>
      </c>
      <c r="I160" s="183" t="str">
        <f>IFERROR(VLOOKUP(TablaPrincipal[[#This Row],[CODIGO]],Tabla8[[#Headers],[#Data]],3,0),"-")</f>
        <v>ASC-BAP</v>
      </c>
      <c r="J160" s="183">
        <f>IFERROR(TablaPrincipal[[#This Row],[FECHA]]-TablaPrincipal[[#This Row],[FECHA DE SIEMBRA]],"-")</f>
        <v>91</v>
      </c>
      <c r="K160" s="196">
        <f>VLOOKUP(TablaPrincipal[[#This Row],[CODIGO]]&amp;TablaPrincipal[[#This Row],[AGUAJE ]],Tabla4[#All],4,0)</f>
        <v>45986</v>
      </c>
      <c r="L160" s="183" t="str">
        <f>VLOOKUP(TablaPrincipal[[#This Row],[CODIGO]]&amp;TablaPrincipal[[#This Row],[AGUAJE ]],Tabla4[#All],15,0)</f>
        <v>DO PS 15 - TU PC 7</v>
      </c>
      <c r="M160" s="184">
        <f>VLOOKUP(TablaPrincipal[[#This Row],[CODIGO]]&amp;TablaPrincipal[[#This Row],[AGUAJE ]],Tabla4[#All],14,0)</f>
        <v>0.92</v>
      </c>
      <c r="N160" s="183">
        <v>2</v>
      </c>
      <c r="O160" s="170">
        <f>VLOOKUP(TablaPrincipal[[#This Row],[CODIGO]]&amp;TablaPrincipal[[#This Row],[AGUAJE ]],Tabla4[#All],5,0)</f>
        <v>938453</v>
      </c>
      <c r="P160" s="221">
        <f>IFERROR(TablaPrincipal[[#This Row],[ANIM SEMBRADOS]]/TablaPrincipal[[#This Row],[HAS]],"-")</f>
        <v>197985.86497890294</v>
      </c>
      <c r="Q160" s="222">
        <f>IFERROR(TablaPrincipal[[#This Row],[DENSIDAD]]/10000,"-")</f>
        <v>19.798586497890295</v>
      </c>
      <c r="R160" s="183" t="str">
        <f>VLOOKUP(TablaPrincipal[[#This Row],[CODIGO]]&amp;TablaPrincipal[[#This Row],[AGUAJE ]],Tabla4[#All],8,0)</f>
        <v>GENESIS/MAKROLAB</v>
      </c>
      <c r="S160" s="183" t="str">
        <f>VLOOKUP(TablaPrincipal[[#This Row],[CODIGO]]&amp;TablaPrincipal[[#This Row],[AGUAJE ]],Tabla4[#All],7,0)</f>
        <v>TEXCUMAR</v>
      </c>
      <c r="T160" s="183" t="str">
        <f>IF(ISNUMBER(FIND("/",TablaPrincipal[[#This Row],[LABORATORIO]])),"COMBINADO","UNICO")</f>
        <v>COMBINADO</v>
      </c>
      <c r="U1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20300</v>
      </c>
      <c r="V1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18271.05</v>
      </c>
      <c r="W1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22.25</v>
      </c>
      <c r="X1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22.14</v>
      </c>
      <c r="Y160" s="185">
        <f>IFERROR(TablaPrincipal[[#This Row],[LIBRAS RALEO PLANTA]]/TablaPrincipal[[#This Row],[HAS]],"-")</f>
        <v>3854.6518987341769</v>
      </c>
      <c r="Z1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386218.34315677884</v>
      </c>
      <c r="AA16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22900</v>
      </c>
      <c r="AB1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22909.11</v>
      </c>
      <c r="AC160" s="186">
        <f>SUMIFS(COSECHAS!F:F,COSECHAS!A:A,'BASE 2026'!AW:AW,COSECHAS!G:G,"="&amp;A:A)</f>
        <v>36</v>
      </c>
      <c r="AD160" s="186">
        <f>SUMIFS(COSECHAS!M:M,COSECHAS!A:A,'BASE 2026'!AW:AW,COSECHAS!G:G,"="&amp;A:A)</f>
        <v>37.24</v>
      </c>
      <c r="AE160" s="185">
        <f>IFERROR(TablaPrincipal[[#This Row],[LIBRAS PLANTA]]/TablaPrincipal[[#This Row],[HAS]],"-")</f>
        <v>4833.1455696202529</v>
      </c>
      <c r="AF160" s="185">
        <f>IFERROR(TablaPrincipal[[#This Row],[LIBRAS PLANTA]]*454/TablaPrincipal[[#This Row],[GRAMOS PLANTA]],"-")</f>
        <v>279289.36466165411</v>
      </c>
      <c r="AG160" s="185">
        <f>TablaPrincipal[[#This Row],[LIBRAS RALEO PLANTA]]+TablaPrincipal[[#This Row],[LIBRAS PLANTA]]</f>
        <v>41180.160000000003</v>
      </c>
      <c r="AH160" s="185">
        <f>IFERROR(TablaPrincipal[[#This Row],[CAM COSECHADOS RALEO]]+TablaPrincipal[[#This Row],[CAM COSECHADOS]],"-")</f>
        <v>665507.70781843294</v>
      </c>
      <c r="AI160" s="185">
        <f>IFERROR((TablaPrincipal[[#This Row],[LIBRAS RALEO PLANTA]]+TablaPrincipal[[#This Row],[LIBRAS PLANTA]])/TablaPrincipal[[#This Row],[HAS]],"0")</f>
        <v>8687.7974683544307</v>
      </c>
      <c r="AJ160" s="186">
        <f t="shared" si="2"/>
        <v>2.8646153846153846</v>
      </c>
      <c r="AK160" s="186">
        <f>IFERROR(TablaPrincipal[[#This Row],[LBS/HA]]/TablaPrincipal[[#This Row],[DIAS]],"-")</f>
        <v>95.470301850048685</v>
      </c>
      <c r="AL160" s="186">
        <f>IFERROR(TablaPrincipal[[#This Row],[CAM COSECHADOS TOTALES]]/TablaPrincipal[[#This Row],[ANIM SEMBRADOS]]*100,"-")</f>
        <v>70.915400965038515</v>
      </c>
      <c r="AM160" s="185">
        <v>64705.01</v>
      </c>
      <c r="AN160" s="187">
        <f>IFERROR(((TablaPrincipal[[#This Row],[BALANCEADO ACUMULADO (LBS)]]/2.2046)/TablaPrincipal[[#This Row],[HAS]])/TablaPrincipal[[#This Row],[DIAS]],"-")</f>
        <v>68.043770575416147</v>
      </c>
      <c r="AO160" s="184">
        <f>IFERROR(TablaPrincipal[[#This Row],[BALANCEADO ACUMULADO (LBS)]]/TablaPrincipal[[#This Row],[LIBRAS TOTALES]],"-")</f>
        <v>1.5712666002269053</v>
      </c>
      <c r="AP160" s="184"/>
      <c r="AQ160" s="184" t="s">
        <v>105</v>
      </c>
      <c r="AR160" s="185">
        <f>TablaPrincipal[[#This Row],[LIBRAS RALEO PLANTA]]-TablaPrincipal[[#This Row],[LIBRAS RALEO CAMARONERA]]</f>
        <v>-2028.9500000000007</v>
      </c>
      <c r="AS160" s="185">
        <f>TablaPrincipal[[#This Row],[LIBRAS PLANTA]]-TablaPrincipal[[#This Row],[LIBRAS CAMARONERA]]</f>
        <v>9.1100000000005821</v>
      </c>
      <c r="AT160" s="187">
        <f>TablaPrincipal[[#This Row],[GRAMAJE RALEO PLANTA]]-TablaPrincipal[[#This Row],[GRAMAJE RALEO CAMARONERA]]</f>
        <v>-0.10999999999999943</v>
      </c>
      <c r="AU160" s="187">
        <f>TablaPrincipal[[#This Row],[GRAMOS PLANTA]]-TablaPrincipal[[#This Row],[GRAMAJE CAMARONERA]]</f>
        <v>1.240000000000002</v>
      </c>
      <c r="AV160" s="183" t="str">
        <f>+VLOOKUP(TablaPrincipal[[#This Row],[CODIGO]],TablaCosechas[#All],10,0)</f>
        <v>JOSE CEDEÑO</v>
      </c>
      <c r="AW160" s="183" t="s">
        <v>253</v>
      </c>
      <c r="AX160" s="188" t="str">
        <f>+VLOOKUP(TablaPrincipal[[#This Row],[CODIGO]],TablaCosechas[#All],10,0)</f>
        <v>JOSE CEDEÑO</v>
      </c>
    </row>
    <row r="161" spans="1:50" hidden="1" x14ac:dyDescent="0.25">
      <c r="A161" s="196">
        <v>46078</v>
      </c>
      <c r="B161" s="183">
        <v>159</v>
      </c>
      <c r="C161" s="183">
        <f>YEAR(TablaPrincipal[[#This Row],[FECHA]])</f>
        <v>2026</v>
      </c>
      <c r="D161" s="183" t="s">
        <v>225</v>
      </c>
      <c r="E161" s="183" t="str">
        <f>UPPER(TEXT(TablaPrincipal[[#This Row],[FECHA]],"MMMM"))</f>
        <v>FEBRERO</v>
      </c>
      <c r="F161" s="183" t="str">
        <f>IFERROR(VLOOKUP(TablaPrincipal[[#This Row],[CODIGO]],COSECHAS!A:J,9,0),"-")</f>
        <v>12</v>
      </c>
      <c r="G161" s="183" t="str">
        <f>IFERROR(VLOOKUP(TablaPrincipal[[#This Row],[CODIGO]],COSECHAS!A:I,8,0),"-")</f>
        <v>DELFIN</v>
      </c>
      <c r="H161" s="184">
        <f>IFERROR(VLOOKUP(TablaPrincipal[[#This Row],[CODIGO]],DATOS!A:B,2,0),"-")</f>
        <v>8.77</v>
      </c>
      <c r="I161" s="183" t="str">
        <f>IFERROR(VLOOKUP(TablaPrincipal[[#This Row],[CODIGO]],Tabla8[[#Headers],[#Data]],3,0),"-")</f>
        <v>CONVENCIONAL</v>
      </c>
      <c r="J161" s="183">
        <f>IFERROR(TablaPrincipal[[#This Row],[FECHA]]-TablaPrincipal[[#This Row],[FECHA DE SIEMBRA]],"-")</f>
        <v>75</v>
      </c>
      <c r="K161" s="196">
        <f>VLOOKUP(TablaPrincipal[[#This Row],[CODIGO]]&amp;TablaPrincipal[[#This Row],[AGUAJE ]],Tabla4[#All],4,0)</f>
        <v>46003</v>
      </c>
      <c r="L161" s="183" t="str">
        <f>VLOOKUP(TablaPrincipal[[#This Row],[CODIGO]]&amp;TablaPrincipal[[#This Row],[AGUAJE ]],Tabla4[#All],15,0)</f>
        <v>DE PS 11</v>
      </c>
      <c r="M161" s="184">
        <f>VLOOKUP(TablaPrincipal[[#This Row],[CODIGO]]&amp;TablaPrincipal[[#This Row],[AGUAJE ]],Tabla4[#All],14,0)</f>
        <v>1.7</v>
      </c>
      <c r="N161" s="183">
        <v>5</v>
      </c>
      <c r="O161" s="170">
        <f>VLOOKUP(TablaPrincipal[[#This Row],[CODIGO]]&amp;TablaPrincipal[[#This Row],[AGUAJE ]],Tabla4[#All],5,0)</f>
        <v>1315500</v>
      </c>
      <c r="P161" s="221">
        <f>IFERROR(TablaPrincipal[[#This Row],[ANIM SEMBRADOS]]/TablaPrincipal[[#This Row],[HAS]],"-")</f>
        <v>150000</v>
      </c>
      <c r="Q161" s="222">
        <f>IFERROR(TablaPrincipal[[#This Row],[DENSIDAD]]/10000,"-")</f>
        <v>15</v>
      </c>
      <c r="R161" s="183" t="str">
        <f>VLOOKUP(TablaPrincipal[[#This Row],[CODIGO]]&amp;TablaPrincipal[[#This Row],[AGUAJE ]],Tabla4[#All],8,0)</f>
        <v>PRONAUPLIO</v>
      </c>
      <c r="S161" s="183" t="str">
        <f>VLOOKUP(TablaPrincipal[[#This Row],[CODIGO]]&amp;TablaPrincipal[[#This Row],[AGUAJE ]],Tabla4[#All],7,0)</f>
        <v>EMPAGRAN</v>
      </c>
      <c r="T161" s="183" t="str">
        <f>IF(ISNUMBER(FIND("/",TablaPrincipal[[#This Row],[LABORATORIO]])),"COMBINADO","UNICO")</f>
        <v>UNICO</v>
      </c>
      <c r="U1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21000</v>
      </c>
      <c r="V1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19267.45</v>
      </c>
      <c r="W1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26.5</v>
      </c>
      <c r="X1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26.490000000000002</v>
      </c>
      <c r="Y161" s="185">
        <f>IFERROR(TablaPrincipal[[#This Row],[LIBRAS RALEO PLANTA]]/TablaPrincipal[[#This Row],[HAS]],"-")</f>
        <v>2196.9726339794756</v>
      </c>
      <c r="Z1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310260.04028580326</v>
      </c>
      <c r="AA16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500</v>
      </c>
      <c r="AB1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333.74</v>
      </c>
      <c r="AC161" s="186">
        <f>SUMIFS(COSECHAS!F:F,COSECHAS!A:A,'BASE 2026'!AW:AW,COSECHAS!G:G,"="&amp;A:A)</f>
        <v>32</v>
      </c>
      <c r="AD161" s="186">
        <f>SUMIFS(COSECHAS!M:M,COSECHAS!A:A,'BASE 2026'!AW:AW,COSECHAS!G:G,"="&amp;A:A)</f>
        <v>32.89</v>
      </c>
      <c r="AE161" s="185">
        <f>IFERROR(TablaPrincipal[[#This Row],[LIBRAS PLANTA]]/TablaPrincipal[[#This Row],[HAS]],"-")</f>
        <v>38.054732041049036</v>
      </c>
      <c r="AF161" s="185">
        <f>IFERROR(TablaPrincipal[[#This Row],[LIBRAS PLANTA]]*454/TablaPrincipal[[#This Row],[GRAMOS PLANTA]],"-")</f>
        <v>4606.8093645484951</v>
      </c>
      <c r="AG161" s="185">
        <f>TablaPrincipal[[#This Row],[LIBRAS RALEO PLANTA]]+TablaPrincipal[[#This Row],[LIBRAS PLANTA]]</f>
        <v>19601.190000000002</v>
      </c>
      <c r="AH161" s="185">
        <f>IFERROR(TablaPrincipal[[#This Row],[CAM COSECHADOS RALEO]]+TablaPrincipal[[#This Row],[CAM COSECHADOS]],"-")</f>
        <v>314866.84965035174</v>
      </c>
      <c r="AI161" s="185">
        <f>IFERROR((TablaPrincipal[[#This Row],[LIBRAS RALEO PLANTA]]+TablaPrincipal[[#This Row],[LIBRAS PLANTA]])/TablaPrincipal[[#This Row],[HAS]],"0")</f>
        <v>2235.0273660205248</v>
      </c>
      <c r="AJ161" s="186">
        <f t="shared" si="2"/>
        <v>3.0697333333333336</v>
      </c>
      <c r="AK161" s="186">
        <f>IFERROR(TablaPrincipal[[#This Row],[LBS/HA]]/TablaPrincipal[[#This Row],[DIAS]],"-")</f>
        <v>29.800364880273666</v>
      </c>
      <c r="AL161" s="186">
        <f>IFERROR(TablaPrincipal[[#This Row],[CAM COSECHADOS TOTALES]]/TablaPrincipal[[#This Row],[ANIM SEMBRADOS]]*100,"-")</f>
        <v>23.935146305613966</v>
      </c>
      <c r="AM161" s="185">
        <v>72035.305000000008</v>
      </c>
      <c r="AN161" s="187">
        <f>IFERROR(((TablaPrincipal[[#This Row],[BALANCEADO ACUMULADO (LBS)]]/2.2046)/TablaPrincipal[[#This Row],[HAS]])/TablaPrincipal[[#This Row],[DIAS]],"-")</f>
        <v>49.676928924363366</v>
      </c>
      <c r="AO161" s="184">
        <f>IFERROR(TablaPrincipal[[#This Row],[BALANCEADO ACUMULADO (LBS)]]/TablaPrincipal[[#This Row],[LIBRAS TOTALES]],"-")</f>
        <v>3.6750475353792296</v>
      </c>
      <c r="AP161" s="184"/>
      <c r="AQ161" s="184" t="s">
        <v>105</v>
      </c>
      <c r="AR161" s="185">
        <f>TablaPrincipal[[#This Row],[LIBRAS RALEO PLANTA]]-TablaPrincipal[[#This Row],[LIBRAS RALEO CAMARONERA]]</f>
        <v>-1732.5499999999993</v>
      </c>
      <c r="AS161" s="185">
        <f>TablaPrincipal[[#This Row],[LIBRAS PLANTA]]-TablaPrincipal[[#This Row],[LIBRAS CAMARONERA]]</f>
        <v>-166.26</v>
      </c>
      <c r="AT161" s="187">
        <f>TablaPrincipal[[#This Row],[GRAMAJE RALEO PLANTA]]-TablaPrincipal[[#This Row],[GRAMAJE RALEO CAMARONERA]]</f>
        <v>-9.9999999999980105E-3</v>
      </c>
      <c r="AU161" s="187">
        <f>TablaPrincipal[[#This Row],[GRAMOS PLANTA]]-TablaPrincipal[[#This Row],[GRAMAJE CAMARONERA]]</f>
        <v>0.89000000000000057</v>
      </c>
      <c r="AV161" s="183" t="str">
        <f>+VLOOKUP(TablaPrincipal[[#This Row],[CODIGO]],TablaCosechas[#All],10,0)</f>
        <v>CARLOS FLORES</v>
      </c>
      <c r="AW161" s="183" t="s">
        <v>254</v>
      </c>
      <c r="AX161" s="188" t="str">
        <f>+VLOOKUP(TablaPrincipal[[#This Row],[CODIGO]],TablaCosechas[#All],10,0)</f>
        <v>CARLOS FLORES</v>
      </c>
    </row>
    <row r="162" spans="1:50" hidden="1" x14ac:dyDescent="0.25">
      <c r="A162" s="196">
        <v>46080</v>
      </c>
      <c r="B162" s="183">
        <v>160</v>
      </c>
      <c r="C162" s="183">
        <f>YEAR(TablaPrincipal[[#This Row],[FECHA]])</f>
        <v>2026</v>
      </c>
      <c r="D162" s="183" t="s">
        <v>225</v>
      </c>
      <c r="E162" s="183" t="str">
        <f>UPPER(TEXT(TablaPrincipal[[#This Row],[FECHA]],"MMMM"))</f>
        <v>FEBRERO</v>
      </c>
      <c r="F162" s="183" t="str">
        <f>IFERROR(VLOOKUP(TablaPrincipal[[#This Row],[CODIGO]],COSECHAS!A:J,9,0),"-")</f>
        <v>10</v>
      </c>
      <c r="G162" s="183" t="str">
        <f>IFERROR(VLOOKUP(TablaPrincipal[[#This Row],[CODIGO]],COSECHAS!A:I,8,0),"-")</f>
        <v>ROBALO</v>
      </c>
      <c r="H162" s="184">
        <f>IFERROR(VLOOKUP(TablaPrincipal[[#This Row],[CODIGO]],DATOS!A:B,2,0),"-")</f>
        <v>3.57</v>
      </c>
      <c r="I162" s="183" t="str">
        <f>IFERROR(VLOOKUP(TablaPrincipal[[#This Row],[CODIGO]],Tabla8[[#Headers],[#Data]],3,0),"-")</f>
        <v>ASC-BAP</v>
      </c>
      <c r="J162" s="183">
        <f>IFERROR(TablaPrincipal[[#This Row],[FECHA]]-TablaPrincipal[[#This Row],[FECHA DE SIEMBRA]],"-")</f>
        <v>82</v>
      </c>
      <c r="K162" s="196">
        <f>VLOOKUP(TablaPrincipal[[#This Row],[CODIGO]]&amp;TablaPrincipal[[#This Row],[AGUAJE ]],Tabla4[#All],4,0)</f>
        <v>45998</v>
      </c>
      <c r="L162" s="183" t="str">
        <f>VLOOKUP(TablaPrincipal[[#This Row],[CODIGO]]&amp;TablaPrincipal[[#This Row],[AGUAJE ]],Tabla4[#All],15,0)</f>
        <v>CA 1B</v>
      </c>
      <c r="M162" s="184">
        <f>VLOOKUP(TablaPrincipal[[#This Row],[CODIGO]]&amp;TablaPrincipal[[#This Row],[AGUAJE ]],Tabla4[#All],14,0)</f>
        <v>0.66</v>
      </c>
      <c r="N162" s="183">
        <v>9</v>
      </c>
      <c r="O162" s="170">
        <f>VLOOKUP(TablaPrincipal[[#This Row],[CODIGO]]&amp;TablaPrincipal[[#This Row],[AGUAJE ]],Tabla4[#All],5,0)</f>
        <v>606900</v>
      </c>
      <c r="P162" s="221">
        <f>IFERROR(TablaPrincipal[[#This Row],[ANIM SEMBRADOS]]/TablaPrincipal[[#This Row],[HAS]],"-")</f>
        <v>170000</v>
      </c>
      <c r="Q162" s="222">
        <f>IFERROR(TablaPrincipal[[#This Row],[DENSIDAD]]/10000,"-")</f>
        <v>17</v>
      </c>
      <c r="R162" s="183" t="str">
        <f>VLOOKUP(TablaPrincipal[[#This Row],[CODIGO]]&amp;TablaPrincipal[[#This Row],[AGUAJE ]],Tabla4[#All],8,0)</f>
        <v>EMPAGRAN</v>
      </c>
      <c r="S162" s="183" t="str">
        <f>VLOOKUP(TablaPrincipal[[#This Row],[CODIGO]]&amp;TablaPrincipal[[#This Row],[AGUAJE ]],Tabla4[#All],7,0)</f>
        <v>EMPAGRAN</v>
      </c>
      <c r="T162" s="183" t="str">
        <f>IF(ISNUMBER(FIND("/",TablaPrincipal[[#This Row],[LABORATORIO]])),"COMBINADO","UNICO")</f>
        <v>UNICO</v>
      </c>
      <c r="U1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8150</v>
      </c>
      <c r="V1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9425.2799999999988</v>
      </c>
      <c r="W1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21.619999999999997</v>
      </c>
      <c r="Y162" s="185">
        <f>IFERROR(TablaPrincipal[[#This Row],[LIBRAS RALEO PLANTA]]/TablaPrincipal[[#This Row],[HAS]],"-")</f>
        <v>2640.1344537815125</v>
      </c>
      <c r="Z1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195356.17330161852</v>
      </c>
      <c r="AA16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20600</v>
      </c>
      <c r="AB1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22412.07</v>
      </c>
      <c r="AC162" s="186">
        <f>SUMIFS(COSECHAS!F:F,COSECHAS!A:A,'BASE 2026'!AW:AW,COSECHAS!G:G,"="&amp;A:A)</f>
        <v>38</v>
      </c>
      <c r="AD162" s="186">
        <f>SUMIFS(COSECHAS!M:M,COSECHAS!A:A,'BASE 2026'!AW:AW,COSECHAS!G:G,"="&amp;A:A)</f>
        <v>39.1</v>
      </c>
      <c r="AE162" s="185">
        <f>IFERROR(TablaPrincipal[[#This Row],[LIBRAS PLANTA]]/TablaPrincipal[[#This Row],[HAS]],"-")</f>
        <v>6277.8907563025214</v>
      </c>
      <c r="AF162" s="185">
        <f>IFERROR(TablaPrincipal[[#This Row],[LIBRAS PLANTA]]*454/TablaPrincipal[[#This Row],[GRAMOS PLANTA]],"-")</f>
        <v>260232.21943734013</v>
      </c>
      <c r="AG162" s="185">
        <f>TablaPrincipal[[#This Row],[LIBRAS RALEO PLANTA]]+TablaPrincipal[[#This Row],[LIBRAS PLANTA]]</f>
        <v>31837.35</v>
      </c>
      <c r="AH162" s="185">
        <f>IFERROR(TablaPrincipal[[#This Row],[CAM COSECHADOS RALEO]]+TablaPrincipal[[#This Row],[CAM COSECHADOS]],"-")</f>
        <v>455588.39273895865</v>
      </c>
      <c r="AI162" s="185">
        <f>IFERROR((TablaPrincipal[[#This Row],[LIBRAS RALEO PLANTA]]+TablaPrincipal[[#This Row],[LIBRAS PLANTA]])/TablaPrincipal[[#This Row],[HAS]],"0")</f>
        <v>8918.0252100840335</v>
      </c>
      <c r="AJ162" s="186">
        <f t="shared" si="2"/>
        <v>3.337804878048781</v>
      </c>
      <c r="AK162" s="186">
        <f>IFERROR(TablaPrincipal[[#This Row],[LBS/HA]]/TablaPrincipal[[#This Row],[DIAS]],"-")</f>
        <v>108.7564050010248</v>
      </c>
      <c r="AL162" s="186">
        <f>IFERROR(TablaPrincipal[[#This Row],[CAM COSECHADOS TOTALES]]/TablaPrincipal[[#This Row],[ANIM SEMBRADOS]]*100,"-")</f>
        <v>75.068115462013282</v>
      </c>
      <c r="AM162" s="185">
        <v>40939.421999999999</v>
      </c>
      <c r="AN162" s="187">
        <f>IFERROR(((TablaPrincipal[[#This Row],[BALANCEADO ACUMULADO (LBS)]]/2.2046)/TablaPrincipal[[#This Row],[HAS]])/TablaPrincipal[[#This Row],[DIAS]],"-")</f>
        <v>63.435130149620832</v>
      </c>
      <c r="AO162" s="184">
        <f>IFERROR(TablaPrincipal[[#This Row],[BALANCEADO ACUMULADO (LBS)]]/TablaPrincipal[[#This Row],[LIBRAS TOTALES]],"-")</f>
        <v>1.2858928899547231</v>
      </c>
      <c r="AP162" s="184"/>
      <c r="AQ162" s="184" t="s">
        <v>105</v>
      </c>
      <c r="AR162" s="185">
        <f>TablaPrincipal[[#This Row],[LIBRAS RALEO PLANTA]]-TablaPrincipal[[#This Row],[LIBRAS RALEO CAMARONERA]]</f>
        <v>1275.2799999999988</v>
      </c>
      <c r="AS162" s="185">
        <f>TablaPrincipal[[#This Row],[LIBRAS PLANTA]]-TablaPrincipal[[#This Row],[LIBRAS CAMARONERA]]</f>
        <v>1812.0699999999997</v>
      </c>
      <c r="AT162" s="187">
        <f>TablaPrincipal[[#This Row],[GRAMAJE RALEO PLANTA]]-TablaPrincipal[[#This Row],[GRAMAJE RALEO CAMARONERA]]</f>
        <v>0.61999999999999744</v>
      </c>
      <c r="AU162" s="187">
        <f>TablaPrincipal[[#This Row],[GRAMOS PLANTA]]-TablaPrincipal[[#This Row],[GRAMAJE CAMARONERA]]</f>
        <v>1.1000000000000014</v>
      </c>
      <c r="AV162" s="183" t="str">
        <f>+VLOOKUP(TablaPrincipal[[#This Row],[CODIGO]],TablaCosechas[#All],10,0)</f>
        <v>VICTOR QUINTANA</v>
      </c>
      <c r="AW162" s="183" t="s">
        <v>255</v>
      </c>
      <c r="AX162" s="188" t="str">
        <f>+VLOOKUP(TablaPrincipal[[#This Row],[CODIGO]],TablaCosechas[#All],10,0)</f>
        <v>VICTOR QUINTANA</v>
      </c>
    </row>
    <row r="163" spans="1:50" hidden="1" x14ac:dyDescent="0.25">
      <c r="A163" s="196">
        <v>46081</v>
      </c>
      <c r="B163" s="183">
        <v>161</v>
      </c>
      <c r="C163" s="183">
        <f>YEAR(TablaPrincipal[[#This Row],[FECHA]])</f>
        <v>2026</v>
      </c>
      <c r="D163" s="183" t="s">
        <v>256</v>
      </c>
      <c r="E163" s="183" t="str">
        <f>UPPER(TEXT(TablaPrincipal[[#This Row],[FECHA]],"MMMM"))</f>
        <v>FEBRERO</v>
      </c>
      <c r="F163" s="183" t="str">
        <f>IFERROR(VLOOKUP(TablaPrincipal[[#This Row],[CODIGO]],COSECHAS!A:J,9,0),"-")</f>
        <v>21</v>
      </c>
      <c r="G163" s="183" t="str">
        <f>IFERROR(VLOOKUP(TablaPrincipal[[#This Row],[CODIGO]],COSECHAS!A:I,8,0),"-")</f>
        <v>WAHOO</v>
      </c>
      <c r="H163" s="184">
        <f>IFERROR(VLOOKUP(TablaPrincipal[[#This Row],[CODIGO]],DATOS!A:B,2,0),"-")</f>
        <v>4.5</v>
      </c>
      <c r="I163" s="183" t="str">
        <f>IFERROR(VLOOKUP(TablaPrincipal[[#This Row],[CODIGO]],Tabla8[[#Headers],[#Data]],3,0),"-")</f>
        <v>CONVENCIONAL</v>
      </c>
      <c r="J163" s="183">
        <f>IFERROR(TablaPrincipal[[#This Row],[FECHA]]-TablaPrincipal[[#This Row],[FECHA DE SIEMBRA]],"-")</f>
        <v>37</v>
      </c>
      <c r="K163" s="196">
        <f>VLOOKUP(TablaPrincipal[[#This Row],[CODIGO]]&amp;TablaPrincipal[[#This Row],[AGUAJE ]],Tabla4[#All],4,0)</f>
        <v>46044</v>
      </c>
      <c r="L163" s="183" t="str">
        <f>VLOOKUP(TablaPrincipal[[#This Row],[CODIGO]]&amp;TablaPrincipal[[#This Row],[AGUAJE ]],Tabla4[#All],15,0)</f>
        <v>WA PS 18</v>
      </c>
      <c r="M163" s="184">
        <f>VLOOKUP(TablaPrincipal[[#This Row],[CODIGO]]&amp;TablaPrincipal[[#This Row],[AGUAJE ]],Tabla4[#All],14,0)</f>
        <v>1.1399999999999999</v>
      </c>
      <c r="N163" s="183">
        <v>66</v>
      </c>
      <c r="O163" s="170">
        <f>VLOOKUP(TablaPrincipal[[#This Row],[CODIGO]]&amp;TablaPrincipal[[#This Row],[AGUAJE ]],Tabla4[#All],5,0)</f>
        <v>540000</v>
      </c>
      <c r="P163" s="221">
        <f>IFERROR(TablaPrincipal[[#This Row],[ANIM SEMBRADOS]]/TablaPrincipal[[#This Row],[HAS]],"-")</f>
        <v>120000</v>
      </c>
      <c r="Q163" s="222">
        <f>IFERROR(TablaPrincipal[[#This Row],[DENSIDAD]]/10000,"-")</f>
        <v>12</v>
      </c>
      <c r="R163" s="183" t="str">
        <f>VLOOKUP(TablaPrincipal[[#This Row],[CODIGO]]&amp;TablaPrincipal[[#This Row],[AGUAJE ]],Tabla4[#All],8,0)</f>
        <v>TECSERV</v>
      </c>
      <c r="S163" s="183" t="str">
        <f>VLOOKUP(TablaPrincipal[[#This Row],[CODIGO]]&amp;TablaPrincipal[[#This Row],[AGUAJE ]],Tabla4[#All],7,0)</f>
        <v>SEMACUA</v>
      </c>
      <c r="T163" s="183" t="str">
        <f>IF(ISNUMBER(FIND("/",TablaPrincipal[[#This Row],[LABORATORIO]])),"COMBINADO","UNICO")</f>
        <v>UNICO</v>
      </c>
      <c r="U1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850</v>
      </c>
      <c r="V1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881.69</v>
      </c>
      <c r="W1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21.12</v>
      </c>
      <c r="Y163" s="185">
        <f>IFERROR(TablaPrincipal[[#This Row],[LIBRAS RALEO PLANTA]]/TablaPrincipal[[#This Row],[HAS]],"-")</f>
        <v>195.93111111111114</v>
      </c>
      <c r="Z1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18952.995265151516</v>
      </c>
      <c r="AA16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5600</v>
      </c>
      <c r="AB1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6384.04</v>
      </c>
      <c r="AC163" s="186">
        <f>SUMIFS(COSECHAS!F:F,COSECHAS!A:A,'BASE 2026'!AW:AW,COSECHAS!G:G,"="&amp;A:A)</f>
        <v>19</v>
      </c>
      <c r="AD163" s="186">
        <f>SUMIFS(COSECHAS!M:M,COSECHAS!A:A,'BASE 2026'!AW:AW,COSECHAS!G:G,"="&amp;A:A)</f>
        <v>21.5</v>
      </c>
      <c r="AE163" s="185">
        <f>IFERROR(TablaPrincipal[[#This Row],[LIBRAS PLANTA]]/TablaPrincipal[[#This Row],[HAS]],"-")</f>
        <v>1418.6755555555555</v>
      </c>
      <c r="AF163" s="185">
        <f>IFERROR(TablaPrincipal[[#This Row],[LIBRAS PLANTA]]*454/TablaPrincipal[[#This Row],[GRAMOS PLANTA]],"-")</f>
        <v>134807.17023255816</v>
      </c>
      <c r="AG163" s="185">
        <f>TablaPrincipal[[#This Row],[LIBRAS RALEO PLANTA]]+TablaPrincipal[[#This Row],[LIBRAS PLANTA]]</f>
        <v>7265.73</v>
      </c>
      <c r="AH163" s="185">
        <f>IFERROR(TablaPrincipal[[#This Row],[CAM COSECHADOS RALEO]]+TablaPrincipal[[#This Row],[CAM COSECHADOS]],"-")</f>
        <v>153760.16549770968</v>
      </c>
      <c r="AI163" s="185">
        <f>IFERROR((TablaPrincipal[[#This Row],[LIBRAS RALEO PLANTA]]+TablaPrincipal[[#This Row],[LIBRAS PLANTA]])/TablaPrincipal[[#This Row],[HAS]],"0")</f>
        <v>1614.6066666666666</v>
      </c>
      <c r="AJ163" s="186">
        <f t="shared" si="2"/>
        <v>4.0675675675675675</v>
      </c>
      <c r="AK163" s="186">
        <f>IFERROR(TablaPrincipal[[#This Row],[LBS/HA]]/TablaPrincipal[[#This Row],[DIAS]],"-")</f>
        <v>43.638018018018016</v>
      </c>
      <c r="AL163" s="186">
        <f>IFERROR(TablaPrincipal[[#This Row],[CAM COSECHADOS TOTALES]]/TablaPrincipal[[#This Row],[ANIM SEMBRADOS]]*100,"-")</f>
        <v>28.474104721798088</v>
      </c>
      <c r="AM163" s="185">
        <v>7627.9160000000002</v>
      </c>
      <c r="AN163" s="187">
        <f>IFERROR(((TablaPrincipal[[#This Row],[BALANCEADO ACUMULADO (LBS)]]/2.2046)/TablaPrincipal[[#This Row],[HAS]])/TablaPrincipal[[#This Row],[DIAS]],"-")</f>
        <v>20.780780780780781</v>
      </c>
      <c r="AO163" s="184">
        <f>IFERROR(TablaPrincipal[[#This Row],[BALANCEADO ACUMULADO (LBS)]]/TablaPrincipal[[#This Row],[LIBRAS TOTALES]],"-")</f>
        <v>1.0498485355222393</v>
      </c>
      <c r="AP163" s="184"/>
      <c r="AQ163" s="184" t="s">
        <v>105</v>
      </c>
      <c r="AR163" s="185">
        <f>TablaPrincipal[[#This Row],[LIBRAS RALEO PLANTA]]-TablaPrincipal[[#This Row],[LIBRAS RALEO CAMARONERA]]</f>
        <v>31.690000000000055</v>
      </c>
      <c r="AS163" s="185">
        <f>TablaPrincipal[[#This Row],[LIBRAS PLANTA]]-TablaPrincipal[[#This Row],[LIBRAS CAMARONERA]]</f>
        <v>784.04</v>
      </c>
      <c r="AT163" s="187">
        <f>TablaPrincipal[[#This Row],[GRAMAJE RALEO PLANTA]]-TablaPrincipal[[#This Row],[GRAMAJE RALEO CAMARONERA]]</f>
        <v>2.120000000000001</v>
      </c>
      <c r="AU163" s="187">
        <f>TablaPrincipal[[#This Row],[GRAMOS PLANTA]]-TablaPrincipal[[#This Row],[GRAMAJE CAMARONERA]]</f>
        <v>2.5</v>
      </c>
      <c r="AV163" s="183" t="str">
        <f>+VLOOKUP(TablaPrincipal[[#This Row],[CODIGO]],TablaCosechas[#All],10,0)</f>
        <v>JUNIOR ESQUIVEL</v>
      </c>
      <c r="AW163" s="183" t="s">
        <v>257</v>
      </c>
      <c r="AX163" s="188" t="str">
        <f>+VLOOKUP(TablaPrincipal[[#This Row],[CODIGO]],TablaCosechas[#All],10,0)</f>
        <v>JUNIOR ESQUIVEL</v>
      </c>
    </row>
    <row r="164" spans="1:50" hidden="1" x14ac:dyDescent="0.25">
      <c r="A164" s="196">
        <v>46083</v>
      </c>
      <c r="B164" s="183">
        <v>162</v>
      </c>
      <c r="C164" s="183">
        <f>YEAR(TablaPrincipal[[#This Row],[FECHA]])</f>
        <v>2026</v>
      </c>
      <c r="D164" s="183" t="s">
        <v>256</v>
      </c>
      <c r="E164" s="183" t="str">
        <f>UPPER(TEXT(TablaPrincipal[[#This Row],[FECHA]],"MMMM"))</f>
        <v>MARZO</v>
      </c>
      <c r="F164" s="183" t="str">
        <f>IFERROR(VLOOKUP(TablaPrincipal[[#This Row],[CODIGO]],COSECHAS!A:J,9,0),"-")</f>
        <v>10</v>
      </c>
      <c r="G164" s="183" t="str">
        <f>IFERROR(VLOOKUP(TablaPrincipal[[#This Row],[CODIGO]],COSECHAS!A:I,8,0),"-")</f>
        <v>TIBURON</v>
      </c>
      <c r="H164" s="184">
        <f>IFERROR(VLOOKUP(TablaPrincipal[[#This Row],[CODIGO]],DATOS!A:B,2,0),"-")</f>
        <v>6.71</v>
      </c>
      <c r="I164" s="183" t="str">
        <f>IFERROR(VLOOKUP(TablaPrincipal[[#This Row],[CODIGO]],Tabla8[[#Headers],[#Data]],3,0),"-")</f>
        <v>ASC-BAP</v>
      </c>
      <c r="J164" s="183">
        <f>IFERROR(TablaPrincipal[[#This Row],[FECHA]]-TablaPrincipal[[#This Row],[FECHA DE SIEMBRA]],"-")</f>
        <v>86</v>
      </c>
      <c r="K164" s="196">
        <f>VLOOKUP(TablaPrincipal[[#This Row],[CODIGO]]&amp;TablaPrincipal[[#This Row],[AGUAJE ]],Tabla4[#All],4,0)</f>
        <v>45997</v>
      </c>
      <c r="L164" s="183" t="str">
        <f>VLOOKUP(TablaPrincipal[[#This Row],[CODIGO]]&amp;TablaPrincipal[[#This Row],[AGUAJE ]],Tabla4[#All],15,0)</f>
        <v>TI 30 - TA 1</v>
      </c>
      <c r="M164" s="184">
        <f>VLOOKUP(TablaPrincipal[[#This Row],[CODIGO]]&amp;TablaPrincipal[[#This Row],[AGUAJE ]],Tabla4[#All],14,0)</f>
        <v>0.26</v>
      </c>
      <c r="N164" s="183">
        <v>7</v>
      </c>
      <c r="O164" s="170">
        <f>VLOOKUP(TablaPrincipal[[#This Row],[CODIGO]]&amp;TablaPrincipal[[#This Row],[AGUAJE ]],Tabla4[#All],5,0)</f>
        <v>1241350</v>
      </c>
      <c r="P164" s="221">
        <f>IFERROR(TablaPrincipal[[#This Row],[ANIM SEMBRADOS]]/TablaPrincipal[[#This Row],[HAS]],"-")</f>
        <v>185000</v>
      </c>
      <c r="Q164" s="222">
        <f>IFERROR(TablaPrincipal[[#This Row],[DENSIDAD]]/10000,"-")</f>
        <v>18.5</v>
      </c>
      <c r="R164" s="183" t="str">
        <f>VLOOKUP(TablaPrincipal[[#This Row],[CODIGO]]&amp;TablaPrincipal[[#This Row],[AGUAJE ]],Tabla4[#All],8,0)</f>
        <v>MAKROLAB</v>
      </c>
      <c r="S164" s="183" t="str">
        <f>VLOOKUP(TablaPrincipal[[#This Row],[CODIGO]]&amp;TablaPrincipal[[#This Row],[AGUAJE ]],Tabla4[#All],7,0)</f>
        <v>TEXCUMAR</v>
      </c>
      <c r="T164" s="183" t="str">
        <f>IF(ISNUMBER(FIND("/",TablaPrincipal[[#This Row],[LABORATORIO]])),"COMBINADO","UNICO")</f>
        <v>UNICO</v>
      </c>
      <c r="U1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19850</v>
      </c>
      <c r="V1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20470.53</v>
      </c>
      <c r="W1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24.05</v>
      </c>
      <c r="Y164" s="185">
        <f>IFERROR(TablaPrincipal[[#This Row],[LIBRAS RALEO PLANTA]]/TablaPrincipal[[#This Row],[HAS]],"-")</f>
        <v>3050.7496274217583</v>
      </c>
      <c r="Z1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387413.55946338282</v>
      </c>
      <c r="AA16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41600</v>
      </c>
      <c r="AB1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46193.48</v>
      </c>
      <c r="AC164" s="186">
        <f>SUMIFS(COSECHAS!F:F,COSECHAS!A:A,'BASE 2026'!AW:AW,COSECHAS!G:G,"="&amp;A:A)</f>
        <v>34.5</v>
      </c>
      <c r="AD164" s="186">
        <f>SUMIFS(COSECHAS!M:M,COSECHAS!A:A,'BASE 2026'!AW:AW,COSECHAS!G:G,"="&amp;A:A)</f>
        <v>35.14</v>
      </c>
      <c r="AE164" s="185">
        <f>IFERROR(TablaPrincipal[[#This Row],[LIBRAS PLANTA]]/TablaPrincipal[[#This Row],[HAS]],"-")</f>
        <v>6884.2742175856938</v>
      </c>
      <c r="AF164" s="185">
        <f>IFERROR(TablaPrincipal[[#This Row],[LIBRAS PLANTA]]*454/TablaPrincipal[[#This Row],[GRAMOS PLANTA]],"-")</f>
        <v>596808.19351166766</v>
      </c>
      <c r="AG164" s="185">
        <f>TablaPrincipal[[#This Row],[LIBRAS RALEO PLANTA]]+TablaPrincipal[[#This Row],[LIBRAS PLANTA]]</f>
        <v>66664.010000000009</v>
      </c>
      <c r="AH164" s="185">
        <f>IFERROR(TablaPrincipal[[#This Row],[CAM COSECHADOS RALEO]]+TablaPrincipal[[#This Row],[CAM COSECHADOS]],"-")</f>
        <v>984221.75297505048</v>
      </c>
      <c r="AI164" s="185">
        <f>IFERROR((TablaPrincipal[[#This Row],[LIBRAS RALEO PLANTA]]+TablaPrincipal[[#This Row],[LIBRAS PLANTA]])/TablaPrincipal[[#This Row],[HAS]],"0")</f>
        <v>9935.0238450074521</v>
      </c>
      <c r="AJ164" s="186">
        <f t="shared" si="2"/>
        <v>2.8602325581395349</v>
      </c>
      <c r="AK164" s="186">
        <f>IFERROR(TablaPrincipal[[#This Row],[LBS/HA]]/TablaPrincipal[[#This Row],[DIAS]],"-")</f>
        <v>115.523533081482</v>
      </c>
      <c r="AL164" s="186">
        <f>IFERROR(TablaPrincipal[[#This Row],[CAM COSECHADOS TOTALES]]/TablaPrincipal[[#This Row],[ANIM SEMBRADOS]]*100,"-")</f>
        <v>79.286402140818495</v>
      </c>
      <c r="AM164" s="185">
        <v>89275.277000000002</v>
      </c>
      <c r="AN164" s="187">
        <f>IFERROR(((TablaPrincipal[[#This Row],[BALANCEADO ACUMULADO (LBS)]]/2.2046)/TablaPrincipal[[#This Row],[HAS]])/TablaPrincipal[[#This Row],[DIAS]],"-")</f>
        <v>70.174678542959143</v>
      </c>
      <c r="AO164" s="184">
        <f>IFERROR(TablaPrincipal[[#This Row],[BALANCEADO ACUMULADO (LBS)]]/TablaPrincipal[[#This Row],[LIBRAS TOTALES]],"-")</f>
        <v>1.3391825214234785</v>
      </c>
      <c r="AP164" s="184"/>
      <c r="AQ164" s="184" t="s">
        <v>105</v>
      </c>
      <c r="AR164" s="185">
        <f>TablaPrincipal[[#This Row],[LIBRAS RALEO PLANTA]]-TablaPrincipal[[#This Row],[LIBRAS RALEO CAMARONERA]]</f>
        <v>620.52999999999884</v>
      </c>
      <c r="AS164" s="185">
        <f>TablaPrincipal[[#This Row],[LIBRAS PLANTA]]-TablaPrincipal[[#This Row],[LIBRAS CAMARONERA]]</f>
        <v>4593.4800000000032</v>
      </c>
      <c r="AT164" s="187">
        <f>TablaPrincipal[[#This Row],[GRAMAJE RALEO PLANTA]]-TablaPrincipal[[#This Row],[GRAMAJE RALEO CAMARONERA]]</f>
        <v>1.5500000000000007</v>
      </c>
      <c r="AU164" s="187">
        <f>TablaPrincipal[[#This Row],[GRAMOS PLANTA]]-TablaPrincipal[[#This Row],[GRAMAJE CAMARONERA]]</f>
        <v>0.64000000000000057</v>
      </c>
      <c r="AV164" s="183" t="str">
        <f>+VLOOKUP(TablaPrincipal[[#This Row],[CODIGO]],TablaCosechas[#All],10,0)</f>
        <v>ALFONSO GRUNAUER</v>
      </c>
      <c r="AW164" s="183" t="s">
        <v>258</v>
      </c>
      <c r="AX164" s="188" t="str">
        <f>+VLOOKUP(TablaPrincipal[[#This Row],[CODIGO]],TablaCosechas[#All],10,0)</f>
        <v>ALFONSO GRUNAUER</v>
      </c>
    </row>
    <row r="165" spans="1:50" hidden="1" x14ac:dyDescent="0.25">
      <c r="A165" s="196">
        <v>46084</v>
      </c>
      <c r="B165" s="183">
        <v>163</v>
      </c>
      <c r="C165" s="183">
        <f>YEAR(TablaPrincipal[[#This Row],[FECHA]])</f>
        <v>2026</v>
      </c>
      <c r="D165" s="183" t="s">
        <v>256</v>
      </c>
      <c r="E165" s="183" t="str">
        <f>UPPER(TEXT(TablaPrincipal[[#This Row],[FECHA]],"MMMM"))</f>
        <v>MARZO</v>
      </c>
      <c r="F165" s="183" t="str">
        <f>IFERROR(VLOOKUP(TablaPrincipal[[#This Row],[CODIGO]],COSECHAS!A:J,9,0),"-")</f>
        <v>19</v>
      </c>
      <c r="G165" s="183" t="str">
        <f>IFERROR(VLOOKUP(TablaPrincipal[[#This Row],[CODIGO]],COSECHAS!A:I,8,0),"-")</f>
        <v>PAMPANO</v>
      </c>
      <c r="H165" s="184">
        <f>IFERROR(VLOOKUP(TablaPrincipal[[#This Row],[CODIGO]],DATOS!A:B,2,0),"-")</f>
        <v>5.5</v>
      </c>
      <c r="I165" s="183" t="str">
        <f>IFERROR(VLOOKUP(TablaPrincipal[[#This Row],[CODIGO]],Tabla8[[#Headers],[#Data]],3,0),"-")</f>
        <v>ASC-BAP</v>
      </c>
      <c r="J165" s="183">
        <f>IFERROR(TablaPrincipal[[#This Row],[FECHA]]-TablaPrincipal[[#This Row],[FECHA DE SIEMBRA]],"-")</f>
        <v>88</v>
      </c>
      <c r="K165" s="196">
        <f>VLOOKUP(TablaPrincipal[[#This Row],[CODIGO]]&amp;TablaPrincipal[[#This Row],[AGUAJE ]],Tabla4[#All],4,0)</f>
        <v>45996</v>
      </c>
      <c r="L165" s="183" t="str">
        <f>VLOOKUP(TablaPrincipal[[#This Row],[CODIGO]]&amp;TablaPrincipal[[#This Row],[AGUAJE ]],Tabla4[#All],15,0)</f>
        <v>PA PS 13</v>
      </c>
      <c r="M165" s="184">
        <f>VLOOKUP(TablaPrincipal[[#This Row],[CODIGO]]&amp;TablaPrincipal[[#This Row],[AGUAJE ]],Tabla4[#All],14,0)</f>
        <v>0.23</v>
      </c>
      <c r="N165" s="183">
        <v>30</v>
      </c>
      <c r="O165" s="170">
        <f>VLOOKUP(TablaPrincipal[[#This Row],[CODIGO]]&amp;TablaPrincipal[[#This Row],[AGUAJE ]],Tabla4[#All],5,0)</f>
        <v>770000</v>
      </c>
      <c r="P165" s="221">
        <f>IFERROR(TablaPrincipal[[#This Row],[ANIM SEMBRADOS]]/TablaPrincipal[[#This Row],[HAS]],"-")</f>
        <v>140000</v>
      </c>
      <c r="Q165" s="222">
        <f>IFERROR(TablaPrincipal[[#This Row],[DENSIDAD]]/10000,"-")</f>
        <v>14</v>
      </c>
      <c r="R165" s="183" t="str">
        <f>VLOOKUP(TablaPrincipal[[#This Row],[CODIGO]]&amp;TablaPrincipal[[#This Row],[AGUAJE ]],Tabla4[#All],8,0)</f>
        <v>DEONES</v>
      </c>
      <c r="S165" s="183" t="str">
        <f>VLOOKUP(TablaPrincipal[[#This Row],[CODIGO]]&amp;TablaPrincipal[[#This Row],[AGUAJE ]],Tabla4[#All],7,0)</f>
        <v>TEXCUMAR</v>
      </c>
      <c r="T165" s="183" t="str">
        <f>IF(ISNUMBER(FIND("/",TablaPrincipal[[#This Row],[LABORATORIO]])),"COMBINADO","UNICO")</f>
        <v>UNICO</v>
      </c>
      <c r="U1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9900</v>
      </c>
      <c r="V1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9691.3799999999992</v>
      </c>
      <c r="W1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1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22.85</v>
      </c>
      <c r="Y165" s="185">
        <f>IFERROR(TablaPrincipal[[#This Row],[LIBRAS RALEO PLANTA]]/TablaPrincipal[[#This Row],[HAS]],"-")</f>
        <v>1762.0690909090908</v>
      </c>
      <c r="Z1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180932.71296880083</v>
      </c>
      <c r="AA16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18000</v>
      </c>
      <c r="AB1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19112.740000000002</v>
      </c>
      <c r="AC165" s="186">
        <f>SUMIFS(COSECHAS!F:F,COSECHAS!A:A,'BASE 2026'!AW:AW,COSECHAS!G:G,"="&amp;A:A)</f>
        <v>30</v>
      </c>
      <c r="AD165" s="186">
        <f>SUMIFS(COSECHAS!M:M,COSECHAS!A:A,'BASE 2026'!AW:AW,COSECHAS!G:G,"="&amp;A:A)</f>
        <v>31.85</v>
      </c>
      <c r="AE165" s="185">
        <f>IFERROR(TablaPrincipal[[#This Row],[LIBRAS PLANTA]]/TablaPrincipal[[#This Row],[HAS]],"-")</f>
        <v>3475.0436363636368</v>
      </c>
      <c r="AF165" s="185">
        <f>IFERROR(TablaPrincipal[[#This Row],[LIBRAS PLANTA]]*454/TablaPrincipal[[#This Row],[GRAMOS PLANTA]],"-")</f>
        <v>272439.0568288854</v>
      </c>
      <c r="AG165" s="185">
        <f>TablaPrincipal[[#This Row],[LIBRAS RALEO PLANTA]]+TablaPrincipal[[#This Row],[LIBRAS PLANTA]]</f>
        <v>28804.120000000003</v>
      </c>
      <c r="AH165" s="185">
        <f>IFERROR(TablaPrincipal[[#This Row],[CAM COSECHADOS RALEO]]+TablaPrincipal[[#This Row],[CAM COSECHADOS]],"-")</f>
        <v>453371.76979768625</v>
      </c>
      <c r="AI165" s="185">
        <f>IFERROR((TablaPrincipal[[#This Row],[LIBRAS RALEO PLANTA]]+TablaPrincipal[[#This Row],[LIBRAS PLANTA]])/TablaPrincipal[[#This Row],[HAS]],"0")</f>
        <v>5237.1127272727281</v>
      </c>
      <c r="AJ165" s="186">
        <f t="shared" si="2"/>
        <v>2.5335227272727274</v>
      </c>
      <c r="AK165" s="186">
        <f>IFERROR(TablaPrincipal[[#This Row],[LBS/HA]]/TablaPrincipal[[#This Row],[DIAS]],"-")</f>
        <v>59.512644628099181</v>
      </c>
      <c r="AL165" s="186">
        <f>IFERROR(TablaPrincipal[[#This Row],[CAM COSECHADOS TOTALES]]/TablaPrincipal[[#This Row],[ANIM SEMBRADOS]]*100,"-")</f>
        <v>58.879450623076139</v>
      </c>
      <c r="AM165" s="185">
        <v>46957.98</v>
      </c>
      <c r="AN165" s="187">
        <f>IFERROR(((TablaPrincipal[[#This Row],[BALANCEADO ACUMULADO (LBS)]]/2.2046)/TablaPrincipal[[#This Row],[HAS]])/TablaPrincipal[[#This Row],[DIAS]],"-")</f>
        <v>44.008264462809912</v>
      </c>
      <c r="AO165" s="184">
        <f>IFERROR(TablaPrincipal[[#This Row],[BALANCEADO ACUMULADO (LBS)]]/TablaPrincipal[[#This Row],[LIBRAS TOTALES]],"-")</f>
        <v>1.6302522000324953</v>
      </c>
      <c r="AP165" s="184"/>
      <c r="AQ165" s="184" t="s">
        <v>105</v>
      </c>
      <c r="AR165" s="185">
        <f>TablaPrincipal[[#This Row],[LIBRAS RALEO PLANTA]]-TablaPrincipal[[#This Row],[LIBRAS RALEO CAMARONERA]]</f>
        <v>-208.6200000000008</v>
      </c>
      <c r="AS165" s="185">
        <f>TablaPrincipal[[#This Row],[LIBRAS PLANTA]]-TablaPrincipal[[#This Row],[LIBRAS CAMARONERA]]</f>
        <v>1112.7400000000016</v>
      </c>
      <c r="AT165" s="187">
        <f>TablaPrincipal[[#This Row],[GRAMAJE RALEO PLANTA]]-TablaPrincipal[[#This Row],[GRAMAJE RALEO CAMARONERA]]</f>
        <v>2.8500000000000014</v>
      </c>
      <c r="AU165" s="187">
        <f>TablaPrincipal[[#This Row],[GRAMOS PLANTA]]-TablaPrincipal[[#This Row],[GRAMAJE CAMARONERA]]</f>
        <v>1.8500000000000014</v>
      </c>
      <c r="AV165" s="183" t="str">
        <f>+VLOOKUP(TablaPrincipal[[#This Row],[CODIGO]],TablaCosechas[#All],10,0)</f>
        <v>GUSTAVO CARRASCO</v>
      </c>
      <c r="AW165" s="183" t="s">
        <v>259</v>
      </c>
      <c r="AX165" s="188" t="str">
        <f>+VLOOKUP(TablaPrincipal[[#This Row],[CODIGO]],TablaCosechas[#All],10,0)</f>
        <v>GUSTAVO CARRASCO</v>
      </c>
    </row>
    <row r="166" spans="1:50" hidden="1" x14ac:dyDescent="0.25">
      <c r="A166" s="196">
        <v>46084</v>
      </c>
      <c r="B166" s="183">
        <v>164</v>
      </c>
      <c r="C166" s="183">
        <f>YEAR(TablaPrincipal[[#This Row],[FECHA]])</f>
        <v>2026</v>
      </c>
      <c r="D166" s="183" t="s">
        <v>256</v>
      </c>
      <c r="E166" s="183" t="str">
        <f>UPPER(TEXT(TablaPrincipal[[#This Row],[FECHA]],"MMMM"))</f>
        <v>MARZO</v>
      </c>
      <c r="F166" s="183" t="str">
        <f>IFERROR(VLOOKUP(TablaPrincipal[[#This Row],[CODIGO]],COSECHAS!A:J,9,0),"-")</f>
        <v>03</v>
      </c>
      <c r="G166" s="183" t="str">
        <f>IFERROR(VLOOKUP(TablaPrincipal[[#This Row],[CODIGO]],COSECHAS!A:I,8,0),"-")</f>
        <v>DORADO</v>
      </c>
      <c r="H166" s="184">
        <f>IFERROR(VLOOKUP(TablaPrincipal[[#This Row],[CODIGO]],DATOS!A:B,2,0),"-")</f>
        <v>4.24</v>
      </c>
      <c r="I166" s="183" t="str">
        <f>IFERROR(VLOOKUP(TablaPrincipal[[#This Row],[CODIGO]],Tabla8[[#Headers],[#Data]],3,0),"-")</f>
        <v>ASC-BAP</v>
      </c>
      <c r="J166" s="183">
        <f>IFERROR(TablaPrincipal[[#This Row],[FECHA]]-TablaPrincipal[[#This Row],[FECHA DE SIEMBRA]],"-")</f>
        <v>66</v>
      </c>
      <c r="K166" s="196">
        <f>VLOOKUP(TablaPrincipal[[#This Row],[CODIGO]]&amp;TablaPrincipal[[#This Row],[AGUAJE ]],Tabla4[#All],4,0)</f>
        <v>46018</v>
      </c>
      <c r="L166" s="183" t="str">
        <f>VLOOKUP(TablaPrincipal[[#This Row],[CODIGO]]&amp;TablaPrincipal[[#This Row],[AGUAJE ]],Tabla4[#All],15,0)</f>
        <v>DO PS2</v>
      </c>
      <c r="M166" s="184">
        <f>VLOOKUP(TablaPrincipal[[#This Row],[CODIGO]]&amp;TablaPrincipal[[#This Row],[AGUAJE ]],Tabla4[#All],14,0)</f>
        <v>6.21</v>
      </c>
      <c r="N166" s="183">
        <v>1</v>
      </c>
      <c r="O166" s="170">
        <f>VLOOKUP(TablaPrincipal[[#This Row],[CODIGO]]&amp;TablaPrincipal[[#This Row],[AGUAJE ]],Tabla4[#All],5,0)</f>
        <v>551207</v>
      </c>
      <c r="P166" s="221">
        <f>IFERROR(TablaPrincipal[[#This Row],[ANIM SEMBRADOS]]/TablaPrincipal[[#This Row],[HAS]],"-")</f>
        <v>130001.65094339622</v>
      </c>
      <c r="Q166" s="222">
        <f>IFERROR(TablaPrincipal[[#This Row],[DENSIDAD]]/10000,"-")</f>
        <v>13.000165094339621</v>
      </c>
      <c r="R166" s="183" t="str">
        <f>VLOOKUP(TablaPrincipal[[#This Row],[CODIGO]]&amp;TablaPrincipal[[#This Row],[AGUAJE ]],Tabla4[#All],8,0)</f>
        <v>EMPAGRAN</v>
      </c>
      <c r="S166" s="183" t="str">
        <f>VLOOKUP(TablaPrincipal[[#This Row],[CODIGO]]&amp;TablaPrincipal[[#This Row],[AGUAJE ]],Tabla4[#All],7,0)</f>
        <v>EMPAGRAN</v>
      </c>
      <c r="T166" s="183" t="str">
        <f>IF(ISNUMBER(FIND("/",TablaPrincipal[[#This Row],[LABORATORIO]])),"COMBINADO","UNICO")</f>
        <v>UNICO</v>
      </c>
      <c r="U1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7800</v>
      </c>
      <c r="V1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6992.25</v>
      </c>
      <c r="W1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28.72</v>
      </c>
      <c r="Y166" s="185">
        <f>IFERROR(TablaPrincipal[[#This Row],[LIBRAS RALEO PLANTA]]/TablaPrincipal[[#This Row],[HAS]],"-")</f>
        <v>1649.1155660377358</v>
      </c>
      <c r="Z1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110532.0856545961</v>
      </c>
      <c r="AA16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19000</v>
      </c>
      <c r="AB1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17922.189999999999</v>
      </c>
      <c r="AC166" s="186">
        <f>SUMIFS(COSECHAS!F:F,COSECHAS!A:A,'BASE 2026'!AW:AW,COSECHAS!G:G,"="&amp;A:A)</f>
        <v>35</v>
      </c>
      <c r="AD166" s="186">
        <f>SUMIFS(COSECHAS!M:M,COSECHAS!A:A,'BASE 2026'!AW:AW,COSECHAS!G:G,"="&amp;A:A)</f>
        <v>34.56</v>
      </c>
      <c r="AE166" s="185">
        <f>IFERROR(TablaPrincipal[[#This Row],[LIBRAS PLANTA]]/TablaPrincipal[[#This Row],[HAS]],"-")</f>
        <v>4226.9316037735844</v>
      </c>
      <c r="AF166" s="185">
        <f>IFERROR(TablaPrincipal[[#This Row],[LIBRAS PLANTA]]*454/TablaPrincipal[[#This Row],[GRAMOS PLANTA]],"-")</f>
        <v>235436.17650462961</v>
      </c>
      <c r="AG166" s="185">
        <f>TablaPrincipal[[#This Row],[LIBRAS RALEO PLANTA]]+TablaPrincipal[[#This Row],[LIBRAS PLANTA]]</f>
        <v>24914.44</v>
      </c>
      <c r="AH166" s="185">
        <f>IFERROR(TablaPrincipal[[#This Row],[CAM COSECHADOS RALEO]]+TablaPrincipal[[#This Row],[CAM COSECHADOS]],"-")</f>
        <v>345968.26215922571</v>
      </c>
      <c r="AI166" s="185">
        <f>IFERROR((TablaPrincipal[[#This Row],[LIBRAS RALEO PLANTA]]+TablaPrincipal[[#This Row],[LIBRAS PLANTA]])/TablaPrincipal[[#This Row],[HAS]],"0")</f>
        <v>5876.0471698113206</v>
      </c>
      <c r="AJ166" s="186">
        <f t="shared" si="2"/>
        <v>3.6654545454545455</v>
      </c>
      <c r="AK166" s="186">
        <f>IFERROR(TablaPrincipal[[#This Row],[LBS/HA]]/TablaPrincipal[[#This Row],[DIAS]],"-")</f>
        <v>89.031017724413942</v>
      </c>
      <c r="AL166" s="186">
        <f>IFERROR(TablaPrincipal[[#This Row],[CAM COSECHADOS TOTALES]]/TablaPrincipal[[#This Row],[ANIM SEMBRADOS]]*100,"-")</f>
        <v>62.765578477636474</v>
      </c>
      <c r="AM166" s="185">
        <v>36761.705000000002</v>
      </c>
      <c r="AN166" s="187">
        <f>IFERROR(((TablaPrincipal[[#This Row],[BALANCEADO ACUMULADO (LBS)]]/2.2046)/TablaPrincipal[[#This Row],[HAS]])/TablaPrincipal[[#This Row],[DIAS]],"-")</f>
        <v>59.587621497998853</v>
      </c>
      <c r="AO166" s="184">
        <f>IFERROR(TablaPrincipal[[#This Row],[BALANCEADO ACUMULADO (LBS)]]/TablaPrincipal[[#This Row],[LIBRAS TOTALES]],"-")</f>
        <v>1.4755180128471683</v>
      </c>
      <c r="AP166" s="184"/>
      <c r="AQ166" s="184" t="s">
        <v>105</v>
      </c>
      <c r="AR166" s="185">
        <f>TablaPrincipal[[#This Row],[LIBRAS RALEO PLANTA]]-TablaPrincipal[[#This Row],[LIBRAS RALEO CAMARONERA]]</f>
        <v>-807.75</v>
      </c>
      <c r="AS166" s="185">
        <f>TablaPrincipal[[#This Row],[LIBRAS PLANTA]]-TablaPrincipal[[#This Row],[LIBRAS CAMARONERA]]</f>
        <v>-1077.8100000000013</v>
      </c>
      <c r="AT166" s="187">
        <f>TablaPrincipal[[#This Row],[GRAMAJE RALEO PLANTA]]-TablaPrincipal[[#This Row],[GRAMAJE RALEO CAMARONERA]]</f>
        <v>6.7199999999999989</v>
      </c>
      <c r="AU166" s="187">
        <f>TablaPrincipal[[#This Row],[GRAMOS PLANTA]]-TablaPrincipal[[#This Row],[GRAMAJE CAMARONERA]]</f>
        <v>-0.43999999999999773</v>
      </c>
      <c r="AV166" s="183" t="str">
        <f>+VLOOKUP(TablaPrincipal[[#This Row],[CODIGO]],TablaCosechas[#All],10,0)</f>
        <v>JOSE CEDEÑO</v>
      </c>
      <c r="AW166" s="183" t="s">
        <v>260</v>
      </c>
      <c r="AX166" s="188" t="str">
        <f>+VLOOKUP(TablaPrincipal[[#This Row],[CODIGO]],TablaCosechas[#All],10,0)</f>
        <v>JOSE CEDEÑO</v>
      </c>
    </row>
    <row r="167" spans="1:50" hidden="1" x14ac:dyDescent="0.25">
      <c r="A167" s="196">
        <v>46084</v>
      </c>
      <c r="B167" s="183">
        <v>165</v>
      </c>
      <c r="C167" s="183">
        <f>YEAR(TablaPrincipal[[#This Row],[FECHA]])</f>
        <v>2026</v>
      </c>
      <c r="D167" s="183" t="s">
        <v>256</v>
      </c>
      <c r="E167" s="183" t="str">
        <f>UPPER(TEXT(TablaPrincipal[[#This Row],[FECHA]],"MMMM"))</f>
        <v>MARZO</v>
      </c>
      <c r="F167" s="183" t="str">
        <f>IFERROR(VLOOKUP(TablaPrincipal[[#This Row],[CODIGO]],COSECHAS!A:J,9,0),"-")</f>
        <v>12</v>
      </c>
      <c r="G167" s="183" t="str">
        <f>IFERROR(VLOOKUP(TablaPrincipal[[#This Row],[CODIGO]],COSECHAS!A:I,8,0),"-")</f>
        <v>PARGO ROJO</v>
      </c>
      <c r="H167" s="184">
        <f>IFERROR(VLOOKUP(TablaPrincipal[[#This Row],[CODIGO]],DATOS!A:B,2,0),"-")</f>
        <v>3.4</v>
      </c>
      <c r="I167" s="183" t="str">
        <f>IFERROR(VLOOKUP(TablaPrincipal[[#This Row],[CODIGO]],Tabla8[[#Headers],[#Data]],3,0),"-")</f>
        <v>CONVENCIONAL</v>
      </c>
      <c r="J167" s="183">
        <f>IFERROR(TablaPrincipal[[#This Row],[FECHA]]-TablaPrincipal[[#This Row],[FECHA DE SIEMBRA]],"-")</f>
        <v>74</v>
      </c>
      <c r="K167" s="196">
        <f>VLOOKUP(TablaPrincipal[[#This Row],[CODIGO]]&amp;TablaPrincipal[[#This Row],[AGUAJE ]],Tabla4[#All],4,0)</f>
        <v>46010</v>
      </c>
      <c r="L167" s="183" t="str">
        <f>VLOOKUP(TablaPrincipal[[#This Row],[CODIGO]]&amp;TablaPrincipal[[#This Row],[AGUAJE ]],Tabla4[#All],15,0)</f>
        <v>PR PS 12</v>
      </c>
      <c r="M167" s="184">
        <f>VLOOKUP(TablaPrincipal[[#This Row],[CODIGO]]&amp;TablaPrincipal[[#This Row],[AGUAJE ]],Tabla4[#All],14,0)</f>
        <v>0.5</v>
      </c>
      <c r="N167" s="183">
        <v>34</v>
      </c>
      <c r="O167" s="170">
        <f>VLOOKUP(TablaPrincipal[[#This Row],[CODIGO]]&amp;TablaPrincipal[[#This Row],[AGUAJE ]],Tabla4[#All],5,0)</f>
        <v>680000</v>
      </c>
      <c r="P167" s="221">
        <f>IFERROR(TablaPrincipal[[#This Row],[ANIM SEMBRADOS]]/TablaPrincipal[[#This Row],[HAS]],"-")</f>
        <v>200000</v>
      </c>
      <c r="Q167" s="222">
        <f>IFERROR(TablaPrincipal[[#This Row],[DENSIDAD]]/10000,"-")</f>
        <v>20</v>
      </c>
      <c r="R167" s="183" t="str">
        <f>VLOOKUP(TablaPrincipal[[#This Row],[CODIGO]]&amp;TablaPrincipal[[#This Row],[AGUAJE ]],Tabla4[#All],8,0)</f>
        <v>GABSO</v>
      </c>
      <c r="S167" s="183" t="str">
        <f>VLOOKUP(TablaPrincipal[[#This Row],[CODIGO]]&amp;TablaPrincipal[[#This Row],[AGUAJE ]],Tabla4[#All],7,0)</f>
        <v>TEXCUMAR</v>
      </c>
      <c r="T167" s="183" t="str">
        <f>IF(ISNUMBER(FIND("/",TablaPrincipal[[#This Row],[LABORATORIO]])),"COMBINADO","UNICO")</f>
        <v>UNICO</v>
      </c>
      <c r="U1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3200</v>
      </c>
      <c r="V1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3510.62</v>
      </c>
      <c r="W1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18.079999999999998</v>
      </c>
      <c r="Y167" s="185">
        <f>IFERROR(TablaPrincipal[[#This Row],[LIBRAS RALEO PLANTA]]/TablaPrincipal[[#This Row],[HAS]],"-")</f>
        <v>1032.535294117647</v>
      </c>
      <c r="Z1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88153.842920353985</v>
      </c>
      <c r="AA16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1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9161.1</v>
      </c>
      <c r="AC167" s="186">
        <f>SUMIFS(COSECHAS!F:F,COSECHAS!A:A,'BASE 2026'!AW:AW,COSECHAS!G:G,"="&amp;A:A)</f>
        <v>22</v>
      </c>
      <c r="AD167" s="186">
        <f>SUMIFS(COSECHAS!M:M,COSECHAS!A:A,'BASE 2026'!AW:AW,COSECHAS!G:G,"="&amp;A:A)</f>
        <v>24.58</v>
      </c>
      <c r="AE167" s="185">
        <f>IFERROR(TablaPrincipal[[#This Row],[LIBRAS PLANTA]]/TablaPrincipal[[#This Row],[HAS]],"-")</f>
        <v>2694.4411764705883</v>
      </c>
      <c r="AF167" s="185">
        <f>IFERROR(TablaPrincipal[[#This Row],[LIBRAS PLANTA]]*454/TablaPrincipal[[#This Row],[GRAMOS PLANTA]],"-")</f>
        <v>169208.27502034177</v>
      </c>
      <c r="AG167" s="185">
        <f>TablaPrincipal[[#This Row],[LIBRAS RALEO PLANTA]]+TablaPrincipal[[#This Row],[LIBRAS PLANTA]]</f>
        <v>12671.720000000001</v>
      </c>
      <c r="AH167" s="185">
        <f>IFERROR(TablaPrincipal[[#This Row],[CAM COSECHADOS RALEO]]+TablaPrincipal[[#This Row],[CAM COSECHADOS]],"-")</f>
        <v>257362.11794069575</v>
      </c>
      <c r="AI167" s="185">
        <f>IFERROR((TablaPrincipal[[#This Row],[LIBRAS RALEO PLANTA]]+TablaPrincipal[[#This Row],[LIBRAS PLANTA]])/TablaPrincipal[[#This Row],[HAS]],"0")</f>
        <v>3726.9764705882358</v>
      </c>
      <c r="AJ167" s="186">
        <f t="shared" si="2"/>
        <v>2.325135135135135</v>
      </c>
      <c r="AK167" s="186">
        <f>IFERROR(TablaPrincipal[[#This Row],[LBS/HA]]/TablaPrincipal[[#This Row],[DIAS]],"-")</f>
        <v>50.364546899841024</v>
      </c>
      <c r="AL167" s="186">
        <f>IFERROR(TablaPrincipal[[#This Row],[CAM COSECHADOS TOTALES]]/TablaPrincipal[[#This Row],[ANIM SEMBRADOS]]*100,"-")</f>
        <v>37.847370285396437</v>
      </c>
      <c r="AM167" s="185">
        <v>26003.257000000001</v>
      </c>
      <c r="AN167" s="187">
        <f>IFERROR(((TablaPrincipal[[#This Row],[BALANCEADO ACUMULADO (LBS)]]/2.2046)/TablaPrincipal[[#This Row],[HAS]])/TablaPrincipal[[#This Row],[DIAS]],"-")</f>
        <v>46.879968203497612</v>
      </c>
      <c r="AO167" s="184">
        <f>IFERROR(TablaPrincipal[[#This Row],[BALANCEADO ACUMULADO (LBS)]]/TablaPrincipal[[#This Row],[LIBRAS TOTALES]],"-")</f>
        <v>2.0520700425830114</v>
      </c>
      <c r="AP167" s="184"/>
      <c r="AQ167" s="184" t="s">
        <v>105</v>
      </c>
      <c r="AR167" s="185">
        <f>TablaPrincipal[[#This Row],[LIBRAS RALEO PLANTA]]-TablaPrincipal[[#This Row],[LIBRAS RALEO CAMARONERA]]</f>
        <v>310.61999999999989</v>
      </c>
      <c r="AS167" s="185">
        <f>TablaPrincipal[[#This Row],[LIBRAS PLANTA]]-TablaPrincipal[[#This Row],[LIBRAS CAMARONERA]]</f>
        <v>1161.1000000000004</v>
      </c>
      <c r="AT167" s="187">
        <f>TablaPrincipal[[#This Row],[GRAMAJE RALEO PLANTA]]-TablaPrincipal[[#This Row],[GRAMAJE RALEO CAMARONERA]]</f>
        <v>2.0799999999999983</v>
      </c>
      <c r="AU167" s="187">
        <f>TablaPrincipal[[#This Row],[GRAMOS PLANTA]]-TablaPrincipal[[#This Row],[GRAMAJE CAMARONERA]]</f>
        <v>2.5799999999999983</v>
      </c>
      <c r="AV167" s="183" t="str">
        <f>+VLOOKUP(TablaPrincipal[[#This Row],[CODIGO]],TablaCosechas[#All],10,0)</f>
        <v>WILMER TORRES</v>
      </c>
      <c r="AW167" s="183" t="s">
        <v>261</v>
      </c>
      <c r="AX167" s="188" t="str">
        <f>+VLOOKUP(TablaPrincipal[[#This Row],[CODIGO]],TablaCosechas[#All],10,0)</f>
        <v>WILMER TORRES</v>
      </c>
    </row>
    <row r="168" spans="1:50" hidden="1" x14ac:dyDescent="0.25">
      <c r="A168" s="196">
        <v>46085</v>
      </c>
      <c r="B168" s="183">
        <v>166</v>
      </c>
      <c r="C168" s="183">
        <f>YEAR(TablaPrincipal[[#This Row],[FECHA]])</f>
        <v>2026</v>
      </c>
      <c r="D168" s="183" t="s">
        <v>256</v>
      </c>
      <c r="E168" s="183" t="str">
        <f>UPPER(TEXT(TablaPrincipal[[#This Row],[FECHA]],"MMMM"))</f>
        <v>MARZO</v>
      </c>
      <c r="F168" s="183" t="str">
        <f>IFERROR(VLOOKUP(TablaPrincipal[[#This Row],[CODIGO]],COSECHAS!A:J,9,0),"-")</f>
        <v>16</v>
      </c>
      <c r="G168" s="183" t="str">
        <f>IFERROR(VLOOKUP(TablaPrincipal[[#This Row],[CODIGO]],COSECHAS!A:I,8,0),"-")</f>
        <v>MERO</v>
      </c>
      <c r="H168" s="184">
        <f>IFERROR(VLOOKUP(TablaPrincipal[[#This Row],[CODIGO]],DATOS!A:B,2,0),"-")</f>
        <v>4.7</v>
      </c>
      <c r="I168" s="183" t="str">
        <f>IFERROR(VLOOKUP(TablaPrincipal[[#This Row],[CODIGO]],Tabla8[[#Headers],[#Data]],3,0),"-")</f>
        <v>CONVENCIONAL</v>
      </c>
      <c r="J168" s="183">
        <f>IFERROR(TablaPrincipal[[#This Row],[FECHA]]-TablaPrincipal[[#This Row],[FECHA DE SIEMBRA]],"-")</f>
        <v>97</v>
      </c>
      <c r="K168" s="196">
        <f>VLOOKUP(TablaPrincipal[[#This Row],[CODIGO]]&amp;TablaPrincipal[[#This Row],[AGUAJE ]],Tabla4[#All],4,0)</f>
        <v>45988</v>
      </c>
      <c r="L168" s="183" t="str">
        <f>VLOOKUP(TablaPrincipal[[#This Row],[CODIGO]]&amp;TablaPrincipal[[#This Row],[AGUAJE ]],Tabla4[#All],15,0)</f>
        <v>ME 12 - 8</v>
      </c>
      <c r="M168" s="184">
        <f>VLOOKUP(TablaPrincipal[[#This Row],[CODIGO]]&amp;TablaPrincipal[[#This Row],[AGUAJE ]],Tabla4[#All],14,0)</f>
        <v>0.32500000000000001</v>
      </c>
      <c r="N168" s="183">
        <v>4</v>
      </c>
      <c r="O168" s="170">
        <f>VLOOKUP(TablaPrincipal[[#This Row],[CODIGO]]&amp;TablaPrincipal[[#This Row],[AGUAJE ]],Tabla4[#All],5,0)</f>
        <v>658000</v>
      </c>
      <c r="P168" s="221">
        <f>IFERROR(TablaPrincipal[[#This Row],[ANIM SEMBRADOS]]/TablaPrincipal[[#This Row],[HAS]],"-")</f>
        <v>140000</v>
      </c>
      <c r="Q168" s="222">
        <f>IFERROR(TablaPrincipal[[#This Row],[DENSIDAD]]/10000,"-")</f>
        <v>14</v>
      </c>
      <c r="R168" s="183" t="str">
        <f>VLOOKUP(TablaPrincipal[[#This Row],[CODIGO]]&amp;TablaPrincipal[[#This Row],[AGUAJE ]],Tabla4[#All],8,0)</f>
        <v>GENESIS</v>
      </c>
      <c r="S168" s="183" t="str">
        <f>VLOOKUP(TablaPrincipal[[#This Row],[CODIGO]]&amp;TablaPrincipal[[#This Row],[AGUAJE ]],Tabla4[#All],7,0)</f>
        <v>TEXCUMAR</v>
      </c>
      <c r="T168" s="183" t="str">
        <f>IF(ISNUMBER(FIND("/",TablaPrincipal[[#This Row],[LABORATORIO]])),"COMBINADO","UNICO")</f>
        <v>UNICO</v>
      </c>
      <c r="U1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16100</v>
      </c>
      <c r="V1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16389.47</v>
      </c>
      <c r="W1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26.905000000000001</v>
      </c>
      <c r="Y168" s="185">
        <f>IFERROR(TablaPrincipal[[#This Row],[LIBRAS RALEO PLANTA]]/TablaPrincipal[[#This Row],[HAS]],"-")</f>
        <v>3487.1212765957448</v>
      </c>
      <c r="Z1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314676.6724935493</v>
      </c>
      <c r="AA16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1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23653.5</v>
      </c>
      <c r="AC168" s="186">
        <f>SUMIFS(COSECHAS!F:F,COSECHAS!A:A,'BASE 2026'!AW:AW,COSECHAS!G:G,"="&amp;A:A)</f>
        <v>38</v>
      </c>
      <c r="AD168" s="186">
        <f>SUMIFS(COSECHAS!M:M,COSECHAS!A:A,'BASE 2026'!AW:AW,COSECHAS!G:G,"="&amp;A:A)</f>
        <v>40.1</v>
      </c>
      <c r="AE168" s="185">
        <f>IFERROR(TablaPrincipal[[#This Row],[LIBRAS PLANTA]]/TablaPrincipal[[#This Row],[HAS]],"-")</f>
        <v>5032.6595744680853</v>
      </c>
      <c r="AF168" s="185">
        <f>IFERROR(TablaPrincipal[[#This Row],[LIBRAS PLANTA]]*454/TablaPrincipal[[#This Row],[GRAMOS PLANTA]],"-")</f>
        <v>267797.73067331669</v>
      </c>
      <c r="AG168" s="185">
        <f>TablaPrincipal[[#This Row],[LIBRAS RALEO PLANTA]]+TablaPrincipal[[#This Row],[LIBRAS PLANTA]]</f>
        <v>40042.97</v>
      </c>
      <c r="AH168" s="185">
        <f>IFERROR(TablaPrincipal[[#This Row],[CAM COSECHADOS RALEO]]+TablaPrincipal[[#This Row],[CAM COSECHADOS]],"-")</f>
        <v>582474.40316686593</v>
      </c>
      <c r="AI168" s="185">
        <f>IFERROR((TablaPrincipal[[#This Row],[LIBRAS RALEO PLANTA]]+TablaPrincipal[[#This Row],[LIBRAS PLANTA]])/TablaPrincipal[[#This Row],[HAS]],"0")</f>
        <v>8519.7808510638297</v>
      </c>
      <c r="AJ168" s="186">
        <f t="shared" si="2"/>
        <v>2.8938144329896907</v>
      </c>
      <c r="AK168" s="186">
        <f>IFERROR(TablaPrincipal[[#This Row],[LBS/HA]]/TablaPrincipal[[#This Row],[DIAS]],"-")</f>
        <v>87.832792279008558</v>
      </c>
      <c r="AL168" s="186">
        <f>IFERROR(TablaPrincipal[[#This Row],[CAM COSECHADOS TOTALES]]/TablaPrincipal[[#This Row],[ANIM SEMBRADOS]]*100,"-")</f>
        <v>88.521945770040418</v>
      </c>
      <c r="AM168" s="185">
        <v>61949.26</v>
      </c>
      <c r="AN168" s="187">
        <f>IFERROR(((TablaPrincipal[[#This Row],[BALANCEADO ACUMULADO (LBS)]]/2.2046)/TablaPrincipal[[#This Row],[HAS]])/TablaPrincipal[[#This Row],[DIAS]],"-")</f>
        <v>61.636323755209474</v>
      </c>
      <c r="AO168" s="184">
        <f>IFERROR(TablaPrincipal[[#This Row],[BALANCEADO ACUMULADO (LBS)]]/TablaPrincipal[[#This Row],[LIBRAS TOTALES]],"-")</f>
        <v>1.5470695605246065</v>
      </c>
      <c r="AP168" s="184"/>
      <c r="AQ168" s="184" t="s">
        <v>105</v>
      </c>
      <c r="AR168" s="185">
        <f>TablaPrincipal[[#This Row],[LIBRAS RALEO PLANTA]]-TablaPrincipal[[#This Row],[LIBRAS RALEO CAMARONERA]]</f>
        <v>289.47000000000116</v>
      </c>
      <c r="AS168" s="185">
        <f>TablaPrincipal[[#This Row],[LIBRAS PLANTA]]-TablaPrincipal[[#This Row],[LIBRAS CAMARONERA]]</f>
        <v>-1046.5</v>
      </c>
      <c r="AT168" s="187">
        <f>TablaPrincipal[[#This Row],[GRAMAJE RALEO PLANTA]]-TablaPrincipal[[#This Row],[GRAMAJE RALEO CAMARONERA]]</f>
        <v>2.4050000000000011</v>
      </c>
      <c r="AU168" s="187">
        <f>TablaPrincipal[[#This Row],[GRAMOS PLANTA]]-TablaPrincipal[[#This Row],[GRAMAJE CAMARONERA]]</f>
        <v>2.1000000000000014</v>
      </c>
      <c r="AV168" s="183" t="str">
        <f>+VLOOKUP(TablaPrincipal[[#This Row],[CODIGO]],TablaCosechas[#All],10,0)</f>
        <v>NESTOR MOGOLLON</v>
      </c>
      <c r="AW168" s="183" t="s">
        <v>262</v>
      </c>
      <c r="AX168" s="188" t="str">
        <f>+VLOOKUP(TablaPrincipal[[#This Row],[CODIGO]],TablaCosechas[#All],10,0)</f>
        <v>NESTOR MOGOLLON</v>
      </c>
    </row>
    <row r="169" spans="1:50" hidden="1" x14ac:dyDescent="0.25">
      <c r="A169" s="196">
        <v>46085</v>
      </c>
      <c r="B169" s="183">
        <v>167</v>
      </c>
      <c r="C169" s="183">
        <f>YEAR(TablaPrincipal[[#This Row],[FECHA]])</f>
        <v>2026</v>
      </c>
      <c r="D169" s="183" t="s">
        <v>256</v>
      </c>
      <c r="E169" s="183" t="str">
        <f>UPPER(TEXT(TablaPrincipal[[#This Row],[FECHA]],"MMMM"))</f>
        <v>MARZO</v>
      </c>
      <c r="F169" s="183" t="str">
        <f>IFERROR(VLOOKUP(TablaPrincipal[[#This Row],[CODIGO]],COSECHAS!A:J,9,0),"-")</f>
        <v>02</v>
      </c>
      <c r="G169" s="183" t="str">
        <f>IFERROR(VLOOKUP(TablaPrincipal[[#This Row],[CODIGO]],COSECHAS!A:I,8,0),"-")</f>
        <v>PAMPANO</v>
      </c>
      <c r="H169" s="184">
        <f>IFERROR(VLOOKUP(TablaPrincipal[[#This Row],[CODIGO]],DATOS!A:B,2,0),"-")</f>
        <v>2.65</v>
      </c>
      <c r="I169" s="183" t="str">
        <f>IFERROR(VLOOKUP(TablaPrincipal[[#This Row],[CODIGO]],Tabla8[[#Headers],[#Data]],3,0),"-")</f>
        <v>ASC-BAP</v>
      </c>
      <c r="J169" s="183">
        <f>IFERROR(TablaPrincipal[[#This Row],[FECHA]]-TablaPrincipal[[#This Row],[FECHA DE SIEMBRA]],"-")</f>
        <v>74</v>
      </c>
      <c r="K169" s="196">
        <f>VLOOKUP(TablaPrincipal[[#This Row],[CODIGO]]&amp;TablaPrincipal[[#This Row],[AGUAJE ]],Tabla4[#All],4,0)</f>
        <v>46011</v>
      </c>
      <c r="L169" s="183" t="str">
        <f>VLOOKUP(TablaPrincipal[[#This Row],[CODIGO]]&amp;TablaPrincipal[[#This Row],[AGUAJE ]],Tabla4[#All],15,0)</f>
        <v>MA PC 12</v>
      </c>
      <c r="M169" s="184">
        <f>VLOOKUP(TablaPrincipal[[#This Row],[CODIGO]]&amp;TablaPrincipal[[#This Row],[AGUAJE ]],Tabla4[#All],14,0)</f>
        <v>0.9</v>
      </c>
      <c r="N169" s="183">
        <v>4</v>
      </c>
      <c r="O169" s="170">
        <f>VLOOKUP(TablaPrincipal[[#This Row],[CODIGO]]&amp;TablaPrincipal[[#This Row],[AGUAJE ]],Tabla4[#All],5,0)</f>
        <v>397500</v>
      </c>
      <c r="P169" s="221">
        <f>IFERROR(TablaPrincipal[[#This Row],[ANIM SEMBRADOS]]/TablaPrincipal[[#This Row],[HAS]],"-")</f>
        <v>150000</v>
      </c>
      <c r="Q169" s="222">
        <f>IFERROR(TablaPrincipal[[#This Row],[DENSIDAD]]/10000,"-")</f>
        <v>15</v>
      </c>
      <c r="R169" s="183" t="str">
        <f>VLOOKUP(TablaPrincipal[[#This Row],[CODIGO]]&amp;TablaPrincipal[[#This Row],[AGUAJE ]],Tabla4[#All],8,0)</f>
        <v>TECSERV</v>
      </c>
      <c r="S169" s="183" t="str">
        <f>VLOOKUP(TablaPrincipal[[#This Row],[CODIGO]]&amp;TablaPrincipal[[#This Row],[AGUAJE ]],Tabla4[#All],7,0)</f>
        <v>TEXCUMAR</v>
      </c>
      <c r="T169" s="183" t="str">
        <f>IF(ISNUMBER(FIND("/",TablaPrincipal[[#This Row],[LABORATORIO]])),"COMBINADO","UNICO")</f>
        <v>UNICO</v>
      </c>
      <c r="U1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5400</v>
      </c>
      <c r="V1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5334.34</v>
      </c>
      <c r="W1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23.86</v>
      </c>
      <c r="Y169" s="185">
        <f>IFERROR(TablaPrincipal[[#This Row],[LIBRAS RALEO PLANTA]]/TablaPrincipal[[#This Row],[HAS]],"-")</f>
        <v>2012.9584905660379</v>
      </c>
      <c r="Z1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101264.1003767467</v>
      </c>
      <c r="AA16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10400</v>
      </c>
      <c r="AB1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10278.620000000001</v>
      </c>
      <c r="AC169" s="186">
        <f>SUMIFS(COSECHAS!F:F,COSECHAS!A:A,'BASE 2026'!AW:AW,COSECHAS!G:G,"="&amp;A:A)</f>
        <v>37</v>
      </c>
      <c r="AD169" s="186">
        <f>SUMIFS(COSECHAS!M:M,COSECHAS!A:A,'BASE 2026'!AW:AW,COSECHAS!G:G,"="&amp;A:A)</f>
        <v>36.9</v>
      </c>
      <c r="AE169" s="185">
        <f>IFERROR(TablaPrincipal[[#This Row],[LIBRAS PLANTA]]/TablaPrincipal[[#This Row],[HAS]],"-")</f>
        <v>3878.7245283018874</v>
      </c>
      <c r="AF169" s="185">
        <f>IFERROR(TablaPrincipal[[#This Row],[LIBRAS PLANTA]]*454/TablaPrincipal[[#This Row],[GRAMOS PLANTA]],"-")</f>
        <v>126463.23794037942</v>
      </c>
      <c r="AG169" s="185">
        <f>TablaPrincipal[[#This Row],[LIBRAS RALEO PLANTA]]+TablaPrincipal[[#This Row],[LIBRAS PLANTA]]</f>
        <v>15612.960000000001</v>
      </c>
      <c r="AH169" s="185">
        <f>IFERROR(TablaPrincipal[[#This Row],[CAM COSECHADOS RALEO]]+TablaPrincipal[[#This Row],[CAM COSECHADOS]],"-")</f>
        <v>227727.33831712612</v>
      </c>
      <c r="AI169" s="185">
        <f>IFERROR((TablaPrincipal[[#This Row],[LIBRAS RALEO PLANTA]]+TablaPrincipal[[#This Row],[LIBRAS PLANTA]])/TablaPrincipal[[#This Row],[HAS]],"0")</f>
        <v>5891.6830188679251</v>
      </c>
      <c r="AJ169" s="186">
        <f t="shared" si="2"/>
        <v>3.4905405405405405</v>
      </c>
      <c r="AK169" s="186">
        <f>IFERROR(TablaPrincipal[[#This Row],[LBS/HA]]/TablaPrincipal[[#This Row],[DIAS]],"-")</f>
        <v>79.617338092809803</v>
      </c>
      <c r="AL169" s="186">
        <f>IFERROR(TablaPrincipal[[#This Row],[CAM COSECHADOS TOTALES]]/TablaPrincipal[[#This Row],[ANIM SEMBRADOS]]*100,"-")</f>
        <v>57.289896431981411</v>
      </c>
      <c r="AM169" s="185">
        <v>19510.710000000003</v>
      </c>
      <c r="AN169" s="187">
        <f>IFERROR(((TablaPrincipal[[#This Row],[BALANCEADO ACUMULADO (LBS)]]/2.2046)/TablaPrincipal[[#This Row],[HAS]])/TablaPrincipal[[#This Row],[DIAS]],"-")</f>
        <v>45.130035696073435</v>
      </c>
      <c r="AO169" s="184">
        <f>IFERROR(TablaPrincipal[[#This Row],[BALANCEADO ACUMULADO (LBS)]]/TablaPrincipal[[#This Row],[LIBRAS TOTALES]],"-")</f>
        <v>1.2496483690472531</v>
      </c>
      <c r="AP169" s="184"/>
      <c r="AQ169" s="184" t="s">
        <v>105</v>
      </c>
      <c r="AR169" s="185">
        <f>TablaPrincipal[[#This Row],[LIBRAS RALEO PLANTA]]-TablaPrincipal[[#This Row],[LIBRAS RALEO CAMARONERA]]</f>
        <v>-65.659999999999854</v>
      </c>
      <c r="AS169" s="185">
        <f>TablaPrincipal[[#This Row],[LIBRAS PLANTA]]-TablaPrincipal[[#This Row],[LIBRAS CAMARONERA]]</f>
        <v>-121.3799999999992</v>
      </c>
      <c r="AT169" s="187">
        <f>TablaPrincipal[[#This Row],[GRAMAJE RALEO PLANTA]]-TablaPrincipal[[#This Row],[GRAMAJE RALEO CAMARONERA]]</f>
        <v>1.3599999999999994</v>
      </c>
      <c r="AU169" s="187">
        <f>TablaPrincipal[[#This Row],[GRAMOS PLANTA]]-TablaPrincipal[[#This Row],[GRAMAJE CAMARONERA]]</f>
        <v>-0.10000000000000142</v>
      </c>
      <c r="AV169" s="183" t="str">
        <f>+VLOOKUP(TablaPrincipal[[#This Row],[CODIGO]],TablaCosechas[#All],10,0)</f>
        <v>GUSTAVO CARRASCO</v>
      </c>
      <c r="AW169" s="183" t="s">
        <v>263</v>
      </c>
      <c r="AX169" s="188" t="str">
        <f>+VLOOKUP(TablaPrincipal[[#This Row],[CODIGO]],TablaCosechas[#All],10,0)</f>
        <v>GUSTAVO CARRASCO</v>
      </c>
    </row>
    <row r="170" spans="1:50" hidden="1" x14ac:dyDescent="0.25">
      <c r="A170" s="196">
        <v>46086</v>
      </c>
      <c r="B170" s="183">
        <v>168</v>
      </c>
      <c r="C170" s="183">
        <f>YEAR(TablaPrincipal[[#This Row],[FECHA]])</f>
        <v>2026</v>
      </c>
      <c r="D170" s="183" t="s">
        <v>256</v>
      </c>
      <c r="E170" s="183" t="str">
        <f>UPPER(TEXT(TablaPrincipal[[#This Row],[FECHA]],"MMMM"))</f>
        <v>MARZO</v>
      </c>
      <c r="F170" s="183" t="str">
        <f>IFERROR(VLOOKUP(TablaPrincipal[[#This Row],[CODIGO]],COSECHAS!A:J,9,0),"-")</f>
        <v>04</v>
      </c>
      <c r="G170" s="183" t="str">
        <f>IFERROR(VLOOKUP(TablaPrincipal[[#This Row],[CODIGO]],COSECHAS!A:I,8,0),"-")</f>
        <v>ROBALO</v>
      </c>
      <c r="H170" s="184">
        <f>IFERROR(VLOOKUP(TablaPrincipal[[#This Row],[CODIGO]],DATOS!A:B,2,0),"-")</f>
        <v>25.38</v>
      </c>
      <c r="I170" s="183" t="str">
        <f>IFERROR(VLOOKUP(TablaPrincipal[[#This Row],[CODIGO]],Tabla8[[#Headers],[#Data]],3,0),"-")</f>
        <v>ASC-BAP</v>
      </c>
      <c r="J170" s="183">
        <f>IFERROR(TablaPrincipal[[#This Row],[FECHA]]-TablaPrincipal[[#This Row],[FECHA DE SIEMBRA]],"-")</f>
        <v>83</v>
      </c>
      <c r="K170" s="196">
        <f>VLOOKUP(TablaPrincipal[[#This Row],[CODIGO]]&amp;TablaPrincipal[[#This Row],[AGUAJE ]],Tabla4[#All],4,0)</f>
        <v>46003</v>
      </c>
      <c r="L170" s="183" t="str">
        <f>VLOOKUP(TablaPrincipal[[#This Row],[CODIGO]]&amp;TablaPrincipal[[#This Row],[AGUAJE ]],Tabla4[#All],15,0)</f>
        <v>RO PC 2 - 16</v>
      </c>
      <c r="M170" s="184">
        <f>VLOOKUP(TablaPrincipal[[#This Row],[CODIGO]]&amp;TablaPrincipal[[#This Row],[AGUAJE ]],Tabla4[#All],14,0)</f>
        <v>0.54</v>
      </c>
      <c r="N170" s="183">
        <v>6</v>
      </c>
      <c r="O170" s="170">
        <f>VLOOKUP(TablaPrincipal[[#This Row],[CODIGO]]&amp;TablaPrincipal[[#This Row],[AGUAJE ]],Tabla4[#All],5,0)</f>
        <v>4010040</v>
      </c>
      <c r="P170" s="221">
        <f>IFERROR(TablaPrincipal[[#This Row],[ANIM SEMBRADOS]]/TablaPrincipal[[#This Row],[HAS]],"-")</f>
        <v>158000</v>
      </c>
      <c r="Q170" s="222">
        <f>IFERROR(TablaPrincipal[[#This Row],[DENSIDAD]]/10000,"-")</f>
        <v>15.8</v>
      </c>
      <c r="R170" s="183" t="str">
        <f>VLOOKUP(TablaPrincipal[[#This Row],[CODIGO]]&amp;TablaPrincipal[[#This Row],[AGUAJE ]],Tabla4[#All],8,0)</f>
        <v>GRILSAN</v>
      </c>
      <c r="S170" s="183" t="str">
        <f>VLOOKUP(TablaPrincipal[[#This Row],[CODIGO]]&amp;TablaPrincipal[[#This Row],[AGUAJE ]],Tabla4[#All],7,0)</f>
        <v>AQUAGEN</v>
      </c>
      <c r="T170" s="183" t="str">
        <f>IF(ISNUMBER(FIND("/",TablaPrincipal[[#This Row],[LABORATORIO]])),"COMBINADO","UNICO")</f>
        <v>UNICO</v>
      </c>
      <c r="U1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20200</v>
      </c>
      <c r="V1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19166.28</v>
      </c>
      <c r="W1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20.28</v>
      </c>
      <c r="Y170" s="185">
        <f>IFERROR(TablaPrincipal[[#This Row],[LIBRAS RALEO PLANTA]]/TablaPrincipal[[#This Row],[HAS]],"-")</f>
        <v>755.17257683215132</v>
      </c>
      <c r="Z1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429067.60946745554</v>
      </c>
      <c r="AA17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108600</v>
      </c>
      <c r="AB1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116887.2</v>
      </c>
      <c r="AC170" s="186">
        <f>SUMIFS(COSECHAS!F:F,COSECHAS!A:A,'BASE 2026'!AW:AW,COSECHAS!G:G,"="&amp;A:A)</f>
        <v>42</v>
      </c>
      <c r="AD170" s="186">
        <f>SUMIFS(COSECHAS!M:M,COSECHAS!A:A,'BASE 2026'!AW:AW,COSECHAS!G:G,"="&amp;A:A)</f>
        <v>42.49</v>
      </c>
      <c r="AE170" s="185">
        <f>IFERROR(TablaPrincipal[[#This Row],[LIBRAS PLANTA]]/TablaPrincipal[[#This Row],[HAS]],"-")</f>
        <v>4605.4846335697403</v>
      </c>
      <c r="AF170" s="185">
        <f>IFERROR(TablaPrincipal[[#This Row],[LIBRAS PLANTA]]*454/TablaPrincipal[[#This Row],[GRAMOS PLANTA]],"-")</f>
        <v>1248924.1892209931</v>
      </c>
      <c r="AG170" s="185">
        <f>TablaPrincipal[[#This Row],[LIBRAS RALEO PLANTA]]+TablaPrincipal[[#This Row],[LIBRAS PLANTA]]</f>
        <v>136053.47999999998</v>
      </c>
      <c r="AH170" s="185">
        <f>IFERROR(TablaPrincipal[[#This Row],[CAM COSECHADOS RALEO]]+TablaPrincipal[[#This Row],[CAM COSECHADOS]],"-")</f>
        <v>1677991.7986884485</v>
      </c>
      <c r="AI170" s="185">
        <f>IFERROR((TablaPrincipal[[#This Row],[LIBRAS RALEO PLANTA]]+TablaPrincipal[[#This Row],[LIBRAS PLANTA]])/TablaPrincipal[[#This Row],[HAS]],"0")</f>
        <v>5360.6572104018906</v>
      </c>
      <c r="AJ170" s="186">
        <f t="shared" si="2"/>
        <v>3.5834939759036146</v>
      </c>
      <c r="AK170" s="186">
        <f>IFERROR(TablaPrincipal[[#This Row],[LBS/HA]]/TablaPrincipal[[#This Row],[DIAS]],"-")</f>
        <v>64.586231450625192</v>
      </c>
      <c r="AL170" s="186">
        <f>IFERROR(TablaPrincipal[[#This Row],[CAM COSECHADOS TOTALES]]/TablaPrincipal[[#This Row],[ANIM SEMBRADOS]]*100,"-")</f>
        <v>41.844764608045018</v>
      </c>
      <c r="AM170" s="185">
        <v>198033.7065</v>
      </c>
      <c r="AN170" s="187">
        <f>IFERROR(((TablaPrincipal[[#This Row],[BALANCEADO ACUMULADO (LBS)]]/2.2046)/TablaPrincipal[[#This Row],[HAS]])/TablaPrincipal[[#This Row],[DIAS]],"-")</f>
        <v>42.642200005696552</v>
      </c>
      <c r="AO170" s="184">
        <f>IFERROR(TablaPrincipal[[#This Row],[BALANCEADO ACUMULADO (LBS)]]/TablaPrincipal[[#This Row],[LIBRAS TOTALES]],"-")</f>
        <v>1.4555578181462174</v>
      </c>
      <c r="AP170" s="184"/>
      <c r="AQ170" s="184"/>
      <c r="AR170" s="185">
        <f>TablaPrincipal[[#This Row],[LIBRAS RALEO PLANTA]]-TablaPrincipal[[#This Row],[LIBRAS RALEO CAMARONERA]]</f>
        <v>-1033.7200000000012</v>
      </c>
      <c r="AS170" s="185">
        <f>TablaPrincipal[[#This Row],[LIBRAS PLANTA]]-TablaPrincipal[[#This Row],[LIBRAS CAMARONERA]]</f>
        <v>8287.1999999999971</v>
      </c>
      <c r="AT170" s="187">
        <f>TablaPrincipal[[#This Row],[GRAMAJE RALEO PLANTA]]-TablaPrincipal[[#This Row],[GRAMAJE RALEO CAMARONERA]]</f>
        <v>2.2800000000000011</v>
      </c>
      <c r="AU170" s="187">
        <f>TablaPrincipal[[#This Row],[GRAMOS PLANTA]]-TablaPrincipal[[#This Row],[GRAMAJE CAMARONERA]]</f>
        <v>0.49000000000000199</v>
      </c>
      <c r="AV170" s="183" t="str">
        <f>+VLOOKUP(TablaPrincipal[[#This Row],[CODIGO]],TablaCosechas[#All],10,0)</f>
        <v>VICTOR QUINTANA</v>
      </c>
      <c r="AW170" s="183" t="s">
        <v>264</v>
      </c>
      <c r="AX170" s="188" t="str">
        <f>+VLOOKUP(TablaPrincipal[[#This Row],[CODIGO]],TablaCosechas[#All],10,0)</f>
        <v>VICTOR QUINTANA</v>
      </c>
    </row>
    <row r="171" spans="1:50" hidden="1" x14ac:dyDescent="0.25">
      <c r="A171" s="196">
        <v>46086</v>
      </c>
      <c r="B171" s="183">
        <v>169</v>
      </c>
      <c r="C171" s="183">
        <f>YEAR(TablaPrincipal[[#This Row],[FECHA]])</f>
        <v>2026</v>
      </c>
      <c r="D171" s="183" t="s">
        <v>256</v>
      </c>
      <c r="E171" s="183" t="str">
        <f>UPPER(TEXT(TablaPrincipal[[#This Row],[FECHA]],"MMMM"))</f>
        <v>MARZO</v>
      </c>
      <c r="F171" s="183" t="str">
        <f>IFERROR(VLOOKUP(TablaPrincipal[[#This Row],[CODIGO]],COSECHAS!A:J,9,0),"-")</f>
        <v>04</v>
      </c>
      <c r="G171" s="183" t="str">
        <f>IFERROR(VLOOKUP(TablaPrincipal[[#This Row],[CODIGO]],COSECHAS!A:I,8,0),"-")</f>
        <v>DELFIN</v>
      </c>
      <c r="H171" s="184">
        <f>IFERROR(VLOOKUP(TablaPrincipal[[#This Row],[CODIGO]],DATOS!A:B,2,0),"-")</f>
        <v>7.76</v>
      </c>
      <c r="I171" s="183" t="str">
        <f>IFERROR(VLOOKUP(TablaPrincipal[[#This Row],[CODIGO]],Tabla8[[#Headers],[#Data]],3,0),"-")</f>
        <v>CONVENCIONAL</v>
      </c>
      <c r="J171" s="183">
        <f>IFERROR(TablaPrincipal[[#This Row],[FECHA]]-TablaPrincipal[[#This Row],[FECHA DE SIEMBRA]],"-")</f>
        <v>85</v>
      </c>
      <c r="K171" s="196">
        <f>VLOOKUP(TablaPrincipal[[#This Row],[CODIGO]]&amp;TablaPrincipal[[#This Row],[AGUAJE ]],Tabla4[#All],4,0)</f>
        <v>46001</v>
      </c>
      <c r="L171" s="183" t="str">
        <f>VLOOKUP(TablaPrincipal[[#This Row],[CODIGO]]&amp;TablaPrincipal[[#This Row],[AGUAJE ]],Tabla4[#All],15,0)</f>
        <v>DE 02</v>
      </c>
      <c r="M171" s="184">
        <f>VLOOKUP(TablaPrincipal[[#This Row],[CODIGO]]&amp;TablaPrincipal[[#This Row],[AGUAJE ]],Tabla4[#All],14,0)</f>
        <v>0.6</v>
      </c>
      <c r="N171" s="183">
        <v>3</v>
      </c>
      <c r="O171" s="170">
        <f>VLOOKUP(TablaPrincipal[[#This Row],[CODIGO]]&amp;TablaPrincipal[[#This Row],[AGUAJE ]],Tabla4[#All],5,0)</f>
        <v>1241600</v>
      </c>
      <c r="P171" s="221">
        <f>IFERROR(TablaPrincipal[[#This Row],[ANIM SEMBRADOS]]/TablaPrincipal[[#This Row],[HAS]],"-")</f>
        <v>160000</v>
      </c>
      <c r="Q171" s="222">
        <f>IFERROR(TablaPrincipal[[#This Row],[DENSIDAD]]/10000,"-")</f>
        <v>16</v>
      </c>
      <c r="R171" s="183" t="str">
        <f>VLOOKUP(TablaPrincipal[[#This Row],[CODIGO]]&amp;TablaPrincipal[[#This Row],[AGUAJE ]],Tabla4[#All],8,0)</f>
        <v>EMPAGRAN</v>
      </c>
      <c r="S171" s="183" t="str">
        <f>VLOOKUP(TablaPrincipal[[#This Row],[CODIGO]]&amp;TablaPrincipal[[#This Row],[AGUAJE ]],Tabla4[#All],7,0)</f>
        <v>EMPAGRAN</v>
      </c>
      <c r="T171" s="183" t="str">
        <f>IF(ISNUMBER(FIND("/",TablaPrincipal[[#This Row],[LABORATORIO]])),"COMBINADO","UNICO")</f>
        <v>UNICO</v>
      </c>
      <c r="U1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14200</v>
      </c>
      <c r="V1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13731.2</v>
      </c>
      <c r="W1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171" s="185">
        <f>IFERROR(TablaPrincipal[[#This Row],[LIBRAS RALEO PLANTA]]/TablaPrincipal[[#This Row],[HAS]],"-")</f>
        <v>1769.4845360824743</v>
      </c>
      <c r="Z1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294231.66519328317</v>
      </c>
      <c r="AA17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6100</v>
      </c>
      <c r="AB1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6201.78</v>
      </c>
      <c r="AC171" s="186">
        <f>SUMIFS(COSECHAS!F:F,COSECHAS!A:A,'BASE 2026'!AW:AW,COSECHAS!G:G,"="&amp;A:A)</f>
        <v>31</v>
      </c>
      <c r="AD171" s="186">
        <f>SUMIFS(COSECHAS!M:M,COSECHAS!A:A,'BASE 2026'!AW:AW,COSECHAS!G:G,"="&amp;A:A)</f>
        <v>31.32</v>
      </c>
      <c r="AE171" s="185">
        <f>IFERROR(TablaPrincipal[[#This Row],[LIBRAS PLANTA]]/TablaPrincipal[[#This Row],[HAS]],"-")</f>
        <v>799.19845360824741</v>
      </c>
      <c r="AF171" s="185">
        <f>IFERROR(TablaPrincipal[[#This Row],[LIBRAS PLANTA]]*454/TablaPrincipal[[#This Row],[GRAMOS PLANTA]],"-")</f>
        <v>89898.088122605361</v>
      </c>
      <c r="AG171" s="185">
        <f>TablaPrincipal[[#This Row],[LIBRAS RALEO PLANTA]]+TablaPrincipal[[#This Row],[LIBRAS PLANTA]]</f>
        <v>19932.98</v>
      </c>
      <c r="AH171" s="185">
        <f>IFERROR(TablaPrincipal[[#This Row],[CAM COSECHADOS RALEO]]+TablaPrincipal[[#This Row],[CAM COSECHADOS]],"-")</f>
        <v>384129.75331588852</v>
      </c>
      <c r="AI171" s="185">
        <f>IFERROR((TablaPrincipal[[#This Row],[LIBRAS RALEO PLANTA]]+TablaPrincipal[[#This Row],[LIBRAS PLANTA]])/TablaPrincipal[[#This Row],[HAS]],"0")</f>
        <v>2568.6829896907216</v>
      </c>
      <c r="AJ171" s="186">
        <f t="shared" si="2"/>
        <v>2.5792941176470587</v>
      </c>
      <c r="AK171" s="186">
        <f>IFERROR(TablaPrincipal[[#This Row],[LBS/HA]]/TablaPrincipal[[#This Row],[DIAS]],"-")</f>
        <v>30.219799878714372</v>
      </c>
      <c r="AL171" s="186">
        <f>IFERROR(TablaPrincipal[[#This Row],[CAM COSECHADOS TOTALES]]/TablaPrincipal[[#This Row],[ANIM SEMBRADOS]]*100,"-")</f>
        <v>30.93828554412762</v>
      </c>
      <c r="AM171" s="185">
        <v>75728.010000000009</v>
      </c>
      <c r="AN171" s="187">
        <f>IFERROR(((TablaPrincipal[[#This Row],[BALANCEADO ACUMULADO (LBS)]]/2.2046)/TablaPrincipal[[#This Row],[HAS]])/TablaPrincipal[[#This Row],[DIAS]],"-")</f>
        <v>52.077016373559736</v>
      </c>
      <c r="AO171" s="184">
        <f>IFERROR(TablaPrincipal[[#This Row],[BALANCEADO ACUMULADO (LBS)]]/TablaPrincipal[[#This Row],[LIBRAS TOTALES]],"-")</f>
        <v>3.7991313892854963</v>
      </c>
      <c r="AP171" s="184"/>
      <c r="AQ171" s="184" t="s">
        <v>105</v>
      </c>
      <c r="AR171" s="185">
        <f>TablaPrincipal[[#This Row],[LIBRAS RALEO PLANTA]]-TablaPrincipal[[#This Row],[LIBRAS RALEO CAMARONERA]]</f>
        <v>-468.79999999999927</v>
      </c>
      <c r="AS171" s="185">
        <f>TablaPrincipal[[#This Row],[LIBRAS PLANTA]]-TablaPrincipal[[#This Row],[LIBRAS CAMARONERA]]</f>
        <v>101.77999999999975</v>
      </c>
      <c r="AT171" s="187">
        <f>TablaPrincipal[[#This Row],[GRAMAJE RALEO PLANTA]]-TablaPrincipal[[#This Row],[GRAMAJE RALEO CAMARONERA]]</f>
        <v>0.33999999999999986</v>
      </c>
      <c r="AU171" s="187">
        <f>TablaPrincipal[[#This Row],[GRAMOS PLANTA]]-TablaPrincipal[[#This Row],[GRAMAJE CAMARONERA]]</f>
        <v>0.32000000000000028</v>
      </c>
      <c r="AV171" s="183" t="str">
        <f>+VLOOKUP(TablaPrincipal[[#This Row],[CODIGO]],TablaCosechas[#All],10,0)</f>
        <v>CARLOS FLORES</v>
      </c>
      <c r="AW171" s="183" t="s">
        <v>265</v>
      </c>
      <c r="AX171" s="188" t="str">
        <f>+VLOOKUP(TablaPrincipal[[#This Row],[CODIGO]],TablaCosechas[#All],10,0)</f>
        <v>CARLOS FLORES</v>
      </c>
    </row>
    <row r="172" spans="1:50" hidden="1" x14ac:dyDescent="0.25">
      <c r="A172" s="196">
        <v>46087</v>
      </c>
      <c r="B172" s="183">
        <v>170</v>
      </c>
      <c r="C172" s="183">
        <f>YEAR(TablaPrincipal[[#This Row],[FECHA]])</f>
        <v>2026</v>
      </c>
      <c r="D172" s="183" t="s">
        <v>256</v>
      </c>
      <c r="E172" s="183" t="str">
        <f>UPPER(TEXT(TablaPrincipal[[#This Row],[FECHA]],"MMMM"))</f>
        <v>MARZO</v>
      </c>
      <c r="F172" s="183" t="str">
        <f>IFERROR(VLOOKUP(TablaPrincipal[[#This Row],[CODIGO]],COSECHAS!A:J,9,0),"-")</f>
        <v>11</v>
      </c>
      <c r="G172" s="183" t="str">
        <f>IFERROR(VLOOKUP(TablaPrincipal[[#This Row],[CODIGO]],COSECHAS!A:I,8,0),"-")</f>
        <v>MERO</v>
      </c>
      <c r="H172" s="184">
        <f>IFERROR(VLOOKUP(TablaPrincipal[[#This Row],[CODIGO]],DATOS!A:B,2,0),"-")</f>
        <v>3</v>
      </c>
      <c r="I172" s="183" t="str">
        <f>IFERROR(VLOOKUP(TablaPrincipal[[#This Row],[CODIGO]],Tabla8[[#Headers],[#Data]],3,0),"-")</f>
        <v>CONVENCIONAL</v>
      </c>
      <c r="J172" s="183">
        <f>IFERROR(TablaPrincipal[[#This Row],[FECHA]]-TablaPrincipal[[#This Row],[FECHA DE SIEMBRA]],"-")</f>
        <v>94</v>
      </c>
      <c r="K172" s="196">
        <f>VLOOKUP(TablaPrincipal[[#This Row],[CODIGO]]&amp;TablaPrincipal[[#This Row],[AGUAJE ]],Tabla4[#All],4,0)</f>
        <v>45993</v>
      </c>
      <c r="L172" s="183" t="str">
        <f>VLOOKUP(TablaPrincipal[[#This Row],[CODIGO]]&amp;TablaPrincipal[[#This Row],[AGUAJE ]],Tabla4[#All],15,0)</f>
        <v>ME 8</v>
      </c>
      <c r="M172" s="184">
        <f>VLOOKUP(TablaPrincipal[[#This Row],[CODIGO]]&amp;TablaPrincipal[[#This Row],[AGUAJE ]],Tabla4[#All],14,0)</f>
        <v>0.15</v>
      </c>
      <c r="N172" s="183">
        <v>8</v>
      </c>
      <c r="O172" s="170">
        <f>VLOOKUP(TablaPrincipal[[#This Row],[CODIGO]]&amp;TablaPrincipal[[#This Row],[AGUAJE ]],Tabla4[#All],5,0)</f>
        <v>480000</v>
      </c>
      <c r="P172" s="221">
        <f>IFERROR(TablaPrincipal[[#This Row],[ANIM SEMBRADOS]]/TablaPrincipal[[#This Row],[HAS]],"-")</f>
        <v>160000</v>
      </c>
      <c r="Q172" s="222">
        <f>IFERROR(TablaPrincipal[[#This Row],[DENSIDAD]]/10000,"-")</f>
        <v>16</v>
      </c>
      <c r="R172" s="183" t="str">
        <f>VLOOKUP(TablaPrincipal[[#This Row],[CODIGO]]&amp;TablaPrincipal[[#This Row],[AGUAJE ]],Tabla4[#All],8,0)</f>
        <v>GENESIS</v>
      </c>
      <c r="S172" s="183" t="str">
        <f>VLOOKUP(TablaPrincipal[[#This Row],[CODIGO]]&amp;TablaPrincipal[[#This Row],[AGUAJE ]],Tabla4[#All],7,0)</f>
        <v>TEXCUMAR</v>
      </c>
      <c r="T172" s="183" t="str">
        <f>IF(ISNUMBER(FIND("/",TablaPrincipal[[#This Row],[LABORATORIO]])),"COMBINADO","UNICO")</f>
        <v>UNICO</v>
      </c>
      <c r="U1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11200</v>
      </c>
      <c r="V1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10649.05</v>
      </c>
      <c r="W1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24.43</v>
      </c>
      <c r="Y172" s="185">
        <f>IFERROR(TablaPrincipal[[#This Row],[LIBRAS RALEO PLANTA]]/TablaPrincipal[[#This Row],[HAS]],"-")</f>
        <v>3549.6833333333329</v>
      </c>
      <c r="Z1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200759.10304052447</v>
      </c>
      <c r="AA17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14800</v>
      </c>
      <c r="AB1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15970.98</v>
      </c>
      <c r="AC172" s="186">
        <f>SUMIFS(COSECHAS!F:F,COSECHAS!A:A,'BASE 2026'!AW:AW,COSECHAS!G:G,"="&amp;A:A)</f>
        <v>33</v>
      </c>
      <c r="AD172" s="186">
        <f>SUMIFS(COSECHAS!M:M,COSECHAS!A:A,'BASE 2026'!AW:AW,COSECHAS!G:G,"="&amp;A:A)</f>
        <v>33.520000000000003</v>
      </c>
      <c r="AE172" s="185">
        <f>IFERROR(TablaPrincipal[[#This Row],[LIBRAS PLANTA]]/TablaPrincipal[[#This Row],[HAS]],"-")</f>
        <v>5323.66</v>
      </c>
      <c r="AF172" s="185">
        <f>IFERROR(TablaPrincipal[[#This Row],[LIBRAS PLANTA]]*454/TablaPrincipal[[#This Row],[GRAMOS PLANTA]],"-")</f>
        <v>216313.39260143196</v>
      </c>
      <c r="AG172" s="185">
        <f>TablaPrincipal[[#This Row],[LIBRAS RALEO PLANTA]]+TablaPrincipal[[#This Row],[LIBRAS PLANTA]]</f>
        <v>26620.03</v>
      </c>
      <c r="AH172" s="185">
        <f>IFERROR(TablaPrincipal[[#This Row],[CAM COSECHADOS RALEO]]+TablaPrincipal[[#This Row],[CAM COSECHADOS]],"-")</f>
        <v>417072.49564195646</v>
      </c>
      <c r="AI172" s="185">
        <f>IFERROR((TablaPrincipal[[#This Row],[LIBRAS RALEO PLANTA]]+TablaPrincipal[[#This Row],[LIBRAS PLANTA]])/TablaPrincipal[[#This Row],[HAS]],"0")</f>
        <v>8873.3433333333323</v>
      </c>
      <c r="AJ172" s="186">
        <f t="shared" si="2"/>
        <v>2.4961702127659575</v>
      </c>
      <c r="AK172" s="186">
        <f>IFERROR(TablaPrincipal[[#This Row],[LBS/HA]]/TablaPrincipal[[#This Row],[DIAS]],"-")</f>
        <v>94.397269503546084</v>
      </c>
      <c r="AL172" s="186">
        <f>IFERROR(TablaPrincipal[[#This Row],[CAM COSECHADOS TOTALES]]/TablaPrincipal[[#This Row],[ANIM SEMBRADOS]]*100,"-")</f>
        <v>86.890103258740922</v>
      </c>
      <c r="AM172" s="185">
        <v>39820.587500000001</v>
      </c>
      <c r="AN172" s="187">
        <f>IFERROR(((TablaPrincipal[[#This Row],[BALANCEADO ACUMULADO (LBS)]]/2.2046)/TablaPrincipal[[#This Row],[HAS]])/TablaPrincipal[[#This Row],[DIAS]],"-")</f>
        <v>64.051418439716315</v>
      </c>
      <c r="AO172" s="184">
        <f>IFERROR(TablaPrincipal[[#This Row],[BALANCEADO ACUMULADO (LBS)]]/TablaPrincipal[[#This Row],[LIBRAS TOTALES]],"-")</f>
        <v>1.4958881526429535</v>
      </c>
      <c r="AP172" s="184"/>
      <c r="AQ172" s="184" t="s">
        <v>105</v>
      </c>
      <c r="AR172" s="185">
        <f>TablaPrincipal[[#This Row],[LIBRAS RALEO PLANTA]]-TablaPrincipal[[#This Row],[LIBRAS RALEO CAMARONERA]]</f>
        <v>-550.95000000000073</v>
      </c>
      <c r="AS172" s="185">
        <f>TablaPrincipal[[#This Row],[LIBRAS PLANTA]]-TablaPrincipal[[#This Row],[LIBRAS CAMARONERA]]</f>
        <v>1170.9799999999996</v>
      </c>
      <c r="AT172" s="187">
        <f>TablaPrincipal[[#This Row],[GRAMAJE RALEO PLANTA]]-TablaPrincipal[[#This Row],[GRAMAJE RALEO CAMARONERA]]</f>
        <v>-0.57000000000000028</v>
      </c>
      <c r="AU172" s="187">
        <f>TablaPrincipal[[#This Row],[GRAMOS PLANTA]]-TablaPrincipal[[#This Row],[GRAMAJE CAMARONERA]]</f>
        <v>0.52000000000000313</v>
      </c>
      <c r="AV172" s="183" t="str">
        <f>+VLOOKUP(TablaPrincipal[[#This Row],[CODIGO]],TablaCosechas[#All],10,0)</f>
        <v>NESTOR MOGOLLON</v>
      </c>
      <c r="AW172" s="183" t="s">
        <v>266</v>
      </c>
      <c r="AX172" s="188" t="str">
        <f>+VLOOKUP(TablaPrincipal[[#This Row],[CODIGO]],TablaCosechas[#All],10,0)</f>
        <v>NESTOR MOGOLLON</v>
      </c>
    </row>
    <row r="173" spans="1:50" hidden="1" x14ac:dyDescent="0.25">
      <c r="A173" s="196">
        <v>46087</v>
      </c>
      <c r="B173" s="183">
        <v>171</v>
      </c>
      <c r="C173" s="183">
        <f>YEAR(TablaPrincipal[[#This Row],[FECHA]])</f>
        <v>2026</v>
      </c>
      <c r="D173" s="183" t="s">
        <v>256</v>
      </c>
      <c r="E173" s="183" t="str">
        <f>UPPER(TEXT(TablaPrincipal[[#This Row],[FECHA]],"MMMM"))</f>
        <v>MARZO</v>
      </c>
      <c r="F173" s="183" t="str">
        <f>IFERROR(VLOOKUP(TablaPrincipal[[#This Row],[CODIGO]],COSECHAS!A:J,9,0),"-")</f>
        <v>17</v>
      </c>
      <c r="G173" s="183" t="str">
        <f>IFERROR(VLOOKUP(TablaPrincipal[[#This Row],[CODIGO]],COSECHAS!A:I,8,0),"-")</f>
        <v>DORADO</v>
      </c>
      <c r="H173" s="184">
        <f>IFERROR(VLOOKUP(TablaPrincipal[[#This Row],[CODIGO]],DATOS!A:B,2,0),"-")</f>
        <v>5.01</v>
      </c>
      <c r="I173" s="183" t="str">
        <f>IFERROR(VLOOKUP(TablaPrincipal[[#This Row],[CODIGO]],Tabla8[[#Headers],[#Data]],3,0),"-")</f>
        <v>ASC-BAP</v>
      </c>
      <c r="J173" s="183">
        <f>IFERROR(TablaPrincipal[[#This Row],[FECHA]]-TablaPrincipal[[#This Row],[FECHA DE SIEMBRA]],"-")</f>
        <v>82</v>
      </c>
      <c r="K173" s="196">
        <f>VLOOKUP(TablaPrincipal[[#This Row],[CODIGO]]&amp;TablaPrincipal[[#This Row],[AGUAJE ]],Tabla4[#All],4,0)</f>
        <v>46005</v>
      </c>
      <c r="L173" s="183" t="str">
        <f>VLOOKUP(TablaPrincipal[[#This Row],[CODIGO]]&amp;TablaPrincipal[[#This Row],[AGUAJE ]],Tabla4[#All],15,0)</f>
        <v>DO PC 2 - TU PC 7</v>
      </c>
      <c r="M173" s="184">
        <f>VLOOKUP(TablaPrincipal[[#This Row],[CODIGO]]&amp;TablaPrincipal[[#This Row],[AGUAJE ]],Tabla4[#All],14,0)</f>
        <v>0.65</v>
      </c>
      <c r="N173" s="183">
        <v>8</v>
      </c>
      <c r="O173" s="170">
        <f>VLOOKUP(TablaPrincipal[[#This Row],[CODIGO]]&amp;TablaPrincipal[[#This Row],[AGUAJE ]],Tabla4[#All],5,0)</f>
        <v>932312</v>
      </c>
      <c r="P173" s="221">
        <f>IFERROR(TablaPrincipal[[#This Row],[ANIM SEMBRADOS]]/TablaPrincipal[[#This Row],[HAS]],"-")</f>
        <v>186090.21956087826</v>
      </c>
      <c r="Q173" s="222">
        <f>IFERROR(TablaPrincipal[[#This Row],[DENSIDAD]]/10000,"-")</f>
        <v>18.609021956087826</v>
      </c>
      <c r="R173" s="183" t="str">
        <f>VLOOKUP(TablaPrincipal[[#This Row],[CODIGO]]&amp;TablaPrincipal[[#This Row],[AGUAJE ]],Tabla4[#All],8,0)</f>
        <v>MAKROLAB/ACUATECSA</v>
      </c>
      <c r="S173" s="183" t="str">
        <f>VLOOKUP(TablaPrincipal[[#This Row],[CODIGO]]&amp;TablaPrincipal[[#This Row],[AGUAJE ]],Tabla4[#All],7,0)</f>
        <v>TEXCUMAR</v>
      </c>
      <c r="T173" s="183" t="str">
        <f>IF(ISNUMBER(FIND("/",TablaPrincipal[[#This Row],[LABORATORIO]])),"COMBINADO","UNICO")</f>
        <v>COMBINADO</v>
      </c>
      <c r="U1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19400</v>
      </c>
      <c r="V1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18431.77</v>
      </c>
      <c r="W1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23.240000000000002</v>
      </c>
      <c r="Y173" s="185">
        <f>IFERROR(TablaPrincipal[[#This Row],[LIBRAS RALEO PLANTA]]/TablaPrincipal[[#This Row],[HAS]],"-")</f>
        <v>3678.9960079840321</v>
      </c>
      <c r="Z1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363521.22560790624</v>
      </c>
      <c r="AA17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19800</v>
      </c>
      <c r="AB1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19764.400000000001</v>
      </c>
      <c r="AC173" s="186">
        <f>SUMIFS(COSECHAS!F:F,COSECHAS!A:A,'BASE 2026'!AW:AW,COSECHAS!G:G,"="&amp;A:A)</f>
        <v>35</v>
      </c>
      <c r="AD173" s="186">
        <f>SUMIFS(COSECHAS!M:M,COSECHAS!A:A,'BASE 2026'!AW:AW,COSECHAS!G:G,"="&amp;A:A)</f>
        <v>36.29</v>
      </c>
      <c r="AE173" s="185">
        <f>IFERROR(TablaPrincipal[[#This Row],[LIBRAS PLANTA]]/TablaPrincipal[[#This Row],[HAS]],"-")</f>
        <v>3944.9900199600802</v>
      </c>
      <c r="AF173" s="185">
        <f>IFERROR(TablaPrincipal[[#This Row],[LIBRAS PLANTA]]*454/TablaPrincipal[[#This Row],[GRAMOS PLANTA]],"-")</f>
        <v>247259.23394874626</v>
      </c>
      <c r="AG173" s="185">
        <f>TablaPrincipal[[#This Row],[LIBRAS RALEO PLANTA]]+TablaPrincipal[[#This Row],[LIBRAS PLANTA]]</f>
        <v>38196.17</v>
      </c>
      <c r="AH173" s="185">
        <f>IFERROR(TablaPrincipal[[#This Row],[CAM COSECHADOS RALEO]]+TablaPrincipal[[#This Row],[CAM COSECHADOS]],"-")</f>
        <v>610780.45955665247</v>
      </c>
      <c r="AI173" s="185">
        <f>IFERROR((TablaPrincipal[[#This Row],[LIBRAS RALEO PLANTA]]+TablaPrincipal[[#This Row],[LIBRAS PLANTA]])/TablaPrincipal[[#This Row],[HAS]],"0")</f>
        <v>7623.9860279441118</v>
      </c>
      <c r="AJ173" s="186">
        <f t="shared" si="2"/>
        <v>3.0979268292682929</v>
      </c>
      <c r="AK173" s="186">
        <f>IFERROR(TablaPrincipal[[#This Row],[LBS/HA]]/TablaPrincipal[[#This Row],[DIAS]],"-")</f>
        <v>92.975439365172093</v>
      </c>
      <c r="AL173" s="186">
        <f>IFERROR(TablaPrincipal[[#This Row],[CAM COSECHADOS TOTALES]]/TablaPrincipal[[#This Row],[ANIM SEMBRADOS]]*100,"-")</f>
        <v>65.512452865205262</v>
      </c>
      <c r="AM173" s="185">
        <v>56437.760000000002</v>
      </c>
      <c r="AN173" s="187">
        <f>IFERROR(((TablaPrincipal[[#This Row],[BALANCEADO ACUMULADO (LBS)]]/2.2046)/TablaPrincipal[[#This Row],[HAS]])/TablaPrincipal[[#This Row],[DIAS]],"-")</f>
        <v>62.314395599045817</v>
      </c>
      <c r="AO173" s="184">
        <f>IFERROR(TablaPrincipal[[#This Row],[BALANCEADO ACUMULADO (LBS)]]/TablaPrincipal[[#This Row],[LIBRAS TOTALES]],"-")</f>
        <v>1.4775764166930874</v>
      </c>
      <c r="AP173" s="184"/>
      <c r="AQ173" s="184" t="s">
        <v>105</v>
      </c>
      <c r="AR173" s="185">
        <f>TablaPrincipal[[#This Row],[LIBRAS RALEO PLANTA]]-TablaPrincipal[[#This Row],[LIBRAS RALEO CAMARONERA]]</f>
        <v>-968.22999999999956</v>
      </c>
      <c r="AS173" s="185">
        <f>TablaPrincipal[[#This Row],[LIBRAS PLANTA]]-TablaPrincipal[[#This Row],[LIBRAS CAMARONERA]]</f>
        <v>-35.599999999998545</v>
      </c>
      <c r="AT173" s="187">
        <f>TablaPrincipal[[#This Row],[GRAMAJE RALEO PLANTA]]-TablaPrincipal[[#This Row],[GRAMAJE RALEO CAMARONERA]]</f>
        <v>1.740000000000002</v>
      </c>
      <c r="AU173" s="187">
        <f>TablaPrincipal[[#This Row],[GRAMOS PLANTA]]-TablaPrincipal[[#This Row],[GRAMAJE CAMARONERA]]</f>
        <v>1.2899999999999991</v>
      </c>
      <c r="AV173" s="183" t="str">
        <f>+VLOOKUP(TablaPrincipal[[#This Row],[CODIGO]],TablaCosechas[#All],10,0)</f>
        <v>JOSE CEDEÑO</v>
      </c>
      <c r="AW173" s="183" t="s">
        <v>267</v>
      </c>
      <c r="AX173" s="188" t="str">
        <f>+VLOOKUP(TablaPrincipal[[#This Row],[CODIGO]],TablaCosechas[#All],10,0)</f>
        <v>JOSE CEDEÑO</v>
      </c>
    </row>
    <row r="174" spans="1:50" hidden="1" x14ac:dyDescent="0.25">
      <c r="A174" s="196">
        <v>46088</v>
      </c>
      <c r="B174" s="183">
        <v>172</v>
      </c>
      <c r="C174" s="183">
        <f>YEAR(TablaPrincipal[[#This Row],[FECHA]])</f>
        <v>2026</v>
      </c>
      <c r="D174" s="183" t="s">
        <v>256</v>
      </c>
      <c r="E174" s="183" t="str">
        <f>UPPER(TEXT(TablaPrincipal[[#This Row],[FECHA]],"MMMM"))</f>
        <v>MARZO</v>
      </c>
      <c r="F174" s="183" t="str">
        <f>IFERROR(VLOOKUP(TablaPrincipal[[#This Row],[CODIGO]],COSECHAS!A:J,9,0),"-")</f>
        <v>10</v>
      </c>
      <c r="G174" s="183" t="str">
        <f>IFERROR(VLOOKUP(TablaPrincipal[[#This Row],[CODIGO]],COSECHAS!A:I,8,0),"-")</f>
        <v>MANTARRAYA</v>
      </c>
      <c r="H174" s="184">
        <f>IFERROR(VLOOKUP(TablaPrincipal[[#This Row],[CODIGO]],DATOS!A:B,2,0),"-")</f>
        <v>11.52</v>
      </c>
      <c r="I174" s="183" t="str">
        <f>IFERROR(VLOOKUP(TablaPrincipal[[#This Row],[CODIGO]],Tabla8[[#Headers],[#Data]],3,0),"-")</f>
        <v>ASC-BAP</v>
      </c>
      <c r="J174" s="183">
        <f>IFERROR(TablaPrincipal[[#This Row],[FECHA]]-TablaPrincipal[[#This Row],[FECHA DE SIEMBRA]],"-")</f>
        <v>90</v>
      </c>
      <c r="K174" s="196">
        <f>VLOOKUP(TablaPrincipal[[#This Row],[CODIGO]]&amp;TablaPrincipal[[#This Row],[AGUAJE ]],Tabla4[#All],4,0)</f>
        <v>45998</v>
      </c>
      <c r="L174" s="183" t="str">
        <f>VLOOKUP(TablaPrincipal[[#This Row],[CODIGO]]&amp;TablaPrincipal[[#This Row],[AGUAJE ]],Tabla4[#All],15,0)</f>
        <v>MA PC 8</v>
      </c>
      <c r="M174" s="184">
        <f>VLOOKUP(TablaPrincipal[[#This Row],[CODIGO]]&amp;TablaPrincipal[[#This Row],[AGUAJE ]],Tabla4[#All],14,0)</f>
        <v>0.96</v>
      </c>
      <c r="N174" s="183">
        <v>11</v>
      </c>
      <c r="O174" s="170">
        <f>VLOOKUP(TablaPrincipal[[#This Row],[CODIGO]]&amp;TablaPrincipal[[#This Row],[AGUAJE ]],Tabla4[#All],5,0)</f>
        <v>1498125</v>
      </c>
      <c r="P174" s="221">
        <f>IFERROR(TablaPrincipal[[#This Row],[ANIM SEMBRADOS]]/TablaPrincipal[[#This Row],[HAS]],"-")</f>
        <v>130045.57291666667</v>
      </c>
      <c r="Q174" s="222">
        <f>IFERROR(TablaPrincipal[[#This Row],[DENSIDAD]]/10000,"-")</f>
        <v>13.004557291666668</v>
      </c>
      <c r="R174" s="183" t="str">
        <f>VLOOKUP(TablaPrincipal[[#This Row],[CODIGO]]&amp;TablaPrincipal[[#This Row],[AGUAJE ]],Tabla4[#All],8,0)</f>
        <v>GENESIS</v>
      </c>
      <c r="S174" s="183" t="str">
        <f>VLOOKUP(TablaPrincipal[[#This Row],[CODIGO]]&amp;TablaPrincipal[[#This Row],[AGUAJE ]],Tabla4[#All],7,0)</f>
        <v>TEXCUMAR</v>
      </c>
      <c r="T174" s="183" t="str">
        <f>IF(ISNUMBER(FIND("/",TablaPrincipal[[#This Row],[LABORATORIO]])),"COMBINADO","UNICO")</f>
        <v>UNICO</v>
      </c>
      <c r="U1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38200</v>
      </c>
      <c r="V1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37348.160000000003</v>
      </c>
      <c r="W1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1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26.953333333333337</v>
      </c>
      <c r="Y174" s="185">
        <f>IFERROR(TablaPrincipal[[#This Row],[LIBRAS RALEO PLANTA]]/TablaPrincipal[[#This Row],[HAS]],"-")</f>
        <v>3242.0277777777783</v>
      </c>
      <c r="Z1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644011.56244667061</v>
      </c>
      <c r="AA17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33200</v>
      </c>
      <c r="AB1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32538.240000000002</v>
      </c>
      <c r="AC174" s="186">
        <f>SUMIFS(COSECHAS!F:F,COSECHAS!A:A,'BASE 2026'!AW:AW,COSECHAS!G:G,"="&amp;A:A)</f>
        <v>33</v>
      </c>
      <c r="AD174" s="186">
        <f>SUMIFS(COSECHAS!M:M,COSECHAS!A:A,'BASE 2026'!AW:AW,COSECHAS!G:G,"="&amp;A:A)</f>
        <v>37.4</v>
      </c>
      <c r="AE174" s="185">
        <f>IFERROR(TablaPrincipal[[#This Row],[LIBRAS PLANTA]]/TablaPrincipal[[#This Row],[HAS]],"-")</f>
        <v>2824.5000000000005</v>
      </c>
      <c r="AF174" s="185">
        <f>IFERROR(TablaPrincipal[[#This Row],[LIBRAS PLANTA]]*454/TablaPrincipal[[#This Row],[GRAMOS PLANTA]],"-")</f>
        <v>394982.91336898401</v>
      </c>
      <c r="AG174" s="185">
        <f>TablaPrincipal[[#This Row],[LIBRAS RALEO PLANTA]]+TablaPrincipal[[#This Row],[LIBRAS PLANTA]]</f>
        <v>69886.400000000009</v>
      </c>
      <c r="AH174" s="185">
        <f>IFERROR(TablaPrincipal[[#This Row],[CAM COSECHADOS RALEO]]+TablaPrincipal[[#This Row],[CAM COSECHADOS]],"-")</f>
        <v>1038994.4758156546</v>
      </c>
      <c r="AI174" s="185">
        <f>IFERROR((TablaPrincipal[[#This Row],[LIBRAS RALEO PLANTA]]+TablaPrincipal[[#This Row],[LIBRAS PLANTA]])/TablaPrincipal[[#This Row],[HAS]],"0")</f>
        <v>6066.5277777777792</v>
      </c>
      <c r="AJ174" s="186">
        <f t="shared" si="2"/>
        <v>2.9088888888888889</v>
      </c>
      <c r="AK174" s="186">
        <f>IFERROR(TablaPrincipal[[#This Row],[LBS/HA]]/TablaPrincipal[[#This Row],[DIAS]],"-")</f>
        <v>67.405864197530875</v>
      </c>
      <c r="AL174" s="186">
        <f>IFERROR(TablaPrincipal[[#This Row],[CAM COSECHADOS TOTALES]]/TablaPrincipal[[#This Row],[ANIM SEMBRADOS]]*100,"-")</f>
        <v>69.352989624741241</v>
      </c>
      <c r="AM174" s="185">
        <v>99813.264999999999</v>
      </c>
      <c r="AN174" s="187">
        <f>IFERROR(((TablaPrincipal[[#This Row],[BALANCEADO ACUMULADO (LBS)]]/2.2046)/TablaPrincipal[[#This Row],[HAS]])/TablaPrincipal[[#This Row],[DIAS]],"-")</f>
        <v>43.668016975308646</v>
      </c>
      <c r="AO174" s="184">
        <f>IFERROR(TablaPrincipal[[#This Row],[BALANCEADO ACUMULADO (LBS)]]/TablaPrincipal[[#This Row],[LIBRAS TOTALES]],"-")</f>
        <v>1.4282215853155977</v>
      </c>
      <c r="AP174" s="184"/>
      <c r="AQ174" s="184"/>
      <c r="AR174" s="185">
        <f>TablaPrincipal[[#This Row],[LIBRAS RALEO PLANTA]]-TablaPrincipal[[#This Row],[LIBRAS RALEO CAMARONERA]]</f>
        <v>-851.83999999999651</v>
      </c>
      <c r="AS174" s="185">
        <f>TablaPrincipal[[#This Row],[LIBRAS PLANTA]]-TablaPrincipal[[#This Row],[LIBRAS CAMARONERA]]</f>
        <v>-661.7599999999984</v>
      </c>
      <c r="AT174" s="187">
        <f>TablaPrincipal[[#This Row],[GRAMAJE RALEO PLANTA]]-TablaPrincipal[[#This Row],[GRAMAJE RALEO CAMARONERA]]</f>
        <v>1.9533333333333367</v>
      </c>
      <c r="AU174" s="187">
        <f>TablaPrincipal[[#This Row],[GRAMOS PLANTA]]-TablaPrincipal[[#This Row],[GRAMAJE CAMARONERA]]</f>
        <v>4.3999999999999986</v>
      </c>
      <c r="AV174" s="183" t="str">
        <f>+VLOOKUP(TablaPrincipal[[#This Row],[CODIGO]],TablaCosechas[#All],10,0)</f>
        <v>GUSTAVO CARRASCO</v>
      </c>
      <c r="AW174" s="183" t="s">
        <v>268</v>
      </c>
      <c r="AX174" s="188" t="str">
        <f>+VLOOKUP(TablaPrincipal[[#This Row],[CODIGO]],TablaCosechas[#All],10,0)</f>
        <v>GUSTAVO CARRASCO</v>
      </c>
    </row>
    <row r="175" spans="1:50" hidden="1" x14ac:dyDescent="0.25">
      <c r="A175" s="196">
        <v>46088</v>
      </c>
      <c r="B175" s="183">
        <v>173</v>
      </c>
      <c r="C175" s="183">
        <f>YEAR(TablaPrincipal[[#This Row],[FECHA]])</f>
        <v>2026</v>
      </c>
      <c r="D175" s="183" t="s">
        <v>256</v>
      </c>
      <c r="E175" s="183" t="str">
        <f>UPPER(TEXT(TablaPrincipal[[#This Row],[FECHA]],"MMMM"))</f>
        <v>MARZO</v>
      </c>
      <c r="F175" s="183" t="str">
        <f>IFERROR(VLOOKUP(TablaPrincipal[[#This Row],[CODIGO]],COSECHAS!A:J,9,0),"-")</f>
        <v>18</v>
      </c>
      <c r="G175" s="183" t="str">
        <f>IFERROR(VLOOKUP(TablaPrincipal[[#This Row],[CODIGO]],COSECHAS!A:I,8,0),"-")</f>
        <v>DELFIN</v>
      </c>
      <c r="H175" s="184">
        <f>IFERROR(VLOOKUP(TablaPrincipal[[#This Row],[CODIGO]],DATOS!A:B,2,0),"-")</f>
        <v>5.94</v>
      </c>
      <c r="I175" s="183" t="str">
        <f>IFERROR(VLOOKUP(TablaPrincipal[[#This Row],[CODIGO]],Tabla8[[#Headers],[#Data]],3,0),"-")</f>
        <v>CONVENCIONAL</v>
      </c>
      <c r="J175" s="183">
        <f>IFERROR(TablaPrincipal[[#This Row],[FECHA]]-TablaPrincipal[[#This Row],[FECHA DE SIEMBRA]],"-")</f>
        <v>85</v>
      </c>
      <c r="K175" s="196">
        <f>VLOOKUP(TablaPrincipal[[#This Row],[CODIGO]]&amp;TablaPrincipal[[#This Row],[AGUAJE ]],Tabla4[#All],4,0)</f>
        <v>46003</v>
      </c>
      <c r="L175" s="183" t="str">
        <f>VLOOKUP(TablaPrincipal[[#This Row],[CODIGO]]&amp;TablaPrincipal[[#This Row],[AGUAJE ]],Tabla4[#All],15,0)</f>
        <v>DE 17</v>
      </c>
      <c r="M175" s="184">
        <f>VLOOKUP(TablaPrincipal[[#This Row],[CODIGO]]&amp;TablaPrincipal[[#This Row],[AGUAJE ]],Tabla4[#All],14,0)</f>
        <v>0.65</v>
      </c>
      <c r="N175" s="183">
        <v>8</v>
      </c>
      <c r="O175" s="170">
        <f>VLOOKUP(TablaPrincipal[[#This Row],[CODIGO]]&amp;TablaPrincipal[[#This Row],[AGUAJE ]],Tabla4[#All],5,0)</f>
        <v>950400</v>
      </c>
      <c r="P175" s="221">
        <f>IFERROR(TablaPrincipal[[#This Row],[ANIM SEMBRADOS]]/TablaPrincipal[[#This Row],[HAS]],"-")</f>
        <v>160000</v>
      </c>
      <c r="Q175" s="222">
        <f>IFERROR(TablaPrincipal[[#This Row],[DENSIDAD]]/10000,"-")</f>
        <v>16</v>
      </c>
      <c r="R175" s="183" t="str">
        <f>VLOOKUP(TablaPrincipal[[#This Row],[CODIGO]]&amp;TablaPrincipal[[#This Row],[AGUAJE ]],Tabla4[#All],8,0)</f>
        <v>DEONES</v>
      </c>
      <c r="S175" s="183" t="str">
        <f>VLOOKUP(TablaPrincipal[[#This Row],[CODIGO]]&amp;TablaPrincipal[[#This Row],[AGUAJE ]],Tabla4[#All],7,0)</f>
        <v>TEXCUMAR</v>
      </c>
      <c r="T175" s="183" t="str">
        <f>IF(ISNUMBER(FIND("/",TablaPrincipal[[#This Row],[LABORATORIO]])),"COMBINADO","UNICO")</f>
        <v>UNICO</v>
      </c>
      <c r="U1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12000</v>
      </c>
      <c r="V1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11134.78</v>
      </c>
      <c r="W1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25.324999999999999</v>
      </c>
      <c r="Y175" s="185">
        <f>IFERROR(TablaPrincipal[[#This Row],[LIBRAS RALEO PLANTA]]/TablaPrincipal[[#This Row],[HAS]],"-")</f>
        <v>1874.5420875420875</v>
      </c>
      <c r="Z1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207808.80005665054</v>
      </c>
      <c r="AA17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8800</v>
      </c>
      <c r="AB1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9625.7800000000007</v>
      </c>
      <c r="AC175" s="186">
        <f>SUMIFS(COSECHAS!F:F,COSECHAS!A:A,'BASE 2026'!AW:AW,COSECHAS!G:G,"="&amp;A:A)</f>
        <v>35</v>
      </c>
      <c r="AD175" s="186">
        <f>SUMIFS(COSECHAS!M:M,COSECHAS!A:A,'BASE 2026'!AW:AW,COSECHAS!G:G,"="&amp;A:A)</f>
        <v>39.5</v>
      </c>
      <c r="AE175" s="185">
        <f>IFERROR(TablaPrincipal[[#This Row],[LIBRAS PLANTA]]/TablaPrincipal[[#This Row],[HAS]],"-")</f>
        <v>1620.5016835016836</v>
      </c>
      <c r="AF175" s="185">
        <f>IFERROR(TablaPrincipal[[#This Row],[LIBRAS PLANTA]]*454/TablaPrincipal[[#This Row],[GRAMOS PLANTA]],"-")</f>
        <v>110635.54734177215</v>
      </c>
      <c r="AG175" s="185">
        <f>TablaPrincipal[[#This Row],[LIBRAS RALEO PLANTA]]+TablaPrincipal[[#This Row],[LIBRAS PLANTA]]</f>
        <v>20760.560000000001</v>
      </c>
      <c r="AH175" s="185">
        <f>IFERROR(TablaPrincipal[[#This Row],[CAM COSECHADOS RALEO]]+TablaPrincipal[[#This Row],[CAM COSECHADOS]],"-")</f>
        <v>318444.34739842266</v>
      </c>
      <c r="AI175" s="185">
        <f>IFERROR((TablaPrincipal[[#This Row],[LIBRAS RALEO PLANTA]]+TablaPrincipal[[#This Row],[LIBRAS PLANTA]])/TablaPrincipal[[#This Row],[HAS]],"0")</f>
        <v>3495.0437710437709</v>
      </c>
      <c r="AJ175" s="186">
        <f t="shared" si="2"/>
        <v>3.2529411764705882</v>
      </c>
      <c r="AK175" s="186">
        <f>IFERROR(TablaPrincipal[[#This Row],[LBS/HA]]/TablaPrincipal[[#This Row],[DIAS]],"-")</f>
        <v>41.118162012279655</v>
      </c>
      <c r="AL175" s="186">
        <f>IFERROR(TablaPrincipal[[#This Row],[CAM COSECHADOS TOTALES]]/TablaPrincipal[[#This Row],[ANIM SEMBRADOS]]*100,"-")</f>
        <v>33.506349684177465</v>
      </c>
      <c r="AM175" s="185">
        <v>67405.645000000004</v>
      </c>
      <c r="AN175" s="187">
        <f>IFERROR(((TablaPrincipal[[#This Row],[BALANCEADO ACUMULADO (LBS)]]/2.2046)/TablaPrincipal[[#This Row],[HAS]])/TablaPrincipal[[#This Row],[DIAS]],"-")</f>
        <v>60.556545850663497</v>
      </c>
      <c r="AO175" s="184">
        <f>IFERROR(TablaPrincipal[[#This Row],[BALANCEADO ACUMULADO (LBS)]]/TablaPrincipal[[#This Row],[LIBRAS TOTALES]],"-")</f>
        <v>3.2468124655596959</v>
      </c>
      <c r="AP175" s="184"/>
      <c r="AQ175" s="184" t="s">
        <v>105</v>
      </c>
      <c r="AR175" s="185">
        <f>TablaPrincipal[[#This Row],[LIBRAS RALEO PLANTA]]-TablaPrincipal[[#This Row],[LIBRAS RALEO CAMARONERA]]</f>
        <v>-865.21999999999935</v>
      </c>
      <c r="AS175" s="185">
        <f>TablaPrincipal[[#This Row],[LIBRAS PLANTA]]-TablaPrincipal[[#This Row],[LIBRAS CAMARONERA]]</f>
        <v>825.78000000000065</v>
      </c>
      <c r="AT175" s="187">
        <f>TablaPrincipal[[#This Row],[GRAMAJE RALEO PLANTA]]-TablaPrincipal[[#This Row],[GRAMAJE RALEO CAMARONERA]]</f>
        <v>2.8249999999999993</v>
      </c>
      <c r="AU175" s="187">
        <f>TablaPrincipal[[#This Row],[GRAMOS PLANTA]]-TablaPrincipal[[#This Row],[GRAMAJE CAMARONERA]]</f>
        <v>4.5</v>
      </c>
      <c r="AV175" s="183" t="str">
        <f>+VLOOKUP(TablaPrincipal[[#This Row],[CODIGO]],TablaCosechas[#All],10,0)</f>
        <v>CARLOS FLORES</v>
      </c>
      <c r="AW175" s="183" t="s">
        <v>269</v>
      </c>
      <c r="AX175" s="188" t="str">
        <f>+VLOOKUP(TablaPrincipal[[#This Row],[CODIGO]],TablaCosechas[#All],10,0)</f>
        <v>CARLOS FLORES</v>
      </c>
    </row>
    <row r="176" spans="1:50" hidden="1" x14ac:dyDescent="0.25">
      <c r="A176" s="196">
        <v>46089</v>
      </c>
      <c r="B176" s="183">
        <v>174</v>
      </c>
      <c r="C176" s="183">
        <f>YEAR(TablaPrincipal[[#This Row],[FECHA]])</f>
        <v>2026</v>
      </c>
      <c r="D176" s="183" t="s">
        <v>256</v>
      </c>
      <c r="E176" s="183" t="str">
        <f>UPPER(TEXT(TablaPrincipal[[#This Row],[FECHA]],"MMMM"))</f>
        <v>MARZO</v>
      </c>
      <c r="F176" s="183" t="str">
        <f>IFERROR(VLOOKUP(TablaPrincipal[[#This Row],[CODIGO]],COSECHAS!A:J,9,0),"-")</f>
        <v>19</v>
      </c>
      <c r="G176" s="183" t="str">
        <f>IFERROR(VLOOKUP(TablaPrincipal[[#This Row],[CODIGO]],COSECHAS!A:I,8,0),"-")</f>
        <v>CHERNA</v>
      </c>
      <c r="H176" s="184">
        <f>IFERROR(VLOOKUP(TablaPrincipal[[#This Row],[CODIGO]],DATOS!A:B,2,0),"-")</f>
        <v>10</v>
      </c>
      <c r="I176" s="183" t="str">
        <f>IFERROR(VLOOKUP(TablaPrincipal[[#This Row],[CODIGO]],Tabla8[[#Headers],[#Data]],3,0),"-")</f>
        <v>ASC</v>
      </c>
      <c r="J176" s="183">
        <f>IFERROR(TablaPrincipal[[#This Row],[FECHA]]-TablaPrincipal[[#This Row],[FECHA DE SIEMBRA]],"-")</f>
        <v>78</v>
      </c>
      <c r="K176" s="196">
        <f>VLOOKUP(TablaPrincipal[[#This Row],[CODIGO]]&amp;TablaPrincipal[[#This Row],[AGUAJE ]],Tabla4[#All],4,0)</f>
        <v>46011</v>
      </c>
      <c r="L176" s="183" t="str">
        <f>VLOOKUP(TablaPrincipal[[#This Row],[CODIGO]]&amp;TablaPrincipal[[#This Row],[AGUAJE ]],Tabla4[#All],15,0)</f>
        <v>CH PS 17</v>
      </c>
      <c r="M176" s="184">
        <f>VLOOKUP(TablaPrincipal[[#This Row],[CODIGO]]&amp;TablaPrincipal[[#This Row],[AGUAJE ]],Tabla4[#All],14,0)</f>
        <v>0.55000000000000004</v>
      </c>
      <c r="N176" s="1">
        <v>6</v>
      </c>
      <c r="O176" s="170">
        <f>VLOOKUP(TablaPrincipal[[#This Row],[CODIGO]]&amp;TablaPrincipal[[#This Row],[AGUAJE ]],Tabla4[#All],5,0)</f>
        <v>1750000</v>
      </c>
      <c r="P176" s="221">
        <f>IFERROR(TablaPrincipal[[#This Row],[ANIM SEMBRADOS]]/TablaPrincipal[[#This Row],[HAS]],"-")</f>
        <v>175000</v>
      </c>
      <c r="Q176" s="222">
        <f>IFERROR(TablaPrincipal[[#This Row],[DENSIDAD]]/10000,"-")</f>
        <v>17.5</v>
      </c>
      <c r="R176" s="183" t="str">
        <f>VLOOKUP(TablaPrincipal[[#This Row],[CODIGO]]&amp;TablaPrincipal[[#This Row],[AGUAJE ]],Tabla4[#All],8,0)</f>
        <v>EMPAGRAN</v>
      </c>
      <c r="S176" s="183" t="str">
        <f>VLOOKUP(TablaPrincipal[[#This Row],[CODIGO]]&amp;TablaPrincipal[[#This Row],[AGUAJE ]],Tabla4[#All],7,0)</f>
        <v>EMPAGRAN</v>
      </c>
      <c r="T176" s="183" t="str">
        <f>IF(ISNUMBER(FIND("/",TablaPrincipal[[#This Row],[LABORATORIO]])),"COMBINADO","UNICO")</f>
        <v>UNICO</v>
      </c>
      <c r="U1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23200</v>
      </c>
      <c r="V1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24852.879999999997</v>
      </c>
      <c r="W1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1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22.33</v>
      </c>
      <c r="Y176" s="185">
        <f>IFERROR(TablaPrincipal[[#This Row],[LIBRAS RALEO PLANTA]]/TablaPrincipal[[#This Row],[HAS]],"-")</f>
        <v>2485.2879999999996</v>
      </c>
      <c r="Z1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520892.40636338835</v>
      </c>
      <c r="AA17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46800</v>
      </c>
      <c r="AB1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46931.54</v>
      </c>
      <c r="AC176" s="186">
        <f>SUMIFS(COSECHAS!F:F,COSECHAS!A:A,'BASE 2026'!AW:AW,COSECHAS!G:G,"="&amp;A:A)</f>
        <v>32</v>
      </c>
      <c r="AD176" s="186">
        <f>SUMIFS(COSECHAS!M:M,COSECHAS!A:A,'BASE 2026'!AW:AW,COSECHAS!G:G,"="&amp;A:A)</f>
        <v>29.8</v>
      </c>
      <c r="AE176" s="185">
        <f>IFERROR(TablaPrincipal[[#This Row],[LIBRAS PLANTA]]/TablaPrincipal[[#This Row],[HAS]],"-")</f>
        <v>4693.1540000000005</v>
      </c>
      <c r="AF176" s="185">
        <f>IFERROR(TablaPrincipal[[#This Row],[LIBRAS PLANTA]]*454/TablaPrincipal[[#This Row],[GRAMOS PLANTA]],"-")</f>
        <v>714997.28724832216</v>
      </c>
      <c r="AG176" s="185">
        <f>TablaPrincipal[[#This Row],[LIBRAS RALEO PLANTA]]+TablaPrincipal[[#This Row],[LIBRAS PLANTA]]</f>
        <v>71784.42</v>
      </c>
      <c r="AH176" s="185">
        <f>IFERROR(TablaPrincipal[[#This Row],[CAM COSECHADOS RALEO]]+TablaPrincipal[[#This Row],[CAM COSECHADOS]],"-")</f>
        <v>1235889.6936117106</v>
      </c>
      <c r="AI176" s="185">
        <f>IFERROR((TablaPrincipal[[#This Row],[LIBRAS RALEO PLANTA]]+TablaPrincipal[[#This Row],[LIBRAS PLANTA]])/TablaPrincipal[[#This Row],[HAS]],"0")</f>
        <v>7178.442</v>
      </c>
      <c r="AJ176" s="186">
        <f t="shared" si="2"/>
        <v>2.6743589743589746</v>
      </c>
      <c r="AK176" s="186">
        <f>IFERROR(TablaPrincipal[[#This Row],[LBS/HA]]/TablaPrincipal[[#This Row],[DIAS]],"-")</f>
        <v>92.031307692307692</v>
      </c>
      <c r="AL176" s="186">
        <f>IFERROR(TablaPrincipal[[#This Row],[CAM COSECHADOS TOTALES]]/TablaPrincipal[[#This Row],[ANIM SEMBRADOS]]*100,"-")</f>
        <v>70.622268206383467</v>
      </c>
      <c r="AM176" s="185">
        <v>98435.39</v>
      </c>
      <c r="AN176" s="187">
        <f>IFERROR(((TablaPrincipal[[#This Row],[BALANCEADO ACUMULADO (LBS)]]/2.2046)/TablaPrincipal[[#This Row],[HAS]])/TablaPrincipal[[#This Row],[DIAS]],"-")</f>
        <v>57.243589743589745</v>
      </c>
      <c r="AO176" s="184">
        <f>IFERROR(TablaPrincipal[[#This Row],[BALANCEADO ACUMULADO (LBS)]]/TablaPrincipal[[#This Row],[LIBRAS TOTALES]],"-")</f>
        <v>1.3712639873666179</v>
      </c>
      <c r="AP176" s="184"/>
      <c r="AQ176" s="184" t="s">
        <v>105</v>
      </c>
      <c r="AR176" s="185">
        <f>TablaPrincipal[[#This Row],[LIBRAS RALEO PLANTA]]-TablaPrincipal[[#This Row],[LIBRAS RALEO CAMARONERA]]</f>
        <v>1652.8799999999974</v>
      </c>
      <c r="AS176" s="185">
        <f>TablaPrincipal[[#This Row],[LIBRAS PLANTA]]-TablaPrincipal[[#This Row],[LIBRAS CAMARONERA]]</f>
        <v>131.54000000000087</v>
      </c>
      <c r="AT176" s="187">
        <f>TablaPrincipal[[#This Row],[GRAMAJE RALEO PLANTA]]-TablaPrincipal[[#This Row],[GRAMAJE RALEO CAMARONERA]]</f>
        <v>0.32999999999999829</v>
      </c>
      <c r="AU176" s="187">
        <f>TablaPrincipal[[#This Row],[GRAMOS PLANTA]]-TablaPrincipal[[#This Row],[GRAMAJE CAMARONERA]]</f>
        <v>-2.1999999999999993</v>
      </c>
      <c r="AV176" s="183" t="str">
        <f>+VLOOKUP(TablaPrincipal[[#This Row],[CODIGO]],TablaCosechas[#All],10,0)</f>
        <v>SANTIAGO OBRIEN</v>
      </c>
      <c r="AW176" s="183" t="s">
        <v>30</v>
      </c>
      <c r="AX176" s="188" t="str">
        <f>+VLOOKUP(TablaPrincipal[[#This Row],[CODIGO]],TablaCosechas[#All],10,0)</f>
        <v>SANTIAGO OBRIEN</v>
      </c>
    </row>
    <row r="177" spans="1:50" hidden="1" x14ac:dyDescent="0.25">
      <c r="A177" s="196">
        <v>46089</v>
      </c>
      <c r="B177" s="183">
        <v>175</v>
      </c>
      <c r="C177" s="183">
        <f>YEAR(TablaPrincipal[[#This Row],[FECHA]])</f>
        <v>2026</v>
      </c>
      <c r="D177" s="183" t="s">
        <v>256</v>
      </c>
      <c r="E177" s="183" t="str">
        <f>UPPER(TEXT(TablaPrincipal[[#This Row],[FECHA]],"MMMM"))</f>
        <v>MARZO</v>
      </c>
      <c r="F177" s="183" t="str">
        <f>IFERROR(VLOOKUP(TablaPrincipal[[#This Row],[CODIGO]],COSECHAS!A:J,9,0),"-")</f>
        <v>15</v>
      </c>
      <c r="G177" s="183" t="str">
        <f>IFERROR(VLOOKUP(TablaPrincipal[[#This Row],[CODIGO]],COSECHAS!A:I,8,0),"-")</f>
        <v>DELFIN</v>
      </c>
      <c r="H177" s="184">
        <f>IFERROR(VLOOKUP(TablaPrincipal[[#This Row],[CODIGO]],DATOS!A:B,2,0),"-")</f>
        <v>7.5</v>
      </c>
      <c r="I177" s="183" t="str">
        <f>IFERROR(VLOOKUP(TablaPrincipal[[#This Row],[CODIGO]],Tabla8[[#Headers],[#Data]],3,0),"-")</f>
        <v>CONVENCIONAL</v>
      </c>
      <c r="J177" s="183">
        <f>IFERROR(TablaPrincipal[[#This Row],[FECHA]]-TablaPrincipal[[#This Row],[FECHA DE SIEMBRA]],"-")</f>
        <v>56</v>
      </c>
      <c r="K177" s="196">
        <f>VLOOKUP(TablaPrincipal[[#This Row],[CODIGO]]&amp;TablaPrincipal[[#This Row],[AGUAJE ]],Tabla4[#All],4,0)</f>
        <v>46033</v>
      </c>
      <c r="L177" s="183" t="str">
        <f>VLOOKUP(TablaPrincipal[[#This Row],[CODIGO]]&amp;TablaPrincipal[[#This Row],[AGUAJE ]],Tabla4[#All],15,0)</f>
        <v>DE PS 14</v>
      </c>
      <c r="M177" s="184">
        <f>VLOOKUP(TablaPrincipal[[#This Row],[CODIGO]]&amp;TablaPrincipal[[#This Row],[AGUAJE ]],Tabla4[#All],14,0)</f>
        <v>3.5</v>
      </c>
      <c r="N177" s="1">
        <v>3</v>
      </c>
      <c r="O177" s="170">
        <f>VLOOKUP(TablaPrincipal[[#This Row],[CODIGO]]&amp;TablaPrincipal[[#This Row],[AGUAJE ]],Tabla4[#All],5,0)</f>
        <v>900000</v>
      </c>
      <c r="P177" s="221">
        <f>IFERROR(TablaPrincipal[[#This Row],[ANIM SEMBRADOS]]/TablaPrincipal[[#This Row],[HAS]],"-")</f>
        <v>120000</v>
      </c>
      <c r="Q177" s="222">
        <f>IFERROR(TablaPrincipal[[#This Row],[DENSIDAD]]/10000,"-")</f>
        <v>12</v>
      </c>
      <c r="R177" s="183" t="str">
        <f>VLOOKUP(TablaPrincipal[[#This Row],[CODIGO]]&amp;TablaPrincipal[[#This Row],[AGUAJE ]],Tabla4[#All],8,0)</f>
        <v>EMPAGRAN</v>
      </c>
      <c r="S177" s="183" t="str">
        <f>VLOOKUP(TablaPrincipal[[#This Row],[CODIGO]]&amp;TablaPrincipal[[#This Row],[AGUAJE ]],Tabla4[#All],7,0)</f>
        <v>EMPAGRAN</v>
      </c>
      <c r="T177" s="183" t="str">
        <f>IF(ISNUMBER(FIND("/",TablaPrincipal[[#This Row],[LABORATORIO]])),"COMBINADO","UNICO")</f>
        <v>UNICO</v>
      </c>
      <c r="U1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10000</v>
      </c>
      <c r="V1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9994.7999999999993</v>
      </c>
      <c r="W1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25.16</v>
      </c>
      <c r="Y177" s="185">
        <f>IFERROR(TablaPrincipal[[#This Row],[LIBRAS RALEO PLANTA]]/TablaPrincipal[[#This Row],[HAS]],"-")</f>
        <v>1332.6399999999999</v>
      </c>
      <c r="Z1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180351.31955484895</v>
      </c>
      <c r="AA17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5100</v>
      </c>
      <c r="AB1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4949.3900000000003</v>
      </c>
      <c r="AC177" s="186">
        <f>SUMIFS(COSECHAS!F:F,COSECHAS!A:A,'BASE 2026'!AW:AW,COSECHAS!G:G,"="&amp;A:A)</f>
        <v>30</v>
      </c>
      <c r="AD177" s="186">
        <f>SUMIFS(COSECHAS!M:M,COSECHAS!A:A,'BASE 2026'!AW:AW,COSECHAS!G:G,"="&amp;A:A)</f>
        <v>33.130000000000003</v>
      </c>
      <c r="AE177" s="185">
        <f>IFERROR(TablaPrincipal[[#This Row],[LIBRAS PLANTA]]/TablaPrincipal[[#This Row],[HAS]],"-")</f>
        <v>659.9186666666667</v>
      </c>
      <c r="AF177" s="185">
        <f>IFERROR(TablaPrincipal[[#This Row],[LIBRAS PLANTA]]*454/TablaPrincipal[[#This Row],[GRAMOS PLANTA]],"-")</f>
        <v>67824.420766676718</v>
      </c>
      <c r="AG177" s="185">
        <f>TablaPrincipal[[#This Row],[LIBRAS RALEO PLANTA]]+TablaPrincipal[[#This Row],[LIBRAS PLANTA]]</f>
        <v>14944.189999999999</v>
      </c>
      <c r="AH177" s="185">
        <f>IFERROR(TablaPrincipal[[#This Row],[CAM COSECHADOS RALEO]]+TablaPrincipal[[#This Row],[CAM COSECHADOS]],"-")</f>
        <v>248175.74032152566</v>
      </c>
      <c r="AI177" s="185">
        <f>IFERROR((TablaPrincipal[[#This Row],[LIBRAS RALEO PLANTA]]+TablaPrincipal[[#This Row],[LIBRAS PLANTA]])/TablaPrincipal[[#This Row],[HAS]],"0")</f>
        <v>1992.5586666666666</v>
      </c>
      <c r="AJ177" s="186">
        <f t="shared" si="2"/>
        <v>4.1412500000000003</v>
      </c>
      <c r="AK177" s="186">
        <f>IFERROR(TablaPrincipal[[#This Row],[LBS/HA]]/TablaPrincipal[[#This Row],[DIAS]],"-")</f>
        <v>35.581404761904757</v>
      </c>
      <c r="AL177" s="186">
        <f>IFERROR(TablaPrincipal[[#This Row],[CAM COSECHADOS TOTALES]]/TablaPrincipal[[#This Row],[ANIM SEMBRADOS]]*100,"-")</f>
        <v>27.575082257947297</v>
      </c>
      <c r="AM177" s="185">
        <v>57760.520000000004</v>
      </c>
      <c r="AN177" s="187">
        <f>IFERROR(((TablaPrincipal[[#This Row],[BALANCEADO ACUMULADO (LBS)]]/2.2046)/TablaPrincipal[[#This Row],[HAS]])/TablaPrincipal[[#This Row],[DIAS]],"-")</f>
        <v>62.380952380952387</v>
      </c>
      <c r="AO177" s="184">
        <f>IFERROR(TablaPrincipal[[#This Row],[BALANCEADO ACUMULADO (LBS)]]/TablaPrincipal[[#This Row],[LIBRAS TOTALES]],"-")</f>
        <v>3.8650820151510392</v>
      </c>
      <c r="AP177" s="184"/>
      <c r="AQ177" s="184" t="s">
        <v>105</v>
      </c>
      <c r="AR177" s="185">
        <f>TablaPrincipal[[#This Row],[LIBRAS RALEO PLANTA]]-TablaPrincipal[[#This Row],[LIBRAS RALEO CAMARONERA]]</f>
        <v>-5.2000000000007276</v>
      </c>
      <c r="AS177" s="185">
        <f>TablaPrincipal[[#This Row],[LIBRAS PLANTA]]-TablaPrincipal[[#This Row],[LIBRAS CAMARONERA]]</f>
        <v>-150.60999999999967</v>
      </c>
      <c r="AT177" s="187">
        <f>TablaPrincipal[[#This Row],[GRAMAJE RALEO PLANTA]]-TablaPrincipal[[#This Row],[GRAMAJE RALEO CAMARONERA]]</f>
        <v>2.16</v>
      </c>
      <c r="AU177" s="187">
        <f>TablaPrincipal[[#This Row],[GRAMOS PLANTA]]-TablaPrincipal[[#This Row],[GRAMAJE CAMARONERA]]</f>
        <v>3.1300000000000026</v>
      </c>
      <c r="AV177" s="183" t="str">
        <f>+VLOOKUP(TablaPrincipal[[#This Row],[CODIGO]],TablaCosechas[#All],10,0)</f>
        <v>CARLOS FLORES</v>
      </c>
      <c r="AW177" s="183" t="s">
        <v>125</v>
      </c>
      <c r="AX177" s="188" t="str">
        <f>+VLOOKUP(TablaPrincipal[[#This Row],[CODIGO]],TablaCosechas[#All],10,0)</f>
        <v>CARLOS FLORES</v>
      </c>
    </row>
    <row r="178" spans="1:50" hidden="1" x14ac:dyDescent="0.25">
      <c r="A178" s="196">
        <v>46089</v>
      </c>
      <c r="B178" s="183">
        <v>176</v>
      </c>
      <c r="C178" s="183">
        <f>YEAR(TablaPrincipal[[#This Row],[FECHA]])</f>
        <v>2026</v>
      </c>
      <c r="D178" s="183" t="s">
        <v>256</v>
      </c>
      <c r="E178" s="183" t="str">
        <f>UPPER(TEXT(TablaPrincipal[[#This Row],[FECHA]],"MMMM"))</f>
        <v>MARZO</v>
      </c>
      <c r="F178" s="183" t="str">
        <f>IFERROR(VLOOKUP(TablaPrincipal[[#This Row],[CODIGO]],COSECHAS!A:J,9,0),"-")</f>
        <v>01</v>
      </c>
      <c r="G178" s="183" t="str">
        <f>IFERROR(VLOOKUP(TablaPrincipal[[#This Row],[CODIGO]],COSECHAS!A:I,8,0),"-")</f>
        <v>DORADO</v>
      </c>
      <c r="H178" s="184">
        <f>IFERROR(VLOOKUP(TablaPrincipal[[#This Row],[CODIGO]],DATOS!A:B,2,0),"-")</f>
        <v>4.5999999999999996</v>
      </c>
      <c r="I178" s="183" t="str">
        <f>IFERROR(VLOOKUP(TablaPrincipal[[#This Row],[CODIGO]],Tabla8[[#Headers],[#Data]],3,0),"-")</f>
        <v>ASC-BAP</v>
      </c>
      <c r="J178" s="183">
        <f>IFERROR(TablaPrincipal[[#This Row],[FECHA]]-TablaPrincipal[[#This Row],[FECHA DE SIEMBRA]],"-")</f>
        <v>76</v>
      </c>
      <c r="K178" s="196">
        <f>VLOOKUP(TablaPrincipal[[#This Row],[CODIGO]]&amp;TablaPrincipal[[#This Row],[AGUAJE ]],Tabla4[#All],4,0)</f>
        <v>46013</v>
      </c>
      <c r="L178" s="183" t="str">
        <f>VLOOKUP(TablaPrincipal[[#This Row],[CODIGO]]&amp;TablaPrincipal[[#This Row],[AGUAJE ]],Tabla4[#All],15,0)</f>
        <v>DO PS 2</v>
      </c>
      <c r="M178" s="184">
        <f>VLOOKUP(TablaPrincipal[[#This Row],[CODIGO]]&amp;TablaPrincipal[[#This Row],[AGUAJE ]],Tabla4[#All],14,0)</f>
        <v>6.7</v>
      </c>
      <c r="N178" s="1">
        <v>6</v>
      </c>
      <c r="O178" s="209">
        <f>VLOOKUP(TablaPrincipal[[#This Row],[CODIGO]]&amp;TablaPrincipal[[#This Row],[AGUAJE ]],Tabla4[#All],5,0)</f>
        <v>691135</v>
      </c>
      <c r="P178" s="221">
        <f>IFERROR(TablaPrincipal[[#This Row],[ANIM SEMBRADOS]]/TablaPrincipal[[#This Row],[HAS]],"-")</f>
        <v>150246.73913043478</v>
      </c>
      <c r="Q178" s="223">
        <f>IFERROR(TablaPrincipal[[#This Row],[DENSIDAD]]/10000,"-")</f>
        <v>15.024673913043479</v>
      </c>
      <c r="R178" s="183" t="str">
        <f>VLOOKUP(TablaPrincipal[[#This Row],[CODIGO]]&amp;TablaPrincipal[[#This Row],[AGUAJE ]],Tabla4[#All],8,0)</f>
        <v>EMPAGRAN</v>
      </c>
      <c r="S178" s="183" t="str">
        <f>VLOOKUP(TablaPrincipal[[#This Row],[CODIGO]]&amp;TablaPrincipal[[#This Row],[AGUAJE ]],Tabla4[#All],7,0)</f>
        <v>EMPAGRAN</v>
      </c>
      <c r="T178" s="183" t="str">
        <f>IF(ISNUMBER(FIND("/",TablaPrincipal[[#This Row],[LABORATORIO]])),"COMBINADO","UNICO")</f>
        <v>UNICO</v>
      </c>
      <c r="U1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15350</v>
      </c>
      <c r="V1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14570.51</v>
      </c>
      <c r="W1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1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26.35</v>
      </c>
      <c r="Y178" s="185">
        <f>IFERROR(TablaPrincipal[[#This Row],[LIBRAS RALEO PLANTA]]/TablaPrincipal[[#This Row],[HAS]],"-")</f>
        <v>3167.5021739130439</v>
      </c>
      <c r="Z1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266736.1098913665</v>
      </c>
      <c r="AA17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1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17168.09</v>
      </c>
      <c r="AC178" s="186">
        <f>SUMIFS(COSECHAS!F:F,COSECHAS!A:A,'BASE 2026'!AW:AW,COSECHAS!G:G,"="&amp;A:A)</f>
        <v>45</v>
      </c>
      <c r="AD178" s="186">
        <f>SUMIFS(COSECHAS!M:M,COSECHAS!A:A,'BASE 2026'!AW:AW,COSECHAS!G:G,"="&amp;A:A)</f>
        <v>40.08</v>
      </c>
      <c r="AE178" s="185">
        <f>IFERROR(TablaPrincipal[[#This Row],[LIBRAS PLANTA]]/TablaPrincipal[[#This Row],[HAS]],"-")</f>
        <v>3732.1934782608701</v>
      </c>
      <c r="AF178" s="185">
        <f>IFERROR(TablaPrincipal[[#This Row],[LIBRAS PLANTA]]*454/TablaPrincipal[[#This Row],[GRAMOS PLANTA]],"-")</f>
        <v>194468.88373253495</v>
      </c>
      <c r="AG178" s="185">
        <f>TablaPrincipal[[#This Row],[LIBRAS RALEO PLANTA]]+TablaPrincipal[[#This Row],[LIBRAS PLANTA]]</f>
        <v>31738.6</v>
      </c>
      <c r="AH178" s="185">
        <f>IFERROR(TablaPrincipal[[#This Row],[CAM COSECHADOS RALEO]]+TablaPrincipal[[#This Row],[CAM COSECHADOS]],"-")</f>
        <v>461204.99362390145</v>
      </c>
      <c r="AI178" s="185">
        <f>IFERROR((TablaPrincipal[[#This Row],[LIBRAS RALEO PLANTA]]+TablaPrincipal[[#This Row],[LIBRAS PLANTA]])/TablaPrincipal[[#This Row],[HAS]],"0")</f>
        <v>6899.695652173913</v>
      </c>
      <c r="AJ178" s="186">
        <f t="shared" si="2"/>
        <v>3.6915789473684208</v>
      </c>
      <c r="AK178" s="186">
        <f>IFERROR(TablaPrincipal[[#This Row],[LBS/HA]]/TablaPrincipal[[#This Row],[DIAS]],"-")</f>
        <v>90.785469107551492</v>
      </c>
      <c r="AL178" s="186">
        <f>IFERROR(TablaPrincipal[[#This Row],[CAM COSECHADOS TOTALES]]/TablaPrincipal[[#This Row],[ANIM SEMBRADOS]]*100,"-")</f>
        <v>66.731534884487317</v>
      </c>
      <c r="AM178" s="185">
        <v>48887.005000000005</v>
      </c>
      <c r="AN178" s="187">
        <f>IFERROR(((TablaPrincipal[[#This Row],[BALANCEADO ACUMULADO (LBS)]]/2.2046)/TablaPrincipal[[#This Row],[HAS]])/TablaPrincipal[[#This Row],[DIAS]],"-")</f>
        <v>63.429633867276891</v>
      </c>
      <c r="AO178" s="184">
        <f>IFERROR(TablaPrincipal[[#This Row],[BALANCEADO ACUMULADO (LBS)]]/TablaPrincipal[[#This Row],[LIBRAS TOTALES]],"-")</f>
        <v>1.5403012420207574</v>
      </c>
      <c r="AP178" s="184"/>
      <c r="AQ178" s="184" t="s">
        <v>105</v>
      </c>
      <c r="AR178" s="185">
        <f>TablaPrincipal[[#This Row],[LIBRAS RALEO PLANTA]]-TablaPrincipal[[#This Row],[LIBRAS RALEO CAMARONERA]]</f>
        <v>-779.48999999999978</v>
      </c>
      <c r="AS178" s="185">
        <f>TablaPrincipal[[#This Row],[LIBRAS PLANTA]]-TablaPrincipal[[#This Row],[LIBRAS CAMARONERA]]</f>
        <v>1168.0900000000001</v>
      </c>
      <c r="AT178" s="187">
        <f>TablaPrincipal[[#This Row],[GRAMAJE RALEO PLANTA]]-TablaPrincipal[[#This Row],[GRAMAJE RALEO CAMARONERA]]</f>
        <v>1.8500000000000014</v>
      </c>
      <c r="AU178" s="187">
        <f>TablaPrincipal[[#This Row],[GRAMOS PLANTA]]-TablaPrincipal[[#This Row],[GRAMAJE CAMARONERA]]</f>
        <v>-4.9200000000000017</v>
      </c>
      <c r="AV178" s="183" t="str">
        <f>+VLOOKUP(TablaPrincipal[[#This Row],[CODIGO]],TablaCosechas[#All],10,0)</f>
        <v>JOSE CEDEÑO</v>
      </c>
      <c r="AW178" s="183" t="s">
        <v>270</v>
      </c>
      <c r="AX178" s="188" t="str">
        <f>+VLOOKUP(TablaPrincipal[[#This Row],[CODIGO]],TablaCosechas[#All],10,0)</f>
        <v>JOSE CEDEÑO</v>
      </c>
    </row>
    <row r="179" spans="1:50" hidden="1" x14ac:dyDescent="0.25">
      <c r="A179" s="196">
        <v>46089</v>
      </c>
      <c r="B179" s="183">
        <v>177</v>
      </c>
      <c r="C179" s="183">
        <f>YEAR(TablaPrincipal[[#This Row],[FECHA]])</f>
        <v>2026</v>
      </c>
      <c r="D179" s="183" t="s">
        <v>256</v>
      </c>
      <c r="E179" s="183" t="str">
        <f>UPPER(TEXT(TablaPrincipal[[#This Row],[FECHA]],"MMMM"))</f>
        <v>MARZO</v>
      </c>
      <c r="F179" s="183" t="str">
        <f>IFERROR(VLOOKUP(TablaPrincipal[[#This Row],[CODIGO]],COSECHAS!A:J,9,0),"-")</f>
        <v>01</v>
      </c>
      <c r="G179" s="183" t="str">
        <f>IFERROR(VLOOKUP(TablaPrincipal[[#This Row],[CODIGO]],COSECHAS!A:I,8,0),"-")</f>
        <v>MANTARRAYA</v>
      </c>
      <c r="H179" s="184">
        <f>IFERROR(VLOOKUP(TablaPrincipal[[#This Row],[CODIGO]],DATOS!A:B,2,0),"-")</f>
        <v>8.9</v>
      </c>
      <c r="I179" s="183" t="str">
        <f>IFERROR(VLOOKUP(TablaPrincipal[[#This Row],[CODIGO]],Tabla8[[#Headers],[#Data]],3,0),"-")</f>
        <v>ASC-BAP</v>
      </c>
      <c r="J179" s="183">
        <f>IFERROR(TablaPrincipal[[#This Row],[FECHA]]-TablaPrincipal[[#This Row],[FECHA DE SIEMBRA]],"-")</f>
        <v>93</v>
      </c>
      <c r="K179" s="196">
        <f>VLOOKUP(TablaPrincipal[[#This Row],[CODIGO]]&amp;TablaPrincipal[[#This Row],[AGUAJE ]],Tabla4[#All],4,0)</f>
        <v>45996</v>
      </c>
      <c r="L179" s="183" t="str">
        <f>VLOOKUP(TablaPrincipal[[#This Row],[CODIGO]]&amp;TablaPrincipal[[#This Row],[AGUAJE ]],Tabla4[#All],15,0)</f>
        <v>PA PS13</v>
      </c>
      <c r="M179" s="184">
        <f>VLOOKUP(TablaPrincipal[[#This Row],[CODIGO]]&amp;TablaPrincipal[[#This Row],[AGUAJE ]],Tabla4[#All],14,0)</f>
        <v>0.22</v>
      </c>
      <c r="N179" s="1">
        <v>14</v>
      </c>
      <c r="O179" s="209">
        <f>VLOOKUP(TablaPrincipal[[#This Row],[CODIGO]]&amp;TablaPrincipal[[#This Row],[AGUAJE ]],Tabla4[#All],5,0)</f>
        <v>1289127</v>
      </c>
      <c r="P179" s="221">
        <f>IFERROR(TablaPrincipal[[#This Row],[ANIM SEMBRADOS]]/TablaPrincipal[[#This Row],[HAS]],"-")</f>
        <v>144845.73033707865</v>
      </c>
      <c r="Q179" s="223">
        <f>IFERROR(TablaPrincipal[[#This Row],[DENSIDAD]]/10000,"-")</f>
        <v>14.484573033707866</v>
      </c>
      <c r="R179" s="183" t="str">
        <f>VLOOKUP(TablaPrincipal[[#This Row],[CODIGO]]&amp;TablaPrincipal[[#This Row],[AGUAJE ]],Tabla4[#All],8,0)</f>
        <v>DEONES</v>
      </c>
      <c r="S179" s="183" t="str">
        <f>VLOOKUP(TablaPrincipal[[#This Row],[CODIGO]]&amp;TablaPrincipal[[#This Row],[AGUAJE ]],Tabla4[#All],7,0)</f>
        <v>TEXCUMAR</v>
      </c>
      <c r="T179" s="183" t="str">
        <f>IF(ISNUMBER(FIND("/",TablaPrincipal[[#This Row],[LABORATORIO]])),"COMBINADO","UNICO")</f>
        <v>UNICO</v>
      </c>
      <c r="U1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26500</v>
      </c>
      <c r="V1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27075.879999999997</v>
      </c>
      <c r="W1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1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21.873333333333335</v>
      </c>
      <c r="Y179" s="185">
        <f>IFERROR(TablaPrincipal[[#This Row],[LIBRAS RALEO PLANTA]]/TablaPrincipal[[#This Row],[HAS]],"-")</f>
        <v>3042.2337078651681</v>
      </c>
      <c r="Z1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567529.80574714136</v>
      </c>
      <c r="AA17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30368.45</v>
      </c>
      <c r="AC179" s="186">
        <f>SUMIFS(COSECHAS!F:F,COSECHAS!A:A,'BASE 2026'!AW:AW,COSECHAS!G:G,"="&amp;A:A)</f>
        <v>32</v>
      </c>
      <c r="AD179" s="186">
        <f>SUMIFS(COSECHAS!M:M,COSECHAS!A:A,'BASE 2026'!AW:AW,COSECHAS!G:G,"="&amp;A:A)</f>
        <v>33.54</v>
      </c>
      <c r="AE179" s="185">
        <f>IFERROR(TablaPrincipal[[#This Row],[LIBRAS PLANTA]]/TablaPrincipal[[#This Row],[HAS]],"-")</f>
        <v>3412.1853932584268</v>
      </c>
      <c r="AF179" s="185">
        <f>IFERROR(TablaPrincipal[[#This Row],[LIBRAS PLANTA]]*454/TablaPrincipal[[#This Row],[GRAMOS PLANTA]],"-")</f>
        <v>411069.65712581994</v>
      </c>
      <c r="AG179" s="185">
        <f>TablaPrincipal[[#This Row],[LIBRAS RALEO PLANTA]]+TablaPrincipal[[#This Row],[LIBRAS PLANTA]]</f>
        <v>57444.33</v>
      </c>
      <c r="AH179" s="185">
        <f>IFERROR(TablaPrincipal[[#This Row],[CAM COSECHADOS RALEO]]+TablaPrincipal[[#This Row],[CAM COSECHADOS]],"-")</f>
        <v>978599.4628729613</v>
      </c>
      <c r="AI179" s="185">
        <f>IFERROR((TablaPrincipal[[#This Row],[LIBRAS RALEO PLANTA]]+TablaPrincipal[[#This Row],[LIBRAS PLANTA]])/TablaPrincipal[[#This Row],[HAS]],"0")</f>
        <v>6454.4191011235953</v>
      </c>
      <c r="AJ179" s="186">
        <f t="shared" si="2"/>
        <v>2.524516129032258</v>
      </c>
      <c r="AK179" s="186">
        <f>IFERROR(TablaPrincipal[[#This Row],[LBS/HA]]/TablaPrincipal[[#This Row],[DIAS]],"-")</f>
        <v>69.402355926060167</v>
      </c>
      <c r="AL179" s="186">
        <f>IFERROR(TablaPrincipal[[#This Row],[CAM COSECHADOS TOTALES]]/TablaPrincipal[[#This Row],[ANIM SEMBRADOS]]*100,"-")</f>
        <v>75.911796345353196</v>
      </c>
      <c r="AM179" s="185">
        <v>76499.62000000001</v>
      </c>
      <c r="AN179" s="187">
        <f>IFERROR(((TablaPrincipal[[#This Row],[BALANCEADO ACUMULADO (LBS)]]/2.2046)/TablaPrincipal[[#This Row],[HAS]])/TablaPrincipal[[#This Row],[DIAS]],"-")</f>
        <v>41.923402198864324</v>
      </c>
      <c r="AO179" s="184">
        <f>IFERROR(TablaPrincipal[[#This Row],[BALANCEADO ACUMULADO (LBS)]]/TablaPrincipal[[#This Row],[LIBRAS TOTALES]],"-")</f>
        <v>1.3317175080638943</v>
      </c>
      <c r="AP179" s="184"/>
      <c r="AQ179" s="184" t="s">
        <v>105</v>
      </c>
      <c r="AR179" s="185">
        <f>TablaPrincipal[[#This Row],[LIBRAS RALEO PLANTA]]-TablaPrincipal[[#This Row],[LIBRAS RALEO CAMARONERA]]</f>
        <v>575.87999999999738</v>
      </c>
      <c r="AS179" s="185">
        <f>TablaPrincipal[[#This Row],[LIBRAS PLANTA]]-TablaPrincipal[[#This Row],[LIBRAS CAMARONERA]]</f>
        <v>68.450000000000728</v>
      </c>
      <c r="AT179" s="187">
        <f>TablaPrincipal[[#This Row],[GRAMAJE RALEO PLANTA]]-TablaPrincipal[[#This Row],[GRAMAJE RALEO CAMARONERA]]</f>
        <v>0.87333333333333485</v>
      </c>
      <c r="AU179" s="187">
        <f>TablaPrincipal[[#This Row],[GRAMOS PLANTA]]-TablaPrincipal[[#This Row],[GRAMAJE CAMARONERA]]</f>
        <v>1.5399999999999991</v>
      </c>
      <c r="AV179" s="183" t="str">
        <f>+VLOOKUP(TablaPrincipal[[#This Row],[CODIGO]],TablaCosechas[#All],10,0)</f>
        <v>GUSTAVO CARRASCO</v>
      </c>
      <c r="AW179" s="183" t="s">
        <v>271</v>
      </c>
      <c r="AX179" s="188" t="str">
        <f>+VLOOKUP(TablaPrincipal[[#This Row],[CODIGO]],TablaCosechas[#All],10,0)</f>
        <v>GUSTAVO CARRASCO</v>
      </c>
    </row>
    <row r="180" spans="1:50" hidden="1" x14ac:dyDescent="0.25">
      <c r="A180" s="196">
        <v>46089</v>
      </c>
      <c r="B180" s="183">
        <v>178</v>
      </c>
      <c r="C180" s="183">
        <f>YEAR(TablaPrincipal[[#This Row],[FECHA]])</f>
        <v>2026</v>
      </c>
      <c r="D180" s="183" t="s">
        <v>256</v>
      </c>
      <c r="E180" s="183" t="str">
        <f>UPPER(TEXT(TablaPrincipal[[#This Row],[FECHA]],"MMMM"))</f>
        <v>MARZO</v>
      </c>
      <c r="F180" s="183" t="str">
        <f>IFERROR(VLOOKUP(TablaPrincipal[[#This Row],[CODIGO]],COSECHAS!A:J,9,0),"-")</f>
        <v>07</v>
      </c>
      <c r="G180" s="183" t="str">
        <f>IFERROR(VLOOKUP(TablaPrincipal[[#This Row],[CODIGO]],COSECHAS!A:I,8,0),"-")</f>
        <v>PARGO ROJO</v>
      </c>
      <c r="H180" s="184">
        <f>IFERROR(VLOOKUP(TablaPrincipal[[#This Row],[CODIGO]],DATOS!A:B,2,0),"-")</f>
        <v>4</v>
      </c>
      <c r="I180" s="183" t="str">
        <f>IFERROR(VLOOKUP(TablaPrincipal[[#This Row],[CODIGO]],Tabla8[[#Headers],[#Data]],3,0),"-")</f>
        <v>CONVENCIONAL</v>
      </c>
      <c r="J180" s="183">
        <f>IFERROR(TablaPrincipal[[#This Row],[FECHA]]-TablaPrincipal[[#This Row],[FECHA DE SIEMBRA]],"-")</f>
        <v>70</v>
      </c>
      <c r="K180" s="196">
        <f>VLOOKUP(TablaPrincipal[[#This Row],[CODIGO]]&amp;TablaPrincipal[[#This Row],[AGUAJE ]],Tabla4[#All],4,0)</f>
        <v>46019</v>
      </c>
      <c r="L180" s="183" t="str">
        <f>VLOOKUP(TablaPrincipal[[#This Row],[CODIGO]]&amp;TablaPrincipal[[#This Row],[AGUAJE ]],Tabla4[#All],15,0)</f>
        <v>PR 1</v>
      </c>
      <c r="M180" s="184">
        <f>VLOOKUP(TablaPrincipal[[#This Row],[CODIGO]]&amp;TablaPrincipal[[#This Row],[AGUAJE ]],Tabla4[#All],14,0)</f>
        <v>0.55000000000000004</v>
      </c>
      <c r="N180" s="1">
        <v>12</v>
      </c>
      <c r="O180" s="209">
        <f>VLOOKUP(TablaPrincipal[[#This Row],[CODIGO]]&amp;TablaPrincipal[[#This Row],[AGUAJE ]],Tabla4[#All],5,0)</f>
        <v>720000</v>
      </c>
      <c r="P180" s="221">
        <f>IFERROR(TablaPrincipal[[#This Row],[ANIM SEMBRADOS]]/TablaPrincipal[[#This Row],[HAS]],"-")</f>
        <v>180000</v>
      </c>
      <c r="Q180" s="223">
        <f>IFERROR(TablaPrincipal[[#This Row],[DENSIDAD]]/10000,"-")</f>
        <v>18</v>
      </c>
      <c r="R180" s="183" t="str">
        <f>VLOOKUP(TablaPrincipal[[#This Row],[CODIGO]]&amp;TablaPrincipal[[#This Row],[AGUAJE ]],Tabla4[#All],8,0)</f>
        <v>MEGALATINA</v>
      </c>
      <c r="S180" s="183" t="str">
        <f>VLOOKUP(TablaPrincipal[[#This Row],[CODIGO]]&amp;TablaPrincipal[[#This Row],[AGUAJE ]],Tabla4[#All],7,0)</f>
        <v>TEXCUMAR</v>
      </c>
      <c r="T180" s="183" t="str">
        <f>IF(ISNUMBER(FIND("/",TablaPrincipal[[#This Row],[LABORATORIO]])),"COMBINADO","UNICO")</f>
        <v>UNICO</v>
      </c>
      <c r="U1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2900</v>
      </c>
      <c r="V1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2647.38</v>
      </c>
      <c r="W1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17.64</v>
      </c>
      <c r="Y180" s="185">
        <f>IFERROR(TablaPrincipal[[#This Row],[LIBRAS RALEO PLANTA]]/TablaPrincipal[[#This Row],[HAS]],"-")</f>
        <v>661.84500000000003</v>
      </c>
      <c r="Z1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68135.517006802722</v>
      </c>
      <c r="AA18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15800</v>
      </c>
      <c r="AB1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18099.12</v>
      </c>
      <c r="AC180" s="186">
        <f>SUMIFS(COSECHAS!F:F,COSECHAS!A:A,'BASE 2026'!AW:AW,COSECHAS!G:G,"="&amp;A:A)</f>
        <v>21</v>
      </c>
      <c r="AD180" s="186">
        <f>SUMIFS(COSECHAS!M:M,COSECHAS!A:A,'BASE 2026'!AW:AW,COSECHAS!G:G,"="&amp;A:A)</f>
        <v>22.26</v>
      </c>
      <c r="AE180" s="185">
        <f>IFERROR(TablaPrincipal[[#This Row],[LIBRAS PLANTA]]/TablaPrincipal[[#This Row],[HAS]],"-")</f>
        <v>4524.78</v>
      </c>
      <c r="AF180" s="185">
        <f>IFERROR(TablaPrincipal[[#This Row],[LIBRAS PLANTA]]*454/TablaPrincipal[[#This Row],[GRAMOS PLANTA]],"-")</f>
        <v>369137.48787061992</v>
      </c>
      <c r="AG180" s="185">
        <f>TablaPrincipal[[#This Row],[LIBRAS RALEO PLANTA]]+TablaPrincipal[[#This Row],[LIBRAS PLANTA]]</f>
        <v>20746.5</v>
      </c>
      <c r="AH180" s="185">
        <f>IFERROR(TablaPrincipal[[#This Row],[CAM COSECHADOS RALEO]]+TablaPrincipal[[#This Row],[CAM COSECHADOS]],"-")</f>
        <v>437273.00487742265</v>
      </c>
      <c r="AI180" s="185">
        <f>IFERROR((TablaPrincipal[[#This Row],[LIBRAS RALEO PLANTA]]+TablaPrincipal[[#This Row],[LIBRAS PLANTA]])/TablaPrincipal[[#This Row],[HAS]],"0")</f>
        <v>5186.625</v>
      </c>
      <c r="AJ180" s="186">
        <f t="shared" si="2"/>
        <v>2.226</v>
      </c>
      <c r="AK180" s="186">
        <f>IFERROR(TablaPrincipal[[#This Row],[LBS/HA]]/TablaPrincipal[[#This Row],[DIAS]],"-")</f>
        <v>74.094642857142858</v>
      </c>
      <c r="AL180" s="186">
        <f>IFERROR(TablaPrincipal[[#This Row],[CAM COSECHADOS TOTALES]]/TablaPrincipal[[#This Row],[ANIM SEMBRADOS]]*100,"-")</f>
        <v>60.732361788530923</v>
      </c>
      <c r="AM180" s="185">
        <v>30021.140500000001</v>
      </c>
      <c r="AN180" s="187">
        <f>IFERROR(((TablaPrincipal[[#This Row],[BALANCEADO ACUMULADO (LBS)]]/2.2046)/TablaPrincipal[[#This Row],[HAS]])/TablaPrincipal[[#This Row],[DIAS]],"-")</f>
        <v>48.633928571428569</v>
      </c>
      <c r="AO180" s="184">
        <f>IFERROR(TablaPrincipal[[#This Row],[BALANCEADO ACUMULADO (LBS)]]/TablaPrincipal[[#This Row],[LIBRAS TOTALES]],"-")</f>
        <v>1.4470460318607958</v>
      </c>
      <c r="AP180" s="184"/>
      <c r="AQ180" s="184" t="s">
        <v>105</v>
      </c>
      <c r="AR180" s="185">
        <f>TablaPrincipal[[#This Row],[LIBRAS RALEO PLANTA]]-TablaPrincipal[[#This Row],[LIBRAS RALEO CAMARONERA]]</f>
        <v>-252.61999999999989</v>
      </c>
      <c r="AS180" s="185">
        <f>TablaPrincipal[[#This Row],[LIBRAS PLANTA]]-TablaPrincipal[[#This Row],[LIBRAS CAMARONERA]]</f>
        <v>2299.119999999999</v>
      </c>
      <c r="AT180" s="187">
        <f>TablaPrincipal[[#This Row],[GRAMAJE RALEO PLANTA]]-TablaPrincipal[[#This Row],[GRAMAJE RALEO CAMARONERA]]</f>
        <v>1.6400000000000006</v>
      </c>
      <c r="AU180" s="187">
        <f>TablaPrincipal[[#This Row],[GRAMOS PLANTA]]-TablaPrincipal[[#This Row],[GRAMAJE CAMARONERA]]</f>
        <v>1.2600000000000016</v>
      </c>
      <c r="AV180" s="183" t="str">
        <f>+VLOOKUP(TablaPrincipal[[#This Row],[CODIGO]],TablaCosechas[#All],10,0)</f>
        <v>WILMER TORRES</v>
      </c>
      <c r="AW180" s="183" t="s">
        <v>272</v>
      </c>
      <c r="AX180" s="188" t="str">
        <f>+VLOOKUP(TablaPrincipal[[#This Row],[CODIGO]],TablaCosechas[#All],10,0)</f>
        <v>WILMER TORRES</v>
      </c>
    </row>
    <row r="181" spans="1:50" hidden="1" x14ac:dyDescent="0.25">
      <c r="A181" s="196">
        <v>46090</v>
      </c>
      <c r="B181" s="183">
        <v>179</v>
      </c>
      <c r="C181" s="183">
        <f>YEAR(TablaPrincipal[[#This Row],[FECHA]])</f>
        <v>2026</v>
      </c>
      <c r="D181" s="183" t="s">
        <v>256</v>
      </c>
      <c r="E181" s="183" t="str">
        <f>UPPER(TEXT(TablaPrincipal[[#This Row],[FECHA]],"MMMM"))</f>
        <v>MARZO</v>
      </c>
      <c r="F181" s="183" t="str">
        <f>IFERROR(VLOOKUP(TablaPrincipal[[#This Row],[CODIGO]],COSECHAS!A:J,9,0),"-")</f>
        <v>02</v>
      </c>
      <c r="G181" s="183" t="str">
        <f>IFERROR(VLOOKUP(TablaPrincipal[[#This Row],[CODIGO]],COSECHAS!A:I,8,0),"-")</f>
        <v>CHERNA</v>
      </c>
      <c r="H181" s="184">
        <f>IFERROR(VLOOKUP(TablaPrincipal[[#This Row],[CODIGO]],DATOS!A:B,2,0),"-")</f>
        <v>7.5</v>
      </c>
      <c r="I181" s="183" t="str">
        <f>IFERROR(VLOOKUP(TablaPrincipal[[#This Row],[CODIGO]],Tabla8[[#Headers],[#Data]],3,0),"-")</f>
        <v>ASC</v>
      </c>
      <c r="J181" s="183">
        <f>IFERROR(TablaPrincipal[[#This Row],[FECHA]]-TablaPrincipal[[#This Row],[FECHA DE SIEMBRA]],"-")</f>
        <v>73</v>
      </c>
      <c r="K181" s="196">
        <f>VLOOKUP(TablaPrincipal[[#This Row],[CODIGO]]&amp;TablaPrincipal[[#This Row],[AGUAJE ]],Tabla4[#All],4,0)</f>
        <v>46017</v>
      </c>
      <c r="L181" s="183" t="str">
        <f>VLOOKUP(TablaPrincipal[[#This Row],[CODIGO]]&amp;TablaPrincipal[[#This Row],[AGUAJE ]],Tabla4[#All],15,0)</f>
        <v>CH PC 4 - 1</v>
      </c>
      <c r="M181" s="184">
        <f>VLOOKUP(TablaPrincipal[[#This Row],[CODIGO]]&amp;TablaPrincipal[[#This Row],[AGUAJE ]],Tabla4[#All],14,0)</f>
        <v>0.48</v>
      </c>
      <c r="N181" s="183">
        <v>12</v>
      </c>
      <c r="O181" s="209">
        <f>VLOOKUP(TablaPrincipal[[#This Row],[CODIGO]]&amp;TablaPrincipal[[#This Row],[AGUAJE ]],Tabla4[#All],5,0)</f>
        <v>1170000</v>
      </c>
      <c r="P181" s="221">
        <f>IFERROR(TablaPrincipal[[#This Row],[ANIM SEMBRADOS]]/TablaPrincipal[[#This Row],[HAS]],"-")</f>
        <v>156000</v>
      </c>
      <c r="Q181" s="223">
        <f>IFERROR(TablaPrincipal[[#This Row],[DENSIDAD]]/10000,"-")</f>
        <v>15.6</v>
      </c>
      <c r="R181" s="183" t="str">
        <f>VLOOKUP(TablaPrincipal[[#This Row],[CODIGO]]&amp;TablaPrincipal[[#This Row],[AGUAJE ]],Tabla4[#All],8,0)</f>
        <v>ACUATECSA/NARIHUALA</v>
      </c>
      <c r="S181" s="183" t="str">
        <f>VLOOKUP(TablaPrincipal[[#This Row],[CODIGO]]&amp;TablaPrincipal[[#This Row],[AGUAJE ]],Tabla4[#All],7,0)</f>
        <v>TEXCUMAR</v>
      </c>
      <c r="T181" s="183" t="str">
        <f>IF(ISNUMBER(FIND("/",TablaPrincipal[[#This Row],[LABORATORIO]])),"COMBINADO","UNICO")</f>
        <v>COMBINADO</v>
      </c>
      <c r="U1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9400</v>
      </c>
      <c r="V1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10985.09</v>
      </c>
      <c r="W1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20.85</v>
      </c>
      <c r="Y181" s="185">
        <f>IFERROR(TablaPrincipal[[#This Row],[LIBRAS RALEO PLANTA]]/TablaPrincipal[[#This Row],[HAS]],"-")</f>
        <v>1464.6786666666667</v>
      </c>
      <c r="Z1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239195.72470023981</v>
      </c>
      <c r="AA18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41000</v>
      </c>
      <c r="AB1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40930.300000000003</v>
      </c>
      <c r="AC181" s="186">
        <f>SUMIFS(COSECHAS!F:F,COSECHAS!A:A,'BASE 2026'!AW:AW,COSECHAS!G:G,"="&amp;A:A)</f>
        <v>29.2</v>
      </c>
      <c r="AD181" s="186">
        <f>SUMIFS(COSECHAS!M:M,COSECHAS!A:A,'BASE 2026'!AW:AW,COSECHAS!G:G,"="&amp;A:A)</f>
        <v>29.02</v>
      </c>
      <c r="AE181" s="185">
        <f>IFERROR(TablaPrincipal[[#This Row],[LIBRAS PLANTA]]/TablaPrincipal[[#This Row],[HAS]],"-")</f>
        <v>5457.3733333333339</v>
      </c>
      <c r="AF181" s="185">
        <f>IFERROR(TablaPrincipal[[#This Row],[LIBRAS PLANTA]]*454/TablaPrincipal[[#This Row],[GRAMOS PLANTA]],"-")</f>
        <v>640329.29703652661</v>
      </c>
      <c r="AG181" s="185">
        <f>TablaPrincipal[[#This Row],[LIBRAS RALEO PLANTA]]+TablaPrincipal[[#This Row],[LIBRAS PLANTA]]</f>
        <v>51915.39</v>
      </c>
      <c r="AH181" s="185">
        <f>IFERROR(TablaPrincipal[[#This Row],[CAM COSECHADOS RALEO]]+TablaPrincipal[[#This Row],[CAM COSECHADOS]],"-")</f>
        <v>879525.02173676644</v>
      </c>
      <c r="AI181" s="185">
        <f>IFERROR((TablaPrincipal[[#This Row],[LIBRAS RALEO PLANTA]]+TablaPrincipal[[#This Row],[LIBRAS PLANTA]])/TablaPrincipal[[#This Row],[HAS]],"0")</f>
        <v>6922.0519999999997</v>
      </c>
      <c r="AJ181" s="186">
        <f t="shared" si="2"/>
        <v>2.7827397260273972</v>
      </c>
      <c r="AK181" s="186">
        <f>IFERROR(TablaPrincipal[[#This Row],[LBS/HA]]/TablaPrincipal[[#This Row],[DIAS]],"-")</f>
        <v>94.822630136986291</v>
      </c>
      <c r="AL181" s="186">
        <f>IFERROR(TablaPrincipal[[#This Row],[CAM COSECHADOS TOTALES]]/TablaPrincipal[[#This Row],[ANIM SEMBRADOS]]*100,"-")</f>
        <v>75.173078780920207</v>
      </c>
      <c r="AM181" s="185">
        <v>69444.900000000009</v>
      </c>
      <c r="AN181" s="187">
        <f>IFERROR(((TablaPrincipal[[#This Row],[BALANCEADO ACUMULADO (LBS)]]/2.2046)/TablaPrincipal[[#This Row],[HAS]])/TablaPrincipal[[#This Row],[DIAS]],"-")</f>
        <v>57.534246575342479</v>
      </c>
      <c r="AO181" s="184">
        <f>IFERROR(TablaPrincipal[[#This Row],[BALANCEADO ACUMULADO (LBS)]]/TablaPrincipal[[#This Row],[LIBRAS TOTALES]],"-")</f>
        <v>1.3376553657788184</v>
      </c>
      <c r="AP181" s="184"/>
      <c r="AQ181" s="184" t="s">
        <v>105</v>
      </c>
      <c r="AR181" s="185">
        <f>TablaPrincipal[[#This Row],[LIBRAS RALEO PLANTA]]-TablaPrincipal[[#This Row],[LIBRAS RALEO CAMARONERA]]</f>
        <v>1585.0900000000001</v>
      </c>
      <c r="AS181" s="185">
        <f>TablaPrincipal[[#This Row],[LIBRAS PLANTA]]-TablaPrincipal[[#This Row],[LIBRAS CAMARONERA]]</f>
        <v>-69.69999999999709</v>
      </c>
      <c r="AT181" s="187">
        <f>TablaPrincipal[[#This Row],[GRAMAJE RALEO PLANTA]]-TablaPrincipal[[#This Row],[GRAMAJE RALEO CAMARONERA]]</f>
        <v>-0.64999999999999858</v>
      </c>
      <c r="AU181" s="187">
        <f>TablaPrincipal[[#This Row],[GRAMOS PLANTA]]-TablaPrincipal[[#This Row],[GRAMAJE CAMARONERA]]</f>
        <v>-0.17999999999999972</v>
      </c>
      <c r="AV181" s="183" t="str">
        <f>+VLOOKUP(TablaPrincipal[[#This Row],[CODIGO]],TablaCosechas[#All],10,0)</f>
        <v>SANTIAGO OBRIEN</v>
      </c>
      <c r="AW181" s="183" t="s">
        <v>8</v>
      </c>
      <c r="AX181" s="188" t="str">
        <f>+VLOOKUP(TablaPrincipal[[#This Row],[CODIGO]],TablaCosechas[#All],10,0)</f>
        <v>SANTIAGO OBRIEN</v>
      </c>
    </row>
    <row r="182" spans="1:50" hidden="1" x14ac:dyDescent="0.25">
      <c r="A182" s="196">
        <v>46090</v>
      </c>
      <c r="B182" s="183">
        <v>180</v>
      </c>
      <c r="C182" s="183">
        <f>YEAR(TablaPrincipal[[#This Row],[FECHA]])</f>
        <v>2026</v>
      </c>
      <c r="D182" s="183" t="s">
        <v>256</v>
      </c>
      <c r="E182" s="183" t="str">
        <f>UPPER(TEXT(TablaPrincipal[[#This Row],[FECHA]],"MMMM"))</f>
        <v>MARZO</v>
      </c>
      <c r="F182" s="183" t="str">
        <f>IFERROR(VLOOKUP(TablaPrincipal[[#This Row],[CODIGO]],COSECHAS!A:J,9,0),"-")</f>
        <v>16</v>
      </c>
      <c r="G182" s="183" t="str">
        <f>IFERROR(VLOOKUP(TablaPrincipal[[#This Row],[CODIGO]],COSECHAS!A:I,8,0),"-")</f>
        <v>DELFIN</v>
      </c>
      <c r="H182" s="184">
        <f>IFERROR(VLOOKUP(TablaPrincipal[[#This Row],[CODIGO]],DATOS!A:B,2,0),"-")</f>
        <v>5.92</v>
      </c>
      <c r="I182" s="183" t="str">
        <f>IFERROR(VLOOKUP(TablaPrincipal[[#This Row],[CODIGO]],Tabla8[[#Headers],[#Data]],3,0),"-")</f>
        <v>CONVENCIONAL</v>
      </c>
      <c r="J182" s="183">
        <f>IFERROR(TablaPrincipal[[#This Row],[FECHA]]-TablaPrincipal[[#This Row],[FECHA DE SIEMBRA]],"-")</f>
        <v>87</v>
      </c>
      <c r="K182" s="196">
        <f>VLOOKUP(TablaPrincipal[[#This Row],[CODIGO]]&amp;TablaPrincipal[[#This Row],[AGUAJE ]],Tabla4[#All],4,0)</f>
        <v>46003</v>
      </c>
      <c r="L182" s="183" t="str">
        <f>VLOOKUP(TablaPrincipal[[#This Row],[CODIGO]]&amp;TablaPrincipal[[#This Row],[AGUAJE ]],Tabla4[#All],15,0)</f>
        <v>DE 17</v>
      </c>
      <c r="M182" s="184">
        <f>VLOOKUP(TablaPrincipal[[#This Row],[CODIGO]]&amp;TablaPrincipal[[#This Row],[AGUAJE ]],Tabla4[#All],14,0)</f>
        <v>0.65</v>
      </c>
      <c r="N182" s="183">
        <v>9</v>
      </c>
      <c r="O182" s="209">
        <f>VLOOKUP(TablaPrincipal[[#This Row],[CODIGO]]&amp;TablaPrincipal[[#This Row],[AGUAJE ]],Tabla4[#All],5,0)</f>
        <v>947200</v>
      </c>
      <c r="P182" s="221">
        <f>IFERROR(TablaPrincipal[[#This Row],[ANIM SEMBRADOS]]/TablaPrincipal[[#This Row],[HAS]],"-")</f>
        <v>160000</v>
      </c>
      <c r="Q182" s="223">
        <f>IFERROR(TablaPrincipal[[#This Row],[DENSIDAD]]/10000,"-")</f>
        <v>16</v>
      </c>
      <c r="R182" s="183" t="str">
        <f>VLOOKUP(TablaPrincipal[[#This Row],[CODIGO]]&amp;TablaPrincipal[[#This Row],[AGUAJE ]],Tabla4[#All],8,0)</f>
        <v>DEONES</v>
      </c>
      <c r="S182" s="183" t="str">
        <f>VLOOKUP(TablaPrincipal[[#This Row],[CODIGO]]&amp;TablaPrincipal[[#This Row],[AGUAJE ]],Tabla4[#All],7,0)</f>
        <v>TEXCUMAR</v>
      </c>
      <c r="T182" s="183" t="str">
        <f>IF(ISNUMBER(FIND("/",TablaPrincipal[[#This Row],[LABORATORIO]])),"COMBINADO","UNICO")</f>
        <v>UNICO</v>
      </c>
      <c r="U1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12800</v>
      </c>
      <c r="V1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11780.76</v>
      </c>
      <c r="W1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28.006666666666671</v>
      </c>
      <c r="Y182" s="185">
        <f>IFERROR(TablaPrincipal[[#This Row],[LIBRAS RALEO PLANTA]]/TablaPrincipal[[#This Row],[HAS]],"-")</f>
        <v>1989.9932432432433</v>
      </c>
      <c r="Z1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197176.91947448766</v>
      </c>
      <c r="AA18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1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12512.83</v>
      </c>
      <c r="AC182" s="186">
        <f>SUMIFS(COSECHAS!F:F,COSECHAS!A:A,'BASE 2026'!AW:AW,COSECHAS!G:G,"="&amp;A:A)</f>
        <v>35</v>
      </c>
      <c r="AD182" s="186">
        <f>SUMIFS(COSECHAS!M:M,COSECHAS!A:A,'BASE 2026'!AW:AW,COSECHAS!G:G,"="&amp;A:A)</f>
        <v>34.880000000000003</v>
      </c>
      <c r="AE182" s="185">
        <f>IFERROR(TablaPrincipal[[#This Row],[LIBRAS PLANTA]]/TablaPrincipal[[#This Row],[HAS]],"-")</f>
        <v>2113.6537162162163</v>
      </c>
      <c r="AF182" s="185">
        <f>IFERROR(TablaPrincipal[[#This Row],[LIBRAS PLANTA]]*454/TablaPrincipal[[#This Row],[GRAMOS PLANTA]],"-")</f>
        <v>162867.68405963303</v>
      </c>
      <c r="AG182" s="185">
        <f>TablaPrincipal[[#This Row],[LIBRAS RALEO PLANTA]]+TablaPrincipal[[#This Row],[LIBRAS PLANTA]]</f>
        <v>24293.59</v>
      </c>
      <c r="AH182" s="185">
        <f>IFERROR(TablaPrincipal[[#This Row],[CAM COSECHADOS RALEO]]+TablaPrincipal[[#This Row],[CAM COSECHADOS]],"-")</f>
        <v>360044.60353412072</v>
      </c>
      <c r="AI182" s="185">
        <f>IFERROR((TablaPrincipal[[#This Row],[LIBRAS RALEO PLANTA]]+TablaPrincipal[[#This Row],[LIBRAS PLANTA]])/TablaPrincipal[[#This Row],[HAS]],"0")</f>
        <v>4103.6469594594591</v>
      </c>
      <c r="AJ182" s="186">
        <f t="shared" si="2"/>
        <v>2.8064367816091957</v>
      </c>
      <c r="AK182" s="186">
        <f>IFERROR(TablaPrincipal[[#This Row],[LBS/HA]]/TablaPrincipal[[#This Row],[DIAS]],"-")</f>
        <v>47.16835585585585</v>
      </c>
      <c r="AL182" s="186">
        <f>IFERROR(TablaPrincipal[[#This Row],[CAM COSECHADOS TOTALES]]/TablaPrincipal[[#This Row],[ANIM SEMBRADOS]]*100,"-")</f>
        <v>38.011465744734032</v>
      </c>
      <c r="AM182" s="185">
        <v>68728.404999999999</v>
      </c>
      <c r="AN182" s="187">
        <f>IFERROR(((TablaPrincipal[[#This Row],[BALANCEADO ACUMULADO (LBS)]]/2.2046)/TablaPrincipal[[#This Row],[HAS]])/TablaPrincipal[[#This Row],[DIAS]],"-")</f>
        <v>60.529279279279272</v>
      </c>
      <c r="AO182" s="184">
        <f>IFERROR(TablaPrincipal[[#This Row],[BALANCEADO ACUMULADO (LBS)]]/TablaPrincipal[[#This Row],[LIBRAS TOTALES]],"-")</f>
        <v>2.829075694452734</v>
      </c>
      <c r="AP182" s="184"/>
      <c r="AQ182" s="184" t="s">
        <v>105</v>
      </c>
      <c r="AR182" s="185">
        <f>TablaPrincipal[[#This Row],[LIBRAS RALEO PLANTA]]-TablaPrincipal[[#This Row],[LIBRAS RALEO CAMARONERA]]</f>
        <v>-1019.2399999999998</v>
      </c>
      <c r="AS182" s="185">
        <f>TablaPrincipal[[#This Row],[LIBRAS PLANTA]]-TablaPrincipal[[#This Row],[LIBRAS CAMARONERA]]</f>
        <v>-487.17000000000007</v>
      </c>
      <c r="AT182" s="187">
        <f>TablaPrincipal[[#This Row],[GRAMAJE RALEO PLANTA]]-TablaPrincipal[[#This Row],[GRAMAJE RALEO CAMARONERA]]</f>
        <v>1.0066666666666713</v>
      </c>
      <c r="AU182" s="187">
        <f>TablaPrincipal[[#This Row],[GRAMOS PLANTA]]-TablaPrincipal[[#This Row],[GRAMAJE CAMARONERA]]</f>
        <v>-0.11999999999999744</v>
      </c>
      <c r="AV182" s="183" t="str">
        <f>+VLOOKUP(TablaPrincipal[[#This Row],[CODIGO]],TablaCosechas[#All],10,0)</f>
        <v>CARLOS FLORES</v>
      </c>
      <c r="AW182" s="183" t="s">
        <v>273</v>
      </c>
      <c r="AX182" s="188" t="str">
        <f>+VLOOKUP(TablaPrincipal[[#This Row],[CODIGO]],TablaCosechas[#All],10,0)</f>
        <v>CARLOS FLORES</v>
      </c>
    </row>
    <row r="183" spans="1:50" hidden="1" x14ac:dyDescent="0.25">
      <c r="A183" s="196">
        <v>46090</v>
      </c>
      <c r="B183" s="183">
        <v>181</v>
      </c>
      <c r="C183" s="183">
        <f>YEAR(TablaPrincipal[[#This Row],[FECHA]])</f>
        <v>2026</v>
      </c>
      <c r="D183" s="183" t="s">
        <v>256</v>
      </c>
      <c r="E183" s="183" t="str">
        <f>UPPER(TEXT(TablaPrincipal[[#This Row],[FECHA]],"MMMM"))</f>
        <v>MARZO</v>
      </c>
      <c r="F183" s="183" t="str">
        <f>IFERROR(VLOOKUP(TablaPrincipal[[#This Row],[CODIGO]],COSECHAS!A:J,9,0),"-")</f>
        <v>04</v>
      </c>
      <c r="G183" s="183" t="str">
        <f>IFERROR(VLOOKUP(TablaPrincipal[[#This Row],[CODIGO]],COSECHAS!A:I,8,0),"-")</f>
        <v>MERO</v>
      </c>
      <c r="H183" s="184">
        <f>IFERROR(VLOOKUP(TablaPrincipal[[#This Row],[CODIGO]],DATOS!A:B,2,0),"-")</f>
        <v>4.5</v>
      </c>
      <c r="I183" s="183" t="str">
        <f>IFERROR(VLOOKUP(TablaPrincipal[[#This Row],[CODIGO]],Tabla8[[#Headers],[#Data]],3,0),"-")</f>
        <v>CONVENCIONAL</v>
      </c>
      <c r="J183" s="183">
        <f>IFERROR(TablaPrincipal[[#This Row],[FECHA]]-TablaPrincipal[[#This Row],[FECHA DE SIEMBRA]],"-")</f>
        <v>79</v>
      </c>
      <c r="K183" s="196">
        <f>VLOOKUP(TablaPrincipal[[#This Row],[CODIGO]]&amp;TablaPrincipal[[#This Row],[AGUAJE ]],Tabla4[#All],4,0)</f>
        <v>46011</v>
      </c>
      <c r="L183" s="183" t="str">
        <f>VLOOKUP(TablaPrincipal[[#This Row],[CODIGO]]&amp;TablaPrincipal[[#This Row],[AGUAJE ]],Tabla4[#All],15,0)</f>
        <v>ME PC 3</v>
      </c>
      <c r="M183" s="184">
        <f>VLOOKUP(TablaPrincipal[[#This Row],[CODIGO]]&amp;TablaPrincipal[[#This Row],[AGUAJE ]],Tabla4[#All],14,0)</f>
        <v>0.5</v>
      </c>
      <c r="N183" s="183">
        <v>10</v>
      </c>
      <c r="O183" s="209">
        <f>VLOOKUP(TablaPrincipal[[#This Row],[CODIGO]]&amp;TablaPrincipal[[#This Row],[AGUAJE ]],Tabla4[#All],5,0)</f>
        <v>810000</v>
      </c>
      <c r="P183" s="221">
        <f>IFERROR(TablaPrincipal[[#This Row],[ANIM SEMBRADOS]]/TablaPrincipal[[#This Row],[HAS]],"-")</f>
        <v>180000</v>
      </c>
      <c r="Q183" s="223">
        <f>IFERROR(TablaPrincipal[[#This Row],[DENSIDAD]]/10000,"-")</f>
        <v>18</v>
      </c>
      <c r="R183" s="183" t="str">
        <f>VLOOKUP(TablaPrincipal[[#This Row],[CODIGO]]&amp;TablaPrincipal[[#This Row],[AGUAJE ]],Tabla4[#All],8,0)</f>
        <v>BIOLACAM</v>
      </c>
      <c r="S183" s="183" t="str">
        <f>VLOOKUP(TablaPrincipal[[#This Row],[CODIGO]]&amp;TablaPrincipal[[#This Row],[AGUAJE ]],Tabla4[#All],7,0)</f>
        <v>TEXCUMAR</v>
      </c>
      <c r="T183" s="183" t="str">
        <f>IF(ISNUMBER(FIND("/",TablaPrincipal[[#This Row],[LABORATORIO]])),"COMBINADO","UNICO")</f>
        <v>UNICO</v>
      </c>
      <c r="U1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16000</v>
      </c>
      <c r="V1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14342.56</v>
      </c>
      <c r="W1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1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27.55</v>
      </c>
      <c r="Y183" s="185">
        <f>IFERROR(TablaPrincipal[[#This Row],[LIBRAS RALEO PLANTA]]/TablaPrincipal[[#This Row],[HAS]],"-")</f>
        <v>3187.2355555555555</v>
      </c>
      <c r="Z1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240815.66730350466</v>
      </c>
      <c r="AA18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21900</v>
      </c>
      <c r="AB1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21600.5</v>
      </c>
      <c r="AC183" s="186">
        <f>SUMIFS(COSECHAS!F:F,COSECHAS!A:A,'BASE 2026'!AW:AW,COSECHAS!G:G,"="&amp;A:A)</f>
        <v>40</v>
      </c>
      <c r="AD183" s="186">
        <f>SUMIFS(COSECHAS!M:M,COSECHAS!A:A,'BASE 2026'!AW:AW,COSECHAS!G:G,"="&amp;A:A)</f>
        <v>39.5</v>
      </c>
      <c r="AE183" s="185">
        <f>IFERROR(TablaPrincipal[[#This Row],[LIBRAS PLANTA]]/TablaPrincipal[[#This Row],[HAS]],"-")</f>
        <v>4800.1111111111113</v>
      </c>
      <c r="AF183" s="185">
        <f>IFERROR(TablaPrincipal[[#This Row],[LIBRAS PLANTA]]*454/TablaPrincipal[[#This Row],[GRAMOS PLANTA]],"-")</f>
        <v>248269.03797468354</v>
      </c>
      <c r="AG183" s="185">
        <f>TablaPrincipal[[#This Row],[LIBRAS RALEO PLANTA]]+TablaPrincipal[[#This Row],[LIBRAS PLANTA]]</f>
        <v>35943.06</v>
      </c>
      <c r="AH183" s="185">
        <f>IFERROR(TablaPrincipal[[#This Row],[CAM COSECHADOS RALEO]]+TablaPrincipal[[#This Row],[CAM COSECHADOS]],"-")</f>
        <v>489084.70527818822</v>
      </c>
      <c r="AI183" s="185">
        <f>IFERROR((TablaPrincipal[[#This Row],[LIBRAS RALEO PLANTA]]+TablaPrincipal[[#This Row],[LIBRAS PLANTA]])/TablaPrincipal[[#This Row],[HAS]],"0")</f>
        <v>7987.3466666666664</v>
      </c>
      <c r="AJ183" s="186">
        <f t="shared" si="2"/>
        <v>3.4999999999999996</v>
      </c>
      <c r="AK183" s="186">
        <f>IFERROR(TablaPrincipal[[#This Row],[LBS/HA]]/TablaPrincipal[[#This Row],[DIAS]],"-")</f>
        <v>101.10565400843882</v>
      </c>
      <c r="AL183" s="186">
        <f>IFERROR(TablaPrincipal[[#This Row],[CAM COSECHADOS TOTALES]]/TablaPrincipal[[#This Row],[ANIM SEMBRADOS]]*100,"-")</f>
        <v>60.380827812122007</v>
      </c>
      <c r="AM183" s="185">
        <v>52028.560000000005</v>
      </c>
      <c r="AN183" s="187">
        <f>IFERROR(((TablaPrincipal[[#This Row],[BALANCEADO ACUMULADO (LBS)]]/2.2046)/TablaPrincipal[[#This Row],[HAS]])/TablaPrincipal[[#This Row],[DIAS]],"-")</f>
        <v>66.385372714486635</v>
      </c>
      <c r="AO183" s="184">
        <f>IFERROR(TablaPrincipal[[#This Row],[BALANCEADO ACUMULADO (LBS)]]/TablaPrincipal[[#This Row],[LIBRAS TOTALES]],"-")</f>
        <v>1.4475272834310715</v>
      </c>
      <c r="AP183" s="184"/>
      <c r="AQ183" s="184"/>
      <c r="AR183" s="185">
        <f>TablaPrincipal[[#This Row],[LIBRAS RALEO PLANTA]]-TablaPrincipal[[#This Row],[LIBRAS RALEO CAMARONERA]]</f>
        <v>-1657.4400000000005</v>
      </c>
      <c r="AS183" s="185">
        <f>TablaPrincipal[[#This Row],[LIBRAS PLANTA]]-TablaPrincipal[[#This Row],[LIBRAS CAMARONERA]]</f>
        <v>-299.5</v>
      </c>
      <c r="AT183" s="187">
        <f>TablaPrincipal[[#This Row],[GRAMAJE RALEO PLANTA]]-TablaPrincipal[[#This Row],[GRAMAJE RALEO CAMARONERA]]</f>
        <v>0.55000000000000071</v>
      </c>
      <c r="AU183" s="187">
        <f>TablaPrincipal[[#This Row],[GRAMOS PLANTA]]-TablaPrincipal[[#This Row],[GRAMAJE CAMARONERA]]</f>
        <v>-0.5</v>
      </c>
      <c r="AV183" s="183" t="str">
        <f>+VLOOKUP(TablaPrincipal[[#This Row],[CODIGO]],TablaCosechas[#All],10,0)</f>
        <v>NESTOR MOGOLLON</v>
      </c>
      <c r="AW183" s="183" t="s">
        <v>274</v>
      </c>
      <c r="AX183" s="188" t="str">
        <f>+VLOOKUP(TablaPrincipal[[#This Row],[CODIGO]],TablaCosechas[#All],10,0)</f>
        <v>NESTOR MOGOLLON</v>
      </c>
    </row>
    <row r="184" spans="1:50" hidden="1" x14ac:dyDescent="0.25">
      <c r="A184" s="196">
        <v>46091</v>
      </c>
      <c r="B184" s="183">
        <v>182</v>
      </c>
      <c r="C184" s="183">
        <f>YEAR(TablaPrincipal[[#This Row],[FECHA]])</f>
        <v>2026</v>
      </c>
      <c r="D184" s="183" t="s">
        <v>256</v>
      </c>
      <c r="E184" s="183" t="str">
        <f>UPPER(TEXT(TablaPrincipal[[#This Row],[FECHA]],"MMMM"))</f>
        <v>MARZO</v>
      </c>
      <c r="F184" s="183" t="str">
        <f>IFERROR(VLOOKUP(TablaPrincipal[[#This Row],[CODIGO]],COSECHAS!A:J,9,0),"-")</f>
        <v>20</v>
      </c>
      <c r="G184" s="183" t="str">
        <f>IFERROR(VLOOKUP(TablaPrincipal[[#This Row],[CODIGO]],COSECHAS!A:I,8,0),"-")</f>
        <v>PARGO ROJO</v>
      </c>
      <c r="H184" s="184">
        <f>IFERROR(VLOOKUP(TablaPrincipal[[#This Row],[CODIGO]],DATOS!A:B,2,0),"-")</f>
        <v>4</v>
      </c>
      <c r="I184" s="183" t="str">
        <f>IFERROR(VLOOKUP(TablaPrincipal[[#This Row],[CODIGO]],Tabla8[[#Headers],[#Data]],3,0),"-")</f>
        <v>CONVENCIONAL</v>
      </c>
      <c r="J184" s="183">
        <f>IFERROR(TablaPrincipal[[#This Row],[FECHA]]-TablaPrincipal[[#This Row],[FECHA DE SIEMBRA]],"-")</f>
        <v>72</v>
      </c>
      <c r="K184" s="196">
        <f>VLOOKUP(TablaPrincipal[[#This Row],[CODIGO]]&amp;TablaPrincipal[[#This Row],[AGUAJE ]],Tabla4[#All],4,0)</f>
        <v>46019</v>
      </c>
      <c r="L184" s="183" t="str">
        <f>VLOOKUP(TablaPrincipal[[#This Row],[CODIGO]]&amp;TablaPrincipal[[#This Row],[AGUAJE ]],Tabla4[#All],15,0)</f>
        <v>PR 4</v>
      </c>
      <c r="M184" s="184">
        <f>VLOOKUP(TablaPrincipal[[#This Row],[CODIGO]]&amp;TablaPrincipal[[#This Row],[AGUAJE ]],Tabla4[#All],14,0)</f>
        <v>0.45</v>
      </c>
      <c r="N184" s="183">
        <v>13</v>
      </c>
      <c r="O184" s="209">
        <f>VLOOKUP(TablaPrincipal[[#This Row],[CODIGO]]&amp;TablaPrincipal[[#This Row],[AGUAJE ]],Tabla4[#All],5,0)</f>
        <v>720000</v>
      </c>
      <c r="P184" s="221">
        <f>IFERROR(TablaPrincipal[[#This Row],[ANIM SEMBRADOS]]/TablaPrincipal[[#This Row],[HAS]],"-")</f>
        <v>180000</v>
      </c>
      <c r="Q184" s="223">
        <f>IFERROR(TablaPrincipal[[#This Row],[DENSIDAD]]/10000,"-")</f>
        <v>18</v>
      </c>
      <c r="R184" s="183" t="str">
        <f>VLOOKUP(TablaPrincipal[[#This Row],[CODIGO]]&amp;TablaPrincipal[[#This Row],[AGUAJE ]],Tabla4[#All],8,0)</f>
        <v>AMBARTEK</v>
      </c>
      <c r="S184" s="183" t="str">
        <f>VLOOKUP(TablaPrincipal[[#This Row],[CODIGO]]&amp;TablaPrincipal[[#This Row],[AGUAJE ]],Tabla4[#All],7,0)</f>
        <v>TEXCUMAR</v>
      </c>
      <c r="T184" s="183" t="str">
        <f>IF(ISNUMBER(FIND("/",TablaPrincipal[[#This Row],[LABORATORIO]])),"COMBINADO","UNICO")</f>
        <v>UNICO</v>
      </c>
      <c r="U1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3000</v>
      </c>
      <c r="V1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3049.34</v>
      </c>
      <c r="W1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1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16.02</v>
      </c>
      <c r="Y184" s="185">
        <f>IFERROR(TablaPrincipal[[#This Row],[LIBRAS RALEO PLANTA]]/TablaPrincipal[[#This Row],[HAS]],"-")</f>
        <v>762.33500000000004</v>
      </c>
      <c r="Z1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86417.001248439454</v>
      </c>
      <c r="AA18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11200</v>
      </c>
      <c r="AB1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12005.44</v>
      </c>
      <c r="AC184" s="186">
        <f>SUMIFS(COSECHAS!F:F,COSECHAS!A:A,'BASE 2026'!AW:AW,COSECHAS!G:G,"="&amp;A:A)</f>
        <v>25</v>
      </c>
      <c r="AD184" s="186">
        <f>SUMIFS(COSECHAS!M:M,COSECHAS!A:A,'BASE 2026'!AW:AW,COSECHAS!G:G,"="&amp;A:A)</f>
        <v>23.94</v>
      </c>
      <c r="AE184" s="185">
        <f>IFERROR(TablaPrincipal[[#This Row],[LIBRAS PLANTA]]/TablaPrincipal[[#This Row],[HAS]],"-")</f>
        <v>3001.36</v>
      </c>
      <c r="AF184" s="185">
        <f>IFERROR(TablaPrincipal[[#This Row],[LIBRAS PLANTA]]*454/TablaPrincipal[[#This Row],[GRAMOS PLANTA]],"-")</f>
        <v>227672.08688387633</v>
      </c>
      <c r="AG184" s="185">
        <f>TablaPrincipal[[#This Row],[LIBRAS RALEO PLANTA]]+TablaPrincipal[[#This Row],[LIBRAS PLANTA]]</f>
        <v>15054.78</v>
      </c>
      <c r="AH184" s="185">
        <f>IFERROR(TablaPrincipal[[#This Row],[CAM COSECHADOS RALEO]]+TablaPrincipal[[#This Row],[CAM COSECHADOS]],"-")</f>
        <v>314089.08813231578</v>
      </c>
      <c r="AI184" s="185">
        <f>IFERROR((TablaPrincipal[[#This Row],[LIBRAS RALEO PLANTA]]+TablaPrincipal[[#This Row],[LIBRAS PLANTA]])/TablaPrincipal[[#This Row],[HAS]],"0")</f>
        <v>3763.6950000000002</v>
      </c>
      <c r="AJ184" s="186">
        <f t="shared" si="2"/>
        <v>2.3275000000000001</v>
      </c>
      <c r="AK184" s="186">
        <f>IFERROR(TablaPrincipal[[#This Row],[LBS/HA]]/TablaPrincipal[[#This Row],[DIAS]],"-")</f>
        <v>52.273541666666667</v>
      </c>
      <c r="AL184" s="186">
        <f>IFERROR(TablaPrincipal[[#This Row],[CAM COSECHADOS TOTALES]]/TablaPrincipal[[#This Row],[ANIM SEMBRADOS]]*100,"-")</f>
        <v>43.623484462821636</v>
      </c>
      <c r="AM184" s="185">
        <v>25633.986500000003</v>
      </c>
      <c r="AN184" s="187">
        <f>IFERROR(((TablaPrincipal[[#This Row],[BALANCEADO ACUMULADO (LBS)]]/2.2046)/TablaPrincipal[[#This Row],[HAS]])/TablaPrincipal[[#This Row],[DIAS]],"-")</f>
        <v>40.373263888888886</v>
      </c>
      <c r="AO184" s="184">
        <f>IFERROR(TablaPrincipal[[#This Row],[BALANCEADO ACUMULADO (LBS)]]/TablaPrincipal[[#This Row],[LIBRAS TOTALES]],"-")</f>
        <v>1.7027141213621191</v>
      </c>
      <c r="AP184" s="184"/>
      <c r="AQ184" s="184"/>
      <c r="AR184" s="185">
        <f>TablaPrincipal[[#This Row],[LIBRAS RALEO PLANTA]]-TablaPrincipal[[#This Row],[LIBRAS RALEO CAMARONERA]]</f>
        <v>49.340000000000146</v>
      </c>
      <c r="AS184" s="185">
        <f>TablaPrincipal[[#This Row],[LIBRAS PLANTA]]-TablaPrincipal[[#This Row],[LIBRAS CAMARONERA]]</f>
        <v>805.44000000000051</v>
      </c>
      <c r="AT184" s="187">
        <f>TablaPrincipal[[#This Row],[GRAMAJE RALEO PLANTA]]-TablaPrincipal[[#This Row],[GRAMAJE RALEO CAMARONERA]]</f>
        <v>1.0199999999999996</v>
      </c>
      <c r="AU184" s="187">
        <f>TablaPrincipal[[#This Row],[GRAMOS PLANTA]]-TablaPrincipal[[#This Row],[GRAMAJE CAMARONERA]]</f>
        <v>-1.0599999999999987</v>
      </c>
      <c r="AV184" s="183" t="str">
        <f>+VLOOKUP(TablaPrincipal[[#This Row],[CODIGO]],TablaCosechas[#All],10,0)</f>
        <v>WILMER TORRES</v>
      </c>
      <c r="AW184" s="183" t="s">
        <v>275</v>
      </c>
      <c r="AX184" s="188" t="str">
        <f>+VLOOKUP(TablaPrincipal[[#This Row],[CODIGO]],TablaCosechas[#All],10,0)</f>
        <v>WILMER TORRES</v>
      </c>
    </row>
    <row r="185" spans="1:50" hidden="1" x14ac:dyDescent="0.25">
      <c r="A185" s="196">
        <v>46091</v>
      </c>
      <c r="B185" s="183">
        <v>183</v>
      </c>
      <c r="C185" s="183">
        <f>YEAR(TablaPrincipal[[#This Row],[FECHA]])</f>
        <v>2026</v>
      </c>
      <c r="D185" s="183" t="s">
        <v>256</v>
      </c>
      <c r="E185" s="183" t="str">
        <f>UPPER(TEXT(TablaPrincipal[[#This Row],[FECHA]],"MMMM"))</f>
        <v>MARZO</v>
      </c>
      <c r="F185" s="183" t="str">
        <f>IFERROR(VLOOKUP(TablaPrincipal[[#This Row],[CODIGO]],COSECHAS!A:J,9,0),"-")</f>
        <v>08</v>
      </c>
      <c r="G185" s="183" t="str">
        <f>IFERROR(VLOOKUP(TablaPrincipal[[#This Row],[CODIGO]],COSECHAS!A:I,8,0),"-")</f>
        <v>DELFIN</v>
      </c>
      <c r="H185" s="184">
        <f>IFERROR(VLOOKUP(TablaPrincipal[[#This Row],[CODIGO]],DATOS!A:B,2,0),"-")</f>
        <v>8.15</v>
      </c>
      <c r="I185" s="183" t="str">
        <f>IFERROR(VLOOKUP(TablaPrincipal[[#This Row],[CODIGO]],Tabla8[[#Headers],[#Data]],3,0),"-")</f>
        <v>CONVENCIONAL</v>
      </c>
      <c r="J185" s="183">
        <f>IFERROR(TablaPrincipal[[#This Row],[FECHA]]-TablaPrincipal[[#This Row],[FECHA DE SIEMBRA]],"-")</f>
        <v>83</v>
      </c>
      <c r="K185" s="196">
        <f>VLOOKUP(TablaPrincipal[[#This Row],[CODIGO]]&amp;TablaPrincipal[[#This Row],[AGUAJE ]],Tabla4[#All],4,0)</f>
        <v>46008</v>
      </c>
      <c r="L185" s="183" t="str">
        <f>VLOOKUP(TablaPrincipal[[#This Row],[CODIGO]]&amp;TablaPrincipal[[#This Row],[AGUAJE ]],Tabla4[#All],15,0)</f>
        <v>DE 4</v>
      </c>
      <c r="M185" s="184">
        <f>VLOOKUP(TablaPrincipal[[#This Row],[CODIGO]]&amp;TablaPrincipal[[#This Row],[AGUAJE ]],Tabla4[#All],14,0)</f>
        <v>0.32</v>
      </c>
      <c r="N185" s="183">
        <v>6</v>
      </c>
      <c r="O185" s="209">
        <f>VLOOKUP(TablaPrincipal[[#This Row],[CODIGO]]&amp;TablaPrincipal[[#This Row],[AGUAJE ]],Tabla4[#All],5,0)</f>
        <v>1222500</v>
      </c>
      <c r="P185" s="221">
        <f>IFERROR(TablaPrincipal[[#This Row],[ANIM SEMBRADOS]]/TablaPrincipal[[#This Row],[HAS]],"-")</f>
        <v>150000</v>
      </c>
      <c r="Q185" s="223">
        <f>IFERROR(TablaPrincipal[[#This Row],[DENSIDAD]]/10000,"-")</f>
        <v>15</v>
      </c>
      <c r="R185" s="183" t="str">
        <f>VLOOKUP(TablaPrincipal[[#This Row],[CODIGO]]&amp;TablaPrincipal[[#This Row],[AGUAJE ]],Tabla4[#All],8,0)</f>
        <v>EMPAGRAN</v>
      </c>
      <c r="S185" s="183" t="str">
        <f>VLOOKUP(TablaPrincipal[[#This Row],[CODIGO]]&amp;TablaPrincipal[[#This Row],[AGUAJE ]],Tabla4[#All],7,0)</f>
        <v>EMPAGRAN</v>
      </c>
      <c r="T185" s="183" t="str">
        <f>IF(ISNUMBER(FIND("/",TablaPrincipal[[#This Row],[LABORATORIO]])),"COMBINADO","UNICO")</f>
        <v>UNICO</v>
      </c>
      <c r="U1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1750</v>
      </c>
      <c r="V1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1888.03</v>
      </c>
      <c r="W1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1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</v>
      </c>
      <c r="Y185" s="185">
        <f>IFERROR(TablaPrincipal[[#This Row],[LIBRAS RALEO PLANTA]]/TablaPrincipal[[#This Row],[HAS]],"-")</f>
        <v>231.66012269938648</v>
      </c>
      <c r="Z1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40432.340566037739</v>
      </c>
      <c r="AA18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36000</v>
      </c>
      <c r="AB1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39026.97</v>
      </c>
      <c r="AC185" s="186">
        <f>SUMIFS(COSECHAS!F:F,COSECHAS!A:A,'BASE 2026'!AW:AW,COSECHAS!G:G,"="&amp;A:A)</f>
        <v>32</v>
      </c>
      <c r="AD185" s="186">
        <f>SUMIFS(COSECHAS!M:M,COSECHAS!A:A,'BASE 2026'!AW:AW,COSECHAS!G:G,"="&amp;A:A)</f>
        <v>34.409999999999997</v>
      </c>
      <c r="AE185" s="185">
        <f>IFERROR(TablaPrincipal[[#This Row],[LIBRAS PLANTA]]/TablaPrincipal[[#This Row],[HAS]],"-")</f>
        <v>4788.5852760736198</v>
      </c>
      <c r="AF185" s="185">
        <f>IFERROR(TablaPrincipal[[#This Row],[LIBRAS PLANTA]]*454/TablaPrincipal[[#This Row],[GRAMOS PLANTA]],"-")</f>
        <v>514915.55884917179</v>
      </c>
      <c r="AG185" s="185">
        <f>TablaPrincipal[[#This Row],[LIBRAS RALEO PLANTA]]+TablaPrincipal[[#This Row],[LIBRAS PLANTA]]</f>
        <v>40915</v>
      </c>
      <c r="AH185" s="185">
        <f>IFERROR(TablaPrincipal[[#This Row],[CAM COSECHADOS RALEO]]+TablaPrincipal[[#This Row],[CAM COSECHADOS]],"-")</f>
        <v>555347.89941520954</v>
      </c>
      <c r="AI185" s="185">
        <f>IFERROR((TablaPrincipal[[#This Row],[LIBRAS RALEO PLANTA]]+TablaPrincipal[[#This Row],[LIBRAS PLANTA]])/TablaPrincipal[[#This Row],[HAS]],"0")</f>
        <v>5020.2453987730059</v>
      </c>
      <c r="AJ185" s="186">
        <f t="shared" si="2"/>
        <v>2.9020481927710837</v>
      </c>
      <c r="AK185" s="186">
        <f>IFERROR(TablaPrincipal[[#This Row],[LBS/HA]]/TablaPrincipal[[#This Row],[DIAS]],"-")</f>
        <v>60.484884322566337</v>
      </c>
      <c r="AL185" s="186">
        <f>IFERROR(TablaPrincipal[[#This Row],[CAM COSECHADOS TOTALES]]/TablaPrincipal[[#This Row],[ANIM SEMBRADOS]]*100,"-")</f>
        <v>45.427231036008955</v>
      </c>
      <c r="AM185" s="185">
        <v>76609.850000000006</v>
      </c>
      <c r="AN185" s="187">
        <f>IFERROR(((TablaPrincipal[[#This Row],[BALANCEADO ACUMULADO (LBS)]]/2.2046)/TablaPrincipal[[#This Row],[HAS]])/TablaPrincipal[[#This Row],[DIAS]],"-")</f>
        <v>51.371128686525239</v>
      </c>
      <c r="AO185" s="184">
        <f>IFERROR(TablaPrincipal[[#This Row],[BALANCEADO ACUMULADO (LBS)]]/TablaPrincipal[[#This Row],[LIBRAS TOTALES]],"-")</f>
        <v>1.8724147623121106</v>
      </c>
      <c r="AP185" s="184"/>
      <c r="AQ185" s="184"/>
      <c r="AR185" s="185">
        <f>TablaPrincipal[[#This Row],[LIBRAS RALEO PLANTA]]-TablaPrincipal[[#This Row],[LIBRAS RALEO CAMARONERA]]</f>
        <v>138.02999999999997</v>
      </c>
      <c r="AS185" s="185">
        <f>TablaPrincipal[[#This Row],[LIBRAS PLANTA]]-TablaPrincipal[[#This Row],[LIBRAS CAMARONERA]]</f>
        <v>3026.9700000000012</v>
      </c>
      <c r="AT185" s="187">
        <f>TablaPrincipal[[#This Row],[GRAMAJE RALEO PLANTA]]-TablaPrincipal[[#This Row],[GRAMAJE RALEO CAMARONERA]]</f>
        <v>2.1999999999999993</v>
      </c>
      <c r="AU185" s="187">
        <f>TablaPrincipal[[#This Row],[GRAMOS PLANTA]]-TablaPrincipal[[#This Row],[GRAMAJE CAMARONERA]]</f>
        <v>2.4099999999999966</v>
      </c>
      <c r="AV185" s="183" t="str">
        <f>+VLOOKUP(TablaPrincipal[[#This Row],[CODIGO]],TablaCosechas[#All],10,0)</f>
        <v>CARLOS FLORES</v>
      </c>
      <c r="AW185" s="183" t="s">
        <v>276</v>
      </c>
      <c r="AX185" s="188" t="str">
        <f>+VLOOKUP(TablaPrincipal[[#This Row],[CODIGO]],TablaCosechas[#All],10,0)</f>
        <v>CARLOS FLORES</v>
      </c>
    </row>
    <row r="186" spans="1:50" hidden="1" x14ac:dyDescent="0.25">
      <c r="A186" s="196">
        <v>46091</v>
      </c>
      <c r="B186" s="183">
        <v>184</v>
      </c>
      <c r="C186" s="183">
        <f>YEAR(TablaPrincipal[[#This Row],[FECHA]])</f>
        <v>2026</v>
      </c>
      <c r="D186" s="183" t="s">
        <v>256</v>
      </c>
      <c r="E186" s="183" t="str">
        <f>UPPER(TEXT(TablaPrincipal[[#This Row],[FECHA]],"MMMM"))</f>
        <v>MARZO</v>
      </c>
      <c r="F186" s="183" t="str">
        <f>IFERROR(VLOOKUP(TablaPrincipal[[#This Row],[CODIGO]],COSECHAS!A:J,9,0),"-")</f>
        <v>05</v>
      </c>
      <c r="G186" s="183" t="str">
        <f>IFERROR(VLOOKUP(TablaPrincipal[[#This Row],[CODIGO]],COSECHAS!A:I,8,0),"-")</f>
        <v>CATANUDA</v>
      </c>
      <c r="H186" s="184">
        <f>IFERROR(VLOOKUP(TablaPrincipal[[#This Row],[CODIGO]],DATOS!A:B,2,0),"-")</f>
        <v>9.4</v>
      </c>
      <c r="I186" s="183" t="str">
        <f>IFERROR(VLOOKUP(TablaPrincipal[[#This Row],[CODIGO]],Tabla8[[#Headers],[#Data]],3,0),"-")</f>
        <v>ASC-BAP</v>
      </c>
      <c r="J186" s="183">
        <f>IFERROR(TablaPrincipal[[#This Row],[FECHA]]-TablaPrincipal[[#This Row],[FECHA DE SIEMBRA]],"-")</f>
        <v>90</v>
      </c>
      <c r="K186" s="196">
        <f>VLOOKUP(TablaPrincipal[[#This Row],[CODIGO]]&amp;TablaPrincipal[[#This Row],[AGUAJE ]],Tabla4[#All],4,0)</f>
        <v>46001</v>
      </c>
      <c r="L186" s="183" t="str">
        <f>VLOOKUP(TablaPrincipal[[#This Row],[CODIGO]]&amp;TablaPrincipal[[#This Row],[AGUAJE ]],Tabla4[#All],15,0)</f>
        <v>CA 6 - 1A</v>
      </c>
      <c r="M186" s="184">
        <f>VLOOKUP(TablaPrincipal[[#This Row],[CODIGO]]&amp;TablaPrincipal[[#This Row],[AGUAJE ]],Tabla4[#All],14,0)</f>
        <v>0.52</v>
      </c>
      <c r="N186" s="183">
        <v>6</v>
      </c>
      <c r="O186" s="209">
        <f>VLOOKUP(TablaPrincipal[[#This Row],[CODIGO]]&amp;TablaPrincipal[[#This Row],[AGUAJE ]],Tabla4[#All],5,0)</f>
        <v>1410000</v>
      </c>
      <c r="P186" s="221">
        <f>IFERROR(TablaPrincipal[[#This Row],[ANIM SEMBRADOS]]/TablaPrincipal[[#This Row],[HAS]],"-")</f>
        <v>150000</v>
      </c>
      <c r="Q186" s="223">
        <f>IFERROR(TablaPrincipal[[#This Row],[DENSIDAD]]/10000,"-")</f>
        <v>15</v>
      </c>
      <c r="R186" s="183" t="str">
        <f>VLOOKUP(TablaPrincipal[[#This Row],[CODIGO]]&amp;TablaPrincipal[[#This Row],[AGUAJE ]],Tabla4[#All],8,0)</f>
        <v>MEGALATINA</v>
      </c>
      <c r="S186" s="183" t="str">
        <f>VLOOKUP(TablaPrincipal[[#This Row],[CODIGO]]&amp;TablaPrincipal[[#This Row],[AGUAJE ]],Tabla4[#All],7,0)</f>
        <v>TEXCUMAR</v>
      </c>
      <c r="T186" s="183" t="str">
        <f>IF(ISNUMBER(FIND("/",TablaPrincipal[[#This Row],[LABORATORIO]])),"COMBINADO","UNICO")</f>
        <v>UNICO</v>
      </c>
      <c r="U1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5600</v>
      </c>
      <c r="V1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5453.13</v>
      </c>
      <c r="W1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18.46</v>
      </c>
      <c r="Y186" s="185">
        <f>IFERROR(TablaPrincipal[[#This Row],[LIBRAS RALEO PLANTA]]/TablaPrincipal[[#This Row],[HAS]],"-")</f>
        <v>580.12021276595749</v>
      </c>
      <c r="Z1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134112.73131094256</v>
      </c>
      <c r="AA18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52900</v>
      </c>
      <c r="AB1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54214.04</v>
      </c>
      <c r="AC186" s="186">
        <f>SUMIFS(COSECHAS!F:F,COSECHAS!A:A,'BASE 2026'!AW:AW,COSECHAS!G:G,"="&amp;A:A)</f>
        <v>39</v>
      </c>
      <c r="AD186" s="186">
        <f>SUMIFS(COSECHAS!M:M,COSECHAS!A:A,'BASE 2026'!AW:AW,COSECHAS!G:G,"="&amp;A:A)</f>
        <v>36.6</v>
      </c>
      <c r="AE186" s="185">
        <f>IFERROR(TablaPrincipal[[#This Row],[LIBRAS PLANTA]]/TablaPrincipal[[#This Row],[HAS]],"-")</f>
        <v>5767.451063829787</v>
      </c>
      <c r="AF186" s="185">
        <f>IFERROR(TablaPrincipal[[#This Row],[LIBRAS PLANTA]]*454/TablaPrincipal[[#This Row],[GRAMOS PLANTA]],"-")</f>
        <v>672491.0972677595</v>
      </c>
      <c r="AG186" s="185">
        <f>TablaPrincipal[[#This Row],[LIBRAS RALEO PLANTA]]+TablaPrincipal[[#This Row],[LIBRAS PLANTA]]</f>
        <v>59667.17</v>
      </c>
      <c r="AH186" s="185">
        <f>IFERROR(TablaPrincipal[[#This Row],[CAM COSECHADOS RALEO]]+TablaPrincipal[[#This Row],[CAM COSECHADOS]],"-")</f>
        <v>806603.82857870206</v>
      </c>
      <c r="AI186" s="185">
        <f>IFERROR((TablaPrincipal[[#This Row],[LIBRAS RALEO PLANTA]]+TablaPrincipal[[#This Row],[LIBRAS PLANTA]])/TablaPrincipal[[#This Row],[HAS]],"0")</f>
        <v>6347.5712765957442</v>
      </c>
      <c r="AJ186" s="186">
        <f t="shared" si="2"/>
        <v>2.8466666666666667</v>
      </c>
      <c r="AK186" s="186">
        <f>IFERROR(TablaPrincipal[[#This Row],[LBS/HA]]/TablaPrincipal[[#This Row],[DIAS]],"-")</f>
        <v>70.528569739952715</v>
      </c>
      <c r="AL186" s="186">
        <f>IFERROR(TablaPrincipal[[#This Row],[CAM COSECHADOS TOTALES]]/TablaPrincipal[[#This Row],[ANIM SEMBRADOS]]*100,"-")</f>
        <v>57.205945289269643</v>
      </c>
      <c r="AM186" s="185">
        <v>79255.37000000001</v>
      </c>
      <c r="AN186" s="187">
        <f>IFERROR(((TablaPrincipal[[#This Row],[BALANCEADO ACUMULADO (LBS)]]/2.2046)/TablaPrincipal[[#This Row],[HAS]])/TablaPrincipal[[#This Row],[DIAS]],"-")</f>
        <v>42.494089834515364</v>
      </c>
      <c r="AO186" s="184">
        <f>IFERROR(TablaPrincipal[[#This Row],[BALANCEADO ACUMULADO (LBS)]]/TablaPrincipal[[#This Row],[LIBRAS TOTALES]],"-")</f>
        <v>1.3282910853657046</v>
      </c>
      <c r="AP186" s="184"/>
      <c r="AQ186" s="184"/>
      <c r="AR186" s="185">
        <f>TablaPrincipal[[#This Row],[LIBRAS RALEO PLANTA]]-TablaPrincipal[[#This Row],[LIBRAS RALEO CAMARONERA]]</f>
        <v>-146.86999999999989</v>
      </c>
      <c r="AS186" s="185">
        <f>TablaPrincipal[[#This Row],[LIBRAS PLANTA]]-TablaPrincipal[[#This Row],[LIBRAS CAMARONERA]]</f>
        <v>1314.0400000000009</v>
      </c>
      <c r="AT186" s="187">
        <f>TablaPrincipal[[#This Row],[GRAMAJE RALEO PLANTA]]-TablaPrincipal[[#This Row],[GRAMAJE RALEO CAMARONERA]]</f>
        <v>0.46000000000000085</v>
      </c>
      <c r="AU186" s="187">
        <f>TablaPrincipal[[#This Row],[GRAMOS PLANTA]]-TablaPrincipal[[#This Row],[GRAMAJE CAMARONERA]]</f>
        <v>-2.3999999999999986</v>
      </c>
      <c r="AV186" s="183" t="str">
        <f>+VLOOKUP(TablaPrincipal[[#This Row],[CODIGO]],TablaCosechas[#All],10,0)</f>
        <v>VICTOR QUINTANA</v>
      </c>
      <c r="AW186" s="183" t="s">
        <v>277</v>
      </c>
      <c r="AX186" s="188" t="str">
        <f>+VLOOKUP(TablaPrincipal[[#This Row],[CODIGO]],TablaCosechas[#All],10,0)</f>
        <v>VICTOR QUINTANA</v>
      </c>
    </row>
    <row r="187" spans="1:50" hidden="1" x14ac:dyDescent="0.25">
      <c r="A187" s="196">
        <v>46091</v>
      </c>
      <c r="B187" s="183">
        <v>185</v>
      </c>
      <c r="C187" s="183">
        <f>YEAR(TablaPrincipal[[#This Row],[FECHA]])</f>
        <v>2026</v>
      </c>
      <c r="D187" s="183" t="s">
        <v>256</v>
      </c>
      <c r="E187" s="183" t="str">
        <f>UPPER(TEXT(TablaPrincipal[[#This Row],[FECHA]],"MMMM"))</f>
        <v>MARZO</v>
      </c>
      <c r="F187" s="183" t="str">
        <f>IFERROR(VLOOKUP(TablaPrincipal[[#This Row],[CODIGO]],COSECHAS!A:J,9,0),"-")</f>
        <v>02</v>
      </c>
      <c r="G187" s="183" t="str">
        <f>IFERROR(VLOOKUP(TablaPrincipal[[#This Row],[CODIGO]],COSECHAS!A:I,8,0),"-")</f>
        <v>MERO</v>
      </c>
      <c r="H187" s="184">
        <f>IFERROR(VLOOKUP(TablaPrincipal[[#This Row],[CODIGO]],DATOS!A:B,2,0),"-")</f>
        <v>2.2999999999999998</v>
      </c>
      <c r="I187" s="183" t="str">
        <f>IFERROR(VLOOKUP(TablaPrincipal[[#This Row],[CODIGO]],Tabla8[[#Headers],[#Data]],3,0),"-")</f>
        <v>CONVENCIONAL</v>
      </c>
      <c r="J187" s="183">
        <f>IFERROR(TablaPrincipal[[#This Row],[FECHA]]-TablaPrincipal[[#This Row],[FECHA DE SIEMBRA]],"-")</f>
        <v>80</v>
      </c>
      <c r="K187" s="196">
        <f>VLOOKUP(TablaPrincipal[[#This Row],[CODIGO]]&amp;TablaPrincipal[[#This Row],[AGUAJE ]],Tabla4[#All],4,0)</f>
        <v>46011</v>
      </c>
      <c r="L187" s="183" t="str">
        <f>VLOOKUP(TablaPrincipal[[#This Row],[CODIGO]]&amp;TablaPrincipal[[#This Row],[AGUAJE ]],Tabla4[#All],15,0)</f>
        <v>ME PC 3</v>
      </c>
      <c r="M187" s="184">
        <f>VLOOKUP(TablaPrincipal[[#This Row],[CODIGO]]&amp;TablaPrincipal[[#This Row],[AGUAJE ]],Tabla4[#All],14,0)</f>
        <v>0.5</v>
      </c>
      <c r="N187" s="183">
        <v>10</v>
      </c>
      <c r="O187" s="209">
        <f>VLOOKUP(TablaPrincipal[[#This Row],[CODIGO]]&amp;TablaPrincipal[[#This Row],[AGUAJE ]],Tabla4[#All],5,0)</f>
        <v>368000</v>
      </c>
      <c r="P187" s="221">
        <f>IFERROR(TablaPrincipal[[#This Row],[ANIM SEMBRADOS]]/TablaPrincipal[[#This Row],[HAS]],"-")</f>
        <v>160000</v>
      </c>
      <c r="Q187" s="223">
        <f>IFERROR(TablaPrincipal[[#This Row],[DENSIDAD]]/10000,"-")</f>
        <v>16</v>
      </c>
      <c r="R187" s="183" t="str">
        <f>VLOOKUP(TablaPrincipal[[#This Row],[CODIGO]]&amp;TablaPrincipal[[#This Row],[AGUAJE ]],Tabla4[#All],8,0)</f>
        <v>BIOLACAM</v>
      </c>
      <c r="S187" s="183" t="str">
        <f>VLOOKUP(TablaPrincipal[[#This Row],[CODIGO]]&amp;TablaPrincipal[[#This Row],[AGUAJE ]],Tabla4[#All],7,0)</f>
        <v>TEXCUMAR</v>
      </c>
      <c r="T187" s="183" t="str">
        <f>IF(ISNUMBER(FIND("/",TablaPrincipal[[#This Row],[LABORATORIO]])),"COMBINADO","UNICO")</f>
        <v>UNICO</v>
      </c>
      <c r="U1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2500</v>
      </c>
      <c r="V1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2239.12</v>
      </c>
      <c r="W1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1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25.88</v>
      </c>
      <c r="Y187" s="185">
        <f>IFERROR(TablaPrincipal[[#This Row],[LIBRAS RALEO PLANTA]]/TablaPrincipal[[#This Row],[HAS]],"-")</f>
        <v>973.53043478260872</v>
      </c>
      <c r="Z1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39279.771251931998</v>
      </c>
      <c r="AA18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10300</v>
      </c>
      <c r="AB1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10276.4</v>
      </c>
      <c r="AC187" s="186">
        <f>SUMIFS(COSECHAS!F:F,COSECHAS!A:A,'BASE 2026'!AW:AW,COSECHAS!G:G,"="&amp;A:A)</f>
        <v>45</v>
      </c>
      <c r="AD187" s="186">
        <f>SUMIFS(COSECHAS!M:M,COSECHAS!A:A,'BASE 2026'!AW:AW,COSECHAS!G:G,"="&amp;A:A)</f>
        <v>45.37</v>
      </c>
      <c r="AE187" s="185">
        <f>IFERROR(TablaPrincipal[[#This Row],[LIBRAS PLANTA]]/TablaPrincipal[[#This Row],[HAS]],"-")</f>
        <v>4468</v>
      </c>
      <c r="AF187" s="185">
        <f>IFERROR(TablaPrincipal[[#This Row],[LIBRAS PLANTA]]*454/TablaPrincipal[[#This Row],[GRAMOS PLANTA]],"-")</f>
        <v>102831.95062816839</v>
      </c>
      <c r="AG187" s="185">
        <f>TablaPrincipal[[#This Row],[LIBRAS RALEO PLANTA]]+TablaPrincipal[[#This Row],[LIBRAS PLANTA]]</f>
        <v>12515.52</v>
      </c>
      <c r="AH187" s="185">
        <f>IFERROR(TablaPrincipal[[#This Row],[CAM COSECHADOS RALEO]]+TablaPrincipal[[#This Row],[CAM COSECHADOS]],"-")</f>
        <v>142111.72188010038</v>
      </c>
      <c r="AI187" s="185">
        <f>IFERROR((TablaPrincipal[[#This Row],[LIBRAS RALEO PLANTA]]+TablaPrincipal[[#This Row],[LIBRAS PLANTA]])/TablaPrincipal[[#This Row],[HAS]],"0")</f>
        <v>5441.5304347826095</v>
      </c>
      <c r="AJ187" s="186">
        <f t="shared" si="2"/>
        <v>3.9698749999999996</v>
      </c>
      <c r="AK187" s="186">
        <f>IFERROR(TablaPrincipal[[#This Row],[LBS/HA]]/TablaPrincipal[[#This Row],[DIAS]],"-")</f>
        <v>68.019130434782625</v>
      </c>
      <c r="AL187" s="186">
        <f>IFERROR(TablaPrincipal[[#This Row],[CAM COSECHADOS TOTALES]]/TablaPrincipal[[#This Row],[ANIM SEMBRADOS]]*100,"-")</f>
        <v>38.617315728288148</v>
      </c>
      <c r="AM187" s="185">
        <v>22707.38</v>
      </c>
      <c r="AN187" s="187">
        <f>IFERROR(((TablaPrincipal[[#This Row],[BALANCEADO ACUMULADO (LBS)]]/2.2046)/TablaPrincipal[[#This Row],[HAS]])/TablaPrincipal[[#This Row],[DIAS]],"-")</f>
        <v>55.978260869565226</v>
      </c>
      <c r="AO187" s="184">
        <f>IFERROR(TablaPrincipal[[#This Row],[BALANCEADO ACUMULADO (LBS)]]/TablaPrincipal[[#This Row],[LIBRAS TOTALES]],"-")</f>
        <v>1.8143377182889724</v>
      </c>
      <c r="AP187" s="184"/>
      <c r="AQ187" s="184"/>
      <c r="AR187" s="185">
        <f>TablaPrincipal[[#This Row],[LIBRAS RALEO PLANTA]]-TablaPrincipal[[#This Row],[LIBRAS RALEO CAMARONERA]]</f>
        <v>-260.88000000000011</v>
      </c>
      <c r="AS187" s="185">
        <f>TablaPrincipal[[#This Row],[LIBRAS PLANTA]]-TablaPrincipal[[#This Row],[LIBRAS CAMARONERA]]</f>
        <v>-23.600000000000364</v>
      </c>
      <c r="AT187" s="187">
        <f>TablaPrincipal[[#This Row],[GRAMAJE RALEO PLANTA]]-TablaPrincipal[[#This Row],[GRAMAJE RALEO CAMARONERA]]</f>
        <v>-2.120000000000001</v>
      </c>
      <c r="AU187" s="187">
        <f>TablaPrincipal[[#This Row],[GRAMOS PLANTA]]-TablaPrincipal[[#This Row],[GRAMAJE CAMARONERA]]</f>
        <v>0.36999999999999744</v>
      </c>
      <c r="AV187" s="183" t="str">
        <f>+VLOOKUP(TablaPrincipal[[#This Row],[CODIGO]],TablaCosechas[#All],10,0)</f>
        <v>NESTOR MOGOLLON</v>
      </c>
      <c r="AW187" s="183" t="s">
        <v>278</v>
      </c>
      <c r="AX187" s="188" t="str">
        <f>+VLOOKUP(TablaPrincipal[[#This Row],[CODIGO]],TablaCosechas[#All],10,0)</f>
        <v>NESTOR MOGOLLON</v>
      </c>
    </row>
    <row r="188" spans="1:50" hidden="1" x14ac:dyDescent="0.25">
      <c r="A188" s="196">
        <v>46092</v>
      </c>
      <c r="B188" s="183">
        <v>186</v>
      </c>
      <c r="C188" s="183">
        <f>YEAR(TablaPrincipal[[#This Row],[FECHA]])</f>
        <v>2026</v>
      </c>
      <c r="D188" s="183" t="s">
        <v>256</v>
      </c>
      <c r="E188" s="183" t="str">
        <f>UPPER(TEXT(TablaPrincipal[[#This Row],[FECHA]],"MMMM"))</f>
        <v>MARZO</v>
      </c>
      <c r="F188" s="183" t="str">
        <f>IFERROR(VLOOKUP(TablaPrincipal[[#This Row],[CODIGO]],COSECHAS!A:J,9,0),"-")</f>
        <v>30</v>
      </c>
      <c r="G188" s="183" t="str">
        <f>IFERROR(VLOOKUP(TablaPrincipal[[#This Row],[CODIGO]],COSECHAS!A:I,8,0),"-")</f>
        <v>PARGO ROJO</v>
      </c>
      <c r="H188" s="184">
        <f>IFERROR(VLOOKUP(TablaPrincipal[[#This Row],[CODIGO]],DATOS!A:B,2,0),"-")</f>
        <v>7.4</v>
      </c>
      <c r="I188" s="183" t="str">
        <f>IFERROR(VLOOKUP(TablaPrincipal[[#This Row],[CODIGO]],Tabla8[[#Headers],[#Data]],3,0),"-")</f>
        <v>CONVENCIONAL</v>
      </c>
      <c r="J188" s="183">
        <f>IFERROR(TablaPrincipal[[#This Row],[FECHA]]-TablaPrincipal[[#This Row],[FECHA DE SIEMBRA]],"-")</f>
        <v>61</v>
      </c>
      <c r="K188" s="196">
        <f>VLOOKUP(TablaPrincipal[[#This Row],[CODIGO]]&amp;TablaPrincipal[[#This Row],[AGUAJE ]],Tabla4[#All],4,0)</f>
        <v>46031</v>
      </c>
      <c r="L188" s="183" t="str">
        <f>VLOOKUP(TablaPrincipal[[#This Row],[CODIGO]]&amp;TablaPrincipal[[#This Row],[AGUAJE ]],Tabla4[#All],15,0)</f>
        <v>PR 5</v>
      </c>
      <c r="M188" s="184">
        <f>VLOOKUP(TablaPrincipal[[#This Row],[CODIGO]]&amp;TablaPrincipal[[#This Row],[AGUAJE ]],Tabla4[#All],14,0)</f>
        <v>0.4</v>
      </c>
      <c r="N188" s="183">
        <v>10</v>
      </c>
      <c r="O188" s="209">
        <f>VLOOKUP(TablaPrincipal[[#This Row],[CODIGO]]&amp;TablaPrincipal[[#This Row],[AGUAJE ]],Tabla4[#All],5,0)</f>
        <v>1332000</v>
      </c>
      <c r="P188" s="221">
        <f>IFERROR(TablaPrincipal[[#This Row],[ANIM SEMBRADOS]]/TablaPrincipal[[#This Row],[HAS]],"-")</f>
        <v>180000</v>
      </c>
      <c r="Q188" s="223">
        <f>IFERROR(TablaPrincipal[[#This Row],[DENSIDAD]]/10000,"-")</f>
        <v>18</v>
      </c>
      <c r="R188" s="183" t="str">
        <f>VLOOKUP(TablaPrincipal[[#This Row],[CODIGO]]&amp;TablaPrincipal[[#This Row],[AGUAJE ]],Tabla4[#All],8,0)</f>
        <v>EMPAGRAN</v>
      </c>
      <c r="S188" s="183" t="str">
        <f>VLOOKUP(TablaPrincipal[[#This Row],[CODIGO]]&amp;TablaPrincipal[[#This Row],[AGUAJE ]],Tabla4[#All],7,0)</f>
        <v>EMPAGRAN</v>
      </c>
      <c r="T188" s="183" t="str">
        <f>IF(ISNUMBER(FIND("/",TablaPrincipal[[#This Row],[LABORATORIO]])),"COMBINADO","UNICO")</f>
        <v>UNICO</v>
      </c>
      <c r="U1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8" s="185">
        <f>IFERROR(TablaPrincipal[[#This Row],[LIBRAS RALEO PLANTA]]/TablaPrincipal[[#This Row],[HAS]],"-")</f>
        <v>0</v>
      </c>
      <c r="Z1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1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26046.42</v>
      </c>
      <c r="AC188" s="186">
        <f>SUMIFS(COSECHAS!F:F,COSECHAS!A:A,'BASE 2026'!AW:AW,COSECHAS!G:G,"="&amp;A:A)</f>
        <v>18</v>
      </c>
      <c r="AD188" s="186">
        <f>SUMIFS(COSECHAS!M:M,COSECHAS!A:A,'BASE 2026'!AW:AW,COSECHAS!G:G,"="&amp;A:A)</f>
        <v>19.739999999999998</v>
      </c>
      <c r="AE188" s="185">
        <f>IFERROR(TablaPrincipal[[#This Row],[LIBRAS PLANTA]]/TablaPrincipal[[#This Row],[HAS]],"-")</f>
        <v>3519.786486486486</v>
      </c>
      <c r="AF188" s="185">
        <f>IFERROR(TablaPrincipal[[#This Row],[LIBRAS PLANTA]]*454/TablaPrincipal[[#This Row],[GRAMOS PLANTA]],"-")</f>
        <v>599041.27051671734</v>
      </c>
      <c r="AG188" s="185">
        <f>TablaPrincipal[[#This Row],[LIBRAS RALEO PLANTA]]+TablaPrincipal[[#This Row],[LIBRAS PLANTA]]</f>
        <v>26046.42</v>
      </c>
      <c r="AH188" s="185">
        <f>IFERROR(TablaPrincipal[[#This Row],[CAM COSECHADOS RALEO]]+TablaPrincipal[[#This Row],[CAM COSECHADOS]],"-")</f>
        <v>599041.27051671734</v>
      </c>
      <c r="AI188" s="185">
        <f>IFERROR((TablaPrincipal[[#This Row],[LIBRAS RALEO PLANTA]]+TablaPrincipal[[#This Row],[LIBRAS PLANTA]])/TablaPrincipal[[#This Row],[HAS]],"0")</f>
        <v>3519.786486486486</v>
      </c>
      <c r="AJ188" s="186">
        <f t="shared" si="2"/>
        <v>2.2652459016393443</v>
      </c>
      <c r="AK188" s="186">
        <f>IFERROR(TablaPrincipal[[#This Row],[LBS/HA]]/TablaPrincipal[[#This Row],[DIAS]],"-")</f>
        <v>57.701417811253869</v>
      </c>
      <c r="AL188" s="186">
        <f>IFERROR(TablaPrincipal[[#This Row],[CAM COSECHADOS TOTALES]]/TablaPrincipal[[#This Row],[ANIM SEMBRADOS]]*100,"-")</f>
        <v>44.973068357110911</v>
      </c>
      <c r="AM188" s="185">
        <v>40553.617000000006</v>
      </c>
      <c r="AN188" s="187">
        <f>IFERROR(((TablaPrincipal[[#This Row],[BALANCEADO ACUMULADO (LBS)]]/2.2046)/TablaPrincipal[[#This Row],[HAS]])/TablaPrincipal[[#This Row],[DIAS]],"-")</f>
        <v>40.750996898537885</v>
      </c>
      <c r="AO188" s="184">
        <f>IFERROR(TablaPrincipal[[#This Row],[BALANCEADO ACUMULADO (LBS)]]/TablaPrincipal[[#This Row],[LIBRAS TOTALES]],"-")</f>
        <v>1.5569747013217174</v>
      </c>
      <c r="AP188" s="184"/>
      <c r="AQ188" s="184"/>
      <c r="AR188" s="185">
        <f>TablaPrincipal[[#This Row],[LIBRAS RALEO PLANTA]]-TablaPrincipal[[#This Row],[LIBRAS RALEO CAMARONERA]]</f>
        <v>0</v>
      </c>
      <c r="AS188" s="185">
        <f>TablaPrincipal[[#This Row],[LIBRAS PLANTA]]-TablaPrincipal[[#This Row],[LIBRAS CAMARONERA]]</f>
        <v>2446.4199999999983</v>
      </c>
      <c r="AT188" s="187">
        <f>TablaPrincipal[[#This Row],[GRAMAJE RALEO PLANTA]]-TablaPrincipal[[#This Row],[GRAMAJE RALEO CAMARONERA]]</f>
        <v>0</v>
      </c>
      <c r="AU188" s="187">
        <f>TablaPrincipal[[#This Row],[GRAMOS PLANTA]]-TablaPrincipal[[#This Row],[GRAMAJE CAMARONERA]]</f>
        <v>1.7399999999999984</v>
      </c>
      <c r="AV188" s="183" t="str">
        <f>+VLOOKUP(TablaPrincipal[[#This Row],[CODIGO]],TablaCosechas[#All],10,0)</f>
        <v>WILMER TORRES</v>
      </c>
      <c r="AW188" s="183" t="s">
        <v>279</v>
      </c>
      <c r="AX188" s="188" t="str">
        <f>+VLOOKUP(TablaPrincipal[[#This Row],[CODIGO]],TablaCosechas[#All],10,0)</f>
        <v>WILMER TORRES</v>
      </c>
    </row>
    <row r="189" spans="1:50" hidden="1" x14ac:dyDescent="0.25">
      <c r="A189" s="196">
        <v>46092</v>
      </c>
      <c r="B189" s="183">
        <v>187</v>
      </c>
      <c r="C189" s="183">
        <f>YEAR(TablaPrincipal[[#This Row],[FECHA]])</f>
        <v>2026</v>
      </c>
      <c r="D189" s="183" t="s">
        <v>256</v>
      </c>
      <c r="E189" s="183" t="str">
        <f>UPPER(TEXT(TablaPrincipal[[#This Row],[FECHA]],"MMMM"))</f>
        <v>MARZO</v>
      </c>
      <c r="F189" s="183" t="str">
        <f>IFERROR(VLOOKUP(TablaPrincipal[[#This Row],[CODIGO]],COSECHAS!A:J,9,0),"-")</f>
        <v>01</v>
      </c>
      <c r="G189" s="183" t="str">
        <f>IFERROR(VLOOKUP(TablaPrincipal[[#This Row],[CODIGO]],COSECHAS!A:I,8,0),"-")</f>
        <v>GUATO</v>
      </c>
      <c r="H189" s="184">
        <f>IFERROR(VLOOKUP(TablaPrincipal[[#This Row],[CODIGO]],DATOS!A:B,2,0),"-")</f>
        <v>4.5</v>
      </c>
      <c r="I189" s="183" t="str">
        <f>IFERROR(VLOOKUP(TablaPrincipal[[#This Row],[CODIGO]],Tabla8[[#Headers],[#Data]],3,0),"-")</f>
        <v>CONVENCIONAL</v>
      </c>
      <c r="J189" s="183">
        <f>IFERROR(TablaPrincipal[[#This Row],[FECHA]]-TablaPrincipal[[#This Row],[FECHA DE SIEMBRA]],"-")</f>
        <v>68</v>
      </c>
      <c r="K189" s="196">
        <f>VLOOKUP(TablaPrincipal[[#This Row],[CODIGO]]&amp;TablaPrincipal[[#This Row],[AGUAJE ]],Tabla4[#All],4,0)</f>
        <v>46024</v>
      </c>
      <c r="L189" s="183" t="str">
        <f>VLOOKUP(TablaPrincipal[[#This Row],[CODIGO]]&amp;TablaPrincipal[[#This Row],[AGUAJE ]],Tabla4[#All],15,0)</f>
        <v>GT PC 2</v>
      </c>
      <c r="M189" s="184">
        <f>VLOOKUP(TablaPrincipal[[#This Row],[CODIGO]]&amp;TablaPrincipal[[#This Row],[AGUAJE ]],Tabla4[#All],14,0)</f>
        <v>0.54</v>
      </c>
      <c r="N189" s="183">
        <v>14</v>
      </c>
      <c r="O189" s="209">
        <f>VLOOKUP(TablaPrincipal[[#This Row],[CODIGO]]&amp;TablaPrincipal[[#This Row],[AGUAJE ]],Tabla4[#All],5,0)</f>
        <v>675000</v>
      </c>
      <c r="P189" s="221">
        <f>IFERROR(TablaPrincipal[[#This Row],[ANIM SEMBRADOS]]/TablaPrincipal[[#This Row],[HAS]],"-")</f>
        <v>150000</v>
      </c>
      <c r="Q189" s="223">
        <f>IFERROR(TablaPrincipal[[#This Row],[DENSIDAD]]/10000,"-")</f>
        <v>15</v>
      </c>
      <c r="R189" s="183" t="str">
        <f>VLOOKUP(TablaPrincipal[[#This Row],[CODIGO]]&amp;TablaPrincipal[[#This Row],[AGUAJE ]],Tabla4[#All],8,0)</f>
        <v>TECSERV</v>
      </c>
      <c r="S189" s="183" t="str">
        <f>VLOOKUP(TablaPrincipal[[#This Row],[CODIGO]]&amp;TablaPrincipal[[#This Row],[AGUAJE ]],Tabla4[#All],7,0)</f>
        <v>EMPAGRAN</v>
      </c>
      <c r="T189" s="183" t="str">
        <f>IF(ISNUMBER(FIND("/",TablaPrincipal[[#This Row],[LABORATORIO]])),"COMBINADO","UNICO")</f>
        <v>UNICO</v>
      </c>
      <c r="U1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89" s="185">
        <f>IFERROR(TablaPrincipal[[#This Row],[LIBRAS RALEO PLANTA]]/TablaPrincipal[[#This Row],[HAS]],"-")</f>
        <v>0</v>
      </c>
      <c r="Z1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8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19300</v>
      </c>
      <c r="AB1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20145.169999999998</v>
      </c>
      <c r="AC189" s="186">
        <f>SUMIFS(COSECHAS!F:F,COSECHAS!A:A,'BASE 2026'!AW:AW,COSECHAS!G:G,"="&amp;A:A)</f>
        <v>31</v>
      </c>
      <c r="AD189" s="186">
        <f>SUMIFS(COSECHAS!M:M,COSECHAS!A:A,'BASE 2026'!AW:AW,COSECHAS!G:G,"="&amp;A:A)</f>
        <v>33.25</v>
      </c>
      <c r="AE189" s="185">
        <f>IFERROR(TablaPrincipal[[#This Row],[LIBRAS PLANTA]]/TablaPrincipal[[#This Row],[HAS]],"-")</f>
        <v>4476.7044444444437</v>
      </c>
      <c r="AF189" s="185">
        <f>IFERROR(TablaPrincipal[[#This Row],[LIBRAS PLANTA]]*454/TablaPrincipal[[#This Row],[GRAMOS PLANTA]],"-")</f>
        <v>275064.87759398494</v>
      </c>
      <c r="AG189" s="185">
        <f>TablaPrincipal[[#This Row],[LIBRAS RALEO PLANTA]]+TablaPrincipal[[#This Row],[LIBRAS PLANTA]]</f>
        <v>20145.169999999998</v>
      </c>
      <c r="AH189" s="185">
        <f>IFERROR(TablaPrincipal[[#This Row],[CAM COSECHADOS RALEO]]+TablaPrincipal[[#This Row],[CAM COSECHADOS]],"-")</f>
        <v>275064.87759398494</v>
      </c>
      <c r="AI189" s="185">
        <f>IFERROR((TablaPrincipal[[#This Row],[LIBRAS RALEO PLANTA]]+TablaPrincipal[[#This Row],[LIBRAS PLANTA]])/TablaPrincipal[[#This Row],[HAS]],"0")</f>
        <v>4476.7044444444437</v>
      </c>
      <c r="AJ189" s="186">
        <f t="shared" si="2"/>
        <v>3.4227941176470589</v>
      </c>
      <c r="AK189" s="186">
        <f>IFERROR(TablaPrincipal[[#This Row],[LBS/HA]]/TablaPrincipal[[#This Row],[DIAS]],"-")</f>
        <v>65.833888888888879</v>
      </c>
      <c r="AL189" s="186">
        <f>IFERROR(TablaPrincipal[[#This Row],[CAM COSECHADOS TOTALES]]/TablaPrincipal[[#This Row],[ANIM SEMBRADOS]]*100,"-")</f>
        <v>40.750352236145922</v>
      </c>
      <c r="AM189" s="185">
        <v>27667.730000000003</v>
      </c>
      <c r="AN189" s="187">
        <f>IFERROR(((TablaPrincipal[[#This Row],[BALANCEADO ACUMULADO (LBS)]]/2.2046)/TablaPrincipal[[#This Row],[HAS]])/TablaPrincipal[[#This Row],[DIAS]],"-")</f>
        <v>41.013071895424837</v>
      </c>
      <c r="AO189" s="184">
        <f>IFERROR(TablaPrincipal[[#This Row],[BALANCEADO ACUMULADO (LBS)]]/TablaPrincipal[[#This Row],[LIBRAS TOTALES]],"-")</f>
        <v>1.3734175487225972</v>
      </c>
      <c r="AP189" s="184"/>
      <c r="AQ189" s="184"/>
      <c r="AR189" s="185">
        <f>TablaPrincipal[[#This Row],[LIBRAS RALEO PLANTA]]-TablaPrincipal[[#This Row],[LIBRAS RALEO CAMARONERA]]</f>
        <v>0</v>
      </c>
      <c r="AS189" s="185">
        <f>TablaPrincipal[[#This Row],[LIBRAS PLANTA]]-TablaPrincipal[[#This Row],[LIBRAS CAMARONERA]]</f>
        <v>845.16999999999825</v>
      </c>
      <c r="AT189" s="187">
        <f>TablaPrincipal[[#This Row],[GRAMAJE RALEO PLANTA]]-TablaPrincipal[[#This Row],[GRAMAJE RALEO CAMARONERA]]</f>
        <v>0</v>
      </c>
      <c r="AU189" s="187">
        <f>TablaPrincipal[[#This Row],[GRAMOS PLANTA]]-TablaPrincipal[[#This Row],[GRAMAJE CAMARONERA]]</f>
        <v>2.25</v>
      </c>
      <c r="AV189" s="183" t="str">
        <f>+VLOOKUP(TablaPrincipal[[#This Row],[CODIGO]],TablaCosechas[#All],10,0)</f>
        <v>JULIO SANTOS</v>
      </c>
      <c r="AW189" s="183" t="s">
        <v>280</v>
      </c>
      <c r="AX189" s="188" t="str">
        <f>+VLOOKUP(TablaPrincipal[[#This Row],[CODIGO]],TablaCosechas[#All],10,0)</f>
        <v>JULIO SANTOS</v>
      </c>
    </row>
    <row r="190" spans="1:50" hidden="1" x14ac:dyDescent="0.25">
      <c r="A190" s="196">
        <v>46092</v>
      </c>
      <c r="B190" s="183">
        <v>188</v>
      </c>
      <c r="C190" s="183">
        <f>YEAR(TablaPrincipal[[#This Row],[FECHA]])</f>
        <v>2026</v>
      </c>
      <c r="D190" s="183" t="s">
        <v>256</v>
      </c>
      <c r="E190" s="183" t="str">
        <f>UPPER(TEXT(TablaPrincipal[[#This Row],[FECHA]],"MMMM"))</f>
        <v>MARZO</v>
      </c>
      <c r="F190" s="183" t="str">
        <f>IFERROR(VLOOKUP(TablaPrincipal[[#This Row],[CODIGO]],COSECHAS!A:J,9,0),"-")</f>
        <v>01</v>
      </c>
      <c r="G190" s="183" t="str">
        <f>IFERROR(VLOOKUP(TablaPrincipal[[#This Row],[CODIGO]],COSECHAS!A:I,8,0),"-")</f>
        <v>MERO</v>
      </c>
      <c r="H190" s="184">
        <f>IFERROR(VLOOKUP(TablaPrincipal[[#This Row],[CODIGO]],DATOS!A:B,2,0),"-")</f>
        <v>1.2</v>
      </c>
      <c r="I190" s="183" t="str">
        <f>IFERROR(VLOOKUP(TablaPrincipal[[#This Row],[CODIGO]],Tabla8[[#Headers],[#Data]],3,0),"-")</f>
        <v>CONVENCIONAL</v>
      </c>
      <c r="J190" s="183">
        <f>IFERROR(TablaPrincipal[[#This Row],[FECHA]]-TablaPrincipal[[#This Row],[FECHA DE SIEMBRA]],"-")</f>
        <v>81</v>
      </c>
      <c r="K190" s="196">
        <f>VLOOKUP(TablaPrincipal[[#This Row],[CODIGO]]&amp;TablaPrincipal[[#This Row],[AGUAJE ]],Tabla4[#All],4,0)</f>
        <v>46011</v>
      </c>
      <c r="L190" s="183" t="str">
        <f>VLOOKUP(TablaPrincipal[[#This Row],[CODIGO]]&amp;TablaPrincipal[[#This Row],[AGUAJE ]],Tabla4[#All],15,0)</f>
        <v>ME PC 3</v>
      </c>
      <c r="M190" s="184">
        <f>VLOOKUP(TablaPrincipal[[#This Row],[CODIGO]]&amp;TablaPrincipal[[#This Row],[AGUAJE ]],Tabla4[#All],14,0)</f>
        <v>0.5</v>
      </c>
      <c r="N190" s="183">
        <v>9</v>
      </c>
      <c r="O190" s="209">
        <f>VLOOKUP(TablaPrincipal[[#This Row],[CODIGO]]&amp;TablaPrincipal[[#This Row],[AGUAJE ]],Tabla4[#All],5,0)</f>
        <v>192000</v>
      </c>
      <c r="P190" s="221">
        <f>IFERROR(TablaPrincipal[[#This Row],[ANIM SEMBRADOS]]/TablaPrincipal[[#This Row],[HAS]],"-")</f>
        <v>160000</v>
      </c>
      <c r="Q190" s="223">
        <f>IFERROR(TablaPrincipal[[#This Row],[DENSIDAD]]/10000,"-")</f>
        <v>16</v>
      </c>
      <c r="R190" s="183" t="str">
        <f>VLOOKUP(TablaPrincipal[[#This Row],[CODIGO]]&amp;TablaPrincipal[[#This Row],[AGUAJE ]],Tabla4[#All],8,0)</f>
        <v>BIOLACAM</v>
      </c>
      <c r="S190" s="183" t="str">
        <f>VLOOKUP(TablaPrincipal[[#This Row],[CODIGO]]&amp;TablaPrincipal[[#This Row],[AGUAJE ]],Tabla4[#All],7,0)</f>
        <v>TEXCUMAR</v>
      </c>
      <c r="T190" s="183" t="str">
        <f>IF(ISNUMBER(FIND("/",TablaPrincipal[[#This Row],[LABORATORIO]])),"COMBINADO","UNICO")</f>
        <v>UNICO</v>
      </c>
      <c r="U1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1500</v>
      </c>
      <c r="V1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1406.88</v>
      </c>
      <c r="W1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190" s="185">
        <f>IFERROR(TablaPrincipal[[#This Row],[LIBRAS RALEO PLANTA]]/TablaPrincipal[[#This Row],[HAS]],"-")</f>
        <v>1172.4000000000001</v>
      </c>
      <c r="Z1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25985.497152156226</v>
      </c>
      <c r="AA19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5300</v>
      </c>
      <c r="AB1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5105.9399999999996</v>
      </c>
      <c r="AC190" s="186">
        <f>SUMIFS(COSECHAS!F:F,COSECHAS!A:A,'BASE 2026'!AW:AW,COSECHAS!G:G,"="&amp;A:A)</f>
        <v>45</v>
      </c>
      <c r="AD190" s="186">
        <f>SUMIFS(COSECHAS!M:M,COSECHAS!A:A,'BASE 2026'!AW:AW,COSECHAS!G:G,"="&amp;A:A)</f>
        <v>42.34</v>
      </c>
      <c r="AE190" s="185">
        <f>IFERROR(TablaPrincipal[[#This Row],[LIBRAS PLANTA]]/TablaPrincipal[[#This Row],[HAS]],"-")</f>
        <v>4254.95</v>
      </c>
      <c r="AF190" s="185">
        <f>IFERROR(TablaPrincipal[[#This Row],[LIBRAS PLANTA]]*454/TablaPrincipal[[#This Row],[GRAMOS PLANTA]],"-")</f>
        <v>54749.569201700513</v>
      </c>
      <c r="AG190" s="185">
        <f>TablaPrincipal[[#This Row],[LIBRAS RALEO PLANTA]]+TablaPrincipal[[#This Row],[LIBRAS PLANTA]]</f>
        <v>6512.82</v>
      </c>
      <c r="AH190" s="185">
        <f>IFERROR(TablaPrincipal[[#This Row],[CAM COSECHADOS RALEO]]+TablaPrincipal[[#This Row],[CAM COSECHADOS]],"-")</f>
        <v>80735.066353856731</v>
      </c>
      <c r="AI190" s="185">
        <f>IFERROR((TablaPrincipal[[#This Row],[LIBRAS RALEO PLANTA]]+TablaPrincipal[[#This Row],[LIBRAS PLANTA]])/TablaPrincipal[[#This Row],[HAS]],"0")</f>
        <v>5427.35</v>
      </c>
      <c r="AJ190" s="186">
        <f t="shared" si="2"/>
        <v>3.6590123456790127</v>
      </c>
      <c r="AK190" s="186">
        <f>IFERROR(TablaPrincipal[[#This Row],[LBS/HA]]/TablaPrincipal[[#This Row],[DIAS]],"-")</f>
        <v>67.004320987654324</v>
      </c>
      <c r="AL190" s="186">
        <f>IFERROR(TablaPrincipal[[#This Row],[CAM COSECHADOS TOTALES]]/TablaPrincipal[[#This Row],[ANIM SEMBRADOS]]*100,"-")</f>
        <v>42.049513725967046</v>
      </c>
      <c r="AM190" s="185">
        <v>16754.96</v>
      </c>
      <c r="AN190" s="187">
        <f>IFERROR(((TablaPrincipal[[#This Row],[BALANCEADO ACUMULADO (LBS)]]/2.2046)/TablaPrincipal[[#This Row],[HAS]])/TablaPrincipal[[#This Row],[DIAS]],"-")</f>
        <v>78.189300411522623</v>
      </c>
      <c r="AO190" s="184">
        <f>IFERROR(TablaPrincipal[[#This Row],[BALANCEADO ACUMULADO (LBS)]]/TablaPrincipal[[#This Row],[LIBRAS TOTALES]],"-")</f>
        <v>2.5726121710718246</v>
      </c>
      <c r="AP190" s="184"/>
      <c r="AQ190" s="184"/>
      <c r="AR190" s="185">
        <f>TablaPrincipal[[#This Row],[LIBRAS RALEO PLANTA]]-TablaPrincipal[[#This Row],[LIBRAS RALEO CAMARONERA]]</f>
        <v>-93.119999999999891</v>
      </c>
      <c r="AS190" s="185">
        <f>TablaPrincipal[[#This Row],[LIBRAS PLANTA]]-TablaPrincipal[[#This Row],[LIBRAS CAMARONERA]]</f>
        <v>-194.0600000000004</v>
      </c>
      <c r="AT190" s="187">
        <f>TablaPrincipal[[#This Row],[GRAMAJE RALEO PLANTA]]-TablaPrincipal[[#This Row],[GRAMAJE RALEO CAMARONERA]]</f>
        <v>1.5799999999999983</v>
      </c>
      <c r="AU190" s="187">
        <f>TablaPrincipal[[#This Row],[GRAMOS PLANTA]]-TablaPrincipal[[#This Row],[GRAMAJE CAMARONERA]]</f>
        <v>-2.6599999999999966</v>
      </c>
      <c r="AV190" s="183" t="str">
        <f>+VLOOKUP(TablaPrincipal[[#This Row],[CODIGO]],TablaCosechas[#All],10,0)</f>
        <v>NESTOR MOGOLLON</v>
      </c>
      <c r="AW190" s="183" t="s">
        <v>281</v>
      </c>
      <c r="AX190" s="188" t="str">
        <f>+VLOOKUP(TablaPrincipal[[#This Row],[CODIGO]],TablaCosechas[#All],10,0)</f>
        <v>NESTOR MOGOLLON</v>
      </c>
    </row>
    <row r="191" spans="1:50" hidden="1" x14ac:dyDescent="0.25">
      <c r="A191" s="196">
        <v>46092</v>
      </c>
      <c r="B191" s="183">
        <v>189</v>
      </c>
      <c r="C191" s="183">
        <f>YEAR(TablaPrincipal[[#This Row],[FECHA]])</f>
        <v>2026</v>
      </c>
      <c r="D191" s="183" t="s">
        <v>256</v>
      </c>
      <c r="E191" s="183" t="str">
        <f>UPPER(TEXT(TablaPrincipal[[#This Row],[FECHA]],"MMMM"))</f>
        <v>MARZO</v>
      </c>
      <c r="F191" s="183" t="str">
        <f>IFERROR(VLOOKUP(TablaPrincipal[[#This Row],[CODIGO]],COSECHAS!A:J,9,0),"-")</f>
        <v>10</v>
      </c>
      <c r="G191" s="183" t="str">
        <f>IFERROR(VLOOKUP(TablaPrincipal[[#This Row],[CODIGO]],COSECHAS!A:I,8,0),"-")</f>
        <v>MERO</v>
      </c>
      <c r="H191" s="184">
        <f>IFERROR(VLOOKUP(TablaPrincipal[[#This Row],[CODIGO]],DATOS!A:B,2,0),"-")</f>
        <v>8.5</v>
      </c>
      <c r="I191" s="183" t="str">
        <f>IFERROR(VLOOKUP(TablaPrincipal[[#This Row],[CODIGO]],Tabla8[[#Headers],[#Data]],3,0),"-")</f>
        <v>CONVENCIONAL</v>
      </c>
      <c r="J191" s="183">
        <f>IFERROR(TablaPrincipal[[#This Row],[FECHA]]-TablaPrincipal[[#This Row],[FECHA DE SIEMBRA]],"-")</f>
        <v>80</v>
      </c>
      <c r="K191" s="196">
        <f>VLOOKUP(TablaPrincipal[[#This Row],[CODIGO]]&amp;TablaPrincipal[[#This Row],[AGUAJE ]],Tabla4[#All],4,0)</f>
        <v>46012</v>
      </c>
      <c r="L191" s="183" t="str">
        <f>VLOOKUP(TablaPrincipal[[#This Row],[CODIGO]]&amp;TablaPrincipal[[#This Row],[AGUAJE ]],Tabla4[#All],15,0)</f>
        <v>ME PS12</v>
      </c>
      <c r="M191" s="184">
        <f>VLOOKUP(TablaPrincipal[[#This Row],[CODIGO]]&amp;TablaPrincipal[[#This Row],[AGUAJE ]],Tabla4[#All],14,0)</f>
        <v>0.5</v>
      </c>
      <c r="N191" s="183">
        <v>5</v>
      </c>
      <c r="O191" s="209">
        <f>VLOOKUP(TablaPrincipal[[#This Row],[CODIGO]]&amp;TablaPrincipal[[#This Row],[AGUAJE ]],Tabla4[#All],5,0)</f>
        <v>1445000</v>
      </c>
      <c r="P191" s="221">
        <f>IFERROR(TablaPrincipal[[#This Row],[ANIM SEMBRADOS]]/TablaPrincipal[[#This Row],[HAS]],"-")</f>
        <v>170000</v>
      </c>
      <c r="Q191" s="223">
        <f>IFERROR(TablaPrincipal[[#This Row],[DENSIDAD]]/10000,"-")</f>
        <v>17</v>
      </c>
      <c r="R191" s="183" t="str">
        <f>VLOOKUP(TablaPrincipal[[#This Row],[CODIGO]]&amp;TablaPrincipal[[#This Row],[AGUAJE ]],Tabla4[#All],8,0)</f>
        <v>GABSO</v>
      </c>
      <c r="S191" s="183" t="str">
        <f>VLOOKUP(TablaPrincipal[[#This Row],[CODIGO]]&amp;TablaPrincipal[[#This Row],[AGUAJE ]],Tabla4[#All],7,0)</f>
        <v>TEXCUMAR</v>
      </c>
      <c r="T191" s="183" t="str">
        <f>IF(ISNUMBER(FIND("/",TablaPrincipal[[#This Row],[LABORATORIO]])),"COMBINADO","UNICO")</f>
        <v>UNICO</v>
      </c>
      <c r="U1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28500</v>
      </c>
      <c r="V1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25978.29</v>
      </c>
      <c r="W1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29.5</v>
      </c>
      <c r="X1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30.645000000000003</v>
      </c>
      <c r="Y191" s="185">
        <f>IFERROR(TablaPrincipal[[#This Row],[LIBRAS RALEO PLANTA]]/TablaPrincipal[[#This Row],[HAS]],"-")</f>
        <v>3056.2694117647061</v>
      </c>
      <c r="Z1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390818.72561091522</v>
      </c>
      <c r="AA19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26400</v>
      </c>
      <c r="AB1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27152.560000000001</v>
      </c>
      <c r="AC191" s="186">
        <f>SUMIFS(COSECHAS!F:F,COSECHAS!A:A,'BASE 2026'!AW:AW,COSECHAS!G:G,"="&amp;A:A)</f>
        <v>49</v>
      </c>
      <c r="AD191" s="186">
        <f>SUMIFS(COSECHAS!M:M,COSECHAS!A:A,'BASE 2026'!AW:AW,COSECHAS!G:G,"="&amp;A:A)</f>
        <v>51</v>
      </c>
      <c r="AE191" s="185">
        <f>IFERROR(TablaPrincipal[[#This Row],[LIBRAS PLANTA]]/TablaPrincipal[[#This Row],[HAS]],"-")</f>
        <v>3194.4188235294118</v>
      </c>
      <c r="AF191" s="185">
        <f>IFERROR(TablaPrincipal[[#This Row],[LIBRAS PLANTA]]*454/TablaPrincipal[[#This Row],[GRAMOS PLANTA]],"-")</f>
        <v>241711.0243137255</v>
      </c>
      <c r="AG191" s="185">
        <f>TablaPrincipal[[#This Row],[LIBRAS RALEO PLANTA]]+TablaPrincipal[[#This Row],[LIBRAS PLANTA]]</f>
        <v>53130.850000000006</v>
      </c>
      <c r="AH191" s="185">
        <f>IFERROR(TablaPrincipal[[#This Row],[CAM COSECHADOS RALEO]]+TablaPrincipal[[#This Row],[CAM COSECHADOS]],"-")</f>
        <v>632529.74992464075</v>
      </c>
      <c r="AI191" s="185">
        <f>IFERROR((TablaPrincipal[[#This Row],[LIBRAS RALEO PLANTA]]+TablaPrincipal[[#This Row],[LIBRAS PLANTA]])/TablaPrincipal[[#This Row],[HAS]],"0")</f>
        <v>6250.6882352941184</v>
      </c>
      <c r="AJ191" s="186">
        <f t="shared" si="2"/>
        <v>4.4624999999999995</v>
      </c>
      <c r="AK191" s="186">
        <f>IFERROR(TablaPrincipal[[#This Row],[LBS/HA]]/TablaPrincipal[[#This Row],[DIAS]],"-")</f>
        <v>78.133602941176477</v>
      </c>
      <c r="AL191" s="186">
        <f>IFERROR(TablaPrincipal[[#This Row],[CAM COSECHADOS TOTALES]]/TablaPrincipal[[#This Row],[ANIM SEMBRADOS]]*100,"-")</f>
        <v>43.773685115892093</v>
      </c>
      <c r="AM191" s="185">
        <v>74818.612500000003</v>
      </c>
      <c r="AN191" s="187">
        <f>IFERROR(((TablaPrincipal[[#This Row],[BALANCEADO ACUMULADO (LBS)]]/2.2046)/TablaPrincipal[[#This Row],[HAS]])/TablaPrincipal[[#This Row],[DIAS]],"-")</f>
        <v>49.908088235294116</v>
      </c>
      <c r="AO191" s="184">
        <f>IFERROR(TablaPrincipal[[#This Row],[BALANCEADO ACUMULADO (LBS)]]/TablaPrincipal[[#This Row],[LIBRAS TOTALES]],"-")</f>
        <v>1.408195285789706</v>
      </c>
      <c r="AP191" s="184"/>
      <c r="AQ191" s="184"/>
      <c r="AR191" s="185">
        <f>TablaPrincipal[[#This Row],[LIBRAS RALEO PLANTA]]-TablaPrincipal[[#This Row],[LIBRAS RALEO CAMARONERA]]</f>
        <v>-2521.7099999999991</v>
      </c>
      <c r="AS191" s="185">
        <f>TablaPrincipal[[#This Row],[LIBRAS PLANTA]]-TablaPrincipal[[#This Row],[LIBRAS CAMARONERA]]</f>
        <v>752.56000000000131</v>
      </c>
      <c r="AT191" s="187">
        <f>TablaPrincipal[[#This Row],[GRAMAJE RALEO PLANTA]]-TablaPrincipal[[#This Row],[GRAMAJE RALEO CAMARONERA]]</f>
        <v>1.1450000000000031</v>
      </c>
      <c r="AU191" s="187">
        <f>TablaPrincipal[[#This Row],[GRAMOS PLANTA]]-TablaPrincipal[[#This Row],[GRAMAJE CAMARONERA]]</f>
        <v>2</v>
      </c>
      <c r="AV191" s="183" t="str">
        <f>+VLOOKUP(TablaPrincipal[[#This Row],[CODIGO]],TablaCosechas[#All],10,0)</f>
        <v>NESTOR MOGOLLON</v>
      </c>
      <c r="AW191" s="183" t="s">
        <v>282</v>
      </c>
      <c r="AX191" s="188" t="str">
        <f>+VLOOKUP(TablaPrincipal[[#This Row],[CODIGO]],TablaCosechas[#All],10,0)</f>
        <v>NESTOR MOGOLLON</v>
      </c>
    </row>
    <row r="192" spans="1:50" hidden="1" x14ac:dyDescent="0.25">
      <c r="A192" s="196">
        <v>46092</v>
      </c>
      <c r="B192" s="183">
        <v>190</v>
      </c>
      <c r="C192" s="183">
        <f>YEAR(TablaPrincipal[[#This Row],[FECHA]])</f>
        <v>2026</v>
      </c>
      <c r="D192" s="183" t="s">
        <v>256</v>
      </c>
      <c r="E192" s="183" t="str">
        <f>UPPER(TEXT(TablaPrincipal[[#This Row],[FECHA]],"MMMM"))</f>
        <v>MARZO</v>
      </c>
      <c r="F192" s="183" t="str">
        <f>IFERROR(VLOOKUP(TablaPrincipal[[#This Row],[CODIGO]],COSECHAS!A:J,9,0),"-")</f>
        <v>10</v>
      </c>
      <c r="G192" s="183" t="str">
        <f>IFERROR(VLOOKUP(TablaPrincipal[[#This Row],[CODIGO]],COSECHAS!A:I,8,0),"-")</f>
        <v>DELFIN</v>
      </c>
      <c r="H192" s="184">
        <f>IFERROR(VLOOKUP(TablaPrincipal[[#This Row],[CODIGO]],DATOS!A:B,2,0),"-")</f>
        <v>8.8699999999999992</v>
      </c>
      <c r="I192" s="183" t="str">
        <f>IFERROR(VLOOKUP(TablaPrincipal[[#This Row],[CODIGO]],Tabla8[[#Headers],[#Data]],3,0),"-")</f>
        <v>CONVENCIONAL</v>
      </c>
      <c r="J192" s="183">
        <f>IFERROR(TablaPrincipal[[#This Row],[FECHA]]-TablaPrincipal[[#This Row],[FECHA DE SIEMBRA]],"-")</f>
        <v>58</v>
      </c>
      <c r="K192" s="196">
        <f>VLOOKUP(TablaPrincipal[[#This Row],[CODIGO]]&amp;TablaPrincipal[[#This Row],[AGUAJE ]],Tabla4[#All],4,0)</f>
        <v>46034</v>
      </c>
      <c r="L192" s="183" t="str">
        <f>VLOOKUP(TablaPrincipal[[#This Row],[CODIGO]]&amp;TablaPrincipal[[#This Row],[AGUAJE ]],Tabla4[#All],15,0)</f>
        <v>DE PS 11</v>
      </c>
      <c r="M192" s="184">
        <f>VLOOKUP(TablaPrincipal[[#This Row],[CODIGO]]&amp;TablaPrincipal[[#This Row],[AGUAJE ]],Tabla4[#All],14,0)</f>
        <v>2.5</v>
      </c>
      <c r="N192" s="183">
        <v>13</v>
      </c>
      <c r="O192" s="209">
        <f>VLOOKUP(TablaPrincipal[[#This Row],[CODIGO]]&amp;TablaPrincipal[[#This Row],[AGUAJE ]],Tabla4[#All],5,0)</f>
        <v>1153100</v>
      </c>
      <c r="P192" s="221">
        <f>IFERROR(TablaPrincipal[[#This Row],[ANIM SEMBRADOS]]/TablaPrincipal[[#This Row],[HAS]],"-")</f>
        <v>130000.00000000001</v>
      </c>
      <c r="Q192" s="223">
        <f>IFERROR(TablaPrincipal[[#This Row],[DENSIDAD]]/10000,"-")</f>
        <v>13.000000000000002</v>
      </c>
      <c r="R192" s="183" t="str">
        <f>VLOOKUP(TablaPrincipal[[#This Row],[CODIGO]]&amp;TablaPrincipal[[#This Row],[AGUAJE ]],Tabla4[#All],8,0)</f>
        <v>EMPAGRAN</v>
      </c>
      <c r="S192" s="183" t="str">
        <f>VLOOKUP(TablaPrincipal[[#This Row],[CODIGO]]&amp;TablaPrincipal[[#This Row],[AGUAJE ]],Tabla4[#All],7,0)</f>
        <v>EMPAGRAN</v>
      </c>
      <c r="T192" s="183" t="str">
        <f>IF(ISNUMBER(FIND("/",TablaPrincipal[[#This Row],[LABORATORIO]])),"COMBINADO","UNICO")</f>
        <v>UNICO</v>
      </c>
      <c r="U1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7500</v>
      </c>
      <c r="V1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6829.79</v>
      </c>
      <c r="W1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1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21.08</v>
      </c>
      <c r="Y192" s="185">
        <f>IFERROR(TablaPrincipal[[#This Row],[LIBRAS RALEO PLANTA]]/TablaPrincipal[[#This Row],[HAS]],"-")</f>
        <v>769.9875986471252</v>
      </c>
      <c r="Z1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147093.20018975335</v>
      </c>
      <c r="AA19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1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26384.6</v>
      </c>
      <c r="AC192" s="186">
        <f>SUMIFS(COSECHAS!F:F,COSECHAS!A:A,'BASE 2026'!AW:AW,COSECHAS!G:G,"="&amp;A:A)</f>
        <v>28</v>
      </c>
      <c r="AD192" s="186">
        <f>SUMIFS(COSECHAS!M:M,COSECHAS!A:A,'BASE 2026'!AW:AW,COSECHAS!G:G,"="&amp;A:A)</f>
        <v>28.24</v>
      </c>
      <c r="AE192" s="185">
        <f>IFERROR(TablaPrincipal[[#This Row],[LIBRAS PLANTA]]/TablaPrincipal[[#This Row],[HAS]],"-")</f>
        <v>2974.5885005636978</v>
      </c>
      <c r="AF192" s="185">
        <f>IFERROR(TablaPrincipal[[#This Row],[LIBRAS PLANTA]]*454/TablaPrincipal[[#This Row],[GRAMOS PLANTA]],"-")</f>
        <v>424171.68555240793</v>
      </c>
      <c r="AG192" s="185">
        <f>TablaPrincipal[[#This Row],[LIBRAS RALEO PLANTA]]+TablaPrincipal[[#This Row],[LIBRAS PLANTA]]</f>
        <v>33214.39</v>
      </c>
      <c r="AH192" s="185">
        <f>IFERROR(TablaPrincipal[[#This Row],[CAM COSECHADOS RALEO]]+TablaPrincipal[[#This Row],[CAM COSECHADOS]],"-")</f>
        <v>571264.88574216131</v>
      </c>
      <c r="AI192" s="185">
        <f>IFERROR((TablaPrincipal[[#This Row],[LIBRAS RALEO PLANTA]]+TablaPrincipal[[#This Row],[LIBRAS PLANTA]])/TablaPrincipal[[#This Row],[HAS]],"0")</f>
        <v>3744.5760992108235</v>
      </c>
      <c r="AJ192" s="186">
        <f t="shared" si="2"/>
        <v>3.4082758620689648</v>
      </c>
      <c r="AK192" s="186">
        <f>IFERROR(TablaPrincipal[[#This Row],[LBS/HA]]/TablaPrincipal[[#This Row],[DIAS]],"-")</f>
        <v>64.561656882945229</v>
      </c>
      <c r="AL192" s="186">
        <f>IFERROR(TablaPrincipal[[#This Row],[CAM COSECHADOS TOTALES]]/TablaPrincipal[[#This Row],[ANIM SEMBRADOS]]*100,"-")</f>
        <v>49.541660371360791</v>
      </c>
      <c r="AM192" s="185">
        <v>70877.89</v>
      </c>
      <c r="AN192" s="187">
        <f>IFERROR(((TablaPrincipal[[#This Row],[BALANCEADO ACUMULADO (LBS)]]/2.2046)/TablaPrincipal[[#This Row],[HAS]])/TablaPrincipal[[#This Row],[DIAS]],"-")</f>
        <v>62.49271080356101</v>
      </c>
      <c r="AO192" s="184">
        <f>IFERROR(TablaPrincipal[[#This Row],[BALANCEADO ACUMULADO (LBS)]]/TablaPrincipal[[#This Row],[LIBRAS TOTALES]],"-")</f>
        <v>2.1339512783465238</v>
      </c>
      <c r="AP192" s="184"/>
      <c r="AQ192" s="184"/>
      <c r="AR192" s="185">
        <f>TablaPrincipal[[#This Row],[LIBRAS RALEO PLANTA]]-TablaPrincipal[[#This Row],[LIBRAS RALEO CAMARONERA]]</f>
        <v>-670.21</v>
      </c>
      <c r="AS192" s="185">
        <f>TablaPrincipal[[#This Row],[LIBRAS PLANTA]]-TablaPrincipal[[#This Row],[LIBRAS CAMARONERA]]</f>
        <v>-215.40000000000146</v>
      </c>
      <c r="AT192" s="187">
        <f>TablaPrincipal[[#This Row],[GRAMAJE RALEO PLANTA]]-TablaPrincipal[[#This Row],[GRAMAJE RALEO CAMARONERA]]</f>
        <v>3.0799999999999983</v>
      </c>
      <c r="AU192" s="187">
        <f>TablaPrincipal[[#This Row],[GRAMOS PLANTA]]-TablaPrincipal[[#This Row],[GRAMAJE CAMARONERA]]</f>
        <v>0.23999999999999844</v>
      </c>
      <c r="AV192" s="183" t="str">
        <f>+VLOOKUP(TablaPrincipal[[#This Row],[CODIGO]],TablaCosechas[#All],10,0)</f>
        <v>CARLOS FLORES</v>
      </c>
      <c r="AW192" s="183" t="s">
        <v>283</v>
      </c>
      <c r="AX192" s="188" t="str">
        <f>+VLOOKUP(TablaPrincipal[[#This Row],[CODIGO]],TablaCosechas[#All],10,0)</f>
        <v>CARLOS FLORES</v>
      </c>
    </row>
    <row r="193" spans="1:50" hidden="1" x14ac:dyDescent="0.25">
      <c r="A193" s="196">
        <v>46093</v>
      </c>
      <c r="B193" s="183">
        <v>191</v>
      </c>
      <c r="C193" s="183">
        <f>YEAR(TablaPrincipal[[#This Row],[FECHA]])</f>
        <v>2026</v>
      </c>
      <c r="D193" s="183" t="s">
        <v>256</v>
      </c>
      <c r="E193" s="183" t="str">
        <f>UPPER(TEXT(TablaPrincipal[[#This Row],[FECHA]],"MMMM"))</f>
        <v>MARZO</v>
      </c>
      <c r="F193" s="183" t="str">
        <f>IFERROR(VLOOKUP(TablaPrincipal[[#This Row],[CODIGO]],COSECHAS!A:J,9,0),"-")</f>
        <v>18</v>
      </c>
      <c r="G193" s="183" t="str">
        <f>IFERROR(VLOOKUP(TablaPrincipal[[#This Row],[CODIGO]],COSECHAS!A:I,8,0),"-")</f>
        <v>PARGO ROJO</v>
      </c>
      <c r="H193" s="184">
        <f>IFERROR(VLOOKUP(TablaPrincipal[[#This Row],[CODIGO]],DATOS!A:B,2,0),"-")</f>
        <v>4</v>
      </c>
      <c r="I193" s="183" t="str">
        <f>IFERROR(VLOOKUP(TablaPrincipal[[#This Row],[CODIGO]],Tabla8[[#Headers],[#Data]],3,0),"-")</f>
        <v>CONVENCIONAL</v>
      </c>
      <c r="J193" s="183">
        <f>IFERROR(TablaPrincipal[[#This Row],[FECHA]]-TablaPrincipal[[#This Row],[FECHA DE SIEMBRA]],"-")</f>
        <v>74</v>
      </c>
      <c r="K193" s="196">
        <f>VLOOKUP(TablaPrincipal[[#This Row],[CODIGO]]&amp;TablaPrincipal[[#This Row],[AGUAJE ]],Tabla4[#All],4,0)</f>
        <v>46019</v>
      </c>
      <c r="L193" s="183" t="str">
        <f>VLOOKUP(TablaPrincipal[[#This Row],[CODIGO]]&amp;TablaPrincipal[[#This Row],[AGUAJE ]],Tabla4[#All],15,0)</f>
        <v>PR 4</v>
      </c>
      <c r="M193" s="184">
        <f>VLOOKUP(TablaPrincipal[[#This Row],[CODIGO]]&amp;TablaPrincipal[[#This Row],[AGUAJE ]],Tabla4[#All],14,0)</f>
        <v>0.45</v>
      </c>
      <c r="N193" s="183">
        <v>14</v>
      </c>
      <c r="O193" s="170">
        <f>VLOOKUP(TablaPrincipal[[#This Row],[CODIGO]]&amp;TablaPrincipal[[#This Row],[AGUAJE ]],Tabla4[#All],5,0)</f>
        <v>720000</v>
      </c>
      <c r="P193" s="221">
        <f>IFERROR(TablaPrincipal[[#This Row],[ANIM SEMBRADOS]]/TablaPrincipal[[#This Row],[HAS]],"-")</f>
        <v>180000</v>
      </c>
      <c r="Q193" s="222">
        <f>IFERROR(TablaPrincipal[[#This Row],[DENSIDAD]]/10000,"-")</f>
        <v>18</v>
      </c>
      <c r="R193" s="183" t="str">
        <f>VLOOKUP(TablaPrincipal[[#This Row],[CODIGO]]&amp;TablaPrincipal[[#This Row],[AGUAJE ]],Tabla4[#All],8,0)</f>
        <v>AMBARTEK</v>
      </c>
      <c r="S193" s="183" t="str">
        <f>VLOOKUP(TablaPrincipal[[#This Row],[CODIGO]]&amp;TablaPrincipal[[#This Row],[AGUAJE ]],Tabla4[#All],7,0)</f>
        <v>TEXCUMAR</v>
      </c>
      <c r="T193" s="183" t="str">
        <f>IF(ISNUMBER(FIND("/",TablaPrincipal[[#This Row],[LABORATORIO]])),"COMBINADO","UNICO")</f>
        <v>UNICO</v>
      </c>
      <c r="U1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2850</v>
      </c>
      <c r="V1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2883.72</v>
      </c>
      <c r="W1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14</v>
      </c>
      <c r="X1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16.100000000000001</v>
      </c>
      <c r="Y193" s="185">
        <f>IFERROR(TablaPrincipal[[#This Row],[LIBRAS RALEO PLANTA]]/TablaPrincipal[[#This Row],[HAS]],"-")</f>
        <v>720.93</v>
      </c>
      <c r="Z1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81317.321739130421</v>
      </c>
      <c r="AA19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12700</v>
      </c>
      <c r="AB1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13680.08</v>
      </c>
      <c r="AC193" s="186">
        <f>SUMIFS(COSECHAS!F:F,COSECHAS!A:A,'BASE 2026'!AW:AW,COSECHAS!G:G,"="&amp;A:A)</f>
        <v>23</v>
      </c>
      <c r="AD193" s="186">
        <f>SUMIFS(COSECHAS!M:M,COSECHAS!A:A,'BASE 2026'!AW:AW,COSECHAS!G:G,"="&amp;A:A)</f>
        <v>23.6</v>
      </c>
      <c r="AE193" s="185">
        <f>IFERROR(TablaPrincipal[[#This Row],[LIBRAS PLANTA]]/TablaPrincipal[[#This Row],[HAS]],"-")</f>
        <v>3420.02</v>
      </c>
      <c r="AF193" s="185">
        <f>IFERROR(TablaPrincipal[[#This Row],[LIBRAS PLANTA]]*454/TablaPrincipal[[#This Row],[GRAMOS PLANTA]],"-")</f>
        <v>263167.64067796612</v>
      </c>
      <c r="AG193" s="185">
        <f>TablaPrincipal[[#This Row],[LIBRAS RALEO PLANTA]]+TablaPrincipal[[#This Row],[LIBRAS PLANTA]]</f>
        <v>16563.8</v>
      </c>
      <c r="AH193" s="185">
        <f>IFERROR(TablaPrincipal[[#This Row],[CAM COSECHADOS RALEO]]+TablaPrincipal[[#This Row],[CAM COSECHADOS]],"-")</f>
        <v>344484.96241709654</v>
      </c>
      <c r="AI193" s="185">
        <f>IFERROR((TablaPrincipal[[#This Row],[LIBRAS RALEO PLANTA]]+TablaPrincipal[[#This Row],[LIBRAS PLANTA]])/TablaPrincipal[[#This Row],[HAS]],"0")</f>
        <v>4140.95</v>
      </c>
      <c r="AJ193" s="186">
        <f t="shared" si="2"/>
        <v>2.2324324324324327</v>
      </c>
      <c r="AK193" s="186">
        <f>IFERROR(TablaPrincipal[[#This Row],[LBS/HA]]/TablaPrincipal[[#This Row],[DIAS]],"-")</f>
        <v>55.95878378378378</v>
      </c>
      <c r="AL193" s="186">
        <f>IFERROR(TablaPrincipal[[#This Row],[CAM COSECHADOS TOTALES]]/TablaPrincipal[[#This Row],[ANIM SEMBRADOS]]*100,"-")</f>
        <v>47.845133669041182</v>
      </c>
      <c r="AM193" s="185">
        <v>28455.874500000002</v>
      </c>
      <c r="AN193" s="187">
        <f>IFERROR(((TablaPrincipal[[#This Row],[BALANCEADO ACUMULADO (LBS)]]/2.2046)/TablaPrincipal[[#This Row],[HAS]])/TablaPrincipal[[#This Row],[DIAS]],"-")</f>
        <v>43.606418918918919</v>
      </c>
      <c r="AO193" s="184">
        <f>IFERROR(TablaPrincipal[[#This Row],[BALANCEADO ACUMULADO (LBS)]]/TablaPrincipal[[#This Row],[LIBRAS TOTALES]],"-")</f>
        <v>1.717955692534322</v>
      </c>
      <c r="AP193" s="184"/>
      <c r="AQ193" s="184"/>
      <c r="AR193" s="185">
        <f>TablaPrincipal[[#This Row],[LIBRAS RALEO PLANTA]]-TablaPrincipal[[#This Row],[LIBRAS RALEO CAMARONERA]]</f>
        <v>33.7199999999998</v>
      </c>
      <c r="AS193" s="185">
        <f>TablaPrincipal[[#This Row],[LIBRAS PLANTA]]-TablaPrincipal[[#This Row],[LIBRAS CAMARONERA]]</f>
        <v>980.07999999999993</v>
      </c>
      <c r="AT193" s="187">
        <f>TablaPrincipal[[#This Row],[GRAMAJE RALEO PLANTA]]-TablaPrincipal[[#This Row],[GRAMAJE RALEO CAMARONERA]]</f>
        <v>2.1000000000000014</v>
      </c>
      <c r="AU193" s="187">
        <f>TablaPrincipal[[#This Row],[GRAMOS PLANTA]]-TablaPrincipal[[#This Row],[GRAMAJE CAMARONERA]]</f>
        <v>0.60000000000000142</v>
      </c>
      <c r="AV193" s="183" t="str">
        <f>+VLOOKUP(TablaPrincipal[[#This Row],[CODIGO]],TablaCosechas[#All],10,0)</f>
        <v>WILMER TORRES</v>
      </c>
      <c r="AW193" s="183" t="s">
        <v>284</v>
      </c>
      <c r="AX193" s="188" t="str">
        <f>+VLOOKUP(TablaPrincipal[[#This Row],[CODIGO]],TablaCosechas[#All],10,0)</f>
        <v>WILMER TORRES</v>
      </c>
    </row>
    <row r="194" spans="1:50" hidden="1" x14ac:dyDescent="0.25">
      <c r="A194" s="196">
        <v>46093</v>
      </c>
      <c r="B194" s="183">
        <v>192</v>
      </c>
      <c r="C194" s="183">
        <f>YEAR(TablaPrincipal[[#This Row],[FECHA]])</f>
        <v>2026</v>
      </c>
      <c r="D194" s="183" t="s">
        <v>256</v>
      </c>
      <c r="E194" s="183" t="str">
        <f>UPPER(TEXT(TablaPrincipal[[#This Row],[FECHA]],"MMMM"))</f>
        <v>MARZO</v>
      </c>
      <c r="F194" s="183" t="str">
        <f>IFERROR(VLOOKUP(TablaPrincipal[[#This Row],[CODIGO]],COSECHAS!A:J,9,0),"-")</f>
        <v>07</v>
      </c>
      <c r="G194" s="183" t="str">
        <f>IFERROR(VLOOKUP(TablaPrincipal[[#This Row],[CODIGO]],COSECHAS!A:I,8,0),"-")</f>
        <v>CHERNA</v>
      </c>
      <c r="H194" s="184">
        <f>IFERROR(VLOOKUP(TablaPrincipal[[#This Row],[CODIGO]],DATOS!A:B,2,0),"-")</f>
        <v>3.3</v>
      </c>
      <c r="I194" s="183" t="str">
        <f>IFERROR(VLOOKUP(TablaPrincipal[[#This Row],[CODIGO]],Tabla8[[#Headers],[#Data]],3,0),"-")</f>
        <v>ASC</v>
      </c>
      <c r="J194" s="183">
        <f>IFERROR(TablaPrincipal[[#This Row],[FECHA]]-TablaPrincipal[[#This Row],[FECHA DE SIEMBRA]],"-")</f>
        <v>80</v>
      </c>
      <c r="K194" s="196">
        <f>VLOOKUP(TablaPrincipal[[#This Row],[CODIGO]]&amp;TablaPrincipal[[#This Row],[AGUAJE ]],Tabla4[#All],4,0)</f>
        <v>46013</v>
      </c>
      <c r="L194" s="183" t="str">
        <f>VLOOKUP(TablaPrincipal[[#This Row],[CODIGO]]&amp;TablaPrincipal[[#This Row],[AGUAJE ]],Tabla4[#All],15,0)</f>
        <v>CH 3</v>
      </c>
      <c r="M194" s="184">
        <f>VLOOKUP(TablaPrincipal[[#This Row],[CODIGO]]&amp;TablaPrincipal[[#This Row],[AGUAJE ]],Tabla4[#All],14,0)</f>
        <v>0.55000000000000004</v>
      </c>
      <c r="N194" s="183">
        <v>5</v>
      </c>
      <c r="O194" s="170">
        <f>VLOOKUP(TablaPrincipal[[#This Row],[CODIGO]]&amp;TablaPrincipal[[#This Row],[AGUAJE ]],Tabla4[#All],5,0)</f>
        <v>396000</v>
      </c>
      <c r="P194" s="221">
        <f>IFERROR(TablaPrincipal[[#This Row],[ANIM SEMBRADOS]]/TablaPrincipal[[#This Row],[HAS]],"-")</f>
        <v>120000</v>
      </c>
      <c r="Q194" s="222">
        <f>IFERROR(TablaPrincipal[[#This Row],[DENSIDAD]]/10000,"-")</f>
        <v>12</v>
      </c>
      <c r="R194" s="183" t="str">
        <f>VLOOKUP(TablaPrincipal[[#This Row],[CODIGO]]&amp;TablaPrincipal[[#This Row],[AGUAJE ]],Tabla4[#All],8,0)</f>
        <v>GABSO</v>
      </c>
      <c r="S194" s="183" t="str">
        <f>VLOOKUP(TablaPrincipal[[#This Row],[CODIGO]]&amp;TablaPrincipal[[#This Row],[AGUAJE ]],Tabla4[#All],7,0)</f>
        <v>TEXCUMAR</v>
      </c>
      <c r="T194" s="183" t="str">
        <f>IF(ISNUMBER(FIND("/",TablaPrincipal[[#This Row],[LABORATORIO]])),"COMBINADO","UNICO")</f>
        <v>UNICO</v>
      </c>
      <c r="U1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2800</v>
      </c>
      <c r="V1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3222.7</v>
      </c>
      <c r="W1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1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Y194" s="185">
        <f>IFERROR(TablaPrincipal[[#This Row],[LIBRAS RALEO PLANTA]]/TablaPrincipal[[#This Row],[HAS]],"-")</f>
        <v>976.57575757575762</v>
      </c>
      <c r="Z1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54593.499999999993</v>
      </c>
      <c r="AA19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1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17691.36</v>
      </c>
      <c r="AC194" s="186">
        <f>SUMIFS(COSECHAS!F:F,COSECHAS!A:A,'BASE 2026'!AW:AW,COSECHAS!G:G,"="&amp;A:A)</f>
        <v>34</v>
      </c>
      <c r="AD194" s="186">
        <f>SUMIFS(COSECHAS!M:M,COSECHAS!A:A,'BASE 2026'!AW:AW,COSECHAS!G:G,"="&amp;A:A)</f>
        <v>31.26</v>
      </c>
      <c r="AE194" s="185">
        <f>IFERROR(TablaPrincipal[[#This Row],[LIBRAS PLANTA]]/TablaPrincipal[[#This Row],[HAS]],"-")</f>
        <v>5361.0181818181827</v>
      </c>
      <c r="AF194" s="185">
        <f>IFERROR(TablaPrincipal[[#This Row],[LIBRAS PLANTA]]*454/TablaPrincipal[[#This Row],[GRAMOS PLANTA]],"-")</f>
        <v>256937.85796545105</v>
      </c>
      <c r="AG194" s="185">
        <f>TablaPrincipal[[#This Row],[LIBRAS RALEO PLANTA]]+TablaPrincipal[[#This Row],[LIBRAS PLANTA]]</f>
        <v>20914.060000000001</v>
      </c>
      <c r="AH194" s="185">
        <f>IFERROR(TablaPrincipal[[#This Row],[CAM COSECHADOS RALEO]]+TablaPrincipal[[#This Row],[CAM COSECHADOS]],"-")</f>
        <v>311531.35796545102</v>
      </c>
      <c r="AI194" s="185">
        <f>IFERROR((TablaPrincipal[[#This Row],[LIBRAS RALEO PLANTA]]+TablaPrincipal[[#This Row],[LIBRAS PLANTA]])/TablaPrincipal[[#This Row],[HAS]],"0")</f>
        <v>6337.5939393939398</v>
      </c>
      <c r="AJ194" s="186">
        <f t="shared" si="2"/>
        <v>2.7352500000000002</v>
      </c>
      <c r="AK194" s="186">
        <f>IFERROR(TablaPrincipal[[#This Row],[LBS/HA]]/TablaPrincipal[[#This Row],[DIAS]],"-")</f>
        <v>79.219924242424241</v>
      </c>
      <c r="AL194" s="186">
        <f>IFERROR(TablaPrincipal[[#This Row],[CAM COSECHADOS TOTALES]]/TablaPrincipal[[#This Row],[ANIM SEMBRADOS]]*100,"-")</f>
        <v>78.66953483976036</v>
      </c>
      <c r="AM194" s="185">
        <v>29596.755000000001</v>
      </c>
      <c r="AN194" s="187">
        <f>IFERROR(((TablaPrincipal[[#This Row],[BALANCEADO ACUMULADO (LBS)]]/2.2046)/TablaPrincipal[[#This Row],[HAS]])/TablaPrincipal[[#This Row],[DIAS]],"-")</f>
        <v>50.852272727272734</v>
      </c>
      <c r="AO194" s="184">
        <f>IFERROR(TablaPrincipal[[#This Row],[BALANCEADO ACUMULADO (LBS)]]/TablaPrincipal[[#This Row],[LIBRAS TOTALES]],"-")</f>
        <v>1.4151606622530488</v>
      </c>
      <c r="AP194" s="184"/>
      <c r="AQ194" s="184"/>
      <c r="AR194" s="185">
        <f>TablaPrincipal[[#This Row],[LIBRAS RALEO PLANTA]]-TablaPrincipal[[#This Row],[LIBRAS RALEO CAMARONERA]]</f>
        <v>422.69999999999982</v>
      </c>
      <c r="AS194" s="185">
        <f>TablaPrincipal[[#This Row],[LIBRAS PLANTA]]-TablaPrincipal[[#This Row],[LIBRAS CAMARONERA]]</f>
        <v>891.36000000000058</v>
      </c>
      <c r="AT194" s="187">
        <f>TablaPrincipal[[#This Row],[GRAMAJE RALEO PLANTA]]-TablaPrincipal[[#This Row],[GRAMAJE RALEO CAMARONERA]]</f>
        <v>0.80000000000000071</v>
      </c>
      <c r="AU194" s="187">
        <f>TablaPrincipal[[#This Row],[GRAMOS PLANTA]]-TablaPrincipal[[#This Row],[GRAMAJE CAMARONERA]]</f>
        <v>-2.7399999999999984</v>
      </c>
      <c r="AV194" s="183" t="str">
        <f>+VLOOKUP(TablaPrincipal[[#This Row],[CODIGO]],TablaCosechas[#All],10,0)</f>
        <v>SANTIAGO OBRIEN</v>
      </c>
      <c r="AW194" s="183" t="s">
        <v>13</v>
      </c>
      <c r="AX194" s="188" t="str">
        <f>+VLOOKUP(TablaPrincipal[[#This Row],[CODIGO]],TablaCosechas[#All],10,0)</f>
        <v>SANTIAGO OBRIEN</v>
      </c>
    </row>
    <row r="195" spans="1:50" hidden="1" x14ac:dyDescent="0.25">
      <c r="A195" s="196">
        <v>46093</v>
      </c>
      <c r="B195" s="183">
        <v>193</v>
      </c>
      <c r="C195" s="183">
        <f>YEAR(TablaPrincipal[[#This Row],[FECHA]])</f>
        <v>2026</v>
      </c>
      <c r="D195" s="183" t="s">
        <v>256</v>
      </c>
      <c r="E195" s="183" t="str">
        <f>UPPER(TEXT(TablaPrincipal[[#This Row],[FECHA]],"MMMM"))</f>
        <v>MARZO</v>
      </c>
      <c r="F195" s="183" t="str">
        <f>IFERROR(VLOOKUP(TablaPrincipal[[#This Row],[CODIGO]],COSECHAS!A:J,9,0),"-")</f>
        <v>05</v>
      </c>
      <c r="G195" s="183" t="str">
        <f>IFERROR(VLOOKUP(TablaPrincipal[[#This Row],[CODIGO]],COSECHAS!A:I,8,0),"-")</f>
        <v>ROBALO</v>
      </c>
      <c r="H195" s="184">
        <f>IFERROR(VLOOKUP(TablaPrincipal[[#This Row],[CODIGO]],DATOS!A:B,2,0),"-")</f>
        <v>20.8</v>
      </c>
      <c r="I195" s="183" t="str">
        <f>IFERROR(VLOOKUP(TablaPrincipal[[#This Row],[CODIGO]],Tabla8[[#Headers],[#Data]],3,0),"-")</f>
        <v>ASC-BAP</v>
      </c>
      <c r="J195" s="183">
        <f>IFERROR(TablaPrincipal[[#This Row],[FECHA]]-TablaPrincipal[[#This Row],[FECHA DE SIEMBRA]],"-")</f>
        <v>78</v>
      </c>
      <c r="K195" s="196">
        <f>VLOOKUP(TablaPrincipal[[#This Row],[CODIGO]]&amp;TablaPrincipal[[#This Row],[AGUAJE ]],Tabla4[#All],4,0)</f>
        <v>46015</v>
      </c>
      <c r="L195" s="183" t="str">
        <f>VLOOKUP(TablaPrincipal[[#This Row],[CODIGO]]&amp;TablaPrincipal[[#This Row],[AGUAJE ]],Tabla4[#All],15,0)</f>
        <v>RO PC 1 - CA 20</v>
      </c>
      <c r="M195" s="184">
        <f>VLOOKUP(TablaPrincipal[[#This Row],[CODIGO]]&amp;TablaPrincipal[[#This Row],[AGUAJE ]],Tabla4[#All],14,0)</f>
        <v>0.47</v>
      </c>
      <c r="N195" s="183">
        <v>5</v>
      </c>
      <c r="O195" s="170">
        <f>VLOOKUP(TablaPrincipal[[#This Row],[CODIGO]]&amp;TablaPrincipal[[#This Row],[AGUAJE ]],Tabla4[#All],5,0)</f>
        <v>3212000</v>
      </c>
      <c r="P195" s="221">
        <f>IFERROR(TablaPrincipal[[#This Row],[ANIM SEMBRADOS]]/TablaPrincipal[[#This Row],[HAS]],"-")</f>
        <v>154423.07692307691</v>
      </c>
      <c r="Q195" s="222">
        <f>IFERROR(TablaPrincipal[[#This Row],[DENSIDAD]]/10000,"-")</f>
        <v>15.442307692307692</v>
      </c>
      <c r="R195" s="183" t="str">
        <f>VLOOKUP(TablaPrincipal[[#This Row],[CODIGO]]&amp;TablaPrincipal[[#This Row],[AGUAJE ]],Tabla4[#All],8,0)</f>
        <v>PRONAUPLIO</v>
      </c>
      <c r="S195" s="183" t="str">
        <f>VLOOKUP(TablaPrincipal[[#This Row],[CODIGO]]&amp;TablaPrincipal[[#This Row],[AGUAJE ]],Tabla4[#All],7,0)</f>
        <v>TEXCUMAR</v>
      </c>
      <c r="T195" s="183" t="str">
        <f>IF(ISNUMBER(FIND("/",TablaPrincipal[[#This Row],[LABORATORIO]])),"COMBINADO","UNICO")</f>
        <v>UNICO</v>
      </c>
      <c r="U1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1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1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1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195" s="185">
        <f>IFERROR(TablaPrincipal[[#This Row],[LIBRAS RALEO PLANTA]]/TablaPrincipal[[#This Row],[HAS]],"-")</f>
        <v>0</v>
      </c>
      <c r="Z1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19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94000</v>
      </c>
      <c r="AB1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104794.4</v>
      </c>
      <c r="AC195" s="186">
        <f>SUMIFS(COSECHAS!F:F,COSECHAS!A:A,'BASE 2026'!AW:AW,COSECHAS!G:G,"="&amp;A:A)</f>
        <v>37</v>
      </c>
      <c r="AD195" s="186">
        <f>SUMIFS(COSECHAS!M:M,COSECHAS!A:A,'BASE 2026'!AW:AW,COSECHAS!G:G,"="&amp;A:A)</f>
        <v>33.82</v>
      </c>
      <c r="AE195" s="185">
        <f>IFERROR(TablaPrincipal[[#This Row],[LIBRAS PLANTA]]/TablaPrincipal[[#This Row],[HAS]],"-")</f>
        <v>5038.1923076923076</v>
      </c>
      <c r="AF195" s="185">
        <f>IFERROR(TablaPrincipal[[#This Row],[LIBRAS PLANTA]]*454/TablaPrincipal[[#This Row],[GRAMOS PLANTA]],"-")</f>
        <v>1406761.0171496153</v>
      </c>
      <c r="AG195" s="185">
        <f>TablaPrincipal[[#This Row],[LIBRAS RALEO PLANTA]]+TablaPrincipal[[#This Row],[LIBRAS PLANTA]]</f>
        <v>104794.4</v>
      </c>
      <c r="AH195" s="185">
        <f>IFERROR(TablaPrincipal[[#This Row],[CAM COSECHADOS RALEO]]+TablaPrincipal[[#This Row],[CAM COSECHADOS]],"-")</f>
        <v>1406761.0171496153</v>
      </c>
      <c r="AI195" s="185">
        <f>IFERROR((TablaPrincipal[[#This Row],[LIBRAS RALEO PLANTA]]+TablaPrincipal[[#This Row],[LIBRAS PLANTA]])/TablaPrincipal[[#This Row],[HAS]],"0")</f>
        <v>5038.1923076923076</v>
      </c>
      <c r="AJ195" s="186">
        <f t="shared" ref="AJ195:AJ258" si="3">IFERROR(AD195/(J195/7),"-")</f>
        <v>3.0351282051282054</v>
      </c>
      <c r="AK195" s="186">
        <f>IFERROR(TablaPrincipal[[#This Row],[LBS/HA]]/TablaPrincipal[[#This Row],[DIAS]],"-")</f>
        <v>64.592209072978306</v>
      </c>
      <c r="AL195" s="186">
        <f>IFERROR(TablaPrincipal[[#This Row],[CAM COSECHADOS TOTALES]]/TablaPrincipal[[#This Row],[ANIM SEMBRADOS]]*100,"-")</f>
        <v>43.797042875143688</v>
      </c>
      <c r="AM195" s="185">
        <v>133348.5379</v>
      </c>
      <c r="AN195" s="187">
        <f>IFERROR(((TablaPrincipal[[#This Row],[BALANCEADO ACUMULADO (LBS)]]/2.2046)/TablaPrincipal[[#This Row],[HAS]])/TablaPrincipal[[#This Row],[DIAS]],"-")</f>
        <v>37.282112919132146</v>
      </c>
      <c r="AO195" s="184">
        <f>IFERROR(TablaPrincipal[[#This Row],[BALANCEADO ACUMULADO (LBS)]]/TablaPrincipal[[#This Row],[LIBRAS TOTALES]],"-")</f>
        <v>1.2724777077782783</v>
      </c>
      <c r="AP195" s="184"/>
      <c r="AQ195" s="184"/>
      <c r="AR195" s="185">
        <f>TablaPrincipal[[#This Row],[LIBRAS RALEO PLANTA]]-TablaPrincipal[[#This Row],[LIBRAS RALEO CAMARONERA]]</f>
        <v>0</v>
      </c>
      <c r="AS195" s="185">
        <f>TablaPrincipal[[#This Row],[LIBRAS PLANTA]]-TablaPrincipal[[#This Row],[LIBRAS CAMARONERA]]</f>
        <v>10794.399999999994</v>
      </c>
      <c r="AT195" s="187">
        <f>TablaPrincipal[[#This Row],[GRAMAJE RALEO PLANTA]]-TablaPrincipal[[#This Row],[GRAMAJE RALEO CAMARONERA]]</f>
        <v>0</v>
      </c>
      <c r="AU195" s="187">
        <f>TablaPrincipal[[#This Row],[GRAMOS PLANTA]]-TablaPrincipal[[#This Row],[GRAMAJE CAMARONERA]]</f>
        <v>-3.1799999999999997</v>
      </c>
      <c r="AV195" s="183" t="str">
        <f>+VLOOKUP(TablaPrincipal[[#This Row],[CODIGO]],TablaCosechas[#All],10,0)</f>
        <v>VICTOR QUINTANA</v>
      </c>
      <c r="AW195" s="183" t="s">
        <v>285</v>
      </c>
      <c r="AX195" s="188" t="str">
        <f>+VLOOKUP(TablaPrincipal[[#This Row],[CODIGO]],TablaCosechas[#All],10,0)</f>
        <v>VICTOR QUINTANA</v>
      </c>
    </row>
    <row r="196" spans="1:50" hidden="1" x14ac:dyDescent="0.25">
      <c r="A196" s="196">
        <v>46094</v>
      </c>
      <c r="B196" s="183">
        <v>194</v>
      </c>
      <c r="C196" s="183">
        <f>YEAR(TablaPrincipal[[#This Row],[FECHA]])</f>
        <v>2026</v>
      </c>
      <c r="D196" s="183" t="s">
        <v>256</v>
      </c>
      <c r="E196" s="183" t="str">
        <f>UPPER(TEXT(TablaPrincipal[[#This Row],[FECHA]],"MMMM"))</f>
        <v>MARZO</v>
      </c>
      <c r="F196" s="183" t="str">
        <f>IFERROR(VLOOKUP(TablaPrincipal[[#This Row],[CODIGO]],COSECHAS!A:J,9,0),"-")</f>
        <v>03</v>
      </c>
      <c r="G196" s="183" t="str">
        <f>IFERROR(VLOOKUP(TablaPrincipal[[#This Row],[CODIGO]],COSECHAS!A:I,8,0),"-")</f>
        <v>CHERNA</v>
      </c>
      <c r="H196" s="184">
        <f>IFERROR(VLOOKUP(TablaPrincipal[[#This Row],[CODIGO]],DATOS!A:B,2,0),"-")</f>
        <v>6.45</v>
      </c>
      <c r="I196" s="183" t="str">
        <f>IFERROR(VLOOKUP(TablaPrincipal[[#This Row],[CODIGO]],Tabla8[[#Headers],[#Data]],3,0),"-")</f>
        <v>ASC</v>
      </c>
      <c r="J196" s="183">
        <f>IFERROR(TablaPrincipal[[#This Row],[FECHA]]-TablaPrincipal[[#This Row],[FECHA DE SIEMBRA]],"-")</f>
        <v>82</v>
      </c>
      <c r="K196" s="196">
        <f>VLOOKUP(TablaPrincipal[[#This Row],[CODIGO]]&amp;TablaPrincipal[[#This Row],[AGUAJE ]],Tabla4[#All],4,0)</f>
        <v>46012</v>
      </c>
      <c r="L196" s="183" t="str">
        <f>VLOOKUP(TablaPrincipal[[#This Row],[CODIGO]]&amp;TablaPrincipal[[#This Row],[AGUAJE ]],Tabla4[#All],15,0)</f>
        <v>CH 02</v>
      </c>
      <c r="M196" s="184">
        <f>VLOOKUP(TablaPrincipal[[#This Row],[CODIGO]]&amp;TablaPrincipal[[#This Row],[AGUAJE ]],Tabla4[#All],14,0)</f>
        <v>0.7</v>
      </c>
      <c r="N196" s="183">
        <v>5</v>
      </c>
      <c r="O196" s="170">
        <f>VLOOKUP(TablaPrincipal[[#This Row],[CODIGO]]&amp;TablaPrincipal[[#This Row],[AGUAJE ]],Tabla4[#All],5,0)</f>
        <v>1161000</v>
      </c>
      <c r="P196" s="221">
        <f>IFERROR(TablaPrincipal[[#This Row],[ANIM SEMBRADOS]]/TablaPrincipal[[#This Row],[HAS]],"-")</f>
        <v>180000</v>
      </c>
      <c r="Q196" s="222">
        <f>IFERROR(TablaPrincipal[[#This Row],[DENSIDAD]]/10000,"-")</f>
        <v>18</v>
      </c>
      <c r="R196" s="183" t="str">
        <f>VLOOKUP(TablaPrincipal[[#This Row],[CODIGO]]&amp;TablaPrincipal[[#This Row],[AGUAJE ]],Tabla4[#All],8,0)</f>
        <v>TECSERV</v>
      </c>
      <c r="S196" s="183" t="str">
        <f>VLOOKUP(TablaPrincipal[[#This Row],[CODIGO]]&amp;TablaPrincipal[[#This Row],[AGUAJE ]],Tabla4[#All],7,0)</f>
        <v>TEXCUMAR</v>
      </c>
      <c r="T196" s="183" t="str">
        <f>IF(ISNUMBER(FIND("/",TablaPrincipal[[#This Row],[LABORATORIO]])),"COMBINADO","UNICO")</f>
        <v>UNICO</v>
      </c>
      <c r="U1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19500</v>
      </c>
      <c r="V1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20645.740000000002</v>
      </c>
      <c r="W1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1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21.27</v>
      </c>
      <c r="Y196" s="185">
        <f>IFERROR(TablaPrincipal[[#This Row],[LIBRAS RALEO PLANTA]]/TablaPrincipal[[#This Row],[HAS]],"-")</f>
        <v>3200.8899224806205</v>
      </c>
      <c r="Z1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441114.95925372164</v>
      </c>
      <c r="AA19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1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33566.879999999997</v>
      </c>
      <c r="AC196" s="186">
        <f>SUMIFS(COSECHAS!F:F,COSECHAS!A:A,'BASE 2026'!AW:AW,COSECHAS!G:G,"="&amp;A:A)</f>
        <v>32</v>
      </c>
      <c r="AD196" s="186">
        <f>SUMIFS(COSECHAS!M:M,COSECHAS!A:A,'BASE 2026'!AW:AW,COSECHAS!G:G,"="&amp;A:A)</f>
        <v>33.18</v>
      </c>
      <c r="AE196" s="185">
        <f>IFERROR(TablaPrincipal[[#This Row],[LIBRAS PLANTA]]/TablaPrincipal[[#This Row],[HAS]],"-")</f>
        <v>5204.1674418604644</v>
      </c>
      <c r="AF196" s="185">
        <f>IFERROR(TablaPrincipal[[#This Row],[LIBRAS PLANTA]]*454/TablaPrincipal[[#This Row],[GRAMOS PLANTA]],"-")</f>
        <v>459293.65641952981</v>
      </c>
      <c r="AG196" s="185">
        <f>TablaPrincipal[[#This Row],[LIBRAS RALEO PLANTA]]+TablaPrincipal[[#This Row],[LIBRAS PLANTA]]</f>
        <v>54212.619999999995</v>
      </c>
      <c r="AH196" s="185">
        <f>IFERROR(TablaPrincipal[[#This Row],[CAM COSECHADOS RALEO]]+TablaPrincipal[[#This Row],[CAM COSECHADOS]],"-")</f>
        <v>900408.61567325145</v>
      </c>
      <c r="AI196" s="185">
        <f>IFERROR((TablaPrincipal[[#This Row],[LIBRAS RALEO PLANTA]]+TablaPrincipal[[#This Row],[LIBRAS PLANTA]])/TablaPrincipal[[#This Row],[HAS]],"0")</f>
        <v>8405.0573643410844</v>
      </c>
      <c r="AJ196" s="186">
        <f t="shared" si="3"/>
        <v>2.832439024390244</v>
      </c>
      <c r="AK196" s="186">
        <f>IFERROR(TablaPrincipal[[#This Row],[LBS/HA]]/TablaPrincipal[[#This Row],[DIAS]],"-")</f>
        <v>102.50069956513518</v>
      </c>
      <c r="AL196" s="186">
        <f>IFERROR(TablaPrincipal[[#This Row],[CAM COSECHADOS TOTALES]]/TablaPrincipal[[#This Row],[ANIM SEMBRADOS]]*100,"-")</f>
        <v>77.554574993389451</v>
      </c>
      <c r="AM196" s="185">
        <v>73578.525000000009</v>
      </c>
      <c r="AN196" s="187">
        <f>IFERROR(((TablaPrincipal[[#This Row],[BALANCEADO ACUMULADO (LBS)]]/2.2046)/TablaPrincipal[[#This Row],[HAS]])/TablaPrincipal[[#This Row],[DIAS]],"-")</f>
        <v>63.102665910380026</v>
      </c>
      <c r="AO196" s="184">
        <f>IFERROR(TablaPrincipal[[#This Row],[BALANCEADO ACUMULADO (LBS)]]/TablaPrincipal[[#This Row],[LIBRAS TOTALES]],"-")</f>
        <v>1.3572213444028349</v>
      </c>
      <c r="AP196" s="184"/>
      <c r="AQ196" s="184"/>
      <c r="AR196" s="185">
        <f>TablaPrincipal[[#This Row],[LIBRAS RALEO PLANTA]]-TablaPrincipal[[#This Row],[LIBRAS RALEO CAMARONERA]]</f>
        <v>1145.7400000000016</v>
      </c>
      <c r="AS196" s="185">
        <f>TablaPrincipal[[#This Row],[LIBRAS PLANTA]]-TablaPrincipal[[#This Row],[LIBRAS CAMARONERA]]</f>
        <v>4066.8799999999974</v>
      </c>
      <c r="AT196" s="187">
        <f>TablaPrincipal[[#This Row],[GRAMAJE RALEO PLANTA]]-TablaPrincipal[[#This Row],[GRAMAJE RALEO CAMARONERA]]</f>
        <v>-1.2300000000000004</v>
      </c>
      <c r="AU196" s="187">
        <f>TablaPrincipal[[#This Row],[GRAMOS PLANTA]]-TablaPrincipal[[#This Row],[GRAMAJE CAMARONERA]]</f>
        <v>1.1799999999999997</v>
      </c>
      <c r="AV196" s="183" t="str">
        <f>+VLOOKUP(TablaPrincipal[[#This Row],[CODIGO]],TablaCosechas[#All],10,0)</f>
        <v>SANTIAGO OBRIEN</v>
      </c>
      <c r="AW196" s="183" t="s">
        <v>9</v>
      </c>
      <c r="AX196" s="188" t="str">
        <f>+VLOOKUP(TablaPrincipal[[#This Row],[CODIGO]],TablaCosechas[#All],10,0)</f>
        <v>SANTIAGO OBRIEN</v>
      </c>
    </row>
    <row r="197" spans="1:50" ht="14.25" hidden="1" customHeight="1" x14ac:dyDescent="0.25">
      <c r="A197" s="196">
        <v>46094</v>
      </c>
      <c r="B197" s="183">
        <v>195</v>
      </c>
      <c r="C197" s="183">
        <f>YEAR(TablaPrincipal[[#This Row],[FECHA]])</f>
        <v>2026</v>
      </c>
      <c r="D197" s="183" t="s">
        <v>256</v>
      </c>
      <c r="E197" s="183" t="str">
        <f>UPPER(TEXT(TablaPrincipal[[#This Row],[FECHA]],"MMMM"))</f>
        <v>MARZO</v>
      </c>
      <c r="F197" s="183" t="str">
        <f>IFERROR(VLOOKUP(TablaPrincipal[[#This Row],[CODIGO]],COSECHAS!A:J,9,0),"-")</f>
        <v>29</v>
      </c>
      <c r="G197" s="183" t="str">
        <f>IFERROR(VLOOKUP(TablaPrincipal[[#This Row],[CODIGO]],COSECHAS!A:I,8,0),"-")</f>
        <v>DORADO</v>
      </c>
      <c r="H197" s="184">
        <f>IFERROR(VLOOKUP(TablaPrincipal[[#This Row],[CODIGO]],DATOS!A:B,2,0),"-")</f>
        <v>6.1</v>
      </c>
      <c r="I197" s="183" t="str">
        <f>IFERROR(VLOOKUP(TablaPrincipal[[#This Row],[CODIGO]],Tabla8[[#Headers],[#Data]],3,0),"-")</f>
        <v>BAP</v>
      </c>
      <c r="J197" s="183">
        <f>IFERROR(TablaPrincipal[[#This Row],[FECHA]]-TablaPrincipal[[#This Row],[FECHA DE SIEMBRA]],"-")</f>
        <v>78</v>
      </c>
      <c r="K197" s="196">
        <f>VLOOKUP(TablaPrincipal[[#This Row],[CODIGO]]&amp;TablaPrincipal[[#This Row],[AGUAJE ]],Tabla4[#All],4,0)</f>
        <v>46016</v>
      </c>
      <c r="L197" s="183" t="str">
        <f>VLOOKUP(TablaPrincipal[[#This Row],[CODIGO]]&amp;TablaPrincipal[[#This Row],[AGUAJE ]],Tabla4[#All],15,0)</f>
        <v>DO 2</v>
      </c>
      <c r="M197" s="184">
        <f>VLOOKUP(TablaPrincipal[[#This Row],[CODIGO]]&amp;TablaPrincipal[[#This Row],[AGUAJE ]],Tabla4[#All],14,0)</f>
        <v>0.54</v>
      </c>
      <c r="N197" s="183">
        <v>13</v>
      </c>
      <c r="O197" s="170">
        <f>VLOOKUP(TablaPrincipal[[#This Row],[CODIGO]]&amp;TablaPrincipal[[#This Row],[AGUAJE ]],Tabla4[#All],5,0)</f>
        <v>1097988</v>
      </c>
      <c r="P197" s="221">
        <f>IFERROR(TablaPrincipal[[#This Row],[ANIM SEMBRADOS]]/TablaPrincipal[[#This Row],[HAS]],"-")</f>
        <v>179998.03278688525</v>
      </c>
      <c r="Q197" s="222">
        <f>IFERROR(TablaPrincipal[[#This Row],[DENSIDAD]]/10000,"-")</f>
        <v>17.999803278688525</v>
      </c>
      <c r="R197" s="183" t="str">
        <f>VLOOKUP(TablaPrincipal[[#This Row],[CODIGO]]&amp;TablaPrincipal[[#This Row],[AGUAJE ]],Tabla4[#All],8,0)</f>
        <v>ACUATECSA</v>
      </c>
      <c r="S197" s="183" t="str">
        <f>VLOOKUP(TablaPrincipal[[#This Row],[CODIGO]]&amp;TablaPrincipal[[#This Row],[AGUAJE ]],Tabla4[#All],7,0)</f>
        <v>TEXCUMAR</v>
      </c>
      <c r="T197" s="183" t="str">
        <f>IF(ISNUMBER(FIND("/",TablaPrincipal[[#This Row],[LABORATORIO]])),"COMBINADO","UNICO")</f>
        <v>UNICO</v>
      </c>
      <c r="U1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21200</v>
      </c>
      <c r="V1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21332.230000000003</v>
      </c>
      <c r="W1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1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23.39</v>
      </c>
      <c r="Y197" s="185">
        <f>IFERROR(TablaPrincipal[[#This Row],[LIBRAS RALEO PLANTA]]/TablaPrincipal[[#This Row],[HAS]],"-")</f>
        <v>3497.0868852459025</v>
      </c>
      <c r="Z1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413314.63969372667</v>
      </c>
      <c r="AA19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37400</v>
      </c>
      <c r="AB1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37757.300000000003</v>
      </c>
      <c r="AC197" s="186">
        <f>SUMIFS(COSECHAS!F:F,COSECHAS!A:A,'BASE 2026'!AW:AW,COSECHAS!G:G,"="&amp;A:A)</f>
        <v>30</v>
      </c>
      <c r="AD197" s="186">
        <f>SUMIFS(COSECHAS!M:M,COSECHAS!A:A,'BASE 2026'!AW:AW,COSECHAS!G:G,"="&amp;A:A)</f>
        <v>30.78</v>
      </c>
      <c r="AE197" s="185">
        <f>IFERROR(TablaPrincipal[[#This Row],[LIBRAS PLANTA]]/TablaPrincipal[[#This Row],[HAS]],"-")</f>
        <v>6189.7213114754104</v>
      </c>
      <c r="AF197" s="185">
        <f>IFERROR(TablaPrincipal[[#This Row],[LIBRAS PLANTA]]*454/TablaPrincipal[[#This Row],[GRAMOS PLANTA]],"-")</f>
        <v>556914.04158544517</v>
      </c>
      <c r="AG197" s="185">
        <f>TablaPrincipal[[#This Row],[LIBRAS RALEO PLANTA]]+TablaPrincipal[[#This Row],[LIBRAS PLANTA]]</f>
        <v>59089.530000000006</v>
      </c>
      <c r="AH197" s="185">
        <f>IFERROR(TablaPrincipal[[#This Row],[CAM COSECHADOS RALEO]]+TablaPrincipal[[#This Row],[CAM COSECHADOS]],"-")</f>
        <v>970228.68127917184</v>
      </c>
      <c r="AI197" s="185">
        <f>IFERROR((TablaPrincipal[[#This Row],[LIBRAS RALEO PLANTA]]+TablaPrincipal[[#This Row],[LIBRAS PLANTA]])/TablaPrincipal[[#This Row],[HAS]],"0")</f>
        <v>9686.8081967213129</v>
      </c>
      <c r="AJ197" s="186">
        <f t="shared" si="3"/>
        <v>2.7623076923076924</v>
      </c>
      <c r="AK197" s="186">
        <f>IFERROR(TablaPrincipal[[#This Row],[LBS/HA]]/TablaPrincipal[[#This Row],[DIAS]],"-")</f>
        <v>124.18984867591426</v>
      </c>
      <c r="AL197" s="186">
        <f>IFERROR(TablaPrincipal[[#This Row],[CAM COSECHADOS TOTALES]]/TablaPrincipal[[#This Row],[ANIM SEMBRADOS]]*100,"-")</f>
        <v>88.36423360539203</v>
      </c>
      <c r="AM197" s="185">
        <v>77436.574999999997</v>
      </c>
      <c r="AN197" s="187">
        <f>IFERROR(((TablaPrincipal[[#This Row],[BALANCEADO ACUMULADO (LBS)]]/2.2046)/TablaPrincipal[[#This Row],[HAS]])/TablaPrincipal[[#This Row],[DIAS]],"-")</f>
        <v>73.82303488860866</v>
      </c>
      <c r="AO197" s="184">
        <f>IFERROR(TablaPrincipal[[#This Row],[BALANCEADO ACUMULADO (LBS)]]/TablaPrincipal[[#This Row],[LIBRAS TOTALES]],"-")</f>
        <v>1.3104957003381139</v>
      </c>
      <c r="AP197" s="184"/>
      <c r="AQ197" s="184"/>
      <c r="AR197" s="185">
        <f>TablaPrincipal[[#This Row],[LIBRAS RALEO PLANTA]]-TablaPrincipal[[#This Row],[LIBRAS RALEO CAMARONERA]]</f>
        <v>132.2300000000032</v>
      </c>
      <c r="AS197" s="185">
        <f>TablaPrincipal[[#This Row],[LIBRAS PLANTA]]-TablaPrincipal[[#This Row],[LIBRAS CAMARONERA]]</f>
        <v>357.30000000000291</v>
      </c>
      <c r="AT197" s="187">
        <f>TablaPrincipal[[#This Row],[GRAMAJE RALEO PLANTA]]-TablaPrincipal[[#This Row],[GRAMAJE RALEO CAMARONERA]]</f>
        <v>1.8900000000000006</v>
      </c>
      <c r="AU197" s="187">
        <f>TablaPrincipal[[#This Row],[GRAMOS PLANTA]]-TablaPrincipal[[#This Row],[GRAMAJE CAMARONERA]]</f>
        <v>0.78000000000000114</v>
      </c>
      <c r="AV197" s="183" t="str">
        <f>+VLOOKUP(TablaPrincipal[[#This Row],[CODIGO]],TablaCosechas[#All],10,0)</f>
        <v>JOSE CEDEÑO</v>
      </c>
      <c r="AW197" s="183" t="s">
        <v>286</v>
      </c>
      <c r="AX197" s="188" t="str">
        <f>+VLOOKUP(TablaPrincipal[[#This Row],[CODIGO]],TablaCosechas[#All],10,0)</f>
        <v>JOSE CEDEÑO</v>
      </c>
    </row>
    <row r="198" spans="1:50" hidden="1" x14ac:dyDescent="0.25">
      <c r="A198" s="196">
        <v>46094</v>
      </c>
      <c r="B198" s="183">
        <v>196</v>
      </c>
      <c r="C198" s="183">
        <f>YEAR(TablaPrincipal[[#This Row],[FECHA]])</f>
        <v>2026</v>
      </c>
      <c r="D198" s="183" t="s">
        <v>256</v>
      </c>
      <c r="E198" s="183" t="str">
        <f>UPPER(TEXT(TablaPrincipal[[#This Row],[FECHA]],"MMMM"))</f>
        <v>MARZO</v>
      </c>
      <c r="F198" s="183" t="str">
        <f>IFERROR(VLOOKUP(TablaPrincipal[[#This Row],[CODIGO]],COSECHAS!A:J,9,0),"-")</f>
        <v>13</v>
      </c>
      <c r="G198" s="183" t="str">
        <f>IFERROR(VLOOKUP(TablaPrincipal[[#This Row],[CODIGO]],COSECHAS!A:I,8,0),"-")</f>
        <v>PAMPANO</v>
      </c>
      <c r="H198" s="184">
        <f>IFERROR(VLOOKUP(TablaPrincipal[[#This Row],[CODIGO]],DATOS!A:B,2,0),"-")</f>
        <v>5.2</v>
      </c>
      <c r="I198" s="183" t="str">
        <f>IFERROR(VLOOKUP(TablaPrincipal[[#This Row],[CODIGO]],Tabla8[[#Headers],[#Data]],3,0),"-")</f>
        <v>ASC-BAP</v>
      </c>
      <c r="J198" s="183">
        <f>IFERROR(TablaPrincipal[[#This Row],[FECHA]]-TablaPrincipal[[#This Row],[FECHA DE SIEMBRA]],"-")</f>
        <v>74</v>
      </c>
      <c r="K198" s="196">
        <f>VLOOKUP(TablaPrincipal[[#This Row],[CODIGO]]&amp;TablaPrincipal[[#This Row],[AGUAJE ]],Tabla4[#All],4,0)</f>
        <v>46020</v>
      </c>
      <c r="L198" s="183" t="str">
        <f>VLOOKUP(TablaPrincipal[[#This Row],[CODIGO]]&amp;TablaPrincipal[[#This Row],[AGUAJE ]],Tabla4[#All],15,0)</f>
        <v>PA 4</v>
      </c>
      <c r="M198" s="184">
        <f>VLOOKUP(TablaPrincipal[[#This Row],[CODIGO]]&amp;TablaPrincipal[[#This Row],[AGUAJE ]],Tabla4[#All],14,0)</f>
        <v>0.7</v>
      </c>
      <c r="N198" s="183">
        <v>184</v>
      </c>
      <c r="O198" s="170">
        <f>VLOOKUP(TablaPrincipal[[#This Row],[CODIGO]]&amp;TablaPrincipal[[#This Row],[AGUAJE ]],Tabla4[#All],5,0)</f>
        <v>780000</v>
      </c>
      <c r="P198" s="221">
        <f>IFERROR(TablaPrincipal[[#This Row],[ANIM SEMBRADOS]]/TablaPrincipal[[#This Row],[HAS]],"-")</f>
        <v>150000</v>
      </c>
      <c r="Q198" s="222">
        <f>IFERROR(TablaPrincipal[[#This Row],[DENSIDAD]]/10000,"-")</f>
        <v>15</v>
      </c>
      <c r="R198" s="183" t="str">
        <f>VLOOKUP(TablaPrincipal[[#This Row],[CODIGO]]&amp;TablaPrincipal[[#This Row],[AGUAJE ]],Tabla4[#All],8,0)</f>
        <v>GENESIS</v>
      </c>
      <c r="S198" s="183" t="str">
        <f>VLOOKUP(TablaPrincipal[[#This Row],[CODIGO]]&amp;TablaPrincipal[[#This Row],[AGUAJE ]],Tabla4[#All],7,0)</f>
        <v>TEXCUMAR</v>
      </c>
      <c r="T198" s="183" t="str">
        <f>IF(ISNUMBER(FIND("/",TablaPrincipal[[#This Row],[LABORATORIO]])),"COMBINADO","UNICO")</f>
        <v>UNICO</v>
      </c>
      <c r="U1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6250</v>
      </c>
      <c r="V1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6261.6</v>
      </c>
      <c r="W1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1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22.06</v>
      </c>
      <c r="Y198" s="185">
        <f>IFERROR(TablaPrincipal[[#This Row],[LIBRAS RALEO PLANTA]]/TablaPrincipal[[#This Row],[HAS]],"-")</f>
        <v>1204.1538461538462</v>
      </c>
      <c r="Z1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128865.20398912061</v>
      </c>
      <c r="AA19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20400</v>
      </c>
      <c r="AB1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22269.84</v>
      </c>
      <c r="AC198" s="186">
        <f>SUMIFS(COSECHAS!F:F,COSECHAS!A:A,'BASE 2026'!AW:AW,COSECHAS!G:G,"="&amp;A:A)</f>
        <v>30</v>
      </c>
      <c r="AD198" s="186">
        <f>SUMIFS(COSECHAS!M:M,COSECHAS!A:A,'BASE 2026'!AW:AW,COSECHAS!G:G,"="&amp;A:A)</f>
        <v>30.02</v>
      </c>
      <c r="AE198" s="185">
        <f>IFERROR(TablaPrincipal[[#This Row],[LIBRAS PLANTA]]/TablaPrincipal[[#This Row],[HAS]],"-")</f>
        <v>4282.6615384615379</v>
      </c>
      <c r="AF198" s="185">
        <f>IFERROR(TablaPrincipal[[#This Row],[LIBRAS PLANTA]]*454/TablaPrincipal[[#This Row],[GRAMOS PLANTA]],"-")</f>
        <v>336792.38374417054</v>
      </c>
      <c r="AG198" s="185">
        <f>TablaPrincipal[[#This Row],[LIBRAS RALEO PLANTA]]+TablaPrincipal[[#This Row],[LIBRAS PLANTA]]</f>
        <v>28531.440000000002</v>
      </c>
      <c r="AH198" s="185">
        <f>IFERROR(TablaPrincipal[[#This Row],[CAM COSECHADOS RALEO]]+TablaPrincipal[[#This Row],[CAM COSECHADOS]],"-")</f>
        <v>465657.58773329115</v>
      </c>
      <c r="AI198" s="185">
        <f>IFERROR((TablaPrincipal[[#This Row],[LIBRAS RALEO PLANTA]]+TablaPrincipal[[#This Row],[LIBRAS PLANTA]])/TablaPrincipal[[#This Row],[HAS]],"0")</f>
        <v>5486.8153846153846</v>
      </c>
      <c r="AJ198" s="186">
        <f t="shared" si="3"/>
        <v>2.8397297297297297</v>
      </c>
      <c r="AK198" s="186">
        <f>IFERROR(TablaPrincipal[[#This Row],[LBS/HA]]/TablaPrincipal[[#This Row],[DIAS]],"-")</f>
        <v>74.146153846153851</v>
      </c>
      <c r="AL198" s="186">
        <f>IFERROR(TablaPrincipal[[#This Row],[CAM COSECHADOS TOTALES]]/TablaPrincipal[[#This Row],[ANIM SEMBRADOS]]*100,"-")</f>
        <v>59.699690735037322</v>
      </c>
      <c r="AM198" s="185">
        <v>37533.315000000002</v>
      </c>
      <c r="AN198" s="187">
        <f>IFERROR(((TablaPrincipal[[#This Row],[BALANCEADO ACUMULADO (LBS)]]/2.2046)/TablaPrincipal[[#This Row],[HAS]])/TablaPrincipal[[#This Row],[DIAS]],"-")</f>
        <v>44.243762993762992</v>
      </c>
      <c r="AO198" s="184">
        <f>IFERROR(TablaPrincipal[[#This Row],[BALANCEADO ACUMULADO (LBS)]]/TablaPrincipal[[#This Row],[LIBRAS TOTALES]],"-")</f>
        <v>1.3155072088895619</v>
      </c>
      <c r="AP198" s="184"/>
      <c r="AQ198" s="184"/>
      <c r="AR198" s="185">
        <f>TablaPrincipal[[#This Row],[LIBRAS RALEO PLANTA]]-TablaPrincipal[[#This Row],[LIBRAS RALEO CAMARONERA]]</f>
        <v>11.600000000000364</v>
      </c>
      <c r="AS198" s="185">
        <f>TablaPrincipal[[#This Row],[LIBRAS PLANTA]]-TablaPrincipal[[#This Row],[LIBRAS CAMARONERA]]</f>
        <v>1869.8400000000001</v>
      </c>
      <c r="AT198" s="187">
        <f>TablaPrincipal[[#This Row],[GRAMAJE RALEO PLANTA]]-TablaPrincipal[[#This Row],[GRAMAJE RALEO CAMARONERA]]</f>
        <v>-0.94000000000000128</v>
      </c>
      <c r="AU198" s="187">
        <f>TablaPrincipal[[#This Row],[GRAMOS PLANTA]]-TablaPrincipal[[#This Row],[GRAMAJE CAMARONERA]]</f>
        <v>1.9999999999999574E-2</v>
      </c>
      <c r="AV198" s="183" t="str">
        <f>+VLOOKUP(TablaPrincipal[[#This Row],[CODIGO]],TablaCosechas[#All],10,0)</f>
        <v>GUSTAVO CARRASCO</v>
      </c>
      <c r="AW198" s="183" t="s">
        <v>287</v>
      </c>
      <c r="AX198" s="188" t="str">
        <f>+VLOOKUP(TablaPrincipal[[#This Row],[CODIGO]],TablaCosechas[#All],10,0)</f>
        <v>GUSTAVO CARRASCO</v>
      </c>
    </row>
    <row r="199" spans="1:50" hidden="1" x14ac:dyDescent="0.25">
      <c r="A199" s="196">
        <v>46094</v>
      </c>
      <c r="B199" s="183">
        <v>197</v>
      </c>
      <c r="C199" s="183">
        <f>YEAR(TablaPrincipal[[#This Row],[FECHA]])</f>
        <v>2026</v>
      </c>
      <c r="D199" s="183" t="s">
        <v>256</v>
      </c>
      <c r="E199" s="183" t="str">
        <f>UPPER(TEXT(TablaPrincipal[[#This Row],[FECHA]],"MMMM"))</f>
        <v>MARZO</v>
      </c>
      <c r="F199" s="183" t="str">
        <f>IFERROR(VLOOKUP(TablaPrincipal[[#This Row],[CODIGO]],COSECHAS!A:J,9,0),"-")</f>
        <v>10</v>
      </c>
      <c r="G199" s="183" t="str">
        <f>IFERROR(VLOOKUP(TablaPrincipal[[#This Row],[CODIGO]],COSECHAS!A:I,8,0),"-")</f>
        <v>PARGO ROJO</v>
      </c>
      <c r="H199" s="184">
        <f>IFERROR(VLOOKUP(TablaPrincipal[[#This Row],[CODIGO]],DATOS!A:B,2,0),"-")</f>
        <v>11.4</v>
      </c>
      <c r="I199" s="183" t="str">
        <f>IFERROR(VLOOKUP(TablaPrincipal[[#This Row],[CODIGO]],Tabla8[[#Headers],[#Data]],3,0),"-")</f>
        <v>CONVENCIONAL</v>
      </c>
      <c r="J199" s="183">
        <f>IFERROR(TablaPrincipal[[#This Row],[FECHA]]-TablaPrincipal[[#This Row],[FECHA DE SIEMBRA]],"-")</f>
        <v>76</v>
      </c>
      <c r="K199" s="196">
        <f>VLOOKUP(TablaPrincipal[[#This Row],[CODIGO]]&amp;TablaPrincipal[[#This Row],[AGUAJE ]],Tabla4[#All],4,0)</f>
        <v>46018</v>
      </c>
      <c r="L199" s="183" t="str">
        <f>VLOOKUP(TablaPrincipal[[#This Row],[CODIGO]]&amp;TablaPrincipal[[#This Row],[AGUAJE ]],Tabla4[#All],15,0)</f>
        <v>PR 3</v>
      </c>
      <c r="M199" s="184">
        <f>VLOOKUP(TablaPrincipal[[#This Row],[CODIGO]]&amp;TablaPrincipal[[#This Row],[AGUAJE ]],Tabla4[#All],14,0)</f>
        <v>0.35</v>
      </c>
      <c r="N199" s="183">
        <v>10</v>
      </c>
      <c r="O199" s="170">
        <f>VLOOKUP(TablaPrincipal[[#This Row],[CODIGO]]&amp;TablaPrincipal[[#This Row],[AGUAJE ]],Tabla4[#All],5,0)</f>
        <v>2160000</v>
      </c>
      <c r="P199" s="221">
        <f>IFERROR(TablaPrincipal[[#This Row],[ANIM SEMBRADOS]]/TablaPrincipal[[#This Row],[HAS]],"-")</f>
        <v>189473.68421052632</v>
      </c>
      <c r="Q199" s="222">
        <f>IFERROR(TablaPrincipal[[#This Row],[DENSIDAD]]/10000,"-")</f>
        <v>18.947368421052634</v>
      </c>
      <c r="R199" s="183" t="str">
        <f>VLOOKUP(TablaPrincipal[[#This Row],[CODIGO]]&amp;TablaPrincipal[[#This Row],[AGUAJE ]],Tabla4[#All],8,0)</f>
        <v>LARVASLAB</v>
      </c>
      <c r="S199" s="183" t="str">
        <f>VLOOKUP(TablaPrincipal[[#This Row],[CODIGO]]&amp;TablaPrincipal[[#This Row],[AGUAJE ]],Tabla4[#All],7,0)</f>
        <v>TEXCUMAR</v>
      </c>
      <c r="T199" s="183" t="str">
        <f>IF(ISNUMBER(FIND("/",TablaPrincipal[[#This Row],[LABORATORIO]])),"COMBINADO","UNICO")</f>
        <v>UNICO</v>
      </c>
      <c r="U1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1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7494.82</v>
      </c>
      <c r="W1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1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18.84</v>
      </c>
      <c r="Y199" s="185">
        <f>IFERROR(TablaPrincipal[[#This Row],[LIBRAS RALEO PLANTA]]/TablaPrincipal[[#This Row],[HAS]],"-")</f>
        <v>657.44035087719294</v>
      </c>
      <c r="Z1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180607.65817409765</v>
      </c>
      <c r="AA19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30300</v>
      </c>
      <c r="AB1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34917.99</v>
      </c>
      <c r="AC199" s="186">
        <f>SUMIFS(COSECHAS!F:F,COSECHAS!A:A,'BASE 2026'!AW:AW,COSECHAS!G:G,"="&amp;A:A)</f>
        <v>23.5</v>
      </c>
      <c r="AD199" s="186">
        <f>SUMIFS(COSECHAS!M:M,COSECHAS!A:A,'BASE 2026'!AW:AW,COSECHAS!G:G,"="&amp;A:A)</f>
        <v>23.42</v>
      </c>
      <c r="AE199" s="185">
        <f>IFERROR(TablaPrincipal[[#This Row],[LIBRAS PLANTA]]/TablaPrincipal[[#This Row],[HAS]],"-")</f>
        <v>3062.9815789473682</v>
      </c>
      <c r="AF199" s="185">
        <f>IFERROR(TablaPrincipal[[#This Row],[LIBRAS PLANTA]]*454/TablaPrincipal[[#This Row],[GRAMOS PLANTA]],"-")</f>
        <v>676890.15627668647</v>
      </c>
      <c r="AG199" s="185">
        <f>TablaPrincipal[[#This Row],[LIBRAS RALEO PLANTA]]+TablaPrincipal[[#This Row],[LIBRAS PLANTA]]</f>
        <v>42412.81</v>
      </c>
      <c r="AH199" s="185">
        <f>IFERROR(TablaPrincipal[[#This Row],[CAM COSECHADOS RALEO]]+TablaPrincipal[[#This Row],[CAM COSECHADOS]],"-")</f>
        <v>857497.81445078412</v>
      </c>
      <c r="AI199" s="185">
        <f>IFERROR((TablaPrincipal[[#This Row],[LIBRAS RALEO PLANTA]]+TablaPrincipal[[#This Row],[LIBRAS PLANTA]])/TablaPrincipal[[#This Row],[HAS]],"0")</f>
        <v>3720.4219298245612</v>
      </c>
      <c r="AJ199" s="186">
        <f t="shared" si="3"/>
        <v>2.1571052631578946</v>
      </c>
      <c r="AK199" s="186">
        <f>IFERROR(TablaPrincipal[[#This Row],[LBS/HA]]/TablaPrincipal[[#This Row],[DIAS]],"-")</f>
        <v>48.952920129270545</v>
      </c>
      <c r="AL199" s="186">
        <f>IFERROR(TablaPrincipal[[#This Row],[CAM COSECHADOS TOTALES]]/TablaPrincipal[[#This Row],[ANIM SEMBRADOS]]*100,"-")</f>
        <v>39.698972891240004</v>
      </c>
      <c r="AM199" s="185">
        <v>71429.040000000008</v>
      </c>
      <c r="AN199" s="187">
        <f>IFERROR(((TablaPrincipal[[#This Row],[BALANCEADO ACUMULADO (LBS)]]/2.2046)/TablaPrincipal[[#This Row],[HAS]])/TablaPrincipal[[#This Row],[DIAS]],"-")</f>
        <v>37.396121883656512</v>
      </c>
      <c r="AO199" s="184">
        <f>IFERROR(TablaPrincipal[[#This Row],[BALANCEADO ACUMULADO (LBS)]]/TablaPrincipal[[#This Row],[LIBRAS TOTALES]],"-")</f>
        <v>1.6841383534832992</v>
      </c>
      <c r="AP199" s="184"/>
      <c r="AQ199" s="184"/>
      <c r="AR199" s="185">
        <f>TablaPrincipal[[#This Row],[LIBRAS RALEO PLANTA]]-TablaPrincipal[[#This Row],[LIBRAS RALEO CAMARONERA]]</f>
        <v>-505.18000000000029</v>
      </c>
      <c r="AS199" s="185">
        <f>TablaPrincipal[[#This Row],[LIBRAS PLANTA]]-TablaPrincipal[[#This Row],[LIBRAS CAMARONERA]]</f>
        <v>4617.989999999998</v>
      </c>
      <c r="AT199" s="187">
        <f>TablaPrincipal[[#This Row],[GRAMAJE RALEO PLANTA]]-TablaPrincipal[[#This Row],[GRAMAJE RALEO CAMARONERA]]</f>
        <v>2.84</v>
      </c>
      <c r="AU199" s="187">
        <f>TablaPrincipal[[#This Row],[GRAMOS PLANTA]]-TablaPrincipal[[#This Row],[GRAMAJE CAMARONERA]]</f>
        <v>-7.9999999999998295E-2</v>
      </c>
      <c r="AV199" s="183" t="str">
        <f>+VLOOKUP(TablaPrincipal[[#This Row],[CODIGO]],TablaCosechas[#All],10,0)</f>
        <v>WILMER TORRES</v>
      </c>
      <c r="AW199" s="183" t="s">
        <v>288</v>
      </c>
      <c r="AX199" s="188" t="str">
        <f>+VLOOKUP(TablaPrincipal[[#This Row],[CODIGO]],TablaCosechas[#All],10,0)</f>
        <v>WILMER TORRES</v>
      </c>
    </row>
    <row r="200" spans="1:50" hidden="1" x14ac:dyDescent="0.25">
      <c r="A200" s="196">
        <v>46094</v>
      </c>
      <c r="B200" s="183">
        <v>198</v>
      </c>
      <c r="C200" s="183">
        <f>YEAR(TablaPrincipal[[#This Row],[FECHA]])</f>
        <v>2026</v>
      </c>
      <c r="D200" s="183" t="s">
        <v>256</v>
      </c>
      <c r="E200" s="183" t="str">
        <f>UPPER(TEXT(TablaPrincipal[[#This Row],[FECHA]],"MMMM"))</f>
        <v>MARZO</v>
      </c>
      <c r="F200" s="183" t="str">
        <f>IFERROR(VLOOKUP(TablaPrincipal[[#This Row],[CODIGO]],COSECHAS!A:J,9,0),"-")</f>
        <v>04</v>
      </c>
      <c r="G200" s="183" t="str">
        <f>IFERROR(VLOOKUP(TablaPrincipal[[#This Row],[CODIGO]],COSECHAS!A:I,8,0),"-")</f>
        <v>TIBURON</v>
      </c>
      <c r="H200" s="184">
        <f>IFERROR(VLOOKUP(TablaPrincipal[[#This Row],[CODIGO]],DATOS!A:B,2,0),"-")</f>
        <v>6.55</v>
      </c>
      <c r="I200" s="183" t="str">
        <f>IFERROR(VLOOKUP(TablaPrincipal[[#This Row],[CODIGO]],Tabla8[[#Headers],[#Data]],3,0),"-")</f>
        <v>ASC-BAP</v>
      </c>
      <c r="J200" s="183">
        <f>IFERROR(TablaPrincipal[[#This Row],[FECHA]]-TablaPrincipal[[#This Row],[FECHA DE SIEMBRA]],"-")</f>
        <v>85</v>
      </c>
      <c r="K200" s="196">
        <f>VLOOKUP(TablaPrincipal[[#This Row],[CODIGO]]&amp;TablaPrincipal[[#This Row],[AGUAJE ]],Tabla4[#All],4,0)</f>
        <v>46009</v>
      </c>
      <c r="L200" s="183" t="str">
        <f>VLOOKUP(TablaPrincipal[[#This Row],[CODIGO]]&amp;TablaPrincipal[[#This Row],[AGUAJE ]],Tabla4[#All],15,0)</f>
        <v>TI 34 - 33</v>
      </c>
      <c r="M200" s="184">
        <f>VLOOKUP(TablaPrincipal[[#This Row],[CODIGO]]&amp;TablaPrincipal[[#This Row],[AGUAJE ]],Tabla4[#All],14,0)</f>
        <v>0.47</v>
      </c>
      <c r="N200" s="183">
        <v>7</v>
      </c>
      <c r="O200" s="170">
        <f>VLOOKUP(TablaPrincipal[[#This Row],[CODIGO]]&amp;TablaPrincipal[[#This Row],[AGUAJE ]],Tabla4[#All],5,0)</f>
        <v>1572000</v>
      </c>
      <c r="P200" s="221">
        <f>IFERROR(TablaPrincipal[[#This Row],[ANIM SEMBRADOS]]/TablaPrincipal[[#This Row],[HAS]],"-")</f>
        <v>240000</v>
      </c>
      <c r="Q200" s="222">
        <f>IFERROR(TablaPrincipal[[#This Row],[DENSIDAD]]/10000,"-")</f>
        <v>24</v>
      </c>
      <c r="R200" s="183" t="str">
        <f>VLOOKUP(TablaPrincipal[[#This Row],[CODIGO]]&amp;TablaPrincipal[[#This Row],[AGUAJE ]],Tabla4[#All],8,0)</f>
        <v>BIOLACAM</v>
      </c>
      <c r="S200" s="183" t="str">
        <f>VLOOKUP(TablaPrincipal[[#This Row],[CODIGO]]&amp;TablaPrincipal[[#This Row],[AGUAJE ]],Tabla4[#All],7,0)</f>
        <v>TEXCUMAR</v>
      </c>
      <c r="T200" s="183" t="str">
        <f>IF(ISNUMBER(FIND("/",TablaPrincipal[[#This Row],[LABORATORIO]])),"COMBINADO","UNICO")</f>
        <v>UNICO</v>
      </c>
      <c r="U2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26100</v>
      </c>
      <c r="V2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27394.639999999999</v>
      </c>
      <c r="W2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25.75</v>
      </c>
      <c r="Y200" s="185">
        <f>IFERROR(TablaPrincipal[[#This Row],[LIBRAS RALEO PLANTA]]/TablaPrincipal[[#This Row],[HAS]],"-")</f>
        <v>4182.3877862595418</v>
      </c>
      <c r="Z2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484350.10406322672</v>
      </c>
      <c r="AA20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38250</v>
      </c>
      <c r="AB2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40569.699999999997</v>
      </c>
      <c r="AC200" s="186">
        <f>SUMIFS(COSECHAS!F:F,COSECHAS!A:A,'BASE 2026'!AW:AW,COSECHAS!G:G,"="&amp;A:A)</f>
        <v>38</v>
      </c>
      <c r="AD200" s="186">
        <f>SUMIFS(COSECHAS!M:M,COSECHAS!A:A,'BASE 2026'!AW:AW,COSECHAS!G:G,"="&amp;A:A)</f>
        <v>38.159999999999997</v>
      </c>
      <c r="AE200" s="185">
        <f>IFERROR(TablaPrincipal[[#This Row],[LIBRAS PLANTA]]/TablaPrincipal[[#This Row],[HAS]],"-")</f>
        <v>6193.8473282442746</v>
      </c>
      <c r="AF200" s="185">
        <f>IFERROR(TablaPrincipal[[#This Row],[LIBRAS PLANTA]]*454/TablaPrincipal[[#This Row],[GRAMOS PLANTA]],"-")</f>
        <v>482668.86268343811</v>
      </c>
      <c r="AG200" s="185">
        <f>TablaPrincipal[[#This Row],[LIBRAS RALEO PLANTA]]+TablaPrincipal[[#This Row],[LIBRAS PLANTA]]</f>
        <v>67964.34</v>
      </c>
      <c r="AH200" s="185">
        <f>IFERROR(TablaPrincipal[[#This Row],[CAM COSECHADOS RALEO]]+TablaPrincipal[[#This Row],[CAM COSECHADOS]],"-")</f>
        <v>967018.96674666484</v>
      </c>
      <c r="AI200" s="185">
        <f>IFERROR((TablaPrincipal[[#This Row],[LIBRAS RALEO PLANTA]]+TablaPrincipal[[#This Row],[LIBRAS PLANTA]])/TablaPrincipal[[#This Row],[HAS]],"0")</f>
        <v>10376.235114503817</v>
      </c>
      <c r="AJ200" s="186">
        <f t="shared" si="3"/>
        <v>3.1425882352941175</v>
      </c>
      <c r="AK200" s="186">
        <f>IFERROR(TablaPrincipal[[#This Row],[LBS/HA]]/TablaPrincipal[[#This Row],[DIAS]],"-")</f>
        <v>122.0733542882802</v>
      </c>
      <c r="AL200" s="186">
        <f>IFERROR(TablaPrincipal[[#This Row],[CAM COSECHADOS TOTALES]]/TablaPrincipal[[#This Row],[ANIM SEMBRADOS]]*100,"-")</f>
        <v>61.515201446988854</v>
      </c>
      <c r="AM200" s="185">
        <v>106647.52500000001</v>
      </c>
      <c r="AN200" s="187">
        <f>IFERROR(((TablaPrincipal[[#This Row],[BALANCEADO ACUMULADO (LBS)]]/2.2046)/TablaPrincipal[[#This Row],[HAS]])/TablaPrincipal[[#This Row],[DIAS]],"-")</f>
        <v>86.888190390660085</v>
      </c>
      <c r="AO200" s="184">
        <f>IFERROR(TablaPrincipal[[#This Row],[BALANCEADO ACUMULADO (LBS)]]/TablaPrincipal[[#This Row],[LIBRAS TOTALES]],"-")</f>
        <v>1.5691688464862605</v>
      </c>
      <c r="AP200" s="184"/>
      <c r="AQ200" s="184"/>
      <c r="AR200" s="185">
        <f>TablaPrincipal[[#This Row],[LIBRAS RALEO PLANTA]]-TablaPrincipal[[#This Row],[LIBRAS RALEO CAMARONERA]]</f>
        <v>1294.6399999999994</v>
      </c>
      <c r="AS200" s="185">
        <f>TablaPrincipal[[#This Row],[LIBRAS PLANTA]]-TablaPrincipal[[#This Row],[LIBRAS CAMARONERA]]</f>
        <v>2319.6999999999971</v>
      </c>
      <c r="AT200" s="187">
        <f>TablaPrincipal[[#This Row],[GRAMAJE RALEO PLANTA]]-TablaPrincipal[[#This Row],[GRAMAJE RALEO CAMARONERA]]</f>
        <v>1.75</v>
      </c>
      <c r="AU200" s="187">
        <f>TablaPrincipal[[#This Row],[GRAMOS PLANTA]]-TablaPrincipal[[#This Row],[GRAMAJE CAMARONERA]]</f>
        <v>0.15999999999999659</v>
      </c>
      <c r="AV200" s="183" t="str">
        <f>+VLOOKUP(TablaPrincipal[[#This Row],[CODIGO]],TablaCosechas[#All],10,0)</f>
        <v>ALFONSO GRUNAUER</v>
      </c>
      <c r="AW200" s="183" t="s">
        <v>289</v>
      </c>
      <c r="AX200" s="188" t="str">
        <f>+VLOOKUP(TablaPrincipal[[#This Row],[CODIGO]],TablaCosechas[#All],10,0)</f>
        <v>ALFONSO GRUNAUER</v>
      </c>
    </row>
    <row r="201" spans="1:50" hidden="1" x14ac:dyDescent="0.25">
      <c r="A201" s="196">
        <v>46094</v>
      </c>
      <c r="B201" s="183">
        <v>199</v>
      </c>
      <c r="C201" s="183">
        <f>YEAR(TablaPrincipal[[#This Row],[FECHA]])</f>
        <v>2026</v>
      </c>
      <c r="D201" s="183" t="s">
        <v>256</v>
      </c>
      <c r="E201" s="183" t="str">
        <f>UPPER(TEXT(TablaPrincipal[[#This Row],[FECHA]],"MMMM"))</f>
        <v>MARZO</v>
      </c>
      <c r="F201" s="183" t="str">
        <f>IFERROR(VLOOKUP(TablaPrincipal[[#This Row],[CODIGO]],COSECHAS!A:J,9,0),"-")</f>
        <v>05</v>
      </c>
      <c r="G201" s="183" t="str">
        <f>IFERROR(VLOOKUP(TablaPrincipal[[#This Row],[CODIGO]],COSECHAS!A:I,8,0),"-")</f>
        <v>MERO</v>
      </c>
      <c r="H201" s="184">
        <f>IFERROR(VLOOKUP(TablaPrincipal[[#This Row],[CODIGO]],DATOS!A:B,2,0),"-")</f>
        <v>3.47</v>
      </c>
      <c r="I201" s="183" t="str">
        <f>IFERROR(VLOOKUP(TablaPrincipal[[#This Row],[CODIGO]],Tabla8[[#Headers],[#Data]],3,0),"-")</f>
        <v>CONVENCIONAL</v>
      </c>
      <c r="J201" s="183">
        <f>IFERROR(TablaPrincipal[[#This Row],[FECHA]]-TablaPrincipal[[#This Row],[FECHA DE SIEMBRA]],"-")</f>
        <v>62</v>
      </c>
      <c r="K201" s="196">
        <f>VLOOKUP(TablaPrincipal[[#This Row],[CODIGO]]&amp;TablaPrincipal[[#This Row],[AGUAJE ]],Tabla4[#All],4,0)</f>
        <v>46032</v>
      </c>
      <c r="L201" s="183" t="str">
        <f>VLOOKUP(TablaPrincipal[[#This Row],[CODIGO]]&amp;TablaPrincipal[[#This Row],[AGUAJE ]],Tabla4[#All],15,0)</f>
        <v>ME PS 6</v>
      </c>
      <c r="M201" s="184">
        <f>VLOOKUP(TablaPrincipal[[#This Row],[CODIGO]]&amp;TablaPrincipal[[#This Row],[AGUAJE ]],Tabla4[#All],14,0)</f>
        <v>3.5</v>
      </c>
      <c r="N201" s="183">
        <v>22</v>
      </c>
      <c r="O201" s="170">
        <f>VLOOKUP(TablaPrincipal[[#This Row],[CODIGO]]&amp;TablaPrincipal[[#This Row],[AGUAJE ]],Tabla4[#All],5,0)</f>
        <v>381700</v>
      </c>
      <c r="P201" s="221">
        <f>IFERROR(TablaPrincipal[[#This Row],[ANIM SEMBRADOS]]/TablaPrincipal[[#This Row],[HAS]],"-")</f>
        <v>110000</v>
      </c>
      <c r="Q201" s="222">
        <f>IFERROR(TablaPrincipal[[#This Row],[DENSIDAD]]/10000,"-")</f>
        <v>11</v>
      </c>
      <c r="R201" s="183" t="str">
        <f>VLOOKUP(TablaPrincipal[[#This Row],[CODIGO]]&amp;TablaPrincipal[[#This Row],[AGUAJE ]],Tabla4[#All],8,0)</f>
        <v>GABSO</v>
      </c>
      <c r="S201" s="183" t="str">
        <f>VLOOKUP(TablaPrincipal[[#This Row],[CODIGO]]&amp;TablaPrincipal[[#This Row],[AGUAJE ]],Tabla4[#All],7,0)</f>
        <v>TEXCUMAR</v>
      </c>
      <c r="T201" s="183" t="str">
        <f>IF(ISNUMBER(FIND("/",TablaPrincipal[[#This Row],[LABORATORIO]])),"COMBINADO","UNICO")</f>
        <v>UNICO</v>
      </c>
      <c r="U2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1" s="185">
        <f>IFERROR(TablaPrincipal[[#This Row],[LIBRAS RALEO PLANTA]]/TablaPrincipal[[#This Row],[HAS]],"-")</f>
        <v>0</v>
      </c>
      <c r="Z2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21000</v>
      </c>
      <c r="AB2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21175.29</v>
      </c>
      <c r="AC201" s="186">
        <f>SUMIFS(COSECHAS!F:F,COSECHAS!A:A,'BASE 2026'!AW:AW,COSECHAS!G:G,"="&amp;A:A)</f>
        <v>45</v>
      </c>
      <c r="AD201" s="186">
        <f>SUMIFS(COSECHAS!M:M,COSECHAS!A:A,'BASE 2026'!AW:AW,COSECHAS!G:G,"="&amp;A:A)</f>
        <v>42.32</v>
      </c>
      <c r="AE201" s="185">
        <f>IFERROR(TablaPrincipal[[#This Row],[LIBRAS PLANTA]]/TablaPrincipal[[#This Row],[HAS]],"-")</f>
        <v>6102.3890489913547</v>
      </c>
      <c r="AF201" s="185">
        <f>IFERROR(TablaPrincipal[[#This Row],[LIBRAS PLANTA]]*454/TablaPrincipal[[#This Row],[GRAMOS PLANTA]],"-")</f>
        <v>227164.02788279773</v>
      </c>
      <c r="AG201" s="185">
        <f>TablaPrincipal[[#This Row],[LIBRAS RALEO PLANTA]]+TablaPrincipal[[#This Row],[LIBRAS PLANTA]]</f>
        <v>21175.29</v>
      </c>
      <c r="AH201" s="185">
        <f>IFERROR(TablaPrincipal[[#This Row],[CAM COSECHADOS RALEO]]+TablaPrincipal[[#This Row],[CAM COSECHADOS]],"-")</f>
        <v>227164.02788279773</v>
      </c>
      <c r="AI201" s="185">
        <f>IFERROR((TablaPrincipal[[#This Row],[LIBRAS RALEO PLANTA]]+TablaPrincipal[[#This Row],[LIBRAS PLANTA]])/TablaPrincipal[[#This Row],[HAS]],"0")</f>
        <v>6102.3890489913547</v>
      </c>
      <c r="AJ201" s="186">
        <f t="shared" si="3"/>
        <v>4.7780645161290316</v>
      </c>
      <c r="AK201" s="186">
        <f>IFERROR(TablaPrincipal[[#This Row],[LBS/HA]]/TablaPrincipal[[#This Row],[DIAS]],"-")</f>
        <v>98.425629822441209</v>
      </c>
      <c r="AL201" s="186">
        <f>IFERROR(TablaPrincipal[[#This Row],[CAM COSECHADOS TOTALES]]/TablaPrincipal[[#This Row],[ANIM SEMBRADOS]]*100,"-")</f>
        <v>59.513761562168646</v>
      </c>
      <c r="AM201" s="185">
        <v>28935.375</v>
      </c>
      <c r="AN201" s="187">
        <f>IFERROR(((TablaPrincipal[[#This Row],[BALANCEADO ACUMULADO (LBS)]]/2.2046)/TablaPrincipal[[#This Row],[HAS]])/TablaPrincipal[[#This Row],[DIAS]],"-")</f>
        <v>61.006786278702236</v>
      </c>
      <c r="AO201" s="184">
        <f>IFERROR(TablaPrincipal[[#This Row],[BALANCEADO ACUMULADO (LBS)]]/TablaPrincipal[[#This Row],[LIBRAS TOTALES]],"-")</f>
        <v>1.3664688889738936</v>
      </c>
      <c r="AP201" s="184"/>
      <c r="AQ201" s="184"/>
      <c r="AR201" s="185">
        <f>TablaPrincipal[[#This Row],[LIBRAS RALEO PLANTA]]-TablaPrincipal[[#This Row],[LIBRAS RALEO CAMARONERA]]</f>
        <v>0</v>
      </c>
      <c r="AS201" s="185">
        <f>TablaPrincipal[[#This Row],[LIBRAS PLANTA]]-TablaPrincipal[[#This Row],[LIBRAS CAMARONERA]]</f>
        <v>175.29000000000087</v>
      </c>
      <c r="AT201" s="187">
        <f>TablaPrincipal[[#This Row],[GRAMAJE RALEO PLANTA]]-TablaPrincipal[[#This Row],[GRAMAJE RALEO CAMARONERA]]</f>
        <v>0</v>
      </c>
      <c r="AU201" s="187">
        <f>TablaPrincipal[[#This Row],[GRAMOS PLANTA]]-TablaPrincipal[[#This Row],[GRAMAJE CAMARONERA]]</f>
        <v>-2.6799999999999997</v>
      </c>
      <c r="AV201" s="183" t="str">
        <f>+VLOOKUP(TablaPrincipal[[#This Row],[CODIGO]],TablaCosechas[#All],10,0)</f>
        <v>NESTOR MOGOLLON</v>
      </c>
      <c r="AW201" s="183" t="s">
        <v>290</v>
      </c>
      <c r="AX201" s="188" t="str">
        <f>+VLOOKUP(TablaPrincipal[[#This Row],[CODIGO]],TablaCosechas[#All],10,0)</f>
        <v>NESTOR MOGOLLON</v>
      </c>
    </row>
    <row r="202" spans="1:50" hidden="1" x14ac:dyDescent="0.25">
      <c r="A202" s="196">
        <v>46096</v>
      </c>
      <c r="B202" s="183">
        <v>200</v>
      </c>
      <c r="C202" s="183">
        <f>YEAR(TablaPrincipal[[#This Row],[FECHA]])</f>
        <v>2026</v>
      </c>
      <c r="D202" s="183" t="s">
        <v>291</v>
      </c>
      <c r="E202" s="183" t="str">
        <f>UPPER(TEXT(TablaPrincipal[[#This Row],[FECHA]],"MMMM"))</f>
        <v>MARZO</v>
      </c>
      <c r="F202" s="183" t="str">
        <f>IFERROR(VLOOKUP(TablaPrincipal[[#This Row],[CODIGO]],COSECHAS!A:J,9,0),"-")</f>
        <v>06</v>
      </c>
      <c r="G202" s="183" t="str">
        <f>IFERROR(VLOOKUP(TablaPrincipal[[#This Row],[CODIGO]],COSECHAS!A:I,8,0),"-")</f>
        <v>CHERNA</v>
      </c>
      <c r="H202" s="184">
        <f>IFERROR(VLOOKUP(TablaPrincipal[[#This Row],[CODIGO]],DATOS!A:B,2,0),"-")</f>
        <v>4.53</v>
      </c>
      <c r="I202" s="183" t="str">
        <f>IFERROR(VLOOKUP(TablaPrincipal[[#This Row],[CODIGO]],Tabla8[[#Headers],[#Data]],3,0),"-")</f>
        <v>ASC</v>
      </c>
      <c r="J202" s="183">
        <f>IFERROR(TablaPrincipal[[#This Row],[FECHA]]-TablaPrincipal[[#This Row],[FECHA DE SIEMBRA]],"-")</f>
        <v>83</v>
      </c>
      <c r="K202" s="196">
        <f>VLOOKUP(TablaPrincipal[[#This Row],[CODIGO]]&amp;TablaPrincipal[[#This Row],[AGUAJE ]],Tabla4[#All],4,0)</f>
        <v>46013</v>
      </c>
      <c r="L202" s="183" t="str">
        <f>VLOOKUP(TablaPrincipal[[#This Row],[CODIGO]]&amp;TablaPrincipal[[#This Row],[AGUAJE ]],Tabla4[#All],15,0)</f>
        <v>CH PC 3</v>
      </c>
      <c r="M202" s="184">
        <f>VLOOKUP(TablaPrincipal[[#This Row],[CODIGO]]&amp;TablaPrincipal[[#This Row],[AGUAJE ]],Tabla4[#All],14,0)</f>
        <v>0.55000000000000004</v>
      </c>
      <c r="N202" s="183">
        <v>4</v>
      </c>
      <c r="O202" s="170">
        <f>VLOOKUP(TablaPrincipal[[#This Row],[CODIGO]]&amp;TablaPrincipal[[#This Row],[AGUAJE ]],Tabla4[#All],5,0)</f>
        <v>815400</v>
      </c>
      <c r="P202" s="221">
        <f>IFERROR(TablaPrincipal[[#This Row],[ANIM SEMBRADOS]]/TablaPrincipal[[#This Row],[HAS]],"-")</f>
        <v>180000</v>
      </c>
      <c r="Q202" s="222">
        <f>IFERROR(TablaPrincipal[[#This Row],[DENSIDAD]]/10000,"-")</f>
        <v>18</v>
      </c>
      <c r="R202" s="183" t="str">
        <f>VLOOKUP(TablaPrincipal[[#This Row],[CODIGO]]&amp;TablaPrincipal[[#This Row],[AGUAJE ]],Tabla4[#All],8,0)</f>
        <v>GABSO</v>
      </c>
      <c r="S202" s="183" t="str">
        <f>VLOOKUP(TablaPrincipal[[#This Row],[CODIGO]]&amp;TablaPrincipal[[#This Row],[AGUAJE ]],Tabla4[#All],7,0)</f>
        <v>TEXCUMAR</v>
      </c>
      <c r="T202" s="183" t="str">
        <f>IF(ISNUMBER(FIND("/",TablaPrincipal[[#This Row],[LABORATORIO]])),"COMBINADO","UNICO")</f>
        <v>UNICO</v>
      </c>
      <c r="U2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13200</v>
      </c>
      <c r="V2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13004.73</v>
      </c>
      <c r="W2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20.810000000000002</v>
      </c>
      <c r="Y202" s="185">
        <f>IFERROR(TablaPrincipal[[#This Row],[LIBRAS RALEO PLANTA]]/TablaPrincipal[[#This Row],[HAS]],"-")</f>
        <v>2870.8013245033112</v>
      </c>
      <c r="Z2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287264.37365264422</v>
      </c>
      <c r="AA20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18383.810000000001</v>
      </c>
      <c r="AC202" s="186">
        <f>SUMIFS(COSECHAS!F:F,COSECHAS!A:A,'BASE 2026'!AW:AW,COSECHAS!G:G,"="&amp;A:A)</f>
        <v>30</v>
      </c>
      <c r="AD202" s="186">
        <f>SUMIFS(COSECHAS!M:M,COSECHAS!A:A,'BASE 2026'!AW:AW,COSECHAS!G:G,"="&amp;A:A)</f>
        <v>28.42</v>
      </c>
      <c r="AE202" s="185">
        <f>IFERROR(TablaPrincipal[[#This Row],[LIBRAS PLANTA]]/TablaPrincipal[[#This Row],[HAS]],"-")</f>
        <v>4058.2362030905078</v>
      </c>
      <c r="AF202" s="185">
        <f>IFERROR(TablaPrincipal[[#This Row],[LIBRAS PLANTA]]*454/TablaPrincipal[[#This Row],[GRAMOS PLANTA]],"-")</f>
        <v>293675.21956368751</v>
      </c>
      <c r="AG202" s="185">
        <f>TablaPrincipal[[#This Row],[LIBRAS RALEO PLANTA]]+TablaPrincipal[[#This Row],[LIBRAS PLANTA]]</f>
        <v>31388.54</v>
      </c>
      <c r="AH202" s="185">
        <f>IFERROR(TablaPrincipal[[#This Row],[CAM COSECHADOS RALEO]]+TablaPrincipal[[#This Row],[CAM COSECHADOS]],"-")</f>
        <v>580939.59321633168</v>
      </c>
      <c r="AI202" s="185">
        <f>IFERROR((TablaPrincipal[[#This Row],[LIBRAS RALEO PLANTA]]+TablaPrincipal[[#This Row],[LIBRAS PLANTA]])/TablaPrincipal[[#This Row],[HAS]],"0")</f>
        <v>6929.0375275938186</v>
      </c>
      <c r="AJ202" s="186">
        <f t="shared" si="3"/>
        <v>2.3968674698795183</v>
      </c>
      <c r="AK202" s="186">
        <f>IFERROR(TablaPrincipal[[#This Row],[LBS/HA]]/TablaPrincipal[[#This Row],[DIAS]],"-")</f>
        <v>83.482379850527934</v>
      </c>
      <c r="AL202" s="186">
        <f>IFERROR(TablaPrincipal[[#This Row],[CAM COSECHADOS TOTALES]]/TablaPrincipal[[#This Row],[ANIM SEMBRADOS]]*100,"-")</f>
        <v>71.245964338524857</v>
      </c>
      <c r="AM202" s="185">
        <v>49217.695</v>
      </c>
      <c r="AN202" s="187">
        <f>IFERROR(((TablaPrincipal[[#This Row],[BALANCEADO ACUMULADO (LBS)]]/2.2046)/TablaPrincipal[[#This Row],[HAS]])/TablaPrincipal[[#This Row],[DIAS]],"-")</f>
        <v>59.376579164339475</v>
      </c>
      <c r="AO202" s="184">
        <f>IFERROR(TablaPrincipal[[#This Row],[BALANCEADO ACUMULADO (LBS)]]/TablaPrincipal[[#This Row],[LIBRAS TOTALES]],"-")</f>
        <v>1.5680147913856457</v>
      </c>
      <c r="AP202" s="184"/>
      <c r="AQ202" s="184"/>
      <c r="AR202" s="185">
        <f>TablaPrincipal[[#This Row],[LIBRAS RALEO PLANTA]]-TablaPrincipal[[#This Row],[LIBRAS RALEO CAMARONERA]]</f>
        <v>-195.27000000000044</v>
      </c>
      <c r="AS202" s="185">
        <f>TablaPrincipal[[#This Row],[LIBRAS PLANTA]]-TablaPrincipal[[#This Row],[LIBRAS CAMARONERA]]</f>
        <v>-1316.1899999999987</v>
      </c>
      <c r="AT202" s="187">
        <f>TablaPrincipal[[#This Row],[GRAMAJE RALEO PLANTA]]-TablaPrincipal[[#This Row],[GRAMAJE RALEO CAMARONERA]]</f>
        <v>-0.18999999999999773</v>
      </c>
      <c r="AU202" s="187">
        <f>TablaPrincipal[[#This Row],[GRAMOS PLANTA]]-TablaPrincipal[[#This Row],[GRAMAJE CAMARONERA]]</f>
        <v>-1.5799999999999983</v>
      </c>
      <c r="AV202" s="183" t="str">
        <f>+VLOOKUP(TablaPrincipal[[#This Row],[CODIGO]],TablaCosechas[#All],10,0)</f>
        <v>SANTIAGO OBRIEN</v>
      </c>
      <c r="AW202" s="183" t="s">
        <v>12</v>
      </c>
      <c r="AX202" s="188" t="str">
        <f>+VLOOKUP(TablaPrincipal[[#This Row],[CODIGO]],TablaCosechas[#All],10,0)</f>
        <v>SANTIAGO OBRIEN</v>
      </c>
    </row>
    <row r="203" spans="1:50" hidden="1" x14ac:dyDescent="0.25">
      <c r="A203" s="196">
        <v>46097</v>
      </c>
      <c r="B203" s="183">
        <v>201</v>
      </c>
      <c r="C203" s="183">
        <f>YEAR(TablaPrincipal[[#This Row],[FECHA]])</f>
        <v>2026</v>
      </c>
      <c r="D203" s="183" t="s">
        <v>291</v>
      </c>
      <c r="E203" s="183" t="str">
        <f>UPPER(TEXT(TablaPrincipal[[#This Row],[FECHA]],"MMMM"))</f>
        <v>MARZO</v>
      </c>
      <c r="F203" s="183" t="str">
        <f>IFERROR(VLOOKUP(TablaPrincipal[[#This Row],[CODIGO]],COSECHAS!A:J,9,0),"-")</f>
        <v>07</v>
      </c>
      <c r="G203" s="183" t="str">
        <f>IFERROR(VLOOKUP(TablaPrincipal[[#This Row],[CODIGO]],COSECHAS!A:I,8,0),"-")</f>
        <v>MERO</v>
      </c>
      <c r="H203" s="184">
        <f>IFERROR(VLOOKUP(TablaPrincipal[[#This Row],[CODIGO]],DATOS!A:B,2,0),"-")</f>
        <v>4.5999999999999996</v>
      </c>
      <c r="I203" s="183" t="str">
        <f>IFERROR(VLOOKUP(TablaPrincipal[[#This Row],[CODIGO]],Tabla8[[#Headers],[#Data]],3,0),"-")</f>
        <v>CONVENCIONAL</v>
      </c>
      <c r="J203" s="183">
        <f>IFERROR(TablaPrincipal[[#This Row],[FECHA]]-TablaPrincipal[[#This Row],[FECHA DE SIEMBRA]],"-")</f>
        <v>65</v>
      </c>
      <c r="K203" s="196">
        <f>VLOOKUP(TablaPrincipal[[#This Row],[CODIGO]]&amp;TablaPrincipal[[#This Row],[AGUAJE ]],Tabla4[#All],4,0)</f>
        <v>46032</v>
      </c>
      <c r="L203" s="183" t="str">
        <f>VLOOKUP(TablaPrincipal[[#This Row],[CODIGO]]&amp;TablaPrincipal[[#This Row],[AGUAJE ]],Tabla4[#All],15,0)</f>
        <v>ME PC 6</v>
      </c>
      <c r="M203" s="184">
        <f>VLOOKUP(TablaPrincipal[[#This Row],[CODIGO]]&amp;TablaPrincipal[[#This Row],[AGUAJE ]],Tabla4[#All],14,0)</f>
        <v>3.5</v>
      </c>
      <c r="N203" s="183">
        <v>12</v>
      </c>
      <c r="O203" s="170">
        <f>VLOOKUP(TablaPrincipal[[#This Row],[CODIGO]]&amp;TablaPrincipal[[#This Row],[AGUAJE ]],Tabla4[#All],5,0)</f>
        <v>506000</v>
      </c>
      <c r="P203" s="221">
        <f>IFERROR(TablaPrincipal[[#This Row],[ANIM SEMBRADOS]]/TablaPrincipal[[#This Row],[HAS]],"-")</f>
        <v>110000.00000000001</v>
      </c>
      <c r="Q203" s="222">
        <f>IFERROR(TablaPrincipal[[#This Row],[DENSIDAD]]/10000,"-")</f>
        <v>11.000000000000002</v>
      </c>
      <c r="R203" s="183" t="str">
        <f>VLOOKUP(TablaPrincipal[[#This Row],[CODIGO]]&amp;TablaPrincipal[[#This Row],[AGUAJE ]],Tabla4[#All],8,0)</f>
        <v>GABSO</v>
      </c>
      <c r="S203" s="183" t="str">
        <f>VLOOKUP(TablaPrincipal[[#This Row],[CODIGO]]&amp;TablaPrincipal[[#This Row],[AGUAJE ]],Tabla4[#All],7,0)</f>
        <v>TEXCUMAR</v>
      </c>
      <c r="T203" s="183" t="str">
        <f>IF(ISNUMBER(FIND("/",TablaPrincipal[[#This Row],[LABORATORIO]])),"COMBINADO","UNICO")</f>
        <v>UNICO</v>
      </c>
      <c r="U2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3" s="185">
        <f>IFERROR(TablaPrincipal[[#This Row],[LIBRAS RALEO PLANTA]]/TablaPrincipal[[#This Row],[HAS]],"-")</f>
        <v>0</v>
      </c>
      <c r="Z2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29500</v>
      </c>
      <c r="AB2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30132.43</v>
      </c>
      <c r="AC203" s="186">
        <f>SUMIFS(COSECHAS!F:F,COSECHAS!A:A,'BASE 2026'!AW:AW,COSECHAS!G:G,"="&amp;A:A)</f>
        <v>40</v>
      </c>
      <c r="AD203" s="186">
        <f>SUMIFS(COSECHAS!M:M,COSECHAS!A:A,'BASE 2026'!AW:AW,COSECHAS!G:G,"="&amp;A:A)</f>
        <v>41.39</v>
      </c>
      <c r="AE203" s="185">
        <f>IFERROR(TablaPrincipal[[#This Row],[LIBRAS PLANTA]]/TablaPrincipal[[#This Row],[HAS]],"-")</f>
        <v>6550.5282608695661</v>
      </c>
      <c r="AF203" s="185">
        <f>IFERROR(TablaPrincipal[[#This Row],[LIBRAS PLANTA]]*454/TablaPrincipal[[#This Row],[GRAMOS PLANTA]],"-")</f>
        <v>330517.59410485625</v>
      </c>
      <c r="AG203" s="185">
        <f>TablaPrincipal[[#This Row],[LIBRAS RALEO PLANTA]]+TablaPrincipal[[#This Row],[LIBRAS PLANTA]]</f>
        <v>30132.43</v>
      </c>
      <c r="AH203" s="185">
        <f>IFERROR(TablaPrincipal[[#This Row],[CAM COSECHADOS RALEO]]+TablaPrincipal[[#This Row],[CAM COSECHADOS]],"-")</f>
        <v>330517.59410485625</v>
      </c>
      <c r="AI203" s="185">
        <f>IFERROR((TablaPrincipal[[#This Row],[LIBRAS RALEO PLANTA]]+TablaPrincipal[[#This Row],[LIBRAS PLANTA]])/TablaPrincipal[[#This Row],[HAS]],"0")</f>
        <v>6550.5282608695661</v>
      </c>
      <c r="AJ203" s="186">
        <f t="shared" si="3"/>
        <v>4.4573846153846155</v>
      </c>
      <c r="AK203" s="186">
        <f>IFERROR(TablaPrincipal[[#This Row],[LBS/HA]]/TablaPrincipal[[#This Row],[DIAS]],"-")</f>
        <v>100.77735785953179</v>
      </c>
      <c r="AL203" s="186">
        <f>IFERROR(TablaPrincipal[[#This Row],[CAM COSECHADOS TOTALES]]/TablaPrincipal[[#This Row],[ANIM SEMBRADOS]]*100,"-")</f>
        <v>65.319682629418224</v>
      </c>
      <c r="AM203" s="185">
        <v>44257.345000000001</v>
      </c>
      <c r="AN203" s="187">
        <f>IFERROR(((TablaPrincipal[[#This Row],[BALANCEADO ACUMULADO (LBS)]]/2.2046)/TablaPrincipal[[#This Row],[HAS]])/TablaPrincipal[[#This Row],[DIAS]],"-")</f>
        <v>67.140468227424748</v>
      </c>
      <c r="AO203" s="184">
        <f>IFERROR(TablaPrincipal[[#This Row],[BALANCEADO ACUMULADO (LBS)]]/TablaPrincipal[[#This Row],[LIBRAS TOTALES]],"-")</f>
        <v>1.4687612316696663</v>
      </c>
      <c r="AP203" s="184"/>
      <c r="AQ203" s="184"/>
      <c r="AR203" s="185">
        <f>TablaPrincipal[[#This Row],[LIBRAS RALEO PLANTA]]-TablaPrincipal[[#This Row],[LIBRAS RALEO CAMARONERA]]</f>
        <v>0</v>
      </c>
      <c r="AS203" s="185">
        <f>TablaPrincipal[[#This Row],[LIBRAS PLANTA]]-TablaPrincipal[[#This Row],[LIBRAS CAMARONERA]]</f>
        <v>632.43000000000029</v>
      </c>
      <c r="AT203" s="187">
        <f>TablaPrincipal[[#This Row],[GRAMAJE RALEO PLANTA]]-TablaPrincipal[[#This Row],[GRAMAJE RALEO CAMARONERA]]</f>
        <v>0</v>
      </c>
      <c r="AU203" s="187">
        <f>TablaPrincipal[[#This Row],[GRAMOS PLANTA]]-TablaPrincipal[[#This Row],[GRAMAJE CAMARONERA]]</f>
        <v>1.3900000000000006</v>
      </c>
      <c r="AV203" s="183" t="str">
        <f>+VLOOKUP(TablaPrincipal[[#This Row],[CODIGO]],TablaCosechas[#All],10,0)</f>
        <v>NESTOR MOGOLLON</v>
      </c>
      <c r="AW203" s="183" t="s">
        <v>292</v>
      </c>
      <c r="AX203" s="188" t="str">
        <f>+VLOOKUP(TablaPrincipal[[#This Row],[CODIGO]],TablaCosechas[#All],10,0)</f>
        <v>NESTOR MOGOLLON</v>
      </c>
    </row>
    <row r="204" spans="1:50" hidden="1" x14ac:dyDescent="0.25">
      <c r="A204" s="196">
        <v>46097</v>
      </c>
      <c r="B204" s="183">
        <v>202</v>
      </c>
      <c r="C204" s="183">
        <f>YEAR(TablaPrincipal[[#This Row],[FECHA]])</f>
        <v>2026</v>
      </c>
      <c r="D204" s="183" t="s">
        <v>291</v>
      </c>
      <c r="E204" s="183" t="str">
        <f>UPPER(TEXT(TablaPrincipal[[#This Row],[FECHA]],"MMMM"))</f>
        <v>MARZO</v>
      </c>
      <c r="F204" s="183" t="str">
        <f>IFERROR(VLOOKUP(TablaPrincipal[[#This Row],[CODIGO]],COSECHAS!A:J,9,0),"-")</f>
        <v>28</v>
      </c>
      <c r="G204" s="183" t="str">
        <f>IFERROR(VLOOKUP(TablaPrincipal[[#This Row],[CODIGO]],COSECHAS!A:I,8,0),"-")</f>
        <v>PARGO ROJO</v>
      </c>
      <c r="H204" s="184">
        <f>IFERROR(VLOOKUP(TablaPrincipal[[#This Row],[CODIGO]],DATOS!A:B,2,0),"-")</f>
        <v>7.3</v>
      </c>
      <c r="I204" s="183" t="str">
        <f>IFERROR(VLOOKUP(TablaPrincipal[[#This Row],[CODIGO]],Tabla8[[#Headers],[#Data]],3,0),"-")</f>
        <v>CONVENCIONAL</v>
      </c>
      <c r="J204" s="183">
        <f>IFERROR(TablaPrincipal[[#This Row],[FECHA]]-TablaPrincipal[[#This Row],[FECHA DE SIEMBRA]],"-")</f>
        <v>66</v>
      </c>
      <c r="K204" s="196">
        <f>VLOOKUP(TablaPrincipal[[#This Row],[CODIGO]]&amp;TablaPrincipal[[#This Row],[AGUAJE ]],Tabla4[#All],4,0)</f>
        <v>46031</v>
      </c>
      <c r="L204" s="183" t="str">
        <f>VLOOKUP(TablaPrincipal[[#This Row],[CODIGO]]&amp;TablaPrincipal[[#This Row],[AGUAJE ]],Tabla4[#All],15,0)</f>
        <v>PR PC 5</v>
      </c>
      <c r="M204" s="184">
        <f>VLOOKUP(TablaPrincipal[[#This Row],[CODIGO]]&amp;TablaPrincipal[[#This Row],[AGUAJE ]],Tabla4[#All],14,0)</f>
        <v>0.4</v>
      </c>
      <c r="N204" s="183">
        <v>7</v>
      </c>
      <c r="O204" s="170">
        <f>VLOOKUP(TablaPrincipal[[#This Row],[CODIGO]]&amp;TablaPrincipal[[#This Row],[AGUAJE ]],Tabla4[#All],5,0)</f>
        <v>1241000</v>
      </c>
      <c r="P204" s="221">
        <f>IFERROR(TablaPrincipal[[#This Row],[ANIM SEMBRADOS]]/TablaPrincipal[[#This Row],[HAS]],"-")</f>
        <v>170000</v>
      </c>
      <c r="Q204" s="222">
        <f>IFERROR(TablaPrincipal[[#This Row],[DENSIDAD]]/10000,"-")</f>
        <v>17</v>
      </c>
      <c r="R204" s="183" t="str">
        <f>VLOOKUP(TablaPrincipal[[#This Row],[CODIGO]]&amp;TablaPrincipal[[#This Row],[AGUAJE ]],Tabla4[#All],8,0)</f>
        <v>EMPAGRAN</v>
      </c>
      <c r="S204" s="183" t="str">
        <f>VLOOKUP(TablaPrincipal[[#This Row],[CODIGO]]&amp;TablaPrincipal[[#This Row],[AGUAJE ]],Tabla4[#All],7,0)</f>
        <v>EMPAGRAN</v>
      </c>
      <c r="T204" s="183" t="str">
        <f>IF(ISNUMBER(FIND("/",TablaPrincipal[[#This Row],[LABORATORIO]])),"COMBINADO","UNICO")</f>
        <v>UNICO</v>
      </c>
      <c r="U2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4" s="185">
        <f>IFERROR(TablaPrincipal[[#This Row],[LIBRAS RALEO PLANTA]]/TablaPrincipal[[#This Row],[HAS]],"-")</f>
        <v>0</v>
      </c>
      <c r="Z2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30085.91</v>
      </c>
      <c r="AC204" s="186">
        <f>SUMIFS(COSECHAS!F:F,COSECHAS!A:A,'BASE 2026'!AW:AW,COSECHAS!G:G,"="&amp;A:A)</f>
        <v>22</v>
      </c>
      <c r="AD204" s="186">
        <f>SUMIFS(COSECHAS!M:M,COSECHAS!A:A,'BASE 2026'!AW:AW,COSECHAS!G:G,"="&amp;A:A)</f>
        <v>25.29</v>
      </c>
      <c r="AE204" s="185">
        <f>IFERROR(TablaPrincipal[[#This Row],[LIBRAS PLANTA]]/TablaPrincipal[[#This Row],[HAS]],"-")</f>
        <v>4121.3575342465756</v>
      </c>
      <c r="AF204" s="185">
        <f>IFERROR(TablaPrincipal[[#This Row],[LIBRAS PLANTA]]*454/TablaPrincipal[[#This Row],[GRAMOS PLANTA]],"-")</f>
        <v>540095.02332937927</v>
      </c>
      <c r="AG204" s="185">
        <f>TablaPrincipal[[#This Row],[LIBRAS RALEO PLANTA]]+TablaPrincipal[[#This Row],[LIBRAS PLANTA]]</f>
        <v>30085.91</v>
      </c>
      <c r="AH204" s="185">
        <f>IFERROR(TablaPrincipal[[#This Row],[CAM COSECHADOS RALEO]]+TablaPrincipal[[#This Row],[CAM COSECHADOS]],"-")</f>
        <v>540095.02332937927</v>
      </c>
      <c r="AI204" s="185">
        <f>IFERROR((TablaPrincipal[[#This Row],[LIBRAS RALEO PLANTA]]+TablaPrincipal[[#This Row],[LIBRAS PLANTA]])/TablaPrincipal[[#This Row],[HAS]],"0")</f>
        <v>4121.3575342465756</v>
      </c>
      <c r="AJ204" s="186">
        <f t="shared" si="3"/>
        <v>2.6822727272727271</v>
      </c>
      <c r="AK204" s="186">
        <f>IFERROR(TablaPrincipal[[#This Row],[LBS/HA]]/TablaPrincipal[[#This Row],[DIAS]],"-")</f>
        <v>62.444811124948117</v>
      </c>
      <c r="AL204" s="186">
        <f>IFERROR(TablaPrincipal[[#This Row],[CAM COSECHADOS TOTALES]]/TablaPrincipal[[#This Row],[ANIM SEMBRADOS]]*100,"-")</f>
        <v>43.520952725977381</v>
      </c>
      <c r="AM204" s="185">
        <v>44080.976999999999</v>
      </c>
      <c r="AN204" s="187">
        <f>IFERROR(((TablaPrincipal[[#This Row],[BALANCEADO ACUMULADO (LBS)]]/2.2046)/TablaPrincipal[[#This Row],[HAS]])/TablaPrincipal[[#This Row],[DIAS]],"-")</f>
        <v>41.500622665006226</v>
      </c>
      <c r="AO204" s="184">
        <f>IFERROR(TablaPrincipal[[#This Row],[BALANCEADO ACUMULADO (LBS)]]/TablaPrincipal[[#This Row],[LIBRAS TOTALES]],"-")</f>
        <v>1.4651701411059197</v>
      </c>
      <c r="AP204" s="184"/>
      <c r="AQ204" s="184"/>
      <c r="AR204" s="185">
        <f>TablaPrincipal[[#This Row],[LIBRAS RALEO PLANTA]]-TablaPrincipal[[#This Row],[LIBRAS RALEO CAMARONERA]]</f>
        <v>0</v>
      </c>
      <c r="AS204" s="185">
        <f>TablaPrincipal[[#This Row],[LIBRAS PLANTA]]-TablaPrincipal[[#This Row],[LIBRAS CAMARONERA]]</f>
        <v>4285.91</v>
      </c>
      <c r="AT204" s="187">
        <f>TablaPrincipal[[#This Row],[GRAMAJE RALEO PLANTA]]-TablaPrincipal[[#This Row],[GRAMAJE RALEO CAMARONERA]]</f>
        <v>0</v>
      </c>
      <c r="AU204" s="187">
        <f>TablaPrincipal[[#This Row],[GRAMOS PLANTA]]-TablaPrincipal[[#This Row],[GRAMAJE CAMARONERA]]</f>
        <v>3.2899999999999991</v>
      </c>
      <c r="AV204" s="183" t="str">
        <f>+VLOOKUP(TablaPrincipal[[#This Row],[CODIGO]],TablaCosechas[#All],10,0)</f>
        <v>WILMER TORRES</v>
      </c>
      <c r="AW204" s="183" t="s">
        <v>106</v>
      </c>
      <c r="AX204" s="188" t="str">
        <f>+VLOOKUP(TablaPrincipal[[#This Row],[CODIGO]],TablaCosechas[#All],10,0)</f>
        <v>WILMER TORRES</v>
      </c>
    </row>
    <row r="205" spans="1:50" hidden="1" x14ac:dyDescent="0.25">
      <c r="A205" s="196">
        <v>46097</v>
      </c>
      <c r="B205" s="183">
        <v>203</v>
      </c>
      <c r="C205" s="183">
        <f>YEAR(TablaPrincipal[[#This Row],[FECHA]])</f>
        <v>2026</v>
      </c>
      <c r="D205" s="183" t="s">
        <v>291</v>
      </c>
      <c r="E205" s="183" t="str">
        <f>UPPER(TEXT(TablaPrincipal[[#This Row],[FECHA]],"MMMM"))</f>
        <v>MARZO</v>
      </c>
      <c r="F205" s="183" t="str">
        <f>IFERROR(VLOOKUP(TablaPrincipal[[#This Row],[CODIGO]],COSECHAS!A:J,9,0),"-")</f>
        <v>12</v>
      </c>
      <c r="G205" s="183" t="str">
        <f>IFERROR(VLOOKUP(TablaPrincipal[[#This Row],[CODIGO]],COSECHAS!A:I,8,0),"-")</f>
        <v>TAMBULERO</v>
      </c>
      <c r="H205" s="184">
        <f>IFERROR(VLOOKUP(TablaPrincipal[[#This Row],[CODIGO]],DATOS!A:B,2,0),"-")</f>
        <v>6.75</v>
      </c>
      <c r="I205" s="183" t="str">
        <f>IFERROR(VLOOKUP(TablaPrincipal[[#This Row],[CODIGO]],Tabla8[[#Headers],[#Data]],3,0),"-")</f>
        <v>ASC-BAP</v>
      </c>
      <c r="J205" s="183">
        <f>IFERROR(TablaPrincipal[[#This Row],[FECHA]]-TablaPrincipal[[#This Row],[FECHA DE SIEMBRA]],"-")</f>
        <v>73</v>
      </c>
      <c r="K205" s="196">
        <f>VLOOKUP(TablaPrincipal[[#This Row],[CODIGO]]&amp;TablaPrincipal[[#This Row],[AGUAJE ]],Tabla4[#All],4,0)</f>
        <v>46024</v>
      </c>
      <c r="L205" s="183" t="str">
        <f>VLOOKUP(TablaPrincipal[[#This Row],[CODIGO]]&amp;TablaPrincipal[[#This Row],[AGUAJE ]],Tabla4[#All],15,0)</f>
        <v>TA 1</v>
      </c>
      <c r="M205" s="184">
        <f>VLOOKUP(TablaPrincipal[[#This Row],[CODIGO]]&amp;TablaPrincipal[[#This Row],[AGUAJE ]],Tabla4[#All],14,0)</f>
        <v>0.38</v>
      </c>
      <c r="N205" s="183">
        <v>7</v>
      </c>
      <c r="O205" s="170">
        <f>VLOOKUP(TablaPrincipal[[#This Row],[CODIGO]]&amp;TablaPrincipal[[#This Row],[AGUAJE ]],Tabla4[#All],5,0)</f>
        <v>1120000</v>
      </c>
      <c r="P205" s="221">
        <f>IFERROR(TablaPrincipal[[#This Row],[ANIM SEMBRADOS]]/TablaPrincipal[[#This Row],[HAS]],"-")</f>
        <v>165925.92592592593</v>
      </c>
      <c r="Q205" s="222">
        <f>IFERROR(TablaPrincipal[[#This Row],[DENSIDAD]]/10000,"-")</f>
        <v>16.592592592592592</v>
      </c>
      <c r="R205" s="183" t="str">
        <f>VLOOKUP(TablaPrincipal[[#This Row],[CODIGO]]&amp;TablaPrincipal[[#This Row],[AGUAJE ]],Tabla4[#All],8,0)</f>
        <v>NARIHUALA</v>
      </c>
      <c r="S205" s="183" t="str">
        <f>VLOOKUP(TablaPrincipal[[#This Row],[CODIGO]]&amp;TablaPrincipal[[#This Row],[AGUAJE ]],Tabla4[#All],7,0)</f>
        <v>TEXCUMAR</v>
      </c>
      <c r="T205" s="183" t="str">
        <f>IF(ISNUMBER(FIND("/",TablaPrincipal[[#This Row],[LABORATORIO]])),"COMBINADO","UNICO")</f>
        <v>UNICO</v>
      </c>
      <c r="U2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22100</v>
      </c>
      <c r="V2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23511.690000000002</v>
      </c>
      <c r="W2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23.67</v>
      </c>
      <c r="Y205" s="185">
        <f>IFERROR(TablaPrincipal[[#This Row],[LIBRAS RALEO PLANTA]]/TablaPrincipal[[#This Row],[HAS]],"-")</f>
        <v>3483.2133333333336</v>
      </c>
      <c r="Z2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451480.52135978022</v>
      </c>
      <c r="AA20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31200</v>
      </c>
      <c r="AB2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34784.300000000003</v>
      </c>
      <c r="AC205" s="186">
        <f>SUMIFS(COSECHAS!F:F,COSECHAS!A:A,'BASE 2026'!AW:AW,COSECHAS!G:G,"="&amp;A:A)</f>
        <v>30.5</v>
      </c>
      <c r="AD205" s="186">
        <f>SUMIFS(COSECHAS!M:M,COSECHAS!A:A,'BASE 2026'!AW:AW,COSECHAS!G:G,"="&amp;A:A)</f>
        <v>32.22</v>
      </c>
      <c r="AE205" s="185">
        <f>IFERROR(TablaPrincipal[[#This Row],[LIBRAS PLANTA]]/TablaPrincipal[[#This Row],[HAS]],"-")</f>
        <v>5153.2296296296299</v>
      </c>
      <c r="AF205" s="185">
        <f>IFERROR(TablaPrincipal[[#This Row],[LIBRAS PLANTA]]*454/TablaPrincipal[[#This Row],[GRAMOS PLANTA]],"-")</f>
        <v>490132.59466170083</v>
      </c>
      <c r="AG205" s="185">
        <f>TablaPrincipal[[#This Row],[LIBRAS RALEO PLANTA]]+TablaPrincipal[[#This Row],[LIBRAS PLANTA]]</f>
        <v>58295.990000000005</v>
      </c>
      <c r="AH205" s="185">
        <f>IFERROR(TablaPrincipal[[#This Row],[CAM COSECHADOS RALEO]]+TablaPrincipal[[#This Row],[CAM COSECHADOS]],"-")</f>
        <v>941613.11602148111</v>
      </c>
      <c r="AI205" s="185">
        <f>IFERROR((TablaPrincipal[[#This Row],[LIBRAS RALEO PLANTA]]+TablaPrincipal[[#This Row],[LIBRAS PLANTA]])/TablaPrincipal[[#This Row],[HAS]],"0")</f>
        <v>8636.4429629629631</v>
      </c>
      <c r="AJ205" s="186">
        <f t="shared" si="3"/>
        <v>3.0895890410958904</v>
      </c>
      <c r="AK205" s="186">
        <f>IFERROR(TablaPrincipal[[#This Row],[LBS/HA]]/TablaPrincipal[[#This Row],[DIAS]],"-")</f>
        <v>118.30743784880771</v>
      </c>
      <c r="AL205" s="186">
        <f>IFERROR(TablaPrincipal[[#This Row],[CAM COSECHADOS TOTALES]]/TablaPrincipal[[#This Row],[ANIM SEMBRADOS]]*100,"-")</f>
        <v>84.07259964477511</v>
      </c>
      <c r="AM205" s="185">
        <v>80908.820000000007</v>
      </c>
      <c r="AN205" s="187">
        <f>IFERROR(((TablaPrincipal[[#This Row],[BALANCEADO ACUMULADO (LBS)]]/2.2046)/TablaPrincipal[[#This Row],[HAS]])/TablaPrincipal[[#This Row],[DIAS]],"-")</f>
        <v>74.479959411466268</v>
      </c>
      <c r="AO205" s="184">
        <f>IFERROR(TablaPrincipal[[#This Row],[BALANCEADO ACUMULADO (LBS)]]/TablaPrincipal[[#This Row],[LIBRAS TOTALES]],"-")</f>
        <v>1.3878968347565588</v>
      </c>
      <c r="AP205" s="184"/>
      <c r="AQ205" s="184"/>
      <c r="AR205" s="185">
        <f>TablaPrincipal[[#This Row],[LIBRAS RALEO PLANTA]]-TablaPrincipal[[#This Row],[LIBRAS RALEO CAMARONERA]]</f>
        <v>1411.6900000000023</v>
      </c>
      <c r="AS205" s="185">
        <f>TablaPrincipal[[#This Row],[LIBRAS PLANTA]]-TablaPrincipal[[#This Row],[LIBRAS CAMARONERA]]</f>
        <v>3584.3000000000029</v>
      </c>
      <c r="AT205" s="187">
        <f>TablaPrincipal[[#This Row],[GRAMAJE RALEO PLANTA]]-TablaPrincipal[[#This Row],[GRAMAJE RALEO CAMARONERA]]</f>
        <v>0.42000000000000171</v>
      </c>
      <c r="AU205" s="187">
        <f>TablaPrincipal[[#This Row],[GRAMOS PLANTA]]-TablaPrincipal[[#This Row],[GRAMAJE CAMARONERA]]</f>
        <v>1.7199999999999989</v>
      </c>
      <c r="AV205" s="183" t="str">
        <f>+VLOOKUP(TablaPrincipal[[#This Row],[CODIGO]],TablaCosechas[#All],10,0)</f>
        <v>ALFONSO GRUNAUER</v>
      </c>
      <c r="AW205" s="183" t="s">
        <v>293</v>
      </c>
      <c r="AX205" s="188" t="str">
        <f>+VLOOKUP(TablaPrincipal[[#This Row],[CODIGO]],TablaCosechas[#All],10,0)</f>
        <v>ALFONSO GRUNAUER</v>
      </c>
    </row>
    <row r="206" spans="1:50" hidden="1" x14ac:dyDescent="0.25">
      <c r="A206" s="196">
        <v>46097</v>
      </c>
      <c r="B206" s="183">
        <v>204</v>
      </c>
      <c r="C206" s="183">
        <f>YEAR(TablaPrincipal[[#This Row],[FECHA]])</f>
        <v>2026</v>
      </c>
      <c r="D206" s="183" t="s">
        <v>291</v>
      </c>
      <c r="E206" s="183" t="str">
        <f>UPPER(TEXT(TablaPrincipal[[#This Row],[FECHA]],"MMMM"))</f>
        <v>MARZO</v>
      </c>
      <c r="F206" s="183" t="str">
        <f>IFERROR(VLOOKUP(TablaPrincipal[[#This Row],[CODIGO]],COSECHAS!A:J,9,0),"-")</f>
        <v>15</v>
      </c>
      <c r="G206" s="183" t="str">
        <f>IFERROR(VLOOKUP(TablaPrincipal[[#This Row],[CODIGO]],COSECHAS!A:I,8,0),"-")</f>
        <v>ROBALO</v>
      </c>
      <c r="H206" s="184">
        <f>IFERROR(VLOOKUP(TablaPrincipal[[#This Row],[CODIGO]],DATOS!A:B,2,0),"-")</f>
        <v>14.9</v>
      </c>
      <c r="I206" s="183" t="str">
        <f>IFERROR(VLOOKUP(TablaPrincipal[[#This Row],[CODIGO]],Tabla8[[#Headers],[#Data]],3,0),"-")</f>
        <v>ASC-BAP</v>
      </c>
      <c r="J206" s="183">
        <f>IFERROR(TablaPrincipal[[#This Row],[FECHA]]-TablaPrincipal[[#This Row],[FECHA DE SIEMBRA]],"-")</f>
        <v>81</v>
      </c>
      <c r="K206" s="196">
        <f>VLOOKUP(TablaPrincipal[[#This Row],[CODIGO]]&amp;TablaPrincipal[[#This Row],[AGUAJE ]],Tabla4[#All],4,0)</f>
        <v>46016</v>
      </c>
      <c r="L206" s="183" t="str">
        <f>VLOOKUP(TablaPrincipal[[#This Row],[CODIGO]]&amp;TablaPrincipal[[#This Row],[AGUAJE ]],Tabla4[#All],15,0)</f>
        <v>RO PC 9</v>
      </c>
      <c r="M206" s="184">
        <f>VLOOKUP(TablaPrincipal[[#This Row],[CODIGO]]&amp;TablaPrincipal[[#This Row],[AGUAJE ]],Tabla4[#All],14,0)</f>
        <v>0.38</v>
      </c>
      <c r="N206" s="183">
        <v>4</v>
      </c>
      <c r="O206" s="170">
        <f>VLOOKUP(TablaPrincipal[[#This Row],[CODIGO]]&amp;TablaPrincipal[[#This Row],[AGUAJE ]],Tabla4[#All],5,0)</f>
        <v>2533000</v>
      </c>
      <c r="P206" s="221">
        <f>IFERROR(TablaPrincipal[[#This Row],[ANIM SEMBRADOS]]/TablaPrincipal[[#This Row],[HAS]],"-")</f>
        <v>170000</v>
      </c>
      <c r="Q206" s="222">
        <f>IFERROR(TablaPrincipal[[#This Row],[DENSIDAD]]/10000,"-")</f>
        <v>17</v>
      </c>
      <c r="R206" s="183" t="str">
        <f>VLOOKUP(TablaPrincipal[[#This Row],[CODIGO]]&amp;TablaPrincipal[[#This Row],[AGUAJE ]],Tabla4[#All],8,0)</f>
        <v>GENESIS</v>
      </c>
      <c r="S206" s="183" t="str">
        <f>VLOOKUP(TablaPrincipal[[#This Row],[CODIGO]]&amp;TablaPrincipal[[#This Row],[AGUAJE ]],Tabla4[#All],7,0)</f>
        <v>TEXCUMAR</v>
      </c>
      <c r="T206" s="183" t="str">
        <f>IF(ISNUMBER(FIND("/",TablaPrincipal[[#This Row],[LABORATORIO]])),"COMBINADO","UNICO")</f>
        <v>UNICO</v>
      </c>
      <c r="U2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06" s="185">
        <f>IFERROR(TablaPrincipal[[#This Row],[LIBRAS RALEO PLANTA]]/TablaPrincipal[[#This Row],[HAS]],"-")</f>
        <v>0</v>
      </c>
      <c r="Z2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0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75000</v>
      </c>
      <c r="AB2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79011.08</v>
      </c>
      <c r="AC206" s="186">
        <f>SUMIFS(COSECHAS!F:F,COSECHAS!A:A,'BASE 2026'!AW:AW,COSECHAS!G:G,"="&amp;A:A)</f>
        <v>38</v>
      </c>
      <c r="AD206" s="186">
        <f>SUMIFS(COSECHAS!M:M,COSECHAS!A:A,'BASE 2026'!AW:AW,COSECHAS!G:G,"="&amp;A:A)</f>
        <v>34.520000000000003</v>
      </c>
      <c r="AE206" s="185">
        <f>IFERROR(TablaPrincipal[[#This Row],[LIBRAS PLANTA]]/TablaPrincipal[[#This Row],[HAS]],"-")</f>
        <v>5302.7570469798657</v>
      </c>
      <c r="AF206" s="185">
        <f>IFERROR(TablaPrincipal[[#This Row],[LIBRAS PLANTA]]*454/TablaPrincipal[[#This Row],[GRAMOS PLANTA]],"-")</f>
        <v>1039137.6106604866</v>
      </c>
      <c r="AG206" s="185">
        <f>TablaPrincipal[[#This Row],[LIBRAS RALEO PLANTA]]+TablaPrincipal[[#This Row],[LIBRAS PLANTA]]</f>
        <v>79011.08</v>
      </c>
      <c r="AH206" s="185">
        <f>IFERROR(TablaPrincipal[[#This Row],[CAM COSECHADOS RALEO]]+TablaPrincipal[[#This Row],[CAM COSECHADOS]],"-")</f>
        <v>1039137.6106604866</v>
      </c>
      <c r="AI206" s="185">
        <f>IFERROR((TablaPrincipal[[#This Row],[LIBRAS RALEO PLANTA]]+TablaPrincipal[[#This Row],[LIBRAS PLANTA]])/TablaPrincipal[[#This Row],[HAS]],"0")</f>
        <v>5302.7570469798657</v>
      </c>
      <c r="AJ206" s="186">
        <f t="shared" si="3"/>
        <v>2.98320987654321</v>
      </c>
      <c r="AK206" s="186">
        <f>IFERROR(TablaPrincipal[[#This Row],[LBS/HA]]/TablaPrincipal[[#This Row],[DIAS]],"-")</f>
        <v>65.466136382467482</v>
      </c>
      <c r="AL206" s="186">
        <f>IFERROR(TablaPrincipal[[#This Row],[CAM COSECHADOS TOTALES]]/TablaPrincipal[[#This Row],[ANIM SEMBRADOS]]*100,"-")</f>
        <v>41.023987787622843</v>
      </c>
      <c r="AM206" s="185">
        <v>119432.0004</v>
      </c>
      <c r="AN206" s="187">
        <f>IFERROR(((TablaPrincipal[[#This Row],[BALANCEADO ACUMULADO (LBS)]]/2.2046)/TablaPrincipal[[#This Row],[HAS]])/TablaPrincipal[[#This Row],[DIAS]],"-")</f>
        <v>44.88690032314193</v>
      </c>
      <c r="AO206" s="184">
        <f>IFERROR(TablaPrincipal[[#This Row],[BALANCEADO ACUMULADO (LBS)]]/TablaPrincipal[[#This Row],[LIBRAS TOTALES]],"-")</f>
        <v>1.5115854687722279</v>
      </c>
      <c r="AP206" s="184"/>
      <c r="AQ206" s="184"/>
      <c r="AR206" s="185">
        <f>TablaPrincipal[[#This Row],[LIBRAS RALEO PLANTA]]-TablaPrincipal[[#This Row],[LIBRAS RALEO CAMARONERA]]</f>
        <v>0</v>
      </c>
      <c r="AS206" s="185">
        <f>TablaPrincipal[[#This Row],[LIBRAS PLANTA]]-TablaPrincipal[[#This Row],[LIBRAS CAMARONERA]]</f>
        <v>4011.0800000000017</v>
      </c>
      <c r="AT206" s="187">
        <f>TablaPrincipal[[#This Row],[GRAMAJE RALEO PLANTA]]-TablaPrincipal[[#This Row],[GRAMAJE RALEO CAMARONERA]]</f>
        <v>0</v>
      </c>
      <c r="AU206" s="187">
        <f>TablaPrincipal[[#This Row],[GRAMOS PLANTA]]-TablaPrincipal[[#This Row],[GRAMAJE CAMARONERA]]</f>
        <v>-3.4799999999999969</v>
      </c>
      <c r="AV206" s="183" t="str">
        <f>+VLOOKUP(TablaPrincipal[[#This Row],[CODIGO]],TablaCosechas[#All],10,0)</f>
        <v>VICTOR QUINTANA</v>
      </c>
      <c r="AW206" s="183" t="s">
        <v>294</v>
      </c>
      <c r="AX206" s="188" t="str">
        <f>+VLOOKUP(TablaPrincipal[[#This Row],[CODIGO]],TablaCosechas[#All],10,0)</f>
        <v>VICTOR QUINTANA</v>
      </c>
    </row>
    <row r="207" spans="1:50" hidden="1" x14ac:dyDescent="0.25">
      <c r="A207" s="196">
        <v>46098</v>
      </c>
      <c r="B207" s="183">
        <v>205</v>
      </c>
      <c r="C207" s="183">
        <f>YEAR(TablaPrincipal[[#This Row],[FECHA]])</f>
        <v>2026</v>
      </c>
      <c r="D207" s="183" t="s">
        <v>291</v>
      </c>
      <c r="E207" s="183" t="str">
        <f>UPPER(TEXT(TablaPrincipal[[#This Row],[FECHA]],"MMMM"))</f>
        <v>MARZO</v>
      </c>
      <c r="F207" s="183" t="str">
        <f>IFERROR(VLOOKUP(TablaPrincipal[[#This Row],[CODIGO]],COSECHAS!A:J,9,0),"-")</f>
        <v>14</v>
      </c>
      <c r="G207" s="183" t="str">
        <f>IFERROR(VLOOKUP(TablaPrincipal[[#This Row],[CODIGO]],COSECHAS!A:I,8,0),"-")</f>
        <v>CATANUDA</v>
      </c>
      <c r="H207" s="184">
        <f>IFERROR(VLOOKUP(TablaPrincipal[[#This Row],[CODIGO]],DATOS!A:B,2,0),"-")</f>
        <v>2.2999999999999998</v>
      </c>
      <c r="I207" s="183" t="str">
        <f>IFERROR(VLOOKUP(TablaPrincipal[[#This Row],[CODIGO]],Tabla8[[#Headers],[#Data]],3,0),"-")</f>
        <v>ASC-BAP</v>
      </c>
      <c r="J207" s="183">
        <f>IFERROR(TablaPrincipal[[#This Row],[FECHA]]-TablaPrincipal[[#This Row],[FECHA DE SIEMBRA]],"-")</f>
        <v>70</v>
      </c>
      <c r="K207" s="196">
        <f>VLOOKUP(TablaPrincipal[[#This Row],[CODIGO]]&amp;TablaPrincipal[[#This Row],[AGUAJE ]],Tabla4[#All],4,0)</f>
        <v>46028</v>
      </c>
      <c r="L207" s="183" t="str">
        <f>VLOOKUP(TablaPrincipal[[#This Row],[CODIGO]]&amp;TablaPrincipal[[#This Row],[AGUAJE ]],Tabla4[#All],15,0)</f>
        <v>CA 15</v>
      </c>
      <c r="M207" s="184">
        <f>VLOOKUP(TablaPrincipal[[#This Row],[CODIGO]]&amp;TablaPrincipal[[#This Row],[AGUAJE ]],Tabla4[#All],14,0)</f>
        <v>0.52</v>
      </c>
      <c r="N207" s="183">
        <v>7</v>
      </c>
      <c r="O207" s="170">
        <f>VLOOKUP(TablaPrincipal[[#This Row],[CODIGO]]&amp;TablaPrincipal[[#This Row],[AGUAJE ]],Tabla4[#All],5,0)</f>
        <v>391000</v>
      </c>
      <c r="P207" s="221">
        <f>IFERROR(TablaPrincipal[[#This Row],[ANIM SEMBRADOS]]/TablaPrincipal[[#This Row],[HAS]],"-")</f>
        <v>170000</v>
      </c>
      <c r="Q207" s="222">
        <f>IFERROR(TablaPrincipal[[#This Row],[DENSIDAD]]/10000,"-")</f>
        <v>17</v>
      </c>
      <c r="R207" s="183" t="str">
        <f>VLOOKUP(TablaPrincipal[[#This Row],[CODIGO]]&amp;TablaPrincipal[[#This Row],[AGUAJE ]],Tabla4[#All],8,0)</f>
        <v>AQUANOVA</v>
      </c>
      <c r="S207" s="183" t="str">
        <f>VLOOKUP(TablaPrincipal[[#This Row],[CODIGO]]&amp;TablaPrincipal[[#This Row],[AGUAJE ]],Tabla4[#All],7,0)</f>
        <v>TEXCUMAR</v>
      </c>
      <c r="T207" s="183" t="str">
        <f>IF(ISNUMBER(FIND("/",TablaPrincipal[[#This Row],[LABORATORIO]])),"COMBINADO","UNICO")</f>
        <v>UNICO</v>
      </c>
      <c r="U2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2500</v>
      </c>
      <c r="V2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2931.58</v>
      </c>
      <c r="W2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2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31.76</v>
      </c>
      <c r="Y207" s="185">
        <f>IFERROR(TablaPrincipal[[#This Row],[LIBRAS RALEO PLANTA]]/TablaPrincipal[[#This Row],[HAS]],"-")</f>
        <v>1274.6000000000001</v>
      </c>
      <c r="Z2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41906.086901763221</v>
      </c>
      <c r="AA20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9200</v>
      </c>
      <c r="AB2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10840.16</v>
      </c>
      <c r="AC207" s="186">
        <f>SUMIFS(COSECHAS!F:F,COSECHAS!A:A,'BASE 2026'!AW:AW,COSECHAS!G:G,"="&amp;A:A)</f>
        <v>38</v>
      </c>
      <c r="AD207" s="186">
        <f>SUMIFS(COSECHAS!M:M,COSECHAS!A:A,'BASE 2026'!AW:AW,COSECHAS!G:G,"="&amp;A:A)</f>
        <v>41.12</v>
      </c>
      <c r="AE207" s="185">
        <f>IFERROR(TablaPrincipal[[#This Row],[LIBRAS PLANTA]]/TablaPrincipal[[#This Row],[HAS]],"-")</f>
        <v>4713.1130434782608</v>
      </c>
      <c r="AF207" s="185">
        <f>IFERROR(TablaPrincipal[[#This Row],[LIBRAS PLANTA]]*454/TablaPrincipal[[#This Row],[GRAMOS PLANTA]],"-")</f>
        <v>119684.64591439688</v>
      </c>
      <c r="AG207" s="185">
        <f>TablaPrincipal[[#This Row],[LIBRAS RALEO PLANTA]]+TablaPrincipal[[#This Row],[LIBRAS PLANTA]]</f>
        <v>13771.74</v>
      </c>
      <c r="AH207" s="185">
        <f>IFERROR(TablaPrincipal[[#This Row],[CAM COSECHADOS RALEO]]+TablaPrincipal[[#This Row],[CAM COSECHADOS]],"-")</f>
        <v>161590.7328161601</v>
      </c>
      <c r="AI207" s="185">
        <f>IFERROR((TablaPrincipal[[#This Row],[LIBRAS RALEO PLANTA]]+TablaPrincipal[[#This Row],[LIBRAS PLANTA]])/TablaPrincipal[[#This Row],[HAS]],"0")</f>
        <v>5987.7130434782612</v>
      </c>
      <c r="AJ207" s="186">
        <f t="shared" si="3"/>
        <v>4.1120000000000001</v>
      </c>
      <c r="AK207" s="186">
        <f>IFERROR(TablaPrincipal[[#This Row],[LBS/HA]]/TablaPrincipal[[#This Row],[DIAS]],"-")</f>
        <v>85.538757763975156</v>
      </c>
      <c r="AL207" s="186">
        <f>IFERROR(TablaPrincipal[[#This Row],[CAM COSECHADOS TOTALES]]/TablaPrincipal[[#This Row],[ANIM SEMBRADOS]]*100,"-")</f>
        <v>41.327553149913072</v>
      </c>
      <c r="AM207" s="185">
        <v>19135.928</v>
      </c>
      <c r="AN207" s="187">
        <f>IFERROR(((TablaPrincipal[[#This Row],[BALANCEADO ACUMULADO (LBS)]]/2.2046)/TablaPrincipal[[#This Row],[HAS]])/TablaPrincipal[[#This Row],[DIAS]],"-")</f>
        <v>53.913043478260875</v>
      </c>
      <c r="AO207" s="184">
        <f>IFERROR(TablaPrincipal[[#This Row],[BALANCEADO ACUMULADO (LBS)]]/TablaPrincipal[[#This Row],[LIBRAS TOTALES]],"-")</f>
        <v>1.3895069177896184</v>
      </c>
      <c r="AP207" s="184"/>
      <c r="AQ207" s="184"/>
      <c r="AR207" s="185">
        <f>TablaPrincipal[[#This Row],[LIBRAS RALEO PLANTA]]-TablaPrincipal[[#This Row],[LIBRAS RALEO CAMARONERA]]</f>
        <v>431.57999999999993</v>
      </c>
      <c r="AS207" s="185">
        <f>TablaPrincipal[[#This Row],[LIBRAS PLANTA]]-TablaPrincipal[[#This Row],[LIBRAS CAMARONERA]]</f>
        <v>1640.1599999999999</v>
      </c>
      <c r="AT207" s="187">
        <f>TablaPrincipal[[#This Row],[GRAMAJE RALEO PLANTA]]-TablaPrincipal[[#This Row],[GRAMAJE RALEO CAMARONERA]]</f>
        <v>2.7600000000000016</v>
      </c>
      <c r="AU207" s="187">
        <f>TablaPrincipal[[#This Row],[GRAMOS PLANTA]]-TablaPrincipal[[#This Row],[GRAMAJE CAMARONERA]]</f>
        <v>3.1199999999999974</v>
      </c>
      <c r="AV207" s="183" t="str">
        <f>+VLOOKUP(TablaPrincipal[[#This Row],[CODIGO]],TablaCosechas[#All],10,0)</f>
        <v>VICTOR QUINTANA</v>
      </c>
      <c r="AW207" s="183" t="s">
        <v>295</v>
      </c>
      <c r="AX207" s="188" t="str">
        <f>+VLOOKUP(TablaPrincipal[[#This Row],[CODIGO]],TablaCosechas[#All],10,0)</f>
        <v>VICTOR QUINTANA</v>
      </c>
    </row>
    <row r="208" spans="1:50" hidden="1" x14ac:dyDescent="0.25">
      <c r="A208" s="196">
        <v>46098</v>
      </c>
      <c r="B208" s="183">
        <v>206</v>
      </c>
      <c r="C208" s="183">
        <f>YEAR(TablaPrincipal[[#This Row],[FECHA]])</f>
        <v>2026</v>
      </c>
      <c r="D208" s="183" t="s">
        <v>291</v>
      </c>
      <c r="E208" s="183" t="str">
        <f>UPPER(TEXT(TablaPrincipal[[#This Row],[FECHA]],"MMMM"))</f>
        <v>MARZO</v>
      </c>
      <c r="F208" s="183" t="str">
        <f>IFERROR(VLOOKUP(TablaPrincipal[[#This Row],[CODIGO]],COSECHAS!A:J,9,0),"-")</f>
        <v>01</v>
      </c>
      <c r="G208" s="183" t="str">
        <f>IFERROR(VLOOKUP(TablaPrincipal[[#This Row],[CODIGO]],COSECHAS!A:I,8,0),"-")</f>
        <v>DELFIN</v>
      </c>
      <c r="H208" s="184">
        <f>IFERROR(VLOOKUP(TablaPrincipal[[#This Row],[CODIGO]],DATOS!A:B,2,0),"-")</f>
        <v>7.6</v>
      </c>
      <c r="I208" s="183" t="str">
        <f>IFERROR(VLOOKUP(TablaPrincipal[[#This Row],[CODIGO]],Tabla8[[#Headers],[#Data]],3,0),"-")</f>
        <v>CONVENCIONAL</v>
      </c>
      <c r="J208" s="183">
        <f>IFERROR(TablaPrincipal[[#This Row],[FECHA]]-TablaPrincipal[[#This Row],[FECHA DE SIEMBRA]],"-")</f>
        <v>85</v>
      </c>
      <c r="K208" s="196">
        <f>VLOOKUP(TablaPrincipal[[#This Row],[CODIGO]]&amp;TablaPrincipal[[#This Row],[AGUAJE ]],Tabla4[#All],4,0)</f>
        <v>46013</v>
      </c>
      <c r="L208" s="183" t="str">
        <f>VLOOKUP(TablaPrincipal[[#This Row],[CODIGO]]&amp;TablaPrincipal[[#This Row],[AGUAJE ]],Tabla4[#All],15,0)</f>
        <v>DE 1</v>
      </c>
      <c r="M208" s="184">
        <f>VLOOKUP(TablaPrincipal[[#This Row],[CODIGO]]&amp;TablaPrincipal[[#This Row],[AGUAJE ]],Tabla4[#All],14,0)</f>
        <v>0.8</v>
      </c>
      <c r="N208" s="183">
        <v>7</v>
      </c>
      <c r="O208" s="170">
        <f>VLOOKUP(TablaPrincipal[[#This Row],[CODIGO]]&amp;TablaPrincipal[[#This Row],[AGUAJE ]],Tabla4[#All],5,0)</f>
        <v>1292000</v>
      </c>
      <c r="P208" s="221">
        <f>IFERROR(TablaPrincipal[[#This Row],[ANIM SEMBRADOS]]/TablaPrincipal[[#This Row],[HAS]],"-")</f>
        <v>170000</v>
      </c>
      <c r="Q208" s="222">
        <f>IFERROR(TablaPrincipal[[#This Row],[DENSIDAD]]/10000,"-")</f>
        <v>17</v>
      </c>
      <c r="R208" s="183" t="str">
        <f>VLOOKUP(TablaPrincipal[[#This Row],[CODIGO]]&amp;TablaPrincipal[[#This Row],[AGUAJE ]],Tabla4[#All],8,0)</f>
        <v>TECSERV</v>
      </c>
      <c r="S208" s="183" t="str">
        <f>VLOOKUP(TablaPrincipal[[#This Row],[CODIGO]]&amp;TablaPrincipal[[#This Row],[AGUAJE ]],Tabla4[#All],7,0)</f>
        <v>TEXCUMAR</v>
      </c>
      <c r="T208" s="183" t="str">
        <f>IF(ISNUMBER(FIND("/",TablaPrincipal[[#This Row],[LABORATORIO]])),"COMBINADO","UNICO")</f>
        <v>UNICO</v>
      </c>
      <c r="U2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19000</v>
      </c>
      <c r="V2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18167.28</v>
      </c>
      <c r="W2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208" s="185">
        <f>IFERROR(TablaPrincipal[[#This Row],[LIBRAS RALEO PLANTA]]/TablaPrincipal[[#This Row],[HAS]],"-")</f>
        <v>2390.4315789473685</v>
      </c>
      <c r="Z2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385975.84832420392</v>
      </c>
      <c r="AA20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25200</v>
      </c>
      <c r="AB2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25040.61</v>
      </c>
      <c r="AC208" s="186">
        <f>SUMIFS(COSECHAS!F:F,COSECHAS!A:A,'BASE 2026'!AW:AW,COSECHAS!G:G,"="&amp;A:A)</f>
        <v>31</v>
      </c>
      <c r="AD208" s="186">
        <f>SUMIFS(COSECHAS!M:M,COSECHAS!A:A,'BASE 2026'!AW:AW,COSECHAS!G:G,"="&amp;A:A)</f>
        <v>33.22</v>
      </c>
      <c r="AE208" s="185">
        <f>IFERROR(TablaPrincipal[[#This Row],[LIBRAS PLANTA]]/TablaPrincipal[[#This Row],[HAS]],"-")</f>
        <v>3294.8171052631583</v>
      </c>
      <c r="AF208" s="185">
        <f>IFERROR(TablaPrincipal[[#This Row],[LIBRAS PLANTA]]*454/TablaPrincipal[[#This Row],[GRAMOS PLANTA]],"-")</f>
        <v>342216.64479229378</v>
      </c>
      <c r="AG208" s="185">
        <f>TablaPrincipal[[#This Row],[LIBRAS RALEO PLANTA]]+TablaPrincipal[[#This Row],[LIBRAS PLANTA]]</f>
        <v>43207.89</v>
      </c>
      <c r="AH208" s="185">
        <f>IFERROR(TablaPrincipal[[#This Row],[CAM COSECHADOS RALEO]]+TablaPrincipal[[#This Row],[CAM COSECHADOS]],"-")</f>
        <v>728192.49311649776</v>
      </c>
      <c r="AI208" s="185">
        <f>IFERROR((TablaPrincipal[[#This Row],[LIBRAS RALEO PLANTA]]+TablaPrincipal[[#This Row],[LIBRAS PLANTA]])/TablaPrincipal[[#This Row],[HAS]],"0")</f>
        <v>5685.2486842105263</v>
      </c>
      <c r="AJ208" s="186">
        <f t="shared" si="3"/>
        <v>2.7357647058823531</v>
      </c>
      <c r="AK208" s="186">
        <f>IFERROR(TablaPrincipal[[#This Row],[LBS/HA]]/TablaPrincipal[[#This Row],[DIAS]],"-")</f>
        <v>66.885278637770895</v>
      </c>
      <c r="AL208" s="186">
        <f>IFERROR(TablaPrincipal[[#This Row],[CAM COSECHADOS TOTALES]]/TablaPrincipal[[#This Row],[ANIM SEMBRADOS]]*100,"-")</f>
        <v>56.361648074032331</v>
      </c>
      <c r="AM208" s="185">
        <v>80688.36</v>
      </c>
      <c r="AN208" s="187">
        <f>IFERROR(((TablaPrincipal[[#This Row],[BALANCEADO ACUMULADO (LBS)]]/2.2046)/TablaPrincipal[[#This Row],[HAS]])/TablaPrincipal[[#This Row],[DIAS]],"-")</f>
        <v>56.65634674922601</v>
      </c>
      <c r="AO208" s="184">
        <f>IFERROR(TablaPrincipal[[#This Row],[BALANCEADO ACUMULADO (LBS)]]/TablaPrincipal[[#This Row],[LIBRAS TOTALES]],"-")</f>
        <v>1.8674450430233922</v>
      </c>
      <c r="AP208" s="184"/>
      <c r="AQ208" s="184"/>
      <c r="AR208" s="185">
        <f>TablaPrincipal[[#This Row],[LIBRAS RALEO PLANTA]]-TablaPrincipal[[#This Row],[LIBRAS RALEO CAMARONERA]]</f>
        <v>-832.72000000000116</v>
      </c>
      <c r="AS208" s="185">
        <f>TablaPrincipal[[#This Row],[LIBRAS PLANTA]]-TablaPrincipal[[#This Row],[LIBRAS CAMARONERA]]</f>
        <v>-159.38999999999942</v>
      </c>
      <c r="AT208" s="187">
        <f>TablaPrincipal[[#This Row],[GRAMAJE RALEO PLANTA]]-TablaPrincipal[[#This Row],[GRAMAJE RALEO CAMARONERA]]</f>
        <v>0.28000000000000114</v>
      </c>
      <c r="AU208" s="187">
        <f>TablaPrincipal[[#This Row],[GRAMOS PLANTA]]-TablaPrincipal[[#This Row],[GRAMAJE CAMARONERA]]</f>
        <v>2.2199999999999989</v>
      </c>
      <c r="AV208" s="183" t="str">
        <f>+VLOOKUP(TablaPrincipal[[#This Row],[CODIGO]],TablaCosechas[#All],10,0)</f>
        <v>CARLOS FLORES</v>
      </c>
      <c r="AW208" s="183" t="s">
        <v>296</v>
      </c>
      <c r="AX208" s="188" t="str">
        <f>+VLOOKUP(TablaPrincipal[[#This Row],[CODIGO]],TablaCosechas[#All],10,0)</f>
        <v>CARLOS FLORES</v>
      </c>
    </row>
    <row r="209" spans="1:50" hidden="1" x14ac:dyDescent="0.25">
      <c r="A209" s="196">
        <v>46098</v>
      </c>
      <c r="B209" s="183">
        <v>207</v>
      </c>
      <c r="C209" s="183">
        <f>YEAR(TablaPrincipal[[#This Row],[FECHA]])</f>
        <v>2026</v>
      </c>
      <c r="D209" s="183" t="s">
        <v>291</v>
      </c>
      <c r="E209" s="183" t="str">
        <f>UPPER(TEXT(TablaPrincipal[[#This Row],[FECHA]],"MMMM"))</f>
        <v>MARZO</v>
      </c>
      <c r="F209" s="183" t="str">
        <f>IFERROR(VLOOKUP(TablaPrincipal[[#This Row],[CODIGO]],COSECHAS!A:J,9,0),"-")</f>
        <v>18</v>
      </c>
      <c r="G209" s="183" t="str">
        <f>IFERROR(VLOOKUP(TablaPrincipal[[#This Row],[CODIGO]],COSECHAS!A:I,8,0),"-")</f>
        <v>DORADO</v>
      </c>
      <c r="H209" s="184">
        <f>IFERROR(VLOOKUP(TablaPrincipal[[#This Row],[CODIGO]],DATOS!A:B,2,0),"-")</f>
        <v>9.5500000000000007</v>
      </c>
      <c r="I209" s="183" t="str">
        <f>IFERROR(VLOOKUP(TablaPrincipal[[#This Row],[CODIGO]],Tabla8[[#Headers],[#Data]],3,0),"-")</f>
        <v>ASC-BAP</v>
      </c>
      <c r="J209" s="183">
        <f>IFERROR(TablaPrincipal[[#This Row],[FECHA]]-TablaPrincipal[[#This Row],[FECHA DE SIEMBRA]],"-")</f>
        <v>91</v>
      </c>
      <c r="K209" s="196">
        <f>VLOOKUP(TablaPrincipal[[#This Row],[CODIGO]]&amp;TablaPrincipal[[#This Row],[AGUAJE ]],Tabla4[#All],4,0)</f>
        <v>46007</v>
      </c>
      <c r="L209" s="183" t="str">
        <f>VLOOKUP(TablaPrincipal[[#This Row],[CODIGO]]&amp;TablaPrincipal[[#This Row],[AGUAJE ]],Tabla4[#All],15,0)</f>
        <v>DO PC 3</v>
      </c>
      <c r="M209" s="184">
        <f>VLOOKUP(TablaPrincipal[[#This Row],[CODIGO]]&amp;TablaPrincipal[[#This Row],[AGUAJE ]],Tabla4[#All],14,0)</f>
        <v>0.51</v>
      </c>
      <c r="N209" s="183">
        <v>4</v>
      </c>
      <c r="O209" s="170">
        <f>VLOOKUP(TablaPrincipal[[#This Row],[CODIGO]]&amp;TablaPrincipal[[#This Row],[AGUAJE ]],Tabla4[#All],5,0)</f>
        <v>1615999</v>
      </c>
      <c r="P209" s="221">
        <f>IFERROR(TablaPrincipal[[#This Row],[ANIM SEMBRADOS]]/TablaPrincipal[[#This Row],[HAS]],"-")</f>
        <v>169214.55497382197</v>
      </c>
      <c r="Q209" s="222">
        <f>IFERROR(TablaPrincipal[[#This Row],[DENSIDAD]]/10000,"-")</f>
        <v>16.921455497382198</v>
      </c>
      <c r="R209" s="183" t="str">
        <f>VLOOKUP(TablaPrincipal[[#This Row],[CODIGO]]&amp;TablaPrincipal[[#This Row],[AGUAJE ]],Tabla4[#All],8,0)</f>
        <v>TECSERV</v>
      </c>
      <c r="S209" s="183" t="str">
        <f>VLOOKUP(TablaPrincipal[[#This Row],[CODIGO]]&amp;TablaPrincipal[[#This Row],[AGUAJE ]],Tabla4[#All],7,0)</f>
        <v>TEXCUMAR</v>
      </c>
      <c r="T209" s="183" t="str">
        <f>IF(ISNUMBER(FIND("/",TablaPrincipal[[#This Row],[LABORATORIO]])),"COMBINADO","UNICO")</f>
        <v>UNICO</v>
      </c>
      <c r="U2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38600</v>
      </c>
      <c r="V2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36416.04</v>
      </c>
      <c r="W2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28.35</v>
      </c>
      <c r="Y209" s="185">
        <f>IFERROR(TablaPrincipal[[#This Row],[LIBRAS RALEO PLANTA]]/TablaPrincipal[[#This Row],[HAS]],"-")</f>
        <v>3813.197905759162</v>
      </c>
      <c r="Z2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578472.26476447529</v>
      </c>
      <c r="AA20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36900</v>
      </c>
      <c r="AB2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37723.51</v>
      </c>
      <c r="AC209" s="186">
        <f>SUMIFS(COSECHAS!F:F,COSECHAS!A:A,'BASE 2026'!AW:AW,COSECHAS!G:G,"="&amp;A:A)</f>
        <v>37</v>
      </c>
      <c r="AD209" s="186">
        <f>SUMIFS(COSECHAS!M:M,COSECHAS!A:A,'BASE 2026'!AW:AW,COSECHAS!G:G,"="&amp;A:A)</f>
        <v>35.799999999999997</v>
      </c>
      <c r="AE209" s="185">
        <f>IFERROR(TablaPrincipal[[#This Row],[LIBRAS PLANTA]]/TablaPrincipal[[#This Row],[HAS]],"-")</f>
        <v>3950.1057591623035</v>
      </c>
      <c r="AF209" s="185">
        <f>IFERROR(TablaPrincipal[[#This Row],[LIBRAS PLANTA]]*454/TablaPrincipal[[#This Row],[GRAMOS PLANTA]],"-")</f>
        <v>478393.11564245814</v>
      </c>
      <c r="AG209" s="185">
        <f>TablaPrincipal[[#This Row],[LIBRAS RALEO PLANTA]]+TablaPrincipal[[#This Row],[LIBRAS PLANTA]]</f>
        <v>74139.55</v>
      </c>
      <c r="AH209" s="185">
        <f>IFERROR(TablaPrincipal[[#This Row],[CAM COSECHADOS RALEO]]+TablaPrincipal[[#This Row],[CAM COSECHADOS]],"-")</f>
        <v>1056865.3804069334</v>
      </c>
      <c r="AI209" s="185">
        <f>IFERROR((TablaPrincipal[[#This Row],[LIBRAS RALEO PLANTA]]+TablaPrincipal[[#This Row],[LIBRAS PLANTA]])/TablaPrincipal[[#This Row],[HAS]],"0")</f>
        <v>7763.3036649214655</v>
      </c>
      <c r="AJ209" s="186">
        <f t="shared" si="3"/>
        <v>2.7538461538461538</v>
      </c>
      <c r="AK209" s="186">
        <f>IFERROR(TablaPrincipal[[#This Row],[LBS/HA]]/TablaPrincipal[[#This Row],[DIAS]],"-")</f>
        <v>85.311029284851273</v>
      </c>
      <c r="AL209" s="186">
        <f>IFERROR(TablaPrincipal[[#This Row],[CAM COSECHADOS TOTALES]]/TablaPrincipal[[#This Row],[ANIM SEMBRADOS]]*100,"-")</f>
        <v>65.400125891596062</v>
      </c>
      <c r="AM209" s="185">
        <v>104994.07500000001</v>
      </c>
      <c r="AN209" s="187">
        <f>IFERROR(((TablaPrincipal[[#This Row],[BALANCEADO ACUMULADO (LBS)]]/2.2046)/TablaPrincipal[[#This Row],[HAS]])/TablaPrincipal[[#This Row],[DIAS]],"-")</f>
        <v>54.801219722685687</v>
      </c>
      <c r="AO209" s="184">
        <f>IFERROR(TablaPrincipal[[#This Row],[BALANCEADO ACUMULADO (LBS)]]/TablaPrincipal[[#This Row],[LIBRAS TOTALES]],"-")</f>
        <v>1.4161682260008324</v>
      </c>
      <c r="AP209" s="184"/>
      <c r="AQ209" s="184"/>
      <c r="AR209" s="185">
        <f>TablaPrincipal[[#This Row],[LIBRAS RALEO PLANTA]]-TablaPrincipal[[#This Row],[LIBRAS RALEO CAMARONERA]]</f>
        <v>-2183.9599999999991</v>
      </c>
      <c r="AS209" s="185">
        <f>TablaPrincipal[[#This Row],[LIBRAS PLANTA]]-TablaPrincipal[[#This Row],[LIBRAS CAMARONERA]]</f>
        <v>823.51000000000204</v>
      </c>
      <c r="AT209" s="187">
        <f>TablaPrincipal[[#This Row],[GRAMAJE RALEO PLANTA]]-TablaPrincipal[[#This Row],[GRAMAJE RALEO CAMARONERA]]</f>
        <v>0.85000000000000142</v>
      </c>
      <c r="AU209" s="187">
        <f>TablaPrincipal[[#This Row],[GRAMOS PLANTA]]-TablaPrincipal[[#This Row],[GRAMAJE CAMARONERA]]</f>
        <v>-1.2000000000000028</v>
      </c>
      <c r="AV209" s="183" t="str">
        <f>+VLOOKUP(TablaPrincipal[[#This Row],[CODIGO]],TablaCosechas[#All],10,0)</f>
        <v>JOSE CEDEÑO</v>
      </c>
      <c r="AW209" s="183" t="s">
        <v>297</v>
      </c>
      <c r="AX209" s="188" t="str">
        <f>+VLOOKUP(TablaPrincipal[[#This Row],[CODIGO]],TablaCosechas[#All],10,0)</f>
        <v>JOSE CEDEÑO</v>
      </c>
    </row>
    <row r="210" spans="1:50" hidden="1" x14ac:dyDescent="0.25">
      <c r="A210" s="196">
        <v>46098</v>
      </c>
      <c r="B210" s="183">
        <v>208</v>
      </c>
      <c r="C210" s="183">
        <f>YEAR(TablaPrincipal[[#This Row],[FECHA]])</f>
        <v>2026</v>
      </c>
      <c r="D210" s="183" t="s">
        <v>291</v>
      </c>
      <c r="E210" s="183" t="str">
        <f>UPPER(TEXT(TablaPrincipal[[#This Row],[FECHA]],"MMMM"))</f>
        <v>MARZO</v>
      </c>
      <c r="F210" s="183" t="str">
        <f>IFERROR(VLOOKUP(TablaPrincipal[[#This Row],[CODIGO]],COSECHAS!A:J,9,0),"-")</f>
        <v>19</v>
      </c>
      <c r="G210" s="183" t="str">
        <f>IFERROR(VLOOKUP(TablaPrincipal[[#This Row],[CODIGO]],COSECHAS!A:I,8,0),"-")</f>
        <v>PARGO ROJO</v>
      </c>
      <c r="H210" s="184">
        <f>IFERROR(VLOOKUP(TablaPrincipal[[#This Row],[CODIGO]],DATOS!A:B,2,0),"-")</f>
        <v>3</v>
      </c>
      <c r="I210" s="183" t="str">
        <f>IFERROR(VLOOKUP(TablaPrincipal[[#This Row],[CODIGO]],Tabla8[[#Headers],[#Data]],3,0),"-")</f>
        <v>CONVENCIONAL</v>
      </c>
      <c r="J210" s="183">
        <f>IFERROR(TablaPrincipal[[#This Row],[FECHA]]-TablaPrincipal[[#This Row],[FECHA DE SIEMBRA]],"-")</f>
        <v>77</v>
      </c>
      <c r="K210" s="196">
        <f>VLOOKUP(TablaPrincipal[[#This Row],[CODIGO]]&amp;TablaPrincipal[[#This Row],[AGUAJE ]],Tabla4[#All],4,0)</f>
        <v>46021</v>
      </c>
      <c r="L210" s="183" t="str">
        <f>VLOOKUP(TablaPrincipal[[#This Row],[CODIGO]]&amp;TablaPrincipal[[#This Row],[AGUAJE ]],Tabla4[#All],15,0)</f>
        <v>PR PC2</v>
      </c>
      <c r="M210" s="184">
        <f>VLOOKUP(TablaPrincipal[[#This Row],[CODIGO]]&amp;TablaPrincipal[[#This Row],[AGUAJE ]],Tabla4[#All],14,0)</f>
        <v>0.35</v>
      </c>
      <c r="N210" s="183">
        <v>9</v>
      </c>
      <c r="O210" s="170">
        <f>VLOOKUP(TablaPrincipal[[#This Row],[CODIGO]]&amp;TablaPrincipal[[#This Row],[AGUAJE ]],Tabla4[#All],5,0)</f>
        <v>540000</v>
      </c>
      <c r="P210" s="221">
        <f>IFERROR(TablaPrincipal[[#This Row],[ANIM SEMBRADOS]]/TablaPrincipal[[#This Row],[HAS]],"-")</f>
        <v>180000</v>
      </c>
      <c r="Q210" s="222">
        <f>IFERROR(TablaPrincipal[[#This Row],[DENSIDAD]]/10000,"-")</f>
        <v>18</v>
      </c>
      <c r="R210" s="183" t="str">
        <f>VLOOKUP(TablaPrincipal[[#This Row],[CODIGO]]&amp;TablaPrincipal[[#This Row],[AGUAJE ]],Tabla4[#All],8,0)</f>
        <v>NEMEN</v>
      </c>
      <c r="S210" s="183" t="str">
        <f>VLOOKUP(TablaPrincipal[[#This Row],[CODIGO]]&amp;TablaPrincipal[[#This Row],[AGUAJE ]],Tabla4[#All],7,0)</f>
        <v>TEXCUMAR</v>
      </c>
      <c r="T210" s="183" t="str">
        <f>IF(ISNUMBER(FIND("/",TablaPrincipal[[#This Row],[LABORATORIO]])),"COMBINADO","UNICO")</f>
        <v>UNICO</v>
      </c>
      <c r="U2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2700</v>
      </c>
      <c r="V2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2807.09</v>
      </c>
      <c r="W2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2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21.21</v>
      </c>
      <c r="Y210" s="185">
        <f>IFERROR(TablaPrincipal[[#This Row],[LIBRAS RALEO PLANTA]]/TablaPrincipal[[#This Row],[HAS]],"-")</f>
        <v>935.69666666666672</v>
      </c>
      <c r="Z2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60085.754832626124</v>
      </c>
      <c r="AA21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8100</v>
      </c>
      <c r="AB2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9289.9699999999993</v>
      </c>
      <c r="AC210" s="186">
        <f>SUMIFS(COSECHAS!F:F,COSECHAS!A:A,'BASE 2026'!AW:AW,COSECHAS!G:G,"="&amp;A:A)</f>
        <v>24</v>
      </c>
      <c r="AD210" s="186">
        <f>SUMIFS(COSECHAS!M:M,COSECHAS!A:A,'BASE 2026'!AW:AW,COSECHAS!G:G,"="&amp;A:A)</f>
        <v>28.74</v>
      </c>
      <c r="AE210" s="185">
        <f>IFERROR(TablaPrincipal[[#This Row],[LIBRAS PLANTA]]/TablaPrincipal[[#This Row],[HAS]],"-")</f>
        <v>3096.6566666666663</v>
      </c>
      <c r="AF210" s="185">
        <f>IFERROR(TablaPrincipal[[#This Row],[LIBRAS PLANTA]]*454/TablaPrincipal[[#This Row],[GRAMOS PLANTA]],"-")</f>
        <v>146751.78775226165</v>
      </c>
      <c r="AG210" s="185">
        <f>TablaPrincipal[[#This Row],[LIBRAS RALEO PLANTA]]+TablaPrincipal[[#This Row],[LIBRAS PLANTA]]</f>
        <v>12097.06</v>
      </c>
      <c r="AH210" s="185">
        <f>IFERROR(TablaPrincipal[[#This Row],[CAM COSECHADOS RALEO]]+TablaPrincipal[[#This Row],[CAM COSECHADOS]],"-")</f>
        <v>206837.54258488776</v>
      </c>
      <c r="AI210" s="185">
        <f>IFERROR((TablaPrincipal[[#This Row],[LIBRAS RALEO PLANTA]]+TablaPrincipal[[#This Row],[LIBRAS PLANTA]])/TablaPrincipal[[#This Row],[HAS]],"0")</f>
        <v>4032.353333333333</v>
      </c>
      <c r="AJ210" s="186">
        <f t="shared" si="3"/>
        <v>2.6127272727272728</v>
      </c>
      <c r="AK210" s="186">
        <f>IFERROR(TablaPrincipal[[#This Row],[LBS/HA]]/TablaPrincipal[[#This Row],[DIAS]],"-")</f>
        <v>52.368225108225104</v>
      </c>
      <c r="AL210" s="186">
        <f>IFERROR(TablaPrincipal[[#This Row],[CAM COSECHADOS TOTALES]]/TablaPrincipal[[#This Row],[ANIM SEMBRADOS]]*100,"-")</f>
        <v>38.303248626831063</v>
      </c>
      <c r="AM210" s="185">
        <v>20508.291499999999</v>
      </c>
      <c r="AN210" s="187">
        <f>IFERROR(((TablaPrincipal[[#This Row],[BALANCEADO ACUMULADO (LBS)]]/2.2046)/TablaPrincipal[[#This Row],[HAS]])/TablaPrincipal[[#This Row],[DIAS]],"-")</f>
        <v>40.270562770562769</v>
      </c>
      <c r="AO210" s="184">
        <f>IFERROR(TablaPrincipal[[#This Row],[BALANCEADO ACUMULADO (LBS)]]/TablaPrincipal[[#This Row],[LIBRAS TOTALES]],"-")</f>
        <v>1.6953120427608031</v>
      </c>
      <c r="AP210" s="184"/>
      <c r="AQ210" s="184"/>
      <c r="AR210" s="185">
        <f>TablaPrincipal[[#This Row],[LIBRAS RALEO PLANTA]]-TablaPrincipal[[#This Row],[LIBRAS RALEO CAMARONERA]]</f>
        <v>107.09000000000015</v>
      </c>
      <c r="AS210" s="185">
        <f>TablaPrincipal[[#This Row],[LIBRAS PLANTA]]-TablaPrincipal[[#This Row],[LIBRAS CAMARONERA]]</f>
        <v>1189.9699999999993</v>
      </c>
      <c r="AT210" s="187">
        <f>TablaPrincipal[[#This Row],[GRAMAJE RALEO PLANTA]]-TablaPrincipal[[#This Row],[GRAMAJE RALEO CAMARONERA]]</f>
        <v>5.2100000000000009</v>
      </c>
      <c r="AU210" s="187">
        <f>TablaPrincipal[[#This Row],[GRAMOS PLANTA]]-TablaPrincipal[[#This Row],[GRAMAJE CAMARONERA]]</f>
        <v>4.7399999999999984</v>
      </c>
      <c r="AV210" s="183" t="str">
        <f>+VLOOKUP(TablaPrincipal[[#This Row],[CODIGO]],TablaCosechas[#All],10,0)</f>
        <v>WILMER TORRES</v>
      </c>
      <c r="AW210" s="183" t="s">
        <v>298</v>
      </c>
      <c r="AX210" s="188" t="str">
        <f>+VLOOKUP(TablaPrincipal[[#This Row],[CODIGO]],TablaCosechas[#All],10,0)</f>
        <v>WILMER TORRES</v>
      </c>
    </row>
    <row r="211" spans="1:50" hidden="1" x14ac:dyDescent="0.25">
      <c r="A211" s="196">
        <v>46099</v>
      </c>
      <c r="B211" s="183">
        <v>209</v>
      </c>
      <c r="C211" s="183">
        <f>YEAR(TablaPrincipal[[#This Row],[FECHA]])</f>
        <v>2026</v>
      </c>
      <c r="D211" s="183" t="s">
        <v>291</v>
      </c>
      <c r="E211" s="183" t="str">
        <f>UPPER(TEXT(TablaPrincipal[[#This Row],[FECHA]],"MMMM"))</f>
        <v>MARZO</v>
      </c>
      <c r="F211" s="183" t="str">
        <f>IFERROR(VLOOKUP(TablaPrincipal[[#This Row],[CODIGO]],COSECHAS!A:J,9,0),"-")</f>
        <v>19</v>
      </c>
      <c r="G211" s="183" t="str">
        <f>IFERROR(VLOOKUP(TablaPrincipal[[#This Row],[CODIGO]],COSECHAS!A:I,8,0),"-")</f>
        <v>DELFIN</v>
      </c>
      <c r="H211" s="184">
        <f>IFERROR(VLOOKUP(TablaPrincipal[[#This Row],[CODIGO]],DATOS!A:B,2,0),"-")</f>
        <v>5</v>
      </c>
      <c r="I211" s="183" t="str">
        <f>IFERROR(VLOOKUP(TablaPrincipal[[#This Row],[CODIGO]],Tabla8[[#Headers],[#Data]],3,0),"-")</f>
        <v>CONVENCIONAL</v>
      </c>
      <c r="J211" s="183">
        <f>IFERROR(TablaPrincipal[[#This Row],[FECHA]]-TablaPrincipal[[#This Row],[FECHA DE SIEMBRA]],"-")</f>
        <v>67</v>
      </c>
      <c r="K211" s="196">
        <f>VLOOKUP(TablaPrincipal[[#This Row],[CODIGO]]&amp;TablaPrincipal[[#This Row],[AGUAJE ]],Tabla4[#All],4,0)</f>
        <v>46032</v>
      </c>
      <c r="L211" s="183" t="str">
        <f>VLOOKUP(TablaPrincipal[[#This Row],[CODIGO]]&amp;TablaPrincipal[[#This Row],[AGUAJE ]],Tabla4[#All],15,0)</f>
        <v>DE 25</v>
      </c>
      <c r="M211" s="184">
        <f>VLOOKUP(TablaPrincipal[[#This Row],[CODIGO]]&amp;TablaPrincipal[[#This Row],[AGUAJE ]],Tabla4[#All],14,0)</f>
        <v>0.8</v>
      </c>
      <c r="N211" s="183">
        <v>4</v>
      </c>
      <c r="O211" s="170">
        <f>VLOOKUP(TablaPrincipal[[#This Row],[CODIGO]]&amp;TablaPrincipal[[#This Row],[AGUAJE ]],Tabla4[#All],5,0)</f>
        <v>800000</v>
      </c>
      <c r="P211" s="221">
        <f>IFERROR(TablaPrincipal[[#This Row],[ANIM SEMBRADOS]]/TablaPrincipal[[#This Row],[HAS]],"-")</f>
        <v>160000</v>
      </c>
      <c r="Q211" s="222">
        <f>IFERROR(TablaPrincipal[[#This Row],[DENSIDAD]]/10000,"-")</f>
        <v>16</v>
      </c>
      <c r="R211" s="183" t="str">
        <f>VLOOKUP(TablaPrincipal[[#This Row],[CODIGO]]&amp;TablaPrincipal[[#This Row],[AGUAJE ]],Tabla4[#All],8,0)</f>
        <v>EMPAGRAN</v>
      </c>
      <c r="S211" s="183" t="str">
        <f>VLOOKUP(TablaPrincipal[[#This Row],[CODIGO]]&amp;TablaPrincipal[[#This Row],[AGUAJE ]],Tabla4[#All],7,0)</f>
        <v>EMPAGRAN</v>
      </c>
      <c r="T211" s="183" t="str">
        <f>IF(ISNUMBER(FIND("/",TablaPrincipal[[#This Row],[LABORATORIO]])),"COMBINADO","UNICO")</f>
        <v>UNICO</v>
      </c>
      <c r="U2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10600</v>
      </c>
      <c r="V2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10568.51</v>
      </c>
      <c r="W2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22.12</v>
      </c>
      <c r="Y211" s="185">
        <f>IFERROR(TablaPrincipal[[#This Row],[LIBRAS RALEO PLANTA]]/TablaPrincipal[[#This Row],[HAS]],"-")</f>
        <v>2113.7020000000002</v>
      </c>
      <c r="Z2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216912.45660036165</v>
      </c>
      <c r="AA21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25800</v>
      </c>
      <c r="AB2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27740.33</v>
      </c>
      <c r="AC211" s="186">
        <f>SUMIFS(COSECHAS!F:F,COSECHAS!A:A,'BASE 2026'!AW:AW,COSECHAS!G:G,"="&amp;A:A)</f>
        <v>32</v>
      </c>
      <c r="AD211" s="186">
        <f>SUMIFS(COSECHAS!M:M,COSECHAS!A:A,'BASE 2026'!AW:AW,COSECHAS!G:G,"="&amp;A:A)</f>
        <v>31.8</v>
      </c>
      <c r="AE211" s="185">
        <f>IFERROR(TablaPrincipal[[#This Row],[LIBRAS PLANTA]]/TablaPrincipal[[#This Row],[HAS]],"-")</f>
        <v>5548.0660000000007</v>
      </c>
      <c r="AF211" s="185">
        <f>IFERROR(TablaPrincipal[[#This Row],[LIBRAS PLANTA]]*454/TablaPrincipal[[#This Row],[GRAMOS PLANTA]],"-")</f>
        <v>396041.18930817611</v>
      </c>
      <c r="AG211" s="185">
        <f>TablaPrincipal[[#This Row],[LIBRAS RALEO PLANTA]]+TablaPrincipal[[#This Row],[LIBRAS PLANTA]]</f>
        <v>38308.840000000004</v>
      </c>
      <c r="AH211" s="185">
        <f>IFERROR(TablaPrincipal[[#This Row],[CAM COSECHADOS RALEO]]+TablaPrincipal[[#This Row],[CAM COSECHADOS]],"-")</f>
        <v>612953.64590853779</v>
      </c>
      <c r="AI211" s="185">
        <f>IFERROR((TablaPrincipal[[#This Row],[LIBRAS RALEO PLANTA]]+TablaPrincipal[[#This Row],[LIBRAS PLANTA]])/TablaPrincipal[[#This Row],[HAS]],"0")</f>
        <v>7661.7680000000009</v>
      </c>
      <c r="AJ211" s="186">
        <f t="shared" si="3"/>
        <v>3.3223880597014928</v>
      </c>
      <c r="AK211" s="186">
        <f>IFERROR(TablaPrincipal[[#This Row],[LBS/HA]]/TablaPrincipal[[#This Row],[DIAS]],"-")</f>
        <v>114.35474626865673</v>
      </c>
      <c r="AL211" s="186">
        <f>IFERROR(TablaPrincipal[[#This Row],[CAM COSECHADOS TOTALES]]/TablaPrincipal[[#This Row],[ANIM SEMBRADOS]]*100,"-")</f>
        <v>76.619205738567217</v>
      </c>
      <c r="AM211" s="185">
        <v>52138.79</v>
      </c>
      <c r="AN211" s="187">
        <f>IFERROR(((TablaPrincipal[[#This Row],[BALANCEADO ACUMULADO (LBS)]]/2.2046)/TablaPrincipal[[#This Row],[HAS]])/TablaPrincipal[[#This Row],[DIAS]],"-")</f>
        <v>70.597014925373131</v>
      </c>
      <c r="AO211" s="184">
        <f>IFERROR(TablaPrincipal[[#This Row],[BALANCEADO ACUMULADO (LBS)]]/TablaPrincipal[[#This Row],[LIBRAS TOTALES]],"-")</f>
        <v>1.3610119753038723</v>
      </c>
      <c r="AP211" s="184"/>
      <c r="AQ211" s="184"/>
      <c r="AR211" s="185">
        <f>TablaPrincipal[[#This Row],[LIBRAS RALEO PLANTA]]-TablaPrincipal[[#This Row],[LIBRAS RALEO CAMARONERA]]</f>
        <v>-31.489999999999782</v>
      </c>
      <c r="AS211" s="185">
        <f>TablaPrincipal[[#This Row],[LIBRAS PLANTA]]-TablaPrincipal[[#This Row],[LIBRAS CAMARONERA]]</f>
        <v>1940.3300000000017</v>
      </c>
      <c r="AT211" s="187">
        <f>TablaPrincipal[[#This Row],[GRAMAJE RALEO PLANTA]]-TablaPrincipal[[#This Row],[GRAMAJE RALEO CAMARONERA]]</f>
        <v>1.120000000000001</v>
      </c>
      <c r="AU211" s="187">
        <f>TablaPrincipal[[#This Row],[GRAMOS PLANTA]]-TablaPrincipal[[#This Row],[GRAMAJE CAMARONERA]]</f>
        <v>-0.19999999999999929</v>
      </c>
      <c r="AV211" s="183" t="str">
        <f>+VLOOKUP(TablaPrincipal[[#This Row],[CODIGO]],TablaCosechas[#All],10,0)</f>
        <v>CARLOS FLORES</v>
      </c>
      <c r="AW211" s="183" t="s">
        <v>115</v>
      </c>
      <c r="AX211" s="188" t="str">
        <f>+VLOOKUP(TablaPrincipal[[#This Row],[CODIGO]],TablaCosechas[#All],10,0)</f>
        <v>CARLOS FLORES</v>
      </c>
    </row>
    <row r="212" spans="1:50" hidden="1" x14ac:dyDescent="0.25">
      <c r="A212" s="196">
        <v>46099</v>
      </c>
      <c r="B212" s="183">
        <v>210</v>
      </c>
      <c r="C212" s="183">
        <f>YEAR(TablaPrincipal[[#This Row],[FECHA]])</f>
        <v>2026</v>
      </c>
      <c r="D212" s="183" t="s">
        <v>291</v>
      </c>
      <c r="E212" s="183" t="str">
        <f>UPPER(TEXT(TablaPrincipal[[#This Row],[FECHA]],"MMMM"))</f>
        <v>MARZO</v>
      </c>
      <c r="F212" s="183" t="str">
        <f>IFERROR(VLOOKUP(TablaPrincipal[[#This Row],[CODIGO]],COSECHAS!A:J,9,0),"-")</f>
        <v>13</v>
      </c>
      <c r="G212" s="183" t="str">
        <f>IFERROR(VLOOKUP(TablaPrincipal[[#This Row],[CODIGO]],COSECHAS!A:I,8,0),"-")</f>
        <v>PARGO ROJO</v>
      </c>
      <c r="H212" s="184">
        <f>IFERROR(VLOOKUP(TablaPrincipal[[#This Row],[CODIGO]],DATOS!A:B,2,0),"-")</f>
        <v>9.8000000000000007</v>
      </c>
      <c r="I212" s="183" t="str">
        <f>IFERROR(VLOOKUP(TablaPrincipal[[#This Row],[CODIGO]],Tabla8[[#Headers],[#Data]],3,0),"-")</f>
        <v>CONVENCIONAL</v>
      </c>
      <c r="J212" s="183">
        <f>IFERROR(TablaPrincipal[[#This Row],[FECHA]]-TablaPrincipal[[#This Row],[FECHA DE SIEMBRA]],"-")</f>
        <v>78</v>
      </c>
      <c r="K212" s="196">
        <f>VLOOKUP(TablaPrincipal[[#This Row],[CODIGO]]&amp;TablaPrincipal[[#This Row],[AGUAJE ]],Tabla4[#All],4,0)</f>
        <v>46021</v>
      </c>
      <c r="L212" s="183" t="str">
        <f>VLOOKUP(TablaPrincipal[[#This Row],[CODIGO]]&amp;TablaPrincipal[[#This Row],[AGUAJE ]],Tabla4[#All],15,0)</f>
        <v>PR PC2</v>
      </c>
      <c r="M212" s="184">
        <f>VLOOKUP(TablaPrincipal[[#This Row],[CODIGO]]&amp;TablaPrincipal[[#This Row],[AGUAJE ]],Tabla4[#All],14,0)</f>
        <v>0.35</v>
      </c>
      <c r="N212" s="183">
        <v>8</v>
      </c>
      <c r="O212" s="170">
        <f>VLOOKUP(TablaPrincipal[[#This Row],[CODIGO]]&amp;TablaPrincipal[[#This Row],[AGUAJE ]],Tabla4[#All],5,0)</f>
        <v>1764000</v>
      </c>
      <c r="P212" s="221">
        <f>IFERROR(TablaPrincipal[[#This Row],[ANIM SEMBRADOS]]/TablaPrincipal[[#This Row],[HAS]],"-")</f>
        <v>180000</v>
      </c>
      <c r="Q212" s="222">
        <f>IFERROR(TablaPrincipal[[#This Row],[DENSIDAD]]/10000,"-")</f>
        <v>18</v>
      </c>
      <c r="R212" s="183" t="str">
        <f>VLOOKUP(TablaPrincipal[[#This Row],[CODIGO]]&amp;TablaPrincipal[[#This Row],[AGUAJE ]],Tabla4[#All],8,0)</f>
        <v>NEMEN</v>
      </c>
      <c r="S212" s="183" t="str">
        <f>VLOOKUP(TablaPrincipal[[#This Row],[CODIGO]]&amp;TablaPrincipal[[#This Row],[AGUAJE ]],Tabla4[#All],7,0)</f>
        <v>TEXCUMAR</v>
      </c>
      <c r="T212" s="183" t="str">
        <f>IF(ISNUMBER(FIND("/",TablaPrincipal[[#This Row],[LABORATORIO]])),"COMBINADO","UNICO")</f>
        <v>UNICO</v>
      </c>
      <c r="U2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7650</v>
      </c>
      <c r="V2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7798.73</v>
      </c>
      <c r="W2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2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16.88</v>
      </c>
      <c r="Y212" s="185">
        <f>IFERROR(TablaPrincipal[[#This Row],[LIBRAS RALEO PLANTA]]/TablaPrincipal[[#This Row],[HAS]],"-")</f>
        <v>795.788775510204</v>
      </c>
      <c r="Z2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209752.57227488153</v>
      </c>
      <c r="AA21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B2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32446.73</v>
      </c>
      <c r="AC212" s="186">
        <f>SUMIFS(COSECHAS!F:F,COSECHAS!A:A,'BASE 2026'!AW:AW,COSECHAS!G:G,"="&amp;A:A)</f>
        <v>20</v>
      </c>
      <c r="AD212" s="186">
        <f>SUMIFS(COSECHAS!M:M,COSECHAS!A:A,'BASE 2026'!AW:AW,COSECHAS!G:G,"="&amp;A:A)</f>
        <v>22.3</v>
      </c>
      <c r="AE212" s="185">
        <f>IFERROR(TablaPrincipal[[#This Row],[LIBRAS PLANTA]]/TablaPrincipal[[#This Row],[HAS]],"-")</f>
        <v>3310.8908163265305</v>
      </c>
      <c r="AF212" s="185">
        <f>IFERROR(TablaPrincipal[[#This Row],[LIBRAS PLANTA]]*454/TablaPrincipal[[#This Row],[GRAMOS PLANTA]],"-")</f>
        <v>660574.68251121079</v>
      </c>
      <c r="AG212" s="185">
        <f>TablaPrincipal[[#This Row],[LIBRAS RALEO PLANTA]]+TablaPrincipal[[#This Row],[LIBRAS PLANTA]]</f>
        <v>40245.46</v>
      </c>
      <c r="AH212" s="185">
        <f>IFERROR(TablaPrincipal[[#This Row],[CAM COSECHADOS RALEO]]+TablaPrincipal[[#This Row],[CAM COSECHADOS]],"-")</f>
        <v>870327.25478609232</v>
      </c>
      <c r="AI212" s="185">
        <f>IFERROR((TablaPrincipal[[#This Row],[LIBRAS RALEO PLANTA]]+TablaPrincipal[[#This Row],[LIBRAS PLANTA]])/TablaPrincipal[[#This Row],[HAS]],"0")</f>
        <v>4106.6795918367343</v>
      </c>
      <c r="AJ212" s="186">
        <f t="shared" si="3"/>
        <v>2.0012820512820513</v>
      </c>
      <c r="AK212" s="186">
        <f>IFERROR(TablaPrincipal[[#This Row],[LBS/HA]]/TablaPrincipal[[#This Row],[DIAS]],"-")</f>
        <v>52.649738356881208</v>
      </c>
      <c r="AL212" s="186">
        <f>IFERROR(TablaPrincipal[[#This Row],[CAM COSECHADOS TOTALES]]/TablaPrincipal[[#This Row],[ANIM SEMBRADOS]]*100,"-")</f>
        <v>49.338279749778472</v>
      </c>
      <c r="AM212" s="185">
        <v>67791.45</v>
      </c>
      <c r="AN212" s="187">
        <f>IFERROR(((TablaPrincipal[[#This Row],[BALANCEADO ACUMULADO (LBS)]]/2.2046)/TablaPrincipal[[#This Row],[HAS]])/TablaPrincipal[[#This Row],[DIAS]],"-")</f>
        <v>40.227629513343793</v>
      </c>
      <c r="AO212" s="184">
        <f>IFERROR(TablaPrincipal[[#This Row],[BALANCEADO ACUMULADO (LBS)]]/TablaPrincipal[[#This Row],[LIBRAS TOTALES]],"-")</f>
        <v>1.6844496248769425</v>
      </c>
      <c r="AP212" s="184"/>
      <c r="AQ212" s="184"/>
      <c r="AR212" s="185">
        <f>TablaPrincipal[[#This Row],[LIBRAS RALEO PLANTA]]-TablaPrincipal[[#This Row],[LIBRAS RALEO CAMARONERA]]</f>
        <v>148.72999999999956</v>
      </c>
      <c r="AS212" s="185">
        <f>TablaPrincipal[[#This Row],[LIBRAS PLANTA]]-TablaPrincipal[[#This Row],[LIBRAS CAMARONERA]]</f>
        <v>5446.73</v>
      </c>
      <c r="AT212" s="187">
        <f>TablaPrincipal[[#This Row],[GRAMAJE RALEO PLANTA]]-TablaPrincipal[[#This Row],[GRAMAJE RALEO CAMARONERA]]</f>
        <v>1.879999999999999</v>
      </c>
      <c r="AU212" s="187">
        <f>TablaPrincipal[[#This Row],[GRAMOS PLANTA]]-TablaPrincipal[[#This Row],[GRAMAJE CAMARONERA]]</f>
        <v>2.3000000000000007</v>
      </c>
      <c r="AV212" s="183" t="str">
        <f>+VLOOKUP(TablaPrincipal[[#This Row],[CODIGO]],TablaCosechas[#All],10,0)</f>
        <v>WILMER TORRES</v>
      </c>
      <c r="AW212" s="183" t="s">
        <v>299</v>
      </c>
      <c r="AX212" s="188" t="str">
        <f>+VLOOKUP(TablaPrincipal[[#This Row],[CODIGO]],TablaCosechas[#All],10,0)</f>
        <v>WILMER TORRES</v>
      </c>
    </row>
    <row r="213" spans="1:50" hidden="1" x14ac:dyDescent="0.25">
      <c r="A213" s="196">
        <v>46099</v>
      </c>
      <c r="B213" s="183">
        <v>211</v>
      </c>
      <c r="C213" s="183">
        <f>YEAR(TablaPrincipal[[#This Row],[FECHA]])</f>
        <v>2026</v>
      </c>
      <c r="D213" s="183" t="s">
        <v>291</v>
      </c>
      <c r="E213" s="183" t="str">
        <f>UPPER(TEXT(TablaPrincipal[[#This Row],[FECHA]],"MMMM"))</f>
        <v>MARZO</v>
      </c>
      <c r="F213" s="183" t="str">
        <f>IFERROR(VLOOKUP(TablaPrincipal[[#This Row],[CODIGO]],COSECHAS!A:J,9,0),"-")</f>
        <v>15</v>
      </c>
      <c r="G213" s="183" t="str">
        <f>IFERROR(VLOOKUP(TablaPrincipal[[#This Row],[CODIGO]],COSECHAS!A:I,8,0),"-")</f>
        <v>TIBURON</v>
      </c>
      <c r="H213" s="184">
        <f>IFERROR(VLOOKUP(TablaPrincipal[[#This Row],[CODIGO]],DATOS!A:B,2,0),"-")</f>
        <v>9.16</v>
      </c>
      <c r="I213" s="183" t="str">
        <f>IFERROR(VLOOKUP(TablaPrincipal[[#This Row],[CODIGO]],Tabla8[[#Headers],[#Data]],3,0),"-")</f>
        <v>ASC-BAP</v>
      </c>
      <c r="J213" s="183">
        <f>IFERROR(TablaPrincipal[[#This Row],[FECHA]]-TablaPrincipal[[#This Row],[FECHA DE SIEMBRA]],"-")</f>
        <v>86</v>
      </c>
      <c r="K213" s="196">
        <f>VLOOKUP(TablaPrincipal[[#This Row],[CODIGO]]&amp;TablaPrincipal[[#This Row],[AGUAJE ]],Tabla4[#All],4,0)</f>
        <v>46013</v>
      </c>
      <c r="L213" s="183" t="str">
        <f>VLOOKUP(TablaPrincipal[[#This Row],[CODIGO]]&amp;TablaPrincipal[[#This Row],[AGUAJE ]],Tabla4[#All],15,0)</f>
        <v>TI 38 - 36</v>
      </c>
      <c r="M213" s="184">
        <f>VLOOKUP(TablaPrincipal[[#This Row],[CODIGO]]&amp;TablaPrincipal[[#This Row],[AGUAJE ]],Tabla4[#All],14,0)</f>
        <v>0.46</v>
      </c>
      <c r="N213" s="183">
        <v>7</v>
      </c>
      <c r="O213" s="170">
        <f>VLOOKUP(TablaPrincipal[[#This Row],[CODIGO]]&amp;TablaPrincipal[[#This Row],[AGUAJE ]],Tabla4[#All],5,0)</f>
        <v>2198400</v>
      </c>
      <c r="P213" s="221">
        <f>IFERROR(TablaPrincipal[[#This Row],[ANIM SEMBRADOS]]/TablaPrincipal[[#This Row],[HAS]],"-")</f>
        <v>240000</v>
      </c>
      <c r="Q213" s="222">
        <f>IFERROR(TablaPrincipal[[#This Row],[DENSIDAD]]/10000,"-")</f>
        <v>24</v>
      </c>
      <c r="R213" s="183" t="str">
        <f>VLOOKUP(TablaPrincipal[[#This Row],[CODIGO]]&amp;TablaPrincipal[[#This Row],[AGUAJE ]],Tabla4[#All],8,0)</f>
        <v>TECSERV</v>
      </c>
      <c r="S213" s="183" t="str">
        <f>VLOOKUP(TablaPrincipal[[#This Row],[CODIGO]]&amp;TablaPrincipal[[#This Row],[AGUAJE ]],Tabla4[#All],7,0)</f>
        <v>TEXCUMAR</v>
      </c>
      <c r="T213" s="183" t="str">
        <f>IF(ISNUMBER(FIND("/",TablaPrincipal[[#This Row],[LABORATORIO]])),"COMBINADO","UNICO")</f>
        <v>UNICO</v>
      </c>
      <c r="U2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44050</v>
      </c>
      <c r="V2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45724.35</v>
      </c>
      <c r="W2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Y213" s="185">
        <f>IFERROR(TablaPrincipal[[#This Row],[LIBRAS RALEO PLANTA]]/TablaPrincipal[[#This Row],[HAS]],"-")</f>
        <v>4991.7412663755458</v>
      </c>
      <c r="Z2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907265.61761163082</v>
      </c>
      <c r="AA21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54650</v>
      </c>
      <c r="AB2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55834.6</v>
      </c>
      <c r="AC213" s="186">
        <f>SUMIFS(COSECHAS!F:F,COSECHAS!A:A,'BASE 2026'!AW:AW,COSECHAS!G:G,"="&amp;A:A)</f>
        <v>34</v>
      </c>
      <c r="AD213" s="186">
        <f>SUMIFS(COSECHAS!M:M,COSECHAS!A:A,'BASE 2026'!AW:AW,COSECHAS!G:G,"="&amp;A:A)</f>
        <v>28.7</v>
      </c>
      <c r="AE213" s="185">
        <f>IFERROR(TablaPrincipal[[#This Row],[LIBRAS PLANTA]]/TablaPrincipal[[#This Row],[HAS]],"-")</f>
        <v>6095.4803493449781</v>
      </c>
      <c r="AF213" s="185">
        <f>IFERROR(TablaPrincipal[[#This Row],[LIBRAS PLANTA]]*454/TablaPrincipal[[#This Row],[GRAMOS PLANTA]],"-")</f>
        <v>883237.22648083617</v>
      </c>
      <c r="AG213" s="185">
        <f>TablaPrincipal[[#This Row],[LIBRAS RALEO PLANTA]]+TablaPrincipal[[#This Row],[LIBRAS PLANTA]]</f>
        <v>101558.95</v>
      </c>
      <c r="AH213" s="185">
        <f>IFERROR(TablaPrincipal[[#This Row],[CAM COSECHADOS RALEO]]+TablaPrincipal[[#This Row],[CAM COSECHADOS]],"-")</f>
        <v>1790502.8440924669</v>
      </c>
      <c r="AI213" s="185">
        <f>IFERROR((TablaPrincipal[[#This Row],[LIBRAS RALEO PLANTA]]+TablaPrincipal[[#This Row],[LIBRAS PLANTA]])/TablaPrincipal[[#This Row],[HAS]],"0")</f>
        <v>11087.221615720524</v>
      </c>
      <c r="AJ213" s="186">
        <f t="shared" si="3"/>
        <v>2.3360465116279068</v>
      </c>
      <c r="AK213" s="186">
        <f>IFERROR(TablaPrincipal[[#This Row],[LBS/HA]]/TablaPrincipal[[#This Row],[DIAS]],"-")</f>
        <v>128.92118157814562</v>
      </c>
      <c r="AL213" s="186">
        <f>IFERROR(TablaPrincipal[[#This Row],[CAM COSECHADOS TOTALES]]/TablaPrincipal[[#This Row],[ANIM SEMBRADOS]]*100,"-")</f>
        <v>81.445726168689362</v>
      </c>
      <c r="AM213" s="185">
        <v>140212.56</v>
      </c>
      <c r="AN213" s="187">
        <f>IFERROR(((TablaPrincipal[[#This Row],[BALANCEADO ACUMULADO (LBS)]]/2.2046)/TablaPrincipal[[#This Row],[HAS]])/TablaPrincipal[[#This Row],[DIAS]],"-")</f>
        <v>80.735249314512018</v>
      </c>
      <c r="AO213" s="184">
        <f>IFERROR(TablaPrincipal[[#This Row],[BALANCEADO ACUMULADO (LBS)]]/TablaPrincipal[[#This Row],[LIBRAS TOTALES]],"-")</f>
        <v>1.3806026942972529</v>
      </c>
      <c r="AP213" s="184"/>
      <c r="AQ213" s="184"/>
      <c r="AR213" s="185">
        <f>TablaPrincipal[[#This Row],[LIBRAS RALEO PLANTA]]-TablaPrincipal[[#This Row],[LIBRAS RALEO CAMARONERA]]</f>
        <v>1674.3499999999985</v>
      </c>
      <c r="AS213" s="185">
        <f>TablaPrincipal[[#This Row],[LIBRAS PLANTA]]-TablaPrincipal[[#This Row],[LIBRAS CAMARONERA]]</f>
        <v>1184.5999999999985</v>
      </c>
      <c r="AT213" s="187">
        <f>TablaPrincipal[[#This Row],[GRAMAJE RALEO PLANTA]]-TablaPrincipal[[#This Row],[GRAMAJE RALEO CAMARONERA]]</f>
        <v>0</v>
      </c>
      <c r="AU213" s="187">
        <f>TablaPrincipal[[#This Row],[GRAMOS PLANTA]]-TablaPrincipal[[#This Row],[GRAMAJE CAMARONERA]]</f>
        <v>-5.3000000000000007</v>
      </c>
      <c r="AV213" s="183" t="str">
        <f>+VLOOKUP(TablaPrincipal[[#This Row],[CODIGO]],TablaCosechas[#All],10,0)</f>
        <v>ALFONSO GRUNAUER</v>
      </c>
      <c r="AW213" s="183" t="s">
        <v>300</v>
      </c>
      <c r="AX213" s="188" t="str">
        <f>+VLOOKUP(TablaPrincipal[[#This Row],[CODIGO]],TablaCosechas[#All],10,0)</f>
        <v>ALFONSO GRUNAUER</v>
      </c>
    </row>
    <row r="214" spans="1:50" hidden="1" x14ac:dyDescent="0.25">
      <c r="A214" s="196">
        <v>46099</v>
      </c>
      <c r="B214" s="183">
        <v>212</v>
      </c>
      <c r="C214" s="183">
        <f>YEAR(TablaPrincipal[[#This Row],[FECHA]])</f>
        <v>2026</v>
      </c>
      <c r="D214" s="183" t="s">
        <v>291</v>
      </c>
      <c r="E214" s="183" t="str">
        <f>UPPER(TEXT(TablaPrincipal[[#This Row],[FECHA]],"MMMM"))</f>
        <v>MARZO</v>
      </c>
      <c r="F214" s="183" t="str">
        <f>IFERROR(VLOOKUP(TablaPrincipal[[#This Row],[CODIGO]],COSECHAS!A:J,9,0),"-")</f>
        <v>19</v>
      </c>
      <c r="G214" s="183" t="str">
        <f>IFERROR(VLOOKUP(TablaPrincipal[[#This Row],[CODIGO]],COSECHAS!A:I,8,0),"-")</f>
        <v>TIBURON</v>
      </c>
      <c r="H214" s="184">
        <f>IFERROR(VLOOKUP(TablaPrincipal[[#This Row],[CODIGO]],DATOS!A:B,2,0),"-")</f>
        <v>1.76</v>
      </c>
      <c r="I214" s="183" t="str">
        <f>IFERROR(VLOOKUP(TablaPrincipal[[#This Row],[CODIGO]],Tabla8[[#Headers],[#Data]],3,0),"-")</f>
        <v>ASC-BAP</v>
      </c>
      <c r="J214" s="183">
        <f>IFERROR(TablaPrincipal[[#This Row],[FECHA]]-TablaPrincipal[[#This Row],[FECHA DE SIEMBRA]],"-")</f>
        <v>70</v>
      </c>
      <c r="K214" s="196">
        <f>VLOOKUP(TablaPrincipal[[#This Row],[CODIGO]]&amp;TablaPrincipal[[#This Row],[AGUAJE ]],Tabla4[#All],4,0)</f>
        <v>46029</v>
      </c>
      <c r="L214" s="183" t="str">
        <f>VLOOKUP(TablaPrincipal[[#This Row],[CODIGO]]&amp;TablaPrincipal[[#This Row],[AGUAJE ]],Tabla4[#All],15,0)</f>
        <v>TI PC 18</v>
      </c>
      <c r="M214" s="184">
        <f>VLOOKUP(TablaPrincipal[[#This Row],[CODIGO]]&amp;TablaPrincipal[[#This Row],[AGUAJE ]],Tabla4[#All],14,0)</f>
        <v>0.98</v>
      </c>
      <c r="N214" s="183">
        <v>4</v>
      </c>
      <c r="O214" s="170">
        <f>VLOOKUP(TablaPrincipal[[#This Row],[CODIGO]]&amp;TablaPrincipal[[#This Row],[AGUAJE ]],Tabla4[#All],5,0)</f>
        <v>299200</v>
      </c>
      <c r="P214" s="221">
        <f>IFERROR(TablaPrincipal[[#This Row],[ANIM SEMBRADOS]]/TablaPrincipal[[#This Row],[HAS]],"-")</f>
        <v>170000</v>
      </c>
      <c r="Q214" s="222">
        <f>IFERROR(TablaPrincipal[[#This Row],[DENSIDAD]]/10000,"-")</f>
        <v>17</v>
      </c>
      <c r="R214" s="183" t="str">
        <f>VLOOKUP(TablaPrincipal[[#This Row],[CODIGO]]&amp;TablaPrincipal[[#This Row],[AGUAJE ]],Tabla4[#All],8,0)</f>
        <v>AQUANOVA</v>
      </c>
      <c r="S214" s="183" t="str">
        <f>VLOOKUP(TablaPrincipal[[#This Row],[CODIGO]]&amp;TablaPrincipal[[#This Row],[AGUAJE ]],Tabla4[#All],7,0)</f>
        <v>TEXCUMAR</v>
      </c>
      <c r="T214" s="183" t="str">
        <f>IF(ISNUMBER(FIND("/",TablaPrincipal[[#This Row],[LABORATORIO]])),"COMBINADO","UNICO")</f>
        <v>UNICO</v>
      </c>
      <c r="U2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2550</v>
      </c>
      <c r="V2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2654.16</v>
      </c>
      <c r="W2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27.7</v>
      </c>
      <c r="Y214" s="185">
        <f>IFERROR(TablaPrincipal[[#This Row],[LIBRAS RALEO PLANTA]]/TablaPrincipal[[#This Row],[HAS]],"-")</f>
        <v>1508.0454545454545</v>
      </c>
      <c r="Z2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43501.394945848369</v>
      </c>
      <c r="AA21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2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11245.42</v>
      </c>
      <c r="AC214" s="186">
        <f>SUMIFS(COSECHAS!F:F,COSECHAS!A:A,'BASE 2026'!AW:AW,COSECHAS!G:G,"="&amp;A:A)</f>
        <v>37</v>
      </c>
      <c r="AD214" s="186">
        <f>SUMIFS(COSECHAS!M:M,COSECHAS!A:A,'BASE 2026'!AW:AW,COSECHAS!G:G,"="&amp;A:A)</f>
        <v>37.92</v>
      </c>
      <c r="AE214" s="185">
        <f>IFERROR(TablaPrincipal[[#This Row],[LIBRAS PLANTA]]/TablaPrincipal[[#This Row],[HAS]],"-")</f>
        <v>6389.443181818182</v>
      </c>
      <c r="AF214" s="185">
        <f>IFERROR(TablaPrincipal[[#This Row],[LIBRAS PLANTA]]*454/TablaPrincipal[[#This Row],[GRAMOS PLANTA]],"-")</f>
        <v>134636.62130801685</v>
      </c>
      <c r="AG214" s="185">
        <f>TablaPrincipal[[#This Row],[LIBRAS RALEO PLANTA]]+TablaPrincipal[[#This Row],[LIBRAS PLANTA]]</f>
        <v>13899.58</v>
      </c>
      <c r="AH214" s="185">
        <f>IFERROR(TablaPrincipal[[#This Row],[CAM COSECHADOS RALEO]]+TablaPrincipal[[#This Row],[CAM COSECHADOS]],"-")</f>
        <v>178138.01625386521</v>
      </c>
      <c r="AI214" s="185">
        <f>IFERROR((TablaPrincipal[[#This Row],[LIBRAS RALEO PLANTA]]+TablaPrincipal[[#This Row],[LIBRAS PLANTA]])/TablaPrincipal[[#This Row],[HAS]],"0")</f>
        <v>7897.488636363636</v>
      </c>
      <c r="AJ214" s="186">
        <f t="shared" si="3"/>
        <v>3.7920000000000003</v>
      </c>
      <c r="AK214" s="186">
        <f>IFERROR(TablaPrincipal[[#This Row],[LBS/HA]]/TablaPrincipal[[#This Row],[DIAS]],"-")</f>
        <v>112.82126623376622</v>
      </c>
      <c r="AL214" s="186">
        <f>IFERROR(TablaPrincipal[[#This Row],[CAM COSECHADOS TOTALES]]/TablaPrincipal[[#This Row],[ANIM SEMBRADOS]]*100,"-")</f>
        <v>59.538107036719659</v>
      </c>
      <c r="AM214" s="185">
        <v>19433.549000000003</v>
      </c>
      <c r="AN214" s="187">
        <f>IFERROR(((TablaPrincipal[[#This Row],[BALANCEADO ACUMULADO (LBS)]]/2.2046)/TablaPrincipal[[#This Row],[HAS]])/TablaPrincipal[[#This Row],[DIAS]],"-")</f>
        <v>71.550324675324674</v>
      </c>
      <c r="AO214" s="184">
        <f>IFERROR(TablaPrincipal[[#This Row],[BALANCEADO ACUMULADO (LBS)]]/TablaPrincipal[[#This Row],[LIBRAS TOTALES]],"-")</f>
        <v>1.3981392962952839</v>
      </c>
      <c r="AP214" s="184"/>
      <c r="AQ214" s="184"/>
      <c r="AR214" s="185">
        <f>TablaPrincipal[[#This Row],[LIBRAS RALEO PLANTA]]-TablaPrincipal[[#This Row],[LIBRAS RALEO CAMARONERA]]</f>
        <v>104.15999999999985</v>
      </c>
      <c r="AS214" s="185">
        <f>TablaPrincipal[[#This Row],[LIBRAS PLANTA]]-TablaPrincipal[[#This Row],[LIBRAS CAMARONERA]]</f>
        <v>645.42000000000007</v>
      </c>
      <c r="AT214" s="187">
        <f>TablaPrincipal[[#This Row],[GRAMAJE RALEO PLANTA]]-TablaPrincipal[[#This Row],[GRAMAJE RALEO CAMARONERA]]</f>
        <v>2.6999999999999993</v>
      </c>
      <c r="AU214" s="187">
        <f>TablaPrincipal[[#This Row],[GRAMOS PLANTA]]-TablaPrincipal[[#This Row],[GRAMAJE CAMARONERA]]</f>
        <v>0.92000000000000171</v>
      </c>
      <c r="AV214" s="183" t="str">
        <f>+VLOOKUP(TablaPrincipal[[#This Row],[CODIGO]],TablaCosechas[#All],10,0)</f>
        <v>ALFONSO GRUNAUER</v>
      </c>
      <c r="AW214" s="183" t="s">
        <v>109</v>
      </c>
      <c r="AX214" s="188" t="str">
        <f>+VLOOKUP(TablaPrincipal[[#This Row],[CODIGO]],TablaCosechas[#All],10,0)</f>
        <v>ALFONSO GRUNAUER</v>
      </c>
    </row>
    <row r="215" spans="1:50" hidden="1" x14ac:dyDescent="0.25">
      <c r="A215" s="196">
        <v>46099</v>
      </c>
      <c r="B215" s="183">
        <v>213</v>
      </c>
      <c r="C215" s="183">
        <f>YEAR(TablaPrincipal[[#This Row],[FECHA]])</f>
        <v>2026</v>
      </c>
      <c r="D215" s="183" t="s">
        <v>291</v>
      </c>
      <c r="E215" s="183" t="str">
        <f>UPPER(TEXT(TablaPrincipal[[#This Row],[FECHA]],"MMMM"))</f>
        <v>MARZO</v>
      </c>
      <c r="F215" s="183" t="str">
        <f>IFERROR(VLOOKUP(TablaPrincipal[[#This Row],[CODIGO]],COSECHAS!A:J,9,0),"-")</f>
        <v>19</v>
      </c>
      <c r="G215" s="183" t="str">
        <f>IFERROR(VLOOKUP(TablaPrincipal[[#This Row],[CODIGO]],COSECHAS!A:I,8,0),"-")</f>
        <v>MERO</v>
      </c>
      <c r="H215" s="184">
        <f>IFERROR(VLOOKUP(TablaPrincipal[[#This Row],[CODIGO]],DATOS!A:B,2,0),"-")</f>
        <v>3</v>
      </c>
      <c r="I215" s="183" t="str">
        <f>IFERROR(VLOOKUP(TablaPrincipal[[#This Row],[CODIGO]],Tabla8[[#Headers],[#Data]],3,0),"-")</f>
        <v>CONVENCIONAL</v>
      </c>
      <c r="J215" s="183">
        <f>IFERROR(TablaPrincipal[[#This Row],[FECHA]]-TablaPrincipal[[#This Row],[FECHA DE SIEMBRA]],"-")</f>
        <v>62</v>
      </c>
      <c r="K215" s="196">
        <f>VLOOKUP(TablaPrincipal[[#This Row],[CODIGO]]&amp;TablaPrincipal[[#This Row],[AGUAJE ]],Tabla4[#All],4,0)</f>
        <v>46037</v>
      </c>
      <c r="L215" s="183" t="str">
        <f>VLOOKUP(TablaPrincipal[[#This Row],[CODIGO]]&amp;TablaPrincipal[[#This Row],[AGUAJE ]],Tabla4[#All],15,0)</f>
        <v>ME 12</v>
      </c>
      <c r="M215" s="184">
        <f>VLOOKUP(TablaPrincipal[[#This Row],[CODIGO]]&amp;TablaPrincipal[[#This Row],[AGUAJE ]],Tabla4[#All],14,0)</f>
        <v>1</v>
      </c>
      <c r="N215" s="183">
        <v>8</v>
      </c>
      <c r="O215" s="170">
        <f>VLOOKUP(TablaPrincipal[[#This Row],[CODIGO]]&amp;TablaPrincipal[[#This Row],[AGUAJE ]],Tabla4[#All],5,0)</f>
        <v>450000</v>
      </c>
      <c r="P215" s="221">
        <f>IFERROR(TablaPrincipal[[#This Row],[ANIM SEMBRADOS]]/TablaPrincipal[[#This Row],[HAS]],"-")</f>
        <v>150000</v>
      </c>
      <c r="Q215" s="222">
        <f>IFERROR(TablaPrincipal[[#This Row],[DENSIDAD]]/10000,"-")</f>
        <v>15</v>
      </c>
      <c r="R215" s="183" t="str">
        <f>VLOOKUP(TablaPrincipal[[#This Row],[CODIGO]]&amp;TablaPrincipal[[#This Row],[AGUAJE ]],Tabla4[#All],8,0)</f>
        <v>TECSERV</v>
      </c>
      <c r="S215" s="183" t="str">
        <f>VLOOKUP(TablaPrincipal[[#This Row],[CODIGO]]&amp;TablaPrincipal[[#This Row],[AGUAJE ]],Tabla4[#All],7,0)</f>
        <v>SEMACUA</v>
      </c>
      <c r="T215" s="183" t="str">
        <f>IF(ISNUMBER(FIND("/",TablaPrincipal[[#This Row],[LABORATORIO]])),"COMBINADO","UNICO")</f>
        <v>UNICO</v>
      </c>
      <c r="U2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15" s="185">
        <f>IFERROR(TablaPrincipal[[#This Row],[LIBRAS RALEO PLANTA]]/TablaPrincipal[[#This Row],[HAS]],"-")</f>
        <v>0</v>
      </c>
      <c r="Z2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1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8076.23</v>
      </c>
      <c r="AC215" s="186">
        <f>SUMIFS(COSECHAS!F:F,COSECHAS!A:A,'BASE 2026'!AW:AW,COSECHAS!G:G,"="&amp;A:A)</f>
        <v>40</v>
      </c>
      <c r="AD215" s="186">
        <f>SUMIFS(COSECHAS!M:M,COSECHAS!A:A,'BASE 2026'!AW:AW,COSECHAS!G:G,"="&amp;A:A)</f>
        <v>40.020000000000003</v>
      </c>
      <c r="AE215" s="185">
        <f>IFERROR(TablaPrincipal[[#This Row],[LIBRAS PLANTA]]/TablaPrincipal[[#This Row],[HAS]],"-")</f>
        <v>2692.0766666666664</v>
      </c>
      <c r="AF215" s="185">
        <f>IFERROR(TablaPrincipal[[#This Row],[LIBRAS PLANTA]]*454/TablaPrincipal[[#This Row],[GRAMOS PLANTA]],"-")</f>
        <v>91619.400799600189</v>
      </c>
      <c r="AG215" s="185">
        <f>TablaPrincipal[[#This Row],[LIBRAS RALEO PLANTA]]+TablaPrincipal[[#This Row],[LIBRAS PLANTA]]</f>
        <v>8076.23</v>
      </c>
      <c r="AH215" s="185">
        <f>IFERROR(TablaPrincipal[[#This Row],[CAM COSECHADOS RALEO]]+TablaPrincipal[[#This Row],[CAM COSECHADOS]],"-")</f>
        <v>91619.400799600189</v>
      </c>
      <c r="AI215" s="185">
        <f>IFERROR((TablaPrincipal[[#This Row],[LIBRAS RALEO PLANTA]]+TablaPrincipal[[#This Row],[LIBRAS PLANTA]])/TablaPrincipal[[#This Row],[HAS]],"0")</f>
        <v>2692.0766666666664</v>
      </c>
      <c r="AJ215" s="186">
        <f t="shared" si="3"/>
        <v>4.5183870967741937</v>
      </c>
      <c r="AK215" s="186">
        <f>IFERROR(TablaPrincipal[[#This Row],[LBS/HA]]/TablaPrincipal[[#This Row],[DIAS]],"-")</f>
        <v>43.420591397849456</v>
      </c>
      <c r="AL215" s="186">
        <f>IFERROR(TablaPrincipal[[#This Row],[CAM COSECHADOS TOTALES]]/TablaPrincipal[[#This Row],[ANIM SEMBRADOS]]*100,"-")</f>
        <v>20.359866844355597</v>
      </c>
      <c r="AM215" s="185">
        <v>18849.330000000002</v>
      </c>
      <c r="AN215" s="187">
        <f>IFERROR(((TablaPrincipal[[#This Row],[BALANCEADO ACUMULADO (LBS)]]/2.2046)/TablaPrincipal[[#This Row],[HAS]])/TablaPrincipal[[#This Row],[DIAS]],"-")</f>
        <v>45.967741935483872</v>
      </c>
      <c r="AO215" s="184">
        <f>IFERROR(TablaPrincipal[[#This Row],[BALANCEADO ACUMULADO (LBS)]]/TablaPrincipal[[#This Row],[LIBRAS TOTALES]],"-")</f>
        <v>2.3339268445797114</v>
      </c>
      <c r="AP215" s="184"/>
      <c r="AQ215" s="184"/>
      <c r="AR215" s="185">
        <f>TablaPrincipal[[#This Row],[LIBRAS RALEO PLANTA]]-TablaPrincipal[[#This Row],[LIBRAS RALEO CAMARONERA]]</f>
        <v>0</v>
      </c>
      <c r="AS215" s="185">
        <f>TablaPrincipal[[#This Row],[LIBRAS PLANTA]]-TablaPrincipal[[#This Row],[LIBRAS CAMARONERA]]</f>
        <v>476.22999999999956</v>
      </c>
      <c r="AT215" s="187">
        <f>TablaPrincipal[[#This Row],[GRAMAJE RALEO PLANTA]]-TablaPrincipal[[#This Row],[GRAMAJE RALEO CAMARONERA]]</f>
        <v>0</v>
      </c>
      <c r="AU215" s="187">
        <f>TablaPrincipal[[#This Row],[GRAMOS PLANTA]]-TablaPrincipal[[#This Row],[GRAMAJE CAMARONERA]]</f>
        <v>2.0000000000003126E-2</v>
      </c>
      <c r="AV215" s="183" t="str">
        <f>+VLOOKUP(TablaPrincipal[[#This Row],[CODIGO]],TablaCosechas[#All],10,0)</f>
        <v>NESTOR MOGOLLON</v>
      </c>
      <c r="AW215" s="183" t="s">
        <v>120</v>
      </c>
      <c r="AX215" s="188" t="str">
        <f>+VLOOKUP(TablaPrincipal[[#This Row],[CODIGO]],TablaCosechas[#All],10,0)</f>
        <v>NESTOR MOGOLLON</v>
      </c>
    </row>
    <row r="216" spans="1:50" hidden="1" x14ac:dyDescent="0.25">
      <c r="A216" s="196">
        <v>46100</v>
      </c>
      <c r="B216" s="183">
        <v>214</v>
      </c>
      <c r="C216" s="183">
        <f>YEAR(TablaPrincipal[[#This Row],[FECHA]])</f>
        <v>2026</v>
      </c>
      <c r="D216" s="183" t="s">
        <v>291</v>
      </c>
      <c r="E216" s="183" t="str">
        <f>UPPER(TEXT(TablaPrincipal[[#This Row],[FECHA]],"MMMM"))</f>
        <v>MARZO</v>
      </c>
      <c r="F216" s="183" t="str">
        <f>IFERROR(VLOOKUP(TablaPrincipal[[#This Row],[CODIGO]],COSECHAS!A:J,9,0),"-")</f>
        <v>02</v>
      </c>
      <c r="G216" s="183" t="str">
        <f>IFERROR(VLOOKUP(TablaPrincipal[[#This Row],[CODIGO]],COSECHAS!A:I,8,0),"-")</f>
        <v>DELFIN</v>
      </c>
      <c r="H216" s="184">
        <f>IFERROR(VLOOKUP(TablaPrincipal[[#This Row],[CODIGO]],DATOS!A:B,2,0),"-")</f>
        <v>6.5</v>
      </c>
      <c r="I216" s="183" t="str">
        <f>IFERROR(VLOOKUP(TablaPrincipal[[#This Row],[CODIGO]],Tabla8[[#Headers],[#Data]],3,0),"-")</f>
        <v>CONVENCIONAL</v>
      </c>
      <c r="J216" s="183">
        <f>IFERROR(TablaPrincipal[[#This Row],[FECHA]]-TablaPrincipal[[#This Row],[FECHA DE SIEMBRA]],"-")</f>
        <v>75</v>
      </c>
      <c r="K216" s="196">
        <f>VLOOKUP(TablaPrincipal[[#This Row],[CODIGO]]&amp;TablaPrincipal[[#This Row],[AGUAJE ]],Tabla4[#All],4,0)</f>
        <v>46025</v>
      </c>
      <c r="L216" s="183" t="str">
        <f>VLOOKUP(TablaPrincipal[[#This Row],[CODIGO]]&amp;TablaPrincipal[[#This Row],[AGUAJE ]],Tabla4[#All],15,0)</f>
        <v>DE PC02</v>
      </c>
      <c r="M216" s="184">
        <f>VLOOKUP(TablaPrincipal[[#This Row],[CODIGO]]&amp;TablaPrincipal[[#This Row],[AGUAJE ]],Tabla4[#All],14,0)</f>
        <v>0.38</v>
      </c>
      <c r="N216" s="183">
        <v>16</v>
      </c>
      <c r="O216" s="170">
        <f>VLOOKUP(TablaPrincipal[[#This Row],[CODIGO]]&amp;TablaPrincipal[[#This Row],[AGUAJE ]],Tabla4[#All],5,0)</f>
        <v>780000</v>
      </c>
      <c r="P216" s="221">
        <f>IFERROR(TablaPrincipal[[#This Row],[ANIM SEMBRADOS]]/TablaPrincipal[[#This Row],[HAS]],"-")</f>
        <v>120000</v>
      </c>
      <c r="Q216" s="222">
        <f>IFERROR(TablaPrincipal[[#This Row],[DENSIDAD]]/10000,"-")</f>
        <v>12</v>
      </c>
      <c r="R216" s="183" t="str">
        <f>VLOOKUP(TablaPrincipal[[#This Row],[CODIGO]]&amp;TablaPrincipal[[#This Row],[AGUAJE ]],Tabla4[#All],8,0)</f>
        <v>GENESIS</v>
      </c>
      <c r="S216" s="183" t="str">
        <f>VLOOKUP(TablaPrincipal[[#This Row],[CODIGO]]&amp;TablaPrincipal[[#This Row],[AGUAJE ]],Tabla4[#All],7,0)</f>
        <v>TEXCUMAR</v>
      </c>
      <c r="T216" s="183" t="str">
        <f>IF(ISNUMBER(FIND("/",TablaPrincipal[[#This Row],[LABORATORIO]])),"COMBINADO","UNICO")</f>
        <v>UNICO</v>
      </c>
      <c r="U2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5000</v>
      </c>
      <c r="V2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5070.29</v>
      </c>
      <c r="W2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216" s="185">
        <f>IFERROR(TablaPrincipal[[#This Row],[LIBRAS RALEO PLANTA]]/TablaPrincipal[[#This Row],[HAS]],"-")</f>
        <v>780.04461538461533</v>
      </c>
      <c r="Z2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89014.372003093595</v>
      </c>
      <c r="AA21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24953</v>
      </c>
      <c r="AC216" s="186">
        <f>SUMIFS(COSECHAS!F:F,COSECHAS!A:A,'BASE 2026'!AW:AW,COSECHAS!G:G,"="&amp;A:A)</f>
        <v>31</v>
      </c>
      <c r="AD216" s="186">
        <f>SUMIFS(COSECHAS!M:M,COSECHAS!A:A,'BASE 2026'!AW:AW,COSECHAS!G:G,"="&amp;A:A)</f>
        <v>36.520000000000003</v>
      </c>
      <c r="AE216" s="185">
        <f>IFERROR(TablaPrincipal[[#This Row],[LIBRAS PLANTA]]/TablaPrincipal[[#This Row],[HAS]],"-")</f>
        <v>3838.9230769230771</v>
      </c>
      <c r="AF216" s="185">
        <f>IFERROR(TablaPrincipal[[#This Row],[LIBRAS PLANTA]]*454/TablaPrincipal[[#This Row],[GRAMOS PLANTA]],"-")</f>
        <v>310204.32639649505</v>
      </c>
      <c r="AG216" s="185">
        <f>TablaPrincipal[[#This Row],[LIBRAS RALEO PLANTA]]+TablaPrincipal[[#This Row],[LIBRAS PLANTA]]</f>
        <v>30023.29</v>
      </c>
      <c r="AH216" s="185">
        <f>IFERROR(TablaPrincipal[[#This Row],[CAM COSECHADOS RALEO]]+TablaPrincipal[[#This Row],[CAM COSECHADOS]],"-")</f>
        <v>399218.69839958864</v>
      </c>
      <c r="AI216" s="185">
        <f>IFERROR((TablaPrincipal[[#This Row],[LIBRAS RALEO PLANTA]]+TablaPrincipal[[#This Row],[LIBRAS PLANTA]])/TablaPrincipal[[#This Row],[HAS]],"0")</f>
        <v>4618.9676923076922</v>
      </c>
      <c r="AJ216" s="186">
        <f t="shared" si="3"/>
        <v>3.4085333333333341</v>
      </c>
      <c r="AK216" s="186">
        <f>IFERROR(TablaPrincipal[[#This Row],[LBS/HA]]/TablaPrincipal[[#This Row],[DIAS]],"-")</f>
        <v>61.586235897435898</v>
      </c>
      <c r="AL216" s="186">
        <f>IFERROR(TablaPrincipal[[#This Row],[CAM COSECHADOS TOTALES]]/TablaPrincipal[[#This Row],[ANIM SEMBRADOS]]*100,"-")</f>
        <v>51.181884410203672</v>
      </c>
      <c r="AM216" s="185">
        <v>56768.450000000004</v>
      </c>
      <c r="AN216" s="187">
        <f>IFERROR(((TablaPrincipal[[#This Row],[BALANCEADO ACUMULADO (LBS)]]/2.2046)/TablaPrincipal[[#This Row],[HAS]])/TablaPrincipal[[#This Row],[DIAS]],"-")</f>
        <v>52.820512820512818</v>
      </c>
      <c r="AO216" s="184">
        <f>IFERROR(TablaPrincipal[[#This Row],[BALANCEADO ACUMULADO (LBS)]]/TablaPrincipal[[#This Row],[LIBRAS TOTALES]],"-")</f>
        <v>1.8908137649138386</v>
      </c>
      <c r="AP216" s="184"/>
      <c r="AQ216" s="184"/>
      <c r="AR216" s="185">
        <f>TablaPrincipal[[#This Row],[LIBRAS RALEO PLANTA]]-TablaPrincipal[[#This Row],[LIBRAS RALEO CAMARONERA]]</f>
        <v>70.289999999999964</v>
      </c>
      <c r="AS216" s="185">
        <f>TablaPrincipal[[#This Row],[LIBRAS PLANTA]]-TablaPrincipal[[#This Row],[LIBRAS CAMARONERA]]</f>
        <v>1953</v>
      </c>
      <c r="AT216" s="187">
        <f>TablaPrincipal[[#This Row],[GRAMAJE RALEO PLANTA]]-TablaPrincipal[[#This Row],[GRAMAJE RALEO CAMARONERA]]</f>
        <v>3.8599999999999994</v>
      </c>
      <c r="AU216" s="187">
        <f>TablaPrincipal[[#This Row],[GRAMOS PLANTA]]-TablaPrincipal[[#This Row],[GRAMAJE CAMARONERA]]</f>
        <v>5.5200000000000031</v>
      </c>
      <c r="AV216" s="183" t="str">
        <f>+VLOOKUP(TablaPrincipal[[#This Row],[CODIGO]],TablaCosechas[#All],10,0)</f>
        <v>CARLOS FLORES</v>
      </c>
      <c r="AW216" s="183" t="s">
        <v>301</v>
      </c>
      <c r="AX216" s="188" t="str">
        <f>+VLOOKUP(TablaPrincipal[[#This Row],[CODIGO]],TablaCosechas[#All],10,0)</f>
        <v>CARLOS FLORES</v>
      </c>
    </row>
    <row r="217" spans="1:50" hidden="1" x14ac:dyDescent="0.25">
      <c r="A217" s="196">
        <v>46101</v>
      </c>
      <c r="B217" s="183">
        <v>215</v>
      </c>
      <c r="C217" s="183">
        <f>YEAR(TablaPrincipal[[#This Row],[FECHA]])</f>
        <v>2026</v>
      </c>
      <c r="D217" s="183" t="s">
        <v>291</v>
      </c>
      <c r="E217" s="183" t="str">
        <f>UPPER(TEXT(TablaPrincipal[[#This Row],[FECHA]],"MMMM"))</f>
        <v>MARZO</v>
      </c>
      <c r="F217" s="183" t="str">
        <f>IFERROR(VLOOKUP(TablaPrincipal[[#This Row],[CODIGO]],COSECHAS!A:J,9,0),"-")</f>
        <v>23</v>
      </c>
      <c r="G217" s="183" t="str">
        <f>IFERROR(VLOOKUP(TablaPrincipal[[#This Row],[CODIGO]],COSECHAS!A:I,8,0),"-")</f>
        <v>DELFIN</v>
      </c>
      <c r="H217" s="184">
        <f>IFERROR(VLOOKUP(TablaPrincipal[[#This Row],[CODIGO]],DATOS!A:B,2,0),"-")</f>
        <v>5.5</v>
      </c>
      <c r="I217" s="183" t="str">
        <f>IFERROR(VLOOKUP(TablaPrincipal[[#This Row],[CODIGO]],Tabla8[[#Headers],[#Data]],3,0),"-")</f>
        <v>CONVENCIONAL</v>
      </c>
      <c r="J217" s="183">
        <f>IFERROR(TablaPrincipal[[#This Row],[FECHA]]-TablaPrincipal[[#This Row],[FECHA DE SIEMBRA]],"-")</f>
        <v>69</v>
      </c>
      <c r="K217" s="196">
        <f>VLOOKUP(TablaPrincipal[[#This Row],[CODIGO]]&amp;TablaPrincipal[[#This Row],[AGUAJE ]],Tabla4[#All],4,0)</f>
        <v>46032</v>
      </c>
      <c r="L217" s="183" t="str">
        <f>VLOOKUP(TablaPrincipal[[#This Row],[CODIGO]]&amp;TablaPrincipal[[#This Row],[AGUAJE ]],Tabla4[#All],15,0)</f>
        <v>DE 25</v>
      </c>
      <c r="M217" s="184">
        <f>VLOOKUP(TablaPrincipal[[#This Row],[CODIGO]]&amp;TablaPrincipal[[#This Row],[AGUAJE ]],Tabla4[#All],14,0)</f>
        <v>0.8</v>
      </c>
      <c r="N217" s="183">
        <v>15</v>
      </c>
      <c r="O217" s="170">
        <f>VLOOKUP(TablaPrincipal[[#This Row],[CODIGO]]&amp;TablaPrincipal[[#This Row],[AGUAJE ]],Tabla4[#All],5,0)</f>
        <v>880000</v>
      </c>
      <c r="P217" s="221">
        <f>IFERROR(TablaPrincipal[[#This Row],[ANIM SEMBRADOS]]/TablaPrincipal[[#This Row],[HAS]],"-")</f>
        <v>160000</v>
      </c>
      <c r="Q217" s="222">
        <f>IFERROR(TablaPrincipal[[#This Row],[DENSIDAD]]/10000,"-")</f>
        <v>16</v>
      </c>
      <c r="R217" s="183" t="str">
        <f>VLOOKUP(TablaPrincipal[[#This Row],[CODIGO]]&amp;TablaPrincipal[[#This Row],[AGUAJE ]],Tabla4[#All],8,0)</f>
        <v>EMPAGRAN</v>
      </c>
      <c r="S217" s="183" t="str">
        <f>VLOOKUP(TablaPrincipal[[#This Row],[CODIGO]]&amp;TablaPrincipal[[#This Row],[AGUAJE ]],Tabla4[#All],7,0)</f>
        <v>EMPAGRAN</v>
      </c>
      <c r="T217" s="183" t="str">
        <f>IF(ISNUMBER(FIND("/",TablaPrincipal[[#This Row],[LABORATORIO]])),"COMBINADO","UNICO")</f>
        <v>UNICO</v>
      </c>
      <c r="U2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6000</v>
      </c>
      <c r="V2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6087.82</v>
      </c>
      <c r="W2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23.54</v>
      </c>
      <c r="Y217" s="185">
        <f>IFERROR(TablaPrincipal[[#This Row],[LIBRAS RALEO PLANTA]]/TablaPrincipal[[#This Row],[HAS]],"-")</f>
        <v>1106.8763636363635</v>
      </c>
      <c r="Z2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117411.65165675446</v>
      </c>
      <c r="AA21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23736.3</v>
      </c>
      <c r="AC217" s="186">
        <f>SUMIFS(COSECHAS!F:F,COSECHAS!A:A,'BASE 2026'!AW:AW,COSECHAS!G:G,"="&amp;A:A)</f>
        <v>32</v>
      </c>
      <c r="AD217" s="186">
        <f>SUMIFS(COSECHAS!M:M,COSECHAS!A:A,'BASE 2026'!AW:AW,COSECHAS!G:G,"="&amp;A:A)</f>
        <v>33.86</v>
      </c>
      <c r="AE217" s="185">
        <f>IFERROR(TablaPrincipal[[#This Row],[LIBRAS PLANTA]]/TablaPrincipal[[#This Row],[HAS]],"-")</f>
        <v>4315.6909090909094</v>
      </c>
      <c r="AF217" s="185">
        <f>IFERROR(TablaPrincipal[[#This Row],[LIBRAS PLANTA]]*454/TablaPrincipal[[#This Row],[GRAMOS PLANTA]],"-")</f>
        <v>318259.89958653279</v>
      </c>
      <c r="AG217" s="185">
        <f>TablaPrincipal[[#This Row],[LIBRAS RALEO PLANTA]]+TablaPrincipal[[#This Row],[LIBRAS PLANTA]]</f>
        <v>29824.12</v>
      </c>
      <c r="AH217" s="185">
        <f>IFERROR(TablaPrincipal[[#This Row],[CAM COSECHADOS RALEO]]+TablaPrincipal[[#This Row],[CAM COSECHADOS]],"-")</f>
        <v>435671.55124328728</v>
      </c>
      <c r="AI217" s="185">
        <f>IFERROR((TablaPrincipal[[#This Row],[LIBRAS RALEO PLANTA]]+TablaPrincipal[[#This Row],[LIBRAS PLANTA]])/TablaPrincipal[[#This Row],[HAS]],"0")</f>
        <v>5422.5672727272722</v>
      </c>
      <c r="AJ217" s="186">
        <f t="shared" si="3"/>
        <v>3.4350724637681158</v>
      </c>
      <c r="AK217" s="186">
        <f>IFERROR(TablaPrincipal[[#This Row],[LBS/HA]]/TablaPrincipal[[#This Row],[DIAS]],"-")</f>
        <v>78.587931488801047</v>
      </c>
      <c r="AL217" s="186">
        <f>IFERROR(TablaPrincipal[[#This Row],[CAM COSECHADOS TOTALES]]/TablaPrincipal[[#This Row],[ANIM SEMBRADOS]]*100,"-")</f>
        <v>49.508130823100828</v>
      </c>
      <c r="AM217" s="185">
        <v>51863.215000000004</v>
      </c>
      <c r="AN217" s="187">
        <f>IFERROR(((TablaPrincipal[[#This Row],[BALANCEADO ACUMULADO (LBS)]]/2.2046)/TablaPrincipal[[#This Row],[HAS]])/TablaPrincipal[[#This Row],[DIAS]],"-")</f>
        <v>61.989459815546766</v>
      </c>
      <c r="AO217" s="184">
        <f>IFERROR(TablaPrincipal[[#This Row],[BALANCEADO ACUMULADO (LBS)]]/TablaPrincipal[[#This Row],[LIBRAS TOTALES]],"-")</f>
        <v>1.7389688279151239</v>
      </c>
      <c r="AP217" s="184"/>
      <c r="AQ217" s="184"/>
      <c r="AR217" s="185">
        <f>TablaPrincipal[[#This Row],[LIBRAS RALEO PLANTA]]-TablaPrincipal[[#This Row],[LIBRAS RALEO CAMARONERA]]</f>
        <v>87.819999999999709</v>
      </c>
      <c r="AS217" s="185">
        <f>TablaPrincipal[[#This Row],[LIBRAS PLANTA]]-TablaPrincipal[[#This Row],[LIBRAS CAMARONERA]]</f>
        <v>1236.2999999999993</v>
      </c>
      <c r="AT217" s="187">
        <f>TablaPrincipal[[#This Row],[GRAMAJE RALEO PLANTA]]-TablaPrincipal[[#This Row],[GRAMAJE RALEO CAMARONERA]]</f>
        <v>2.5399999999999991</v>
      </c>
      <c r="AU217" s="187">
        <f>TablaPrincipal[[#This Row],[GRAMOS PLANTA]]-TablaPrincipal[[#This Row],[GRAMAJE CAMARONERA]]</f>
        <v>1.8599999999999994</v>
      </c>
      <c r="AV217" s="183" t="str">
        <f>+VLOOKUP(TablaPrincipal[[#This Row],[CODIGO]],TablaCosechas[#All],10,0)</f>
        <v>CARLOS FLORES</v>
      </c>
      <c r="AW217" s="183" t="s">
        <v>302</v>
      </c>
      <c r="AX217" s="188" t="str">
        <f>+VLOOKUP(TablaPrincipal[[#This Row],[CODIGO]],TablaCosechas[#All],10,0)</f>
        <v>CARLOS FLORES</v>
      </c>
    </row>
    <row r="218" spans="1:50" hidden="1" x14ac:dyDescent="0.25">
      <c r="A218" s="196">
        <v>46101</v>
      </c>
      <c r="B218" s="183">
        <v>216</v>
      </c>
      <c r="C218" s="183">
        <f>YEAR(TablaPrincipal[[#This Row],[FECHA]])</f>
        <v>2026</v>
      </c>
      <c r="D218" s="183" t="s">
        <v>291</v>
      </c>
      <c r="E218" s="183" t="str">
        <f>UPPER(TEXT(TablaPrincipal[[#This Row],[FECHA]],"MMMM"))</f>
        <v>MARZO</v>
      </c>
      <c r="F218" s="183" t="str">
        <f>IFERROR(VLOOKUP(TablaPrincipal[[#This Row],[CODIGO]],COSECHAS!A:J,9,0),"-")</f>
        <v>17</v>
      </c>
      <c r="G218" s="183" t="str">
        <f>IFERROR(VLOOKUP(TablaPrincipal[[#This Row],[CODIGO]],COSECHAS!A:I,8,0),"-")</f>
        <v>TIBURON</v>
      </c>
      <c r="H218" s="184">
        <f>IFERROR(VLOOKUP(TablaPrincipal[[#This Row],[CODIGO]],DATOS!A:B,2,0),"-")</f>
        <v>2.85</v>
      </c>
      <c r="I218" s="183" t="str">
        <f>IFERROR(VLOOKUP(TablaPrincipal[[#This Row],[CODIGO]],Tabla8[[#Headers],[#Data]],3,0),"-")</f>
        <v>ASC-BAP</v>
      </c>
      <c r="J218" s="183">
        <f>IFERROR(TablaPrincipal[[#This Row],[FECHA]]-TablaPrincipal[[#This Row],[FECHA DE SIEMBRA]],"-")</f>
        <v>72</v>
      </c>
      <c r="K218" s="196">
        <f>VLOOKUP(TablaPrincipal[[#This Row],[CODIGO]]&amp;TablaPrincipal[[#This Row],[AGUAJE ]],Tabla4[#All],4,0)</f>
        <v>46029</v>
      </c>
      <c r="L218" s="183" t="str">
        <f>VLOOKUP(TablaPrincipal[[#This Row],[CODIGO]]&amp;TablaPrincipal[[#This Row],[AGUAJE ]],Tabla4[#All],15,0)</f>
        <v>TI PC 18</v>
      </c>
      <c r="M218" s="184">
        <f>VLOOKUP(TablaPrincipal[[#This Row],[CODIGO]]&amp;TablaPrincipal[[#This Row],[AGUAJE ]],Tabla4[#All],14,0)</f>
        <v>0.98</v>
      </c>
      <c r="N218" s="183">
        <v>3</v>
      </c>
      <c r="O218" s="170">
        <f>VLOOKUP(TablaPrincipal[[#This Row],[CODIGO]]&amp;TablaPrincipal[[#This Row],[AGUAJE ]],Tabla4[#All],5,0)</f>
        <v>484500</v>
      </c>
      <c r="P218" s="221">
        <f>IFERROR(TablaPrincipal[[#This Row],[ANIM SEMBRADOS]]/TablaPrincipal[[#This Row],[HAS]],"-")</f>
        <v>170000</v>
      </c>
      <c r="Q218" s="222">
        <f>IFERROR(TablaPrincipal[[#This Row],[DENSIDAD]]/10000,"-")</f>
        <v>17</v>
      </c>
      <c r="R218" s="183" t="str">
        <f>VLOOKUP(TablaPrincipal[[#This Row],[CODIGO]]&amp;TablaPrincipal[[#This Row],[AGUAJE ]],Tabla4[#All],8,0)</f>
        <v>AQUANOVA</v>
      </c>
      <c r="S218" s="183" t="str">
        <f>VLOOKUP(TablaPrincipal[[#This Row],[CODIGO]]&amp;TablaPrincipal[[#This Row],[AGUAJE ]],Tabla4[#All],7,0)</f>
        <v>TEXCUMAR</v>
      </c>
      <c r="T218" s="183" t="str">
        <f>IF(ISNUMBER(FIND("/",TablaPrincipal[[#This Row],[LABORATORIO]])),"COMBINADO","UNICO")</f>
        <v>UNICO</v>
      </c>
      <c r="U2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4000</v>
      </c>
      <c r="V2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4240.5200000000004</v>
      </c>
      <c r="W2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27.48</v>
      </c>
      <c r="Y218" s="185">
        <f>IFERROR(TablaPrincipal[[#This Row],[LIBRAS RALEO PLANTA]]/TablaPrincipal[[#This Row],[HAS]],"-")</f>
        <v>1487.901754385965</v>
      </c>
      <c r="Z2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70058.081513828249</v>
      </c>
      <c r="AA21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18629.919999999998</v>
      </c>
      <c r="AC218" s="186">
        <f>SUMIFS(COSECHAS!F:F,COSECHAS!A:A,'BASE 2026'!AW:AW,COSECHAS!G:G,"="&amp;A:A)</f>
        <v>35.5</v>
      </c>
      <c r="AD218" s="186">
        <f>SUMIFS(COSECHAS!M:M,COSECHAS!A:A,'BASE 2026'!AW:AW,COSECHAS!G:G,"="&amp;A:A)</f>
        <v>36.08</v>
      </c>
      <c r="AE218" s="185">
        <f>IFERROR(TablaPrincipal[[#This Row],[LIBRAS PLANTA]]/TablaPrincipal[[#This Row],[HAS]],"-")</f>
        <v>6536.8140350877184</v>
      </c>
      <c r="AF218" s="185">
        <f>IFERROR(TablaPrincipal[[#This Row],[LIBRAS PLANTA]]*454/TablaPrincipal[[#This Row],[GRAMOS PLANTA]],"-")</f>
        <v>234423.0509977827</v>
      </c>
      <c r="AG218" s="185">
        <f>TablaPrincipal[[#This Row],[LIBRAS RALEO PLANTA]]+TablaPrincipal[[#This Row],[LIBRAS PLANTA]]</f>
        <v>22870.44</v>
      </c>
      <c r="AH218" s="185">
        <f>IFERROR(TablaPrincipal[[#This Row],[CAM COSECHADOS RALEO]]+TablaPrincipal[[#This Row],[CAM COSECHADOS]],"-")</f>
        <v>304481.13251161098</v>
      </c>
      <c r="AI218" s="185">
        <f>IFERROR((TablaPrincipal[[#This Row],[LIBRAS RALEO PLANTA]]+TablaPrincipal[[#This Row],[LIBRAS PLANTA]])/TablaPrincipal[[#This Row],[HAS]],"0")</f>
        <v>8024.7157894736838</v>
      </c>
      <c r="AJ218" s="186">
        <f t="shared" si="3"/>
        <v>3.5077777777777772</v>
      </c>
      <c r="AK218" s="186">
        <f>IFERROR(TablaPrincipal[[#This Row],[LBS/HA]]/TablaPrincipal[[#This Row],[DIAS]],"-")</f>
        <v>111.45438596491228</v>
      </c>
      <c r="AL218" s="186">
        <f>IFERROR(TablaPrincipal[[#This Row],[CAM COSECHADOS TOTALES]]/TablaPrincipal[[#This Row],[ANIM SEMBRADOS]]*100,"-")</f>
        <v>62.844402995172544</v>
      </c>
      <c r="AM218" s="185">
        <v>33498.897000000004</v>
      </c>
      <c r="AN218" s="187">
        <f>IFERROR(((TablaPrincipal[[#This Row],[BALANCEADO ACUMULADO (LBS)]]/2.2046)/TablaPrincipal[[#This Row],[HAS]])/TablaPrincipal[[#This Row],[DIAS]],"-")</f>
        <v>74.049707602339197</v>
      </c>
      <c r="AO218" s="184">
        <f>IFERROR(TablaPrincipal[[#This Row],[BALANCEADO ACUMULADO (LBS)]]/TablaPrincipal[[#This Row],[LIBRAS TOTALES]],"-")</f>
        <v>1.4647246401905694</v>
      </c>
      <c r="AP218" s="184"/>
      <c r="AQ218" s="184"/>
      <c r="AR218" s="185">
        <f>TablaPrincipal[[#This Row],[LIBRAS RALEO PLANTA]]-TablaPrincipal[[#This Row],[LIBRAS RALEO CAMARONERA]]</f>
        <v>240.52000000000044</v>
      </c>
      <c r="AS218" s="185">
        <f>TablaPrincipal[[#This Row],[LIBRAS PLANTA]]-TablaPrincipal[[#This Row],[LIBRAS CAMARONERA]]</f>
        <v>229.91999999999825</v>
      </c>
      <c r="AT218" s="187">
        <f>TablaPrincipal[[#This Row],[GRAMAJE RALEO PLANTA]]-TablaPrincipal[[#This Row],[GRAMAJE RALEO CAMARONERA]]</f>
        <v>2.4800000000000004</v>
      </c>
      <c r="AU218" s="187">
        <f>TablaPrincipal[[#This Row],[GRAMOS PLANTA]]-TablaPrincipal[[#This Row],[GRAMAJE CAMARONERA]]</f>
        <v>0.57999999999999829</v>
      </c>
      <c r="AV218" s="183" t="str">
        <f>+VLOOKUP(TablaPrincipal[[#This Row],[CODIGO]],TablaCosechas[#All],10,0)</f>
        <v>ALFONSO GRUNAUER</v>
      </c>
      <c r="AW218" s="183" t="s">
        <v>112</v>
      </c>
      <c r="AX218" s="188" t="str">
        <f>+VLOOKUP(TablaPrincipal[[#This Row],[CODIGO]],TablaCosechas[#All],10,0)</f>
        <v>ALFONSO GRUNAUER</v>
      </c>
    </row>
    <row r="219" spans="1:50" hidden="1" x14ac:dyDescent="0.25">
      <c r="A219" s="196">
        <v>46102</v>
      </c>
      <c r="B219" s="183">
        <v>217</v>
      </c>
      <c r="C219" s="183">
        <f>YEAR(TablaPrincipal[[#This Row],[FECHA]])</f>
        <v>2026</v>
      </c>
      <c r="D219" s="183" t="s">
        <v>291</v>
      </c>
      <c r="E219" s="183" t="str">
        <f>UPPER(TEXT(TablaPrincipal[[#This Row],[FECHA]],"MMMM"))</f>
        <v>MARZO</v>
      </c>
      <c r="F219" s="183" t="str">
        <f>IFERROR(VLOOKUP(TablaPrincipal[[#This Row],[CODIGO]],COSECHAS!A:J,9,0),"-")</f>
        <v>16</v>
      </c>
      <c r="G219" s="183" t="str">
        <f>IFERROR(VLOOKUP(TablaPrincipal[[#This Row],[CODIGO]],COSECHAS!A:I,8,0),"-")</f>
        <v>TIBURON</v>
      </c>
      <c r="H219" s="184">
        <f>IFERROR(VLOOKUP(TablaPrincipal[[#This Row],[CODIGO]],DATOS!A:B,2,0),"-")</f>
        <v>13.44</v>
      </c>
      <c r="I219" s="183" t="str">
        <f>IFERROR(VLOOKUP(TablaPrincipal[[#This Row],[CODIGO]],Tabla8[[#Headers],[#Data]],3,0),"-")</f>
        <v>ASC-BAP</v>
      </c>
      <c r="J219" s="183">
        <f>IFERROR(TablaPrincipal[[#This Row],[FECHA]]-TablaPrincipal[[#This Row],[FECHA DE SIEMBRA]],"-")</f>
        <v>84</v>
      </c>
      <c r="K219" s="196">
        <f>VLOOKUP(TablaPrincipal[[#This Row],[CODIGO]]&amp;TablaPrincipal[[#This Row],[AGUAJE ]],Tabla4[#All],4,0)</f>
        <v>46018</v>
      </c>
      <c r="L219" s="183" t="str">
        <f>VLOOKUP(TablaPrincipal[[#This Row],[CODIGO]]&amp;TablaPrincipal[[#This Row],[AGUAJE ]],Tabla4[#All],15,0)</f>
        <v>TI PC 35 - 37</v>
      </c>
      <c r="M219" s="184">
        <f>VLOOKUP(TablaPrincipal[[#This Row],[CODIGO]]&amp;TablaPrincipal[[#This Row],[AGUAJE ]],Tabla4[#All],14,0)</f>
        <v>0.48</v>
      </c>
      <c r="N219" s="183">
        <v>8</v>
      </c>
      <c r="O219" s="170">
        <f>VLOOKUP(TablaPrincipal[[#This Row],[CODIGO]]&amp;TablaPrincipal[[#This Row],[AGUAJE ]],Tabla4[#All],5,0)</f>
        <v>2486400</v>
      </c>
      <c r="P219" s="221">
        <f>IFERROR(TablaPrincipal[[#This Row],[ANIM SEMBRADOS]]/TablaPrincipal[[#This Row],[HAS]],"-")</f>
        <v>185000</v>
      </c>
      <c r="Q219" s="222">
        <f>IFERROR(TablaPrincipal[[#This Row],[DENSIDAD]]/10000,"-")</f>
        <v>18.5</v>
      </c>
      <c r="R219" s="183" t="str">
        <f>VLOOKUP(TablaPrincipal[[#This Row],[CODIGO]]&amp;TablaPrincipal[[#This Row],[AGUAJE ]],Tabla4[#All],8,0)</f>
        <v>AMBARTEK</v>
      </c>
      <c r="S219" s="183" t="str">
        <f>VLOOKUP(TablaPrincipal[[#This Row],[CODIGO]]&amp;TablaPrincipal[[#This Row],[AGUAJE ]],Tabla4[#All],7,0)</f>
        <v>TEXCUMAR</v>
      </c>
      <c r="T219" s="183" t="str">
        <f>IF(ISNUMBER(FIND("/",TablaPrincipal[[#This Row],[LABORATORIO]])),"COMBINADO","UNICO")</f>
        <v>UNICO</v>
      </c>
      <c r="U2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58000</v>
      </c>
      <c r="V2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61488.600000000006</v>
      </c>
      <c r="W2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19" s="185">
        <f>IFERROR(TablaPrincipal[[#This Row],[LIBRAS RALEO PLANTA]]/TablaPrincipal[[#This Row],[HAS]],"-")</f>
        <v>4575.0446428571431</v>
      </c>
      <c r="Z2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1157894.923704077</v>
      </c>
      <c r="AA21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66100</v>
      </c>
      <c r="AB2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66719.95</v>
      </c>
      <c r="AC219" s="186">
        <f>SUMIFS(COSECHAS!F:F,COSECHAS!A:A,'BASE 2026'!AW:AW,COSECHAS!G:G,"="&amp;A:A)</f>
        <v>36</v>
      </c>
      <c r="AD219" s="186">
        <f>SUMIFS(COSECHAS!M:M,COSECHAS!A:A,'BASE 2026'!AW:AW,COSECHAS!G:G,"="&amp;A:A)</f>
        <v>35.96</v>
      </c>
      <c r="AE219" s="185">
        <f>IFERROR(TablaPrincipal[[#This Row],[LIBRAS PLANTA]]/TablaPrincipal[[#This Row],[HAS]],"-")</f>
        <v>4964.2819940476193</v>
      </c>
      <c r="AF219" s="185">
        <f>IFERROR(TablaPrincipal[[#This Row],[LIBRAS PLANTA]]*454/TablaPrincipal[[#This Row],[GRAMOS PLANTA]],"-")</f>
        <v>842348.64571746369</v>
      </c>
      <c r="AG219" s="185">
        <f>TablaPrincipal[[#This Row],[LIBRAS RALEO PLANTA]]+TablaPrincipal[[#This Row],[LIBRAS PLANTA]]</f>
        <v>128208.55</v>
      </c>
      <c r="AH219" s="185">
        <f>IFERROR(TablaPrincipal[[#This Row],[CAM COSECHADOS RALEO]]+TablaPrincipal[[#This Row],[CAM COSECHADOS]],"-")</f>
        <v>2000243.5694215407</v>
      </c>
      <c r="AI219" s="185">
        <f>IFERROR((TablaPrincipal[[#This Row],[LIBRAS RALEO PLANTA]]+TablaPrincipal[[#This Row],[LIBRAS PLANTA]])/TablaPrincipal[[#This Row],[HAS]],"0")</f>
        <v>9539.3266369047633</v>
      </c>
      <c r="AJ219" s="186">
        <f t="shared" si="3"/>
        <v>2.9966666666666666</v>
      </c>
      <c r="AK219" s="186">
        <f>IFERROR(TablaPrincipal[[#This Row],[LBS/HA]]/TablaPrincipal[[#This Row],[DIAS]],"-")</f>
        <v>113.56341234410432</v>
      </c>
      <c r="AL219" s="186">
        <f>IFERROR(TablaPrincipal[[#This Row],[CAM COSECHADOS TOTALES]]/TablaPrincipal[[#This Row],[ANIM SEMBRADOS]]*100,"-")</f>
        <v>80.447376505049093</v>
      </c>
      <c r="AM219" s="185">
        <v>162975.05500000002</v>
      </c>
      <c r="AN219" s="187">
        <f>IFERROR(((TablaPrincipal[[#This Row],[BALANCEADO ACUMULADO (LBS)]]/2.2046)/TablaPrincipal[[#This Row],[HAS]])/TablaPrincipal[[#This Row],[DIAS]],"-")</f>
        <v>65.480619331065753</v>
      </c>
      <c r="AO219" s="184">
        <f>IFERROR(TablaPrincipal[[#This Row],[BALANCEADO ACUMULADO (LBS)]]/TablaPrincipal[[#This Row],[LIBRAS TOTALES]],"-")</f>
        <v>1.2711715014326268</v>
      </c>
      <c r="AP219" s="184"/>
      <c r="AQ219" s="184"/>
      <c r="AR219" s="185">
        <f>TablaPrincipal[[#This Row],[LIBRAS RALEO PLANTA]]-TablaPrincipal[[#This Row],[LIBRAS RALEO CAMARONERA]]</f>
        <v>3488.6000000000058</v>
      </c>
      <c r="AS219" s="185">
        <f>TablaPrincipal[[#This Row],[LIBRAS PLANTA]]-TablaPrincipal[[#This Row],[LIBRAS CAMARONERA]]</f>
        <v>619.94999999999709</v>
      </c>
      <c r="AT219" s="187">
        <f>TablaPrincipal[[#This Row],[GRAMAJE RALEO PLANTA]]-TablaPrincipal[[#This Row],[GRAMAJE RALEO CAMARONERA]]</f>
        <v>2.6666666666667282E-2</v>
      </c>
      <c r="AU219" s="187">
        <f>TablaPrincipal[[#This Row],[GRAMOS PLANTA]]-TablaPrincipal[[#This Row],[GRAMAJE CAMARONERA]]</f>
        <v>-3.9999999999999147E-2</v>
      </c>
      <c r="AV219" s="183" t="str">
        <f>+VLOOKUP(TablaPrincipal[[#This Row],[CODIGO]],TablaCosechas[#All],10,0)</f>
        <v>ALFONSO GRUNAUER</v>
      </c>
      <c r="AW219" s="183" t="s">
        <v>303</v>
      </c>
      <c r="AX219" s="188" t="str">
        <f>+VLOOKUP(TablaPrincipal[[#This Row],[CODIGO]],TablaCosechas[#All],10,0)</f>
        <v>ALFONSO GRUNAUER</v>
      </c>
    </row>
    <row r="220" spans="1:50" hidden="1" x14ac:dyDescent="0.25">
      <c r="A220" s="196">
        <v>46103</v>
      </c>
      <c r="B220" s="183">
        <v>218</v>
      </c>
      <c r="C220" s="183">
        <f>YEAR(TablaPrincipal[[#This Row],[FECHA]])</f>
        <v>2026</v>
      </c>
      <c r="D220" s="183" t="s">
        <v>291</v>
      </c>
      <c r="E220" s="183" t="str">
        <f>UPPER(TEXT(TablaPrincipal[[#This Row],[FECHA]],"MMMM"))</f>
        <v>MARZO</v>
      </c>
      <c r="F220" s="183" t="str">
        <f>IFERROR(VLOOKUP(TablaPrincipal[[#This Row],[CODIGO]],COSECHAS!A:J,9,0),"-")</f>
        <v>06</v>
      </c>
      <c r="G220" s="183" t="str">
        <f>IFERROR(VLOOKUP(TablaPrincipal[[#This Row],[CODIGO]],COSECHAS!A:I,8,0),"-")</f>
        <v>PAMPANO</v>
      </c>
      <c r="H220" s="184">
        <f>IFERROR(VLOOKUP(TablaPrincipal[[#This Row],[CODIGO]],DATOS!A:B,2,0),"-")</f>
        <v>9.3000000000000007</v>
      </c>
      <c r="I220" s="183" t="str">
        <f>IFERROR(VLOOKUP(TablaPrincipal[[#This Row],[CODIGO]],Tabla8[[#Headers],[#Data]],3,0),"-")</f>
        <v>ASC-BAP</v>
      </c>
      <c r="J220" s="183">
        <f>IFERROR(TablaPrincipal[[#This Row],[FECHA]]-TablaPrincipal[[#This Row],[FECHA DE SIEMBRA]],"-")</f>
        <v>83</v>
      </c>
      <c r="K220" s="196">
        <f>VLOOKUP(TablaPrincipal[[#This Row],[CODIGO]]&amp;TablaPrincipal[[#This Row],[AGUAJE ]],Tabla4[#All],4,0)</f>
        <v>46020</v>
      </c>
      <c r="L220" s="183" t="str">
        <f>VLOOKUP(TablaPrincipal[[#This Row],[CODIGO]]&amp;TablaPrincipal[[#This Row],[AGUAJE ]],Tabla4[#All],15,0)</f>
        <v>MA 3 - PA 4</v>
      </c>
      <c r="M220" s="184">
        <f>VLOOKUP(TablaPrincipal[[#This Row],[CODIGO]]&amp;TablaPrincipal[[#This Row],[AGUAJE ]],Tabla4[#All],14,0)</f>
        <v>1.88</v>
      </c>
      <c r="N220" s="183">
        <v>15</v>
      </c>
      <c r="O220" s="170">
        <f>VLOOKUP(TablaPrincipal[[#This Row],[CODIGO]]&amp;TablaPrincipal[[#This Row],[AGUAJE ]],Tabla4[#All],5,0)</f>
        <v>1488000</v>
      </c>
      <c r="P220" s="221">
        <f>IFERROR(TablaPrincipal[[#This Row],[ANIM SEMBRADOS]]/TablaPrincipal[[#This Row],[HAS]],"-")</f>
        <v>160000</v>
      </c>
      <c r="Q220" s="222">
        <f>IFERROR(TablaPrincipal[[#This Row],[DENSIDAD]]/10000,"-")</f>
        <v>16</v>
      </c>
      <c r="R220" s="183" t="str">
        <f>VLOOKUP(TablaPrincipal[[#This Row],[CODIGO]]&amp;TablaPrincipal[[#This Row],[AGUAJE ]],Tabla4[#All],8,0)</f>
        <v>ACUATECSA/GENESIS</v>
      </c>
      <c r="S220" s="183" t="str">
        <f>VLOOKUP(TablaPrincipal[[#This Row],[CODIGO]]&amp;TablaPrincipal[[#This Row],[AGUAJE ]],Tabla4[#All],7,0)</f>
        <v>TEXCUMAR</v>
      </c>
      <c r="T220" s="183" t="str">
        <f>IF(ISNUMBER(FIND("/",TablaPrincipal[[#This Row],[LABORATORIO]])),"COMBINADO","UNICO")</f>
        <v>COMBINADO</v>
      </c>
      <c r="U2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27600</v>
      </c>
      <c r="V2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28233.190000000002</v>
      </c>
      <c r="W2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28.013333333333332</v>
      </c>
      <c r="Y220" s="185">
        <f>IFERROR(TablaPrincipal[[#This Row],[LIBRAS RALEO PLANTA]]/TablaPrincipal[[#This Row],[HAS]],"-")</f>
        <v>3035.8268817204303</v>
      </c>
      <c r="Z2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468037.5460397125</v>
      </c>
      <c r="AA22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25100</v>
      </c>
      <c r="AB2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26417.37</v>
      </c>
      <c r="AC220" s="186">
        <f>SUMIFS(COSECHAS!F:F,COSECHAS!A:A,'BASE 2026'!AW:AW,COSECHAS!G:G,"="&amp;A:A)</f>
        <v>36</v>
      </c>
      <c r="AD220" s="186">
        <f>SUMIFS(COSECHAS!M:M,COSECHAS!A:A,'BASE 2026'!AW:AW,COSECHAS!G:G,"="&amp;A:A)</f>
        <v>38.54</v>
      </c>
      <c r="AE220" s="185">
        <f>IFERROR(TablaPrincipal[[#This Row],[LIBRAS PLANTA]]/TablaPrincipal[[#This Row],[HAS]],"-")</f>
        <v>2840.5774193548382</v>
      </c>
      <c r="AF220" s="185">
        <f>IFERROR(TablaPrincipal[[#This Row],[LIBRAS PLANTA]]*454/TablaPrincipal[[#This Row],[GRAMOS PLANTA]],"-")</f>
        <v>311195.79605604568</v>
      </c>
      <c r="AG220" s="185">
        <f>TablaPrincipal[[#This Row],[LIBRAS RALEO PLANTA]]+TablaPrincipal[[#This Row],[LIBRAS PLANTA]]</f>
        <v>54650.559999999998</v>
      </c>
      <c r="AH220" s="185">
        <f>IFERROR(TablaPrincipal[[#This Row],[CAM COSECHADOS RALEO]]+TablaPrincipal[[#This Row],[CAM COSECHADOS]],"-")</f>
        <v>779233.34209575818</v>
      </c>
      <c r="AI220" s="185">
        <f>IFERROR((TablaPrincipal[[#This Row],[LIBRAS RALEO PLANTA]]+TablaPrincipal[[#This Row],[LIBRAS PLANTA]])/TablaPrincipal[[#This Row],[HAS]],"0")</f>
        <v>5876.4043010752684</v>
      </c>
      <c r="AJ220" s="186">
        <f t="shared" si="3"/>
        <v>3.2503614457831325</v>
      </c>
      <c r="AK220" s="186">
        <f>IFERROR(TablaPrincipal[[#This Row],[LBS/HA]]/TablaPrincipal[[#This Row],[DIAS]],"-")</f>
        <v>70.800051820183953</v>
      </c>
      <c r="AL220" s="186">
        <f>IFERROR(TablaPrincipal[[#This Row],[CAM COSECHADOS TOTALES]]/TablaPrincipal[[#This Row],[ANIM SEMBRADOS]]*100,"-")</f>
        <v>52.367832130091273</v>
      </c>
      <c r="AM220" s="185">
        <v>74680.824999999997</v>
      </c>
      <c r="AN220" s="187">
        <f>IFERROR(((TablaPrincipal[[#This Row],[BALANCEADO ACUMULADO (LBS)]]/2.2046)/TablaPrincipal[[#This Row],[HAS]])/TablaPrincipal[[#This Row],[DIAS]],"-")</f>
        <v>43.885218292524932</v>
      </c>
      <c r="AO220" s="184">
        <f>IFERROR(TablaPrincipal[[#This Row],[BALANCEADO ACUMULADO (LBS)]]/TablaPrincipal[[#This Row],[LIBRAS TOTALES]],"-")</f>
        <v>1.3665152745003895</v>
      </c>
      <c r="AP220" s="184"/>
      <c r="AQ220" s="184"/>
      <c r="AR220" s="185">
        <f>TablaPrincipal[[#This Row],[LIBRAS RALEO PLANTA]]-TablaPrincipal[[#This Row],[LIBRAS RALEO CAMARONERA]]</f>
        <v>633.19000000000233</v>
      </c>
      <c r="AS220" s="185">
        <f>TablaPrincipal[[#This Row],[LIBRAS PLANTA]]-TablaPrincipal[[#This Row],[LIBRAS CAMARONERA]]</f>
        <v>1317.369999999999</v>
      </c>
      <c r="AT220" s="187">
        <f>TablaPrincipal[[#This Row],[GRAMAJE RALEO PLANTA]]-TablaPrincipal[[#This Row],[GRAMAJE RALEO CAMARONERA]]</f>
        <v>1.6799999999999997</v>
      </c>
      <c r="AU220" s="187">
        <f>TablaPrincipal[[#This Row],[GRAMOS PLANTA]]-TablaPrincipal[[#This Row],[GRAMAJE CAMARONERA]]</f>
        <v>2.5399999999999991</v>
      </c>
      <c r="AV220" s="183" t="str">
        <f>+VLOOKUP(TablaPrincipal[[#This Row],[CODIGO]],TablaCosechas[#All],10,0)</f>
        <v>GUSTAVO CARRASCO</v>
      </c>
      <c r="AW220" s="183" t="s">
        <v>304</v>
      </c>
      <c r="AX220" s="188" t="str">
        <f>+VLOOKUP(TablaPrincipal[[#This Row],[CODIGO]],TablaCosechas[#All],10,0)</f>
        <v>GUSTAVO CARRASCO</v>
      </c>
    </row>
    <row r="221" spans="1:50" hidden="1" x14ac:dyDescent="0.25">
      <c r="A221" s="196">
        <v>46103</v>
      </c>
      <c r="B221" s="183">
        <v>219</v>
      </c>
      <c r="C221" s="183">
        <f>YEAR(TablaPrincipal[[#This Row],[FECHA]])</f>
        <v>2026</v>
      </c>
      <c r="D221" s="183" t="s">
        <v>291</v>
      </c>
      <c r="E221" s="183" t="str">
        <f>UPPER(TEXT(TablaPrincipal[[#This Row],[FECHA]],"MMMM"))</f>
        <v>MARZO</v>
      </c>
      <c r="F221" s="183" t="str">
        <f>IFERROR(VLOOKUP(TablaPrincipal[[#This Row],[CODIGO]],COSECHAS!A:J,9,0),"-")</f>
        <v>18</v>
      </c>
      <c r="G221" s="183" t="str">
        <f>IFERROR(VLOOKUP(TablaPrincipal[[#This Row],[CODIGO]],COSECHAS!A:I,8,0),"-")</f>
        <v>TAMBULERO</v>
      </c>
      <c r="H221" s="184">
        <f>IFERROR(VLOOKUP(TablaPrincipal[[#This Row],[CODIGO]],DATOS!A:B,2,0),"-")</f>
        <v>11.4</v>
      </c>
      <c r="I221" s="183" t="str">
        <f>IFERROR(VLOOKUP(TablaPrincipal[[#This Row],[CODIGO]],Tabla8[[#Headers],[#Data]],3,0),"-")</f>
        <v>ASC-BAP</v>
      </c>
      <c r="J221" s="183">
        <f>IFERROR(TablaPrincipal[[#This Row],[FECHA]]-TablaPrincipal[[#This Row],[FECHA DE SIEMBRA]],"-")</f>
        <v>84</v>
      </c>
      <c r="K221" s="196">
        <f>VLOOKUP(TablaPrincipal[[#This Row],[CODIGO]]&amp;TablaPrincipal[[#This Row],[AGUAJE ]],Tabla4[#All],4,0)</f>
        <v>46019</v>
      </c>
      <c r="L221" s="183" t="str">
        <f>VLOOKUP(TablaPrincipal[[#This Row],[CODIGO]]&amp;TablaPrincipal[[#This Row],[AGUAJE ]],Tabla4[#All],15,0)</f>
        <v>TA 5</v>
      </c>
      <c r="M221" s="184">
        <f>VLOOKUP(TablaPrincipal[[#This Row],[CODIGO]]&amp;TablaPrincipal[[#This Row],[AGUAJE ]],Tabla4[#All],14,0)</f>
        <v>0.4</v>
      </c>
      <c r="N221" s="183">
        <v>8</v>
      </c>
      <c r="O221" s="170">
        <f>VLOOKUP(TablaPrincipal[[#This Row],[CODIGO]]&amp;TablaPrincipal[[#This Row],[AGUAJE ]],Tabla4[#All],5,0)</f>
        <v>1824000</v>
      </c>
      <c r="P221" s="221">
        <f>IFERROR(TablaPrincipal[[#This Row],[ANIM SEMBRADOS]]/TablaPrincipal[[#This Row],[HAS]],"-")</f>
        <v>160000</v>
      </c>
      <c r="Q221" s="222">
        <f>IFERROR(TablaPrincipal[[#This Row],[DENSIDAD]]/10000,"-")</f>
        <v>16</v>
      </c>
      <c r="R221" s="183" t="str">
        <f>VLOOKUP(TablaPrincipal[[#This Row],[CODIGO]]&amp;TablaPrincipal[[#This Row],[AGUAJE ]],Tabla4[#All],8,0)</f>
        <v>AMBARTEK</v>
      </c>
      <c r="S221" s="183" t="str">
        <f>VLOOKUP(TablaPrincipal[[#This Row],[CODIGO]]&amp;TablaPrincipal[[#This Row],[AGUAJE ]],Tabla4[#All],7,0)</f>
        <v>TEXCUMAR</v>
      </c>
      <c r="T221" s="183" t="str">
        <f>IF(ISNUMBER(FIND("/",TablaPrincipal[[#This Row],[LABORATORIO]])),"COMBINADO","UNICO")</f>
        <v>UNICO</v>
      </c>
      <c r="U2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48200</v>
      </c>
      <c r="V2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51122.91</v>
      </c>
      <c r="W2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24.333333333333332</v>
      </c>
      <c r="X2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25.736666666666668</v>
      </c>
      <c r="Y221" s="185">
        <f>IFERROR(TablaPrincipal[[#This Row],[LIBRAS RALEO PLANTA]]/TablaPrincipal[[#This Row],[HAS]],"-")</f>
        <v>4484.4657894736847</v>
      </c>
      <c r="Z2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911184.17236626311</v>
      </c>
      <c r="AA22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57150</v>
      </c>
      <c r="AB2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60049.120000000003</v>
      </c>
      <c r="AC221" s="186">
        <f>SUMIFS(COSECHAS!F:F,COSECHAS!A:A,'BASE 2026'!AW:AW,COSECHAS!G:G,"="&amp;A:A)</f>
        <v>36</v>
      </c>
      <c r="AD221" s="186">
        <f>SUMIFS(COSECHAS!M:M,COSECHAS!A:A,'BASE 2026'!AW:AW,COSECHAS!G:G,"="&amp;A:A)</f>
        <v>38.11</v>
      </c>
      <c r="AE221" s="185">
        <f>IFERROR(TablaPrincipal[[#This Row],[LIBRAS PLANTA]]/TablaPrincipal[[#This Row],[HAS]],"-")</f>
        <v>5267.4666666666672</v>
      </c>
      <c r="AF221" s="185">
        <f>IFERROR(TablaPrincipal[[#This Row],[LIBRAS PLANTA]]*454/TablaPrincipal[[#This Row],[GRAMOS PLANTA]],"-")</f>
        <v>715358.18630280765</v>
      </c>
      <c r="AG221" s="185">
        <f>TablaPrincipal[[#This Row],[LIBRAS RALEO PLANTA]]+TablaPrincipal[[#This Row],[LIBRAS PLANTA]]</f>
        <v>111172.03</v>
      </c>
      <c r="AH221" s="185">
        <f>IFERROR(TablaPrincipal[[#This Row],[CAM COSECHADOS RALEO]]+TablaPrincipal[[#This Row],[CAM COSECHADOS]],"-")</f>
        <v>1626542.3586690708</v>
      </c>
      <c r="AI221" s="185">
        <f>IFERROR((TablaPrincipal[[#This Row],[LIBRAS RALEO PLANTA]]+TablaPrincipal[[#This Row],[LIBRAS PLANTA]])/TablaPrincipal[[#This Row],[HAS]],"0")</f>
        <v>9751.93245614035</v>
      </c>
      <c r="AJ221" s="186">
        <f t="shared" si="3"/>
        <v>3.1758333333333333</v>
      </c>
      <c r="AK221" s="186">
        <f>IFERROR(TablaPrincipal[[#This Row],[LBS/HA]]/TablaPrincipal[[#This Row],[DIAS]],"-")</f>
        <v>116.09443400167083</v>
      </c>
      <c r="AL221" s="186">
        <f>IFERROR(TablaPrincipal[[#This Row],[CAM COSECHADOS TOTALES]]/TablaPrincipal[[#This Row],[ANIM SEMBRADOS]]*100,"-")</f>
        <v>89.174471418260453</v>
      </c>
      <c r="AM221" s="185">
        <v>155369.185</v>
      </c>
      <c r="AN221" s="187">
        <f>IFERROR(((TablaPrincipal[[#This Row],[BALANCEADO ACUMULADO (LBS)]]/2.2046)/TablaPrincipal[[#This Row],[HAS]])/TablaPrincipal[[#This Row],[DIAS]],"-")</f>
        <v>73.595446950710112</v>
      </c>
      <c r="AO221" s="184">
        <f>IFERROR(TablaPrincipal[[#This Row],[BALANCEADO ACUMULADO (LBS)]]/TablaPrincipal[[#This Row],[LIBRAS TOTALES]],"-")</f>
        <v>1.3975564267379124</v>
      </c>
      <c r="AP221" s="184"/>
      <c r="AQ221" s="184"/>
      <c r="AR221" s="185">
        <f>TablaPrincipal[[#This Row],[LIBRAS RALEO PLANTA]]-TablaPrincipal[[#This Row],[LIBRAS RALEO CAMARONERA]]</f>
        <v>2922.9100000000035</v>
      </c>
      <c r="AS221" s="185">
        <f>TablaPrincipal[[#This Row],[LIBRAS PLANTA]]-TablaPrincipal[[#This Row],[LIBRAS CAMARONERA]]</f>
        <v>2899.1200000000026</v>
      </c>
      <c r="AT221" s="187">
        <f>TablaPrincipal[[#This Row],[GRAMAJE RALEO PLANTA]]-TablaPrincipal[[#This Row],[GRAMAJE RALEO CAMARONERA]]</f>
        <v>1.403333333333336</v>
      </c>
      <c r="AU221" s="187">
        <f>TablaPrincipal[[#This Row],[GRAMOS PLANTA]]-TablaPrincipal[[#This Row],[GRAMAJE CAMARONERA]]</f>
        <v>2.1099999999999994</v>
      </c>
      <c r="AV221" s="183" t="str">
        <f>+VLOOKUP(TablaPrincipal[[#This Row],[CODIGO]],TablaCosechas[#All],10,0)</f>
        <v>ALFONSO GRUNAUER</v>
      </c>
      <c r="AW221" s="183" t="s">
        <v>305</v>
      </c>
      <c r="AX221" s="188" t="str">
        <f>+VLOOKUP(TablaPrincipal[[#This Row],[CODIGO]],TablaCosechas[#All],10,0)</f>
        <v>ALFONSO GRUNAUER</v>
      </c>
    </row>
    <row r="222" spans="1:50" hidden="1" x14ac:dyDescent="0.25">
      <c r="A222" s="196">
        <v>46104</v>
      </c>
      <c r="B222" s="183">
        <v>220</v>
      </c>
      <c r="C222" s="183">
        <f>YEAR(TablaPrincipal[[#This Row],[FECHA]])</f>
        <v>2026</v>
      </c>
      <c r="D222" s="183" t="s">
        <v>291</v>
      </c>
      <c r="E222" s="183" t="str">
        <f>UPPER(TEXT(TablaPrincipal[[#This Row],[FECHA]],"MMMM"))</f>
        <v>MARZO</v>
      </c>
      <c r="F222" s="183" t="str">
        <f>IFERROR(VLOOKUP(TablaPrincipal[[#This Row],[CODIGO]],COSECHAS!A:J,9,0),"-")</f>
        <v>17</v>
      </c>
      <c r="G222" s="183" t="str">
        <f>IFERROR(VLOOKUP(TablaPrincipal[[#This Row],[CODIGO]],COSECHAS!A:I,8,0),"-")</f>
        <v>PAMPANO</v>
      </c>
      <c r="H222" s="184">
        <f>IFERROR(VLOOKUP(TablaPrincipal[[#This Row],[CODIGO]],DATOS!A:B,2,0),"-")</f>
        <v>8.8000000000000007</v>
      </c>
      <c r="I222" s="183" t="str">
        <f>IFERROR(VLOOKUP(TablaPrincipal[[#This Row],[CODIGO]],Tabla8[[#Headers],[#Data]],3,0),"-")</f>
        <v>ASC-BAP</v>
      </c>
      <c r="J222" s="183">
        <f>IFERROR(TablaPrincipal[[#This Row],[FECHA]]-TablaPrincipal[[#This Row],[FECHA DE SIEMBRA]],"-")</f>
        <v>89</v>
      </c>
      <c r="K222" s="196">
        <f>VLOOKUP(TablaPrincipal[[#This Row],[CODIGO]]&amp;TablaPrincipal[[#This Row],[AGUAJE ]],Tabla4[#All],4,0)</f>
        <v>46015</v>
      </c>
      <c r="L222" s="183" t="str">
        <f>VLOOKUP(TablaPrincipal[[#This Row],[CODIGO]]&amp;TablaPrincipal[[#This Row],[AGUAJE ]],Tabla4[#All],15,0)</f>
        <v>PA 26</v>
      </c>
      <c r="M222" s="184">
        <f>VLOOKUP(TablaPrincipal[[#This Row],[CODIGO]]&amp;TablaPrincipal[[#This Row],[AGUAJE ]],Tabla4[#All],14,0)</f>
        <v>1.05</v>
      </c>
      <c r="N222" s="183">
        <v>7</v>
      </c>
      <c r="O222" s="170">
        <f>VLOOKUP(TablaPrincipal[[#This Row],[CODIGO]]&amp;TablaPrincipal[[#This Row],[AGUAJE ]],Tabla4[#All],5,0)</f>
        <v>1232000</v>
      </c>
      <c r="P222" s="221">
        <f>IFERROR(TablaPrincipal[[#This Row],[ANIM SEMBRADOS]]/TablaPrincipal[[#This Row],[HAS]],"-")</f>
        <v>140000</v>
      </c>
      <c r="Q222" s="222">
        <f>IFERROR(TablaPrincipal[[#This Row],[DENSIDAD]]/10000,"-")</f>
        <v>14</v>
      </c>
      <c r="R222" s="183" t="str">
        <f>VLOOKUP(TablaPrincipal[[#This Row],[CODIGO]]&amp;TablaPrincipal[[#This Row],[AGUAJE ]],Tabla4[#All],8,0)</f>
        <v>GENESIS</v>
      </c>
      <c r="S222" s="183" t="str">
        <f>VLOOKUP(TablaPrincipal[[#This Row],[CODIGO]]&amp;TablaPrincipal[[#This Row],[AGUAJE ]],Tabla4[#All],7,0)</f>
        <v>TEXCUMAR</v>
      </c>
      <c r="T222" s="183" t="str">
        <f>IF(ISNUMBER(FIND("/",TablaPrincipal[[#This Row],[LABORATORIO]])),"COMBINADO","UNICO")</f>
        <v>UNICO</v>
      </c>
      <c r="U2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24500</v>
      </c>
      <c r="V2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24893</v>
      </c>
      <c r="W2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24.666666666666668</v>
      </c>
      <c r="X2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27.613333333333333</v>
      </c>
      <c r="Y222" s="185">
        <f>IFERROR(TablaPrincipal[[#This Row],[LIBRAS RALEO PLANTA]]/TablaPrincipal[[#This Row],[HAS]],"-")</f>
        <v>2828.7499999999995</v>
      </c>
      <c r="Z2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414552.24257464625</v>
      </c>
      <c r="AA22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24400</v>
      </c>
      <c r="AB2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23496.14</v>
      </c>
      <c r="AC222" s="186">
        <f>SUMIFS(COSECHAS!F:F,COSECHAS!A:A,'BASE 2026'!AW:AW,COSECHAS!G:G,"="&amp;A:A)</f>
        <v>34</v>
      </c>
      <c r="AD222" s="186">
        <f>SUMIFS(COSECHAS!M:M,COSECHAS!A:A,'BASE 2026'!AW:AW,COSECHAS!G:G,"="&amp;A:A)</f>
        <v>34.72</v>
      </c>
      <c r="AE222" s="185">
        <f>IFERROR(TablaPrincipal[[#This Row],[LIBRAS PLANTA]]/TablaPrincipal[[#This Row],[HAS]],"-")</f>
        <v>2670.0159090909087</v>
      </c>
      <c r="AF222" s="185">
        <f>IFERROR(TablaPrincipal[[#This Row],[LIBRAS PLANTA]]*454/TablaPrincipal[[#This Row],[GRAMOS PLANTA]],"-")</f>
        <v>307236.3928571429</v>
      </c>
      <c r="AG222" s="185">
        <f>TablaPrincipal[[#This Row],[LIBRAS RALEO PLANTA]]+TablaPrincipal[[#This Row],[LIBRAS PLANTA]]</f>
        <v>48389.14</v>
      </c>
      <c r="AH222" s="185">
        <f>IFERROR(TablaPrincipal[[#This Row],[CAM COSECHADOS RALEO]]+TablaPrincipal[[#This Row],[CAM COSECHADOS]],"-")</f>
        <v>721788.63543178909</v>
      </c>
      <c r="AI222" s="185">
        <f>IFERROR((TablaPrincipal[[#This Row],[LIBRAS RALEO PLANTA]]+TablaPrincipal[[#This Row],[LIBRAS PLANTA]])/TablaPrincipal[[#This Row],[HAS]],"0")</f>
        <v>5498.7659090909083</v>
      </c>
      <c r="AJ222" s="186">
        <f t="shared" si="3"/>
        <v>2.7307865168539327</v>
      </c>
      <c r="AK222" s="186">
        <f>IFERROR(TablaPrincipal[[#This Row],[LBS/HA]]/TablaPrincipal[[#This Row],[DIAS]],"-")</f>
        <v>61.78388661899897</v>
      </c>
      <c r="AL222" s="186">
        <f>IFERROR(TablaPrincipal[[#This Row],[CAM COSECHADOS TOTALES]]/TablaPrincipal[[#This Row],[ANIM SEMBRADOS]]*100,"-")</f>
        <v>58.586739888943917</v>
      </c>
      <c r="AM222" s="185">
        <v>68893.75</v>
      </c>
      <c r="AN222" s="187">
        <f>IFERROR(((TablaPrincipal[[#This Row],[BALANCEADO ACUMULADO (LBS)]]/2.2046)/TablaPrincipal[[#This Row],[HAS]])/TablaPrincipal[[#This Row],[DIAS]],"-")</f>
        <v>39.900408580183857</v>
      </c>
      <c r="AO222" s="184">
        <f>IFERROR(TablaPrincipal[[#This Row],[BALANCEADO ACUMULADO (LBS)]]/TablaPrincipal[[#This Row],[LIBRAS TOTALES]],"-")</f>
        <v>1.423744046701388</v>
      </c>
      <c r="AP222" s="184"/>
      <c r="AQ222" s="184"/>
      <c r="AR222" s="185">
        <f>TablaPrincipal[[#This Row],[LIBRAS RALEO PLANTA]]-TablaPrincipal[[#This Row],[LIBRAS RALEO CAMARONERA]]</f>
        <v>393</v>
      </c>
      <c r="AS222" s="185">
        <f>TablaPrincipal[[#This Row],[LIBRAS PLANTA]]-TablaPrincipal[[#This Row],[LIBRAS CAMARONERA]]</f>
        <v>-903.86000000000058</v>
      </c>
      <c r="AT222" s="187">
        <f>TablaPrincipal[[#This Row],[GRAMAJE RALEO PLANTA]]-TablaPrincipal[[#This Row],[GRAMAJE RALEO CAMARONERA]]</f>
        <v>2.9466666666666654</v>
      </c>
      <c r="AU222" s="187">
        <f>TablaPrincipal[[#This Row],[GRAMOS PLANTA]]-TablaPrincipal[[#This Row],[GRAMAJE CAMARONERA]]</f>
        <v>0.71999999999999886</v>
      </c>
      <c r="AV222" s="183" t="str">
        <f>+VLOOKUP(TablaPrincipal[[#This Row],[CODIGO]],TablaCosechas[#All],10,0)</f>
        <v>GUSTAVO CARRASCO</v>
      </c>
      <c r="AW222" s="183" t="s">
        <v>306</v>
      </c>
      <c r="AX222" s="188" t="str">
        <f>+VLOOKUP(TablaPrincipal[[#This Row],[CODIGO]],TablaCosechas[#All],10,0)</f>
        <v>GUSTAVO CARRASCO</v>
      </c>
    </row>
    <row r="223" spans="1:50" hidden="1" x14ac:dyDescent="0.25">
      <c r="A223" s="196">
        <v>46105</v>
      </c>
      <c r="B223" s="183">
        <v>221</v>
      </c>
      <c r="C223" s="183">
        <f>YEAR(TablaPrincipal[[#This Row],[FECHA]])</f>
        <v>2026</v>
      </c>
      <c r="D223" s="183" t="s">
        <v>291</v>
      </c>
      <c r="E223" s="183" t="str">
        <f>UPPER(TEXT(TablaPrincipal[[#This Row],[FECHA]],"MMMM"))</f>
        <v>MARZO</v>
      </c>
      <c r="F223" s="183" t="str">
        <f>IFERROR(VLOOKUP(TablaPrincipal[[#This Row],[CODIGO]],COSECHAS!A:J,9,0),"-")</f>
        <v>24</v>
      </c>
      <c r="G223" s="183" t="str">
        <f>IFERROR(VLOOKUP(TablaPrincipal[[#This Row],[CODIGO]],COSECHAS!A:I,8,0),"-")</f>
        <v>DORADO</v>
      </c>
      <c r="H223" s="184">
        <f>IFERROR(VLOOKUP(TablaPrincipal[[#This Row],[CODIGO]],DATOS!A:B,2,0),"-")</f>
        <v>14.61</v>
      </c>
      <c r="I223" s="183" t="str">
        <f>IFERROR(VLOOKUP(TablaPrincipal[[#This Row],[CODIGO]],Tabla8[[#Headers],[#Data]],3,0),"-")</f>
        <v>ASC-BAP</v>
      </c>
      <c r="J223" s="183">
        <f>IFERROR(TablaPrincipal[[#This Row],[FECHA]]-TablaPrincipal[[#This Row],[FECHA DE SIEMBRA]],"-")</f>
        <v>88</v>
      </c>
      <c r="K223" s="196">
        <f>VLOOKUP(TablaPrincipal[[#This Row],[CODIGO]]&amp;TablaPrincipal[[#This Row],[AGUAJE ]],Tabla4[#All],4,0)</f>
        <v>46017</v>
      </c>
      <c r="L223" s="183" t="str">
        <f>VLOOKUP(TablaPrincipal[[#This Row],[CODIGO]]&amp;TablaPrincipal[[#This Row],[AGUAJE ]],Tabla4[#All],15,0)</f>
        <v>DO 6</v>
      </c>
      <c r="M223" s="184">
        <f>VLOOKUP(TablaPrincipal[[#This Row],[CODIGO]]&amp;TablaPrincipal[[#This Row],[AGUAJE ]],Tabla4[#All],14,0)</f>
        <v>0.67</v>
      </c>
      <c r="N223" s="183">
        <v>3</v>
      </c>
      <c r="O223" s="170">
        <f>VLOOKUP(TablaPrincipal[[#This Row],[CODIGO]]&amp;TablaPrincipal[[#This Row],[AGUAJE ]],Tabla4[#All],5,0)</f>
        <v>2600580</v>
      </c>
      <c r="P223" s="221">
        <f>IFERROR(TablaPrincipal[[#This Row],[ANIM SEMBRADOS]]/TablaPrincipal[[#This Row],[HAS]],"-")</f>
        <v>178000</v>
      </c>
      <c r="Q223" s="222">
        <f>IFERROR(TablaPrincipal[[#This Row],[DENSIDAD]]/10000,"-")</f>
        <v>17.8</v>
      </c>
      <c r="R223" s="183" t="str">
        <f>VLOOKUP(TablaPrincipal[[#This Row],[CODIGO]]&amp;TablaPrincipal[[#This Row],[AGUAJE ]],Tabla4[#All],8,0)</f>
        <v>GENESIS</v>
      </c>
      <c r="S223" s="183" t="str">
        <f>VLOOKUP(TablaPrincipal[[#This Row],[CODIGO]]&amp;TablaPrincipal[[#This Row],[AGUAJE ]],Tabla4[#All],7,0)</f>
        <v>TEXCUMAR</v>
      </c>
      <c r="T223" s="183" t="str">
        <f>IF(ISNUMBER(FIND("/",TablaPrincipal[[#This Row],[LABORATORIO]])),"COMBINADO","UNICO")</f>
        <v>UNICO</v>
      </c>
      <c r="U2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44000</v>
      </c>
      <c r="V2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44064.020000000004</v>
      </c>
      <c r="W2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29.75</v>
      </c>
      <c r="X2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33.090000000000003</v>
      </c>
      <c r="Y223" s="185">
        <f>IFERROR(TablaPrincipal[[#This Row],[LIBRAS RALEO PLANTA]]/TablaPrincipal[[#This Row],[HAS]],"-")</f>
        <v>3016.0177960301166</v>
      </c>
      <c r="Z2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623967.16751921817</v>
      </c>
      <c r="AA22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50600</v>
      </c>
      <c r="AB2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51469.99</v>
      </c>
      <c r="AC223" s="186">
        <f>SUMIFS(COSECHAS!F:F,COSECHAS!A:A,'BASE 2026'!AW:AW,COSECHAS!G:G,"="&amp;A:A)</f>
        <v>38</v>
      </c>
      <c r="AD223" s="186">
        <f>SUMIFS(COSECHAS!M:M,COSECHAS!A:A,'BASE 2026'!AW:AW,COSECHAS!G:G,"="&amp;A:A)</f>
        <v>38.18</v>
      </c>
      <c r="AE223" s="185">
        <f>IFERROR(TablaPrincipal[[#This Row],[LIBRAS PLANTA]]/TablaPrincipal[[#This Row],[HAS]],"-")</f>
        <v>3522.9288158795343</v>
      </c>
      <c r="AF223" s="185">
        <f>IFERROR(TablaPrincipal[[#This Row],[LIBRAS PLANTA]]*454/TablaPrincipal[[#This Row],[GRAMOS PLANTA]],"-")</f>
        <v>612031.83499214251</v>
      </c>
      <c r="AG223" s="185">
        <f>TablaPrincipal[[#This Row],[LIBRAS RALEO PLANTA]]+TablaPrincipal[[#This Row],[LIBRAS PLANTA]]</f>
        <v>95534.010000000009</v>
      </c>
      <c r="AH223" s="185">
        <f>IFERROR(TablaPrincipal[[#This Row],[CAM COSECHADOS RALEO]]+TablaPrincipal[[#This Row],[CAM COSECHADOS]],"-")</f>
        <v>1235999.0025113607</v>
      </c>
      <c r="AI223" s="185">
        <f>IFERROR((TablaPrincipal[[#This Row],[LIBRAS RALEO PLANTA]]+TablaPrincipal[[#This Row],[LIBRAS PLANTA]])/TablaPrincipal[[#This Row],[HAS]],"0")</f>
        <v>6538.9466119096514</v>
      </c>
      <c r="AJ223" s="186">
        <f t="shared" si="3"/>
        <v>3.0370454545454546</v>
      </c>
      <c r="AK223" s="186">
        <f>IFERROR(TablaPrincipal[[#This Row],[LBS/HA]]/TablaPrincipal[[#This Row],[DIAS]],"-")</f>
        <v>74.306211498973312</v>
      </c>
      <c r="AL223" s="186">
        <f>IFERROR(TablaPrincipal[[#This Row],[CAM COSECHADOS TOTALES]]/TablaPrincipal[[#This Row],[ANIM SEMBRADOS]]*100,"-")</f>
        <v>47.527820813486251</v>
      </c>
      <c r="AM223" s="185">
        <v>122465.53000000001</v>
      </c>
      <c r="AN223" s="187">
        <f>IFERROR(((TablaPrincipal[[#This Row],[BALANCEADO ACUMULADO (LBS)]]/2.2046)/TablaPrincipal[[#This Row],[HAS]])/TablaPrincipal[[#This Row],[DIAS]],"-")</f>
        <v>43.206707734428477</v>
      </c>
      <c r="AO223" s="184">
        <f>IFERROR(TablaPrincipal[[#This Row],[BALANCEADO ACUMULADO (LBS)]]/TablaPrincipal[[#This Row],[LIBRAS TOTALES]],"-")</f>
        <v>1.2819050514052535</v>
      </c>
      <c r="AP223" s="184"/>
      <c r="AQ223" s="184"/>
      <c r="AR223" s="185">
        <f>TablaPrincipal[[#This Row],[LIBRAS RALEO PLANTA]]-TablaPrincipal[[#This Row],[LIBRAS RALEO CAMARONERA]]</f>
        <v>64.020000000004075</v>
      </c>
      <c r="AS223" s="185">
        <f>TablaPrincipal[[#This Row],[LIBRAS PLANTA]]-TablaPrincipal[[#This Row],[LIBRAS CAMARONERA]]</f>
        <v>869.98999999999796</v>
      </c>
      <c r="AT223" s="187">
        <f>TablaPrincipal[[#This Row],[GRAMAJE RALEO PLANTA]]-TablaPrincipal[[#This Row],[GRAMAJE RALEO CAMARONERA]]</f>
        <v>3.3400000000000034</v>
      </c>
      <c r="AU223" s="187">
        <f>TablaPrincipal[[#This Row],[GRAMOS PLANTA]]-TablaPrincipal[[#This Row],[GRAMAJE CAMARONERA]]</f>
        <v>0.17999999999999972</v>
      </c>
      <c r="AV223" s="183" t="str">
        <f>+VLOOKUP(TablaPrincipal[[#This Row],[CODIGO]],TablaCosechas[#All],10,0)</f>
        <v>JOSE CEDEÑO</v>
      </c>
      <c r="AW223" s="183" t="s">
        <v>307</v>
      </c>
      <c r="AX223" s="188" t="str">
        <f>+VLOOKUP(TablaPrincipal[[#This Row],[CODIGO]],TablaCosechas[#All],10,0)</f>
        <v>JOSE CEDEÑO</v>
      </c>
    </row>
    <row r="224" spans="1:50" hidden="1" x14ac:dyDescent="0.25">
      <c r="A224" s="196">
        <v>46105</v>
      </c>
      <c r="B224" s="183">
        <v>222</v>
      </c>
      <c r="C224" s="183">
        <f>YEAR(TablaPrincipal[[#This Row],[FECHA]])</f>
        <v>2026</v>
      </c>
      <c r="D224" s="183" t="s">
        <v>291</v>
      </c>
      <c r="E224" s="183" t="str">
        <f>UPPER(TEXT(TablaPrincipal[[#This Row],[FECHA]],"MMMM"))</f>
        <v>MARZO</v>
      </c>
      <c r="F224" s="183" t="str">
        <f>IFERROR(VLOOKUP(TablaPrincipal[[#This Row],[CODIGO]],COSECHAS!A:J,9,0),"-")</f>
        <v>26</v>
      </c>
      <c r="G224" s="183" t="str">
        <f>IFERROR(VLOOKUP(TablaPrincipal[[#This Row],[CODIGO]],COSECHAS!A:I,8,0),"-")</f>
        <v>DORADO</v>
      </c>
      <c r="H224" s="184">
        <f>IFERROR(VLOOKUP(TablaPrincipal[[#This Row],[CODIGO]],DATOS!A:B,2,0),"-")</f>
        <v>6.91</v>
      </c>
      <c r="I224" s="183" t="str">
        <f>IFERROR(VLOOKUP(TablaPrincipal[[#This Row],[CODIGO]],Tabla8[[#Headers],[#Data]],3,0),"-")</f>
        <v>ASC-BAP</v>
      </c>
      <c r="J224" s="183">
        <f>IFERROR(TablaPrincipal[[#This Row],[FECHA]]-TablaPrincipal[[#This Row],[FECHA DE SIEMBRA]],"-")</f>
        <v>79</v>
      </c>
      <c r="K224" s="196">
        <f>VLOOKUP(TablaPrincipal[[#This Row],[CODIGO]]&amp;TablaPrincipal[[#This Row],[AGUAJE ]],Tabla4[#All],4,0)</f>
        <v>46026</v>
      </c>
      <c r="L224" s="183" t="str">
        <f>VLOOKUP(TablaPrincipal[[#This Row],[CODIGO]]&amp;TablaPrincipal[[#This Row],[AGUAJE ]],Tabla4[#All],15,0)</f>
        <v>DO 13</v>
      </c>
      <c r="M224" s="184">
        <f>VLOOKUP(TablaPrincipal[[#This Row],[CODIGO]]&amp;TablaPrincipal[[#This Row],[AGUAJE ]],Tabla4[#All],14,0)</f>
        <v>1.28</v>
      </c>
      <c r="N224" s="183">
        <v>9</v>
      </c>
      <c r="O224" s="170">
        <f>VLOOKUP(TablaPrincipal[[#This Row],[CODIGO]]&amp;TablaPrincipal[[#This Row],[AGUAJE ]],Tabla4[#All],5,0)</f>
        <v>1174700</v>
      </c>
      <c r="P224" s="221">
        <f>IFERROR(TablaPrincipal[[#This Row],[ANIM SEMBRADOS]]/TablaPrincipal[[#This Row],[HAS]],"-")</f>
        <v>170000</v>
      </c>
      <c r="Q224" s="222">
        <f>IFERROR(TablaPrincipal[[#This Row],[DENSIDAD]]/10000,"-")</f>
        <v>17</v>
      </c>
      <c r="R224" s="183" t="str">
        <f>VLOOKUP(TablaPrincipal[[#This Row],[CODIGO]]&amp;TablaPrincipal[[#This Row],[AGUAJE ]],Tabla4[#All],8,0)</f>
        <v>GENESIS</v>
      </c>
      <c r="S224" s="183" t="str">
        <f>VLOOKUP(TablaPrincipal[[#This Row],[CODIGO]]&amp;TablaPrincipal[[#This Row],[AGUAJE ]],Tabla4[#All],7,0)</f>
        <v>TEXCUMAR</v>
      </c>
      <c r="T224" s="183" t="str">
        <f>IF(ISNUMBER(FIND("/",TablaPrincipal[[#This Row],[LABORATORIO]])),"COMBINADO","UNICO")</f>
        <v>UNICO</v>
      </c>
      <c r="U2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21000</v>
      </c>
      <c r="V2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20117.71</v>
      </c>
      <c r="W2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25.549999999999997</v>
      </c>
      <c r="Y224" s="185">
        <f>IFERROR(TablaPrincipal[[#This Row],[LIBRAS RALEO PLANTA]]/TablaPrincipal[[#This Row],[HAS]],"-")</f>
        <v>2911.3907380607811</v>
      </c>
      <c r="Z2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359530.87521777005</v>
      </c>
      <c r="AA22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31300</v>
      </c>
      <c r="AB2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34077.879999999997</v>
      </c>
      <c r="AC224" s="186">
        <f>SUMIFS(COSECHAS!F:F,COSECHAS!A:A,'BASE 2026'!AW:AW,COSECHAS!G:G,"="&amp;A:A)</f>
        <v>40</v>
      </c>
      <c r="AD224" s="186">
        <f>SUMIFS(COSECHAS!M:M,COSECHAS!A:A,'BASE 2026'!AW:AW,COSECHAS!G:G,"="&amp;A:A)</f>
        <v>44.96</v>
      </c>
      <c r="AE224" s="185">
        <f>IFERROR(TablaPrincipal[[#This Row],[LIBRAS PLANTA]]/TablaPrincipal[[#This Row],[HAS]],"-")</f>
        <v>4931.675832127351</v>
      </c>
      <c r="AF224" s="185">
        <f>IFERROR(TablaPrincipal[[#This Row],[LIBRAS PLANTA]]*454/TablaPrincipal[[#This Row],[GRAMOS PLANTA]],"-")</f>
        <v>344113.82384341635</v>
      </c>
      <c r="AG224" s="185">
        <f>TablaPrincipal[[#This Row],[LIBRAS RALEO PLANTA]]+TablaPrincipal[[#This Row],[LIBRAS PLANTA]]</f>
        <v>54195.59</v>
      </c>
      <c r="AH224" s="185">
        <f>IFERROR(TablaPrincipal[[#This Row],[CAM COSECHADOS RALEO]]+TablaPrincipal[[#This Row],[CAM COSECHADOS]],"-")</f>
        <v>703644.6990611864</v>
      </c>
      <c r="AI224" s="185">
        <f>IFERROR((TablaPrincipal[[#This Row],[LIBRAS RALEO PLANTA]]+TablaPrincipal[[#This Row],[LIBRAS PLANTA]])/TablaPrincipal[[#This Row],[HAS]],"0")</f>
        <v>7843.0665701881326</v>
      </c>
      <c r="AJ224" s="186">
        <f t="shared" si="3"/>
        <v>3.9837974683544304</v>
      </c>
      <c r="AK224" s="186">
        <f>IFERROR(TablaPrincipal[[#This Row],[LBS/HA]]/TablaPrincipal[[#This Row],[DIAS]],"-")</f>
        <v>99.279323673267498</v>
      </c>
      <c r="AL224" s="186">
        <f>IFERROR(TablaPrincipal[[#This Row],[CAM COSECHADOS TOTALES]]/TablaPrincipal[[#This Row],[ANIM SEMBRADOS]]*100,"-")</f>
        <v>59.89994884320987</v>
      </c>
      <c r="AM224" s="185">
        <v>66909.61</v>
      </c>
      <c r="AN224" s="187">
        <f>IFERROR(((TablaPrincipal[[#This Row],[BALANCEADO ACUMULADO (LBS)]]/2.2046)/TablaPrincipal[[#This Row],[HAS]])/TablaPrincipal[[#This Row],[DIAS]],"-")</f>
        <v>55.597281503599625</v>
      </c>
      <c r="AO224" s="184">
        <f>IFERROR(TablaPrincipal[[#This Row],[BALANCEADO ACUMULADO (LBS)]]/TablaPrincipal[[#This Row],[LIBRAS TOTALES]],"-")</f>
        <v>1.2345951026642574</v>
      </c>
      <c r="AP224" s="184"/>
      <c r="AQ224" s="184"/>
      <c r="AR224" s="185">
        <f>TablaPrincipal[[#This Row],[LIBRAS RALEO PLANTA]]-TablaPrincipal[[#This Row],[LIBRAS RALEO CAMARONERA]]</f>
        <v>-882.29000000000087</v>
      </c>
      <c r="AS224" s="185">
        <f>TablaPrincipal[[#This Row],[LIBRAS PLANTA]]-TablaPrincipal[[#This Row],[LIBRAS CAMARONERA]]</f>
        <v>2777.8799999999974</v>
      </c>
      <c r="AT224" s="187">
        <f>TablaPrincipal[[#This Row],[GRAMAJE RALEO PLANTA]]-TablaPrincipal[[#This Row],[GRAMAJE RALEO CAMARONERA]]</f>
        <v>0.54999999999999716</v>
      </c>
      <c r="AU224" s="187">
        <f>TablaPrincipal[[#This Row],[GRAMOS PLANTA]]-TablaPrincipal[[#This Row],[GRAMAJE CAMARONERA]]</f>
        <v>4.9600000000000009</v>
      </c>
      <c r="AV224" s="183" t="str">
        <f>+VLOOKUP(TablaPrincipal[[#This Row],[CODIGO]],TablaCosechas[#All],10,0)</f>
        <v>JOSE CEDEÑO</v>
      </c>
      <c r="AW224" s="183" t="s">
        <v>308</v>
      </c>
      <c r="AX224" s="188" t="str">
        <f>+VLOOKUP(TablaPrincipal[[#This Row],[CODIGO]],TablaCosechas[#All],10,0)</f>
        <v>JOSE CEDEÑO</v>
      </c>
    </row>
    <row r="225" spans="1:50" hidden="1" x14ac:dyDescent="0.25">
      <c r="A225" s="196">
        <v>46105</v>
      </c>
      <c r="B225" s="183">
        <v>223</v>
      </c>
      <c r="C225" s="183">
        <f>YEAR(TablaPrincipal[[#This Row],[FECHA]])</f>
        <v>2026</v>
      </c>
      <c r="D225" s="183" t="s">
        <v>291</v>
      </c>
      <c r="E225" s="183" t="str">
        <f>UPPER(TEXT(TablaPrincipal[[#This Row],[FECHA]],"MMMM"))</f>
        <v>MARZO</v>
      </c>
      <c r="F225" s="183" t="str">
        <f>IFERROR(VLOOKUP(TablaPrincipal[[#This Row],[CODIGO]],COSECHAS!A:J,9,0),"-")</f>
        <v>08</v>
      </c>
      <c r="G225" s="183" t="str">
        <f>IFERROR(VLOOKUP(TablaPrincipal[[#This Row],[CODIGO]],COSECHAS!A:I,8,0),"-")</f>
        <v>TAMBULERO</v>
      </c>
      <c r="H225" s="184">
        <f>IFERROR(VLOOKUP(TablaPrincipal[[#This Row],[CODIGO]],DATOS!A:B,2,0),"-")</f>
        <v>8</v>
      </c>
      <c r="I225" s="183" t="str">
        <f>IFERROR(VLOOKUP(TablaPrincipal[[#This Row],[CODIGO]],Tabla8[[#Headers],[#Data]],3,0),"-")</f>
        <v>ASC-BAP</v>
      </c>
      <c r="J225" s="183">
        <f>IFERROR(TablaPrincipal[[#This Row],[FECHA]]-TablaPrincipal[[#This Row],[FECHA DE SIEMBRA]],"-")</f>
        <v>66</v>
      </c>
      <c r="K225" s="196">
        <f>VLOOKUP(TablaPrincipal[[#This Row],[CODIGO]]&amp;TablaPrincipal[[#This Row],[AGUAJE ]],Tabla4[#All],4,0)</f>
        <v>46039</v>
      </c>
      <c r="L225" s="183" t="str">
        <f>VLOOKUP(TablaPrincipal[[#This Row],[CODIGO]]&amp;TablaPrincipal[[#This Row],[AGUAJE ]],Tabla4[#All],15,0)</f>
        <v>TA PC 9</v>
      </c>
      <c r="M225" s="184">
        <f>VLOOKUP(TablaPrincipal[[#This Row],[CODIGO]]&amp;TablaPrincipal[[#This Row],[AGUAJE ]],Tabla4[#All],14,0)</f>
        <v>5</v>
      </c>
      <c r="N225" s="183">
        <v>5</v>
      </c>
      <c r="O225" s="170">
        <f>VLOOKUP(TablaPrincipal[[#This Row],[CODIGO]]&amp;TablaPrincipal[[#This Row],[AGUAJE ]],Tabla4[#All],5,0)</f>
        <v>1440000</v>
      </c>
      <c r="P225" s="221">
        <f>IFERROR(TablaPrincipal[[#This Row],[ANIM SEMBRADOS]]/TablaPrincipal[[#This Row],[HAS]],"-")</f>
        <v>180000</v>
      </c>
      <c r="Q225" s="222">
        <f>IFERROR(TablaPrincipal[[#This Row],[DENSIDAD]]/10000,"-")</f>
        <v>18</v>
      </c>
      <c r="R225" s="183" t="str">
        <f>VLOOKUP(TablaPrincipal[[#This Row],[CODIGO]]&amp;TablaPrincipal[[#This Row],[AGUAJE ]],Tabla4[#All],8,0)</f>
        <v>LARVASLAB</v>
      </c>
      <c r="S225" s="183" t="str">
        <f>VLOOKUP(TablaPrincipal[[#This Row],[CODIGO]]&amp;TablaPrincipal[[#This Row],[AGUAJE ]],Tabla4[#All],7,0)</f>
        <v>TEXCUMAR</v>
      </c>
      <c r="T225" s="183" t="str">
        <f>IF(ISNUMBER(FIND("/",TablaPrincipal[[#This Row],[LABORATORIO]])),"COMBINADO","UNICO")</f>
        <v>UNICO</v>
      </c>
      <c r="U2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36950</v>
      </c>
      <c r="V2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39503.1</v>
      </c>
      <c r="W2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25.666666666666668</v>
      </c>
      <c r="X2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26.83666666666667</v>
      </c>
      <c r="Y225" s="185">
        <f>IFERROR(TablaPrincipal[[#This Row],[LIBRAS RALEO PLANTA]]/TablaPrincipal[[#This Row],[HAS]],"-")</f>
        <v>4937.8874999999998</v>
      </c>
      <c r="Z2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697378.81078599533</v>
      </c>
      <c r="AA22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42300</v>
      </c>
      <c r="AB2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45724.61</v>
      </c>
      <c r="AC225" s="186">
        <f>SUMIFS(COSECHAS!F:F,COSECHAS!A:A,'BASE 2026'!AW:AW,COSECHAS!G:G,"="&amp;A:A)</f>
        <v>38</v>
      </c>
      <c r="AD225" s="186">
        <f>SUMIFS(COSECHAS!M:M,COSECHAS!A:A,'BASE 2026'!AW:AW,COSECHAS!G:G,"="&amp;A:A)</f>
        <v>40.76</v>
      </c>
      <c r="AE225" s="185">
        <f>IFERROR(TablaPrincipal[[#This Row],[LIBRAS PLANTA]]/TablaPrincipal[[#This Row],[HAS]],"-")</f>
        <v>5715.5762500000001</v>
      </c>
      <c r="AF225" s="185">
        <f>IFERROR(TablaPrincipal[[#This Row],[LIBRAS PLANTA]]*454/TablaPrincipal[[#This Row],[GRAMOS PLANTA]],"-")</f>
        <v>509297.66781158006</v>
      </c>
      <c r="AG225" s="185">
        <f>TablaPrincipal[[#This Row],[LIBRAS RALEO PLANTA]]+TablaPrincipal[[#This Row],[LIBRAS PLANTA]]</f>
        <v>85227.709999999992</v>
      </c>
      <c r="AH225" s="185">
        <f>IFERROR(TablaPrincipal[[#This Row],[CAM COSECHADOS RALEO]]+TablaPrincipal[[#This Row],[CAM COSECHADOS]],"-")</f>
        <v>1206676.4785975753</v>
      </c>
      <c r="AI225" s="185">
        <f>IFERROR((TablaPrincipal[[#This Row],[LIBRAS RALEO PLANTA]]+TablaPrincipal[[#This Row],[LIBRAS PLANTA]])/TablaPrincipal[[#This Row],[HAS]],"0")</f>
        <v>10653.463749999999</v>
      </c>
      <c r="AJ225" s="186">
        <f t="shared" si="3"/>
        <v>4.3230303030303023</v>
      </c>
      <c r="AK225" s="186">
        <f>IFERROR(TablaPrincipal[[#This Row],[LBS/HA]]/TablaPrincipal[[#This Row],[DIAS]],"-")</f>
        <v>161.4161174242424</v>
      </c>
      <c r="AL225" s="186">
        <f>IFERROR(TablaPrincipal[[#This Row],[CAM COSECHADOS TOTALES]]/TablaPrincipal[[#This Row],[ANIM SEMBRADOS]]*100,"-")</f>
        <v>83.796977680387172</v>
      </c>
      <c r="AM225" s="185">
        <v>102403.67</v>
      </c>
      <c r="AN225" s="187">
        <f>IFERROR(((TablaPrincipal[[#This Row],[BALANCEADO ACUMULADO (LBS)]]/2.2046)/TablaPrincipal[[#This Row],[HAS]])/TablaPrincipal[[#This Row],[DIAS]],"-")</f>
        <v>87.973484848484844</v>
      </c>
      <c r="AO225" s="184">
        <f>IFERROR(TablaPrincipal[[#This Row],[BALANCEADO ACUMULADO (LBS)]]/TablaPrincipal[[#This Row],[LIBRAS TOTALES]],"-")</f>
        <v>1.2015302300155666</v>
      </c>
      <c r="AP225" s="184"/>
      <c r="AQ225" s="184"/>
      <c r="AR225" s="185">
        <f>TablaPrincipal[[#This Row],[LIBRAS RALEO PLANTA]]-TablaPrincipal[[#This Row],[LIBRAS RALEO CAMARONERA]]</f>
        <v>2553.0999999999985</v>
      </c>
      <c r="AS225" s="185">
        <f>TablaPrincipal[[#This Row],[LIBRAS PLANTA]]-TablaPrincipal[[#This Row],[LIBRAS CAMARONERA]]</f>
        <v>3424.6100000000006</v>
      </c>
      <c r="AT225" s="187">
        <f>TablaPrincipal[[#This Row],[GRAMAJE RALEO PLANTA]]-TablaPrincipal[[#This Row],[GRAMAJE RALEO CAMARONERA]]</f>
        <v>1.1700000000000017</v>
      </c>
      <c r="AU225" s="187">
        <f>TablaPrincipal[[#This Row],[GRAMOS PLANTA]]-TablaPrincipal[[#This Row],[GRAMAJE CAMARONERA]]</f>
        <v>2.759999999999998</v>
      </c>
      <c r="AV225" s="183" t="str">
        <f>+VLOOKUP(TablaPrincipal[[#This Row],[CODIGO]],TablaCosechas[#All],10,0)</f>
        <v>ALFONSO GRUNAUER</v>
      </c>
      <c r="AW225" s="183" t="s">
        <v>143</v>
      </c>
      <c r="AX225" s="188" t="str">
        <f>+VLOOKUP(TablaPrincipal[[#This Row],[CODIGO]],TablaCosechas[#All],10,0)</f>
        <v>ALFONSO GRUNAUER</v>
      </c>
    </row>
    <row r="226" spans="1:50" hidden="1" x14ac:dyDescent="0.25">
      <c r="A226" s="196">
        <v>46106</v>
      </c>
      <c r="B226" s="183">
        <v>224</v>
      </c>
      <c r="C226" s="183">
        <f>YEAR(TablaPrincipal[[#This Row],[FECHA]])</f>
        <v>2026</v>
      </c>
      <c r="D226" s="183" t="s">
        <v>291</v>
      </c>
      <c r="E226" s="183" t="str">
        <f>UPPER(TEXT(TablaPrincipal[[#This Row],[FECHA]],"MMMM"))</f>
        <v>MARZO</v>
      </c>
      <c r="F226" s="183" t="str">
        <f>IFERROR(VLOOKUP(TablaPrincipal[[#This Row],[CODIGO]],COSECHAS!A:J,9,0),"-")</f>
        <v>05</v>
      </c>
      <c r="G226" s="183" t="str">
        <f>IFERROR(VLOOKUP(TablaPrincipal[[#This Row],[CODIGO]],COSECHAS!A:I,8,0),"-")</f>
        <v>DELFIN</v>
      </c>
      <c r="H226" s="184">
        <f>IFERROR(VLOOKUP(TablaPrincipal[[#This Row],[CODIGO]],DATOS!A:B,2,0),"-")</f>
        <v>7.67</v>
      </c>
      <c r="I226" s="183" t="str">
        <f>IFERROR(VLOOKUP(TablaPrincipal[[#This Row],[CODIGO]],Tabla8[[#Headers],[#Data]],3,0),"-")</f>
        <v>CONVENCIONAL</v>
      </c>
      <c r="J226" s="183">
        <f>IFERROR(TablaPrincipal[[#This Row],[FECHA]]-TablaPrincipal[[#This Row],[FECHA DE SIEMBRA]],"-")</f>
        <v>80</v>
      </c>
      <c r="K226" s="196">
        <f>VLOOKUP(TablaPrincipal[[#This Row],[CODIGO]]&amp;TablaPrincipal[[#This Row],[AGUAJE ]],Tabla4[#All],4,0)</f>
        <v>46026</v>
      </c>
      <c r="L226" s="183" t="str">
        <f>VLOOKUP(TablaPrincipal[[#This Row],[CODIGO]]&amp;TablaPrincipal[[#This Row],[AGUAJE ]],Tabla4[#All],15,0)</f>
        <v>DE 3</v>
      </c>
      <c r="M226" s="184">
        <f>VLOOKUP(TablaPrincipal[[#This Row],[CODIGO]]&amp;TablaPrincipal[[#This Row],[AGUAJE ]],Tabla4[#All],14,0)</f>
        <v>0.27</v>
      </c>
      <c r="N226" s="183">
        <v>15</v>
      </c>
      <c r="O226" s="170">
        <f>VLOOKUP(TablaPrincipal[[#This Row],[CODIGO]]&amp;TablaPrincipal[[#This Row],[AGUAJE ]],Tabla4[#All],5,0)</f>
        <v>1227200</v>
      </c>
      <c r="P226" s="221">
        <f>IFERROR(TablaPrincipal[[#This Row],[ANIM SEMBRADOS]]/TablaPrincipal[[#This Row],[HAS]],"-")</f>
        <v>160000</v>
      </c>
      <c r="Q226" s="222">
        <f>IFERROR(TablaPrincipal[[#This Row],[DENSIDAD]]/10000,"-")</f>
        <v>16</v>
      </c>
      <c r="R226" s="183" t="str">
        <f>VLOOKUP(TablaPrincipal[[#This Row],[CODIGO]]&amp;TablaPrincipal[[#This Row],[AGUAJE ]],Tabla4[#All],8,0)</f>
        <v>GRILSAN</v>
      </c>
      <c r="S226" s="183" t="str">
        <f>VLOOKUP(TablaPrincipal[[#This Row],[CODIGO]]&amp;TablaPrincipal[[#This Row],[AGUAJE ]],Tabla4[#All],7,0)</f>
        <v>AQUAGEN</v>
      </c>
      <c r="T226" s="183" t="str">
        <f>IF(ISNUMBER(FIND("/",TablaPrincipal[[#This Row],[LABORATORIO]])),"COMBINADO","UNICO")</f>
        <v>UNICO</v>
      </c>
      <c r="U2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20800</v>
      </c>
      <c r="V2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19873.620000000003</v>
      </c>
      <c r="W2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</v>
      </c>
      <c r="Y226" s="185">
        <f>IFERROR(TablaPrincipal[[#This Row],[LIBRAS RALEO PLANTA]]/TablaPrincipal[[#This Row],[HAS]],"-")</f>
        <v>2591.0847457627124</v>
      </c>
      <c r="Z2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392593.94235474017</v>
      </c>
      <c r="AA22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26700</v>
      </c>
      <c r="AB2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25806.079999999998</v>
      </c>
      <c r="AC226" s="186">
        <f>SUMIFS(COSECHAS!F:F,COSECHAS!A:A,'BASE 2026'!AW:AW,COSECHAS!G:G,"="&amp;A:A)</f>
        <v>33</v>
      </c>
      <c r="AD226" s="186">
        <f>SUMIFS(COSECHAS!M:M,COSECHAS!A:A,'BASE 2026'!AW:AW,COSECHAS!G:G,"="&amp;A:A)</f>
        <v>36.6</v>
      </c>
      <c r="AE226" s="185">
        <f>IFERROR(TablaPrincipal[[#This Row],[LIBRAS PLANTA]]/TablaPrincipal[[#This Row],[HAS]],"-")</f>
        <v>3364.5475880052149</v>
      </c>
      <c r="AF226" s="185">
        <f>IFERROR(TablaPrincipal[[#This Row],[LIBRAS PLANTA]]*454/TablaPrincipal[[#This Row],[GRAMOS PLANTA]],"-")</f>
        <v>320108.20546448079</v>
      </c>
      <c r="AG226" s="185">
        <f>TablaPrincipal[[#This Row],[LIBRAS RALEO PLANTA]]+TablaPrincipal[[#This Row],[LIBRAS PLANTA]]</f>
        <v>45679.7</v>
      </c>
      <c r="AH226" s="185">
        <f>IFERROR(TablaPrincipal[[#This Row],[CAM COSECHADOS RALEO]]+TablaPrincipal[[#This Row],[CAM COSECHADOS]],"-")</f>
        <v>712702.14781922102</v>
      </c>
      <c r="AI226" s="185">
        <f>IFERROR((TablaPrincipal[[#This Row],[LIBRAS RALEO PLANTA]]+TablaPrincipal[[#This Row],[LIBRAS PLANTA]])/TablaPrincipal[[#This Row],[HAS]],"0")</f>
        <v>5955.6323337679269</v>
      </c>
      <c r="AJ226" s="186">
        <f t="shared" si="3"/>
        <v>3.2025000000000001</v>
      </c>
      <c r="AK226" s="186">
        <f>IFERROR(TablaPrincipal[[#This Row],[LBS/HA]]/TablaPrincipal[[#This Row],[DIAS]],"-")</f>
        <v>74.445404172099089</v>
      </c>
      <c r="AL226" s="186">
        <f>IFERROR(TablaPrincipal[[#This Row],[CAM COSECHADOS TOTALES]]/TablaPrincipal[[#This Row],[ANIM SEMBRADOS]]*100,"-")</f>
        <v>58.075468368580594</v>
      </c>
      <c r="AM226" s="185">
        <v>65283.717500000006</v>
      </c>
      <c r="AN226" s="187">
        <f>IFERROR(((TablaPrincipal[[#This Row],[BALANCEADO ACUMULADO (LBS)]]/2.2046)/TablaPrincipal[[#This Row],[HAS]])/TablaPrincipal[[#This Row],[DIAS]],"-")</f>
        <v>48.260267275097782</v>
      </c>
      <c r="AO226" s="184">
        <f>IFERROR(TablaPrincipal[[#This Row],[BALANCEADO ACUMULADO (LBS)]]/TablaPrincipal[[#This Row],[LIBRAS TOTALES]],"-")</f>
        <v>1.4291625711202134</v>
      </c>
      <c r="AP226" s="184"/>
      <c r="AQ226" s="184"/>
      <c r="AR226" s="185">
        <f>TablaPrincipal[[#This Row],[LIBRAS RALEO PLANTA]]-TablaPrincipal[[#This Row],[LIBRAS RALEO CAMARONERA]]</f>
        <v>-926.37999999999738</v>
      </c>
      <c r="AS226" s="185">
        <f>TablaPrincipal[[#This Row],[LIBRAS PLANTA]]-TablaPrincipal[[#This Row],[LIBRAS CAMARONERA]]</f>
        <v>-893.92000000000189</v>
      </c>
      <c r="AT226" s="187">
        <f>TablaPrincipal[[#This Row],[GRAMAJE RALEO PLANTA]]-TablaPrincipal[[#This Row],[GRAMAJE RALEO CAMARONERA]]</f>
        <v>0.53999999999999915</v>
      </c>
      <c r="AU226" s="187">
        <f>TablaPrincipal[[#This Row],[GRAMOS PLANTA]]-TablaPrincipal[[#This Row],[GRAMAJE CAMARONERA]]</f>
        <v>3.6000000000000014</v>
      </c>
      <c r="AV226" s="183" t="str">
        <f>+VLOOKUP(TablaPrincipal[[#This Row],[CODIGO]],TablaCosechas[#All],10,0)</f>
        <v>CARLOS FLORES</v>
      </c>
      <c r="AW226" s="183" t="s">
        <v>309</v>
      </c>
      <c r="AX226" s="188" t="str">
        <f>+VLOOKUP(TablaPrincipal[[#This Row],[CODIGO]],TablaCosechas[#All],10,0)</f>
        <v>CARLOS FLORES</v>
      </c>
    </row>
    <row r="227" spans="1:50" hidden="1" x14ac:dyDescent="0.25">
      <c r="A227" s="196">
        <v>46106</v>
      </c>
      <c r="B227" s="183">
        <v>225</v>
      </c>
      <c r="C227" s="183">
        <f>YEAR(TablaPrincipal[[#This Row],[FECHA]])</f>
        <v>2026</v>
      </c>
      <c r="D227" s="183" t="s">
        <v>291</v>
      </c>
      <c r="E227" s="183" t="str">
        <f>UPPER(TEXT(TablaPrincipal[[#This Row],[FECHA]],"MMMM"))</f>
        <v>MARZO</v>
      </c>
      <c r="F227" s="183" t="str">
        <f>IFERROR(VLOOKUP(TablaPrincipal[[#This Row],[CODIGO]],COSECHAS!A:J,9,0),"-")</f>
        <v>13</v>
      </c>
      <c r="G227" s="183" t="str">
        <f>IFERROR(VLOOKUP(TablaPrincipal[[#This Row],[CODIGO]],COSECHAS!A:I,8,0),"-")</f>
        <v>GUATO</v>
      </c>
      <c r="H227" s="184">
        <f>IFERROR(VLOOKUP(TablaPrincipal[[#This Row],[CODIGO]],DATOS!A:B,2,0),"-")</f>
        <v>2.25</v>
      </c>
      <c r="I227" s="183" t="str">
        <f>IFERROR(VLOOKUP(TablaPrincipal[[#This Row],[CODIGO]],Tabla8[[#Headers],[#Data]],3,0),"-")</f>
        <v>CONVENCIONAL</v>
      </c>
      <c r="J227" s="183">
        <f>IFERROR(TablaPrincipal[[#This Row],[FECHA]]-TablaPrincipal[[#This Row],[FECHA DE SIEMBRA]],"-")</f>
        <v>82</v>
      </c>
      <c r="K227" s="196">
        <f>VLOOKUP(TablaPrincipal[[#This Row],[CODIGO]]&amp;TablaPrincipal[[#This Row],[AGUAJE ]],Tabla4[#All],4,0)</f>
        <v>46024</v>
      </c>
      <c r="L227" s="183" t="str">
        <f>VLOOKUP(TablaPrincipal[[#This Row],[CODIGO]]&amp;TablaPrincipal[[#This Row],[AGUAJE ]],Tabla4[#All],15,0)</f>
        <v>GT PC 6</v>
      </c>
      <c r="M227" s="184">
        <f>VLOOKUP(TablaPrincipal[[#This Row],[CODIGO]]&amp;TablaPrincipal[[#This Row],[AGUAJE ]],Tabla4[#All],14,0)</f>
        <v>0.4</v>
      </c>
      <c r="N227" s="183">
        <v>17</v>
      </c>
      <c r="O227" s="170">
        <f>VLOOKUP(TablaPrincipal[[#This Row],[CODIGO]]&amp;TablaPrincipal[[#This Row],[AGUAJE ]],Tabla4[#All],5,0)</f>
        <v>337500</v>
      </c>
      <c r="P227" s="221">
        <f>IFERROR(TablaPrincipal[[#This Row],[ANIM SEMBRADOS]]/TablaPrincipal[[#This Row],[HAS]],"-")</f>
        <v>150000</v>
      </c>
      <c r="Q227" s="222">
        <f>IFERROR(TablaPrincipal[[#This Row],[DENSIDAD]]/10000,"-")</f>
        <v>15</v>
      </c>
      <c r="R227" s="183" t="str">
        <f>VLOOKUP(TablaPrincipal[[#This Row],[CODIGO]]&amp;TablaPrincipal[[#This Row],[AGUAJE ]],Tabla4[#All],8,0)</f>
        <v>AQUANOVA</v>
      </c>
      <c r="S227" s="183" t="str">
        <f>VLOOKUP(TablaPrincipal[[#This Row],[CODIGO]]&amp;TablaPrincipal[[#This Row],[AGUAJE ]],Tabla4[#All],7,0)</f>
        <v>TEXCUMAR</v>
      </c>
      <c r="T227" s="183" t="str">
        <f>IF(ISNUMBER(FIND("/",TablaPrincipal[[#This Row],[LABORATORIO]])),"COMBINADO","UNICO")</f>
        <v>UNICO</v>
      </c>
      <c r="U2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6200</v>
      </c>
      <c r="V2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6860</v>
      </c>
      <c r="W2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2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27.84</v>
      </c>
      <c r="Y227" s="185">
        <f>IFERROR(TablaPrincipal[[#This Row],[LIBRAS RALEO PLANTA]]/TablaPrincipal[[#This Row],[HAS]],"-")</f>
        <v>3048.8888888888887</v>
      </c>
      <c r="Z2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113517.90008460321</v>
      </c>
      <c r="AA22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7600</v>
      </c>
      <c r="AB2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7794.52</v>
      </c>
      <c r="AC227" s="186">
        <f>SUMIFS(COSECHAS!F:F,COSECHAS!A:A,'BASE 2026'!AW:AW,COSECHAS!G:G,"="&amp;A:A)</f>
        <v>32</v>
      </c>
      <c r="AD227" s="186">
        <f>SUMIFS(COSECHAS!M:M,COSECHAS!A:A,'BASE 2026'!AW:AW,COSECHAS!G:G,"="&amp;A:A)</f>
        <v>30.9</v>
      </c>
      <c r="AE227" s="185">
        <f>IFERROR(TablaPrincipal[[#This Row],[LIBRAS PLANTA]]/TablaPrincipal[[#This Row],[HAS]],"-")</f>
        <v>3464.2311111111112</v>
      </c>
      <c r="AF227" s="185">
        <f>IFERROR(TablaPrincipal[[#This Row],[LIBRAS PLANTA]]*454/TablaPrincipal[[#This Row],[GRAMOS PLANTA]],"-")</f>
        <v>114521.42653721683</v>
      </c>
      <c r="AG227" s="185">
        <f>TablaPrincipal[[#This Row],[LIBRAS RALEO PLANTA]]+TablaPrincipal[[#This Row],[LIBRAS PLANTA]]</f>
        <v>14654.52</v>
      </c>
      <c r="AH227" s="185">
        <f>IFERROR(TablaPrincipal[[#This Row],[CAM COSECHADOS RALEO]]+TablaPrincipal[[#This Row],[CAM COSECHADOS]],"-")</f>
        <v>228039.32662182004</v>
      </c>
      <c r="AI227" s="185">
        <f>IFERROR((TablaPrincipal[[#This Row],[LIBRAS RALEO PLANTA]]+TablaPrincipal[[#This Row],[LIBRAS PLANTA]])/TablaPrincipal[[#This Row],[HAS]],"0")</f>
        <v>6513.12</v>
      </c>
      <c r="AJ227" s="186">
        <f t="shared" si="3"/>
        <v>2.6378048780487804</v>
      </c>
      <c r="AK227" s="186">
        <f>IFERROR(TablaPrincipal[[#This Row],[LBS/HA]]/TablaPrincipal[[#This Row],[DIAS]],"-")</f>
        <v>79.428292682926823</v>
      </c>
      <c r="AL227" s="186">
        <f>IFERROR(TablaPrincipal[[#This Row],[CAM COSECHADOS TOTALES]]/TablaPrincipal[[#This Row],[ANIM SEMBRADOS]]*100,"-")</f>
        <v>67.56720788794668</v>
      </c>
      <c r="AM227" s="185">
        <v>21660.195</v>
      </c>
      <c r="AN227" s="187">
        <f>IFERROR(((TablaPrincipal[[#This Row],[BALANCEADO ACUMULADO (LBS)]]/2.2046)/TablaPrincipal[[#This Row],[HAS]])/TablaPrincipal[[#This Row],[DIAS]],"-")</f>
        <v>53.252032520325209</v>
      </c>
      <c r="AO227" s="184">
        <f>IFERROR(TablaPrincipal[[#This Row],[BALANCEADO ACUMULADO (LBS)]]/TablaPrincipal[[#This Row],[LIBRAS TOTALES]],"-")</f>
        <v>1.4780555760270551</v>
      </c>
      <c r="AP227" s="184"/>
      <c r="AQ227" s="184"/>
      <c r="AR227" s="185">
        <f>TablaPrincipal[[#This Row],[LIBRAS RALEO PLANTA]]-TablaPrincipal[[#This Row],[LIBRAS RALEO CAMARONERA]]</f>
        <v>660</v>
      </c>
      <c r="AS227" s="185">
        <f>TablaPrincipal[[#This Row],[LIBRAS PLANTA]]-TablaPrincipal[[#This Row],[LIBRAS CAMARONERA]]</f>
        <v>194.52000000000044</v>
      </c>
      <c r="AT227" s="187">
        <f>TablaPrincipal[[#This Row],[GRAMAJE RALEO PLANTA]]-TablaPrincipal[[#This Row],[GRAMAJE RALEO CAMARONERA]]</f>
        <v>0.33999999999999986</v>
      </c>
      <c r="AU227" s="187">
        <f>TablaPrincipal[[#This Row],[GRAMOS PLANTA]]-TablaPrincipal[[#This Row],[GRAMAJE CAMARONERA]]</f>
        <v>-1.1000000000000014</v>
      </c>
      <c r="AV227" s="183" t="str">
        <f>+VLOOKUP(TablaPrincipal[[#This Row],[CODIGO]],TablaCosechas[#All],10,0)</f>
        <v>JULIO SANTOS</v>
      </c>
      <c r="AW227" s="183" t="s">
        <v>310</v>
      </c>
      <c r="AX227" s="188" t="str">
        <f>+VLOOKUP(TablaPrincipal[[#This Row],[CODIGO]],TablaCosechas[#All],10,0)</f>
        <v>JULIO SANTOS</v>
      </c>
    </row>
    <row r="228" spans="1:50" hidden="1" x14ac:dyDescent="0.25">
      <c r="A228" s="196">
        <v>46106</v>
      </c>
      <c r="B228" s="183">
        <v>226</v>
      </c>
      <c r="C228" s="183">
        <f>YEAR(TablaPrincipal[[#This Row],[FECHA]])</f>
        <v>2026</v>
      </c>
      <c r="D228" s="183" t="s">
        <v>291</v>
      </c>
      <c r="E228" s="183" t="str">
        <f>UPPER(TEXT(TablaPrincipal[[#This Row],[FECHA]],"MMMM"))</f>
        <v>MARZO</v>
      </c>
      <c r="F228" s="183" t="str">
        <f>IFERROR(VLOOKUP(TablaPrincipal[[#This Row],[CODIGO]],COSECHAS!A:J,9,0),"-")</f>
        <v>01</v>
      </c>
      <c r="G228" s="183" t="str">
        <f>IFERROR(VLOOKUP(TablaPrincipal[[#This Row],[CODIGO]],COSECHAS!A:I,8,0),"-")</f>
        <v>WAHOO</v>
      </c>
      <c r="H228" s="184">
        <f>IFERROR(VLOOKUP(TablaPrincipal[[#This Row],[CODIGO]],DATOS!A:B,2,0),"-")</f>
        <v>4.5</v>
      </c>
      <c r="I228" s="183" t="str">
        <f>IFERROR(VLOOKUP(TablaPrincipal[[#This Row],[CODIGO]],Tabla8[[#Headers],[#Data]],3,0),"-")</f>
        <v>CONVENCIONAL</v>
      </c>
      <c r="J228" s="183">
        <f>IFERROR(TablaPrincipal[[#This Row],[FECHA]]-TablaPrincipal[[#This Row],[FECHA DE SIEMBRA]],"-")</f>
        <v>76</v>
      </c>
      <c r="K228" s="196">
        <f>VLOOKUP(TablaPrincipal[[#This Row],[CODIGO]]&amp;TablaPrincipal[[#This Row],[AGUAJE ]],Tabla4[#All],4,0)</f>
        <v>46030</v>
      </c>
      <c r="L228" s="183" t="str">
        <f>VLOOKUP(TablaPrincipal[[#This Row],[CODIGO]]&amp;TablaPrincipal[[#This Row],[AGUAJE ]],Tabla4[#All],15,0)</f>
        <v>WA PS 9</v>
      </c>
      <c r="M228" s="184">
        <f>VLOOKUP(TablaPrincipal[[#This Row],[CODIGO]]&amp;TablaPrincipal[[#This Row],[AGUAJE ]],Tabla4[#All],14,0)</f>
        <v>1.35</v>
      </c>
      <c r="N228" s="183">
        <v>51</v>
      </c>
      <c r="O228" s="170">
        <f>VLOOKUP(TablaPrincipal[[#This Row],[CODIGO]]&amp;TablaPrincipal[[#This Row],[AGUAJE ]],Tabla4[#All],5,0)</f>
        <v>742500</v>
      </c>
      <c r="P228" s="221">
        <f>IFERROR(TablaPrincipal[[#This Row],[ANIM SEMBRADOS]]/TablaPrincipal[[#This Row],[HAS]],"-")</f>
        <v>165000</v>
      </c>
      <c r="Q228" s="222">
        <f>IFERROR(TablaPrincipal[[#This Row],[DENSIDAD]]/10000,"-")</f>
        <v>16.5</v>
      </c>
      <c r="R228" s="183" t="str">
        <f>VLOOKUP(TablaPrincipal[[#This Row],[CODIGO]]&amp;TablaPrincipal[[#This Row],[AGUAJE ]],Tabla4[#All],8,0)</f>
        <v>MEGALATINA</v>
      </c>
      <c r="S228" s="183" t="str">
        <f>VLOOKUP(TablaPrincipal[[#This Row],[CODIGO]]&amp;TablaPrincipal[[#This Row],[AGUAJE ]],Tabla4[#All],7,0)</f>
        <v>TEXCUMAR</v>
      </c>
      <c r="T228" s="183" t="str">
        <f>IF(ISNUMBER(FIND("/",TablaPrincipal[[#This Row],[LABORATORIO]])),"COMBINADO","UNICO")</f>
        <v>UNICO</v>
      </c>
      <c r="U2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28" s="185">
        <f>IFERROR(TablaPrincipal[[#This Row],[LIBRAS RALEO PLANTA]]/TablaPrincipal[[#This Row],[HAS]],"-")</f>
        <v>0</v>
      </c>
      <c r="Z2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2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17800</v>
      </c>
      <c r="AB2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20474.09</v>
      </c>
      <c r="AC228" s="186">
        <f>SUMIFS(COSECHAS!F:F,COSECHAS!A:A,'BASE 2026'!AW:AW,COSECHAS!G:G,"="&amp;A:A)</f>
        <v>18</v>
      </c>
      <c r="AD228" s="186">
        <f>SUMIFS(COSECHAS!M:M,COSECHAS!A:A,'BASE 2026'!AW:AW,COSECHAS!G:G,"="&amp;A:A)</f>
        <v>18.399999999999999</v>
      </c>
      <c r="AE228" s="185">
        <f>IFERROR(TablaPrincipal[[#This Row],[LIBRAS PLANTA]]/TablaPrincipal[[#This Row],[HAS]],"-")</f>
        <v>4549.7977777777778</v>
      </c>
      <c r="AF228" s="185">
        <f>IFERROR(TablaPrincipal[[#This Row],[LIBRAS PLANTA]]*454/TablaPrincipal[[#This Row],[GRAMOS PLANTA]],"-")</f>
        <v>505175.9163043478</v>
      </c>
      <c r="AG228" s="185">
        <f>TablaPrincipal[[#This Row],[LIBRAS RALEO PLANTA]]+TablaPrincipal[[#This Row],[LIBRAS PLANTA]]</f>
        <v>20474.09</v>
      </c>
      <c r="AH228" s="185">
        <f>IFERROR(TablaPrincipal[[#This Row],[CAM COSECHADOS RALEO]]+TablaPrincipal[[#This Row],[CAM COSECHADOS]],"-")</f>
        <v>505175.9163043478</v>
      </c>
      <c r="AI228" s="185">
        <f>IFERROR((TablaPrincipal[[#This Row],[LIBRAS RALEO PLANTA]]+TablaPrincipal[[#This Row],[LIBRAS PLANTA]])/TablaPrincipal[[#This Row],[HAS]],"0")</f>
        <v>4549.7977777777778</v>
      </c>
      <c r="AJ228" s="186">
        <f t="shared" si="3"/>
        <v>1.6947368421052629</v>
      </c>
      <c r="AK228" s="186">
        <f>IFERROR(TablaPrincipal[[#This Row],[LBS/HA]]/TablaPrincipal[[#This Row],[DIAS]],"-")</f>
        <v>59.865760233918131</v>
      </c>
      <c r="AL228" s="186">
        <f>IFERROR(TablaPrincipal[[#This Row],[CAM COSECHADOS TOTALES]]/TablaPrincipal[[#This Row],[ANIM SEMBRADOS]]*100,"-")</f>
        <v>68.037160445030011</v>
      </c>
      <c r="AM228" s="185">
        <v>31071.632400000002</v>
      </c>
      <c r="AN228" s="187">
        <f>IFERROR(((TablaPrincipal[[#This Row],[BALANCEADO ACUMULADO (LBS)]]/2.2046)/TablaPrincipal[[#This Row],[HAS]])/TablaPrincipal[[#This Row],[DIAS]],"-")</f>
        <v>41.210526315789473</v>
      </c>
      <c r="AO228" s="184">
        <f>IFERROR(TablaPrincipal[[#This Row],[BALANCEADO ACUMULADO (LBS)]]/TablaPrincipal[[#This Row],[LIBRAS TOTALES]],"-")</f>
        <v>1.5176074931779631</v>
      </c>
      <c r="AP228" s="184"/>
      <c r="AQ228" s="184"/>
      <c r="AR228" s="185">
        <f>TablaPrincipal[[#This Row],[LIBRAS RALEO PLANTA]]-TablaPrincipal[[#This Row],[LIBRAS RALEO CAMARONERA]]</f>
        <v>0</v>
      </c>
      <c r="AS228" s="185">
        <f>TablaPrincipal[[#This Row],[LIBRAS PLANTA]]-TablaPrincipal[[#This Row],[LIBRAS CAMARONERA]]</f>
        <v>2674.09</v>
      </c>
      <c r="AT228" s="187">
        <f>TablaPrincipal[[#This Row],[GRAMAJE RALEO PLANTA]]-TablaPrincipal[[#This Row],[GRAMAJE RALEO CAMARONERA]]</f>
        <v>0</v>
      </c>
      <c r="AU228" s="187">
        <f>TablaPrincipal[[#This Row],[GRAMOS PLANTA]]-TablaPrincipal[[#This Row],[GRAMAJE CAMARONERA]]</f>
        <v>0.39999999999999858</v>
      </c>
      <c r="AV228" s="183" t="str">
        <f>+VLOOKUP(TablaPrincipal[[#This Row],[CODIGO]],TablaCosechas[#All],10,0)</f>
        <v>JUNIOR ESQUIVEL</v>
      </c>
      <c r="AW228" s="183" t="s">
        <v>311</v>
      </c>
      <c r="AX228" s="188" t="str">
        <f>+VLOOKUP(TablaPrincipal[[#This Row],[CODIGO]],TablaCosechas[#All],10,0)</f>
        <v>JUNIOR ESQUIVEL</v>
      </c>
    </row>
    <row r="229" spans="1:50" hidden="1" x14ac:dyDescent="0.25">
      <c r="A229" s="196">
        <v>46107</v>
      </c>
      <c r="B229" s="183">
        <v>227</v>
      </c>
      <c r="C229" s="183">
        <f>YEAR(TablaPrincipal[[#This Row],[FECHA]])</f>
        <v>2026</v>
      </c>
      <c r="D229" s="183" t="s">
        <v>291</v>
      </c>
      <c r="E229" s="183" t="str">
        <f>UPPER(TEXT(TablaPrincipal[[#This Row],[FECHA]],"MMMM"))</f>
        <v>MARZO</v>
      </c>
      <c r="F229" s="183" t="str">
        <f>IFERROR(VLOOKUP(TablaPrincipal[[#This Row],[CODIGO]],COSECHAS!A:J,9,0),"-")</f>
        <v>12</v>
      </c>
      <c r="G229" s="183" t="str">
        <f>IFERROR(VLOOKUP(TablaPrincipal[[#This Row],[CODIGO]],COSECHAS!A:I,8,0),"-")</f>
        <v>GUATO</v>
      </c>
      <c r="H229" s="184">
        <f>IFERROR(VLOOKUP(TablaPrincipal[[#This Row],[CODIGO]],DATOS!A:B,2,0),"-")</f>
        <v>8</v>
      </c>
      <c r="I229" s="183" t="str">
        <f>IFERROR(VLOOKUP(TablaPrincipal[[#This Row],[CODIGO]],Tabla8[[#Headers],[#Data]],3,0),"-")</f>
        <v>CONVENCIONAL</v>
      </c>
      <c r="J229" s="183">
        <f>IFERROR(TablaPrincipal[[#This Row],[FECHA]]-TablaPrincipal[[#This Row],[FECHA DE SIEMBRA]],"-")</f>
        <v>83</v>
      </c>
      <c r="K229" s="196">
        <f>VLOOKUP(TablaPrincipal[[#This Row],[CODIGO]]&amp;TablaPrincipal[[#This Row],[AGUAJE ]],Tabla4[#All],4,0)</f>
        <v>46024</v>
      </c>
      <c r="L229" s="183" t="str">
        <f>VLOOKUP(TablaPrincipal[[#This Row],[CODIGO]]&amp;TablaPrincipal[[#This Row],[AGUAJE ]],Tabla4[#All],15,0)</f>
        <v>GT PC 6</v>
      </c>
      <c r="M229" s="184">
        <f>VLOOKUP(TablaPrincipal[[#This Row],[CODIGO]]&amp;TablaPrincipal[[#This Row],[AGUAJE ]],Tabla4[#All],14,0)</f>
        <v>0.4</v>
      </c>
      <c r="N229" s="183">
        <v>13</v>
      </c>
      <c r="O229" s="170">
        <f>VLOOKUP(TablaPrincipal[[#This Row],[CODIGO]]&amp;TablaPrincipal[[#This Row],[AGUAJE ]],Tabla4[#All],5,0)</f>
        <v>1200000</v>
      </c>
      <c r="P229" s="221">
        <f>IFERROR(TablaPrincipal[[#This Row],[ANIM SEMBRADOS]]/TablaPrincipal[[#This Row],[HAS]],"-")</f>
        <v>150000</v>
      </c>
      <c r="Q229" s="222">
        <f>IFERROR(TablaPrincipal[[#This Row],[DENSIDAD]]/10000,"-")</f>
        <v>15</v>
      </c>
      <c r="R229" s="183" t="str">
        <f>VLOOKUP(TablaPrincipal[[#This Row],[CODIGO]]&amp;TablaPrincipal[[#This Row],[AGUAJE ]],Tabla4[#All],8,0)</f>
        <v>AQUANOVA</v>
      </c>
      <c r="S229" s="183" t="str">
        <f>VLOOKUP(TablaPrincipal[[#This Row],[CODIGO]]&amp;TablaPrincipal[[#This Row],[AGUAJE ]],Tabla4[#All],7,0)</f>
        <v>TEXCUMAR</v>
      </c>
      <c r="T229" s="183" t="str">
        <f>IF(ISNUMBER(FIND("/",TablaPrincipal[[#This Row],[LABORATORIO]])),"COMBINADO","UNICO")</f>
        <v>UNICO</v>
      </c>
      <c r="U2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2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8960.41</v>
      </c>
      <c r="W2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26.2</v>
      </c>
      <c r="Y229" s="185">
        <f>IFERROR(TablaPrincipal[[#This Row],[LIBRAS RALEO PLANTA]]/TablaPrincipal[[#This Row],[HAS]],"-")</f>
        <v>1120.05125</v>
      </c>
      <c r="Z2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155268.17328244276</v>
      </c>
      <c r="AA22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B2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34479.31</v>
      </c>
      <c r="AC229" s="186">
        <f>SUMIFS(COSECHAS!F:F,COSECHAS!A:A,'BASE 2026'!AW:AW,COSECHAS!G:G,"="&amp;A:A)</f>
        <v>30</v>
      </c>
      <c r="AD229" s="186">
        <f>SUMIFS(COSECHAS!M:M,COSECHAS!A:A,'BASE 2026'!AW:AW,COSECHAS!G:G,"="&amp;A:A)</f>
        <v>30.06</v>
      </c>
      <c r="AE229" s="185">
        <f>IFERROR(TablaPrincipal[[#This Row],[LIBRAS PLANTA]]/TablaPrincipal[[#This Row],[HAS]],"-")</f>
        <v>4309.9137499999997</v>
      </c>
      <c r="AF229" s="185">
        <f>IFERROR(TablaPrincipal[[#This Row],[LIBRAS PLANTA]]*454/TablaPrincipal[[#This Row],[GRAMOS PLANTA]],"-")</f>
        <v>520745.40053226874</v>
      </c>
      <c r="AG229" s="185">
        <f>TablaPrincipal[[#This Row],[LIBRAS RALEO PLANTA]]+TablaPrincipal[[#This Row],[LIBRAS PLANTA]]</f>
        <v>43439.72</v>
      </c>
      <c r="AH229" s="185">
        <f>IFERROR(TablaPrincipal[[#This Row],[CAM COSECHADOS RALEO]]+TablaPrincipal[[#This Row],[CAM COSECHADOS]],"-")</f>
        <v>676013.57381471153</v>
      </c>
      <c r="AI229" s="185">
        <f>IFERROR((TablaPrincipal[[#This Row],[LIBRAS RALEO PLANTA]]+TablaPrincipal[[#This Row],[LIBRAS PLANTA]])/TablaPrincipal[[#This Row],[HAS]],"0")</f>
        <v>5429.9650000000001</v>
      </c>
      <c r="AJ229" s="186">
        <f t="shared" si="3"/>
        <v>2.5351807228915662</v>
      </c>
      <c r="AK229" s="186">
        <f>IFERROR(TablaPrincipal[[#This Row],[LBS/HA]]/TablaPrincipal[[#This Row],[DIAS]],"-")</f>
        <v>65.42126506024097</v>
      </c>
      <c r="AL229" s="186">
        <f>IFERROR(TablaPrincipal[[#This Row],[CAM COSECHADOS TOTALES]]/TablaPrincipal[[#This Row],[ANIM SEMBRADOS]]*100,"-")</f>
        <v>56.334464484559298</v>
      </c>
      <c r="AM229" s="185">
        <v>78153.070000000007</v>
      </c>
      <c r="AN229" s="187">
        <f>IFERROR(((TablaPrincipal[[#This Row],[BALANCEADO ACUMULADO (LBS)]]/2.2046)/TablaPrincipal[[#This Row],[HAS]])/TablaPrincipal[[#This Row],[DIAS]],"-")</f>
        <v>53.388554216867469</v>
      </c>
      <c r="AO229" s="184">
        <f>IFERROR(TablaPrincipal[[#This Row],[BALANCEADO ACUMULADO (LBS)]]/TablaPrincipal[[#This Row],[LIBRAS TOTALES]],"-")</f>
        <v>1.7991154178710178</v>
      </c>
      <c r="AP229" s="184"/>
      <c r="AQ229" s="184"/>
      <c r="AR229" s="185">
        <f>TablaPrincipal[[#This Row],[LIBRAS RALEO PLANTA]]-TablaPrincipal[[#This Row],[LIBRAS RALEO CAMARONERA]]</f>
        <v>960.40999999999985</v>
      </c>
      <c r="AS229" s="185">
        <f>TablaPrincipal[[#This Row],[LIBRAS PLANTA]]-TablaPrincipal[[#This Row],[LIBRAS CAMARONERA]]</f>
        <v>1779.3099999999977</v>
      </c>
      <c r="AT229" s="187">
        <f>TablaPrincipal[[#This Row],[GRAMAJE RALEO PLANTA]]-TablaPrincipal[[#This Row],[GRAMAJE RALEO CAMARONERA]]</f>
        <v>-0.80000000000000071</v>
      </c>
      <c r="AU229" s="187">
        <f>TablaPrincipal[[#This Row],[GRAMOS PLANTA]]-TablaPrincipal[[#This Row],[GRAMAJE CAMARONERA]]</f>
        <v>5.9999999999998721E-2</v>
      </c>
      <c r="AV229" s="183" t="str">
        <f>+VLOOKUP(TablaPrincipal[[#This Row],[CODIGO]],TablaCosechas[#All],10,0)</f>
        <v>JULIO SANTOS</v>
      </c>
      <c r="AW229" s="183" t="s">
        <v>312</v>
      </c>
      <c r="AX229" s="188" t="str">
        <f>+VLOOKUP(TablaPrincipal[[#This Row],[CODIGO]],TablaCosechas[#All],10,0)</f>
        <v>JULIO SANTOS</v>
      </c>
    </row>
    <row r="230" spans="1:50" hidden="1" x14ac:dyDescent="0.25">
      <c r="A230" s="196">
        <v>46107</v>
      </c>
      <c r="B230" s="183">
        <v>228</v>
      </c>
      <c r="C230" s="183">
        <f>YEAR(TablaPrincipal[[#This Row],[FECHA]])</f>
        <v>2026</v>
      </c>
      <c r="D230" s="183" t="s">
        <v>291</v>
      </c>
      <c r="E230" s="183" t="str">
        <f>UPPER(TEXT(TablaPrincipal[[#This Row],[FECHA]],"MMMM"))</f>
        <v>MARZO</v>
      </c>
      <c r="F230" s="183" t="str">
        <f>IFERROR(VLOOKUP(TablaPrincipal[[#This Row],[CODIGO]],COSECHAS!A:J,9,0),"-")</f>
        <v>20</v>
      </c>
      <c r="G230" s="183" t="str">
        <f>IFERROR(VLOOKUP(TablaPrincipal[[#This Row],[CODIGO]],COSECHAS!A:I,8,0),"-")</f>
        <v>TIBURON</v>
      </c>
      <c r="H230" s="184">
        <f>IFERROR(VLOOKUP(TablaPrincipal[[#This Row],[CODIGO]],DATOS!A:B,2,0),"-")</f>
        <v>3.9</v>
      </c>
      <c r="I230" s="183" t="str">
        <f>IFERROR(VLOOKUP(TablaPrincipal[[#This Row],[CODIGO]],Tabla8[[#Headers],[#Data]],3,0),"-")</f>
        <v>ASC-BAP</v>
      </c>
      <c r="J230" s="183">
        <f>IFERROR(TablaPrincipal[[#This Row],[FECHA]]-TablaPrincipal[[#This Row],[FECHA DE SIEMBRA]],"-")</f>
        <v>87</v>
      </c>
      <c r="K230" s="196">
        <f>VLOOKUP(TablaPrincipal[[#This Row],[CODIGO]]&amp;TablaPrincipal[[#This Row],[AGUAJE ]],Tabla4[#All],4,0)</f>
        <v>46020</v>
      </c>
      <c r="L230" s="183" t="str">
        <f>VLOOKUP(TablaPrincipal[[#This Row],[CODIGO]]&amp;TablaPrincipal[[#This Row],[AGUAJE ]],Tabla4[#All],15,0)</f>
        <v>TI 39</v>
      </c>
      <c r="M230" s="184">
        <f>VLOOKUP(TablaPrincipal[[#This Row],[CODIGO]]&amp;TablaPrincipal[[#This Row],[AGUAJE ]],Tabla4[#All],14,0)</f>
        <v>0.44</v>
      </c>
      <c r="N230" s="183">
        <v>8</v>
      </c>
      <c r="O230" s="170">
        <f>VLOOKUP(TablaPrincipal[[#This Row],[CODIGO]]&amp;TablaPrincipal[[#This Row],[AGUAJE ]],Tabla4[#All],5,0)</f>
        <v>780000</v>
      </c>
      <c r="P230" s="221">
        <f>IFERROR(TablaPrincipal[[#This Row],[ANIM SEMBRADOS]]/TablaPrincipal[[#This Row],[HAS]],"-")</f>
        <v>200000</v>
      </c>
      <c r="Q230" s="222">
        <f>IFERROR(TablaPrincipal[[#This Row],[DENSIDAD]]/10000,"-")</f>
        <v>20</v>
      </c>
      <c r="R230" s="183" t="str">
        <f>VLOOKUP(TablaPrincipal[[#This Row],[CODIGO]]&amp;TablaPrincipal[[#This Row],[AGUAJE ]],Tabla4[#All],8,0)</f>
        <v>EMPAGRAN</v>
      </c>
      <c r="S230" s="183" t="str">
        <f>VLOOKUP(TablaPrincipal[[#This Row],[CODIGO]]&amp;TablaPrincipal[[#This Row],[AGUAJE ]],Tabla4[#All],7,0)</f>
        <v>EMPAGRAN</v>
      </c>
      <c r="T230" s="183" t="str">
        <f>IF(ISNUMBER(FIND("/",TablaPrincipal[[#This Row],[LABORATORIO]])),"COMBINADO","UNICO")</f>
        <v>UNICO</v>
      </c>
      <c r="U2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15200</v>
      </c>
      <c r="V2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15963.23</v>
      </c>
      <c r="W2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2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</v>
      </c>
      <c r="Y230" s="185">
        <f>IFERROR(TablaPrincipal[[#This Row],[LIBRAS RALEO PLANTA]]/TablaPrincipal[[#This Row],[HAS]],"-")</f>
        <v>4093.1358974358973</v>
      </c>
      <c r="Z2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301094.85655477806</v>
      </c>
      <c r="AA23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28250</v>
      </c>
      <c r="AB2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29494.82</v>
      </c>
      <c r="AC230" s="186">
        <f>SUMIFS(COSECHAS!F:F,COSECHAS!A:A,'BASE 2026'!AW:AW,COSECHAS!G:G,"="&amp;A:A)</f>
        <v>33</v>
      </c>
      <c r="AD230" s="186">
        <f>SUMIFS(COSECHAS!M:M,COSECHAS!A:A,'BASE 2026'!AW:AW,COSECHAS!G:G,"="&amp;A:A)</f>
        <v>33.729999999999997</v>
      </c>
      <c r="AE230" s="185">
        <f>IFERROR(TablaPrincipal[[#This Row],[LIBRAS PLANTA]]/TablaPrincipal[[#This Row],[HAS]],"-")</f>
        <v>7562.7743589743586</v>
      </c>
      <c r="AF230" s="185">
        <f>IFERROR(TablaPrincipal[[#This Row],[LIBRAS PLANTA]]*454/TablaPrincipal[[#This Row],[GRAMOS PLANTA]],"-")</f>
        <v>396995.20545508451</v>
      </c>
      <c r="AG230" s="185">
        <f>TablaPrincipal[[#This Row],[LIBRAS RALEO PLANTA]]+TablaPrincipal[[#This Row],[LIBRAS PLANTA]]</f>
        <v>45458.05</v>
      </c>
      <c r="AH230" s="185">
        <f>IFERROR(TablaPrincipal[[#This Row],[CAM COSECHADOS RALEO]]+TablaPrincipal[[#This Row],[CAM COSECHADOS]],"-")</f>
        <v>698090.06200986262</v>
      </c>
      <c r="AI230" s="185">
        <f>IFERROR((TablaPrincipal[[#This Row],[LIBRAS RALEO PLANTA]]+TablaPrincipal[[#This Row],[LIBRAS PLANTA]])/TablaPrincipal[[#This Row],[HAS]],"0")</f>
        <v>11655.910256410258</v>
      </c>
      <c r="AJ230" s="186">
        <f t="shared" si="3"/>
        <v>2.7139080459770111</v>
      </c>
      <c r="AK230" s="186">
        <f>IFERROR(TablaPrincipal[[#This Row],[LBS/HA]]/TablaPrincipal[[#This Row],[DIAS]],"-")</f>
        <v>133.97597995873861</v>
      </c>
      <c r="AL230" s="186">
        <f>IFERROR(TablaPrincipal[[#This Row],[CAM COSECHADOS TOTALES]]/TablaPrincipal[[#This Row],[ANIM SEMBRADOS]]*100,"-")</f>
        <v>89.498725898700343</v>
      </c>
      <c r="AM230" s="185">
        <v>65897.698600000003</v>
      </c>
      <c r="AN230" s="187">
        <f>IFERROR(((TablaPrincipal[[#This Row],[BALANCEADO ACUMULADO (LBS)]]/2.2046)/TablaPrincipal[[#This Row],[HAS]])/TablaPrincipal[[#This Row],[DIAS]],"-")</f>
        <v>88.096080165045692</v>
      </c>
      <c r="AO230" s="184">
        <f>IFERROR(TablaPrincipal[[#This Row],[BALANCEADO ACUMULADO (LBS)]]/TablaPrincipal[[#This Row],[LIBRAS TOTALES]],"-")</f>
        <v>1.449637602140875</v>
      </c>
      <c r="AP230" s="184"/>
      <c r="AQ230" s="184"/>
      <c r="AR230" s="185">
        <f>TablaPrincipal[[#This Row],[LIBRAS RALEO PLANTA]]-TablaPrincipal[[#This Row],[LIBRAS RALEO CAMARONERA]]</f>
        <v>763.22999999999956</v>
      </c>
      <c r="AS230" s="185">
        <f>TablaPrincipal[[#This Row],[LIBRAS PLANTA]]-TablaPrincipal[[#This Row],[LIBRAS CAMARONERA]]</f>
        <v>1244.8199999999997</v>
      </c>
      <c r="AT230" s="187">
        <f>TablaPrincipal[[#This Row],[GRAMAJE RALEO PLANTA]]-TablaPrincipal[[#This Row],[GRAMAJE RALEO CAMARONERA]]</f>
        <v>1.1999999999999993</v>
      </c>
      <c r="AU230" s="187">
        <f>TablaPrincipal[[#This Row],[GRAMOS PLANTA]]-TablaPrincipal[[#This Row],[GRAMAJE CAMARONERA]]</f>
        <v>0.72999999999999687</v>
      </c>
      <c r="AV230" s="183" t="str">
        <f>+VLOOKUP(TablaPrincipal[[#This Row],[CODIGO]],TablaCosechas[#All],10,0)</f>
        <v>ALFONSO GRUNAUER</v>
      </c>
      <c r="AW230" s="183" t="s">
        <v>313</v>
      </c>
      <c r="AX230" s="188" t="str">
        <f>+VLOOKUP(TablaPrincipal[[#This Row],[CODIGO]],TablaCosechas[#All],10,0)</f>
        <v>ALFONSO GRUNAUER</v>
      </c>
    </row>
    <row r="231" spans="1:50" hidden="1" x14ac:dyDescent="0.25">
      <c r="A231" s="196">
        <v>46108</v>
      </c>
      <c r="B231" s="183">
        <v>229</v>
      </c>
      <c r="C231" s="183">
        <f>YEAR(TablaPrincipal[[#This Row],[FECHA]])</f>
        <v>2026</v>
      </c>
      <c r="D231" s="183" t="s">
        <v>291</v>
      </c>
      <c r="E231" s="183" t="str">
        <f>UPPER(TEXT(TablaPrincipal[[#This Row],[FECHA]],"MMMM"))</f>
        <v>MARZO</v>
      </c>
      <c r="F231" s="183" t="str">
        <f>IFERROR(VLOOKUP(TablaPrincipal[[#This Row],[CODIGO]],COSECHAS!A:J,9,0),"-")</f>
        <v>10</v>
      </c>
      <c r="G231" s="183" t="str">
        <f>IFERROR(VLOOKUP(TablaPrincipal[[#This Row],[CODIGO]],COSECHAS!A:I,8,0),"-")</f>
        <v>GUATO</v>
      </c>
      <c r="H231" s="184">
        <f>IFERROR(VLOOKUP(TablaPrincipal[[#This Row],[CODIGO]],DATOS!A:B,2,0),"-")</f>
        <v>5.75</v>
      </c>
      <c r="I231" s="183" t="str">
        <f>IFERROR(VLOOKUP(TablaPrincipal[[#This Row],[CODIGO]],Tabla8[[#Headers],[#Data]],3,0),"-")</f>
        <v>CONVENCIONAL</v>
      </c>
      <c r="J231" s="183">
        <f>IFERROR(TablaPrincipal[[#This Row],[FECHA]]-TablaPrincipal[[#This Row],[FECHA DE SIEMBRA]],"-")</f>
        <v>82</v>
      </c>
      <c r="K231" s="196">
        <f>VLOOKUP(TablaPrincipal[[#This Row],[CODIGO]]&amp;TablaPrincipal[[#This Row],[AGUAJE ]],Tabla4[#All],4,0)</f>
        <v>46026</v>
      </c>
      <c r="L231" s="183" t="str">
        <f>VLOOKUP(TablaPrincipal[[#This Row],[CODIGO]]&amp;TablaPrincipal[[#This Row],[AGUAJE ]],Tabla4[#All],15,0)</f>
        <v>GT 5</v>
      </c>
      <c r="M231" s="184">
        <f>VLOOKUP(TablaPrincipal[[#This Row],[CODIGO]]&amp;TablaPrincipal[[#This Row],[AGUAJE ]],Tabla4[#All],14,0)</f>
        <v>0.62</v>
      </c>
      <c r="N231" s="183">
        <v>14</v>
      </c>
      <c r="O231" s="170">
        <f>VLOOKUP(TablaPrincipal[[#This Row],[CODIGO]]&amp;TablaPrincipal[[#This Row],[AGUAJE ]],Tabla4[#All],5,0)</f>
        <v>862500</v>
      </c>
      <c r="P231" s="221">
        <f>IFERROR(TablaPrincipal[[#This Row],[ANIM SEMBRADOS]]/TablaPrincipal[[#This Row],[HAS]],"-")</f>
        <v>150000</v>
      </c>
      <c r="Q231" s="222">
        <f>IFERROR(TablaPrincipal[[#This Row],[DENSIDAD]]/10000,"-")</f>
        <v>15</v>
      </c>
      <c r="R231" s="183" t="str">
        <f>VLOOKUP(TablaPrincipal[[#This Row],[CODIGO]]&amp;TablaPrincipal[[#This Row],[AGUAJE ]],Tabla4[#All],8,0)</f>
        <v>TECSERV</v>
      </c>
      <c r="S231" s="183" t="str">
        <f>VLOOKUP(TablaPrincipal[[#This Row],[CODIGO]]&amp;TablaPrincipal[[#This Row],[AGUAJE ]],Tabla4[#All],7,0)</f>
        <v>EMPAGRAN</v>
      </c>
      <c r="T231" s="183" t="str">
        <f>IF(ISNUMBER(FIND("/",TablaPrincipal[[#This Row],[LABORATORIO]])),"COMBINADO","UNICO")</f>
        <v>UNICO</v>
      </c>
      <c r="U2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9800</v>
      </c>
      <c r="V2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10920.76</v>
      </c>
      <c r="W2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2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24.46</v>
      </c>
      <c r="Y231" s="185">
        <f>IFERROR(TablaPrincipal[[#This Row],[LIBRAS RALEO PLANTA]]/TablaPrincipal[[#This Row],[HAS]],"-")</f>
        <v>1899.2626086956523</v>
      </c>
      <c r="Z2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212531.01301498662</v>
      </c>
      <c r="AA23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23250</v>
      </c>
      <c r="AB2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25440.07</v>
      </c>
      <c r="AC231" s="186">
        <f>SUMIFS(COSECHAS!F:F,COSECHAS!A:A,'BASE 2026'!AW:AW,COSECHAS!G:G,"="&amp;A:A)</f>
        <v>33</v>
      </c>
      <c r="AD231" s="186">
        <f>SUMIFS(COSECHAS!M:M,COSECHAS!A:A,'BASE 2026'!AW:AW,COSECHAS!G:G,"="&amp;A:A)</f>
        <v>31.46</v>
      </c>
      <c r="AE231" s="185">
        <f>IFERROR(TablaPrincipal[[#This Row],[LIBRAS PLANTA]]/TablaPrincipal[[#This Row],[HAS]],"-")</f>
        <v>4424.3599999999997</v>
      </c>
      <c r="AF231" s="185">
        <f>IFERROR(TablaPrincipal[[#This Row],[LIBRAS PLANTA]]*454/TablaPrincipal[[#This Row],[GRAMOS PLANTA]],"-")</f>
        <v>367126.24856961216</v>
      </c>
      <c r="AG231" s="185">
        <f>TablaPrincipal[[#This Row],[LIBRAS RALEO PLANTA]]+TablaPrincipal[[#This Row],[LIBRAS PLANTA]]</f>
        <v>36360.83</v>
      </c>
      <c r="AH231" s="185">
        <f>IFERROR(TablaPrincipal[[#This Row],[CAM COSECHADOS RALEO]]+TablaPrincipal[[#This Row],[CAM COSECHADOS]],"-")</f>
        <v>579657.2615845988</v>
      </c>
      <c r="AI231" s="185">
        <f>IFERROR((TablaPrincipal[[#This Row],[LIBRAS RALEO PLANTA]]+TablaPrincipal[[#This Row],[LIBRAS PLANTA]])/TablaPrincipal[[#This Row],[HAS]],"0")</f>
        <v>6323.6226086956522</v>
      </c>
      <c r="AJ231" s="186">
        <f t="shared" si="3"/>
        <v>2.6856097560975614</v>
      </c>
      <c r="AK231" s="186">
        <f>IFERROR(TablaPrincipal[[#This Row],[LBS/HA]]/TablaPrincipal[[#This Row],[DIAS]],"-")</f>
        <v>77.117348886532341</v>
      </c>
      <c r="AL231" s="186">
        <f>IFERROR(TablaPrincipal[[#This Row],[CAM COSECHADOS TOTALES]]/TablaPrincipal[[#This Row],[ANIM SEMBRADOS]]*100,"-")</f>
        <v>67.20663902430131</v>
      </c>
      <c r="AM231" s="185">
        <v>55555.920000000006</v>
      </c>
      <c r="AN231" s="187">
        <f>IFERROR(((TablaPrincipal[[#This Row],[BALANCEADO ACUMULADO (LBS)]]/2.2046)/TablaPrincipal[[#This Row],[HAS]])/TablaPrincipal[[#This Row],[DIAS]],"-")</f>
        <v>53.446447507953344</v>
      </c>
      <c r="AO231" s="184">
        <f>IFERROR(TablaPrincipal[[#This Row],[BALANCEADO ACUMULADO (LBS)]]/TablaPrincipal[[#This Row],[LIBRAS TOTALES]],"-")</f>
        <v>1.527905716123642</v>
      </c>
      <c r="AP231" s="184"/>
      <c r="AQ231" s="184"/>
      <c r="AR231" s="185">
        <f>TablaPrincipal[[#This Row],[LIBRAS RALEO PLANTA]]-TablaPrincipal[[#This Row],[LIBRAS RALEO CAMARONERA]]</f>
        <v>1120.7600000000002</v>
      </c>
      <c r="AS231" s="185">
        <f>TablaPrincipal[[#This Row],[LIBRAS PLANTA]]-TablaPrincipal[[#This Row],[LIBRAS CAMARONERA]]</f>
        <v>2190.0699999999997</v>
      </c>
      <c r="AT231" s="187">
        <f>TablaPrincipal[[#This Row],[GRAMAJE RALEO PLANTA]]-TablaPrincipal[[#This Row],[GRAMAJE RALEO CAMARONERA]]</f>
        <v>1.2100000000000009</v>
      </c>
      <c r="AU231" s="187">
        <f>TablaPrincipal[[#This Row],[GRAMOS PLANTA]]-TablaPrincipal[[#This Row],[GRAMAJE CAMARONERA]]</f>
        <v>-1.5399999999999991</v>
      </c>
      <c r="AV231" s="183" t="str">
        <f>+VLOOKUP(TablaPrincipal[[#This Row],[CODIGO]],TablaCosechas[#All],10,0)</f>
        <v>JULIO SANTOS</v>
      </c>
      <c r="AW231" s="183" t="s">
        <v>314</v>
      </c>
      <c r="AX231" s="188" t="str">
        <f>+VLOOKUP(TablaPrincipal[[#This Row],[CODIGO]],TablaCosechas[#All],10,0)</f>
        <v>JULIO SANTOS</v>
      </c>
    </row>
    <row r="232" spans="1:50" hidden="1" x14ac:dyDescent="0.25">
      <c r="A232" s="196">
        <v>46108</v>
      </c>
      <c r="B232" s="183">
        <v>230</v>
      </c>
      <c r="C232" s="183">
        <f>YEAR(TablaPrincipal[[#This Row],[FECHA]])</f>
        <v>2026</v>
      </c>
      <c r="D232" s="183" t="s">
        <v>291</v>
      </c>
      <c r="E232" s="183" t="str">
        <f>UPPER(TEXT(TablaPrincipal[[#This Row],[FECHA]],"MMMM"))</f>
        <v>MARZO</v>
      </c>
      <c r="F232" s="183" t="str">
        <f>IFERROR(VLOOKUP(TablaPrincipal[[#This Row],[CODIGO]],COSECHAS!A:J,9,0),"-")</f>
        <v>13</v>
      </c>
      <c r="G232" s="183" t="str">
        <f>IFERROR(VLOOKUP(TablaPrincipal[[#This Row],[CODIGO]],COSECHAS!A:I,8,0),"-")</f>
        <v>MERO</v>
      </c>
      <c r="H232" s="184">
        <f>IFERROR(VLOOKUP(TablaPrincipal[[#This Row],[CODIGO]],DATOS!A:B,2,0),"-")</f>
        <v>1.6</v>
      </c>
      <c r="I232" s="183" t="str">
        <f>IFERROR(VLOOKUP(TablaPrincipal[[#This Row],[CODIGO]],Tabla8[[#Headers],[#Data]],3,0),"-")</f>
        <v>CONVENCIONAL</v>
      </c>
      <c r="J232" s="183">
        <f>IFERROR(TablaPrincipal[[#This Row],[FECHA]]-TablaPrincipal[[#This Row],[FECHA DE SIEMBRA]],"-")</f>
        <v>71</v>
      </c>
      <c r="K232" s="196">
        <f>VLOOKUP(TablaPrincipal[[#This Row],[CODIGO]]&amp;TablaPrincipal[[#This Row],[AGUAJE ]],Tabla4[#All],4,0)</f>
        <v>46037</v>
      </c>
      <c r="L232" s="183" t="str">
        <f>VLOOKUP(TablaPrincipal[[#This Row],[CODIGO]]&amp;TablaPrincipal[[#This Row],[AGUAJE ]],Tabla4[#All],15,0)</f>
        <v>ME 12</v>
      </c>
      <c r="M232" s="184">
        <f>VLOOKUP(TablaPrincipal[[#This Row],[CODIGO]]&amp;TablaPrincipal[[#This Row],[AGUAJE ]],Tabla4[#All],14,0)</f>
        <v>1</v>
      </c>
      <c r="N232" s="183">
        <v>8</v>
      </c>
      <c r="O232" s="170">
        <f>VLOOKUP(TablaPrincipal[[#This Row],[CODIGO]]&amp;TablaPrincipal[[#This Row],[AGUAJE ]],Tabla4[#All],5,0)</f>
        <v>240000</v>
      </c>
      <c r="P232" s="221">
        <f>IFERROR(TablaPrincipal[[#This Row],[ANIM SEMBRADOS]]/TablaPrincipal[[#This Row],[HAS]],"-")</f>
        <v>150000</v>
      </c>
      <c r="Q232" s="222">
        <f>IFERROR(TablaPrincipal[[#This Row],[DENSIDAD]]/10000,"-")</f>
        <v>15</v>
      </c>
      <c r="R232" s="183" t="str">
        <f>VLOOKUP(TablaPrincipal[[#This Row],[CODIGO]]&amp;TablaPrincipal[[#This Row],[AGUAJE ]],Tabla4[#All],8,0)</f>
        <v>TECSERV</v>
      </c>
      <c r="S232" s="183" t="str">
        <f>VLOOKUP(TablaPrincipal[[#This Row],[CODIGO]]&amp;TablaPrincipal[[#This Row],[AGUAJE ]],Tabla4[#All],7,0)</f>
        <v>SEMACUA</v>
      </c>
      <c r="T232" s="183" t="str">
        <f>IF(ISNUMBER(FIND("/",TablaPrincipal[[#This Row],[LABORATORIO]])),"COMBINADO","UNICO")</f>
        <v>UNICO</v>
      </c>
      <c r="U2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2900</v>
      </c>
      <c r="V2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2999.06</v>
      </c>
      <c r="W2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37</v>
      </c>
      <c r="X2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36.1</v>
      </c>
      <c r="Y232" s="185">
        <f>IFERROR(TablaPrincipal[[#This Row],[LIBRAS RALEO PLANTA]]/TablaPrincipal[[#This Row],[HAS]],"-")</f>
        <v>1874.4124999999999</v>
      </c>
      <c r="Z2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37716.710249307478</v>
      </c>
      <c r="AA23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6600</v>
      </c>
      <c r="AB2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5952.99</v>
      </c>
      <c r="AC232" s="186">
        <f>SUMIFS(COSECHAS!F:F,COSECHAS!A:A,'BASE 2026'!AW:AW,COSECHAS!G:G,"="&amp;A:A)</f>
        <v>41</v>
      </c>
      <c r="AD232" s="186">
        <f>SUMIFS(COSECHAS!M:M,COSECHAS!A:A,'BASE 2026'!AW:AW,COSECHAS!G:G,"="&amp;A:A)</f>
        <v>40.58</v>
      </c>
      <c r="AE232" s="185">
        <f>IFERROR(TablaPrincipal[[#This Row],[LIBRAS PLANTA]]/TablaPrincipal[[#This Row],[HAS]],"-")</f>
        <v>3720.6187499999996</v>
      </c>
      <c r="AF232" s="185">
        <f>IFERROR(TablaPrincipal[[#This Row],[LIBRAS PLANTA]]*454/TablaPrincipal[[#This Row],[GRAMOS PLANTA]],"-")</f>
        <v>66600.72597338591</v>
      </c>
      <c r="AG232" s="185">
        <f>TablaPrincipal[[#This Row],[LIBRAS RALEO PLANTA]]+TablaPrincipal[[#This Row],[LIBRAS PLANTA]]</f>
        <v>8952.0499999999993</v>
      </c>
      <c r="AH232" s="185">
        <f>IFERROR(TablaPrincipal[[#This Row],[CAM COSECHADOS RALEO]]+TablaPrincipal[[#This Row],[CAM COSECHADOS]],"-")</f>
        <v>104317.43622269339</v>
      </c>
      <c r="AI232" s="185">
        <f>IFERROR((TablaPrincipal[[#This Row],[LIBRAS RALEO PLANTA]]+TablaPrincipal[[#This Row],[LIBRAS PLANTA]])/TablaPrincipal[[#This Row],[HAS]],"0")</f>
        <v>5595.0312499999991</v>
      </c>
      <c r="AJ232" s="186">
        <f t="shared" si="3"/>
        <v>4.0008450704225353</v>
      </c>
      <c r="AK232" s="186">
        <f>IFERROR(TablaPrincipal[[#This Row],[LBS/HA]]/TablaPrincipal[[#This Row],[DIAS]],"-")</f>
        <v>78.803257042253506</v>
      </c>
      <c r="AL232" s="186">
        <f>IFERROR(TablaPrincipal[[#This Row],[CAM COSECHADOS TOTALES]]/TablaPrincipal[[#This Row],[ANIM SEMBRADOS]]*100,"-")</f>
        <v>43.465598426122241</v>
      </c>
      <c r="AM232" s="185">
        <v>16754.96</v>
      </c>
      <c r="AN232" s="187">
        <f>IFERROR(((TablaPrincipal[[#This Row],[BALANCEADO ACUMULADO (LBS)]]/2.2046)/TablaPrincipal[[#This Row],[HAS]])/TablaPrincipal[[#This Row],[DIAS]],"-")</f>
        <v>66.90140845070421</v>
      </c>
      <c r="AO232" s="184">
        <f>IFERROR(TablaPrincipal[[#This Row],[BALANCEADO ACUMULADO (LBS)]]/TablaPrincipal[[#This Row],[LIBRAS TOTALES]],"-")</f>
        <v>1.8716338715713161</v>
      </c>
      <c r="AP232" s="184"/>
      <c r="AQ232" s="184"/>
      <c r="AR232" s="185">
        <f>TablaPrincipal[[#This Row],[LIBRAS RALEO PLANTA]]-TablaPrincipal[[#This Row],[LIBRAS RALEO CAMARONERA]]</f>
        <v>99.059999999999945</v>
      </c>
      <c r="AS232" s="185">
        <f>TablaPrincipal[[#This Row],[LIBRAS PLANTA]]-TablaPrincipal[[#This Row],[LIBRAS CAMARONERA]]</f>
        <v>-647.01000000000022</v>
      </c>
      <c r="AT232" s="187">
        <f>TablaPrincipal[[#This Row],[GRAMAJE RALEO PLANTA]]-TablaPrincipal[[#This Row],[GRAMAJE RALEO CAMARONERA]]</f>
        <v>-0.89999999999999858</v>
      </c>
      <c r="AU232" s="187">
        <f>TablaPrincipal[[#This Row],[GRAMOS PLANTA]]-TablaPrincipal[[#This Row],[GRAMAJE CAMARONERA]]</f>
        <v>-0.42000000000000171</v>
      </c>
      <c r="AV232" s="183" t="str">
        <f>+VLOOKUP(TablaPrincipal[[#This Row],[CODIGO]],TablaCosechas[#All],10,0)</f>
        <v>NESTOR MOGOLLON</v>
      </c>
      <c r="AW232" s="183" t="s">
        <v>119</v>
      </c>
      <c r="AX232" s="188" t="str">
        <f>+VLOOKUP(TablaPrincipal[[#This Row],[CODIGO]],TablaCosechas[#All],10,0)</f>
        <v>NESTOR MOGOLLON</v>
      </c>
    </row>
    <row r="233" spans="1:50" hidden="1" x14ac:dyDescent="0.25">
      <c r="A233" s="196">
        <v>46108</v>
      </c>
      <c r="B233" s="183">
        <v>231</v>
      </c>
      <c r="C233" s="183">
        <f>YEAR(TablaPrincipal[[#This Row],[FECHA]])</f>
        <v>2026</v>
      </c>
      <c r="D233" s="183" t="s">
        <v>291</v>
      </c>
      <c r="E233" s="183" t="str">
        <f>UPPER(TEXT(TablaPrincipal[[#This Row],[FECHA]],"MMMM"))</f>
        <v>MARZO</v>
      </c>
      <c r="F233" s="183" t="str">
        <f>IFERROR(VLOOKUP(TablaPrincipal[[#This Row],[CODIGO]],COSECHAS!A:J,9,0),"-")</f>
        <v>05</v>
      </c>
      <c r="G233" s="183" t="str">
        <f>IFERROR(VLOOKUP(TablaPrincipal[[#This Row],[CODIGO]],COSECHAS!A:I,8,0),"-")</f>
        <v>TIBURON</v>
      </c>
      <c r="H233" s="184">
        <f>IFERROR(VLOOKUP(TablaPrincipal[[#This Row],[CODIGO]],DATOS!A:B,2,0),"-")</f>
        <v>10.88</v>
      </c>
      <c r="I233" s="183" t="str">
        <f>IFERROR(VLOOKUP(TablaPrincipal[[#This Row],[CODIGO]],Tabla8[[#Headers],[#Data]],3,0),"-")</f>
        <v>ASC-BAP</v>
      </c>
      <c r="J233" s="183">
        <f>IFERROR(TablaPrincipal[[#This Row],[FECHA]]-TablaPrincipal[[#This Row],[FECHA DE SIEMBRA]],"-")</f>
        <v>92</v>
      </c>
      <c r="K233" s="196">
        <f>VLOOKUP(TablaPrincipal[[#This Row],[CODIGO]]&amp;TablaPrincipal[[#This Row],[AGUAJE ]],Tabla4[#All],4,0)</f>
        <v>46016</v>
      </c>
      <c r="L233" s="183" t="str">
        <f>VLOOKUP(TablaPrincipal[[#This Row],[CODIGO]]&amp;TablaPrincipal[[#This Row],[AGUAJE ]],Tabla4[#All],15,0)</f>
        <v>TI 31 - 32</v>
      </c>
      <c r="M233" s="184">
        <f>VLOOKUP(TablaPrincipal[[#This Row],[CODIGO]]&amp;TablaPrincipal[[#This Row],[AGUAJE ]],Tabla4[#All],14,0)</f>
        <v>0.45</v>
      </c>
      <c r="N233" s="183">
        <v>8</v>
      </c>
      <c r="O233" s="170">
        <f>VLOOKUP(TablaPrincipal[[#This Row],[CODIGO]]&amp;TablaPrincipal[[#This Row],[AGUAJE ]],Tabla4[#All],5,0)</f>
        <v>1849600</v>
      </c>
      <c r="P233" s="221">
        <f>IFERROR(TablaPrincipal[[#This Row],[ANIM SEMBRADOS]]/TablaPrincipal[[#This Row],[HAS]],"-")</f>
        <v>170000</v>
      </c>
      <c r="Q233" s="222">
        <f>IFERROR(TablaPrincipal[[#This Row],[DENSIDAD]]/10000,"-")</f>
        <v>17</v>
      </c>
      <c r="R233" s="183" t="str">
        <f>VLOOKUP(TablaPrincipal[[#This Row],[CODIGO]]&amp;TablaPrincipal[[#This Row],[AGUAJE ]],Tabla4[#All],8,0)</f>
        <v>LARVASLAB</v>
      </c>
      <c r="S233" s="183" t="str">
        <f>VLOOKUP(TablaPrincipal[[#This Row],[CODIGO]]&amp;TablaPrincipal[[#This Row],[AGUAJE ]],Tabla4[#All],7,0)</f>
        <v>TEXCUMAR</v>
      </c>
      <c r="T233" s="183" t="str">
        <f>IF(ISNUMBER(FIND("/",TablaPrincipal[[#This Row],[LABORATORIO]])),"COMBINADO","UNICO")</f>
        <v>UNICO</v>
      </c>
      <c r="U2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61200</v>
      </c>
      <c r="V2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63679.14</v>
      </c>
      <c r="W2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26.830000000000002</v>
      </c>
      <c r="Y233" s="185">
        <f>IFERROR(TablaPrincipal[[#This Row],[LIBRAS RALEO PLANTA]]/TablaPrincipal[[#This Row],[HAS]],"-")</f>
        <v>5852.8621323529405</v>
      </c>
      <c r="Z2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1114768.2189861094</v>
      </c>
      <c r="AA23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46000</v>
      </c>
      <c r="AB2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46392.28</v>
      </c>
      <c r="AC233" s="186">
        <f>SUMIFS(COSECHAS!F:F,COSECHAS!A:A,'BASE 2026'!AW:AW,COSECHAS!G:G,"="&amp;A:A)</f>
        <v>41</v>
      </c>
      <c r="AD233" s="186">
        <f>SUMIFS(COSECHAS!M:M,COSECHAS!A:A,'BASE 2026'!AW:AW,COSECHAS!G:G,"="&amp;A:A)</f>
        <v>38.9</v>
      </c>
      <c r="AE233" s="185">
        <f>IFERROR(TablaPrincipal[[#This Row],[LIBRAS PLANTA]]/TablaPrincipal[[#This Row],[HAS]],"-")</f>
        <v>4263.9963235294117</v>
      </c>
      <c r="AF233" s="185">
        <f>IFERROR(TablaPrincipal[[#This Row],[LIBRAS PLANTA]]*454/TablaPrincipal[[#This Row],[GRAMOS PLANTA]],"-")</f>
        <v>541442.03393316199</v>
      </c>
      <c r="AG233" s="185">
        <f>TablaPrincipal[[#This Row],[LIBRAS RALEO PLANTA]]+TablaPrincipal[[#This Row],[LIBRAS PLANTA]]</f>
        <v>110071.42</v>
      </c>
      <c r="AH233" s="185">
        <f>IFERROR(TablaPrincipal[[#This Row],[CAM COSECHADOS RALEO]]+TablaPrincipal[[#This Row],[CAM COSECHADOS]],"-")</f>
        <v>1656210.2529192714</v>
      </c>
      <c r="AI233" s="185">
        <f>IFERROR((TablaPrincipal[[#This Row],[LIBRAS RALEO PLANTA]]+TablaPrincipal[[#This Row],[LIBRAS PLANTA]])/TablaPrincipal[[#This Row],[HAS]],"0")</f>
        <v>10116.858455882351</v>
      </c>
      <c r="AJ233" s="186">
        <f t="shared" si="3"/>
        <v>2.9597826086956522</v>
      </c>
      <c r="AK233" s="186">
        <f>IFERROR(TablaPrincipal[[#This Row],[LBS/HA]]/TablaPrincipal[[#This Row],[DIAS]],"-")</f>
        <v>109.9658527813299</v>
      </c>
      <c r="AL233" s="186">
        <f>IFERROR(TablaPrincipal[[#This Row],[CAM COSECHADOS TOTALES]]/TablaPrincipal[[#This Row],[ANIM SEMBRADOS]]*100,"-")</f>
        <v>89.544239452815276</v>
      </c>
      <c r="AM233" s="185">
        <v>160935.80000000002</v>
      </c>
      <c r="AN233" s="187">
        <f>IFERROR(((TablaPrincipal[[#This Row],[BALANCEADO ACUMULADO (LBS)]]/2.2046)/TablaPrincipal[[#This Row],[HAS]])/TablaPrincipal[[#This Row],[DIAS]],"-")</f>
        <v>72.929987212276217</v>
      </c>
      <c r="AO233" s="184">
        <f>IFERROR(TablaPrincipal[[#This Row],[BALANCEADO ACUMULADO (LBS)]]/TablaPrincipal[[#This Row],[LIBRAS TOTALES]],"-")</f>
        <v>1.4621034233954646</v>
      </c>
      <c r="AP233" s="184"/>
      <c r="AQ233" s="184"/>
      <c r="AR233" s="185">
        <f>TablaPrincipal[[#This Row],[LIBRAS RALEO PLANTA]]-TablaPrincipal[[#This Row],[LIBRAS RALEO CAMARONERA]]</f>
        <v>2479.1399999999994</v>
      </c>
      <c r="AS233" s="185">
        <f>TablaPrincipal[[#This Row],[LIBRAS PLANTA]]-TablaPrincipal[[#This Row],[LIBRAS CAMARONERA]]</f>
        <v>392.27999999999884</v>
      </c>
      <c r="AT233" s="187">
        <f>TablaPrincipal[[#This Row],[GRAMAJE RALEO PLANTA]]-TablaPrincipal[[#This Row],[GRAMAJE RALEO CAMARONERA]]</f>
        <v>0.83000000000000185</v>
      </c>
      <c r="AU233" s="187">
        <f>TablaPrincipal[[#This Row],[GRAMOS PLANTA]]-TablaPrincipal[[#This Row],[GRAMAJE CAMARONERA]]</f>
        <v>-2.1000000000000014</v>
      </c>
      <c r="AV233" s="183" t="str">
        <f>+VLOOKUP(TablaPrincipal[[#This Row],[CODIGO]],TablaCosechas[#All],10,0)</f>
        <v>ALFONSO GRUNAUER</v>
      </c>
      <c r="AW233" s="183" t="s">
        <v>315</v>
      </c>
      <c r="AX233" s="188" t="str">
        <f>+VLOOKUP(TablaPrincipal[[#This Row],[CODIGO]],TablaCosechas[#All],10,0)</f>
        <v>ALFONSO GRUNAUER</v>
      </c>
    </row>
    <row r="234" spans="1:50" hidden="1" x14ac:dyDescent="0.25">
      <c r="A234" s="196">
        <v>46109</v>
      </c>
      <c r="B234" s="183">
        <v>232</v>
      </c>
      <c r="C234" s="183">
        <f>YEAR(TablaPrincipal[[#This Row],[FECHA]])</f>
        <v>2026</v>
      </c>
      <c r="D234" s="183" t="s">
        <v>291</v>
      </c>
      <c r="E234" s="183" t="str">
        <f>UPPER(TEXT(TablaPrincipal[[#This Row],[FECHA]],"MMMM"))</f>
        <v>MARZO</v>
      </c>
      <c r="F234" s="183" t="str">
        <f>IFERROR(VLOOKUP(TablaPrincipal[[#This Row],[CODIGO]],COSECHAS!A:J,9,0),"-")</f>
        <v>12</v>
      </c>
      <c r="G234" s="183" t="str">
        <f>IFERROR(VLOOKUP(TablaPrincipal[[#This Row],[CODIGO]],COSECHAS!A:I,8,0),"-")</f>
        <v>CATANUDA</v>
      </c>
      <c r="H234" s="184">
        <f>IFERROR(VLOOKUP(TablaPrincipal[[#This Row],[CODIGO]],DATOS!A:B,2,0),"-")</f>
        <v>0.63</v>
      </c>
      <c r="I234" s="183" t="str">
        <f>IFERROR(VLOOKUP(TablaPrincipal[[#This Row],[CODIGO]],Tabla8[[#Headers],[#Data]],3,0),"-")</f>
        <v>ASC-BAP</v>
      </c>
      <c r="J234" s="183">
        <f>IFERROR(TablaPrincipal[[#This Row],[FECHA]]-TablaPrincipal[[#This Row],[FECHA DE SIEMBRA]],"-")</f>
        <v>82</v>
      </c>
      <c r="K234" s="196">
        <f>VLOOKUP(TablaPrincipal[[#This Row],[CODIGO]]&amp;TablaPrincipal[[#This Row],[AGUAJE ]],Tabla4[#All],4,0)</f>
        <v>46027</v>
      </c>
      <c r="L234" s="183" t="str">
        <f>VLOOKUP(TablaPrincipal[[#This Row],[CODIGO]]&amp;TablaPrincipal[[#This Row],[AGUAJE ]],Tabla4[#All],15,0)</f>
        <v>CA 1B - PC15</v>
      </c>
      <c r="M234" s="184">
        <f>VLOOKUP(TablaPrincipal[[#This Row],[CODIGO]]&amp;TablaPrincipal[[#This Row],[AGUAJE ]],Tabla4[#All],14,0)</f>
        <v>0.62</v>
      </c>
      <c r="N234" s="183">
        <v>7</v>
      </c>
      <c r="O234" s="170">
        <f>VLOOKUP(TablaPrincipal[[#This Row],[CODIGO]]&amp;TablaPrincipal[[#This Row],[AGUAJE ]],Tabla4[#All],5,0)</f>
        <v>81900</v>
      </c>
      <c r="P234" s="221">
        <f>IFERROR(TablaPrincipal[[#This Row],[ANIM SEMBRADOS]]/TablaPrincipal[[#This Row],[HAS]],"-")</f>
        <v>130000</v>
      </c>
      <c r="Q234" s="222">
        <f>IFERROR(TablaPrincipal[[#This Row],[DENSIDAD]]/10000,"-")</f>
        <v>13</v>
      </c>
      <c r="R234" s="183" t="str">
        <f>VLOOKUP(TablaPrincipal[[#This Row],[CODIGO]]&amp;TablaPrincipal[[#This Row],[AGUAJE ]],Tabla4[#All],8,0)</f>
        <v>AQUANOVA</v>
      </c>
      <c r="S234" s="183" t="str">
        <f>VLOOKUP(TablaPrincipal[[#This Row],[CODIGO]]&amp;TablaPrincipal[[#This Row],[AGUAJE ]],Tabla4[#All],7,0)</f>
        <v>TEXCUMAR</v>
      </c>
      <c r="T234" s="183" t="str">
        <f>IF(ISNUMBER(FIND("/",TablaPrincipal[[#This Row],[LABORATORIO]])),"COMBINADO","UNICO")</f>
        <v>UNICO</v>
      </c>
      <c r="U2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4" s="185">
        <f>IFERROR(TablaPrincipal[[#This Row],[LIBRAS RALEO PLANTA]]/TablaPrincipal[[#This Row],[HAS]],"-")</f>
        <v>0</v>
      </c>
      <c r="Z2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3500</v>
      </c>
      <c r="AB2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3644.5</v>
      </c>
      <c r="AC234" s="186">
        <f>SUMIFS(COSECHAS!F:F,COSECHAS!A:A,'BASE 2026'!AW:AW,COSECHAS!G:G,"="&amp;A:A)</f>
        <v>36</v>
      </c>
      <c r="AD234" s="186">
        <f>SUMIFS(COSECHAS!M:M,COSECHAS!A:A,'BASE 2026'!AW:AW,COSECHAS!G:G,"="&amp;A:A)</f>
        <v>40.6</v>
      </c>
      <c r="AE234" s="185">
        <f>IFERROR(TablaPrincipal[[#This Row],[LIBRAS PLANTA]]/TablaPrincipal[[#This Row],[HAS]],"-")</f>
        <v>5784.9206349206352</v>
      </c>
      <c r="AF234" s="185">
        <f>IFERROR(TablaPrincipal[[#This Row],[LIBRAS PLANTA]]*454/TablaPrincipal[[#This Row],[GRAMOS PLANTA]],"-")</f>
        <v>40753.768472906406</v>
      </c>
      <c r="AG234" s="185">
        <f>TablaPrincipal[[#This Row],[LIBRAS RALEO PLANTA]]+TablaPrincipal[[#This Row],[LIBRAS PLANTA]]</f>
        <v>3644.5</v>
      </c>
      <c r="AH234" s="185">
        <f>IFERROR(TablaPrincipal[[#This Row],[CAM COSECHADOS RALEO]]+TablaPrincipal[[#This Row],[CAM COSECHADOS]],"-")</f>
        <v>40753.768472906406</v>
      </c>
      <c r="AI234" s="185">
        <f>IFERROR((TablaPrincipal[[#This Row],[LIBRAS RALEO PLANTA]]+TablaPrincipal[[#This Row],[LIBRAS PLANTA]])/TablaPrincipal[[#This Row],[HAS]],"0")</f>
        <v>5784.9206349206352</v>
      </c>
      <c r="AJ234" s="186">
        <f t="shared" si="3"/>
        <v>3.4658536585365858</v>
      </c>
      <c r="AK234" s="186">
        <f>IFERROR(TablaPrincipal[[#This Row],[LBS/HA]]/TablaPrincipal[[#This Row],[DIAS]],"-")</f>
        <v>70.54781262098335</v>
      </c>
      <c r="AL234" s="186">
        <f>IFERROR(TablaPrincipal[[#This Row],[CAM COSECHADOS TOTALES]]/TablaPrincipal[[#This Row],[ANIM SEMBRADOS]]*100,"-")</f>
        <v>49.760401065819785</v>
      </c>
      <c r="AM234" s="185">
        <v>6937.8762000000006</v>
      </c>
      <c r="AN234" s="187">
        <f>IFERROR(((TablaPrincipal[[#This Row],[BALANCEADO ACUMULADO (LBS)]]/2.2046)/TablaPrincipal[[#This Row],[HAS]])/TablaPrincipal[[#This Row],[DIAS]],"-")</f>
        <v>60.91753774680604</v>
      </c>
      <c r="AO234" s="184">
        <f>IFERROR(TablaPrincipal[[#This Row],[BALANCEADO ACUMULADO (LBS)]]/TablaPrincipal[[#This Row],[LIBRAS TOTALES]],"-")</f>
        <v>1.9036565235286049</v>
      </c>
      <c r="AP234" s="184"/>
      <c r="AQ234" s="184"/>
      <c r="AR234" s="185">
        <f>TablaPrincipal[[#This Row],[LIBRAS RALEO PLANTA]]-TablaPrincipal[[#This Row],[LIBRAS RALEO CAMARONERA]]</f>
        <v>0</v>
      </c>
      <c r="AS234" s="185">
        <f>TablaPrincipal[[#This Row],[LIBRAS PLANTA]]-TablaPrincipal[[#This Row],[LIBRAS CAMARONERA]]</f>
        <v>144.5</v>
      </c>
      <c r="AT234" s="187">
        <f>TablaPrincipal[[#This Row],[GRAMAJE RALEO PLANTA]]-TablaPrincipal[[#This Row],[GRAMAJE RALEO CAMARONERA]]</f>
        <v>0</v>
      </c>
      <c r="AU234" s="187">
        <f>TablaPrincipal[[#This Row],[GRAMOS PLANTA]]-TablaPrincipal[[#This Row],[GRAMAJE CAMARONERA]]</f>
        <v>4.6000000000000014</v>
      </c>
      <c r="AV234" s="183" t="str">
        <f>+VLOOKUP(TablaPrincipal[[#This Row],[CODIGO]],TablaCosechas[#All],10,0)</f>
        <v>VICTOR QUINTANA</v>
      </c>
      <c r="AW234" s="183" t="s">
        <v>316</v>
      </c>
      <c r="AX234" s="188" t="str">
        <f>+VLOOKUP(TablaPrincipal[[#This Row],[CODIGO]],TablaCosechas[#All],10,0)</f>
        <v>VICTOR QUINTANA</v>
      </c>
    </row>
    <row r="235" spans="1:50" hidden="1" x14ac:dyDescent="0.25">
      <c r="A235" s="196">
        <v>46109</v>
      </c>
      <c r="B235" s="183">
        <v>233</v>
      </c>
      <c r="C235" s="183">
        <f>YEAR(TablaPrincipal[[#This Row],[FECHA]])</f>
        <v>2026</v>
      </c>
      <c r="D235" s="183" t="s">
        <v>291</v>
      </c>
      <c r="E235" s="183" t="str">
        <f>UPPER(TEXT(TablaPrincipal[[#This Row],[FECHA]],"MMMM"))</f>
        <v>MARZO</v>
      </c>
      <c r="F235" s="183" t="str">
        <f>IFERROR(VLOOKUP(TablaPrincipal[[#This Row],[CODIGO]],COSECHAS!A:J,9,0),"-")</f>
        <v>13</v>
      </c>
      <c r="G235" s="183" t="str">
        <f>IFERROR(VLOOKUP(TablaPrincipal[[#This Row],[CODIGO]],COSECHAS!A:I,8,0),"-")</f>
        <v>CATANUDA</v>
      </c>
      <c r="H235" s="184">
        <f>IFERROR(VLOOKUP(TablaPrincipal[[#This Row],[CODIGO]],DATOS!A:B,2,0),"-")</f>
        <v>0.87</v>
      </c>
      <c r="I235" s="183" t="str">
        <f>IFERROR(VLOOKUP(TablaPrincipal[[#This Row],[CODIGO]],Tabla8[[#Headers],[#Data]],3,0),"-")</f>
        <v>ASC-BAP</v>
      </c>
      <c r="J235" s="183">
        <f>IFERROR(TablaPrincipal[[#This Row],[FECHA]]-TablaPrincipal[[#This Row],[FECHA DE SIEMBRA]],"-")</f>
        <v>82</v>
      </c>
      <c r="K235" s="196">
        <f>VLOOKUP(TablaPrincipal[[#This Row],[CODIGO]]&amp;TablaPrincipal[[#This Row],[AGUAJE ]],Tabla4[#All],4,0)</f>
        <v>46027</v>
      </c>
      <c r="L235" s="183" t="str">
        <f>VLOOKUP(TablaPrincipal[[#This Row],[CODIGO]]&amp;TablaPrincipal[[#This Row],[AGUAJE ]],Tabla4[#All],15,0)</f>
        <v>CA 1B - PC15</v>
      </c>
      <c r="M235" s="184">
        <f>VLOOKUP(TablaPrincipal[[#This Row],[CODIGO]]&amp;TablaPrincipal[[#This Row],[AGUAJE ]],Tabla4[#All],14,0)</f>
        <v>0.62</v>
      </c>
      <c r="N235" s="183">
        <v>7</v>
      </c>
      <c r="O235" s="170">
        <f>VLOOKUP(TablaPrincipal[[#This Row],[CODIGO]]&amp;TablaPrincipal[[#This Row],[AGUAJE ]],Tabla4[#All],5,0)</f>
        <v>113100</v>
      </c>
      <c r="P235" s="221">
        <f>IFERROR(TablaPrincipal[[#This Row],[ANIM SEMBRADOS]]/TablaPrincipal[[#This Row],[HAS]],"-")</f>
        <v>130000</v>
      </c>
      <c r="Q235" s="222">
        <f>IFERROR(TablaPrincipal[[#This Row],[DENSIDAD]]/10000,"-")</f>
        <v>13</v>
      </c>
      <c r="R235" s="183" t="str">
        <f>VLOOKUP(TablaPrincipal[[#This Row],[CODIGO]]&amp;TablaPrincipal[[#This Row],[AGUAJE ]],Tabla4[#All],8,0)</f>
        <v>AQUANOVA</v>
      </c>
      <c r="S235" s="183" t="str">
        <f>VLOOKUP(TablaPrincipal[[#This Row],[CODIGO]]&amp;TablaPrincipal[[#This Row],[AGUAJE ]],Tabla4[#All],7,0)</f>
        <v>TEXCUMAR</v>
      </c>
      <c r="T235" s="183" t="str">
        <f>IF(ISNUMBER(FIND("/",TablaPrincipal[[#This Row],[LABORATORIO]])),"COMBINADO","UNICO")</f>
        <v>UNICO</v>
      </c>
      <c r="U2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5" s="185">
        <f>IFERROR(TablaPrincipal[[#This Row],[LIBRAS RALEO PLANTA]]/TablaPrincipal[[#This Row],[HAS]],"-")</f>
        <v>0</v>
      </c>
      <c r="Z2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4000</v>
      </c>
      <c r="AB2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4348.13</v>
      </c>
      <c r="AC235" s="186">
        <f>SUMIFS(COSECHAS!F:F,COSECHAS!A:A,'BASE 2026'!AW:AW,COSECHAS!G:G,"="&amp;A:A)</f>
        <v>33</v>
      </c>
      <c r="AD235" s="186">
        <f>SUMIFS(COSECHAS!M:M,COSECHAS!A:A,'BASE 2026'!AW:AW,COSECHAS!G:G,"="&amp;A:A)</f>
        <v>36.82</v>
      </c>
      <c r="AE235" s="185">
        <f>IFERROR(TablaPrincipal[[#This Row],[LIBRAS PLANTA]]/TablaPrincipal[[#This Row],[HAS]],"-")</f>
        <v>4997.8505747126437</v>
      </c>
      <c r="AF235" s="185">
        <f>IFERROR(TablaPrincipal[[#This Row],[LIBRAS PLANTA]]*454/TablaPrincipal[[#This Row],[GRAMOS PLANTA]],"-")</f>
        <v>53613.552960347639</v>
      </c>
      <c r="AG235" s="185">
        <f>TablaPrincipal[[#This Row],[LIBRAS RALEO PLANTA]]+TablaPrincipal[[#This Row],[LIBRAS PLANTA]]</f>
        <v>4348.13</v>
      </c>
      <c r="AH235" s="185">
        <f>IFERROR(TablaPrincipal[[#This Row],[CAM COSECHADOS RALEO]]+TablaPrincipal[[#This Row],[CAM COSECHADOS]],"-")</f>
        <v>53613.552960347639</v>
      </c>
      <c r="AI235" s="185">
        <f>IFERROR((TablaPrincipal[[#This Row],[LIBRAS RALEO PLANTA]]+TablaPrincipal[[#This Row],[LIBRAS PLANTA]])/TablaPrincipal[[#This Row],[HAS]],"0")</f>
        <v>4997.8505747126437</v>
      </c>
      <c r="AJ235" s="186">
        <f t="shared" si="3"/>
        <v>3.1431707317073174</v>
      </c>
      <c r="AK235" s="186">
        <f>IFERROR(TablaPrincipal[[#This Row],[LBS/HA]]/TablaPrincipal[[#This Row],[DIAS]],"-")</f>
        <v>60.949397252593215</v>
      </c>
      <c r="AL235" s="186">
        <f>IFERROR(TablaPrincipal[[#This Row],[CAM COSECHADOS TOTALES]]/TablaPrincipal[[#This Row],[ANIM SEMBRADOS]]*100,"-")</f>
        <v>47.403671936646894</v>
      </c>
      <c r="AM235" s="185">
        <v>7120.8580000000002</v>
      </c>
      <c r="AN235" s="187">
        <f>IFERROR(((TablaPrincipal[[#This Row],[BALANCEADO ACUMULADO (LBS)]]/2.2046)/TablaPrincipal[[#This Row],[HAS]])/TablaPrincipal[[#This Row],[DIAS]],"-")</f>
        <v>45.276142416596578</v>
      </c>
      <c r="AO235" s="184">
        <f>IFERROR(TablaPrincipal[[#This Row],[BALANCEADO ACUMULADO (LBS)]]/TablaPrincipal[[#This Row],[LIBRAS TOTALES]],"-")</f>
        <v>1.6376828659676688</v>
      </c>
      <c r="AP235" s="184"/>
      <c r="AQ235" s="184"/>
      <c r="AR235" s="185">
        <f>TablaPrincipal[[#This Row],[LIBRAS RALEO PLANTA]]-TablaPrincipal[[#This Row],[LIBRAS RALEO CAMARONERA]]</f>
        <v>0</v>
      </c>
      <c r="AS235" s="185">
        <f>TablaPrincipal[[#This Row],[LIBRAS PLANTA]]-TablaPrincipal[[#This Row],[LIBRAS CAMARONERA]]</f>
        <v>348.13000000000011</v>
      </c>
      <c r="AT235" s="187">
        <f>TablaPrincipal[[#This Row],[GRAMAJE RALEO PLANTA]]-TablaPrincipal[[#This Row],[GRAMAJE RALEO CAMARONERA]]</f>
        <v>0</v>
      </c>
      <c r="AU235" s="187">
        <f>TablaPrincipal[[#This Row],[GRAMOS PLANTA]]-TablaPrincipal[[#This Row],[GRAMAJE CAMARONERA]]</f>
        <v>3.8200000000000003</v>
      </c>
      <c r="AV235" s="183" t="str">
        <f>+VLOOKUP(TablaPrincipal[[#This Row],[CODIGO]],TablaCosechas[#All],10,0)</f>
        <v>VICTOR QUINTANA</v>
      </c>
      <c r="AW235" s="183" t="s">
        <v>317</v>
      </c>
      <c r="AX235" s="188" t="str">
        <f>+VLOOKUP(TablaPrincipal[[#This Row],[CODIGO]],TablaCosechas[#All],10,0)</f>
        <v>VICTOR QUINTANA</v>
      </c>
    </row>
    <row r="236" spans="1:50" hidden="1" x14ac:dyDescent="0.25">
      <c r="A236" s="196">
        <v>46109</v>
      </c>
      <c r="B236" s="183">
        <v>234</v>
      </c>
      <c r="C236" s="183">
        <f>YEAR(TablaPrincipal[[#This Row],[FECHA]])</f>
        <v>2026</v>
      </c>
      <c r="D236" s="183" t="s">
        <v>291</v>
      </c>
      <c r="E236" s="183" t="str">
        <f>UPPER(TEXT(TablaPrincipal[[#This Row],[FECHA]],"MMMM"))</f>
        <v>MARZO</v>
      </c>
      <c r="F236" s="183" t="str">
        <f>IFERROR(VLOOKUP(TablaPrincipal[[#This Row],[CODIGO]],COSECHAS!A:J,9,0),"-")</f>
        <v>11</v>
      </c>
      <c r="G236" s="183" t="str">
        <f>IFERROR(VLOOKUP(TablaPrincipal[[#This Row],[CODIGO]],COSECHAS!A:I,8,0),"-")</f>
        <v>GUATO</v>
      </c>
      <c r="H236" s="184">
        <f>IFERROR(VLOOKUP(TablaPrincipal[[#This Row],[CODIGO]],DATOS!A:B,2,0),"-")</f>
        <v>4.42</v>
      </c>
      <c r="I236" s="183" t="str">
        <f>IFERROR(VLOOKUP(TablaPrincipal[[#This Row],[CODIGO]],Tabla8[[#Headers],[#Data]],3,0),"-")</f>
        <v>CONVENCIONAL</v>
      </c>
      <c r="J236" s="183">
        <f>IFERROR(TablaPrincipal[[#This Row],[FECHA]]-TablaPrincipal[[#This Row],[FECHA DE SIEMBRA]],"-")</f>
        <v>83</v>
      </c>
      <c r="K236" s="196">
        <f>VLOOKUP(TablaPrincipal[[#This Row],[CODIGO]]&amp;TablaPrincipal[[#This Row],[AGUAJE ]],Tabla4[#All],4,0)</f>
        <v>46026</v>
      </c>
      <c r="L236" s="183" t="str">
        <f>VLOOKUP(TablaPrincipal[[#This Row],[CODIGO]]&amp;TablaPrincipal[[#This Row],[AGUAJE ]],Tabla4[#All],15,0)</f>
        <v>GT PC 5</v>
      </c>
      <c r="M236" s="184">
        <f>VLOOKUP(TablaPrincipal[[#This Row],[CODIGO]]&amp;TablaPrincipal[[#This Row],[AGUAJE ]],Tabla4[#All],14,0)</f>
        <v>0.62</v>
      </c>
      <c r="N236" s="183">
        <v>15</v>
      </c>
      <c r="O236" s="170">
        <f>VLOOKUP(TablaPrincipal[[#This Row],[CODIGO]]&amp;TablaPrincipal[[#This Row],[AGUAJE ]],Tabla4[#All],5,0)</f>
        <v>663000</v>
      </c>
      <c r="P236" s="221">
        <f>IFERROR(TablaPrincipal[[#This Row],[ANIM SEMBRADOS]]/TablaPrincipal[[#This Row],[HAS]],"-")</f>
        <v>150000</v>
      </c>
      <c r="Q236" s="222">
        <f>IFERROR(TablaPrincipal[[#This Row],[DENSIDAD]]/10000,"-")</f>
        <v>15</v>
      </c>
      <c r="R236" s="183" t="str">
        <f>VLOOKUP(TablaPrincipal[[#This Row],[CODIGO]]&amp;TablaPrincipal[[#This Row],[AGUAJE ]],Tabla4[#All],8,0)</f>
        <v>TECSERV</v>
      </c>
      <c r="S236" s="183" t="str">
        <f>VLOOKUP(TablaPrincipal[[#This Row],[CODIGO]]&amp;TablaPrincipal[[#This Row],[AGUAJE ]],Tabla4[#All],7,0)</f>
        <v>EMPAGRAN</v>
      </c>
      <c r="T236" s="183" t="str">
        <f>IF(ISNUMBER(FIND("/",TablaPrincipal[[#This Row],[LABORATORIO]])),"COMBINADO","UNICO")</f>
        <v>UNICO</v>
      </c>
      <c r="U2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11100</v>
      </c>
      <c r="V2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11400.009999999998</v>
      </c>
      <c r="W2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22.58</v>
      </c>
      <c r="Y236" s="185">
        <f>IFERROR(TablaPrincipal[[#This Row],[LIBRAS RALEO PLANTA]]/TablaPrincipal[[#This Row],[HAS]],"-")</f>
        <v>2579.1877828054294</v>
      </c>
      <c r="Z2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231068.81652333555</v>
      </c>
      <c r="AA23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2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11440.800000000001</v>
      </c>
      <c r="AC236" s="186">
        <f>SUMIFS(COSECHAS!F:F,COSECHAS!A:A,'BASE 2026'!AW:AW,COSECHAS!G:G,"="&amp;A:A)</f>
        <v>25</v>
      </c>
      <c r="AD236" s="186">
        <f>SUMIFS(COSECHAS!M:M,COSECHAS!A:A,'BASE 2026'!AW:AW,COSECHAS!G:G,"="&amp;A:A)</f>
        <v>28.11</v>
      </c>
      <c r="AE236" s="185">
        <f>IFERROR(TablaPrincipal[[#This Row],[LIBRAS PLANTA]]/TablaPrincipal[[#This Row],[HAS]],"-")</f>
        <v>2588.4162895927607</v>
      </c>
      <c r="AF236" s="185">
        <f>IFERROR(TablaPrincipal[[#This Row],[LIBRAS PLANTA]]*454/TablaPrincipal[[#This Row],[GRAMOS PLANTA]],"-")</f>
        <v>184778.48452508004</v>
      </c>
      <c r="AG236" s="185">
        <f>TablaPrincipal[[#This Row],[LIBRAS RALEO PLANTA]]+TablaPrincipal[[#This Row],[LIBRAS PLANTA]]</f>
        <v>22840.809999999998</v>
      </c>
      <c r="AH236" s="185">
        <f>IFERROR(TablaPrincipal[[#This Row],[CAM COSECHADOS RALEO]]+TablaPrincipal[[#This Row],[CAM COSECHADOS]],"-")</f>
        <v>415847.3010484156</v>
      </c>
      <c r="AI236" s="185">
        <f>IFERROR((TablaPrincipal[[#This Row],[LIBRAS RALEO PLANTA]]+TablaPrincipal[[#This Row],[LIBRAS PLANTA]])/TablaPrincipal[[#This Row],[HAS]],"0")</f>
        <v>5167.6040723981896</v>
      </c>
      <c r="AJ236" s="186">
        <f t="shared" si="3"/>
        <v>2.370722891566265</v>
      </c>
      <c r="AK236" s="186">
        <f>IFERROR(TablaPrincipal[[#This Row],[LBS/HA]]/TablaPrincipal[[#This Row],[DIAS]],"-")</f>
        <v>62.260290028893849</v>
      </c>
      <c r="AL236" s="186">
        <f>IFERROR(TablaPrincipal[[#This Row],[CAM COSECHADOS TOTALES]]/TablaPrincipal[[#This Row],[ANIM SEMBRADOS]]*100,"-")</f>
        <v>62.72206652313961</v>
      </c>
      <c r="AM236" s="185">
        <v>44698.264999999999</v>
      </c>
      <c r="AN236" s="187">
        <f>IFERROR(((TablaPrincipal[[#This Row],[BALANCEADO ACUMULADO (LBS)]]/2.2046)/TablaPrincipal[[#This Row],[HAS]])/TablaPrincipal[[#This Row],[DIAS]],"-")</f>
        <v>55.266314125279401</v>
      </c>
      <c r="AO236" s="184">
        <f>IFERROR(TablaPrincipal[[#This Row],[BALANCEADO ACUMULADO (LBS)]]/TablaPrincipal[[#This Row],[LIBRAS TOTALES]],"-")</f>
        <v>1.956947455015825</v>
      </c>
      <c r="AP236" s="184"/>
      <c r="AQ236" s="184"/>
      <c r="AR236" s="185">
        <f>TablaPrincipal[[#This Row],[LIBRAS RALEO PLANTA]]-TablaPrincipal[[#This Row],[LIBRAS RALEO CAMARONERA]]</f>
        <v>300.0099999999984</v>
      </c>
      <c r="AS236" s="185">
        <f>TablaPrincipal[[#This Row],[LIBRAS PLANTA]]-TablaPrincipal[[#This Row],[LIBRAS CAMARONERA]]</f>
        <v>340.80000000000109</v>
      </c>
      <c r="AT236" s="187">
        <f>TablaPrincipal[[#This Row],[GRAMAJE RALEO PLANTA]]-TablaPrincipal[[#This Row],[GRAMAJE RALEO CAMARONERA]]</f>
        <v>1.5799999999999983</v>
      </c>
      <c r="AU236" s="187">
        <f>TablaPrincipal[[#This Row],[GRAMOS PLANTA]]-TablaPrincipal[[#This Row],[GRAMAJE CAMARONERA]]</f>
        <v>3.1099999999999994</v>
      </c>
      <c r="AV236" s="183" t="str">
        <f>+VLOOKUP(TablaPrincipal[[#This Row],[CODIGO]],TablaCosechas[#All],10,0)</f>
        <v>JULIO SANTOS</v>
      </c>
      <c r="AW236" s="183" t="s">
        <v>318</v>
      </c>
      <c r="AX236" s="188" t="str">
        <f>+VLOOKUP(TablaPrincipal[[#This Row],[CODIGO]],TablaCosechas[#All],10,0)</f>
        <v>JULIO SANTOS</v>
      </c>
    </row>
    <row r="237" spans="1:50" hidden="1" x14ac:dyDescent="0.25">
      <c r="A237" s="196">
        <v>46110</v>
      </c>
      <c r="B237" s="183">
        <v>235</v>
      </c>
      <c r="C237" s="183">
        <f>YEAR(TablaPrincipal[[#This Row],[FECHA]])</f>
        <v>2026</v>
      </c>
      <c r="D237" s="183" t="s">
        <v>319</v>
      </c>
      <c r="E237" s="183" t="str">
        <f>UPPER(TEXT(TablaPrincipal[[#This Row],[FECHA]],"MMMM"))</f>
        <v>MARZO</v>
      </c>
      <c r="F237" s="183" t="str">
        <f>IFERROR(VLOOKUP(TablaPrincipal[[#This Row],[CODIGO]],COSECHAS!A:J,9,0),"-")</f>
        <v>21</v>
      </c>
      <c r="G237" s="183" t="str">
        <f>IFERROR(VLOOKUP(TablaPrincipal[[#This Row],[CODIGO]],COSECHAS!A:I,8,0),"-")</f>
        <v>CATANUDA</v>
      </c>
      <c r="H237" s="184">
        <f>IFERROR(VLOOKUP(TablaPrincipal[[#This Row],[CODIGO]],DATOS!A:B,2,0),"-")</f>
        <v>4</v>
      </c>
      <c r="I237" s="183" t="str">
        <f>IFERROR(VLOOKUP(TablaPrincipal[[#This Row],[CODIGO]],Tabla8[[#Headers],[#Data]],3,0),"-")</f>
        <v>ASC-BAP</v>
      </c>
      <c r="J237" s="183">
        <f>IFERROR(TablaPrincipal[[#This Row],[FECHA]]-TablaPrincipal[[#This Row],[FECHA DE SIEMBRA]],"-")</f>
        <v>82</v>
      </c>
      <c r="K237" s="196">
        <f>VLOOKUP(TablaPrincipal[[#This Row],[CODIGO]]&amp;TablaPrincipal[[#This Row],[AGUAJE ]],Tabla4[#All],4,0)</f>
        <v>46028</v>
      </c>
      <c r="L237" s="183" t="str">
        <f>VLOOKUP(TablaPrincipal[[#This Row],[CODIGO]]&amp;TablaPrincipal[[#This Row],[AGUAJE ]],Tabla4[#All],15,0)</f>
        <v>CA 15</v>
      </c>
      <c r="M237" s="184">
        <f>VLOOKUP(TablaPrincipal[[#This Row],[CODIGO]]&amp;TablaPrincipal[[#This Row],[AGUAJE ]],Tabla4[#All],14,0)</f>
        <v>0.52</v>
      </c>
      <c r="N237" s="183">
        <v>6</v>
      </c>
      <c r="O237" s="170">
        <f>VLOOKUP(TablaPrincipal[[#This Row],[CODIGO]]&amp;TablaPrincipal[[#This Row],[AGUAJE ]],Tabla4[#All],5,0)</f>
        <v>700000</v>
      </c>
      <c r="P237" s="221">
        <f>IFERROR(TablaPrincipal[[#This Row],[ANIM SEMBRADOS]]/TablaPrincipal[[#This Row],[HAS]],"-")</f>
        <v>175000</v>
      </c>
      <c r="Q237" s="222">
        <f>IFERROR(TablaPrincipal[[#This Row],[DENSIDAD]]/10000,"-")</f>
        <v>17.5</v>
      </c>
      <c r="R237" s="183" t="str">
        <f>VLOOKUP(TablaPrincipal[[#This Row],[CODIGO]]&amp;TablaPrincipal[[#This Row],[AGUAJE ]],Tabla4[#All],8,0)</f>
        <v>AQUANOVA</v>
      </c>
      <c r="S237" s="183" t="str">
        <f>VLOOKUP(TablaPrincipal[[#This Row],[CODIGO]]&amp;TablaPrincipal[[#This Row],[AGUAJE ]],Tabla4[#All],7,0)</f>
        <v>TEXCUMAR</v>
      </c>
      <c r="T237" s="183" t="str">
        <f>IF(ISNUMBER(FIND("/",TablaPrincipal[[#This Row],[LABORATORIO]])),"COMBINADO","UNICO")</f>
        <v>UNICO</v>
      </c>
      <c r="U2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37" s="185">
        <f>IFERROR(TablaPrincipal[[#This Row],[LIBRAS RALEO PLANTA]]/TablaPrincipal[[#This Row],[HAS]],"-")</f>
        <v>0</v>
      </c>
      <c r="Z2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3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23000</v>
      </c>
      <c r="AB2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25540.16</v>
      </c>
      <c r="AC237" s="186">
        <f>SUMIFS(COSECHAS!F:F,COSECHAS!A:A,'BASE 2026'!AW:AW,COSECHAS!G:G,"="&amp;A:A)</f>
        <v>40</v>
      </c>
      <c r="AD237" s="186">
        <f>SUMIFS(COSECHAS!M:M,COSECHAS!A:A,'BASE 2026'!AW:AW,COSECHAS!G:G,"="&amp;A:A)</f>
        <v>39</v>
      </c>
      <c r="AE237" s="185">
        <f>IFERROR(TablaPrincipal[[#This Row],[LIBRAS PLANTA]]/TablaPrincipal[[#This Row],[HAS]],"-")</f>
        <v>6385.04</v>
      </c>
      <c r="AF237" s="185">
        <f>IFERROR(TablaPrincipal[[#This Row],[LIBRAS PLANTA]]*454/TablaPrincipal[[#This Row],[GRAMOS PLANTA]],"-")</f>
        <v>297313.65743589745</v>
      </c>
      <c r="AG237" s="185">
        <f>TablaPrincipal[[#This Row],[LIBRAS RALEO PLANTA]]+TablaPrincipal[[#This Row],[LIBRAS PLANTA]]</f>
        <v>25540.16</v>
      </c>
      <c r="AH237" s="185">
        <f>IFERROR(TablaPrincipal[[#This Row],[CAM COSECHADOS RALEO]]+TablaPrincipal[[#This Row],[CAM COSECHADOS]],"-")</f>
        <v>297313.65743589745</v>
      </c>
      <c r="AI237" s="185">
        <f>IFERROR((TablaPrincipal[[#This Row],[LIBRAS RALEO PLANTA]]+TablaPrincipal[[#This Row],[LIBRAS PLANTA]])/TablaPrincipal[[#This Row],[HAS]],"0")</f>
        <v>6385.04</v>
      </c>
      <c r="AJ237" s="186">
        <f t="shared" si="3"/>
        <v>3.3292682926829271</v>
      </c>
      <c r="AK237" s="186">
        <f>IFERROR(TablaPrincipal[[#This Row],[LBS/HA]]/TablaPrincipal[[#This Row],[DIAS]],"-")</f>
        <v>77.866341463414628</v>
      </c>
      <c r="AL237" s="186">
        <f>IFERROR(TablaPrincipal[[#This Row],[CAM COSECHADOS TOTALES]]/TablaPrincipal[[#This Row],[ANIM SEMBRADOS]]*100,"-")</f>
        <v>42.473379633699636</v>
      </c>
      <c r="AM237" s="185">
        <v>40261.5075</v>
      </c>
      <c r="AN237" s="187">
        <f>IFERROR(((TablaPrincipal[[#This Row],[BALANCEADO ACUMULADO (LBS)]]/2.2046)/TablaPrincipal[[#This Row],[HAS]])/TablaPrincipal[[#This Row],[DIAS]],"-")</f>
        <v>55.678353658536587</v>
      </c>
      <c r="AO237" s="184">
        <f>IFERROR(TablaPrincipal[[#This Row],[BALANCEADO ACUMULADO (LBS)]]/TablaPrincipal[[#This Row],[LIBRAS TOTALES]],"-")</f>
        <v>1.5763999716524877</v>
      </c>
      <c r="AP237" s="184"/>
      <c r="AQ237" s="184"/>
      <c r="AR237" s="185">
        <f>TablaPrincipal[[#This Row],[LIBRAS RALEO PLANTA]]-TablaPrincipal[[#This Row],[LIBRAS RALEO CAMARONERA]]</f>
        <v>0</v>
      </c>
      <c r="AS237" s="185">
        <f>TablaPrincipal[[#This Row],[LIBRAS PLANTA]]-TablaPrincipal[[#This Row],[LIBRAS CAMARONERA]]</f>
        <v>2540.16</v>
      </c>
      <c r="AT237" s="187">
        <f>TablaPrincipal[[#This Row],[GRAMAJE RALEO PLANTA]]-TablaPrincipal[[#This Row],[GRAMAJE RALEO CAMARONERA]]</f>
        <v>0</v>
      </c>
      <c r="AU237" s="187">
        <f>TablaPrincipal[[#This Row],[GRAMOS PLANTA]]-TablaPrincipal[[#This Row],[GRAMAJE CAMARONERA]]</f>
        <v>-1</v>
      </c>
      <c r="AV237" s="183" t="str">
        <f>+VLOOKUP(TablaPrincipal[[#This Row],[CODIGO]],TablaCosechas[#All],10,0)</f>
        <v>VICTOR QUINTANA</v>
      </c>
      <c r="AW237" s="183" t="s">
        <v>320</v>
      </c>
      <c r="AX237" s="188" t="str">
        <f>+VLOOKUP(TablaPrincipal[[#This Row],[CODIGO]],TablaCosechas[#All],10,0)</f>
        <v>VICTOR QUINTANA</v>
      </c>
    </row>
    <row r="238" spans="1:50" hidden="1" x14ac:dyDescent="0.25">
      <c r="A238" s="196">
        <v>46111</v>
      </c>
      <c r="B238" s="183">
        <v>236</v>
      </c>
      <c r="C238" s="183">
        <f>YEAR(TablaPrincipal[[#This Row],[FECHA]])</f>
        <v>2026</v>
      </c>
      <c r="D238" s="183" t="s">
        <v>319</v>
      </c>
      <c r="E238" s="183" t="str">
        <f>UPPER(TEXT(TablaPrincipal[[#This Row],[FECHA]],"MMMM"))</f>
        <v>MARZO</v>
      </c>
      <c r="F238" s="183" t="str">
        <f>IFERROR(VLOOKUP(TablaPrincipal[[#This Row],[CODIGO]],COSECHAS!A:J,9,0),"-")</f>
        <v>02</v>
      </c>
      <c r="G238" s="183" t="str">
        <f>IFERROR(VLOOKUP(TablaPrincipal[[#This Row],[CODIGO]],COSECHAS!A:I,8,0),"-")</f>
        <v>GUATO</v>
      </c>
      <c r="H238" s="184">
        <f>IFERROR(VLOOKUP(TablaPrincipal[[#This Row],[CODIGO]],DATOS!A:B,2,0),"-")</f>
        <v>4</v>
      </c>
      <c r="I238" s="183" t="str">
        <f>IFERROR(VLOOKUP(TablaPrincipal[[#This Row],[CODIGO]],Tabla8[[#Headers],[#Data]],3,0),"-")</f>
        <v>CONVENCIONAL</v>
      </c>
      <c r="J238" s="183">
        <f>IFERROR(TablaPrincipal[[#This Row],[FECHA]]-TablaPrincipal[[#This Row],[FECHA DE SIEMBRA]],"-")</f>
        <v>81</v>
      </c>
      <c r="K238" s="196">
        <f>VLOOKUP(TablaPrincipal[[#This Row],[CODIGO]]&amp;TablaPrincipal[[#This Row],[AGUAJE ]],Tabla4[#All],4,0)</f>
        <v>46030</v>
      </c>
      <c r="L238" s="183" t="str">
        <f>VLOOKUP(TablaPrincipal[[#This Row],[CODIGO]]&amp;TablaPrincipal[[#This Row],[AGUAJE ]],Tabla4[#All],15,0)</f>
        <v>GT PC 3</v>
      </c>
      <c r="M238" s="184">
        <f>VLOOKUP(TablaPrincipal[[#This Row],[CODIGO]]&amp;TablaPrincipal[[#This Row],[AGUAJE ]],Tabla4[#All],14,0)</f>
        <v>0.47</v>
      </c>
      <c r="N238" s="183">
        <v>16</v>
      </c>
      <c r="O238" s="170">
        <f>VLOOKUP(TablaPrincipal[[#This Row],[CODIGO]]&amp;TablaPrincipal[[#This Row],[AGUAJE ]],Tabla4[#All],5,0)</f>
        <v>600000</v>
      </c>
      <c r="P238" s="221">
        <f>IFERROR(TablaPrincipal[[#This Row],[ANIM SEMBRADOS]]/TablaPrincipal[[#This Row],[HAS]],"-")</f>
        <v>150000</v>
      </c>
      <c r="Q238" s="222">
        <f>IFERROR(TablaPrincipal[[#This Row],[DENSIDAD]]/10000,"-")</f>
        <v>15</v>
      </c>
      <c r="R238" s="183" t="str">
        <f>VLOOKUP(TablaPrincipal[[#This Row],[CODIGO]]&amp;TablaPrincipal[[#This Row],[AGUAJE ]],Tabla4[#All],8,0)</f>
        <v>GENESIS</v>
      </c>
      <c r="S238" s="183" t="str">
        <f>VLOOKUP(TablaPrincipal[[#This Row],[CODIGO]]&amp;TablaPrincipal[[#This Row],[AGUAJE ]],Tabla4[#All],7,0)</f>
        <v>TEXCUMAR</v>
      </c>
      <c r="T238" s="183" t="str">
        <f>IF(ISNUMBER(FIND("/",TablaPrincipal[[#This Row],[LABORATORIO]])),"COMBINADO","UNICO")</f>
        <v>UNICO</v>
      </c>
      <c r="U2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8200</v>
      </c>
      <c r="V2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8892.7599999999984</v>
      </c>
      <c r="W2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27.060000000000002</v>
      </c>
      <c r="Y238" s="185">
        <f>IFERROR(TablaPrincipal[[#This Row],[LIBRAS RALEO PLANTA]]/TablaPrincipal[[#This Row],[HAS]],"-")</f>
        <v>2223.1899999999996</v>
      </c>
      <c r="Z2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153355.19260605791</v>
      </c>
      <c r="AA23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14100</v>
      </c>
      <c r="AB2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16100.33</v>
      </c>
      <c r="AC238" s="186">
        <f>SUMIFS(COSECHAS!F:F,COSECHAS!A:A,'BASE 2026'!AW:AW,COSECHAS!G:G,"="&amp;A:A)</f>
        <v>32</v>
      </c>
      <c r="AD238" s="186">
        <f>SUMIFS(COSECHAS!M:M,COSECHAS!A:A,'BASE 2026'!AW:AW,COSECHAS!G:G,"="&amp;A:A)</f>
        <v>35.93</v>
      </c>
      <c r="AE238" s="185">
        <f>IFERROR(TablaPrincipal[[#This Row],[LIBRAS PLANTA]]/TablaPrincipal[[#This Row],[HAS]],"-")</f>
        <v>4025.0825</v>
      </c>
      <c r="AF238" s="185">
        <f>IFERROR(TablaPrincipal[[#This Row],[LIBRAS PLANTA]]*454/TablaPrincipal[[#This Row],[GRAMOS PLANTA]],"-")</f>
        <v>203438.62566100754</v>
      </c>
      <c r="AG238" s="185">
        <f>TablaPrincipal[[#This Row],[LIBRAS RALEO PLANTA]]+TablaPrincipal[[#This Row],[LIBRAS PLANTA]]</f>
        <v>24993.089999999997</v>
      </c>
      <c r="AH238" s="185">
        <f>IFERROR(TablaPrincipal[[#This Row],[CAM COSECHADOS RALEO]]+TablaPrincipal[[#This Row],[CAM COSECHADOS]],"-")</f>
        <v>356793.81826706545</v>
      </c>
      <c r="AI238" s="185">
        <f>IFERROR((TablaPrincipal[[#This Row],[LIBRAS RALEO PLANTA]]+TablaPrincipal[[#This Row],[LIBRAS PLANTA]])/TablaPrincipal[[#This Row],[HAS]],"0")</f>
        <v>6248.2724999999991</v>
      </c>
      <c r="AJ238" s="186">
        <f t="shared" si="3"/>
        <v>3.1050617283950617</v>
      </c>
      <c r="AK238" s="186">
        <f>IFERROR(TablaPrincipal[[#This Row],[LBS/HA]]/TablaPrincipal[[#This Row],[DIAS]],"-")</f>
        <v>77.139166666666654</v>
      </c>
      <c r="AL238" s="186">
        <f>IFERROR(TablaPrincipal[[#This Row],[CAM COSECHADOS TOTALES]]/TablaPrincipal[[#This Row],[ANIM SEMBRADOS]]*100,"-")</f>
        <v>59.465636377844241</v>
      </c>
      <c r="AM238" s="185">
        <v>39021.420000000006</v>
      </c>
      <c r="AN238" s="187">
        <f>IFERROR(((TablaPrincipal[[#This Row],[BALANCEADO ACUMULADO (LBS)]]/2.2046)/TablaPrincipal[[#This Row],[HAS]])/TablaPrincipal[[#This Row],[DIAS]],"-")</f>
        <v>54.629629629629626</v>
      </c>
      <c r="AO238" s="184">
        <f>IFERROR(TablaPrincipal[[#This Row],[BALANCEADO ACUMULADO (LBS)]]/TablaPrincipal[[#This Row],[LIBRAS TOTALES]],"-")</f>
        <v>1.5612883400972033</v>
      </c>
      <c r="AP238" s="184"/>
      <c r="AQ238" s="184"/>
      <c r="AR238" s="185">
        <f>TablaPrincipal[[#This Row],[LIBRAS RALEO PLANTA]]-TablaPrincipal[[#This Row],[LIBRAS RALEO CAMARONERA]]</f>
        <v>692.7599999999984</v>
      </c>
      <c r="AS238" s="185">
        <f>TablaPrincipal[[#This Row],[LIBRAS PLANTA]]-TablaPrincipal[[#This Row],[LIBRAS CAMARONERA]]</f>
        <v>2000.33</v>
      </c>
      <c r="AT238" s="187">
        <f>TablaPrincipal[[#This Row],[GRAMAJE RALEO PLANTA]]-TablaPrincipal[[#This Row],[GRAMAJE RALEO CAMARONERA]]</f>
        <v>2.5600000000000023</v>
      </c>
      <c r="AU238" s="187">
        <f>TablaPrincipal[[#This Row],[GRAMOS PLANTA]]-TablaPrincipal[[#This Row],[GRAMAJE CAMARONERA]]</f>
        <v>3.9299999999999997</v>
      </c>
      <c r="AV238" s="183" t="str">
        <f>+VLOOKUP(TablaPrincipal[[#This Row],[CODIGO]],TablaCosechas[#All],10,0)</f>
        <v>JULIO SANTOS</v>
      </c>
      <c r="AW238" s="183" t="s">
        <v>321</v>
      </c>
      <c r="AX238" s="188" t="str">
        <f>+VLOOKUP(TablaPrincipal[[#This Row],[CODIGO]],TablaCosechas[#All],10,0)</f>
        <v>JULIO SANTOS</v>
      </c>
    </row>
    <row r="239" spans="1:50" hidden="1" x14ac:dyDescent="0.25">
      <c r="A239" s="196">
        <v>46111</v>
      </c>
      <c r="B239" s="183">
        <v>237</v>
      </c>
      <c r="C239" s="183">
        <f>YEAR(TablaPrincipal[[#This Row],[FECHA]])</f>
        <v>2026</v>
      </c>
      <c r="D239" s="183" t="s">
        <v>319</v>
      </c>
      <c r="E239" s="183" t="str">
        <f>UPPER(TEXT(TablaPrincipal[[#This Row],[FECHA]],"MMMM"))</f>
        <v>MARZO</v>
      </c>
      <c r="F239" s="183" t="str">
        <f>IFERROR(VLOOKUP(TablaPrincipal[[#This Row],[CODIGO]],COSECHAS!A:J,9,0),"-")</f>
        <v>12</v>
      </c>
      <c r="G239" s="183" t="str">
        <f>IFERROR(VLOOKUP(TablaPrincipal[[#This Row],[CODIGO]],COSECHAS!A:I,8,0),"-")</f>
        <v>TIBURON</v>
      </c>
      <c r="H239" s="184">
        <f>IFERROR(VLOOKUP(TablaPrincipal[[#This Row],[CODIGO]],DATOS!A:B,2,0),"-")</f>
        <v>3.81</v>
      </c>
      <c r="I239" s="183" t="str">
        <f>IFERROR(VLOOKUP(TablaPrincipal[[#This Row],[CODIGO]],Tabla8[[#Headers],[#Data]],3,0),"-")</f>
        <v>ASC-BAP</v>
      </c>
      <c r="J239" s="183">
        <f>IFERROR(TablaPrincipal[[#This Row],[FECHA]]-TablaPrincipal[[#This Row],[FECHA DE SIEMBRA]],"-")</f>
        <v>86</v>
      </c>
      <c r="K239" s="196">
        <f>VLOOKUP(TablaPrincipal[[#This Row],[CODIGO]]&amp;TablaPrincipal[[#This Row],[AGUAJE ]],Tabla4[#All],4,0)</f>
        <v>46025</v>
      </c>
      <c r="L239" s="183" t="str">
        <f>VLOOKUP(TablaPrincipal[[#This Row],[CODIGO]]&amp;TablaPrincipal[[#This Row],[AGUAJE ]],Tabla4[#All],15,0)</f>
        <v>TI 30</v>
      </c>
      <c r="M239" s="184">
        <f>VLOOKUP(TablaPrincipal[[#This Row],[CODIGO]]&amp;TablaPrincipal[[#This Row],[AGUAJE ]],Tabla4[#All],14,0)</f>
        <v>0.64</v>
      </c>
      <c r="N239" s="183">
        <v>7</v>
      </c>
      <c r="O239" s="170">
        <f>VLOOKUP(TablaPrincipal[[#This Row],[CODIGO]]&amp;TablaPrincipal[[#This Row],[AGUAJE ]],Tabla4[#All],5,0)</f>
        <v>876300</v>
      </c>
      <c r="P239" s="221">
        <f>IFERROR(TablaPrincipal[[#This Row],[ANIM SEMBRADOS]]/TablaPrincipal[[#This Row],[HAS]],"-")</f>
        <v>230000</v>
      </c>
      <c r="Q239" s="222">
        <f>IFERROR(TablaPrincipal[[#This Row],[DENSIDAD]]/10000,"-")</f>
        <v>23</v>
      </c>
      <c r="R239" s="183" t="str">
        <f>VLOOKUP(TablaPrincipal[[#This Row],[CODIGO]]&amp;TablaPrincipal[[#This Row],[AGUAJE ]],Tabla4[#All],8,0)</f>
        <v>NARIHUALA</v>
      </c>
      <c r="S239" s="183" t="str">
        <f>VLOOKUP(TablaPrincipal[[#This Row],[CODIGO]]&amp;TablaPrincipal[[#This Row],[AGUAJE ]],Tabla4[#All],7,0)</f>
        <v>TEXCUMAR</v>
      </c>
      <c r="T239" s="183" t="str">
        <f>IF(ISNUMBER(FIND("/",TablaPrincipal[[#This Row],[LABORATORIO]])),"COMBINADO","UNICO")</f>
        <v>UNICO</v>
      </c>
      <c r="U2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10200</v>
      </c>
      <c r="V2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11234.810000000001</v>
      </c>
      <c r="W2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22.55</v>
      </c>
      <c r="Y239" s="185">
        <f>IFERROR(TablaPrincipal[[#This Row],[LIBRAS RALEO PLANTA]]/TablaPrincipal[[#This Row],[HAS]],"-")</f>
        <v>2948.7690288713916</v>
      </c>
      <c r="Z2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238864.20090426219</v>
      </c>
      <c r="AA23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24800</v>
      </c>
      <c r="AB2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25465.66</v>
      </c>
      <c r="AC239" s="186">
        <f>SUMIFS(COSECHAS!F:F,COSECHAS!A:A,'BASE 2026'!AW:AW,COSECHAS!G:G,"="&amp;A:A)</f>
        <v>35.200000000000003</v>
      </c>
      <c r="AD239" s="186">
        <f>SUMIFS(COSECHAS!M:M,COSECHAS!A:A,'BASE 2026'!AW:AW,COSECHAS!G:G,"="&amp;A:A)</f>
        <v>34.54</v>
      </c>
      <c r="AE239" s="185">
        <f>IFERROR(TablaPrincipal[[#This Row],[LIBRAS PLANTA]]/TablaPrincipal[[#This Row],[HAS]],"-")</f>
        <v>6683.9002624671912</v>
      </c>
      <c r="AF239" s="185">
        <f>IFERROR(TablaPrincipal[[#This Row],[LIBRAS PLANTA]]*454/TablaPrincipal[[#This Row],[GRAMOS PLANTA]],"-")</f>
        <v>334725.23566878983</v>
      </c>
      <c r="AG239" s="185">
        <f>TablaPrincipal[[#This Row],[LIBRAS RALEO PLANTA]]+TablaPrincipal[[#This Row],[LIBRAS PLANTA]]</f>
        <v>36700.47</v>
      </c>
      <c r="AH239" s="185">
        <f>IFERROR(TablaPrincipal[[#This Row],[CAM COSECHADOS RALEO]]+TablaPrincipal[[#This Row],[CAM COSECHADOS]],"-")</f>
        <v>573589.43657305208</v>
      </c>
      <c r="AI239" s="185">
        <f>IFERROR((TablaPrincipal[[#This Row],[LIBRAS RALEO PLANTA]]+TablaPrincipal[[#This Row],[LIBRAS PLANTA]])/TablaPrincipal[[#This Row],[HAS]],"0")</f>
        <v>9632.6692913385832</v>
      </c>
      <c r="AJ239" s="186">
        <f t="shared" si="3"/>
        <v>2.811395348837209</v>
      </c>
      <c r="AK239" s="186">
        <f>IFERROR(TablaPrincipal[[#This Row],[LBS/HA]]/TablaPrincipal[[#This Row],[DIAS]],"-")</f>
        <v>112.00778245742539</v>
      </c>
      <c r="AL239" s="186">
        <f>IFERROR(TablaPrincipal[[#This Row],[CAM COSECHADOS TOTALES]]/TablaPrincipal[[#This Row],[ANIM SEMBRADOS]]*100,"-")</f>
        <v>65.455829804068472</v>
      </c>
      <c r="AM239" s="185">
        <v>58532.130000000005</v>
      </c>
      <c r="AN239" s="187">
        <f>IFERROR(((TablaPrincipal[[#This Row],[BALANCEADO ACUMULADO (LBS)]]/2.2046)/TablaPrincipal[[#This Row],[HAS]])/TablaPrincipal[[#This Row],[DIAS]],"-")</f>
        <v>81.02911554660318</v>
      </c>
      <c r="AO239" s="184">
        <f>IFERROR(TablaPrincipal[[#This Row],[BALANCEADO ACUMULADO (LBS)]]/TablaPrincipal[[#This Row],[LIBRAS TOTALES]],"-")</f>
        <v>1.5948605017864894</v>
      </c>
      <c r="AP239" s="184"/>
      <c r="AQ239" s="184"/>
      <c r="AR239" s="185">
        <f>TablaPrincipal[[#This Row],[LIBRAS RALEO PLANTA]]-TablaPrincipal[[#This Row],[LIBRAS RALEO CAMARONERA]]</f>
        <v>1034.8100000000013</v>
      </c>
      <c r="AS239" s="185">
        <f>TablaPrincipal[[#This Row],[LIBRAS PLANTA]]-TablaPrincipal[[#This Row],[LIBRAS CAMARONERA]]</f>
        <v>665.65999999999985</v>
      </c>
      <c r="AT239" s="187">
        <f>TablaPrincipal[[#This Row],[GRAMAJE RALEO PLANTA]]-TablaPrincipal[[#This Row],[GRAMAJE RALEO CAMARONERA]]</f>
        <v>0.55000000000000071</v>
      </c>
      <c r="AU239" s="187">
        <f>TablaPrincipal[[#This Row],[GRAMOS PLANTA]]-TablaPrincipal[[#This Row],[GRAMAJE CAMARONERA]]</f>
        <v>-0.66000000000000369</v>
      </c>
      <c r="AV239" s="183" t="str">
        <f>+VLOOKUP(TablaPrincipal[[#This Row],[CODIGO]],TablaCosechas[#All],10,0)</f>
        <v>ALFONSO GRUNAUER</v>
      </c>
      <c r="AW239" s="183" t="s">
        <v>322</v>
      </c>
      <c r="AX239" s="188" t="str">
        <f>+VLOOKUP(TablaPrincipal[[#This Row],[CODIGO]],TablaCosechas[#All],10,0)</f>
        <v>ALFONSO GRUNAUER</v>
      </c>
    </row>
    <row r="240" spans="1:50" hidden="1" x14ac:dyDescent="0.25">
      <c r="A240" s="196">
        <v>46112</v>
      </c>
      <c r="B240" s="183">
        <v>238</v>
      </c>
      <c r="C240" s="183">
        <f>YEAR(TablaPrincipal[[#This Row],[FECHA]])</f>
        <v>2026</v>
      </c>
      <c r="D240" s="183" t="s">
        <v>319</v>
      </c>
      <c r="E240" s="183" t="str">
        <f>UPPER(TEXT(TablaPrincipal[[#This Row],[FECHA]],"MMMM"))</f>
        <v>MARZO</v>
      </c>
      <c r="F240" s="183" t="str">
        <f>IFERROR(VLOOKUP(TablaPrincipal[[#This Row],[CODIGO]],COSECHAS!A:J,9,0),"-")</f>
        <v>11</v>
      </c>
      <c r="G240" s="183" t="str">
        <f>IFERROR(VLOOKUP(TablaPrincipal[[#This Row],[CODIGO]],COSECHAS!A:I,8,0),"-")</f>
        <v>ROBALO</v>
      </c>
      <c r="H240" s="184">
        <f>IFERROR(VLOOKUP(TablaPrincipal[[#This Row],[CODIGO]],DATOS!A:B,2,0),"-")</f>
        <v>2</v>
      </c>
      <c r="I240" s="183" t="str">
        <f>IFERROR(VLOOKUP(TablaPrincipal[[#This Row],[CODIGO]],Tabla8[[#Headers],[#Data]],3,0),"-")</f>
        <v>ASC-BAP</v>
      </c>
      <c r="J240" s="183">
        <f>IFERROR(TablaPrincipal[[#This Row],[FECHA]]-TablaPrincipal[[#This Row],[FECHA DE SIEMBRA]],"-")</f>
        <v>74</v>
      </c>
      <c r="K240" s="196">
        <f>VLOOKUP(TablaPrincipal[[#This Row],[CODIGO]]&amp;TablaPrincipal[[#This Row],[AGUAJE ]],Tabla4[#All],4,0)</f>
        <v>46038</v>
      </c>
      <c r="L240" s="183" t="str">
        <f>VLOOKUP(TablaPrincipal[[#This Row],[CODIGO]]&amp;TablaPrincipal[[#This Row],[AGUAJE ]],Tabla4[#All],15,0)</f>
        <v>RO 16</v>
      </c>
      <c r="M240" s="184">
        <f>VLOOKUP(TablaPrincipal[[#This Row],[CODIGO]]&amp;TablaPrincipal[[#This Row],[AGUAJE ]],Tabla4[#All],14,0)</f>
        <v>0.92</v>
      </c>
      <c r="N240" s="183">
        <v>8</v>
      </c>
      <c r="O240" s="170">
        <f>VLOOKUP(TablaPrincipal[[#This Row],[CODIGO]]&amp;TablaPrincipal[[#This Row],[AGUAJE ]],Tabla4[#All],5,0)</f>
        <v>340000</v>
      </c>
      <c r="P240" s="221">
        <f>IFERROR(TablaPrincipal[[#This Row],[ANIM SEMBRADOS]]/TablaPrincipal[[#This Row],[HAS]],"-")</f>
        <v>170000</v>
      </c>
      <c r="Q240" s="222">
        <f>IFERROR(TablaPrincipal[[#This Row],[DENSIDAD]]/10000,"-")</f>
        <v>17</v>
      </c>
      <c r="R240" s="183" t="str">
        <f>VLOOKUP(TablaPrincipal[[#This Row],[CODIGO]]&amp;TablaPrincipal[[#This Row],[AGUAJE ]],Tabla4[#All],8,0)</f>
        <v>BIOLACAM</v>
      </c>
      <c r="S240" s="183" t="str">
        <f>VLOOKUP(TablaPrincipal[[#This Row],[CODIGO]]&amp;TablaPrincipal[[#This Row],[AGUAJE ]],Tabla4[#All],7,0)</f>
        <v>TEXCUMAR</v>
      </c>
      <c r="T240" s="183" t="str">
        <f>IF(ISNUMBER(FIND("/",TablaPrincipal[[#This Row],[LABORATORIO]])),"COMBINADO","UNICO")</f>
        <v>UNICO</v>
      </c>
      <c r="U2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2000</v>
      </c>
      <c r="V2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2946.8</v>
      </c>
      <c r="W2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2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28.42</v>
      </c>
      <c r="Y240" s="185">
        <f>IFERROR(TablaPrincipal[[#This Row],[LIBRAS RALEO PLANTA]]/TablaPrincipal[[#This Row],[HAS]],"-")</f>
        <v>1473.4</v>
      </c>
      <c r="Z2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47074.144968332163</v>
      </c>
      <c r="AA24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8200</v>
      </c>
      <c r="AB2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9543.85</v>
      </c>
      <c r="AC240" s="186">
        <f>SUMIFS(COSECHAS!F:F,COSECHAS!A:A,'BASE 2026'!AW:AW,COSECHAS!G:G,"="&amp;A:A)</f>
        <v>29</v>
      </c>
      <c r="AD240" s="186">
        <f>SUMIFS(COSECHAS!M:M,COSECHAS!A:A,'BASE 2026'!AW:AW,COSECHAS!G:G,"="&amp;A:A)</f>
        <v>28.6</v>
      </c>
      <c r="AE240" s="185">
        <f>IFERROR(TablaPrincipal[[#This Row],[LIBRAS PLANTA]]/TablaPrincipal[[#This Row],[HAS]],"-")</f>
        <v>4771.9250000000002</v>
      </c>
      <c r="AF240" s="185">
        <f>IFERROR(TablaPrincipal[[#This Row],[LIBRAS PLANTA]]*454/TablaPrincipal[[#This Row],[GRAMOS PLANTA]],"-")</f>
        <v>151500.27622377622</v>
      </c>
      <c r="AG240" s="185">
        <f>TablaPrincipal[[#This Row],[LIBRAS RALEO PLANTA]]+TablaPrincipal[[#This Row],[LIBRAS PLANTA]]</f>
        <v>12490.650000000001</v>
      </c>
      <c r="AH240" s="185">
        <f>IFERROR(TablaPrincipal[[#This Row],[CAM COSECHADOS RALEO]]+TablaPrincipal[[#This Row],[CAM COSECHADOS]],"-")</f>
        <v>198574.42119210839</v>
      </c>
      <c r="AI240" s="185">
        <f>IFERROR((TablaPrincipal[[#This Row],[LIBRAS RALEO PLANTA]]+TablaPrincipal[[#This Row],[LIBRAS PLANTA]])/TablaPrincipal[[#This Row],[HAS]],"0")</f>
        <v>6245.3250000000007</v>
      </c>
      <c r="AJ240" s="186">
        <f t="shared" si="3"/>
        <v>2.7054054054054055</v>
      </c>
      <c r="AK240" s="186">
        <f>IFERROR(TablaPrincipal[[#This Row],[LBS/HA]]/TablaPrincipal[[#This Row],[DIAS]],"-")</f>
        <v>84.396283783783787</v>
      </c>
      <c r="AL240" s="186">
        <f>IFERROR(TablaPrincipal[[#This Row],[CAM COSECHADOS TOTALES]]/TablaPrincipal[[#This Row],[ANIM SEMBRADOS]]*100,"-")</f>
        <v>58.404241527090704</v>
      </c>
      <c r="AM240" s="185">
        <v>18155.9833</v>
      </c>
      <c r="AN240" s="187">
        <f>IFERROR(((TablaPrincipal[[#This Row],[BALANCEADO ACUMULADO (LBS)]]/2.2046)/TablaPrincipal[[#This Row],[HAS]])/TablaPrincipal[[#This Row],[DIAS]],"-")</f>
        <v>55.645270270270274</v>
      </c>
      <c r="AO240" s="184">
        <f>IFERROR(TablaPrincipal[[#This Row],[BALANCEADO ACUMULADO (LBS)]]/TablaPrincipal[[#This Row],[LIBRAS TOTALES]],"-")</f>
        <v>1.4535659313166247</v>
      </c>
      <c r="AP240" s="184"/>
      <c r="AQ240" s="184"/>
      <c r="AR240" s="185">
        <f>TablaPrincipal[[#This Row],[LIBRAS RALEO PLANTA]]-TablaPrincipal[[#This Row],[LIBRAS RALEO CAMARONERA]]</f>
        <v>946.80000000000018</v>
      </c>
      <c r="AS240" s="185">
        <f>TablaPrincipal[[#This Row],[LIBRAS PLANTA]]-TablaPrincipal[[#This Row],[LIBRAS CAMARONERA]]</f>
        <v>1343.8500000000004</v>
      </c>
      <c r="AT240" s="187">
        <f>TablaPrincipal[[#This Row],[GRAMAJE RALEO PLANTA]]-TablaPrincipal[[#This Row],[GRAMAJE RALEO CAMARONERA]]</f>
        <v>1.4200000000000017</v>
      </c>
      <c r="AU240" s="187">
        <f>TablaPrincipal[[#This Row],[GRAMOS PLANTA]]-TablaPrincipal[[#This Row],[GRAMAJE CAMARONERA]]</f>
        <v>-0.39999999999999858</v>
      </c>
      <c r="AV240" s="183" t="str">
        <f>+VLOOKUP(TablaPrincipal[[#This Row],[CODIGO]],TablaCosechas[#All],10,0)</f>
        <v>VICTOR QUINTANA</v>
      </c>
      <c r="AW240" s="183" t="s">
        <v>129</v>
      </c>
      <c r="AX240" s="188" t="str">
        <f>+VLOOKUP(TablaPrincipal[[#This Row],[CODIGO]],TablaCosechas[#All],10,0)</f>
        <v>VICTOR QUINTANA</v>
      </c>
    </row>
    <row r="241" spans="1:50" hidden="1" x14ac:dyDescent="0.25">
      <c r="A241" s="196">
        <v>46112</v>
      </c>
      <c r="B241" s="183">
        <v>239</v>
      </c>
      <c r="C241" s="183">
        <f>YEAR(TablaPrincipal[[#This Row],[FECHA]])</f>
        <v>2026</v>
      </c>
      <c r="D241" s="183" t="s">
        <v>319</v>
      </c>
      <c r="E241" s="183" t="str">
        <f>UPPER(TEXT(TablaPrincipal[[#This Row],[FECHA]],"MMMM"))</f>
        <v>MARZO</v>
      </c>
      <c r="F241" s="183" t="str">
        <f>IFERROR(VLOOKUP(TablaPrincipal[[#This Row],[CODIGO]],COSECHAS!A:J,9,0),"-")</f>
        <v>10</v>
      </c>
      <c r="G241" s="183" t="str">
        <f>IFERROR(VLOOKUP(TablaPrincipal[[#This Row],[CODIGO]],COSECHAS!A:I,8,0),"-")</f>
        <v>CHERNA</v>
      </c>
      <c r="H241" s="184">
        <f>IFERROR(VLOOKUP(TablaPrincipal[[#This Row],[CODIGO]],DATOS!A:B,2,0),"-")</f>
        <v>7.8</v>
      </c>
      <c r="I241" s="183" t="str">
        <f>IFERROR(VLOOKUP(TablaPrincipal[[#This Row],[CODIGO]],Tabla8[[#Headers],[#Data]],3,0),"-")</f>
        <v>ASC</v>
      </c>
      <c r="J241" s="183">
        <f>IFERROR(TablaPrincipal[[#This Row],[FECHA]]-TablaPrincipal[[#This Row],[FECHA DE SIEMBRA]],"-")</f>
        <v>87</v>
      </c>
      <c r="K241" s="196">
        <f>VLOOKUP(TablaPrincipal[[#This Row],[CODIGO]]&amp;TablaPrincipal[[#This Row],[AGUAJE ]],Tabla4[#All],4,0)</f>
        <v>46025</v>
      </c>
      <c r="L241" s="183" t="str">
        <f>VLOOKUP(TablaPrincipal[[#This Row],[CODIGO]]&amp;TablaPrincipal[[#This Row],[AGUAJE ]],Tabla4[#All],15,0)</f>
        <v>CH 4</v>
      </c>
      <c r="M241" s="184">
        <f>VLOOKUP(TablaPrincipal[[#This Row],[CODIGO]]&amp;TablaPrincipal[[#This Row],[AGUAJE ]],Tabla4[#All],14,0)</f>
        <v>0.48</v>
      </c>
      <c r="N241" s="183">
        <v>7</v>
      </c>
      <c r="O241" s="170">
        <f>VLOOKUP(TablaPrincipal[[#This Row],[CODIGO]]&amp;TablaPrincipal[[#This Row],[AGUAJE ]],Tabla4[#All],5,0)</f>
        <v>1404000</v>
      </c>
      <c r="P241" s="221">
        <f>IFERROR(TablaPrincipal[[#This Row],[ANIM SEMBRADOS]]/TablaPrincipal[[#This Row],[HAS]],"-")</f>
        <v>180000</v>
      </c>
      <c r="Q241" s="222">
        <f>IFERROR(TablaPrincipal[[#This Row],[DENSIDAD]]/10000,"-")</f>
        <v>18</v>
      </c>
      <c r="R241" s="183" t="str">
        <f>VLOOKUP(TablaPrincipal[[#This Row],[CODIGO]]&amp;TablaPrincipal[[#This Row],[AGUAJE ]],Tabla4[#All],8,0)</f>
        <v>NARIHUALA</v>
      </c>
      <c r="S241" s="183" t="str">
        <f>VLOOKUP(TablaPrincipal[[#This Row],[CODIGO]]&amp;TablaPrincipal[[#This Row],[AGUAJE ]],Tabla4[#All],7,0)</f>
        <v>TEXCUMAR</v>
      </c>
      <c r="T241" s="183" t="str">
        <f>IF(ISNUMBER(FIND("/",TablaPrincipal[[#This Row],[LABORATORIO]])),"COMBINADO","UNICO")</f>
        <v>UNICO</v>
      </c>
      <c r="U2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42400</v>
      </c>
      <c r="V2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40298.22</v>
      </c>
      <c r="W2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25.126666666666665</v>
      </c>
      <c r="Y241" s="185">
        <f>IFERROR(TablaPrincipal[[#This Row],[LIBRAS RALEO PLANTA]]/TablaPrincipal[[#This Row],[HAS]],"-")</f>
        <v>5166.4384615384615</v>
      </c>
      <c r="Z2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707228.8518694716</v>
      </c>
      <c r="AA24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17600</v>
      </c>
      <c r="AB2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18789.560000000001</v>
      </c>
      <c r="AC241" s="186">
        <f>SUMIFS(COSECHAS!F:F,COSECHAS!A:A,'BASE 2026'!AW:AW,COSECHAS!G:G,"="&amp;A:A)</f>
        <v>30</v>
      </c>
      <c r="AD241" s="186">
        <f>SUMIFS(COSECHAS!M:M,COSECHAS!A:A,'BASE 2026'!AW:AW,COSECHAS!G:G,"="&amp;A:A)</f>
        <v>30</v>
      </c>
      <c r="AE241" s="185">
        <f>IFERROR(TablaPrincipal[[#This Row],[LIBRAS PLANTA]]/TablaPrincipal[[#This Row],[HAS]],"-")</f>
        <v>2408.917948717949</v>
      </c>
      <c r="AF241" s="185">
        <f>IFERROR(TablaPrincipal[[#This Row],[LIBRAS PLANTA]]*454/TablaPrincipal[[#This Row],[GRAMOS PLANTA]],"-")</f>
        <v>284348.67466666666</v>
      </c>
      <c r="AG241" s="185">
        <f>TablaPrincipal[[#This Row],[LIBRAS RALEO PLANTA]]+TablaPrincipal[[#This Row],[LIBRAS PLANTA]]</f>
        <v>59087.78</v>
      </c>
      <c r="AH241" s="185">
        <f>IFERROR(TablaPrincipal[[#This Row],[CAM COSECHADOS RALEO]]+TablaPrincipal[[#This Row],[CAM COSECHADOS]],"-")</f>
        <v>991577.52653613826</v>
      </c>
      <c r="AI241" s="185">
        <f>IFERROR((TablaPrincipal[[#This Row],[LIBRAS RALEO PLANTA]]+TablaPrincipal[[#This Row],[LIBRAS PLANTA]])/TablaPrincipal[[#This Row],[HAS]],"0")</f>
        <v>7575.3564102564105</v>
      </c>
      <c r="AJ241" s="186">
        <f t="shared" si="3"/>
        <v>2.4137931034482758</v>
      </c>
      <c r="AK241" s="186">
        <f>IFERROR(TablaPrincipal[[#This Row],[LBS/HA]]/TablaPrincipal[[#This Row],[DIAS]],"-")</f>
        <v>87.073062186855296</v>
      </c>
      <c r="AL241" s="186">
        <f>IFERROR(TablaPrincipal[[#This Row],[CAM COSECHADOS TOTALES]]/TablaPrincipal[[#This Row],[ANIM SEMBRADOS]]*100,"-")</f>
        <v>70.625179952716394</v>
      </c>
      <c r="AM241" s="185">
        <v>91876.705000000002</v>
      </c>
      <c r="AN241" s="187">
        <f>IFERROR(((TablaPrincipal[[#This Row],[BALANCEADO ACUMULADO (LBS)]]/2.2046)/TablaPrincipal[[#This Row],[HAS]])/TablaPrincipal[[#This Row],[DIAS]],"-")</f>
        <v>61.413203654582965</v>
      </c>
      <c r="AO241" s="184">
        <f>IFERROR(TablaPrincipal[[#This Row],[BALANCEADO ACUMULADO (LBS)]]/TablaPrincipal[[#This Row],[LIBRAS TOTALES]],"-")</f>
        <v>1.554918885089269</v>
      </c>
      <c r="AP241" s="184"/>
      <c r="AQ241" s="184"/>
      <c r="AR241" s="185">
        <f>TablaPrincipal[[#This Row],[LIBRAS RALEO PLANTA]]-TablaPrincipal[[#This Row],[LIBRAS RALEO CAMARONERA]]</f>
        <v>-2101.7799999999988</v>
      </c>
      <c r="AS241" s="185">
        <f>TablaPrincipal[[#This Row],[LIBRAS PLANTA]]-TablaPrincipal[[#This Row],[LIBRAS CAMARONERA]]</f>
        <v>1189.5600000000013</v>
      </c>
      <c r="AT241" s="187">
        <f>TablaPrincipal[[#This Row],[GRAMAJE RALEO PLANTA]]-TablaPrincipal[[#This Row],[GRAMAJE RALEO CAMARONERA]]</f>
        <v>1.1266666666666652</v>
      </c>
      <c r="AU241" s="187">
        <f>TablaPrincipal[[#This Row],[GRAMOS PLANTA]]-TablaPrincipal[[#This Row],[GRAMAJE CAMARONERA]]</f>
        <v>0</v>
      </c>
      <c r="AV241" s="183" t="str">
        <f>+VLOOKUP(TablaPrincipal[[#This Row],[CODIGO]],TablaCosechas[#All],10,0)</f>
        <v>SANTIAGO OBRIEN</v>
      </c>
      <c r="AW241" s="183" t="s">
        <v>16</v>
      </c>
      <c r="AX241" s="188" t="str">
        <f>+VLOOKUP(TablaPrincipal[[#This Row],[CODIGO]],TablaCosechas[#All],10,0)</f>
        <v>SANTIAGO OBRIEN</v>
      </c>
    </row>
    <row r="242" spans="1:50" hidden="1" x14ac:dyDescent="0.25">
      <c r="A242" s="196">
        <v>46113</v>
      </c>
      <c r="B242" s="183">
        <v>240</v>
      </c>
      <c r="C242" s="183">
        <f>YEAR(TablaPrincipal[[#This Row],[FECHA]])</f>
        <v>2026</v>
      </c>
      <c r="D242" s="183" t="s">
        <v>319</v>
      </c>
      <c r="E242" s="183" t="str">
        <f>UPPER(TEXT(TablaPrincipal[[#This Row],[FECHA]],"MMMM"))</f>
        <v>ABRIL</v>
      </c>
      <c r="F242" s="183" t="str">
        <f>IFERROR(VLOOKUP(TablaPrincipal[[#This Row],[CODIGO]],COSECHAS!A:J,9,0),"-")</f>
        <v>22</v>
      </c>
      <c r="G242" s="183" t="str">
        <f>IFERROR(VLOOKUP(TablaPrincipal[[#This Row],[CODIGO]],COSECHAS!A:I,8,0),"-")</f>
        <v>DORADO</v>
      </c>
      <c r="H242" s="184">
        <f>IFERROR(VLOOKUP(TablaPrincipal[[#This Row],[CODIGO]],DATOS!A:B,2,0),"-")</f>
        <v>6.85</v>
      </c>
      <c r="I242" s="183" t="str">
        <f>IFERROR(VLOOKUP(TablaPrincipal[[#This Row],[CODIGO]],Tabla8[[#Headers],[#Data]],3,0),"-")</f>
        <v>ASC-BAP</v>
      </c>
      <c r="J242" s="183">
        <f>IFERROR(TablaPrincipal[[#This Row],[FECHA]]-TablaPrincipal[[#This Row],[FECHA DE SIEMBRA]],"-")</f>
        <v>86</v>
      </c>
      <c r="K242" s="196">
        <f>VLOOKUP(TablaPrincipal[[#This Row],[CODIGO]]&amp;TablaPrincipal[[#This Row],[AGUAJE ]],Tabla4[#All],4,0)</f>
        <v>46027</v>
      </c>
      <c r="L242" s="183" t="str">
        <f>VLOOKUP(TablaPrincipal[[#This Row],[CODIGO]]&amp;TablaPrincipal[[#This Row],[AGUAJE ]],Tabla4[#All],15,0)</f>
        <v>DO 5</v>
      </c>
      <c r="M242" s="184">
        <f>VLOOKUP(TablaPrincipal[[#This Row],[CODIGO]]&amp;TablaPrincipal[[#This Row],[AGUAJE ]],Tabla4[#All],14,0)</f>
        <v>1.21</v>
      </c>
      <c r="N242" s="183">
        <v>2</v>
      </c>
      <c r="O242" s="170">
        <f>VLOOKUP(TablaPrincipal[[#This Row],[CODIGO]]&amp;TablaPrincipal[[#This Row],[AGUAJE ]],Tabla4[#All],5,0)</f>
        <v>1507000</v>
      </c>
      <c r="P242" s="221">
        <f>IFERROR(TablaPrincipal[[#This Row],[ANIM SEMBRADOS]]/TablaPrincipal[[#This Row],[HAS]],"-")</f>
        <v>220000</v>
      </c>
      <c r="Q242" s="222">
        <f>IFERROR(TablaPrincipal[[#This Row],[DENSIDAD]]/10000,"-")</f>
        <v>22</v>
      </c>
      <c r="R242" s="183" t="str">
        <f>VLOOKUP(TablaPrincipal[[#This Row],[CODIGO]]&amp;TablaPrincipal[[#This Row],[AGUAJE ]],Tabla4[#All],8,0)</f>
        <v>EMPAGRAN</v>
      </c>
      <c r="S242" s="183" t="str">
        <f>VLOOKUP(TablaPrincipal[[#This Row],[CODIGO]]&amp;TablaPrincipal[[#This Row],[AGUAJE ]],Tabla4[#All],7,0)</f>
        <v>EMPAGRAN</v>
      </c>
      <c r="T242" s="183" t="str">
        <f>IF(ISNUMBER(FIND("/",TablaPrincipal[[#This Row],[LABORATORIO]])),"COMBINADO","UNICO")</f>
        <v>UNICO</v>
      </c>
      <c r="U2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37700</v>
      </c>
      <c r="V2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39100.210000000006</v>
      </c>
      <c r="W2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25.333333333333332</v>
      </c>
      <c r="X2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26.326666666666664</v>
      </c>
      <c r="Y242" s="185">
        <f>IFERROR(TablaPrincipal[[#This Row],[LIBRAS RALEO PLANTA]]/TablaPrincipal[[#This Row],[HAS]],"-")</f>
        <v>5708.0598540146002</v>
      </c>
      <c r="Z2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687196.4271531147</v>
      </c>
      <c r="AA24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41900</v>
      </c>
      <c r="AB2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42283.43</v>
      </c>
      <c r="AC242" s="186">
        <f>SUMIFS(COSECHAS!F:F,COSECHAS!A:A,'BASE 2026'!AW:AW,COSECHAS!G:G,"="&amp;A:A)</f>
        <v>36</v>
      </c>
      <c r="AD242" s="186">
        <f>SUMIFS(COSECHAS!M:M,COSECHAS!A:A,'BASE 2026'!AW:AW,COSECHAS!G:G,"="&amp;A:A)</f>
        <v>36.03</v>
      </c>
      <c r="AE242" s="185">
        <f>IFERROR(TablaPrincipal[[#This Row],[LIBRAS PLANTA]]/TablaPrincipal[[#This Row],[HAS]],"-")</f>
        <v>6172.7635036496358</v>
      </c>
      <c r="AF242" s="185">
        <f>IFERROR(TablaPrincipal[[#This Row],[LIBRAS PLANTA]]*454/TablaPrincipal[[#This Row],[GRAMOS PLANTA]],"-")</f>
        <v>532797.03635859</v>
      </c>
      <c r="AG242" s="185">
        <f>TablaPrincipal[[#This Row],[LIBRAS RALEO PLANTA]]+TablaPrincipal[[#This Row],[LIBRAS PLANTA]]</f>
        <v>81383.640000000014</v>
      </c>
      <c r="AH242" s="185">
        <f>IFERROR(TablaPrincipal[[#This Row],[CAM COSECHADOS RALEO]]+TablaPrincipal[[#This Row],[CAM COSECHADOS]],"-")</f>
        <v>1219993.4635117047</v>
      </c>
      <c r="AI242" s="185">
        <f>IFERROR((TablaPrincipal[[#This Row],[LIBRAS RALEO PLANTA]]+TablaPrincipal[[#This Row],[LIBRAS PLANTA]])/TablaPrincipal[[#This Row],[HAS]],"0")</f>
        <v>11880.823357664236</v>
      </c>
      <c r="AJ242" s="186">
        <f t="shared" si="3"/>
        <v>2.9326744186046509</v>
      </c>
      <c r="AK242" s="186">
        <f>IFERROR(TablaPrincipal[[#This Row],[LBS/HA]]/TablaPrincipal[[#This Row],[DIAS]],"-")</f>
        <v>138.14910881004926</v>
      </c>
      <c r="AL242" s="186">
        <f>IFERROR(TablaPrincipal[[#This Row],[CAM COSECHADOS TOTALES]]/TablaPrincipal[[#This Row],[ANIM SEMBRADOS]]*100,"-")</f>
        <v>80.955107067797258</v>
      </c>
      <c r="AM242" s="185">
        <v>107970.285</v>
      </c>
      <c r="AN242" s="187">
        <f>IFERROR(((TablaPrincipal[[#This Row],[BALANCEADO ACUMULADO (LBS)]]/2.2046)/TablaPrincipal[[#This Row],[HAS]])/TablaPrincipal[[#This Row],[DIAS]],"-")</f>
        <v>83.135291122050589</v>
      </c>
      <c r="AO242" s="184">
        <f>IFERROR(TablaPrincipal[[#This Row],[BALANCEADO ACUMULADO (LBS)]]/TablaPrincipal[[#This Row],[LIBRAS TOTALES]],"-")</f>
        <v>1.3266829180901714</v>
      </c>
      <c r="AP242" s="184"/>
      <c r="AQ242" s="184"/>
      <c r="AR242" s="185">
        <f>TablaPrincipal[[#This Row],[LIBRAS RALEO PLANTA]]-TablaPrincipal[[#This Row],[LIBRAS RALEO CAMARONERA]]</f>
        <v>1400.2100000000064</v>
      </c>
      <c r="AS242" s="185">
        <f>TablaPrincipal[[#This Row],[LIBRAS PLANTA]]-TablaPrincipal[[#This Row],[LIBRAS CAMARONERA]]</f>
        <v>383.43000000000029</v>
      </c>
      <c r="AT242" s="187">
        <f>TablaPrincipal[[#This Row],[GRAMAJE RALEO PLANTA]]-TablaPrincipal[[#This Row],[GRAMAJE RALEO CAMARONERA]]</f>
        <v>0.99333333333333229</v>
      </c>
      <c r="AU242" s="187">
        <f>TablaPrincipal[[#This Row],[GRAMOS PLANTA]]-TablaPrincipal[[#This Row],[GRAMAJE CAMARONERA]]</f>
        <v>3.0000000000001137E-2</v>
      </c>
      <c r="AV242" s="183" t="str">
        <f>+VLOOKUP(TablaPrincipal[[#This Row],[CODIGO]],TablaCosechas[#All],10,0)</f>
        <v>JOSE CEDEÑO</v>
      </c>
      <c r="AW242" s="183" t="s">
        <v>323</v>
      </c>
      <c r="AX242" s="188" t="str">
        <f>+VLOOKUP(TablaPrincipal[[#This Row],[CODIGO]],TablaCosechas[#All],10,0)</f>
        <v>JOSE CEDEÑO</v>
      </c>
    </row>
    <row r="243" spans="1:50" hidden="1" x14ac:dyDescent="0.25">
      <c r="A243" s="196">
        <v>46113</v>
      </c>
      <c r="B243" s="183">
        <v>241</v>
      </c>
      <c r="C243" s="183">
        <f>YEAR(TablaPrincipal[[#This Row],[FECHA]])</f>
        <v>2026</v>
      </c>
      <c r="D243" s="183" t="s">
        <v>319</v>
      </c>
      <c r="E243" s="183" t="str">
        <f>UPPER(TEXT(TablaPrincipal[[#This Row],[FECHA]],"MMMM"))</f>
        <v>ABRIL</v>
      </c>
      <c r="F243" s="183" t="str">
        <f>IFERROR(VLOOKUP(TablaPrincipal[[#This Row],[CODIGO]],COSECHAS!A:J,9,0),"-")</f>
        <v>11</v>
      </c>
      <c r="G243" s="183" t="str">
        <f>IFERROR(VLOOKUP(TablaPrincipal[[#This Row],[CODIGO]],COSECHAS!A:I,8,0),"-")</f>
        <v>WAHOO</v>
      </c>
      <c r="H243" s="184">
        <f>IFERROR(VLOOKUP(TablaPrincipal[[#This Row],[CODIGO]],DATOS!A:B,2,0),"-")</f>
        <v>10.3</v>
      </c>
      <c r="I243" s="183" t="str">
        <f>IFERROR(VLOOKUP(TablaPrincipal[[#This Row],[CODIGO]],Tabla8[[#Headers],[#Data]],3,0),"-")</f>
        <v>CONVENCIONAL</v>
      </c>
      <c r="J243" s="183">
        <f>IFERROR(TablaPrincipal[[#This Row],[FECHA]]-TablaPrincipal[[#This Row],[FECHA DE SIEMBRA]],"-")</f>
        <v>95</v>
      </c>
      <c r="K243" s="196">
        <f>VLOOKUP(TablaPrincipal[[#This Row],[CODIGO]]&amp;TablaPrincipal[[#This Row],[AGUAJE ]],Tabla4[#All],4,0)</f>
        <v>46018</v>
      </c>
      <c r="L243" s="183" t="str">
        <f>VLOOKUP(TablaPrincipal[[#This Row],[CODIGO]]&amp;TablaPrincipal[[#This Row],[AGUAJE ]],Tabla4[#All],15,0)</f>
        <v>WA PS 10</v>
      </c>
      <c r="M243" s="184">
        <f>VLOOKUP(TablaPrincipal[[#This Row],[CODIGO]]&amp;TablaPrincipal[[#This Row],[AGUAJE ]],Tabla4[#All],14,0)</f>
        <v>0.72</v>
      </c>
      <c r="N243" s="183">
        <v>68</v>
      </c>
      <c r="O243" s="170">
        <f>VLOOKUP(TablaPrincipal[[#This Row],[CODIGO]]&amp;TablaPrincipal[[#This Row],[AGUAJE ]],Tabla4[#All],5,0)</f>
        <v>1648000</v>
      </c>
      <c r="P243" s="221">
        <f>IFERROR(TablaPrincipal[[#This Row],[ANIM SEMBRADOS]]/TablaPrincipal[[#This Row],[HAS]],"-")</f>
        <v>160000</v>
      </c>
      <c r="Q243" s="222">
        <f>IFERROR(TablaPrincipal[[#This Row],[DENSIDAD]]/10000,"-")</f>
        <v>16</v>
      </c>
      <c r="R243" s="183" t="str">
        <f>VLOOKUP(TablaPrincipal[[#This Row],[CODIGO]]&amp;TablaPrincipal[[#This Row],[AGUAJE ]],Tabla4[#All],8,0)</f>
        <v>TECSERV</v>
      </c>
      <c r="S243" s="183" t="str">
        <f>VLOOKUP(TablaPrincipal[[#This Row],[CODIGO]]&amp;TablaPrincipal[[#This Row],[AGUAJE ]],Tabla4[#All],7,0)</f>
        <v>TEXCUMAR</v>
      </c>
      <c r="T243" s="183" t="str">
        <f>IF(ISNUMBER(FIND("/",TablaPrincipal[[#This Row],[LABORATORIO]])),"COMBINADO","UNICO")</f>
        <v>UNICO</v>
      </c>
      <c r="U2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26800</v>
      </c>
      <c r="V2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27849.59</v>
      </c>
      <c r="W2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</v>
      </c>
      <c r="Y243" s="185">
        <f>IFERROR(TablaPrincipal[[#This Row],[LIBRAS RALEO PLANTA]]/TablaPrincipal[[#This Row],[HAS]],"-")</f>
        <v>2703.843689320388</v>
      </c>
      <c r="Z2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584833.55833621114</v>
      </c>
      <c r="AA24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28544.33</v>
      </c>
      <c r="AC243" s="186">
        <f>SUMIFS(COSECHAS!F:F,COSECHAS!A:A,'BASE 2026'!AW:AW,COSECHAS!G:G,"="&amp;A:A)</f>
        <v>30</v>
      </c>
      <c r="AD243" s="186">
        <f>SUMIFS(COSECHAS!M:M,COSECHAS!A:A,'BASE 2026'!AW:AW,COSECHAS!G:G,"="&amp;A:A)</f>
        <v>31.58</v>
      </c>
      <c r="AE243" s="185">
        <f>IFERROR(TablaPrincipal[[#This Row],[LIBRAS PLANTA]]/TablaPrincipal[[#This Row],[HAS]],"-")</f>
        <v>2771.2941747572813</v>
      </c>
      <c r="AF243" s="185">
        <f>IFERROR(TablaPrincipal[[#This Row],[LIBRAS PLANTA]]*454/TablaPrincipal[[#This Row],[GRAMOS PLANTA]],"-")</f>
        <v>410358.63901203295</v>
      </c>
      <c r="AG243" s="185">
        <f>TablaPrincipal[[#This Row],[LIBRAS RALEO PLANTA]]+TablaPrincipal[[#This Row],[LIBRAS PLANTA]]</f>
        <v>56393.919999999998</v>
      </c>
      <c r="AH243" s="185">
        <f>IFERROR(TablaPrincipal[[#This Row],[CAM COSECHADOS RALEO]]+TablaPrincipal[[#This Row],[CAM COSECHADOS]],"-")</f>
        <v>995192.19734824402</v>
      </c>
      <c r="AI243" s="185">
        <f>IFERROR((TablaPrincipal[[#This Row],[LIBRAS RALEO PLANTA]]+TablaPrincipal[[#This Row],[LIBRAS PLANTA]])/TablaPrincipal[[#This Row],[HAS]],"0")</f>
        <v>5475.1378640776693</v>
      </c>
      <c r="AJ243" s="186">
        <f t="shared" si="3"/>
        <v>2.3269473684210524</v>
      </c>
      <c r="AK243" s="186">
        <f>IFERROR(TablaPrincipal[[#This Row],[LBS/HA]]/TablaPrincipal[[#This Row],[DIAS]],"-")</f>
        <v>57.633030148185995</v>
      </c>
      <c r="AL243" s="186">
        <f>IFERROR(TablaPrincipal[[#This Row],[CAM COSECHADOS TOTALES]]/TablaPrincipal[[#This Row],[ANIM SEMBRADOS]]*100,"-")</f>
        <v>60.38787605268471</v>
      </c>
      <c r="AM243" s="185">
        <v>90646.53820000001</v>
      </c>
      <c r="AN243" s="187">
        <f>IFERROR(((TablaPrincipal[[#This Row],[BALANCEADO ACUMULADO (LBS)]]/2.2046)/TablaPrincipal[[#This Row],[HAS]])/TablaPrincipal[[#This Row],[DIAS]],"-")</f>
        <v>42.020439448134894</v>
      </c>
      <c r="AO243" s="184">
        <f>IFERROR(TablaPrincipal[[#This Row],[BALANCEADO ACUMULADO (LBS)]]/TablaPrincipal[[#This Row],[LIBRAS TOTALES]],"-")</f>
        <v>1.6073814021085964</v>
      </c>
      <c r="AP243" s="184"/>
      <c r="AQ243" s="184"/>
      <c r="AR243" s="185">
        <f>TablaPrincipal[[#This Row],[LIBRAS RALEO PLANTA]]-TablaPrincipal[[#This Row],[LIBRAS RALEO CAMARONERA]]</f>
        <v>1049.5900000000001</v>
      </c>
      <c r="AS243" s="185">
        <f>TablaPrincipal[[#This Row],[LIBRAS PLANTA]]-TablaPrincipal[[#This Row],[LIBRAS CAMARONERA]]</f>
        <v>3644.3300000000017</v>
      </c>
      <c r="AT243" s="187">
        <f>TablaPrincipal[[#This Row],[GRAMAJE RALEO PLANTA]]-TablaPrincipal[[#This Row],[GRAMAJE RALEO CAMARONERA]]</f>
        <v>-0.33999999999999986</v>
      </c>
      <c r="AU243" s="187">
        <f>TablaPrincipal[[#This Row],[GRAMOS PLANTA]]-TablaPrincipal[[#This Row],[GRAMAJE CAMARONERA]]</f>
        <v>1.5799999999999983</v>
      </c>
      <c r="AV243" s="183" t="str">
        <f>+VLOOKUP(TablaPrincipal[[#This Row],[CODIGO]],TablaCosechas[#All],10,0)</f>
        <v>JUNIOR ESQUIVEL</v>
      </c>
      <c r="AW243" s="183" t="s">
        <v>324</v>
      </c>
      <c r="AX243" s="188" t="str">
        <f>+VLOOKUP(TablaPrincipal[[#This Row],[CODIGO]],TablaCosechas[#All],10,0)</f>
        <v>JUNIOR ESQUIVEL</v>
      </c>
    </row>
    <row r="244" spans="1:50" hidden="1" x14ac:dyDescent="0.25">
      <c r="A244" s="196">
        <v>46114</v>
      </c>
      <c r="B244" s="183">
        <v>242</v>
      </c>
      <c r="C244" s="183">
        <f>YEAR(TablaPrincipal[[#This Row],[FECHA]])</f>
        <v>2026</v>
      </c>
      <c r="D244" s="183" t="s">
        <v>319</v>
      </c>
      <c r="E244" s="183" t="str">
        <f>UPPER(TEXT(TablaPrincipal[[#This Row],[FECHA]],"MMMM"))</f>
        <v>ABRIL</v>
      </c>
      <c r="F244" s="183" t="str">
        <f>IFERROR(VLOOKUP(TablaPrincipal[[#This Row],[CODIGO]],COSECHAS!A:J,9,0),"-")</f>
        <v>10</v>
      </c>
      <c r="G244" s="183" t="str">
        <f>IFERROR(VLOOKUP(TablaPrincipal[[#This Row],[CODIGO]],COSECHAS!A:I,8,0),"-")</f>
        <v>CATANUDA</v>
      </c>
      <c r="H244" s="184">
        <f>IFERROR(VLOOKUP(TablaPrincipal[[#This Row],[CODIGO]],DATOS!A:B,2,0),"-")</f>
        <v>2.36</v>
      </c>
      <c r="I244" s="183" t="str">
        <f>IFERROR(VLOOKUP(TablaPrincipal[[#This Row],[CODIGO]],Tabla8[[#Headers],[#Data]],3,0),"-")</f>
        <v>ASC-BAP</v>
      </c>
      <c r="J244" s="183">
        <f>IFERROR(TablaPrincipal[[#This Row],[FECHA]]-TablaPrincipal[[#This Row],[FECHA DE SIEMBRA]],"-")</f>
        <v>75</v>
      </c>
      <c r="K244" s="196">
        <f>VLOOKUP(TablaPrincipal[[#This Row],[CODIGO]]&amp;TablaPrincipal[[#This Row],[AGUAJE ]],Tabla4[#All],4,0)</f>
        <v>46039</v>
      </c>
      <c r="L244" s="183" t="str">
        <f>VLOOKUP(TablaPrincipal[[#This Row],[CODIGO]]&amp;TablaPrincipal[[#This Row],[AGUAJE ]],Tabla4[#All],15,0)</f>
        <v>CA PS 1A</v>
      </c>
      <c r="M244" s="184">
        <f>VLOOKUP(TablaPrincipal[[#This Row],[CODIGO]]&amp;TablaPrincipal[[#This Row],[AGUAJE ]],Tabla4[#All],14,0)</f>
        <v>0.51</v>
      </c>
      <c r="N244" s="183">
        <v>6</v>
      </c>
      <c r="O244" s="170">
        <f>VLOOKUP(TablaPrincipal[[#This Row],[CODIGO]]&amp;TablaPrincipal[[#This Row],[AGUAJE ]],Tabla4[#All],5,0)</f>
        <v>495600</v>
      </c>
      <c r="P244" s="221">
        <f>IFERROR(TablaPrincipal[[#This Row],[ANIM SEMBRADOS]]/TablaPrincipal[[#This Row],[HAS]],"-")</f>
        <v>210000</v>
      </c>
      <c r="Q244" s="222">
        <f>IFERROR(TablaPrincipal[[#This Row],[DENSIDAD]]/10000,"-")</f>
        <v>21</v>
      </c>
      <c r="R244" s="183" t="str">
        <f>VLOOKUP(TablaPrincipal[[#This Row],[CODIGO]]&amp;TablaPrincipal[[#This Row],[AGUAJE ]],Tabla4[#All],8,0)</f>
        <v>EMPAGRAN</v>
      </c>
      <c r="S244" s="183" t="str">
        <f>VLOOKUP(TablaPrincipal[[#This Row],[CODIGO]]&amp;TablaPrincipal[[#This Row],[AGUAJE ]],Tabla4[#All],7,0)</f>
        <v>EMPAGRAN</v>
      </c>
      <c r="T244" s="183" t="str">
        <f>IF(ISNUMBER(FIND("/",TablaPrincipal[[#This Row],[LABORATORIO]])),"COMBINADO","UNICO")</f>
        <v>UNICO</v>
      </c>
      <c r="U2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1500</v>
      </c>
      <c r="V2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1541.26</v>
      </c>
      <c r="W2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38.86</v>
      </c>
      <c r="Y244" s="185">
        <f>IFERROR(TablaPrincipal[[#This Row],[LIBRAS RALEO PLANTA]]/TablaPrincipal[[#This Row],[HAS]],"-")</f>
        <v>653.07627118644075</v>
      </c>
      <c r="Z2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18006.485846628926</v>
      </c>
      <c r="AA24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2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13656.88</v>
      </c>
      <c r="AC244" s="186">
        <f>SUMIFS(COSECHAS!F:F,COSECHAS!A:A,'BASE 2026'!AW:AW,COSECHAS!G:G,"="&amp;A:A)</f>
        <v>33</v>
      </c>
      <c r="AD244" s="186">
        <f>SUMIFS(COSECHAS!M:M,COSECHAS!A:A,'BASE 2026'!AW:AW,COSECHAS!G:G,"="&amp;A:A)</f>
        <v>35.24</v>
      </c>
      <c r="AE244" s="185">
        <f>IFERROR(TablaPrincipal[[#This Row],[LIBRAS PLANTA]]/TablaPrincipal[[#This Row],[HAS]],"-")</f>
        <v>5786.8135593220341</v>
      </c>
      <c r="AF244" s="185">
        <f>IFERROR(TablaPrincipal[[#This Row],[LIBRAS PLANTA]]*454/TablaPrincipal[[#This Row],[GRAMOS PLANTA]],"-")</f>
        <v>175942.77866061291</v>
      </c>
      <c r="AG244" s="185">
        <f>TablaPrincipal[[#This Row],[LIBRAS RALEO PLANTA]]+TablaPrincipal[[#This Row],[LIBRAS PLANTA]]</f>
        <v>15198.14</v>
      </c>
      <c r="AH244" s="185">
        <f>IFERROR(TablaPrincipal[[#This Row],[CAM COSECHADOS RALEO]]+TablaPrincipal[[#This Row],[CAM COSECHADOS]],"-")</f>
        <v>193949.26450724184</v>
      </c>
      <c r="AI244" s="185">
        <f>IFERROR((TablaPrincipal[[#This Row],[LIBRAS RALEO PLANTA]]+TablaPrincipal[[#This Row],[LIBRAS PLANTA]])/TablaPrincipal[[#This Row],[HAS]],"0")</f>
        <v>6439.8898305084749</v>
      </c>
      <c r="AJ244" s="186">
        <f t="shared" si="3"/>
        <v>3.2890666666666672</v>
      </c>
      <c r="AK244" s="186">
        <f>IFERROR(TablaPrincipal[[#This Row],[LBS/HA]]/TablaPrincipal[[#This Row],[DIAS]],"-")</f>
        <v>85.865197740113004</v>
      </c>
      <c r="AL244" s="186">
        <f>IFERROR(TablaPrincipal[[#This Row],[CAM COSECHADOS TOTALES]]/TablaPrincipal[[#This Row],[ANIM SEMBRADOS]]*100,"-")</f>
        <v>39.134234162074627</v>
      </c>
      <c r="AM244" s="185">
        <v>21665.7065</v>
      </c>
      <c r="AN244" s="187">
        <f>IFERROR(((TablaPrincipal[[#This Row],[BALANCEADO ACUMULADO (LBS)]]/2.2046)/TablaPrincipal[[#This Row],[HAS]])/TablaPrincipal[[#This Row],[DIAS]],"-")</f>
        <v>55.522598870056498</v>
      </c>
      <c r="AO244" s="184">
        <f>IFERROR(TablaPrincipal[[#This Row],[BALANCEADO ACUMULADO (LBS)]]/TablaPrincipal[[#This Row],[LIBRAS TOTALES]],"-")</f>
        <v>1.4255498699182927</v>
      </c>
      <c r="AP244" s="184"/>
      <c r="AQ244" s="184"/>
      <c r="AR244" s="185">
        <f>TablaPrincipal[[#This Row],[LIBRAS RALEO PLANTA]]-TablaPrincipal[[#This Row],[LIBRAS RALEO CAMARONERA]]</f>
        <v>41.259999999999991</v>
      </c>
      <c r="AS244" s="185">
        <f>TablaPrincipal[[#This Row],[LIBRAS PLANTA]]-TablaPrincipal[[#This Row],[LIBRAS CAMARONERA]]</f>
        <v>1956.8799999999992</v>
      </c>
      <c r="AT244" s="187">
        <f>TablaPrincipal[[#This Row],[GRAMAJE RALEO PLANTA]]-TablaPrincipal[[#This Row],[GRAMAJE RALEO CAMARONERA]]</f>
        <v>16.86</v>
      </c>
      <c r="AU244" s="187">
        <f>TablaPrincipal[[#This Row],[GRAMOS PLANTA]]-TablaPrincipal[[#This Row],[GRAMAJE CAMARONERA]]</f>
        <v>2.240000000000002</v>
      </c>
      <c r="AV244" s="183" t="str">
        <f>+VLOOKUP(TablaPrincipal[[#This Row],[CODIGO]],TablaCosechas[#All],10,0)</f>
        <v>VICTOR QUINTANA</v>
      </c>
      <c r="AW244" s="183" t="s">
        <v>136</v>
      </c>
      <c r="AX244" s="188" t="str">
        <f>+VLOOKUP(TablaPrincipal[[#This Row],[CODIGO]],TablaCosechas[#All],10,0)</f>
        <v>VICTOR QUINTANA</v>
      </c>
    </row>
    <row r="245" spans="1:50" hidden="1" x14ac:dyDescent="0.25">
      <c r="A245" s="196">
        <v>46114</v>
      </c>
      <c r="B245" s="183">
        <v>243</v>
      </c>
      <c r="C245" s="183">
        <f>YEAR(TablaPrincipal[[#This Row],[FECHA]])</f>
        <v>2026</v>
      </c>
      <c r="D245" s="183" t="s">
        <v>319</v>
      </c>
      <c r="E245" s="183" t="str">
        <f>UPPER(TEXT(TablaPrincipal[[#This Row],[FECHA]],"MMMM"))</f>
        <v>ABRIL</v>
      </c>
      <c r="F245" s="183" t="str">
        <f>IFERROR(VLOOKUP(TablaPrincipal[[#This Row],[CODIGO]],COSECHAS!A:J,9,0),"-")</f>
        <v>14</v>
      </c>
      <c r="G245" s="183" t="str">
        <f>IFERROR(VLOOKUP(TablaPrincipal[[#This Row],[CODIGO]],COSECHAS!A:I,8,0),"-")</f>
        <v>CHERNA</v>
      </c>
      <c r="H245" s="184">
        <f>IFERROR(VLOOKUP(TablaPrincipal[[#This Row],[CODIGO]],DATOS!A:B,2,0),"-")</f>
        <v>5.0999999999999996</v>
      </c>
      <c r="I245" s="183" t="str">
        <f>IFERROR(VLOOKUP(TablaPrincipal[[#This Row],[CODIGO]],Tabla8[[#Headers],[#Data]],3,0),"-")</f>
        <v>ASC</v>
      </c>
      <c r="J245" s="183">
        <f>IFERROR(TablaPrincipal[[#This Row],[FECHA]]-TablaPrincipal[[#This Row],[FECHA DE SIEMBRA]],"-")</f>
        <v>89</v>
      </c>
      <c r="K245" s="196">
        <f>VLOOKUP(TablaPrincipal[[#This Row],[CODIGO]]&amp;TablaPrincipal[[#This Row],[AGUAJE ]],Tabla4[#All],4,0)</f>
        <v>46025</v>
      </c>
      <c r="L245" s="183" t="str">
        <f>VLOOKUP(TablaPrincipal[[#This Row],[CODIGO]]&amp;TablaPrincipal[[#This Row],[AGUAJE ]],Tabla4[#All],15,0)</f>
        <v>CH 6</v>
      </c>
      <c r="M245" s="184">
        <f>VLOOKUP(TablaPrincipal[[#This Row],[CODIGO]]&amp;TablaPrincipal[[#This Row],[AGUAJE ]],Tabla4[#All],14,0)</f>
        <v>0.53</v>
      </c>
      <c r="N245" s="183">
        <v>6</v>
      </c>
      <c r="O245" s="170">
        <f>VLOOKUP(TablaPrincipal[[#This Row],[CODIGO]]&amp;TablaPrincipal[[#This Row],[AGUAJE ]],Tabla4[#All],5,0)</f>
        <v>918000</v>
      </c>
      <c r="P245" s="221">
        <f>IFERROR(TablaPrincipal[[#This Row],[ANIM SEMBRADOS]]/TablaPrincipal[[#This Row],[HAS]],"-")</f>
        <v>180000</v>
      </c>
      <c r="Q245" s="222">
        <f>IFERROR(TablaPrincipal[[#This Row],[DENSIDAD]]/10000,"-")</f>
        <v>18</v>
      </c>
      <c r="R245" s="183" t="str">
        <f>VLOOKUP(TablaPrincipal[[#This Row],[CODIGO]]&amp;TablaPrincipal[[#This Row],[AGUAJE ]],Tabla4[#All],8,0)</f>
        <v>NARIHUALA</v>
      </c>
      <c r="S245" s="183" t="str">
        <f>VLOOKUP(TablaPrincipal[[#This Row],[CODIGO]]&amp;TablaPrincipal[[#This Row],[AGUAJE ]],Tabla4[#All],7,0)</f>
        <v>TEXCUMAR</v>
      </c>
      <c r="T245" s="183" t="str">
        <f>IF(ISNUMBER(FIND("/",TablaPrincipal[[#This Row],[LABORATORIO]])),"COMBINADO","UNICO")</f>
        <v>UNICO</v>
      </c>
      <c r="U2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12800</v>
      </c>
      <c r="V2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13184.89</v>
      </c>
      <c r="W2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19.420000000000002</v>
      </c>
      <c r="Y245" s="185">
        <f>IFERROR(TablaPrincipal[[#This Row],[LIBRAS RALEO PLANTA]]/TablaPrincipal[[#This Row],[HAS]],"-")</f>
        <v>2585.2725490196081</v>
      </c>
      <c r="Z2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313313.05510645418</v>
      </c>
      <c r="AA24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24700</v>
      </c>
      <c r="AB2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25976.04</v>
      </c>
      <c r="AC245" s="186">
        <f>SUMIFS(COSECHAS!F:F,COSECHAS!A:A,'BASE 2026'!AW:AW,COSECHAS!G:G,"="&amp;A:A)</f>
        <v>29</v>
      </c>
      <c r="AD245" s="186">
        <f>SUMIFS(COSECHAS!M:M,COSECHAS!A:A,'BASE 2026'!AW:AW,COSECHAS!G:G,"="&amp;A:A)</f>
        <v>32.06</v>
      </c>
      <c r="AE245" s="185">
        <f>IFERROR(TablaPrincipal[[#This Row],[LIBRAS PLANTA]]/TablaPrincipal[[#This Row],[HAS]],"-")</f>
        <v>5093.3411764705888</v>
      </c>
      <c r="AF245" s="185">
        <f>IFERROR(TablaPrincipal[[#This Row],[LIBRAS PLANTA]]*454/TablaPrincipal[[#This Row],[GRAMOS PLANTA]],"-")</f>
        <v>367845.35745477228</v>
      </c>
      <c r="AG245" s="185">
        <f>TablaPrincipal[[#This Row],[LIBRAS RALEO PLANTA]]+TablaPrincipal[[#This Row],[LIBRAS PLANTA]]</f>
        <v>39160.93</v>
      </c>
      <c r="AH245" s="185">
        <f>IFERROR(TablaPrincipal[[#This Row],[CAM COSECHADOS RALEO]]+TablaPrincipal[[#This Row],[CAM COSECHADOS]],"-")</f>
        <v>681158.4125612264</v>
      </c>
      <c r="AI245" s="185">
        <f>IFERROR((TablaPrincipal[[#This Row],[LIBRAS RALEO PLANTA]]+TablaPrincipal[[#This Row],[LIBRAS PLANTA]])/TablaPrincipal[[#This Row],[HAS]],"0")</f>
        <v>7678.6137254901969</v>
      </c>
      <c r="AJ245" s="186">
        <f t="shared" si="3"/>
        <v>2.5215730337078655</v>
      </c>
      <c r="AK245" s="186">
        <f>IFERROR(TablaPrincipal[[#This Row],[LBS/HA]]/TablaPrincipal[[#This Row],[DIAS]],"-")</f>
        <v>86.276558713372992</v>
      </c>
      <c r="AL245" s="186">
        <f>IFERROR(TablaPrincipal[[#This Row],[CAM COSECHADOS TOTALES]]/TablaPrincipal[[#This Row],[ANIM SEMBRADOS]]*100,"-")</f>
        <v>74.200262806233809</v>
      </c>
      <c r="AM245" s="185">
        <v>61453.225000000006</v>
      </c>
      <c r="AN245" s="187">
        <f>IFERROR(((TablaPrincipal[[#This Row],[BALANCEADO ACUMULADO (LBS)]]/2.2046)/TablaPrincipal[[#This Row],[HAS]])/TablaPrincipal[[#This Row],[DIAS]],"-")</f>
        <v>61.412205331570831</v>
      </c>
      <c r="AO245" s="184">
        <f>IFERROR(TablaPrincipal[[#This Row],[BALANCEADO ACUMULADO (LBS)]]/TablaPrincipal[[#This Row],[LIBRAS TOTALES]],"-")</f>
        <v>1.5692483554399757</v>
      </c>
      <c r="AP245" s="184"/>
      <c r="AQ245" s="184"/>
      <c r="AR245" s="185">
        <f>TablaPrincipal[[#This Row],[LIBRAS RALEO PLANTA]]-TablaPrincipal[[#This Row],[LIBRAS RALEO CAMARONERA]]</f>
        <v>384.88999999999942</v>
      </c>
      <c r="AS245" s="185">
        <f>TablaPrincipal[[#This Row],[LIBRAS PLANTA]]-TablaPrincipal[[#This Row],[LIBRAS CAMARONERA]]</f>
        <v>1276.0400000000009</v>
      </c>
      <c r="AT245" s="187">
        <f>TablaPrincipal[[#This Row],[GRAMAJE RALEO PLANTA]]-TablaPrincipal[[#This Row],[GRAMAJE RALEO CAMARONERA]]</f>
        <v>-0.57999999999999829</v>
      </c>
      <c r="AU245" s="187">
        <f>TablaPrincipal[[#This Row],[GRAMOS PLANTA]]-TablaPrincipal[[#This Row],[GRAMAJE CAMARONERA]]</f>
        <v>3.0600000000000023</v>
      </c>
      <c r="AV245" s="183" t="str">
        <f>+VLOOKUP(TablaPrincipal[[#This Row],[CODIGO]],TablaCosechas[#All],10,0)</f>
        <v>SANTIAGO OBRIEN</v>
      </c>
      <c r="AW245" s="183" t="s">
        <v>20</v>
      </c>
      <c r="AX245" s="188" t="str">
        <f>+VLOOKUP(TablaPrincipal[[#This Row],[CODIGO]],TablaCosechas[#All],10,0)</f>
        <v>SANTIAGO OBRIEN</v>
      </c>
    </row>
    <row r="246" spans="1:50" hidden="1" x14ac:dyDescent="0.25">
      <c r="A246" s="196">
        <v>46114</v>
      </c>
      <c r="B246" s="183">
        <v>244</v>
      </c>
      <c r="C246" s="183">
        <f>YEAR(TablaPrincipal[[#This Row],[FECHA]])</f>
        <v>2026</v>
      </c>
      <c r="D246" s="183" t="s">
        <v>319</v>
      </c>
      <c r="E246" s="183" t="str">
        <f>UPPER(TEXT(TablaPrincipal[[#This Row],[FECHA]],"MMMM"))</f>
        <v>ABRIL</v>
      </c>
      <c r="F246" s="183" t="str">
        <f>IFERROR(VLOOKUP(TablaPrincipal[[#This Row],[CODIGO]],COSECHAS!A:J,9,0),"-")</f>
        <v>15</v>
      </c>
      <c r="G246" s="183" t="str">
        <f>IFERROR(VLOOKUP(TablaPrincipal[[#This Row],[CODIGO]],COSECHAS!A:I,8,0),"-")</f>
        <v>PAMPANO</v>
      </c>
      <c r="H246" s="184">
        <f>IFERROR(VLOOKUP(TablaPrincipal[[#This Row],[CODIGO]],DATOS!A:B,2,0),"-")</f>
        <v>22.5</v>
      </c>
      <c r="I246" s="183" t="str">
        <f>IFERROR(VLOOKUP(TablaPrincipal[[#This Row],[CODIGO]],Tabla8[[#Headers],[#Data]],3,0),"-")</f>
        <v>ASC-BAP</v>
      </c>
      <c r="J246" s="183">
        <f>IFERROR(TablaPrincipal[[#This Row],[FECHA]]-TablaPrincipal[[#This Row],[FECHA DE SIEMBRA]],"-")</f>
        <v>93</v>
      </c>
      <c r="K246" s="196">
        <f>VLOOKUP(TablaPrincipal[[#This Row],[CODIGO]]&amp;TablaPrincipal[[#This Row],[AGUAJE ]],Tabla4[#All],4,0)</f>
        <v>46021</v>
      </c>
      <c r="L246" s="183" t="str">
        <f>VLOOKUP(TablaPrincipal[[#This Row],[CODIGO]]&amp;TablaPrincipal[[#This Row],[AGUAJE ]],Tabla4[#All],15,0)</f>
        <v>PA 16</v>
      </c>
      <c r="M246" s="184">
        <f>VLOOKUP(TablaPrincipal[[#This Row],[CODIGO]]&amp;TablaPrincipal[[#This Row],[AGUAJE ]],Tabla4[#All],14,0)</f>
        <v>0.6</v>
      </c>
      <c r="N246" s="183">
        <v>9</v>
      </c>
      <c r="O246" s="170">
        <f>VLOOKUP(TablaPrincipal[[#This Row],[CODIGO]]&amp;TablaPrincipal[[#This Row],[AGUAJE ]],Tabla4[#All],5,0)</f>
        <v>3416666</v>
      </c>
      <c r="P246" s="221">
        <f>IFERROR(TablaPrincipal[[#This Row],[ANIM SEMBRADOS]]/TablaPrincipal[[#This Row],[HAS]],"-")</f>
        <v>151851.82222222222</v>
      </c>
      <c r="Q246" s="222">
        <f>IFERROR(TablaPrincipal[[#This Row],[DENSIDAD]]/10000,"-")</f>
        <v>15.185182222222222</v>
      </c>
      <c r="R246" s="183" t="str">
        <f>VLOOKUP(TablaPrincipal[[#This Row],[CODIGO]]&amp;TablaPrincipal[[#This Row],[AGUAJE ]],Tabla4[#All],8,0)</f>
        <v>EMPAGRAN</v>
      </c>
      <c r="S246" s="183" t="str">
        <f>VLOOKUP(TablaPrincipal[[#This Row],[CODIGO]]&amp;TablaPrincipal[[#This Row],[AGUAJE ]],Tabla4[#All],7,0)</f>
        <v>EMPAGRAN</v>
      </c>
      <c r="T246" s="183" t="str">
        <f>IF(ISNUMBER(FIND("/",TablaPrincipal[[#This Row],[LABORATORIO]])),"COMBINADO","UNICO")</f>
        <v>UNICO</v>
      </c>
      <c r="U2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107650</v>
      </c>
      <c r="V2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110278.9</v>
      </c>
      <c r="W2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24.108000000000001</v>
      </c>
      <c r="Y246" s="185">
        <f>IFERROR(TablaPrincipal[[#This Row],[LIBRAS RALEO PLANTA]]/TablaPrincipal[[#This Row],[HAS]],"-")</f>
        <v>4901.2844444444445</v>
      </c>
      <c r="Z2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2080165.4010796682</v>
      </c>
      <c r="AA24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25400</v>
      </c>
      <c r="AB2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27175.75</v>
      </c>
      <c r="AC246" s="186">
        <f>SUMIFS(COSECHAS!F:F,COSECHAS!A:A,'BASE 2026'!AW:AW,COSECHAS!G:G,"="&amp;A:A)</f>
        <v>29</v>
      </c>
      <c r="AD246" s="186">
        <f>SUMIFS(COSECHAS!M:M,COSECHAS!A:A,'BASE 2026'!AW:AW,COSECHAS!G:G,"="&amp;A:A)</f>
        <v>26.06</v>
      </c>
      <c r="AE246" s="185">
        <f>IFERROR(TablaPrincipal[[#This Row],[LIBRAS PLANTA]]/TablaPrincipal[[#This Row],[HAS]],"-")</f>
        <v>1207.8111111111111</v>
      </c>
      <c r="AF246" s="185">
        <f>IFERROR(TablaPrincipal[[#This Row],[LIBRAS PLANTA]]*454/TablaPrincipal[[#This Row],[GRAMOS PLANTA]],"-")</f>
        <v>473437.85495011514</v>
      </c>
      <c r="AG246" s="185">
        <f>TablaPrincipal[[#This Row],[LIBRAS RALEO PLANTA]]+TablaPrincipal[[#This Row],[LIBRAS PLANTA]]</f>
        <v>137454.65</v>
      </c>
      <c r="AH246" s="185">
        <f>IFERROR(TablaPrincipal[[#This Row],[CAM COSECHADOS RALEO]]+TablaPrincipal[[#This Row],[CAM COSECHADOS]],"-")</f>
        <v>2553603.2560297833</v>
      </c>
      <c r="AI246" s="185">
        <f>IFERROR((TablaPrincipal[[#This Row],[LIBRAS RALEO PLANTA]]+TablaPrincipal[[#This Row],[LIBRAS PLANTA]])/TablaPrincipal[[#This Row],[HAS]],"0")</f>
        <v>6109.0955555555556</v>
      </c>
      <c r="AJ246" s="186">
        <f t="shared" si="3"/>
        <v>1.9615053763440857</v>
      </c>
      <c r="AK246" s="186">
        <f>IFERROR(TablaPrincipal[[#This Row],[LBS/HA]]/TablaPrincipal[[#This Row],[DIAS]],"-")</f>
        <v>65.689199522102754</v>
      </c>
      <c r="AL246" s="186">
        <f>IFERROR(TablaPrincipal[[#This Row],[CAM COSECHADOS TOTALES]]/TablaPrincipal[[#This Row],[ANIM SEMBRADOS]]*100,"-")</f>
        <v>74.739622076895529</v>
      </c>
      <c r="AM246" s="185">
        <v>188768.875</v>
      </c>
      <c r="AN246" s="187">
        <f>IFERROR(((TablaPrincipal[[#This Row],[BALANCEADO ACUMULADO (LBS)]]/2.2046)/TablaPrincipal[[#This Row],[HAS]])/TablaPrincipal[[#This Row],[DIAS]],"-")</f>
        <v>40.919952210274793</v>
      </c>
      <c r="AO246" s="184">
        <f>IFERROR(TablaPrincipal[[#This Row],[BALANCEADO ACUMULADO (LBS)]]/TablaPrincipal[[#This Row],[LIBRAS TOTALES]],"-")</f>
        <v>1.373317490532332</v>
      </c>
      <c r="AP246" s="184"/>
      <c r="AQ246" s="184"/>
      <c r="AR246" s="185">
        <f>TablaPrincipal[[#This Row],[LIBRAS RALEO PLANTA]]-TablaPrincipal[[#This Row],[LIBRAS RALEO CAMARONERA]]</f>
        <v>2628.8999999999942</v>
      </c>
      <c r="AS246" s="185">
        <f>TablaPrincipal[[#This Row],[LIBRAS PLANTA]]-TablaPrincipal[[#This Row],[LIBRAS CAMARONERA]]</f>
        <v>1775.75</v>
      </c>
      <c r="AT246" s="187">
        <f>TablaPrincipal[[#This Row],[GRAMAJE RALEO PLANTA]]-TablaPrincipal[[#This Row],[GRAMAJE RALEO CAMARONERA]]</f>
        <v>0.10800000000000054</v>
      </c>
      <c r="AU246" s="187">
        <f>TablaPrincipal[[#This Row],[GRAMOS PLANTA]]-TablaPrincipal[[#This Row],[GRAMAJE CAMARONERA]]</f>
        <v>-2.9400000000000013</v>
      </c>
      <c r="AV246" s="183" t="str">
        <f>+VLOOKUP(TablaPrincipal[[#This Row],[CODIGO]],TablaCosechas[#All],10,0)</f>
        <v>GUSTAVO CARRASCO</v>
      </c>
      <c r="AW246" s="183" t="s">
        <v>325</v>
      </c>
      <c r="AX246" s="188" t="str">
        <f>+VLOOKUP(TablaPrincipal[[#This Row],[CODIGO]],TablaCosechas[#All],10,0)</f>
        <v>GUSTAVO CARRASCO</v>
      </c>
    </row>
    <row r="247" spans="1:50" hidden="1" x14ac:dyDescent="0.25">
      <c r="A247" s="196">
        <v>46115</v>
      </c>
      <c r="B247" s="183">
        <v>245</v>
      </c>
      <c r="C247" s="183">
        <f>YEAR(TablaPrincipal[[#This Row],[FECHA]])</f>
        <v>2026</v>
      </c>
      <c r="D247" s="183" t="s">
        <v>319</v>
      </c>
      <c r="E247" s="183" t="str">
        <f>UPPER(TEXT(TablaPrincipal[[#This Row],[FECHA]],"MMMM"))</f>
        <v>ABRIL</v>
      </c>
      <c r="F247" s="183" t="str">
        <f>IFERROR(VLOOKUP(TablaPrincipal[[#This Row],[CODIGO]],COSECHAS!A:J,9,0),"-")</f>
        <v>03</v>
      </c>
      <c r="G247" s="183" t="str">
        <f>IFERROR(VLOOKUP(TablaPrincipal[[#This Row],[CODIGO]],COSECHAS!A:I,8,0),"-")</f>
        <v>GUATO</v>
      </c>
      <c r="H247" s="184">
        <f>IFERROR(VLOOKUP(TablaPrincipal[[#This Row],[CODIGO]],DATOS!A:B,2,0),"-")</f>
        <v>7.52</v>
      </c>
      <c r="I247" s="183" t="str">
        <f>IFERROR(VLOOKUP(TablaPrincipal[[#This Row],[CODIGO]],Tabla8[[#Headers],[#Data]],3,0),"-")</f>
        <v>CONVENCIONAL</v>
      </c>
      <c r="J247" s="183">
        <f>IFERROR(TablaPrincipal[[#This Row],[FECHA]]-TablaPrincipal[[#This Row],[FECHA DE SIEMBRA]],"-")</f>
        <v>85</v>
      </c>
      <c r="K247" s="196">
        <f>VLOOKUP(TablaPrincipal[[#This Row],[CODIGO]]&amp;TablaPrincipal[[#This Row],[AGUAJE ]],Tabla4[#All],4,0)</f>
        <v>46030</v>
      </c>
      <c r="L247" s="183" t="str">
        <f>VLOOKUP(TablaPrincipal[[#This Row],[CODIGO]]&amp;TablaPrincipal[[#This Row],[AGUAJE ]],Tabla4[#All],15,0)</f>
        <v>GT PC 3</v>
      </c>
      <c r="M247" s="184">
        <f>VLOOKUP(TablaPrincipal[[#This Row],[CODIGO]]&amp;TablaPrincipal[[#This Row],[AGUAJE ]],Tabla4[#All],14,0)</f>
        <v>0.47</v>
      </c>
      <c r="N247" s="183">
        <v>15</v>
      </c>
      <c r="O247" s="170">
        <f>VLOOKUP(TablaPrincipal[[#This Row],[CODIGO]]&amp;TablaPrincipal[[#This Row],[AGUAJE ]],Tabla4[#All],5,0)</f>
        <v>1128000</v>
      </c>
      <c r="P247" s="221">
        <f>IFERROR(TablaPrincipal[[#This Row],[ANIM SEMBRADOS]]/TablaPrincipal[[#This Row],[HAS]],"-")</f>
        <v>150000</v>
      </c>
      <c r="Q247" s="222">
        <f>IFERROR(TablaPrincipal[[#This Row],[DENSIDAD]]/10000,"-")</f>
        <v>15</v>
      </c>
      <c r="R247" s="183" t="str">
        <f>VLOOKUP(TablaPrincipal[[#This Row],[CODIGO]]&amp;TablaPrincipal[[#This Row],[AGUAJE ]],Tabla4[#All],8,0)</f>
        <v>GENESIS</v>
      </c>
      <c r="S247" s="183" t="str">
        <f>VLOOKUP(TablaPrincipal[[#This Row],[CODIGO]]&amp;TablaPrincipal[[#This Row],[AGUAJE ]],Tabla4[#All],7,0)</f>
        <v>TEXCUMAR</v>
      </c>
      <c r="T247" s="183" t="str">
        <f>IF(ISNUMBER(FIND("/",TablaPrincipal[[#This Row],[LABORATORIO]])),"COMBINADO","UNICO")</f>
        <v>UNICO</v>
      </c>
      <c r="U2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15800</v>
      </c>
      <c r="V2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16486.8</v>
      </c>
      <c r="W2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19.085000000000001</v>
      </c>
      <c r="Y247" s="185">
        <f>IFERROR(TablaPrincipal[[#This Row],[LIBRAS RALEO PLANTA]]/TablaPrincipal[[#This Row],[HAS]],"-")</f>
        <v>2192.3936170212764</v>
      </c>
      <c r="Z2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391937.35402022349</v>
      </c>
      <c r="AA24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31524.12</v>
      </c>
      <c r="AC247" s="186">
        <f>SUMIFS(COSECHAS!F:F,COSECHAS!A:A,'BASE 2026'!AW:AW,COSECHAS!G:G,"="&amp;A:A)</f>
        <v>26</v>
      </c>
      <c r="AD247" s="186">
        <f>SUMIFS(COSECHAS!M:M,COSECHAS!A:A,'BASE 2026'!AW:AW,COSECHAS!G:G,"="&amp;A:A)</f>
        <v>26.82</v>
      </c>
      <c r="AE247" s="185">
        <f>IFERROR(TablaPrincipal[[#This Row],[LIBRAS PLANTA]]/TablaPrincipal[[#This Row],[HAS]],"-")</f>
        <v>4192.0372340425529</v>
      </c>
      <c r="AF247" s="185">
        <f>IFERROR(TablaPrincipal[[#This Row],[LIBRAS PLANTA]]*454/TablaPrincipal[[#This Row],[GRAMOS PLANTA]],"-")</f>
        <v>533629.77181208052</v>
      </c>
      <c r="AG247" s="185">
        <f>TablaPrincipal[[#This Row],[LIBRAS RALEO PLANTA]]+TablaPrincipal[[#This Row],[LIBRAS PLANTA]]</f>
        <v>48010.92</v>
      </c>
      <c r="AH247" s="185">
        <f>IFERROR(TablaPrincipal[[#This Row],[CAM COSECHADOS RALEO]]+TablaPrincipal[[#This Row],[CAM COSECHADOS]],"-")</f>
        <v>925567.12583230401</v>
      </c>
      <c r="AI247" s="185">
        <f>IFERROR((TablaPrincipal[[#This Row],[LIBRAS RALEO PLANTA]]+TablaPrincipal[[#This Row],[LIBRAS PLANTA]])/TablaPrincipal[[#This Row],[HAS]],"0")</f>
        <v>6384.4308510638302</v>
      </c>
      <c r="AJ247" s="186">
        <f t="shared" si="3"/>
        <v>2.2087058823529411</v>
      </c>
      <c r="AK247" s="186">
        <f>IFERROR(TablaPrincipal[[#This Row],[LBS/HA]]/TablaPrincipal[[#This Row],[DIAS]],"-")</f>
        <v>75.110951188986235</v>
      </c>
      <c r="AL247" s="186">
        <f>IFERROR(TablaPrincipal[[#This Row],[CAM COSECHADOS TOTALES]]/TablaPrincipal[[#This Row],[ANIM SEMBRADOS]]*100,"-")</f>
        <v>82.053823212083685</v>
      </c>
      <c r="AM247" s="185">
        <v>81074.165000000008</v>
      </c>
      <c r="AN247" s="187">
        <f>IFERROR(((TablaPrincipal[[#This Row],[BALANCEADO ACUMULADO (LBS)]]/2.2046)/TablaPrincipal[[#This Row],[HAS]])/TablaPrincipal[[#This Row],[DIAS]],"-")</f>
        <v>57.532853566958707</v>
      </c>
      <c r="AO247" s="184">
        <f>IFERROR(TablaPrincipal[[#This Row],[BALANCEADO ACUMULADO (LBS)]]/TablaPrincipal[[#This Row],[LIBRAS TOTALES]],"-")</f>
        <v>1.6886609338042264</v>
      </c>
      <c r="AP247" s="184"/>
      <c r="AQ247" s="184"/>
      <c r="AR247" s="185">
        <f>TablaPrincipal[[#This Row],[LIBRAS RALEO PLANTA]]-TablaPrincipal[[#This Row],[LIBRAS RALEO CAMARONERA]]</f>
        <v>686.79999999999927</v>
      </c>
      <c r="AS247" s="185">
        <f>TablaPrincipal[[#This Row],[LIBRAS PLANTA]]-TablaPrincipal[[#This Row],[LIBRAS CAMARONERA]]</f>
        <v>4324.119999999999</v>
      </c>
      <c r="AT247" s="187">
        <f>TablaPrincipal[[#This Row],[GRAMAJE RALEO PLANTA]]-TablaPrincipal[[#This Row],[GRAMAJE RALEO CAMARONERA]]</f>
        <v>8.5000000000000853E-2</v>
      </c>
      <c r="AU247" s="187">
        <f>TablaPrincipal[[#This Row],[GRAMOS PLANTA]]-TablaPrincipal[[#This Row],[GRAMAJE CAMARONERA]]</f>
        <v>0.82000000000000028</v>
      </c>
      <c r="AV247" s="183" t="str">
        <f>+VLOOKUP(TablaPrincipal[[#This Row],[CODIGO]],TablaCosechas[#All],10,0)</f>
        <v>JULIO SANTOS</v>
      </c>
      <c r="AW247" s="183" t="s">
        <v>326</v>
      </c>
      <c r="AX247" s="188" t="str">
        <f>+VLOOKUP(TablaPrincipal[[#This Row],[CODIGO]],TablaCosechas[#All],10,0)</f>
        <v>JULIO SANTOS</v>
      </c>
    </row>
    <row r="248" spans="1:50" hidden="1" x14ac:dyDescent="0.25">
      <c r="A248" s="196">
        <v>46115</v>
      </c>
      <c r="B248" s="183">
        <v>246</v>
      </c>
      <c r="C248" s="183">
        <f>YEAR(TablaPrincipal[[#This Row],[FECHA]])</f>
        <v>2026</v>
      </c>
      <c r="D248" s="183" t="s">
        <v>319</v>
      </c>
      <c r="E248" s="183" t="str">
        <f>UPPER(TEXT(TablaPrincipal[[#This Row],[FECHA]],"MMMM"))</f>
        <v>ABRIL</v>
      </c>
      <c r="F248" s="183" t="str">
        <f>IFERROR(VLOOKUP(TablaPrincipal[[#This Row],[CODIGO]],COSECHAS!A:J,9,0),"-")</f>
        <v>15</v>
      </c>
      <c r="G248" s="183" t="str">
        <f>IFERROR(VLOOKUP(TablaPrincipal[[#This Row],[CODIGO]],COSECHAS!A:I,8,0),"-")</f>
        <v>PARGO ROJO</v>
      </c>
      <c r="H248" s="184">
        <f>IFERROR(VLOOKUP(TablaPrincipal[[#This Row],[CODIGO]],DATOS!A:B,2,0),"-")</f>
        <v>8.1</v>
      </c>
      <c r="I248" s="183" t="str">
        <f>IFERROR(VLOOKUP(TablaPrincipal[[#This Row],[CODIGO]],Tabla8[[#Headers],[#Data]],3,0),"-")</f>
        <v>CONVENCIONAL</v>
      </c>
      <c r="J248" s="183">
        <f>IFERROR(TablaPrincipal[[#This Row],[FECHA]]-TablaPrincipal[[#This Row],[FECHA DE SIEMBRA]],"-")</f>
        <v>74</v>
      </c>
      <c r="K248" s="196">
        <f>VLOOKUP(TablaPrincipal[[#This Row],[CODIGO]]&amp;TablaPrincipal[[#This Row],[AGUAJE ]],Tabla4[#All],4,0)</f>
        <v>46041</v>
      </c>
      <c r="L248" s="183" t="str">
        <f>VLOOKUP(TablaPrincipal[[#This Row],[CODIGO]]&amp;TablaPrincipal[[#This Row],[AGUAJE ]],Tabla4[#All],15,0)</f>
        <v>PR PC 3</v>
      </c>
      <c r="M248" s="184">
        <f>VLOOKUP(TablaPrincipal[[#This Row],[CODIGO]]&amp;TablaPrincipal[[#This Row],[AGUAJE ]],Tabla4[#All],14,0)</f>
        <v>0.43</v>
      </c>
      <c r="N248" s="183">
        <v>12</v>
      </c>
      <c r="O248" s="170">
        <f>VLOOKUP(TablaPrincipal[[#This Row],[CODIGO]]&amp;TablaPrincipal[[#This Row],[AGUAJE ]],Tabla4[#All],5,0)</f>
        <v>1458000</v>
      </c>
      <c r="P248" s="221">
        <f>IFERROR(TablaPrincipal[[#This Row],[ANIM SEMBRADOS]]/TablaPrincipal[[#This Row],[HAS]],"-")</f>
        <v>180000</v>
      </c>
      <c r="Q248" s="222">
        <f>IFERROR(TablaPrincipal[[#This Row],[DENSIDAD]]/10000,"-")</f>
        <v>18</v>
      </c>
      <c r="R248" s="183" t="str">
        <f>VLOOKUP(TablaPrincipal[[#This Row],[CODIGO]]&amp;TablaPrincipal[[#This Row],[AGUAJE ]],Tabla4[#All],8,0)</f>
        <v>TECSERV</v>
      </c>
      <c r="S248" s="183" t="str">
        <f>VLOOKUP(TablaPrincipal[[#This Row],[CODIGO]]&amp;TablaPrincipal[[#This Row],[AGUAJE ]],Tabla4[#All],7,0)</f>
        <v>SEMACUA</v>
      </c>
      <c r="T248" s="183" t="str">
        <f>IF(ISNUMBER(FIND("/",TablaPrincipal[[#This Row],[LABORATORIO]])),"COMBINADO","UNICO")</f>
        <v>UNICO</v>
      </c>
      <c r="U2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48" s="185">
        <f>IFERROR(TablaPrincipal[[#This Row],[LIBRAS RALEO PLANTA]]/TablaPrincipal[[#This Row],[HAS]],"-")</f>
        <v>0</v>
      </c>
      <c r="Z2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4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33800</v>
      </c>
      <c r="AB2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39479.160000000003</v>
      </c>
      <c r="AC248" s="186">
        <f>SUMIFS(COSECHAS!F:F,COSECHAS!A:A,'BASE 2026'!AW:AW,COSECHAS!G:G,"="&amp;A:A)</f>
        <v>24</v>
      </c>
      <c r="AD248" s="186">
        <f>SUMIFS(COSECHAS!M:M,COSECHAS!A:A,'BASE 2026'!AW:AW,COSECHAS!G:G,"="&amp;A:A)</f>
        <v>26.04</v>
      </c>
      <c r="AE248" s="185">
        <f>IFERROR(TablaPrincipal[[#This Row],[LIBRAS PLANTA]]/TablaPrincipal[[#This Row],[HAS]],"-")</f>
        <v>4873.9703703703708</v>
      </c>
      <c r="AF248" s="185">
        <f>IFERROR(TablaPrincipal[[#This Row],[LIBRAS PLANTA]]*454/TablaPrincipal[[#This Row],[GRAMOS PLANTA]],"-")</f>
        <v>688307.93548387103</v>
      </c>
      <c r="AG248" s="185">
        <f>TablaPrincipal[[#This Row],[LIBRAS RALEO PLANTA]]+TablaPrincipal[[#This Row],[LIBRAS PLANTA]]</f>
        <v>39479.160000000003</v>
      </c>
      <c r="AH248" s="185">
        <f>IFERROR(TablaPrincipal[[#This Row],[CAM COSECHADOS RALEO]]+TablaPrincipal[[#This Row],[CAM COSECHADOS]],"-")</f>
        <v>688307.93548387103</v>
      </c>
      <c r="AI248" s="185">
        <f>IFERROR((TablaPrincipal[[#This Row],[LIBRAS RALEO PLANTA]]+TablaPrincipal[[#This Row],[LIBRAS PLANTA]])/TablaPrincipal[[#This Row],[HAS]],"0")</f>
        <v>4873.9703703703708</v>
      </c>
      <c r="AJ248" s="186">
        <f t="shared" si="3"/>
        <v>2.4632432432432432</v>
      </c>
      <c r="AK248" s="186">
        <f>IFERROR(TablaPrincipal[[#This Row],[LBS/HA]]/TablaPrincipal[[#This Row],[DIAS]],"-")</f>
        <v>65.864464464464476</v>
      </c>
      <c r="AL248" s="186">
        <f>IFERROR(TablaPrincipal[[#This Row],[CAM COSECHADOS TOTALES]]/TablaPrincipal[[#This Row],[ANIM SEMBRADOS]]*100,"-")</f>
        <v>47.209049072967836</v>
      </c>
      <c r="AM248" s="185">
        <v>55445.69</v>
      </c>
      <c r="AN248" s="187">
        <f>IFERROR(((TablaPrincipal[[#This Row],[BALANCEADO ACUMULADO (LBS)]]/2.2046)/TablaPrincipal[[#This Row],[HAS]])/TablaPrincipal[[#This Row],[DIAS]],"-")</f>
        <v>41.958625291958626</v>
      </c>
      <c r="AO248" s="184">
        <f>IFERROR(TablaPrincipal[[#This Row],[BALANCEADO ACUMULADO (LBS)]]/TablaPrincipal[[#This Row],[LIBRAS TOTALES]],"-")</f>
        <v>1.4044293242308092</v>
      </c>
      <c r="AP248" s="184"/>
      <c r="AQ248" s="184"/>
      <c r="AR248" s="185">
        <f>TablaPrincipal[[#This Row],[LIBRAS RALEO PLANTA]]-TablaPrincipal[[#This Row],[LIBRAS RALEO CAMARONERA]]</f>
        <v>0</v>
      </c>
      <c r="AS248" s="185">
        <f>TablaPrincipal[[#This Row],[LIBRAS PLANTA]]-TablaPrincipal[[#This Row],[LIBRAS CAMARONERA]]</f>
        <v>5679.1600000000035</v>
      </c>
      <c r="AT248" s="187">
        <f>TablaPrincipal[[#This Row],[GRAMAJE RALEO PLANTA]]-TablaPrincipal[[#This Row],[GRAMAJE RALEO CAMARONERA]]</f>
        <v>0</v>
      </c>
      <c r="AU248" s="187">
        <f>TablaPrincipal[[#This Row],[GRAMOS PLANTA]]-TablaPrincipal[[#This Row],[GRAMAJE CAMARONERA]]</f>
        <v>2.0399999999999991</v>
      </c>
      <c r="AV248" s="183" t="str">
        <f>+VLOOKUP(TablaPrincipal[[#This Row],[CODIGO]],TablaCosechas[#All],10,0)</f>
        <v>WILMER TORRES</v>
      </c>
      <c r="AW248" s="183" t="s">
        <v>121</v>
      </c>
      <c r="AX248" s="188" t="str">
        <f>+VLOOKUP(TablaPrincipal[[#This Row],[CODIGO]],TablaCosechas[#All],10,0)</f>
        <v>WILMER TORRES</v>
      </c>
    </row>
    <row r="249" spans="1:50" hidden="1" x14ac:dyDescent="0.25">
      <c r="A249" s="196">
        <v>46115</v>
      </c>
      <c r="B249" s="183">
        <v>247</v>
      </c>
      <c r="C249" s="183">
        <f>YEAR(TablaPrincipal[[#This Row],[FECHA]])</f>
        <v>2026</v>
      </c>
      <c r="D249" s="183" t="s">
        <v>319</v>
      </c>
      <c r="E249" s="183" t="str">
        <f>UPPER(TEXT(TablaPrincipal[[#This Row],[FECHA]],"MMMM"))</f>
        <v>ABRIL</v>
      </c>
      <c r="F249" s="183" t="str">
        <f>IFERROR(VLOOKUP(TablaPrincipal[[#This Row],[CODIGO]],COSECHAS!A:J,9,0),"-")</f>
        <v>14</v>
      </c>
      <c r="G249" s="183" t="str">
        <f>IFERROR(VLOOKUP(TablaPrincipal[[#This Row],[CODIGO]],COSECHAS!A:I,8,0),"-")</f>
        <v>ROBALO</v>
      </c>
      <c r="H249" s="184">
        <f>IFERROR(VLOOKUP(TablaPrincipal[[#This Row],[CODIGO]],DATOS!A:B,2,0),"-")</f>
        <v>9.3000000000000007</v>
      </c>
      <c r="I249" s="183" t="str">
        <f>IFERROR(VLOOKUP(TablaPrincipal[[#This Row],[CODIGO]],Tabla8[[#Headers],[#Data]],3,0),"-")</f>
        <v>BAP</v>
      </c>
      <c r="J249" s="183">
        <f>IFERROR(TablaPrincipal[[#This Row],[FECHA]]-TablaPrincipal[[#This Row],[FECHA DE SIEMBRA]],"-")</f>
        <v>49</v>
      </c>
      <c r="K249" s="196">
        <f>VLOOKUP(TablaPrincipal[[#This Row],[CODIGO]]&amp;TablaPrincipal[[#This Row],[AGUAJE ]],Tabla4[#All],4,0)</f>
        <v>46066</v>
      </c>
      <c r="L249" s="183" t="str">
        <f>VLOOKUP(TablaPrincipal[[#This Row],[CODIGO]]&amp;TablaPrincipal[[#This Row],[AGUAJE ]],Tabla4[#All],15,0)</f>
        <v>RO 9</v>
      </c>
      <c r="M249" s="184">
        <f>VLOOKUP(TablaPrincipal[[#This Row],[CODIGO]]&amp;TablaPrincipal[[#This Row],[AGUAJE ]],Tabla4[#All],14,0)</f>
        <v>0.5</v>
      </c>
      <c r="N249" s="183">
        <v>10</v>
      </c>
      <c r="O249" s="170">
        <f>VLOOKUP(TablaPrincipal[[#This Row],[CODIGO]]&amp;TablaPrincipal[[#This Row],[AGUAJE ]],Tabla4[#All],5,0)</f>
        <v>1656000</v>
      </c>
      <c r="P249" s="221">
        <f>IFERROR(TablaPrincipal[[#This Row],[ANIM SEMBRADOS]]/TablaPrincipal[[#This Row],[HAS]],"-")</f>
        <v>178064.51612903224</v>
      </c>
      <c r="Q249" s="222">
        <f>IFERROR(TablaPrincipal[[#This Row],[DENSIDAD]]/10000,"-")</f>
        <v>17.806451612903224</v>
      </c>
      <c r="R249" s="183" t="str">
        <f>VLOOKUP(TablaPrincipal[[#This Row],[CODIGO]]&amp;TablaPrincipal[[#This Row],[AGUAJE ]],Tabla4[#All],8,0)</f>
        <v>BIOLACAM</v>
      </c>
      <c r="S249" s="183" t="str">
        <f>VLOOKUP(TablaPrincipal[[#This Row],[CODIGO]]&amp;TablaPrincipal[[#This Row],[AGUAJE ]],Tabla4[#All],7,0)</f>
        <v>TEXCUMAR</v>
      </c>
      <c r="T249" s="183" t="str">
        <f>IF(ISNUMBER(FIND("/",TablaPrincipal[[#This Row],[LABORATORIO]])),"COMBINADO","UNICO")</f>
        <v>UNICO</v>
      </c>
      <c r="U2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10550</v>
      </c>
      <c r="V2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12263.460000000001</v>
      </c>
      <c r="W2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17.5</v>
      </c>
      <c r="X2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17.989999999999998</v>
      </c>
      <c r="Y249" s="185">
        <f>IFERROR(TablaPrincipal[[#This Row],[LIBRAS RALEO PLANTA]]/TablaPrincipal[[#This Row],[HAS]],"-")</f>
        <v>1318.6516129032259</v>
      </c>
      <c r="Z2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346980.05795434618</v>
      </c>
      <c r="AA24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25500</v>
      </c>
      <c r="AB2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30087.51</v>
      </c>
      <c r="AC249" s="186">
        <f>SUMIFS(COSECHAS!F:F,COSECHAS!A:A,'BASE 2026'!AW:AW,COSECHAS!G:G,"="&amp;A:A)</f>
        <v>21</v>
      </c>
      <c r="AD249" s="186">
        <f>SUMIFS(COSECHAS!M:M,COSECHAS!A:A,'BASE 2026'!AW:AW,COSECHAS!G:G,"="&amp;A:A)</f>
        <v>22.74</v>
      </c>
      <c r="AE249" s="185">
        <f>IFERROR(TablaPrincipal[[#This Row],[LIBRAS PLANTA]]/TablaPrincipal[[#This Row],[HAS]],"-")</f>
        <v>3235.2161290322579</v>
      </c>
      <c r="AF249" s="185">
        <f>IFERROR(TablaPrincipal[[#This Row],[LIBRAS PLANTA]]*454/TablaPrincipal[[#This Row],[GRAMOS PLANTA]],"-")</f>
        <v>600691.71240105538</v>
      </c>
      <c r="AG249" s="185">
        <f>TablaPrincipal[[#This Row],[LIBRAS RALEO PLANTA]]+TablaPrincipal[[#This Row],[LIBRAS PLANTA]]</f>
        <v>42350.97</v>
      </c>
      <c r="AH249" s="185">
        <f>IFERROR(TablaPrincipal[[#This Row],[CAM COSECHADOS RALEO]]+TablaPrincipal[[#This Row],[CAM COSECHADOS]],"-")</f>
        <v>947671.77035540156</v>
      </c>
      <c r="AI249" s="185">
        <f>IFERROR((TablaPrincipal[[#This Row],[LIBRAS RALEO PLANTA]]+TablaPrincipal[[#This Row],[LIBRAS PLANTA]])/TablaPrincipal[[#This Row],[HAS]],"0")</f>
        <v>4553.8677419354835</v>
      </c>
      <c r="AJ249" s="186">
        <f t="shared" si="3"/>
        <v>3.2485714285714282</v>
      </c>
      <c r="AK249" s="186">
        <f>IFERROR(TablaPrincipal[[#This Row],[LBS/HA]]/TablaPrincipal[[#This Row],[DIAS]],"-")</f>
        <v>92.936076366030278</v>
      </c>
      <c r="AL249" s="186">
        <f>IFERROR(TablaPrincipal[[#This Row],[CAM COSECHADOS TOTALES]]/TablaPrincipal[[#This Row],[ANIM SEMBRADOS]]*100,"-")</f>
        <v>57.226556180881737</v>
      </c>
      <c r="AM249" s="185">
        <v>59358.855000000003</v>
      </c>
      <c r="AN249" s="187">
        <f>IFERROR(((TablaPrincipal[[#This Row],[BALANCEADO ACUMULADO (LBS)]]/2.2046)/TablaPrincipal[[#This Row],[HAS]])/TablaPrincipal[[#This Row],[DIAS]],"-")</f>
        <v>59.084924292297558</v>
      </c>
      <c r="AO249" s="184">
        <f>IFERROR(TablaPrincipal[[#This Row],[BALANCEADO ACUMULADO (LBS)]]/TablaPrincipal[[#This Row],[LIBRAS TOTALES]],"-")</f>
        <v>1.4015937533426035</v>
      </c>
      <c r="AP249" s="184"/>
      <c r="AQ249" s="184"/>
      <c r="AR249" s="185">
        <f>TablaPrincipal[[#This Row],[LIBRAS RALEO PLANTA]]-TablaPrincipal[[#This Row],[LIBRAS RALEO CAMARONERA]]</f>
        <v>1713.4600000000009</v>
      </c>
      <c r="AS249" s="185">
        <f>TablaPrincipal[[#This Row],[LIBRAS PLANTA]]-TablaPrincipal[[#This Row],[LIBRAS CAMARONERA]]</f>
        <v>4587.5099999999984</v>
      </c>
      <c r="AT249" s="187">
        <f>TablaPrincipal[[#This Row],[GRAMAJE RALEO PLANTA]]-TablaPrincipal[[#This Row],[GRAMAJE RALEO CAMARONERA]]</f>
        <v>0.48999999999999844</v>
      </c>
      <c r="AU249" s="187">
        <f>TablaPrincipal[[#This Row],[GRAMOS PLANTA]]-TablaPrincipal[[#This Row],[GRAMAJE CAMARONERA]]</f>
        <v>1.7399999999999984</v>
      </c>
      <c r="AV249" s="183" t="str">
        <f>+VLOOKUP(TablaPrincipal[[#This Row],[CODIGO]],TablaCosechas[#All],10,0)</f>
        <v>VICTOR QUINTANA</v>
      </c>
      <c r="AW249" s="183" t="s">
        <v>198</v>
      </c>
      <c r="AX249" s="188" t="str">
        <f>+VLOOKUP(TablaPrincipal[[#This Row],[CODIGO]],TablaCosechas[#All],10,0)</f>
        <v>VICTOR QUINTANA</v>
      </c>
    </row>
    <row r="250" spans="1:50" hidden="1" x14ac:dyDescent="0.25">
      <c r="A250" s="196">
        <v>46116</v>
      </c>
      <c r="B250" s="183">
        <v>248</v>
      </c>
      <c r="C250" s="183">
        <f>YEAR(TablaPrincipal[[#This Row],[FECHA]])</f>
        <v>2026</v>
      </c>
      <c r="D250" s="183" t="s">
        <v>319</v>
      </c>
      <c r="E250" s="183" t="str">
        <f>UPPER(TEXT(TablaPrincipal[[#This Row],[FECHA]],"MMMM"))</f>
        <v>ABRIL</v>
      </c>
      <c r="F250" s="183" t="str">
        <f>IFERROR(VLOOKUP(TablaPrincipal[[#This Row],[CODIGO]],COSECHAS!A:J,9,0),"-")</f>
        <v>08</v>
      </c>
      <c r="G250" s="183" t="str">
        <f>IFERROR(VLOOKUP(TablaPrincipal[[#This Row],[CODIGO]],COSECHAS!A:I,8,0),"-")</f>
        <v>GUATO</v>
      </c>
      <c r="H250" s="184">
        <f>IFERROR(VLOOKUP(TablaPrincipal[[#This Row],[CODIGO]],DATOS!A:B,2,0),"-")</f>
        <v>3.6</v>
      </c>
      <c r="I250" s="183" t="str">
        <f>IFERROR(VLOOKUP(TablaPrincipal[[#This Row],[CODIGO]],Tabla8[[#Headers],[#Data]],3,0),"-")</f>
        <v>CONVENCIONAL</v>
      </c>
      <c r="J250" s="183">
        <f>IFERROR(TablaPrincipal[[#This Row],[FECHA]]-TablaPrincipal[[#This Row],[FECHA DE SIEMBRA]],"-")</f>
        <v>85</v>
      </c>
      <c r="K250" s="196">
        <f>VLOOKUP(TablaPrincipal[[#This Row],[CODIGO]]&amp;TablaPrincipal[[#This Row],[AGUAJE ]],Tabla4[#All],4,0)</f>
        <v>46031</v>
      </c>
      <c r="L250" s="183" t="str">
        <f>VLOOKUP(TablaPrincipal[[#This Row],[CODIGO]]&amp;TablaPrincipal[[#This Row],[AGUAJE ]],Tabla4[#All],15,0)</f>
        <v>GT PC 1</v>
      </c>
      <c r="M250" s="184">
        <f>VLOOKUP(TablaPrincipal[[#This Row],[CODIGO]]&amp;TablaPrincipal[[#This Row],[AGUAJE ]],Tabla4[#All],14,0)</f>
        <v>0.62</v>
      </c>
      <c r="N250" s="183">
        <v>16</v>
      </c>
      <c r="O250" s="170">
        <f>VLOOKUP(TablaPrincipal[[#This Row],[CODIGO]]&amp;TablaPrincipal[[#This Row],[AGUAJE ]],Tabla4[#All],5,0)</f>
        <v>540000</v>
      </c>
      <c r="P250" s="221">
        <f>IFERROR(TablaPrincipal[[#This Row],[ANIM SEMBRADOS]]/TablaPrincipal[[#This Row],[HAS]],"-")</f>
        <v>150000</v>
      </c>
      <c r="Q250" s="222">
        <f>IFERROR(TablaPrincipal[[#This Row],[DENSIDAD]]/10000,"-")</f>
        <v>15</v>
      </c>
      <c r="R250" s="183" t="str">
        <f>VLOOKUP(TablaPrincipal[[#This Row],[CODIGO]]&amp;TablaPrincipal[[#This Row],[AGUAJE ]],Tabla4[#All],8,0)</f>
        <v>GRILSAN</v>
      </c>
      <c r="S250" s="183" t="str">
        <f>VLOOKUP(TablaPrincipal[[#This Row],[CODIGO]]&amp;TablaPrincipal[[#This Row],[AGUAJE ]],Tabla4[#All],7,0)</f>
        <v>AQUAGEN</v>
      </c>
      <c r="T250" s="183" t="str">
        <f>IF(ISNUMBER(FIND("/",TablaPrincipal[[#This Row],[LABORATORIO]])),"COMBINADO","UNICO")</f>
        <v>UNICO</v>
      </c>
      <c r="U2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2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8610.5</v>
      </c>
      <c r="W2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24.79</v>
      </c>
      <c r="Y250" s="185">
        <f>IFERROR(TablaPrincipal[[#This Row],[LIBRAS RALEO PLANTA]]/TablaPrincipal[[#This Row],[HAS]],"-")</f>
        <v>2391.8055555555557</v>
      </c>
      <c r="Z2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159358.3431095691</v>
      </c>
      <c r="AA25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16100</v>
      </c>
      <c r="AB2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17430.53</v>
      </c>
      <c r="AC250" s="186">
        <f>SUMIFS(COSECHAS!F:F,COSECHAS!A:A,'BASE 2026'!AW:AW,COSECHAS!G:G,"="&amp;A:A)</f>
        <v>35</v>
      </c>
      <c r="AD250" s="186">
        <f>SUMIFS(COSECHAS!M:M,COSECHAS!A:A,'BASE 2026'!AW:AW,COSECHAS!G:G,"="&amp;A:A)</f>
        <v>34.97</v>
      </c>
      <c r="AE250" s="185">
        <f>IFERROR(TablaPrincipal[[#This Row],[LIBRAS PLANTA]]/TablaPrincipal[[#This Row],[HAS]],"-")</f>
        <v>4841.8138888888889</v>
      </c>
      <c r="AF250" s="185">
        <f>IFERROR(TablaPrincipal[[#This Row],[LIBRAS PLANTA]]*454/TablaPrincipal[[#This Row],[GRAMOS PLANTA]],"-")</f>
        <v>226292.84014869886</v>
      </c>
      <c r="AG250" s="185">
        <f>TablaPrincipal[[#This Row],[LIBRAS RALEO PLANTA]]+TablaPrincipal[[#This Row],[LIBRAS PLANTA]]</f>
        <v>26041.03</v>
      </c>
      <c r="AH250" s="185">
        <f>IFERROR(TablaPrincipal[[#This Row],[CAM COSECHADOS RALEO]]+TablaPrincipal[[#This Row],[CAM COSECHADOS]],"-")</f>
        <v>385651.18325826793</v>
      </c>
      <c r="AI250" s="185">
        <f>IFERROR((TablaPrincipal[[#This Row],[LIBRAS RALEO PLANTA]]+TablaPrincipal[[#This Row],[LIBRAS PLANTA]])/TablaPrincipal[[#This Row],[HAS]],"0")</f>
        <v>7233.6194444444436</v>
      </c>
      <c r="AJ250" s="186">
        <f t="shared" si="3"/>
        <v>2.8798823529411766</v>
      </c>
      <c r="AK250" s="186">
        <f>IFERROR(TablaPrincipal[[#This Row],[LBS/HA]]/TablaPrincipal[[#This Row],[DIAS]],"-")</f>
        <v>85.101405228758153</v>
      </c>
      <c r="AL250" s="186">
        <f>IFERROR(TablaPrincipal[[#This Row],[CAM COSECHADOS TOTALES]]/TablaPrincipal[[#This Row],[ANIM SEMBRADOS]]*100,"-")</f>
        <v>71.416885788568138</v>
      </c>
      <c r="AM250" s="185">
        <v>40123.72</v>
      </c>
      <c r="AN250" s="187">
        <f>IFERROR(((TablaPrincipal[[#This Row],[BALANCEADO ACUMULADO (LBS)]]/2.2046)/TablaPrincipal[[#This Row],[HAS]])/TablaPrincipal[[#This Row],[DIAS]],"-")</f>
        <v>59.477124183006538</v>
      </c>
      <c r="AO250" s="184">
        <f>IFERROR(TablaPrincipal[[#This Row],[BALANCEADO ACUMULADO (LBS)]]/TablaPrincipal[[#This Row],[LIBRAS TOTALES]],"-")</f>
        <v>1.5407885171976685</v>
      </c>
      <c r="AP250" s="184"/>
      <c r="AQ250" s="184"/>
      <c r="AR250" s="185">
        <f>TablaPrincipal[[#This Row],[LIBRAS RALEO PLANTA]]-TablaPrincipal[[#This Row],[LIBRAS RALEO CAMARONERA]]</f>
        <v>610.5</v>
      </c>
      <c r="AS250" s="185">
        <f>TablaPrincipal[[#This Row],[LIBRAS PLANTA]]-TablaPrincipal[[#This Row],[LIBRAS CAMARONERA]]</f>
        <v>1330.5299999999988</v>
      </c>
      <c r="AT250" s="187">
        <f>TablaPrincipal[[#This Row],[GRAMAJE RALEO PLANTA]]-TablaPrincipal[[#This Row],[GRAMAJE RALEO CAMARONERA]]</f>
        <v>0.78999999999999915</v>
      </c>
      <c r="AU250" s="187">
        <f>TablaPrincipal[[#This Row],[GRAMOS PLANTA]]-TablaPrincipal[[#This Row],[GRAMAJE CAMARONERA]]</f>
        <v>-3.0000000000001137E-2</v>
      </c>
      <c r="AV250" s="183" t="str">
        <f>+VLOOKUP(TablaPrincipal[[#This Row],[CODIGO]],TablaCosechas[#All],10,0)</f>
        <v>JULIO SANTOS</v>
      </c>
      <c r="AW250" s="183" t="s">
        <v>327</v>
      </c>
      <c r="AX250" s="188" t="str">
        <f>+VLOOKUP(TablaPrincipal[[#This Row],[CODIGO]],TablaCosechas[#All],10,0)</f>
        <v>JULIO SANTOS</v>
      </c>
    </row>
    <row r="251" spans="1:50" hidden="1" x14ac:dyDescent="0.25">
      <c r="A251" s="196">
        <v>46116</v>
      </c>
      <c r="B251" s="183">
        <v>249</v>
      </c>
      <c r="C251" s="183">
        <f>YEAR(TablaPrincipal[[#This Row],[FECHA]])</f>
        <v>2026</v>
      </c>
      <c r="D251" s="183" t="s">
        <v>319</v>
      </c>
      <c r="E251" s="183" t="str">
        <f>UPPER(TEXT(TablaPrincipal[[#This Row],[FECHA]],"MMMM"))</f>
        <v>ABRIL</v>
      </c>
      <c r="F251" s="183" t="str">
        <f>IFERROR(VLOOKUP(TablaPrincipal[[#This Row],[CODIGO]],COSECHAS!A:J,9,0),"-")</f>
        <v>02</v>
      </c>
      <c r="G251" s="183" t="str">
        <f>IFERROR(VLOOKUP(TablaPrincipal[[#This Row],[CODIGO]],COSECHAS!A:I,8,0),"-")</f>
        <v>PARGO ROJO</v>
      </c>
      <c r="H251" s="184">
        <f>IFERROR(VLOOKUP(TablaPrincipal[[#This Row],[CODIGO]],DATOS!A:B,2,0),"-")</f>
        <v>3</v>
      </c>
      <c r="I251" s="183" t="str">
        <f>IFERROR(VLOOKUP(TablaPrincipal[[#This Row],[CODIGO]],Tabla8[[#Headers],[#Data]],3,0),"-")</f>
        <v>CONVENCIONAL</v>
      </c>
      <c r="J251" s="183">
        <f>IFERROR(TablaPrincipal[[#This Row],[FECHA]]-TablaPrincipal[[#This Row],[FECHA DE SIEMBRA]],"-")</f>
        <v>75</v>
      </c>
      <c r="K251" s="196">
        <f>VLOOKUP(TablaPrincipal[[#This Row],[CODIGO]]&amp;TablaPrincipal[[#This Row],[AGUAJE ]],Tabla4[#All],4,0)</f>
        <v>46041</v>
      </c>
      <c r="L251" s="183" t="str">
        <f>VLOOKUP(TablaPrincipal[[#This Row],[CODIGO]]&amp;TablaPrincipal[[#This Row],[AGUAJE ]],Tabla4[#All],15,0)</f>
        <v>PR 4</v>
      </c>
      <c r="M251" s="184">
        <f>VLOOKUP(TablaPrincipal[[#This Row],[CODIGO]]&amp;TablaPrincipal[[#This Row],[AGUAJE ]],Tabla4[#All],14,0)</f>
        <v>0.43</v>
      </c>
      <c r="N251" s="183">
        <v>4</v>
      </c>
      <c r="O251" s="170">
        <f>VLOOKUP(TablaPrincipal[[#This Row],[CODIGO]]&amp;TablaPrincipal[[#This Row],[AGUAJE ]],Tabla4[#All],5,0)</f>
        <v>540000</v>
      </c>
      <c r="P251" s="221">
        <f>IFERROR(TablaPrincipal[[#This Row],[ANIM SEMBRADOS]]/TablaPrincipal[[#This Row],[HAS]],"-")</f>
        <v>180000</v>
      </c>
      <c r="Q251" s="222">
        <f>IFERROR(TablaPrincipal[[#This Row],[DENSIDAD]]/10000,"-")</f>
        <v>18</v>
      </c>
      <c r="R251" s="183" t="str">
        <f>VLOOKUP(TablaPrincipal[[#This Row],[CODIGO]]&amp;TablaPrincipal[[#This Row],[AGUAJE ]],Tabla4[#All],8,0)</f>
        <v>GABSO</v>
      </c>
      <c r="S251" s="183" t="str">
        <f>VLOOKUP(TablaPrincipal[[#This Row],[CODIGO]]&amp;TablaPrincipal[[#This Row],[AGUAJE ]],Tabla4[#All],7,0)</f>
        <v>TEXCUMAR</v>
      </c>
      <c r="T251" s="183" t="str">
        <f>IF(ISNUMBER(FIND("/",TablaPrincipal[[#This Row],[LABORATORIO]])),"COMBINADO","UNICO")</f>
        <v>UNICO</v>
      </c>
      <c r="U2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1" s="185">
        <f>IFERROR(TablaPrincipal[[#This Row],[LIBRAS RALEO PLANTA]]/TablaPrincipal[[#This Row],[HAS]],"-")</f>
        <v>0</v>
      </c>
      <c r="Z2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12500</v>
      </c>
      <c r="AB2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14630.85</v>
      </c>
      <c r="AC251" s="186">
        <f>SUMIFS(COSECHAS!F:F,COSECHAS!A:A,'BASE 2026'!AW:AW,COSECHAS!G:G,"="&amp;A:A)</f>
        <v>25</v>
      </c>
      <c r="AD251" s="186">
        <f>SUMIFS(COSECHAS!M:M,COSECHAS!A:A,'BASE 2026'!AW:AW,COSECHAS!G:G,"="&amp;A:A)</f>
        <v>25.62</v>
      </c>
      <c r="AE251" s="185">
        <f>IFERROR(TablaPrincipal[[#This Row],[LIBRAS PLANTA]]/TablaPrincipal[[#This Row],[HAS]],"-")</f>
        <v>4876.95</v>
      </c>
      <c r="AF251" s="185">
        <f>IFERROR(TablaPrincipal[[#This Row],[LIBRAS PLANTA]]*454/TablaPrincipal[[#This Row],[GRAMOS PLANTA]],"-")</f>
        <v>259266.42857142858</v>
      </c>
      <c r="AG251" s="185">
        <f>TablaPrincipal[[#This Row],[LIBRAS RALEO PLANTA]]+TablaPrincipal[[#This Row],[LIBRAS PLANTA]]</f>
        <v>14630.85</v>
      </c>
      <c r="AH251" s="185">
        <f>IFERROR(TablaPrincipal[[#This Row],[CAM COSECHADOS RALEO]]+TablaPrincipal[[#This Row],[CAM COSECHADOS]],"-")</f>
        <v>259266.42857142858</v>
      </c>
      <c r="AI251" s="185">
        <f>IFERROR((TablaPrincipal[[#This Row],[LIBRAS RALEO PLANTA]]+TablaPrincipal[[#This Row],[LIBRAS PLANTA]])/TablaPrincipal[[#This Row],[HAS]],"0")</f>
        <v>4876.95</v>
      </c>
      <c r="AJ251" s="186">
        <f t="shared" si="3"/>
        <v>2.3912000000000004</v>
      </c>
      <c r="AK251" s="186">
        <f>IFERROR(TablaPrincipal[[#This Row],[LBS/HA]]/TablaPrincipal[[#This Row],[DIAS]],"-")</f>
        <v>65.025999999999996</v>
      </c>
      <c r="AL251" s="186">
        <f>IFERROR(TablaPrincipal[[#This Row],[CAM COSECHADOS TOTALES]]/TablaPrincipal[[#This Row],[ANIM SEMBRADOS]]*100,"-")</f>
        <v>48.012301587301586</v>
      </c>
      <c r="AM251" s="185">
        <v>22674.311000000002</v>
      </c>
      <c r="AN251" s="187">
        <f>IFERROR(((TablaPrincipal[[#This Row],[BALANCEADO ACUMULADO (LBS)]]/2.2046)/TablaPrincipal[[#This Row],[HAS]])/TablaPrincipal[[#This Row],[DIAS]],"-")</f>
        <v>45.711111111111116</v>
      </c>
      <c r="AO251" s="184">
        <f>IFERROR(TablaPrincipal[[#This Row],[BALANCEADO ACUMULADO (LBS)]]/TablaPrincipal[[#This Row],[LIBRAS TOTALES]],"-")</f>
        <v>1.5497603351821665</v>
      </c>
      <c r="AP251" s="184"/>
      <c r="AQ251" s="184"/>
      <c r="AR251" s="185">
        <f>TablaPrincipal[[#This Row],[LIBRAS RALEO PLANTA]]-TablaPrincipal[[#This Row],[LIBRAS RALEO CAMARONERA]]</f>
        <v>0</v>
      </c>
      <c r="AS251" s="185">
        <f>TablaPrincipal[[#This Row],[LIBRAS PLANTA]]-TablaPrincipal[[#This Row],[LIBRAS CAMARONERA]]</f>
        <v>2130.8500000000004</v>
      </c>
      <c r="AT251" s="187">
        <f>TablaPrincipal[[#This Row],[GRAMAJE RALEO PLANTA]]-TablaPrincipal[[#This Row],[GRAMAJE RALEO CAMARONERA]]</f>
        <v>0</v>
      </c>
      <c r="AU251" s="187">
        <f>TablaPrincipal[[#This Row],[GRAMOS PLANTA]]-TablaPrincipal[[#This Row],[GRAMAJE CAMARONERA]]</f>
        <v>0.62000000000000099</v>
      </c>
      <c r="AV251" s="183" t="str">
        <f>+VLOOKUP(TablaPrincipal[[#This Row],[CODIGO]],TablaCosechas[#All],10,0)</f>
        <v>WILMER TORRES</v>
      </c>
      <c r="AW251" s="183" t="s">
        <v>154</v>
      </c>
      <c r="AX251" s="188" t="str">
        <f>+VLOOKUP(TablaPrincipal[[#This Row],[CODIGO]],TablaCosechas[#All],10,0)</f>
        <v>WILMER TORRES</v>
      </c>
    </row>
    <row r="252" spans="1:50" hidden="1" x14ac:dyDescent="0.25">
      <c r="A252" s="196">
        <v>46116</v>
      </c>
      <c r="B252" s="183">
        <v>250</v>
      </c>
      <c r="C252" s="183">
        <f>YEAR(TablaPrincipal[[#This Row],[FECHA]])</f>
        <v>2026</v>
      </c>
      <c r="D252" s="183" t="s">
        <v>319</v>
      </c>
      <c r="E252" s="183" t="str">
        <f>UPPER(TEXT(TablaPrincipal[[#This Row],[FECHA]],"MMMM"))</f>
        <v>ABRIL</v>
      </c>
      <c r="F252" s="183" t="str">
        <f>IFERROR(VLOOKUP(TablaPrincipal[[#This Row],[CODIGO]],COSECHAS!A:J,9,0),"-")</f>
        <v>03</v>
      </c>
      <c r="G252" s="183" t="str">
        <f>IFERROR(VLOOKUP(TablaPrincipal[[#This Row],[CODIGO]],COSECHAS!A:I,8,0),"-")</f>
        <v>PARGO ROJO</v>
      </c>
      <c r="H252" s="184">
        <f>IFERROR(VLOOKUP(TablaPrincipal[[#This Row],[CODIGO]],DATOS!A:B,2,0),"-")</f>
        <v>2.5</v>
      </c>
      <c r="I252" s="183" t="str">
        <f>IFERROR(VLOOKUP(TablaPrincipal[[#This Row],[CODIGO]],Tabla8[[#Headers],[#Data]],3,0),"-")</f>
        <v>CONVENCIONAL</v>
      </c>
      <c r="J252" s="183">
        <f>IFERROR(TablaPrincipal[[#This Row],[FECHA]]-TablaPrincipal[[#This Row],[FECHA DE SIEMBRA]],"-")</f>
        <v>78</v>
      </c>
      <c r="K252" s="196">
        <f>VLOOKUP(TablaPrincipal[[#This Row],[CODIGO]]&amp;TablaPrincipal[[#This Row],[AGUAJE ]],Tabla4[#All],4,0)</f>
        <v>46038</v>
      </c>
      <c r="L252" s="183" t="str">
        <f>VLOOKUP(TablaPrincipal[[#This Row],[CODIGO]]&amp;TablaPrincipal[[#This Row],[AGUAJE ]],Tabla4[#All],15,0)</f>
        <v>PR 4</v>
      </c>
      <c r="M252" s="184">
        <f>VLOOKUP(TablaPrincipal[[#This Row],[CODIGO]]&amp;TablaPrincipal[[#This Row],[AGUAJE ]],Tabla4[#All],14,0)</f>
        <v>0.43</v>
      </c>
      <c r="N252" s="183">
        <v>11</v>
      </c>
      <c r="O252" s="170">
        <f>VLOOKUP(TablaPrincipal[[#This Row],[CODIGO]]&amp;TablaPrincipal[[#This Row],[AGUAJE ]],Tabla4[#All],5,0)</f>
        <v>450000</v>
      </c>
      <c r="P252" s="221">
        <f>IFERROR(TablaPrincipal[[#This Row],[ANIM SEMBRADOS]]/TablaPrincipal[[#This Row],[HAS]],"-")</f>
        <v>180000</v>
      </c>
      <c r="Q252" s="222">
        <f>IFERROR(TablaPrincipal[[#This Row],[DENSIDAD]]/10000,"-")</f>
        <v>18</v>
      </c>
      <c r="R252" s="183" t="str">
        <f>VLOOKUP(TablaPrincipal[[#This Row],[CODIGO]]&amp;TablaPrincipal[[#This Row],[AGUAJE ]],Tabla4[#All],8,0)</f>
        <v>GABSO</v>
      </c>
      <c r="S252" s="183" t="str">
        <f>VLOOKUP(TablaPrincipal[[#This Row],[CODIGO]]&amp;TablaPrincipal[[#This Row],[AGUAJE ]],Tabla4[#All],7,0)</f>
        <v>TEXCUMAR</v>
      </c>
      <c r="T252" s="183" t="str">
        <f>IF(ISNUMBER(FIND("/",TablaPrincipal[[#This Row],[LABORATORIO]])),"COMBINADO","UNICO")</f>
        <v>UNICO</v>
      </c>
      <c r="U2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2" s="185">
        <f>IFERROR(TablaPrincipal[[#This Row],[LIBRAS RALEO PLANTA]]/TablaPrincipal[[#This Row],[HAS]],"-")</f>
        <v>0</v>
      </c>
      <c r="Z2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13000</v>
      </c>
      <c r="AB2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15089.4</v>
      </c>
      <c r="AC252" s="186">
        <f>SUMIFS(COSECHAS!F:F,COSECHAS!A:A,'BASE 2026'!AW:AW,COSECHAS!G:G,"="&amp;A:A)</f>
        <v>26</v>
      </c>
      <c r="AD252" s="186">
        <f>SUMIFS(COSECHAS!M:M,COSECHAS!A:A,'BASE 2026'!AW:AW,COSECHAS!G:G,"="&amp;A:A)</f>
        <v>26.22</v>
      </c>
      <c r="AE252" s="185">
        <f>IFERROR(TablaPrincipal[[#This Row],[LIBRAS PLANTA]]/TablaPrincipal[[#This Row],[HAS]],"-")</f>
        <v>6035.76</v>
      </c>
      <c r="AF252" s="185">
        <f>IFERROR(TablaPrincipal[[#This Row],[LIBRAS PLANTA]]*454/TablaPrincipal[[#This Row],[GRAMOS PLANTA]],"-")</f>
        <v>261273.36384439358</v>
      </c>
      <c r="AG252" s="185">
        <f>TablaPrincipal[[#This Row],[LIBRAS RALEO PLANTA]]+TablaPrincipal[[#This Row],[LIBRAS PLANTA]]</f>
        <v>15089.4</v>
      </c>
      <c r="AH252" s="185">
        <f>IFERROR(TablaPrincipal[[#This Row],[CAM COSECHADOS RALEO]]+TablaPrincipal[[#This Row],[CAM COSECHADOS]],"-")</f>
        <v>261273.36384439358</v>
      </c>
      <c r="AI252" s="185">
        <f>IFERROR((TablaPrincipal[[#This Row],[LIBRAS RALEO PLANTA]]+TablaPrincipal[[#This Row],[LIBRAS PLANTA]])/TablaPrincipal[[#This Row],[HAS]],"0")</f>
        <v>6035.76</v>
      </c>
      <c r="AJ252" s="186">
        <f t="shared" si="3"/>
        <v>2.3530769230769231</v>
      </c>
      <c r="AK252" s="186">
        <f>IFERROR(TablaPrincipal[[#This Row],[LBS/HA]]/TablaPrincipal[[#This Row],[DIAS]],"-")</f>
        <v>77.381538461538469</v>
      </c>
      <c r="AL252" s="186">
        <f>IFERROR(TablaPrincipal[[#This Row],[CAM COSECHADOS TOTALES]]/TablaPrincipal[[#This Row],[ANIM SEMBRADOS]]*100,"-")</f>
        <v>58.060747520976349</v>
      </c>
      <c r="AM252" s="185">
        <v>22828.633000000002</v>
      </c>
      <c r="AN252" s="187">
        <f>IFERROR(((TablaPrincipal[[#This Row],[BALANCEADO ACUMULADO (LBS)]]/2.2046)/TablaPrincipal[[#This Row],[HAS]])/TablaPrincipal[[#This Row],[DIAS]],"-")</f>
        <v>53.102564102564102</v>
      </c>
      <c r="AO252" s="184">
        <f>IFERROR(TablaPrincipal[[#This Row],[BALANCEADO ACUMULADO (LBS)]]/TablaPrincipal[[#This Row],[LIBRAS TOTALES]],"-")</f>
        <v>1.5128920301668722</v>
      </c>
      <c r="AP252" s="184"/>
      <c r="AQ252" s="184"/>
      <c r="AR252" s="185">
        <f>TablaPrincipal[[#This Row],[LIBRAS RALEO PLANTA]]-TablaPrincipal[[#This Row],[LIBRAS RALEO CAMARONERA]]</f>
        <v>0</v>
      </c>
      <c r="AS252" s="185">
        <f>TablaPrincipal[[#This Row],[LIBRAS PLANTA]]-TablaPrincipal[[#This Row],[LIBRAS CAMARONERA]]</f>
        <v>2089.3999999999996</v>
      </c>
      <c r="AT252" s="187">
        <f>TablaPrincipal[[#This Row],[GRAMAJE RALEO PLANTA]]-TablaPrincipal[[#This Row],[GRAMAJE RALEO CAMARONERA]]</f>
        <v>0</v>
      </c>
      <c r="AU252" s="187">
        <f>TablaPrincipal[[#This Row],[GRAMOS PLANTA]]-TablaPrincipal[[#This Row],[GRAMAJE CAMARONERA]]</f>
        <v>0.21999999999999886</v>
      </c>
      <c r="AV252" s="183" t="str">
        <f>+VLOOKUP(TablaPrincipal[[#This Row],[CODIGO]],TablaCosechas[#All],10,0)</f>
        <v>WILMER TORRES</v>
      </c>
      <c r="AW252" s="183" t="s">
        <v>113</v>
      </c>
      <c r="AX252" s="188" t="str">
        <f>+VLOOKUP(TablaPrincipal[[#This Row],[CODIGO]],TablaCosechas[#All],10,0)</f>
        <v>WILMER TORRES</v>
      </c>
    </row>
    <row r="253" spans="1:50" hidden="1" x14ac:dyDescent="0.25">
      <c r="A253" s="196">
        <v>46116</v>
      </c>
      <c r="B253" s="183">
        <v>251</v>
      </c>
      <c r="C253" s="183">
        <f>YEAR(TablaPrincipal[[#This Row],[FECHA]])</f>
        <v>2026</v>
      </c>
      <c r="D253" s="183" t="s">
        <v>319</v>
      </c>
      <c r="E253" s="183" t="str">
        <f>UPPER(TEXT(TablaPrincipal[[#This Row],[FECHA]],"MMMM"))</f>
        <v>ABRIL</v>
      </c>
      <c r="F253" s="183" t="str">
        <f>IFERROR(VLOOKUP(TablaPrincipal[[#This Row],[CODIGO]],COSECHAS!A:J,9,0),"-")</f>
        <v>36</v>
      </c>
      <c r="G253" s="183" t="str">
        <f>IFERROR(VLOOKUP(TablaPrincipal[[#This Row],[CODIGO]],COSECHAS!A:I,8,0),"-")</f>
        <v>WAHOO</v>
      </c>
      <c r="H253" s="184">
        <f>IFERROR(VLOOKUP(TablaPrincipal[[#This Row],[CODIGO]],DATOS!A:B,2,0),"-")</f>
        <v>10</v>
      </c>
      <c r="I253" s="183" t="str">
        <f>IFERROR(VLOOKUP(TablaPrincipal[[#This Row],[CODIGO]],Tabla8[[#Headers],[#Data]],3,0),"-")</f>
        <v>CONVENCIONAL</v>
      </c>
      <c r="J253" s="183">
        <f>IFERROR(TablaPrincipal[[#This Row],[FECHA]]-TablaPrincipal[[#This Row],[FECHA DE SIEMBRA]],"-")</f>
        <v>99</v>
      </c>
      <c r="K253" s="196">
        <f>VLOOKUP(TablaPrincipal[[#This Row],[CODIGO]]&amp;TablaPrincipal[[#This Row],[AGUAJE ]],Tabla4[#All],4,0)</f>
        <v>46017</v>
      </c>
      <c r="L253" s="183" t="str">
        <f>VLOOKUP(TablaPrincipal[[#This Row],[CODIGO]]&amp;TablaPrincipal[[#This Row],[AGUAJE ]],Tabla4[#All],15,0)</f>
        <v>WA PC 18</v>
      </c>
      <c r="M253" s="184">
        <f>VLOOKUP(TablaPrincipal[[#This Row],[CODIGO]]&amp;TablaPrincipal[[#This Row],[AGUAJE ]],Tabla4[#All],14,0)</f>
        <v>0.63</v>
      </c>
      <c r="N253" s="183">
        <v>53</v>
      </c>
      <c r="O253" s="170">
        <f>VLOOKUP(TablaPrincipal[[#This Row],[CODIGO]]&amp;TablaPrincipal[[#This Row],[AGUAJE ]],Tabla4[#All],5,0)</f>
        <v>1550000</v>
      </c>
      <c r="P253" s="221">
        <f>IFERROR(TablaPrincipal[[#This Row],[ANIM SEMBRADOS]]/TablaPrincipal[[#This Row],[HAS]],"-")</f>
        <v>155000</v>
      </c>
      <c r="Q253" s="222">
        <f>IFERROR(TablaPrincipal[[#This Row],[DENSIDAD]]/10000,"-")</f>
        <v>15.5</v>
      </c>
      <c r="R253" s="183" t="str">
        <f>VLOOKUP(TablaPrincipal[[#This Row],[CODIGO]]&amp;TablaPrincipal[[#This Row],[AGUAJE ]],Tabla4[#All],8,0)</f>
        <v>TECSERV</v>
      </c>
      <c r="S253" s="183" t="str">
        <f>VLOOKUP(TablaPrincipal[[#This Row],[CODIGO]]&amp;TablaPrincipal[[#This Row],[AGUAJE ]],Tabla4[#All],7,0)</f>
        <v>TEXCUMAR</v>
      </c>
      <c r="T253" s="183" t="str">
        <f>IF(ISNUMBER(FIND("/",TablaPrincipal[[#This Row],[LABORATORIO]])),"COMBINADO","UNICO")</f>
        <v>UNICO</v>
      </c>
      <c r="U2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30321</v>
      </c>
      <c r="V2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35784.409999999996</v>
      </c>
      <c r="W2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2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25.67</v>
      </c>
      <c r="Y253" s="185">
        <f>IFERROR(TablaPrincipal[[#This Row],[LIBRAS RALEO PLANTA]]/TablaPrincipal[[#This Row],[HAS]],"-")</f>
        <v>3578.4409999999998</v>
      </c>
      <c r="Z2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625785.12001639185</v>
      </c>
      <c r="AA25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B2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21725.439999999999</v>
      </c>
      <c r="AC253" s="186">
        <f>SUMIFS(COSECHAS!F:F,COSECHAS!A:A,'BASE 2026'!AW:AW,COSECHAS!G:G,"="&amp;A:A)</f>
        <v>31</v>
      </c>
      <c r="AD253" s="186">
        <f>SUMIFS(COSECHAS!M:M,COSECHAS!A:A,'BASE 2026'!AW:AW,COSECHAS!G:G,"="&amp;A:A)</f>
        <v>28.96</v>
      </c>
      <c r="AE253" s="185">
        <f>IFERROR(TablaPrincipal[[#This Row],[LIBRAS PLANTA]]/TablaPrincipal[[#This Row],[HAS]],"-")</f>
        <v>2172.5439999999999</v>
      </c>
      <c r="AF253" s="185">
        <f>IFERROR(TablaPrincipal[[#This Row],[LIBRAS PLANTA]]*454/TablaPrincipal[[#This Row],[GRAMOS PLANTA]],"-")</f>
        <v>340585.28176795581</v>
      </c>
      <c r="AG253" s="185">
        <f>TablaPrincipal[[#This Row],[LIBRAS RALEO PLANTA]]+TablaPrincipal[[#This Row],[LIBRAS PLANTA]]</f>
        <v>57509.849999999991</v>
      </c>
      <c r="AH253" s="185">
        <f>IFERROR(TablaPrincipal[[#This Row],[CAM COSECHADOS RALEO]]+TablaPrincipal[[#This Row],[CAM COSECHADOS]],"-")</f>
        <v>966370.4017843476</v>
      </c>
      <c r="AI253" s="185">
        <f>IFERROR((TablaPrincipal[[#This Row],[LIBRAS RALEO PLANTA]]+TablaPrincipal[[#This Row],[LIBRAS PLANTA]])/TablaPrincipal[[#This Row],[HAS]],"0")</f>
        <v>5750.9849999999988</v>
      </c>
      <c r="AJ253" s="186">
        <f t="shared" si="3"/>
        <v>2.047676767676768</v>
      </c>
      <c r="AK253" s="186">
        <f>IFERROR(TablaPrincipal[[#This Row],[LBS/HA]]/TablaPrincipal[[#This Row],[DIAS]],"-")</f>
        <v>58.090757575757564</v>
      </c>
      <c r="AL253" s="186">
        <f>IFERROR(TablaPrincipal[[#This Row],[CAM COSECHADOS TOTALES]]/TablaPrincipal[[#This Row],[ANIM SEMBRADOS]]*100,"-")</f>
        <v>62.34647753447404</v>
      </c>
      <c r="AM253" s="185">
        <v>88611.6924</v>
      </c>
      <c r="AN253" s="187">
        <f>IFERROR(((TablaPrincipal[[#This Row],[BALANCEADO ACUMULADO (LBS)]]/2.2046)/TablaPrincipal[[#This Row],[HAS]])/TablaPrincipal[[#This Row],[DIAS]],"-")</f>
        <v>40.6</v>
      </c>
      <c r="AO253" s="184">
        <f>IFERROR(TablaPrincipal[[#This Row],[BALANCEADO ACUMULADO (LBS)]]/TablaPrincipal[[#This Row],[LIBRAS TOTALES]],"-")</f>
        <v>1.5408089640296403</v>
      </c>
      <c r="AP253" s="184"/>
      <c r="AQ253" s="184"/>
      <c r="AR253" s="185">
        <f>TablaPrincipal[[#This Row],[LIBRAS RALEO PLANTA]]-TablaPrincipal[[#This Row],[LIBRAS RALEO CAMARONERA]]</f>
        <v>5463.4099999999962</v>
      </c>
      <c r="AS253" s="185">
        <f>TablaPrincipal[[#This Row],[LIBRAS PLANTA]]-TablaPrincipal[[#This Row],[LIBRAS CAMARONERA]]</f>
        <v>3875.4399999999987</v>
      </c>
      <c r="AT253" s="187">
        <f>TablaPrincipal[[#This Row],[GRAMAJE RALEO PLANTA]]-TablaPrincipal[[#This Row],[GRAMAJE RALEO CAMARONERA]]</f>
        <v>-0.32999999999999829</v>
      </c>
      <c r="AU253" s="187">
        <f>TablaPrincipal[[#This Row],[GRAMOS PLANTA]]-TablaPrincipal[[#This Row],[GRAMAJE CAMARONERA]]</f>
        <v>-2.0399999999999991</v>
      </c>
      <c r="AV253" s="183" t="str">
        <f>+VLOOKUP(TablaPrincipal[[#This Row],[CODIGO]],TablaCosechas[#All],10,0)</f>
        <v>JUNIOR ESQUIVEL</v>
      </c>
      <c r="AW253" s="183" t="s">
        <v>328</v>
      </c>
      <c r="AX253" s="188" t="str">
        <f>+VLOOKUP(TablaPrincipal[[#This Row],[CODIGO]],TablaCosechas[#All],10,0)</f>
        <v>JUNIOR ESQUIVEL</v>
      </c>
    </row>
    <row r="254" spans="1:50" hidden="1" x14ac:dyDescent="0.25">
      <c r="A254" s="196">
        <v>46116</v>
      </c>
      <c r="B254" s="183">
        <v>257</v>
      </c>
      <c r="C254" s="183">
        <f>YEAR(TablaPrincipal[[#This Row],[FECHA]])</f>
        <v>2026</v>
      </c>
      <c r="D254" s="183" t="s">
        <v>319</v>
      </c>
      <c r="E254" s="183" t="str">
        <f>UPPER(TEXT(TablaPrincipal[[#This Row],[FECHA]],"MMMM"))</f>
        <v>ABRIL</v>
      </c>
      <c r="F254" s="183" t="str">
        <f>IFERROR(VLOOKUP(TablaPrincipal[[#This Row],[CODIGO]],COSECHAS!A:J,9,0),"-")</f>
        <v>17</v>
      </c>
      <c r="G254" s="183" t="str">
        <f>IFERROR(VLOOKUP(TablaPrincipal[[#This Row],[CODIGO]],COSECHAS!A:I,8,0),"-")</f>
        <v>CATANUDA</v>
      </c>
      <c r="H254" s="184">
        <f>IFERROR(VLOOKUP(TablaPrincipal[[#This Row],[CODIGO]],DATOS!A:B,2,0),"-")</f>
        <v>7.5</v>
      </c>
      <c r="I254" s="183" t="str">
        <f>IFERROR(VLOOKUP(TablaPrincipal[[#This Row],[CODIGO]],Tabla8[[#Headers],[#Data]],3,0),"-")</f>
        <v>ASC-BAP</v>
      </c>
      <c r="J254" s="183">
        <f>IFERROR(TablaPrincipal[[#This Row],[FECHA]]-TablaPrincipal[[#This Row],[FECHA DE SIEMBRA]],"-")</f>
        <v>83</v>
      </c>
      <c r="K254" s="196">
        <f>VLOOKUP(TablaPrincipal[[#This Row],[CODIGO]]&amp;TablaPrincipal[[#This Row],[AGUAJE ]],Tabla4[#All],4,0)</f>
        <v>46033</v>
      </c>
      <c r="L254" s="183" t="str">
        <f>VLOOKUP(TablaPrincipal[[#This Row],[CODIGO]]&amp;TablaPrincipal[[#This Row],[AGUAJE ]],Tabla4[#All],15,0)</f>
        <v>CA PC 6</v>
      </c>
      <c r="M254" s="184">
        <f>VLOOKUP(TablaPrincipal[[#This Row],[CODIGO]]&amp;TablaPrincipal[[#This Row],[AGUAJE ]],Tabla4[#All],14,0)</f>
        <v>0.46</v>
      </c>
      <c r="N254" s="183">
        <v>6</v>
      </c>
      <c r="O254" s="170">
        <f>VLOOKUP(TablaPrincipal[[#This Row],[CODIGO]]&amp;TablaPrincipal[[#This Row],[AGUAJE ]],Tabla4[#All],5,0)</f>
        <v>1350000</v>
      </c>
      <c r="P254" s="221">
        <f>IFERROR(TablaPrincipal[[#This Row],[ANIM SEMBRADOS]]/TablaPrincipal[[#This Row],[HAS]],"-")</f>
        <v>180000</v>
      </c>
      <c r="Q254" s="222">
        <f>IFERROR(TablaPrincipal[[#This Row],[DENSIDAD]]/10000,"-")</f>
        <v>18</v>
      </c>
      <c r="R254" s="183" t="str">
        <f>VLOOKUP(TablaPrincipal[[#This Row],[CODIGO]]&amp;TablaPrincipal[[#This Row],[AGUAJE ]],Tabla4[#All],8,0)</f>
        <v>DEONES</v>
      </c>
      <c r="S254" s="183" t="str">
        <f>VLOOKUP(TablaPrincipal[[#This Row],[CODIGO]]&amp;TablaPrincipal[[#This Row],[AGUAJE ]],Tabla4[#All],7,0)</f>
        <v>TEXCUMAR</v>
      </c>
      <c r="T254" s="183" t="str">
        <f>IF(ISNUMBER(FIND("/",TablaPrincipal[[#This Row],[LABORATORIO]])),"COMBINADO","UNICO")</f>
        <v>UNICO</v>
      </c>
      <c r="U2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23200</v>
      </c>
      <c r="V2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24052.02</v>
      </c>
      <c r="W2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27.333333333333332</v>
      </c>
      <c r="X2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28.78</v>
      </c>
      <c r="Y254" s="185">
        <f>IFERROR(TablaPrincipal[[#This Row],[LIBRAS RALEO PLANTA]]/TablaPrincipal[[#This Row],[HAS]],"-")</f>
        <v>3206.9360000000001</v>
      </c>
      <c r="Z2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377001.73887248145</v>
      </c>
      <c r="AA25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24503.24</v>
      </c>
      <c r="AC254" s="186">
        <f>SUMIFS(COSECHAS!F:F,COSECHAS!A:A,'BASE 2026'!AW:AW,COSECHAS!G:G,"="&amp;A:A)</f>
        <v>33</v>
      </c>
      <c r="AD254" s="186">
        <f>SUMIFS(COSECHAS!M:M,COSECHAS!A:A,'BASE 2026'!AW:AW,COSECHAS!G:G,"="&amp;A:A)</f>
        <v>34.619999999999997</v>
      </c>
      <c r="AE254" s="185">
        <f>IFERROR(TablaPrincipal[[#This Row],[LIBRAS PLANTA]]/TablaPrincipal[[#This Row],[HAS]],"-")</f>
        <v>3267.0986666666668</v>
      </c>
      <c r="AF254" s="185">
        <f>IFERROR(TablaPrincipal[[#This Row],[LIBRAS PLANTA]]*454/TablaPrincipal[[#This Row],[GRAMOS PLANTA]],"-")</f>
        <v>321330.7614095899</v>
      </c>
      <c r="AG254" s="185">
        <f>TablaPrincipal[[#This Row],[LIBRAS RALEO PLANTA]]+TablaPrincipal[[#This Row],[LIBRAS PLANTA]]</f>
        <v>48555.26</v>
      </c>
      <c r="AH254" s="185">
        <f>IFERROR(TablaPrincipal[[#This Row],[CAM COSECHADOS RALEO]]+TablaPrincipal[[#This Row],[CAM COSECHADOS]],"-")</f>
        <v>698332.5002820713</v>
      </c>
      <c r="AI254" s="185">
        <f>IFERROR((TablaPrincipal[[#This Row],[LIBRAS RALEO PLANTA]]+TablaPrincipal[[#This Row],[LIBRAS PLANTA]])/TablaPrincipal[[#This Row],[HAS]],"0")</f>
        <v>6474.0346666666674</v>
      </c>
      <c r="AJ254" s="186">
        <f t="shared" si="3"/>
        <v>2.919759036144578</v>
      </c>
      <c r="AK254" s="186">
        <f>IFERROR(TablaPrincipal[[#This Row],[LBS/HA]]/TablaPrincipal[[#This Row],[DIAS]],"-")</f>
        <v>78.000417670682737</v>
      </c>
      <c r="AL254" s="186">
        <f>IFERROR(TablaPrincipal[[#This Row],[CAM COSECHADOS TOTALES]]/TablaPrincipal[[#This Row],[ANIM SEMBRADOS]]*100,"-")</f>
        <v>51.728333354227509</v>
      </c>
      <c r="AM254" s="185">
        <v>75865.797500000001</v>
      </c>
      <c r="AN254" s="187">
        <f>IFERROR(((TablaPrincipal[[#This Row],[BALANCEADO ACUMULADO (LBS)]]/2.2046)/TablaPrincipal[[#This Row],[HAS]])/TablaPrincipal[[#This Row],[DIAS]],"-")</f>
        <v>55.281124497991961</v>
      </c>
      <c r="AO254" s="184">
        <f>IFERROR(TablaPrincipal[[#This Row],[BALANCEADO ACUMULADO (LBS)]]/TablaPrincipal[[#This Row],[LIBRAS TOTALES]],"-")</f>
        <v>1.5624630060677256</v>
      </c>
      <c r="AP254" s="184"/>
      <c r="AQ254" s="184"/>
      <c r="AR254" s="185">
        <f>TablaPrincipal[[#This Row],[LIBRAS RALEO PLANTA]]-TablaPrincipal[[#This Row],[LIBRAS RALEO CAMARONERA]]</f>
        <v>852.02000000000044</v>
      </c>
      <c r="AS254" s="185">
        <f>TablaPrincipal[[#This Row],[LIBRAS PLANTA]]-TablaPrincipal[[#This Row],[LIBRAS CAMARONERA]]</f>
        <v>3703.2400000000016</v>
      </c>
      <c r="AT254" s="187">
        <f>TablaPrincipal[[#This Row],[GRAMAJE RALEO PLANTA]]-TablaPrincipal[[#This Row],[GRAMAJE RALEO CAMARONERA]]</f>
        <v>1.446666666666669</v>
      </c>
      <c r="AU254" s="187">
        <f>TablaPrincipal[[#This Row],[GRAMOS PLANTA]]-TablaPrincipal[[#This Row],[GRAMAJE CAMARONERA]]</f>
        <v>1.6199999999999974</v>
      </c>
      <c r="AV254" s="183" t="str">
        <f>+VLOOKUP(TablaPrincipal[[#This Row],[CODIGO]],TablaCosechas[#All],10,0)</f>
        <v>VICTOR QUINTANA</v>
      </c>
      <c r="AW254" s="183" t="s">
        <v>110</v>
      </c>
      <c r="AX254" s="188" t="str">
        <f>+VLOOKUP(TablaPrincipal[[#This Row],[CODIGO]],TablaCosechas[#All],10,0)</f>
        <v>VICTOR QUINTANA</v>
      </c>
    </row>
    <row r="255" spans="1:50" hidden="1" x14ac:dyDescent="0.25">
      <c r="A255" s="196">
        <v>46116</v>
      </c>
      <c r="B255" s="183">
        <v>252</v>
      </c>
      <c r="C255" s="183">
        <f>YEAR(TablaPrincipal[[#This Row],[FECHA]])</f>
        <v>2026</v>
      </c>
      <c r="D255" s="183" t="s">
        <v>319</v>
      </c>
      <c r="E255" s="183" t="str">
        <f>UPPER(TEXT(TablaPrincipal[[#This Row],[FECHA]],"MMMM"))</f>
        <v>ABRIL</v>
      </c>
      <c r="F255" s="183" t="str">
        <f>IFERROR(VLOOKUP(TablaPrincipal[[#This Row],[CODIGO]],COSECHAS!A:J,9,0),"-")</f>
        <v>09</v>
      </c>
      <c r="G255" s="183" t="str">
        <f>IFERROR(VLOOKUP(TablaPrincipal[[#This Row],[CODIGO]],COSECHAS!A:I,8,0),"-")</f>
        <v>MERO</v>
      </c>
      <c r="H255" s="184">
        <f>IFERROR(VLOOKUP(TablaPrincipal[[#This Row],[CODIGO]],DATOS!A:B,2,0),"-")</f>
        <v>7.6</v>
      </c>
      <c r="I255" s="183" t="str">
        <f>IFERROR(VLOOKUP(TablaPrincipal[[#This Row],[CODIGO]],Tabla8[[#Headers],[#Data]],3,0),"-")</f>
        <v>CONVENCIONAL</v>
      </c>
      <c r="J255" s="183">
        <f>IFERROR(TablaPrincipal[[#This Row],[FECHA]]-TablaPrincipal[[#This Row],[FECHA DE SIEMBRA]],"-")</f>
        <v>46</v>
      </c>
      <c r="K255" s="196">
        <f>VLOOKUP(TablaPrincipal[[#This Row],[CODIGO]]&amp;TablaPrincipal[[#This Row],[AGUAJE ]],Tabla4[#All],4,0)</f>
        <v>46070</v>
      </c>
      <c r="L255" s="183" t="str">
        <f>VLOOKUP(TablaPrincipal[[#This Row],[CODIGO]]&amp;TablaPrincipal[[#This Row],[AGUAJE ]],Tabla4[#All],15,0)</f>
        <v>ME PC 8</v>
      </c>
      <c r="M255" s="184">
        <f>VLOOKUP(TablaPrincipal[[#This Row],[CODIGO]]&amp;TablaPrincipal[[#This Row],[AGUAJE ]],Tabla4[#All],14,0)</f>
        <v>4</v>
      </c>
      <c r="N255" s="183">
        <v>9</v>
      </c>
      <c r="O255" s="170">
        <f>VLOOKUP(TablaPrincipal[[#This Row],[CODIGO]]&amp;TablaPrincipal[[#This Row],[AGUAJE ]],Tabla4[#All],5,0)</f>
        <v>1064000</v>
      </c>
      <c r="P255" s="221">
        <f>IFERROR(TablaPrincipal[[#This Row],[ANIM SEMBRADOS]]/TablaPrincipal[[#This Row],[HAS]],"-")</f>
        <v>140000</v>
      </c>
      <c r="Q255" s="222">
        <f>IFERROR(TablaPrincipal[[#This Row],[DENSIDAD]]/10000,"-")</f>
        <v>14</v>
      </c>
      <c r="R255" s="183" t="str">
        <f>VLOOKUP(TablaPrincipal[[#This Row],[CODIGO]]&amp;TablaPrincipal[[#This Row],[AGUAJE ]],Tabla4[#All],8,0)</f>
        <v>GENESIS</v>
      </c>
      <c r="S255" s="183" t="str">
        <f>VLOOKUP(TablaPrincipal[[#This Row],[CODIGO]]&amp;TablaPrincipal[[#This Row],[AGUAJE ]],Tabla4[#All],7,0)</f>
        <v>TEXCUMAR</v>
      </c>
      <c r="T255" s="183" t="str">
        <f>IF(ISNUMBER(FIND("/",TablaPrincipal[[#This Row],[LABORATORIO]])),"COMBINADO","UNICO")</f>
        <v>UNICO</v>
      </c>
      <c r="U2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27400</v>
      </c>
      <c r="V2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27071.879999999997</v>
      </c>
      <c r="W2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25.515000000000001</v>
      </c>
      <c r="Y255" s="185">
        <f>IFERROR(TablaPrincipal[[#This Row],[LIBRAS RALEO PLANTA]]/TablaPrincipal[[#This Row],[HAS]],"-")</f>
        <v>3562.0894736842101</v>
      </c>
      <c r="Z2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454598.55441506766</v>
      </c>
      <c r="AA25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12400</v>
      </c>
      <c r="AB2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12770.9</v>
      </c>
      <c r="AC255" s="186">
        <f>SUMIFS(COSECHAS!F:F,COSECHAS!A:A,'BASE 2026'!AW:AW,COSECHAS!G:G,"="&amp;A:A)</f>
        <v>30</v>
      </c>
      <c r="AD255" s="186">
        <f>SUMIFS(COSECHAS!M:M,COSECHAS!A:A,'BASE 2026'!AW:AW,COSECHAS!G:G,"="&amp;A:A)</f>
        <v>30.92</v>
      </c>
      <c r="AE255" s="185">
        <f>IFERROR(TablaPrincipal[[#This Row],[LIBRAS PLANTA]]/TablaPrincipal[[#This Row],[HAS]],"-")</f>
        <v>1680.3815789473686</v>
      </c>
      <c r="AF255" s="185">
        <f>IFERROR(TablaPrincipal[[#This Row],[LIBRAS PLANTA]]*454/TablaPrincipal[[#This Row],[GRAMOS PLANTA]],"-")</f>
        <v>187515.80206985769</v>
      </c>
      <c r="AG255" s="185">
        <f>TablaPrincipal[[#This Row],[LIBRAS RALEO PLANTA]]+TablaPrincipal[[#This Row],[LIBRAS PLANTA]]</f>
        <v>39842.78</v>
      </c>
      <c r="AH255" s="185">
        <f>IFERROR(TablaPrincipal[[#This Row],[CAM COSECHADOS RALEO]]+TablaPrincipal[[#This Row],[CAM COSECHADOS]],"-")</f>
        <v>642114.35648492537</v>
      </c>
      <c r="AI255" s="185">
        <f>IFERROR((TablaPrincipal[[#This Row],[LIBRAS RALEO PLANTA]]+TablaPrincipal[[#This Row],[LIBRAS PLANTA]])/TablaPrincipal[[#This Row],[HAS]],"0")</f>
        <v>5242.4710526315794</v>
      </c>
      <c r="AJ255" s="186">
        <f t="shared" si="3"/>
        <v>4.7052173913043482</v>
      </c>
      <c r="AK255" s="186">
        <f>IFERROR(TablaPrincipal[[#This Row],[LBS/HA]]/TablaPrincipal[[#This Row],[DIAS]],"-")</f>
        <v>113.96676201372999</v>
      </c>
      <c r="AL255" s="186">
        <f>IFERROR(TablaPrincipal[[#This Row],[CAM COSECHADOS TOTALES]]/TablaPrincipal[[#This Row],[ANIM SEMBRADOS]]*100,"-")</f>
        <v>60.349093654598249</v>
      </c>
      <c r="AM255" s="185">
        <v>36431.014999999999</v>
      </c>
      <c r="AN255" s="187">
        <f>IFERROR(((TablaPrincipal[[#This Row],[BALANCEADO ACUMULADO (LBS)]]/2.2046)/TablaPrincipal[[#This Row],[HAS]])/TablaPrincipal[[#This Row],[DIAS]],"-")</f>
        <v>47.268306636155607</v>
      </c>
      <c r="AO255" s="184">
        <f>IFERROR(TablaPrincipal[[#This Row],[BALANCEADO ACUMULADO (LBS)]]/TablaPrincipal[[#This Row],[LIBRAS TOTALES]],"-")</f>
        <v>0.91436930354759383</v>
      </c>
      <c r="AP255" s="184"/>
      <c r="AQ255" s="184"/>
      <c r="AR255" s="185">
        <f>TablaPrincipal[[#This Row],[LIBRAS RALEO PLANTA]]-TablaPrincipal[[#This Row],[LIBRAS RALEO CAMARONERA]]</f>
        <v>-328.12000000000262</v>
      </c>
      <c r="AS255" s="185">
        <f>TablaPrincipal[[#This Row],[LIBRAS PLANTA]]-TablaPrincipal[[#This Row],[LIBRAS CAMARONERA]]</f>
        <v>370.89999999999964</v>
      </c>
      <c r="AT255" s="187">
        <f>TablaPrincipal[[#This Row],[GRAMAJE RALEO PLANTA]]-TablaPrincipal[[#This Row],[GRAMAJE RALEO CAMARONERA]]</f>
        <v>0.51500000000000057</v>
      </c>
      <c r="AU255" s="187">
        <f>TablaPrincipal[[#This Row],[GRAMOS PLANTA]]-TablaPrincipal[[#This Row],[GRAMAJE CAMARONERA]]</f>
        <v>0.92000000000000171</v>
      </c>
      <c r="AV255" s="183" t="str">
        <f>+VLOOKUP(TablaPrincipal[[#This Row],[CODIGO]],TablaCosechas[#All],10,0)</f>
        <v>NESTOR MOGOLLON</v>
      </c>
      <c r="AW255" s="183" t="s">
        <v>210</v>
      </c>
      <c r="AX255" s="188" t="str">
        <f>+VLOOKUP(TablaPrincipal[[#This Row],[CODIGO]],TablaCosechas[#All],10,0)</f>
        <v>NESTOR MOGOLLON</v>
      </c>
    </row>
    <row r="256" spans="1:50" hidden="1" x14ac:dyDescent="0.25">
      <c r="A256" s="196">
        <v>46117</v>
      </c>
      <c r="B256" s="183">
        <v>253</v>
      </c>
      <c r="C256" s="183">
        <f>YEAR(TablaPrincipal[[#This Row],[FECHA]])</f>
        <v>2026</v>
      </c>
      <c r="D256" s="183" t="s">
        <v>319</v>
      </c>
      <c r="E256" s="183" t="str">
        <f>UPPER(TEXT(TablaPrincipal[[#This Row],[FECHA]],"MMMM"))</f>
        <v>ABRIL</v>
      </c>
      <c r="F256" s="183" t="str">
        <f>IFERROR(VLOOKUP(TablaPrincipal[[#This Row],[CODIGO]],COSECHAS!A:J,9,0),"-")</f>
        <v>18</v>
      </c>
      <c r="G256" s="183" t="str">
        <f>IFERROR(VLOOKUP(TablaPrincipal[[#This Row],[CODIGO]],COSECHAS!A:I,8,0),"-")</f>
        <v>CATANUDA</v>
      </c>
      <c r="H256" s="184">
        <f>IFERROR(VLOOKUP(TablaPrincipal[[#This Row],[CODIGO]],DATOS!A:B,2,0),"-")</f>
        <v>5.5</v>
      </c>
      <c r="I256" s="183" t="str">
        <f>IFERROR(VLOOKUP(TablaPrincipal[[#This Row],[CODIGO]],Tabla8[[#Headers],[#Data]],3,0),"-")</f>
        <v>ASC-BAP</v>
      </c>
      <c r="J256" s="183">
        <f>IFERROR(TablaPrincipal[[#This Row],[FECHA]]-TablaPrincipal[[#This Row],[FECHA DE SIEMBRA]],"-")</f>
        <v>84</v>
      </c>
      <c r="K256" s="196">
        <f>VLOOKUP(TablaPrincipal[[#This Row],[CODIGO]]&amp;TablaPrincipal[[#This Row],[AGUAJE ]],Tabla4[#All],4,0)</f>
        <v>46033</v>
      </c>
      <c r="L256" s="183" t="str">
        <f>VLOOKUP(TablaPrincipal[[#This Row],[CODIGO]]&amp;TablaPrincipal[[#This Row],[AGUAJE ]],Tabla4[#All],15,0)</f>
        <v>CA PC 8 - 6</v>
      </c>
      <c r="M256" s="184">
        <f>VLOOKUP(TablaPrincipal[[#This Row],[CODIGO]]&amp;TablaPrincipal[[#This Row],[AGUAJE ]],Tabla4[#All],14,0)</f>
        <v>0.7</v>
      </c>
      <c r="N256" s="183">
        <v>3</v>
      </c>
      <c r="O256" s="170">
        <f>VLOOKUP(TablaPrincipal[[#This Row],[CODIGO]]&amp;TablaPrincipal[[#This Row],[AGUAJE ]],Tabla4[#All],5,0)</f>
        <v>990000</v>
      </c>
      <c r="P256" s="221">
        <f>IFERROR(TablaPrincipal[[#This Row],[ANIM SEMBRADOS]]/TablaPrincipal[[#This Row],[HAS]],"-")</f>
        <v>180000</v>
      </c>
      <c r="Q256" s="222">
        <f>IFERROR(TablaPrincipal[[#This Row],[DENSIDAD]]/10000,"-")</f>
        <v>18</v>
      </c>
      <c r="R256" s="183" t="str">
        <f>VLOOKUP(TablaPrincipal[[#This Row],[CODIGO]]&amp;TablaPrincipal[[#This Row],[AGUAJE ]],Tabla4[#All],8,0)</f>
        <v>GENESIS/DEONES</v>
      </c>
      <c r="S256" s="183" t="str">
        <f>VLOOKUP(TablaPrincipal[[#This Row],[CODIGO]]&amp;TablaPrincipal[[#This Row],[AGUAJE ]],Tabla4[#All],7,0)</f>
        <v>TEXCUMAR</v>
      </c>
      <c r="T256" s="183" t="str">
        <f>IF(ISNUMBER(FIND("/",TablaPrincipal[[#This Row],[LABORATORIO]])),"COMBINADO","UNICO")</f>
        <v>COMBINADO</v>
      </c>
      <c r="U2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5150</v>
      </c>
      <c r="V2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5866.24</v>
      </c>
      <c r="W2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</v>
      </c>
      <c r="X2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30.7</v>
      </c>
      <c r="Y256" s="185">
        <f>IFERROR(TablaPrincipal[[#This Row],[LIBRAS RALEO PLANTA]]/TablaPrincipal[[#This Row],[HAS]],"-")</f>
        <v>1066.5890909090908</v>
      </c>
      <c r="Z2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86751.562214983715</v>
      </c>
      <c r="AA256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2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31238.97</v>
      </c>
      <c r="AC256" s="186">
        <f>SUMIFS(COSECHAS!F:F,COSECHAS!A:A,'BASE 2026'!AW:AW,COSECHAS!G:G,"="&amp;A:A)</f>
        <v>32.5</v>
      </c>
      <c r="AD256" s="186">
        <f>SUMIFS(COSECHAS!M:M,COSECHAS!A:A,'BASE 2026'!AW:AW,COSECHAS!G:G,"="&amp;A:A)</f>
        <v>34.18</v>
      </c>
      <c r="AE256" s="185">
        <f>IFERROR(TablaPrincipal[[#This Row],[LIBRAS PLANTA]]/TablaPrincipal[[#This Row],[HAS]],"-")</f>
        <v>5679.8127272727279</v>
      </c>
      <c r="AF256" s="185">
        <f>IFERROR(TablaPrincipal[[#This Row],[LIBRAS PLANTA]]*454/TablaPrincipal[[#This Row],[GRAMOS PLANTA]],"-")</f>
        <v>414935.41193680518</v>
      </c>
      <c r="AG256" s="185">
        <f>TablaPrincipal[[#This Row],[LIBRAS RALEO PLANTA]]+TablaPrincipal[[#This Row],[LIBRAS PLANTA]]</f>
        <v>37105.21</v>
      </c>
      <c r="AH256" s="185">
        <f>IFERROR(TablaPrincipal[[#This Row],[CAM COSECHADOS RALEO]]+TablaPrincipal[[#This Row],[CAM COSECHADOS]],"-")</f>
        <v>501686.97415178886</v>
      </c>
      <c r="AI256" s="185">
        <f>IFERROR((TablaPrincipal[[#This Row],[LIBRAS RALEO PLANTA]]+TablaPrincipal[[#This Row],[LIBRAS PLANTA]])/TablaPrincipal[[#This Row],[HAS]],"0")</f>
        <v>6746.4018181818183</v>
      </c>
      <c r="AJ256" s="186">
        <f t="shared" si="3"/>
        <v>2.8483333333333332</v>
      </c>
      <c r="AK256" s="186">
        <f>IFERROR(TablaPrincipal[[#This Row],[LBS/HA]]/TablaPrincipal[[#This Row],[DIAS]],"-")</f>
        <v>80.314307359307364</v>
      </c>
      <c r="AL256" s="186">
        <f>IFERROR(TablaPrincipal[[#This Row],[CAM COSECHADOS TOTALES]]/TablaPrincipal[[#This Row],[ANIM SEMBRADOS]]*100,"-")</f>
        <v>50.675451934524126</v>
      </c>
      <c r="AM256" s="185">
        <v>58256.555</v>
      </c>
      <c r="AN256" s="187">
        <f>IFERROR(((TablaPrincipal[[#This Row],[BALANCEADO ACUMULADO (LBS)]]/2.2046)/TablaPrincipal[[#This Row],[HAS]])/TablaPrincipal[[#This Row],[DIAS]],"-")</f>
        <v>57.196969696969703</v>
      </c>
      <c r="AO256" s="184">
        <f>IFERROR(TablaPrincipal[[#This Row],[BALANCEADO ACUMULADO (LBS)]]/TablaPrincipal[[#This Row],[LIBRAS TOTALES]],"-")</f>
        <v>1.5700370648757951</v>
      </c>
      <c r="AP256" s="184"/>
      <c r="AQ256" s="184"/>
      <c r="AR256" s="185">
        <f>TablaPrincipal[[#This Row],[LIBRAS RALEO PLANTA]]-TablaPrincipal[[#This Row],[LIBRAS RALEO CAMARONERA]]</f>
        <v>716.23999999999978</v>
      </c>
      <c r="AS256" s="185">
        <f>TablaPrincipal[[#This Row],[LIBRAS PLANTA]]-TablaPrincipal[[#This Row],[LIBRAS CAMARONERA]]</f>
        <v>4038.9700000000012</v>
      </c>
      <c r="AT256" s="187">
        <f>TablaPrincipal[[#This Row],[GRAMAJE RALEO PLANTA]]-TablaPrincipal[[#This Row],[GRAMAJE RALEO CAMARONERA]]</f>
        <v>-0.30000000000000071</v>
      </c>
      <c r="AU256" s="187">
        <f>TablaPrincipal[[#This Row],[GRAMOS PLANTA]]-TablaPrincipal[[#This Row],[GRAMAJE CAMARONERA]]</f>
        <v>1.6799999999999997</v>
      </c>
      <c r="AV256" s="183" t="str">
        <f>+VLOOKUP(TablaPrincipal[[#This Row],[CODIGO]],TablaCosechas[#All],10,0)</f>
        <v>VICTOR QUINTANA</v>
      </c>
      <c r="AW256" s="183" t="s">
        <v>114</v>
      </c>
      <c r="AX256" s="188" t="str">
        <f>+VLOOKUP(TablaPrincipal[[#This Row],[CODIGO]],TablaCosechas[#All],10,0)</f>
        <v>VICTOR QUINTANA</v>
      </c>
    </row>
    <row r="257" spans="1:50" hidden="1" x14ac:dyDescent="0.25">
      <c r="A257" s="196">
        <v>46117</v>
      </c>
      <c r="B257" s="183">
        <v>254</v>
      </c>
      <c r="C257" s="183">
        <f>YEAR(TablaPrincipal[[#This Row],[FECHA]])</f>
        <v>2026</v>
      </c>
      <c r="D257" s="183" t="s">
        <v>319</v>
      </c>
      <c r="E257" s="183" t="str">
        <f>UPPER(TEXT(TablaPrincipal[[#This Row],[FECHA]],"MMMM"))</f>
        <v>ABRIL</v>
      </c>
      <c r="F257" s="183" t="str">
        <f>IFERROR(VLOOKUP(TablaPrincipal[[#This Row],[CODIGO]],COSECHAS!A:J,9,0),"-")</f>
        <v>16</v>
      </c>
      <c r="G257" s="183" t="str">
        <f>IFERROR(VLOOKUP(TablaPrincipal[[#This Row],[CODIGO]],COSECHAS!A:I,8,0),"-")</f>
        <v>PARGO ROJO</v>
      </c>
      <c r="H257" s="184">
        <f>IFERROR(VLOOKUP(TablaPrincipal[[#This Row],[CODIGO]],DATOS!A:B,2,0),"-")</f>
        <v>5</v>
      </c>
      <c r="I257" s="183" t="str">
        <f>IFERROR(VLOOKUP(TablaPrincipal[[#This Row],[CODIGO]],Tabla8[[#Headers],[#Data]],3,0),"-")</f>
        <v>CONVENCIONAL</v>
      </c>
      <c r="J257" s="183">
        <f>IFERROR(TablaPrincipal[[#This Row],[FECHA]]-TablaPrincipal[[#This Row],[FECHA DE SIEMBRA]],"-")</f>
        <v>76</v>
      </c>
      <c r="K257" s="196">
        <f>VLOOKUP(TablaPrincipal[[#This Row],[CODIGO]]&amp;TablaPrincipal[[#This Row],[AGUAJE ]],Tabla4[#All],4,0)</f>
        <v>46041</v>
      </c>
      <c r="L257" s="183" t="str">
        <f>VLOOKUP(TablaPrincipal[[#This Row],[CODIGO]]&amp;TablaPrincipal[[#This Row],[AGUAJE ]],Tabla4[#All],15,0)</f>
        <v>PR PC 3</v>
      </c>
      <c r="M257" s="184">
        <f>VLOOKUP(TablaPrincipal[[#This Row],[CODIGO]]&amp;TablaPrincipal[[#This Row],[AGUAJE ]],Tabla4[#All],14,0)</f>
        <v>0.43</v>
      </c>
      <c r="N257" s="183">
        <v>14</v>
      </c>
      <c r="O257" s="170">
        <f>VLOOKUP(TablaPrincipal[[#This Row],[CODIGO]]&amp;TablaPrincipal[[#This Row],[AGUAJE ]],Tabla4[#All],5,0)</f>
        <v>600000</v>
      </c>
      <c r="P257" s="221">
        <f>IFERROR(TablaPrincipal[[#This Row],[ANIM SEMBRADOS]]/TablaPrincipal[[#This Row],[HAS]],"-")</f>
        <v>120000</v>
      </c>
      <c r="Q257" s="222">
        <f>IFERROR(TablaPrincipal[[#This Row],[DENSIDAD]]/10000,"-")</f>
        <v>12</v>
      </c>
      <c r="R257" s="183" t="str">
        <f>VLOOKUP(TablaPrincipal[[#This Row],[CODIGO]]&amp;TablaPrincipal[[#This Row],[AGUAJE ]],Tabla4[#All],8,0)</f>
        <v>TECSERV</v>
      </c>
      <c r="S257" s="183" t="str">
        <f>VLOOKUP(TablaPrincipal[[#This Row],[CODIGO]]&amp;TablaPrincipal[[#This Row],[AGUAJE ]],Tabla4[#All],7,0)</f>
        <v>SEMACUA</v>
      </c>
      <c r="T257" s="183" t="str">
        <f>IF(ISNUMBER(FIND("/",TablaPrincipal[[#This Row],[LABORATORIO]])),"COMBINADO","UNICO")</f>
        <v>UNICO</v>
      </c>
      <c r="U2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57" s="185">
        <f>IFERROR(TablaPrincipal[[#This Row],[LIBRAS RALEO PLANTA]]/TablaPrincipal[[#This Row],[HAS]],"-")</f>
        <v>0</v>
      </c>
      <c r="Z2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57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14695.539999999999</v>
      </c>
      <c r="AC257" s="186">
        <f>SUMIFS(COSECHAS!F:F,COSECHAS!A:A,'BASE 2026'!AW:AW,COSECHAS!G:G,"="&amp;A:A)</f>
        <v>24</v>
      </c>
      <c r="AD257" s="186">
        <f>SUMIFS(COSECHAS!M:M,COSECHAS!A:A,'BASE 2026'!AW:AW,COSECHAS!G:G,"="&amp;A:A)</f>
        <v>22.52</v>
      </c>
      <c r="AE257" s="185">
        <f>IFERROR(TablaPrincipal[[#This Row],[LIBRAS PLANTA]]/TablaPrincipal[[#This Row],[HAS]],"-")</f>
        <v>2939.1079999999997</v>
      </c>
      <c r="AF257" s="185">
        <f>IFERROR(TablaPrincipal[[#This Row],[LIBRAS PLANTA]]*454/TablaPrincipal[[#This Row],[GRAMOS PLANTA]],"-")</f>
        <v>296259.99822380103</v>
      </c>
      <c r="AG257" s="185">
        <f>TablaPrincipal[[#This Row],[LIBRAS RALEO PLANTA]]+TablaPrincipal[[#This Row],[LIBRAS PLANTA]]</f>
        <v>14695.539999999999</v>
      </c>
      <c r="AH257" s="185">
        <f>IFERROR(TablaPrincipal[[#This Row],[CAM COSECHADOS RALEO]]+TablaPrincipal[[#This Row],[CAM COSECHADOS]],"-")</f>
        <v>296259.99822380103</v>
      </c>
      <c r="AI257" s="185">
        <f>IFERROR((TablaPrincipal[[#This Row],[LIBRAS RALEO PLANTA]]+TablaPrincipal[[#This Row],[LIBRAS PLANTA]])/TablaPrincipal[[#This Row],[HAS]],"0")</f>
        <v>2939.1079999999997</v>
      </c>
      <c r="AJ257" s="186">
        <f t="shared" si="3"/>
        <v>2.0742105263157895</v>
      </c>
      <c r="AK257" s="186">
        <f>IFERROR(TablaPrincipal[[#This Row],[LBS/HA]]/TablaPrincipal[[#This Row],[DIAS]],"-")</f>
        <v>38.672473684210523</v>
      </c>
      <c r="AL257" s="186">
        <f>IFERROR(TablaPrincipal[[#This Row],[CAM COSECHADOS TOTALES]]/TablaPrincipal[[#This Row],[ANIM SEMBRADOS]]*100,"-")</f>
        <v>49.376666370633501</v>
      </c>
      <c r="AM257" s="185">
        <v>29684.939000000002</v>
      </c>
      <c r="AN257" s="187">
        <f>IFERROR(((TablaPrincipal[[#This Row],[BALANCEADO ACUMULADO (LBS)]]/2.2046)/TablaPrincipal[[#This Row],[HAS]])/TablaPrincipal[[#This Row],[DIAS]],"-")</f>
        <v>35.434210526315788</v>
      </c>
      <c r="AO257" s="184">
        <f>IFERROR(TablaPrincipal[[#This Row],[BALANCEADO ACUMULADO (LBS)]]/TablaPrincipal[[#This Row],[LIBRAS TOTALES]],"-")</f>
        <v>2.0199964751210233</v>
      </c>
      <c r="AP257" s="184"/>
      <c r="AQ257" s="184"/>
      <c r="AR257" s="185">
        <f>TablaPrincipal[[#This Row],[LIBRAS RALEO PLANTA]]-TablaPrincipal[[#This Row],[LIBRAS RALEO CAMARONERA]]</f>
        <v>0</v>
      </c>
      <c r="AS257" s="185">
        <f>TablaPrincipal[[#This Row],[LIBRAS PLANTA]]-TablaPrincipal[[#This Row],[LIBRAS CAMARONERA]]</f>
        <v>1495.5399999999991</v>
      </c>
      <c r="AT257" s="187">
        <f>TablaPrincipal[[#This Row],[GRAMAJE RALEO PLANTA]]-TablaPrincipal[[#This Row],[GRAMAJE RALEO CAMARONERA]]</f>
        <v>0</v>
      </c>
      <c r="AU257" s="187">
        <f>TablaPrincipal[[#This Row],[GRAMOS PLANTA]]-TablaPrincipal[[#This Row],[GRAMAJE CAMARONERA]]</f>
        <v>-1.4800000000000004</v>
      </c>
      <c r="AV257" s="183" t="str">
        <f>+VLOOKUP(TablaPrincipal[[#This Row],[CODIGO]],TablaCosechas[#All],10,0)</f>
        <v>WILMER TORRES</v>
      </c>
      <c r="AW257" s="183" t="s">
        <v>111</v>
      </c>
      <c r="AX257" s="188" t="str">
        <f>+VLOOKUP(TablaPrincipal[[#This Row],[CODIGO]],TablaCosechas[#All],10,0)</f>
        <v>WILMER TORRES</v>
      </c>
    </row>
    <row r="258" spans="1:50" hidden="1" x14ac:dyDescent="0.25">
      <c r="A258" s="196">
        <v>46117</v>
      </c>
      <c r="B258" s="183">
        <v>255</v>
      </c>
      <c r="C258" s="183">
        <f>YEAR(TablaPrincipal[[#This Row],[FECHA]])</f>
        <v>2026</v>
      </c>
      <c r="D258" s="183" t="s">
        <v>319</v>
      </c>
      <c r="E258" s="183" t="str">
        <f>UPPER(TEXT(TablaPrincipal[[#This Row],[FECHA]],"MMMM"))</f>
        <v>ABRIL</v>
      </c>
      <c r="F258" s="183" t="str">
        <f>IFERROR(VLOOKUP(TablaPrincipal[[#This Row],[CODIGO]],COSECHAS!A:J,9,0),"-")</f>
        <v>09</v>
      </c>
      <c r="G258" s="183" t="str">
        <f>IFERROR(VLOOKUP(TablaPrincipal[[#This Row],[CODIGO]],COSECHAS!A:I,8,0),"-")</f>
        <v>GUATO</v>
      </c>
      <c r="H258" s="184">
        <f>IFERROR(VLOOKUP(TablaPrincipal[[#This Row],[CODIGO]],DATOS!A:B,2,0),"-")</f>
        <v>3.8</v>
      </c>
      <c r="I258" s="183" t="str">
        <f>IFERROR(VLOOKUP(TablaPrincipal[[#This Row],[CODIGO]],Tabla8[[#Headers],[#Data]],3,0),"-")</f>
        <v>CONVENCIONAL</v>
      </c>
      <c r="J258" s="183">
        <f>IFERROR(TablaPrincipal[[#This Row],[FECHA]]-TablaPrincipal[[#This Row],[FECHA DE SIEMBRA]],"-")</f>
        <v>86</v>
      </c>
      <c r="K258" s="196">
        <f>VLOOKUP(TablaPrincipal[[#This Row],[CODIGO]]&amp;TablaPrincipal[[#This Row],[AGUAJE ]],Tabla4[#All],4,0)</f>
        <v>46031</v>
      </c>
      <c r="L258" s="183" t="str">
        <f>VLOOKUP(TablaPrincipal[[#This Row],[CODIGO]]&amp;TablaPrincipal[[#This Row],[AGUAJE ]],Tabla4[#All],15,0)</f>
        <v>GT PC 1</v>
      </c>
      <c r="M258" s="184">
        <f>VLOOKUP(TablaPrincipal[[#This Row],[CODIGO]]&amp;TablaPrincipal[[#This Row],[AGUAJE ]],Tabla4[#All],14,0)</f>
        <v>0.62</v>
      </c>
      <c r="N258" s="183">
        <v>21</v>
      </c>
      <c r="O258" s="170">
        <f>VLOOKUP(TablaPrincipal[[#This Row],[CODIGO]]&amp;TablaPrincipal[[#This Row],[AGUAJE ]],Tabla4[#All],5,0)</f>
        <v>532000</v>
      </c>
      <c r="P258" s="221">
        <f>IFERROR(TablaPrincipal[[#This Row],[ANIM SEMBRADOS]]/TablaPrincipal[[#This Row],[HAS]],"-")</f>
        <v>140000</v>
      </c>
      <c r="Q258" s="222">
        <f>IFERROR(TablaPrincipal[[#This Row],[DENSIDAD]]/10000,"-")</f>
        <v>14</v>
      </c>
      <c r="R258" s="183" t="str">
        <f>VLOOKUP(TablaPrincipal[[#This Row],[CODIGO]]&amp;TablaPrincipal[[#This Row],[AGUAJE ]],Tabla4[#All],8,0)</f>
        <v>GRILSAN</v>
      </c>
      <c r="S258" s="183" t="str">
        <f>VLOOKUP(TablaPrincipal[[#This Row],[CODIGO]]&amp;TablaPrincipal[[#This Row],[AGUAJE ]],Tabla4[#All],7,0)</f>
        <v>AQUAGEN</v>
      </c>
      <c r="T258" s="183" t="str">
        <f>IF(ISNUMBER(FIND("/",TablaPrincipal[[#This Row],[LABORATORIO]])),"COMBINADO","UNICO")</f>
        <v>UNICO</v>
      </c>
      <c r="U2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4150</v>
      </c>
      <c r="V2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4586.2700000000004</v>
      </c>
      <c r="W2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25.36</v>
      </c>
      <c r="Y258" s="185">
        <f>IFERROR(TablaPrincipal[[#This Row],[LIBRAS RALEO PLANTA]]/TablaPrincipal[[#This Row],[HAS]],"-")</f>
        <v>1206.913157894737</v>
      </c>
      <c r="Z2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82104.360410094654</v>
      </c>
      <c r="AA258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2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18023.650000000001</v>
      </c>
      <c r="AC258" s="186">
        <f>SUMIFS(COSECHAS!F:F,COSECHAS!A:A,'BASE 2026'!AW:AW,COSECHAS!G:G,"="&amp;A:A)</f>
        <v>33</v>
      </c>
      <c r="AD258" s="186">
        <f>SUMIFS(COSECHAS!M:M,COSECHAS!A:A,'BASE 2026'!AW:AW,COSECHAS!G:G,"="&amp;A:A)</f>
        <v>32.18</v>
      </c>
      <c r="AE258" s="185">
        <f>IFERROR(TablaPrincipal[[#This Row],[LIBRAS PLANTA]]/TablaPrincipal[[#This Row],[HAS]],"-")</f>
        <v>4743.0657894736851</v>
      </c>
      <c r="AF258" s="185">
        <f>IFERROR(TablaPrincipal[[#This Row],[LIBRAS PLANTA]]*454/TablaPrincipal[[#This Row],[GRAMOS PLANTA]],"-")</f>
        <v>254280.20820385334</v>
      </c>
      <c r="AG258" s="185">
        <f>TablaPrincipal[[#This Row],[LIBRAS RALEO PLANTA]]+TablaPrincipal[[#This Row],[LIBRAS PLANTA]]</f>
        <v>22609.920000000002</v>
      </c>
      <c r="AH258" s="185">
        <f>IFERROR(TablaPrincipal[[#This Row],[CAM COSECHADOS RALEO]]+TablaPrincipal[[#This Row],[CAM COSECHADOS]],"-")</f>
        <v>336384.56861394801</v>
      </c>
      <c r="AI258" s="185">
        <f>IFERROR((TablaPrincipal[[#This Row],[LIBRAS RALEO PLANTA]]+TablaPrincipal[[#This Row],[LIBRAS PLANTA]])/TablaPrincipal[[#This Row],[HAS]],"0")</f>
        <v>5949.9789473684223</v>
      </c>
      <c r="AJ258" s="186">
        <f t="shared" si="3"/>
        <v>2.619302325581395</v>
      </c>
      <c r="AK258" s="186">
        <f>IFERROR(TablaPrincipal[[#This Row],[LBS/HA]]/TablaPrincipal[[#This Row],[DIAS]],"-")</f>
        <v>69.185801713586301</v>
      </c>
      <c r="AL258" s="186">
        <f>IFERROR(TablaPrincipal[[#This Row],[CAM COSECHADOS TOTALES]]/TablaPrincipal[[#This Row],[ANIM SEMBRADOS]]*100,"-")</f>
        <v>63.230182070290972</v>
      </c>
      <c r="AM258" s="185">
        <v>38800.959999999999</v>
      </c>
      <c r="AN258" s="187">
        <f>IFERROR(((TablaPrincipal[[#This Row],[BALANCEADO ACUMULADO (LBS)]]/2.2046)/TablaPrincipal[[#This Row],[HAS]])/TablaPrincipal[[#This Row],[DIAS]],"-")</f>
        <v>53.855569155446766</v>
      </c>
      <c r="AO258" s="184">
        <f>IFERROR(TablaPrincipal[[#This Row],[BALANCEADO ACUMULADO (LBS)]]/TablaPrincipal[[#This Row],[LIBRAS TOTALES]],"-")</f>
        <v>1.7161033740942027</v>
      </c>
      <c r="AP258" s="184"/>
      <c r="AQ258" s="184"/>
      <c r="AR258" s="185">
        <f>TablaPrincipal[[#This Row],[LIBRAS RALEO PLANTA]]-TablaPrincipal[[#This Row],[LIBRAS RALEO CAMARONERA]]</f>
        <v>436.27000000000044</v>
      </c>
      <c r="AS258" s="185">
        <f>TablaPrincipal[[#This Row],[LIBRAS PLANTA]]-TablaPrincipal[[#This Row],[LIBRAS CAMARONERA]]</f>
        <v>1523.6500000000015</v>
      </c>
      <c r="AT258" s="187">
        <f>TablaPrincipal[[#This Row],[GRAMAJE RALEO PLANTA]]-TablaPrincipal[[#This Row],[GRAMAJE RALEO CAMARONERA]]</f>
        <v>0.35999999999999943</v>
      </c>
      <c r="AU258" s="187">
        <f>TablaPrincipal[[#This Row],[GRAMOS PLANTA]]-TablaPrincipal[[#This Row],[GRAMAJE CAMARONERA]]</f>
        <v>-0.82000000000000028</v>
      </c>
      <c r="AV258" s="183" t="str">
        <f>+VLOOKUP(TablaPrincipal[[#This Row],[CODIGO]],TablaCosechas[#All],10,0)</f>
        <v>JULIO SANTOS</v>
      </c>
      <c r="AW258" s="183" t="s">
        <v>329</v>
      </c>
      <c r="AX258" s="188" t="str">
        <f>+VLOOKUP(TablaPrincipal[[#This Row],[CODIGO]],TablaCosechas[#All],10,0)</f>
        <v>JULIO SANTOS</v>
      </c>
    </row>
    <row r="259" spans="1:50" hidden="1" x14ac:dyDescent="0.25">
      <c r="A259" s="196">
        <v>46117</v>
      </c>
      <c r="B259" s="183">
        <v>256</v>
      </c>
      <c r="C259" s="183">
        <f>YEAR(TablaPrincipal[[#This Row],[FECHA]])</f>
        <v>2026</v>
      </c>
      <c r="D259" s="183" t="s">
        <v>319</v>
      </c>
      <c r="E259" s="183" t="str">
        <f>UPPER(TEXT(TablaPrincipal[[#This Row],[FECHA]],"MMMM"))</f>
        <v>ABRIL</v>
      </c>
      <c r="F259" s="183" t="str">
        <f>IFERROR(VLOOKUP(TablaPrincipal[[#This Row],[CODIGO]],COSECHAS!A:J,9,0),"-")</f>
        <v>18</v>
      </c>
      <c r="G259" s="183" t="str">
        <f>IFERROR(VLOOKUP(TablaPrincipal[[#This Row],[CODIGO]],COSECHAS!A:I,8,0),"-")</f>
        <v>CHERNA</v>
      </c>
      <c r="H259" s="184">
        <f>IFERROR(VLOOKUP(TablaPrincipal[[#This Row],[CODIGO]],DATOS!A:B,2,0),"-")</f>
        <v>10.6</v>
      </c>
      <c r="I259" s="183" t="str">
        <f>IFERROR(VLOOKUP(TablaPrincipal[[#This Row],[CODIGO]],Tabla8[[#Headers],[#Data]],3,0),"-")</f>
        <v>ASC</v>
      </c>
      <c r="J259" s="183">
        <f>IFERROR(TablaPrincipal[[#This Row],[FECHA]]-TablaPrincipal[[#This Row],[FECHA DE SIEMBRA]],"-")</f>
        <v>83</v>
      </c>
      <c r="K259" s="196">
        <f>VLOOKUP(TablaPrincipal[[#This Row],[CODIGO]]&amp;TablaPrincipal[[#This Row],[AGUAJE ]],Tabla4[#All],4,0)</f>
        <v>46034</v>
      </c>
      <c r="L259" s="183" t="str">
        <f>VLOOKUP(TablaPrincipal[[#This Row],[CODIGO]]&amp;TablaPrincipal[[#This Row],[AGUAJE ]],Tabla4[#All],15,0)</f>
        <v>CH 7</v>
      </c>
      <c r="M259" s="184">
        <f>VLOOKUP(TablaPrincipal[[#This Row],[CODIGO]]&amp;TablaPrincipal[[#This Row],[AGUAJE ]],Tabla4[#All],14,0)</f>
        <v>0.56999999999999995</v>
      </c>
      <c r="N259" s="183">
        <v>6</v>
      </c>
      <c r="O259" s="170">
        <f>VLOOKUP(TablaPrincipal[[#This Row],[CODIGO]]&amp;TablaPrincipal[[#This Row],[AGUAJE ]],Tabla4[#All],5,0)</f>
        <v>1272000</v>
      </c>
      <c r="P259" s="221">
        <f>IFERROR(TablaPrincipal[[#This Row],[ANIM SEMBRADOS]]/TablaPrincipal[[#This Row],[HAS]],"-")</f>
        <v>120000</v>
      </c>
      <c r="Q259" s="222">
        <f>IFERROR(TablaPrincipal[[#This Row],[DENSIDAD]]/10000,"-")</f>
        <v>12</v>
      </c>
      <c r="R259" s="183" t="str">
        <f>VLOOKUP(TablaPrincipal[[#This Row],[CODIGO]]&amp;TablaPrincipal[[#This Row],[AGUAJE ]],Tabla4[#All],8,0)</f>
        <v>DEONES</v>
      </c>
      <c r="S259" s="183" t="str">
        <f>VLOOKUP(TablaPrincipal[[#This Row],[CODIGO]]&amp;TablaPrincipal[[#This Row],[AGUAJE ]],Tabla4[#All],7,0)</f>
        <v>TEXCUMAR</v>
      </c>
      <c r="T259" s="183" t="str">
        <f>IF(ISNUMBER(FIND("/",TablaPrincipal[[#This Row],[LABORATORIO]])),"COMBINADO","UNICO")</f>
        <v>UNICO</v>
      </c>
      <c r="U2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8200</v>
      </c>
      <c r="V2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8759.6200000000008</v>
      </c>
      <c r="W2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</v>
      </c>
      <c r="Y259" s="185">
        <f>IFERROR(TablaPrincipal[[#This Row],[LIBRAS RALEO PLANTA]]/TablaPrincipal[[#This Row],[HAS]],"-")</f>
        <v>826.37924528301892</v>
      </c>
      <c r="Z2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173662.33537117907</v>
      </c>
      <c r="AA259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34400</v>
      </c>
      <c r="AB2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33247.97</v>
      </c>
      <c r="AC259" s="186">
        <f>SUMIFS(COSECHAS!F:F,COSECHAS!A:A,'BASE 2026'!AW:AW,COSECHAS!G:G,"="&amp;A:A)</f>
        <v>38</v>
      </c>
      <c r="AD259" s="186">
        <f>SUMIFS(COSECHAS!M:M,COSECHAS!A:A,'BASE 2026'!AW:AW,COSECHAS!G:G,"="&amp;A:A)</f>
        <v>36.75</v>
      </c>
      <c r="AE259" s="185">
        <f>IFERROR(TablaPrincipal[[#This Row],[LIBRAS PLANTA]]/TablaPrincipal[[#This Row],[HAS]],"-")</f>
        <v>3136.6009433962267</v>
      </c>
      <c r="AF259" s="185">
        <f>IFERROR(TablaPrincipal[[#This Row],[LIBRAS PLANTA]]*454/TablaPrincipal[[#This Row],[GRAMOS PLANTA]],"-")</f>
        <v>410736.82666666666</v>
      </c>
      <c r="AG259" s="185">
        <f>TablaPrincipal[[#This Row],[LIBRAS RALEO PLANTA]]+TablaPrincipal[[#This Row],[LIBRAS PLANTA]]</f>
        <v>42007.590000000004</v>
      </c>
      <c r="AH259" s="185">
        <f>IFERROR(TablaPrincipal[[#This Row],[CAM COSECHADOS RALEO]]+TablaPrincipal[[#This Row],[CAM COSECHADOS]],"-")</f>
        <v>584399.1620378457</v>
      </c>
      <c r="AI259" s="185">
        <f>IFERROR((TablaPrincipal[[#This Row],[LIBRAS RALEO PLANTA]]+TablaPrincipal[[#This Row],[LIBRAS PLANTA]])/TablaPrincipal[[#This Row],[HAS]],"0")</f>
        <v>3962.9801886792457</v>
      </c>
      <c r="AJ259" s="186">
        <f t="shared" ref="AJ259:AJ321" si="4">IFERROR(AD259/(J259/7),"-")</f>
        <v>3.0993975903614457</v>
      </c>
      <c r="AK259" s="186">
        <f>IFERROR(TablaPrincipal[[#This Row],[LBS/HA]]/TablaPrincipal[[#This Row],[DIAS]],"-")</f>
        <v>47.746749261195731</v>
      </c>
      <c r="AL259" s="186">
        <f>IFERROR(TablaPrincipal[[#This Row],[CAM COSECHADOS TOTALES]]/TablaPrincipal[[#This Row],[ANIM SEMBRADOS]]*100,"-")</f>
        <v>45.943330348887237</v>
      </c>
      <c r="AM259" s="185">
        <v>84325.950000000012</v>
      </c>
      <c r="AN259" s="187">
        <f>IFERROR(((TablaPrincipal[[#This Row],[BALANCEADO ACUMULADO (LBS)]]/2.2046)/TablaPrincipal[[#This Row],[HAS]])/TablaPrincipal[[#This Row],[DIAS]],"-")</f>
        <v>43.475789952261877</v>
      </c>
      <c r="AO259" s="184">
        <f>IFERROR(TablaPrincipal[[#This Row],[BALANCEADO ACUMULADO (LBS)]]/TablaPrincipal[[#This Row],[LIBRAS TOTALES]],"-")</f>
        <v>2.0073979487992526</v>
      </c>
      <c r="AP259" s="184"/>
      <c r="AQ259" s="184"/>
      <c r="AR259" s="185">
        <f>TablaPrincipal[[#This Row],[LIBRAS RALEO PLANTA]]-TablaPrincipal[[#This Row],[LIBRAS RALEO CAMARONERA]]</f>
        <v>559.6200000000008</v>
      </c>
      <c r="AS259" s="185">
        <f>TablaPrincipal[[#This Row],[LIBRAS PLANTA]]-TablaPrincipal[[#This Row],[LIBRAS CAMARONERA]]</f>
        <v>-1152.0299999999988</v>
      </c>
      <c r="AT259" s="187">
        <f>TablaPrincipal[[#This Row],[GRAMAJE RALEO PLANTA]]-TablaPrincipal[[#This Row],[GRAMAJE RALEO CAMARONERA]]</f>
        <v>0.89999999999999858</v>
      </c>
      <c r="AU259" s="187">
        <f>TablaPrincipal[[#This Row],[GRAMOS PLANTA]]-TablaPrincipal[[#This Row],[GRAMAJE CAMARONERA]]</f>
        <v>-1.25</v>
      </c>
      <c r="AV259" s="183" t="str">
        <f>+VLOOKUP(TablaPrincipal[[#This Row],[CODIGO]],TablaCosechas[#All],10,0)</f>
        <v>SANTIAGO OBRIEN</v>
      </c>
      <c r="AW259" s="183" t="s">
        <v>23</v>
      </c>
      <c r="AX259" s="188" t="str">
        <f>+VLOOKUP(TablaPrincipal[[#This Row],[CODIGO]],TablaCosechas[#All],10,0)</f>
        <v>SANTIAGO OBRIEN</v>
      </c>
    </row>
    <row r="260" spans="1:50" hidden="1" x14ac:dyDescent="0.25">
      <c r="A260" s="196">
        <v>46117</v>
      </c>
      <c r="B260" s="183">
        <v>258</v>
      </c>
      <c r="C260" s="183">
        <f>YEAR(TablaPrincipal[[#This Row],[FECHA]])</f>
        <v>2026</v>
      </c>
      <c r="D260" s="183" t="s">
        <v>319</v>
      </c>
      <c r="E260" s="183" t="str">
        <f>UPPER(TEXT(TablaPrincipal[[#This Row],[FECHA]],"MMMM"))</f>
        <v>ABRIL</v>
      </c>
      <c r="F260" s="183" t="str">
        <f>IFERROR(VLOOKUP(TablaPrincipal[[#This Row],[CODIGO]],COSECHAS!A:J,9,0),"-")</f>
        <v>14</v>
      </c>
      <c r="G260" s="183" t="str">
        <f>IFERROR(VLOOKUP(TablaPrincipal[[#This Row],[CODIGO]],COSECHAS!A:I,8,0),"-")</f>
        <v>WAHOO</v>
      </c>
      <c r="H260" s="184">
        <f>IFERROR(VLOOKUP(TablaPrincipal[[#This Row],[CODIGO]],DATOS!A:B,2,0),"-")</f>
        <v>6</v>
      </c>
      <c r="I260" s="183" t="str">
        <f>IFERROR(VLOOKUP(TablaPrincipal[[#This Row],[CODIGO]],Tabla8[[#Headers],[#Data]],3,0),"-")</f>
        <v>CONVENCIONAL</v>
      </c>
      <c r="J260" s="183">
        <f>IFERROR(TablaPrincipal[[#This Row],[FECHA]]-TablaPrincipal[[#This Row],[FECHA DE SIEMBRA]],"-")</f>
        <v>79</v>
      </c>
      <c r="K260" s="196">
        <f>VLOOKUP(TablaPrincipal[[#This Row],[CODIGO]]&amp;TablaPrincipal[[#This Row],[AGUAJE ]],Tabla4[#All],4,0)</f>
        <v>46038</v>
      </c>
      <c r="L260" s="183" t="str">
        <f>VLOOKUP(TablaPrincipal[[#This Row],[CODIGO]]&amp;TablaPrincipal[[#This Row],[AGUAJE ]],Tabla4[#All],15,0)</f>
        <v>WA PC 5 - 7 - 8 - PS 23</v>
      </c>
      <c r="M260" s="184">
        <f>VLOOKUP(TablaPrincipal[[#This Row],[CODIGO]]&amp;TablaPrincipal[[#This Row],[AGUAJE ]],Tabla4[#All],14,0)</f>
        <v>0.71</v>
      </c>
      <c r="N260" s="183">
        <v>9</v>
      </c>
      <c r="O260" s="170">
        <f>VLOOKUP(TablaPrincipal[[#This Row],[CODIGO]]&amp;TablaPrincipal[[#This Row],[AGUAJE ]],Tabla4[#All],5,0)</f>
        <v>900000</v>
      </c>
      <c r="P260" s="221">
        <f>IFERROR(TablaPrincipal[[#This Row],[ANIM SEMBRADOS]]/TablaPrincipal[[#This Row],[HAS]],"-")</f>
        <v>150000</v>
      </c>
      <c r="Q260" s="222">
        <f>IFERROR(TablaPrincipal[[#This Row],[DENSIDAD]]/10000,"-")</f>
        <v>15</v>
      </c>
      <c r="R260" s="183" t="str">
        <f>VLOOKUP(TablaPrincipal[[#This Row],[CODIGO]]&amp;TablaPrincipal[[#This Row],[AGUAJE ]],Tabla4[#All],8,0)</f>
        <v>BIOLACAM</v>
      </c>
      <c r="S260" s="183" t="str">
        <f>VLOOKUP(TablaPrincipal[[#This Row],[CODIGO]]&amp;TablaPrincipal[[#This Row],[AGUAJE ]],Tabla4[#All],7,0)</f>
        <v>TEXCUMAR</v>
      </c>
      <c r="T260" s="183" t="str">
        <f>IF(ISNUMBER(FIND("/",TablaPrincipal[[#This Row],[LABORATORIO]])),"COMBINADO","UNICO")</f>
        <v>UNICO</v>
      </c>
      <c r="U2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5600</v>
      </c>
      <c r="V2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5861.94</v>
      </c>
      <c r="W2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0" s="185">
        <f>IFERROR(TablaPrincipal[[#This Row],[LIBRAS RALEO PLANTA]]/TablaPrincipal[[#This Row],[HAS]],"-")</f>
        <v>976.9899999999999</v>
      </c>
      <c r="Z2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114317.90206185565</v>
      </c>
      <c r="AA260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2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17337.3</v>
      </c>
      <c r="AC260" s="186">
        <f>SUMIFS(COSECHAS!F:F,COSECHAS!A:A,'BASE 2026'!AW:AW,COSECHAS!G:G,"="&amp;A:A)</f>
        <v>35</v>
      </c>
      <c r="AD260" s="186">
        <f>SUMIFS(COSECHAS!M:M,COSECHAS!A:A,'BASE 2026'!AW:AW,COSECHAS!G:G,"="&amp;A:A)</f>
        <v>29.32</v>
      </c>
      <c r="AE260" s="185">
        <f>IFERROR(TablaPrincipal[[#This Row],[LIBRAS PLANTA]]/TablaPrincipal[[#This Row],[HAS]],"-")</f>
        <v>2889.5499999999997</v>
      </c>
      <c r="AF260" s="185">
        <f>IFERROR(TablaPrincipal[[#This Row],[LIBRAS PLANTA]]*454/TablaPrincipal[[#This Row],[GRAMOS PLANTA]],"-")</f>
        <v>268456.14597544336</v>
      </c>
      <c r="AG260" s="185">
        <f>TablaPrincipal[[#This Row],[LIBRAS RALEO PLANTA]]+TablaPrincipal[[#This Row],[LIBRAS PLANTA]]</f>
        <v>23199.239999999998</v>
      </c>
      <c r="AH260" s="185">
        <f>IFERROR(TablaPrincipal[[#This Row],[CAM COSECHADOS RALEO]]+TablaPrincipal[[#This Row],[CAM COSECHADOS]],"-")</f>
        <v>382774.04803729901</v>
      </c>
      <c r="AI260" s="185">
        <f>IFERROR((TablaPrincipal[[#This Row],[LIBRAS RALEO PLANTA]]+TablaPrincipal[[#This Row],[LIBRAS PLANTA]])/TablaPrincipal[[#This Row],[HAS]],"0")</f>
        <v>3866.5399999999995</v>
      </c>
      <c r="AJ260" s="186">
        <f t="shared" si="4"/>
        <v>2.5979746835443036</v>
      </c>
      <c r="AK260" s="186">
        <f>IFERROR(TablaPrincipal[[#This Row],[LBS/HA]]/TablaPrincipal[[#This Row],[DIAS]],"-")</f>
        <v>48.943544303797459</v>
      </c>
      <c r="AL260" s="186">
        <f>IFERROR(TablaPrincipal[[#This Row],[CAM COSECHADOS TOTALES]]/TablaPrincipal[[#This Row],[ANIM SEMBRADOS]]*100,"-")</f>
        <v>42.530449781922115</v>
      </c>
      <c r="AM260" s="185">
        <v>46737.520000000004</v>
      </c>
      <c r="AN260" s="187">
        <f>IFERROR(((TablaPrincipal[[#This Row],[BALANCEADO ACUMULADO (LBS)]]/2.2046)/TablaPrincipal[[#This Row],[HAS]])/TablaPrincipal[[#This Row],[DIAS]],"-")</f>
        <v>44.725738396624472</v>
      </c>
      <c r="AO260" s="184">
        <f>IFERROR(TablaPrincipal[[#This Row],[BALANCEADO ACUMULADO (LBS)]]/TablaPrincipal[[#This Row],[LIBRAS TOTALES]],"-")</f>
        <v>2.0146142718468365</v>
      </c>
      <c r="AP260" s="184"/>
      <c r="AQ260" s="184"/>
      <c r="AR260" s="185">
        <f>TablaPrincipal[[#This Row],[LIBRAS RALEO PLANTA]]-TablaPrincipal[[#This Row],[LIBRAS RALEO CAMARONERA]]</f>
        <v>261.9399999999996</v>
      </c>
      <c r="AS260" s="185">
        <f>TablaPrincipal[[#This Row],[LIBRAS PLANTA]]-TablaPrincipal[[#This Row],[LIBRAS CAMARONERA]]</f>
        <v>1837.2999999999993</v>
      </c>
      <c r="AT260" s="187">
        <f>TablaPrincipal[[#This Row],[GRAMAJE RALEO PLANTA]]-TablaPrincipal[[#This Row],[GRAMAJE RALEO CAMARONERA]]</f>
        <v>1.2800000000000011</v>
      </c>
      <c r="AU260" s="187">
        <f>TablaPrincipal[[#This Row],[GRAMOS PLANTA]]-TablaPrincipal[[#This Row],[GRAMAJE CAMARONERA]]</f>
        <v>-5.68</v>
      </c>
      <c r="AV260" s="183" t="str">
        <f>+VLOOKUP(TablaPrincipal[[#This Row],[CODIGO]],TablaCosechas[#All],10,0)</f>
        <v>JUNIOR ESQUIVEL</v>
      </c>
      <c r="AW260" s="183" t="s">
        <v>124</v>
      </c>
      <c r="AX260" s="188" t="str">
        <f>+VLOOKUP(TablaPrincipal[[#This Row],[CODIGO]],TablaCosechas[#All],10,0)</f>
        <v>JUNIOR ESQUIVEL</v>
      </c>
    </row>
    <row r="261" spans="1:50" hidden="1" x14ac:dyDescent="0.25">
      <c r="A261" s="196">
        <v>46118</v>
      </c>
      <c r="B261" s="183">
        <v>259</v>
      </c>
      <c r="C261" s="183">
        <f>YEAR(TablaPrincipal[[#This Row],[FECHA]])</f>
        <v>2026</v>
      </c>
      <c r="D261" s="183" t="s">
        <v>319</v>
      </c>
      <c r="E261" s="183" t="str">
        <f>UPPER(TEXT(TablaPrincipal[[#This Row],[FECHA]],"MMMM"))</f>
        <v>ABRIL</v>
      </c>
      <c r="F261" s="183" t="str">
        <f>IFERROR(VLOOKUP(TablaPrincipal[[#This Row],[CODIGO]],COSECHAS!A:J,9,0),"-")</f>
        <v>14</v>
      </c>
      <c r="G261" s="183" t="str">
        <f>IFERROR(VLOOKUP(TablaPrincipal[[#This Row],[CODIGO]],COSECHAS!A:I,8,0),"-")</f>
        <v>PARGO ROJO</v>
      </c>
      <c r="H261" s="184">
        <f>IFERROR(VLOOKUP(TablaPrincipal[[#This Row],[CODIGO]],DATOS!A:B,2,0),"-")</f>
        <v>4.5999999999999996</v>
      </c>
      <c r="I261" s="183" t="str">
        <f>IFERROR(VLOOKUP(TablaPrincipal[[#This Row],[CODIGO]],Tabla8[[#Headers],[#Data]],3,0),"-")</f>
        <v>CONVENCIONAL</v>
      </c>
      <c r="J261" s="183">
        <f>IFERROR(TablaPrincipal[[#This Row],[FECHA]]-TablaPrincipal[[#This Row],[FECHA DE SIEMBRA]],"-")</f>
        <v>77</v>
      </c>
      <c r="K261" s="196">
        <f>VLOOKUP(TablaPrincipal[[#This Row],[CODIGO]]&amp;TablaPrincipal[[#This Row],[AGUAJE ]],Tabla4[#All],4,0)</f>
        <v>46041</v>
      </c>
      <c r="L261" s="183" t="str">
        <f>VLOOKUP(TablaPrincipal[[#This Row],[CODIGO]]&amp;TablaPrincipal[[#This Row],[AGUAJE ]],Tabla4[#All],15,0)</f>
        <v>PR PC 3</v>
      </c>
      <c r="M261" s="184">
        <f>VLOOKUP(TablaPrincipal[[#This Row],[CODIGO]]&amp;TablaPrincipal[[#This Row],[AGUAJE ]],Tabla4[#All],14,0)</f>
        <v>0.43</v>
      </c>
      <c r="N261" s="183">
        <v>16</v>
      </c>
      <c r="O261" s="170">
        <f>VLOOKUP(TablaPrincipal[[#This Row],[CODIGO]]&amp;TablaPrincipal[[#This Row],[AGUAJE ]],Tabla4[#All],5,0)</f>
        <v>828000</v>
      </c>
      <c r="P261" s="221">
        <f>IFERROR(TablaPrincipal[[#This Row],[ANIM SEMBRADOS]]/TablaPrincipal[[#This Row],[HAS]],"-")</f>
        <v>180000</v>
      </c>
      <c r="Q261" s="222">
        <f>IFERROR(TablaPrincipal[[#This Row],[DENSIDAD]]/10000,"-")</f>
        <v>18</v>
      </c>
      <c r="R261" s="183" t="str">
        <f>VLOOKUP(TablaPrincipal[[#This Row],[CODIGO]]&amp;TablaPrincipal[[#This Row],[AGUAJE ]],Tabla4[#All],8,0)</f>
        <v>TECSERV</v>
      </c>
      <c r="S261" s="183" t="str">
        <f>VLOOKUP(TablaPrincipal[[#This Row],[CODIGO]]&amp;TablaPrincipal[[#This Row],[AGUAJE ]],Tabla4[#All],7,0)</f>
        <v>SEMACUA</v>
      </c>
      <c r="T261" s="183" t="str">
        <f>IF(ISNUMBER(FIND("/",TablaPrincipal[[#This Row],[LABORATORIO]])),"COMBINADO","UNICO")</f>
        <v>UNICO</v>
      </c>
      <c r="U2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1" s="185">
        <f>IFERROR(TablaPrincipal[[#This Row],[LIBRAS RALEO PLANTA]]/TablaPrincipal[[#This Row],[HAS]],"-")</f>
        <v>0</v>
      </c>
      <c r="Z2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1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16800</v>
      </c>
      <c r="AB2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19916.61</v>
      </c>
      <c r="AC261" s="186">
        <f>SUMIFS(COSECHAS!F:F,COSECHAS!A:A,'BASE 2026'!AW:AW,COSECHAS!G:G,"="&amp;A:A)</f>
        <v>28</v>
      </c>
      <c r="AD261" s="186">
        <f>SUMIFS(COSECHAS!M:M,COSECHAS!A:A,'BASE 2026'!AW:AW,COSECHAS!G:G,"="&amp;A:A)</f>
        <v>29.26</v>
      </c>
      <c r="AE261" s="185">
        <f>IFERROR(TablaPrincipal[[#This Row],[LIBRAS PLANTA]]/TablaPrincipal[[#This Row],[HAS]],"-")</f>
        <v>4329.6978260869573</v>
      </c>
      <c r="AF261" s="185">
        <f>IFERROR(TablaPrincipal[[#This Row],[LIBRAS PLANTA]]*454/TablaPrincipal[[#This Row],[GRAMOS PLANTA]],"-")</f>
        <v>309027.37320574158</v>
      </c>
      <c r="AG261" s="185">
        <f>TablaPrincipal[[#This Row],[LIBRAS RALEO PLANTA]]+TablaPrincipal[[#This Row],[LIBRAS PLANTA]]</f>
        <v>19916.61</v>
      </c>
      <c r="AH261" s="185">
        <f>IFERROR(TablaPrincipal[[#This Row],[CAM COSECHADOS RALEO]]+TablaPrincipal[[#This Row],[CAM COSECHADOS]],"-")</f>
        <v>309027.37320574158</v>
      </c>
      <c r="AI261" s="185">
        <f>IFERROR((TablaPrincipal[[#This Row],[LIBRAS RALEO PLANTA]]+TablaPrincipal[[#This Row],[LIBRAS PLANTA]])/TablaPrincipal[[#This Row],[HAS]],"0")</f>
        <v>4329.6978260869573</v>
      </c>
      <c r="AJ261" s="186">
        <f t="shared" si="4"/>
        <v>2.66</v>
      </c>
      <c r="AK261" s="186">
        <f>IFERROR(TablaPrincipal[[#This Row],[LBS/HA]]/TablaPrincipal[[#This Row],[DIAS]],"-")</f>
        <v>56.229841897233214</v>
      </c>
      <c r="AL261" s="186">
        <f>IFERROR(TablaPrincipal[[#This Row],[CAM COSECHADOS TOTALES]]/TablaPrincipal[[#This Row],[ANIM SEMBRADOS]]*100,"-")</f>
        <v>37.322146522432561</v>
      </c>
      <c r="AM261" s="185">
        <v>33631.173000000003</v>
      </c>
      <c r="AN261" s="187">
        <f>IFERROR(((TablaPrincipal[[#This Row],[BALANCEADO ACUMULADO (LBS)]]/2.2046)/TablaPrincipal[[#This Row],[HAS]])/TablaPrincipal[[#This Row],[DIAS]],"-")</f>
        <v>43.068887634105025</v>
      </c>
      <c r="AO261" s="184">
        <f>IFERROR(TablaPrincipal[[#This Row],[BALANCEADO ACUMULADO (LBS)]]/TablaPrincipal[[#This Row],[LIBRAS TOTALES]],"-")</f>
        <v>1.688599264633891</v>
      </c>
      <c r="AP261" s="184"/>
      <c r="AQ261" s="184"/>
      <c r="AR261" s="185">
        <f>TablaPrincipal[[#This Row],[LIBRAS RALEO PLANTA]]-TablaPrincipal[[#This Row],[LIBRAS RALEO CAMARONERA]]</f>
        <v>0</v>
      </c>
      <c r="AS261" s="185">
        <f>TablaPrincipal[[#This Row],[LIBRAS PLANTA]]-TablaPrincipal[[#This Row],[LIBRAS CAMARONERA]]</f>
        <v>3116.6100000000006</v>
      </c>
      <c r="AT261" s="187">
        <f>TablaPrincipal[[#This Row],[GRAMAJE RALEO PLANTA]]-TablaPrincipal[[#This Row],[GRAMAJE RALEO CAMARONERA]]</f>
        <v>0</v>
      </c>
      <c r="AU261" s="187">
        <f>TablaPrincipal[[#This Row],[GRAMOS PLANTA]]-TablaPrincipal[[#This Row],[GRAMAJE CAMARONERA]]</f>
        <v>1.2600000000000016</v>
      </c>
      <c r="AV261" s="183" t="str">
        <f>+VLOOKUP(TablaPrincipal[[#This Row],[CODIGO]],TablaCosechas[#All],10,0)</f>
        <v>WILMER TORRES</v>
      </c>
      <c r="AW261" s="183" t="s">
        <v>107</v>
      </c>
      <c r="AX261" s="188" t="str">
        <f>+VLOOKUP(TablaPrincipal[[#This Row],[CODIGO]],TablaCosechas[#All],10,0)</f>
        <v>WILMER TORRES</v>
      </c>
    </row>
    <row r="262" spans="1:50" hidden="1" x14ac:dyDescent="0.25">
      <c r="A262" s="196">
        <v>46118</v>
      </c>
      <c r="B262" s="183">
        <v>260</v>
      </c>
      <c r="C262" s="183">
        <f>YEAR(TablaPrincipal[[#This Row],[FECHA]])</f>
        <v>2026</v>
      </c>
      <c r="D262" s="183" t="s">
        <v>319</v>
      </c>
      <c r="E262" s="183" t="str">
        <f>UPPER(TEXT(TablaPrincipal[[#This Row],[FECHA]],"MMMM"))</f>
        <v>ABRIL</v>
      </c>
      <c r="F262" s="183" t="str">
        <f>IFERROR(VLOOKUP(TablaPrincipal[[#This Row],[CODIGO]],COSECHAS!A:J,9,0),"-")</f>
        <v>38</v>
      </c>
      <c r="G262" s="183" t="str">
        <f>IFERROR(VLOOKUP(TablaPrincipal[[#This Row],[CODIGO]],COSECHAS!A:I,8,0),"-")</f>
        <v>WAHOO</v>
      </c>
      <c r="H262" s="184">
        <f>IFERROR(VLOOKUP(TablaPrincipal[[#This Row],[CODIGO]],DATOS!A:B,2,0),"-")</f>
        <v>16.8</v>
      </c>
      <c r="I262" s="183" t="str">
        <f>IFERROR(VLOOKUP(TablaPrincipal[[#This Row],[CODIGO]],Tabla8[[#Headers],[#Data]],3,0),"-")</f>
        <v>CONVENCIONAL</v>
      </c>
      <c r="J262" s="183">
        <f>IFERROR(TablaPrincipal[[#This Row],[FECHA]]-TablaPrincipal[[#This Row],[FECHA DE SIEMBRA]],"-")</f>
        <v>92</v>
      </c>
      <c r="K262" s="196">
        <f>VLOOKUP(TablaPrincipal[[#This Row],[CODIGO]]&amp;TablaPrincipal[[#This Row],[AGUAJE ]],Tabla4[#All],4,0)</f>
        <v>46026</v>
      </c>
      <c r="L262" s="183" t="str">
        <f>VLOOKUP(TablaPrincipal[[#This Row],[CODIGO]]&amp;TablaPrincipal[[#This Row],[AGUAJE ]],Tabla4[#All],15,0)</f>
        <v>WA 17</v>
      </c>
      <c r="M262" s="184">
        <f>VLOOKUP(TablaPrincipal[[#This Row],[CODIGO]]&amp;TablaPrincipal[[#This Row],[AGUAJE ]],Tabla4[#All],14,0)</f>
        <v>0.8</v>
      </c>
      <c r="N262" s="183">
        <v>42</v>
      </c>
      <c r="O262" s="170">
        <f>VLOOKUP(TablaPrincipal[[#This Row],[CODIGO]]&amp;TablaPrincipal[[#This Row],[AGUAJE ]],Tabla4[#All],5,0)</f>
        <v>2520000</v>
      </c>
      <c r="P262" s="221">
        <f>IFERROR(TablaPrincipal[[#This Row],[ANIM SEMBRADOS]]/TablaPrincipal[[#This Row],[HAS]],"-")</f>
        <v>150000</v>
      </c>
      <c r="Q262" s="222">
        <f>IFERROR(TablaPrincipal[[#This Row],[DENSIDAD]]/10000,"-")</f>
        <v>15</v>
      </c>
      <c r="R262" s="183" t="str">
        <f>VLOOKUP(TablaPrincipal[[#This Row],[CODIGO]]&amp;TablaPrincipal[[#This Row],[AGUAJE ]],Tabla4[#All],8,0)</f>
        <v>LARVASLAB</v>
      </c>
      <c r="S262" s="183" t="str">
        <f>VLOOKUP(TablaPrincipal[[#This Row],[CODIGO]]&amp;TablaPrincipal[[#This Row],[AGUAJE ]],Tabla4[#All],7,0)</f>
        <v>TEXCUMAR</v>
      </c>
      <c r="T262" s="183" t="str">
        <f>IF(ISNUMBER(FIND("/",TablaPrincipal[[#This Row],[LABORATORIO]])),"COMBINADO","UNICO")</f>
        <v>UNICO</v>
      </c>
      <c r="U2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38950</v>
      </c>
      <c r="V2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41400.800000000003</v>
      </c>
      <c r="W2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22.535</v>
      </c>
      <c r="Y262" s="185">
        <f>IFERROR(TablaPrincipal[[#This Row],[LIBRAS RALEO PLANTA]]/TablaPrincipal[[#This Row],[HAS]],"-")</f>
        <v>2464.3333333333335</v>
      </c>
      <c r="Z2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849861.45460435189</v>
      </c>
      <c r="AA262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44190.73</v>
      </c>
      <c r="AC262" s="186">
        <f>SUMIFS(COSECHAS!F:F,COSECHAS!A:A,'BASE 2026'!AW:AW,COSECHAS!G:G,"="&amp;A:A)</f>
        <v>33</v>
      </c>
      <c r="AD262" s="186">
        <f>SUMIFS(COSECHAS!M:M,COSECHAS!A:A,'BASE 2026'!AW:AW,COSECHAS!G:G,"="&amp;A:A)</f>
        <v>31.68</v>
      </c>
      <c r="AE262" s="185">
        <f>IFERROR(TablaPrincipal[[#This Row],[LIBRAS PLANTA]]/TablaPrincipal[[#This Row],[HAS]],"-")</f>
        <v>2630.4005952380953</v>
      </c>
      <c r="AF262" s="185">
        <f>IFERROR(TablaPrincipal[[#This Row],[LIBRAS PLANTA]]*454/TablaPrincipal[[#This Row],[GRAMOS PLANTA]],"-")</f>
        <v>633288.87058080814</v>
      </c>
      <c r="AG262" s="185">
        <f>TablaPrincipal[[#This Row],[LIBRAS RALEO PLANTA]]+TablaPrincipal[[#This Row],[LIBRAS PLANTA]]</f>
        <v>85591.53</v>
      </c>
      <c r="AH262" s="185">
        <f>IFERROR(TablaPrincipal[[#This Row],[CAM COSECHADOS RALEO]]+TablaPrincipal[[#This Row],[CAM COSECHADOS]],"-")</f>
        <v>1483150.3251851602</v>
      </c>
      <c r="AI262" s="185">
        <f>IFERROR((TablaPrincipal[[#This Row],[LIBRAS RALEO PLANTA]]+TablaPrincipal[[#This Row],[LIBRAS PLANTA]])/TablaPrincipal[[#This Row],[HAS]],"0")</f>
        <v>5094.7339285714279</v>
      </c>
      <c r="AJ262" s="186">
        <f t="shared" si="4"/>
        <v>2.4104347826086956</v>
      </c>
      <c r="AK262" s="186">
        <f>IFERROR(TablaPrincipal[[#This Row],[LBS/HA]]/TablaPrincipal[[#This Row],[DIAS]],"-")</f>
        <v>55.377542701863348</v>
      </c>
      <c r="AL262" s="186">
        <f>IFERROR(TablaPrincipal[[#This Row],[CAM COSECHADOS TOTALES]]/TablaPrincipal[[#This Row],[ANIM SEMBRADOS]]*100,"-")</f>
        <v>58.855171634331747</v>
      </c>
      <c r="AM262" s="185">
        <v>129229.24280000001</v>
      </c>
      <c r="AN262" s="187">
        <f>IFERROR(((TablaPrincipal[[#This Row],[BALANCEADO ACUMULADO (LBS)]]/2.2046)/TablaPrincipal[[#This Row],[HAS]])/TablaPrincipal[[#This Row],[DIAS]],"-")</f>
        <v>37.925724637681157</v>
      </c>
      <c r="AO262" s="184">
        <f>IFERROR(TablaPrincipal[[#This Row],[BALANCEADO ACUMULADO (LBS)]]/TablaPrincipal[[#This Row],[LIBRAS TOTALES]],"-")</f>
        <v>1.5098368121238166</v>
      </c>
      <c r="AP262" s="184"/>
      <c r="AQ262" s="184"/>
      <c r="AR262" s="185">
        <f>TablaPrincipal[[#This Row],[LIBRAS RALEO PLANTA]]-TablaPrincipal[[#This Row],[LIBRAS RALEO CAMARONERA]]</f>
        <v>2450.8000000000029</v>
      </c>
      <c r="AS262" s="185">
        <f>TablaPrincipal[[#This Row],[LIBRAS PLANTA]]-TablaPrincipal[[#This Row],[LIBRAS CAMARONERA]]</f>
        <v>6840.7300000000032</v>
      </c>
      <c r="AT262" s="187">
        <f>TablaPrincipal[[#This Row],[GRAMAJE RALEO PLANTA]]-TablaPrincipal[[#This Row],[GRAMAJE RALEO CAMARONERA]]</f>
        <v>1.0350000000000001</v>
      </c>
      <c r="AU262" s="187">
        <f>TablaPrincipal[[#This Row],[GRAMOS PLANTA]]-TablaPrincipal[[#This Row],[GRAMAJE CAMARONERA]]</f>
        <v>-1.3200000000000003</v>
      </c>
      <c r="AV262" s="183" t="str">
        <f>+VLOOKUP(TablaPrincipal[[#This Row],[CODIGO]],TablaCosechas[#All],10,0)</f>
        <v>JUNIOR ESQUIVEL</v>
      </c>
      <c r="AW262" s="183" t="s">
        <v>330</v>
      </c>
      <c r="AX262" s="188" t="str">
        <f>+VLOOKUP(TablaPrincipal[[#This Row],[CODIGO]],TablaCosechas[#All],10,0)</f>
        <v>JUNIOR ESQUIVEL</v>
      </c>
    </row>
    <row r="263" spans="1:50" hidden="1" x14ac:dyDescent="0.25">
      <c r="A263" s="196">
        <v>46119</v>
      </c>
      <c r="B263" s="183">
        <v>261</v>
      </c>
      <c r="C263" s="183">
        <f>YEAR(TablaPrincipal[[#This Row],[FECHA]])</f>
        <v>2026</v>
      </c>
      <c r="D263" s="183" t="s">
        <v>319</v>
      </c>
      <c r="E263" s="183" t="str">
        <f>UPPER(TEXT(TablaPrincipal[[#This Row],[FECHA]],"MMMM"))</f>
        <v>ABRIL</v>
      </c>
      <c r="F263" s="183" t="str">
        <f>IFERROR(VLOOKUP(TablaPrincipal[[#This Row],[CODIGO]],COSECHAS!A:J,9,0),"-")</f>
        <v>25</v>
      </c>
      <c r="G263" s="183" t="str">
        <f>IFERROR(VLOOKUP(TablaPrincipal[[#This Row],[CODIGO]],COSECHAS!A:I,8,0),"-")</f>
        <v>DORADO</v>
      </c>
      <c r="H263" s="184">
        <f>IFERROR(VLOOKUP(TablaPrincipal[[#This Row],[CODIGO]],DATOS!A:B,2,0),"-")</f>
        <v>14.77</v>
      </c>
      <c r="I263" s="183" t="str">
        <f>IFERROR(VLOOKUP(TablaPrincipal[[#This Row],[CODIGO]],Tabla8[[#Headers],[#Data]],3,0),"-")</f>
        <v>ASC-BAP</v>
      </c>
      <c r="J263" s="183">
        <f>IFERROR(TablaPrincipal[[#This Row],[FECHA]]-TablaPrincipal[[#This Row],[FECHA DE SIEMBRA]],"-")</f>
        <v>89</v>
      </c>
      <c r="K263" s="196">
        <f>VLOOKUP(TablaPrincipal[[#This Row],[CODIGO]]&amp;TablaPrincipal[[#This Row],[AGUAJE ]],Tabla4[#All],4,0)</f>
        <v>46030</v>
      </c>
      <c r="L263" s="183" t="str">
        <f>VLOOKUP(TablaPrincipal[[#This Row],[CODIGO]]&amp;TablaPrincipal[[#This Row],[AGUAJE ]],Tabla4[#All],15,0)</f>
        <v>DO PC 9 - 8</v>
      </c>
      <c r="M263" s="184">
        <f>VLOOKUP(TablaPrincipal[[#This Row],[CODIGO]]&amp;TablaPrincipal[[#This Row],[AGUAJE ]],Tabla4[#All],14,0)</f>
        <v>0.59</v>
      </c>
      <c r="N263" s="183">
        <v>10</v>
      </c>
      <c r="O263" s="170">
        <f>VLOOKUP(TablaPrincipal[[#This Row],[CODIGO]]&amp;TablaPrincipal[[#This Row],[AGUAJE ]],Tabla4[#All],5,0)</f>
        <v>2658644</v>
      </c>
      <c r="P263" s="221">
        <f>IFERROR(TablaPrincipal[[#This Row],[ANIM SEMBRADOS]]/TablaPrincipal[[#This Row],[HAS]],"-")</f>
        <v>180002.97901150983</v>
      </c>
      <c r="Q263" s="222">
        <f>IFERROR(TablaPrincipal[[#This Row],[DENSIDAD]]/10000,"-")</f>
        <v>18.000297901150983</v>
      </c>
      <c r="R263" s="183" t="str">
        <f>VLOOKUP(TablaPrincipal[[#This Row],[CODIGO]]&amp;TablaPrincipal[[#This Row],[AGUAJE ]],Tabla4[#All],8,0)</f>
        <v>EMPAGRAN</v>
      </c>
      <c r="S263" s="183" t="str">
        <f>VLOOKUP(TablaPrincipal[[#This Row],[CODIGO]]&amp;TablaPrincipal[[#This Row],[AGUAJE ]],Tabla4[#All],7,0)</f>
        <v>EMPAGRAN</v>
      </c>
      <c r="T263" s="183" t="str">
        <f>IF(ISNUMBER(FIND("/",TablaPrincipal[[#This Row],[LABORATORIO]])),"COMBINADO","UNICO")</f>
        <v>UNICO</v>
      </c>
      <c r="U2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55900</v>
      </c>
      <c r="V2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57584.29</v>
      </c>
      <c r="W2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24.25</v>
      </c>
      <c r="X2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24.549999999999997</v>
      </c>
      <c r="Y263" s="185">
        <f>IFERROR(TablaPrincipal[[#This Row],[LIBRAS RALEO PLANTA]]/TablaPrincipal[[#This Row],[HAS]],"-")</f>
        <v>3898.7332430602573</v>
      </c>
      <c r="Z2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1051324.2431504331</v>
      </c>
      <c r="AA263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69300</v>
      </c>
      <c r="AB2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74257.13</v>
      </c>
      <c r="AC263" s="186">
        <f>SUMIFS(COSECHAS!F:F,COSECHAS!A:A,'BASE 2026'!AW:AW,COSECHAS!G:G,"="&amp;A:A)</f>
        <v>37</v>
      </c>
      <c r="AD263" s="186">
        <f>SUMIFS(COSECHAS!M:M,COSECHAS!A:A,'BASE 2026'!AW:AW,COSECHAS!G:G,"="&amp;A:A)</f>
        <v>35.880000000000003</v>
      </c>
      <c r="AE263" s="185">
        <f>IFERROR(TablaPrincipal[[#This Row],[LIBRAS PLANTA]]/TablaPrincipal[[#This Row],[HAS]],"-")</f>
        <v>5027.5646580907251</v>
      </c>
      <c r="AF263" s="185">
        <f>IFERROR(TablaPrincipal[[#This Row],[LIBRAS PLANTA]]*454/TablaPrincipal[[#This Row],[GRAMOS PLANTA]],"-")</f>
        <v>939596.90691192867</v>
      </c>
      <c r="AG263" s="185">
        <f>TablaPrincipal[[#This Row],[LIBRAS RALEO PLANTA]]+TablaPrincipal[[#This Row],[LIBRAS PLANTA]]</f>
        <v>131841.42000000001</v>
      </c>
      <c r="AH263" s="185">
        <f>IFERROR(TablaPrincipal[[#This Row],[CAM COSECHADOS RALEO]]+TablaPrincipal[[#This Row],[CAM COSECHADOS]],"-")</f>
        <v>1990921.1500623617</v>
      </c>
      <c r="AI263" s="185">
        <f>IFERROR((TablaPrincipal[[#This Row],[LIBRAS RALEO PLANTA]]+TablaPrincipal[[#This Row],[LIBRAS PLANTA]])/TablaPrincipal[[#This Row],[HAS]],"0")</f>
        <v>8926.2979011509833</v>
      </c>
      <c r="AJ263" s="186">
        <f t="shared" si="4"/>
        <v>2.8220224719101128</v>
      </c>
      <c r="AK263" s="186">
        <f>IFERROR(TablaPrincipal[[#This Row],[LBS/HA]]/TablaPrincipal[[#This Row],[DIAS]],"-")</f>
        <v>100.29548203540431</v>
      </c>
      <c r="AL263" s="186">
        <f>IFERROR(TablaPrincipal[[#This Row],[CAM COSECHADOS TOTALES]]/TablaPrincipal[[#This Row],[ANIM SEMBRADOS]]*100,"-")</f>
        <v>74.884834150881503</v>
      </c>
      <c r="AM263" s="185">
        <v>189264.91</v>
      </c>
      <c r="AN263" s="187">
        <f>IFERROR(((TablaPrincipal[[#This Row],[BALANCEADO ACUMULADO (LBS)]]/2.2046)/TablaPrincipal[[#This Row],[HAS]])/TablaPrincipal[[#This Row],[DIAS]],"-")</f>
        <v>65.308513308939311</v>
      </c>
      <c r="AO263" s="184">
        <f>IFERROR(TablaPrincipal[[#This Row],[BALANCEADO ACUMULADO (LBS)]]/TablaPrincipal[[#This Row],[LIBRAS TOTALES]],"-")</f>
        <v>1.4355496929568869</v>
      </c>
      <c r="AP263" s="184"/>
      <c r="AQ263" s="184"/>
      <c r="AR263" s="185">
        <f>TablaPrincipal[[#This Row],[LIBRAS RALEO PLANTA]]-TablaPrincipal[[#This Row],[LIBRAS RALEO CAMARONERA]]</f>
        <v>1684.2900000000009</v>
      </c>
      <c r="AS263" s="185">
        <f>TablaPrincipal[[#This Row],[LIBRAS PLANTA]]-TablaPrincipal[[#This Row],[LIBRAS CAMARONERA]]</f>
        <v>4957.1300000000047</v>
      </c>
      <c r="AT263" s="187">
        <f>TablaPrincipal[[#This Row],[GRAMAJE RALEO PLANTA]]-TablaPrincipal[[#This Row],[GRAMAJE RALEO CAMARONERA]]</f>
        <v>0.29999999999999716</v>
      </c>
      <c r="AU263" s="187">
        <f>TablaPrincipal[[#This Row],[GRAMOS PLANTA]]-TablaPrincipal[[#This Row],[GRAMAJE CAMARONERA]]</f>
        <v>-1.1199999999999974</v>
      </c>
      <c r="AV263" s="183" t="str">
        <f>+VLOOKUP(TablaPrincipal[[#This Row],[CODIGO]],TablaCosechas[#All],10,0)</f>
        <v>JOSE CEDEÑO</v>
      </c>
      <c r="AW263" s="183" t="s">
        <v>331</v>
      </c>
      <c r="AX263" s="241" t="str">
        <f>+VLOOKUP(TablaPrincipal[[#This Row],[CODIGO]],TablaCosechas[#All],10,0)</f>
        <v>JOSE CEDEÑO</v>
      </c>
    </row>
    <row r="264" spans="1:50" hidden="1" x14ac:dyDescent="0.25">
      <c r="A264" s="196">
        <v>46119</v>
      </c>
      <c r="B264" s="242">
        <v>262</v>
      </c>
      <c r="C264" s="183">
        <f>YEAR(TablaPrincipal[[#This Row],[FECHA]])</f>
        <v>2026</v>
      </c>
      <c r="D264" s="183" t="s">
        <v>319</v>
      </c>
      <c r="E264" s="183" t="str">
        <f>UPPER(TEXT(TablaPrincipal[[#This Row],[FECHA]],"MMMM"))</f>
        <v>ABRIL</v>
      </c>
      <c r="F264" s="183" t="str">
        <f>IFERROR(VLOOKUP(TablaPrincipal[[#This Row],[CODIGO]],COSECHAS!A:J,9,0),"-")</f>
        <v>17</v>
      </c>
      <c r="G264" s="183" t="str">
        <f>IFERROR(VLOOKUP(TablaPrincipal[[#This Row],[CODIGO]],COSECHAS!A:I,8,0),"-")</f>
        <v>PARGO ROJO</v>
      </c>
      <c r="H264" s="184">
        <f>IFERROR(VLOOKUP(TablaPrincipal[[#This Row],[CODIGO]],DATOS!A:B,2,0),"-")</f>
        <v>5</v>
      </c>
      <c r="I264" s="183" t="str">
        <f>IFERROR(VLOOKUP(TablaPrincipal[[#This Row],[CODIGO]],Tabla8[[#Headers],[#Data]],3,0),"-")</f>
        <v>CONVENCIONAL</v>
      </c>
      <c r="J264" s="183">
        <f>IFERROR(TablaPrincipal[[#This Row],[FECHA]]-TablaPrincipal[[#This Row],[FECHA DE SIEMBRA]],"-")</f>
        <v>75</v>
      </c>
      <c r="K264" s="196">
        <f>VLOOKUP(TablaPrincipal[[#This Row],[CODIGO]]&amp;TablaPrincipal[[#This Row],[AGUAJE ]],Tabla4[#All],4,0)</f>
        <v>46044</v>
      </c>
      <c r="L264" s="183" t="str">
        <f>VLOOKUP(TablaPrincipal[[#This Row],[CODIGO]]&amp;TablaPrincipal[[#This Row],[AGUAJE ]],Tabla4[#All],15,0)</f>
        <v>PR PC 23</v>
      </c>
      <c r="M264" s="184">
        <f>VLOOKUP(TablaPrincipal[[#This Row],[CODIGO]]&amp;TablaPrincipal[[#This Row],[AGUAJE ]],Tabla4[#All],14,0)</f>
        <v>0.3</v>
      </c>
      <c r="N264" s="183">
        <v>11</v>
      </c>
      <c r="O264" s="170">
        <f>VLOOKUP(TablaPrincipal[[#This Row],[CODIGO]]&amp;TablaPrincipal[[#This Row],[AGUAJE ]],Tabla4[#All],5,0)</f>
        <v>850000</v>
      </c>
      <c r="P264" s="221">
        <f>IFERROR(TablaPrincipal[[#This Row],[ANIM SEMBRADOS]]/TablaPrincipal[[#This Row],[HAS]],"-")</f>
        <v>170000</v>
      </c>
      <c r="Q264" s="222">
        <f>IFERROR(TablaPrincipal[[#This Row],[DENSIDAD]]/10000,"-")</f>
        <v>17</v>
      </c>
      <c r="R264" s="183" t="str">
        <f>VLOOKUP(TablaPrincipal[[#This Row],[CODIGO]]&amp;TablaPrincipal[[#This Row],[AGUAJE ]],Tabla4[#All],8,0)</f>
        <v>EMPAGRAN</v>
      </c>
      <c r="S264" s="183" t="str">
        <f>VLOOKUP(TablaPrincipal[[#This Row],[CODIGO]]&amp;TablaPrincipal[[#This Row],[AGUAJE ]],Tabla4[#All],7,0)</f>
        <v>EMPAGRAN</v>
      </c>
      <c r="T264" s="183" t="str">
        <f>IF(ISNUMBER(FIND("/",TablaPrincipal[[#This Row],[LABORATORIO]])),"COMBINADO","UNICO")</f>
        <v>UNICO</v>
      </c>
      <c r="U2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4" s="185">
        <f>IFERROR(TablaPrincipal[[#This Row],[LIBRAS RALEO PLANTA]]/TablaPrincipal[[#This Row],[HAS]],"-")</f>
        <v>0</v>
      </c>
      <c r="Z2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4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19700</v>
      </c>
      <c r="AB2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20885.839999999997</v>
      </c>
      <c r="AC264" s="186">
        <f>SUMIFS(COSECHAS!F:F,COSECHAS!A:A,'BASE 2026'!AW:AW,COSECHAS!G:G,"="&amp;A:A)</f>
        <v>26</v>
      </c>
      <c r="AD264" s="186">
        <f>SUMIFS(COSECHAS!M:M,COSECHAS!A:A,'BASE 2026'!AW:AW,COSECHAS!G:G,"="&amp;A:A)</f>
        <v>32.39</v>
      </c>
      <c r="AE264" s="185">
        <f>IFERROR(TablaPrincipal[[#This Row],[LIBRAS PLANTA]]/TablaPrincipal[[#This Row],[HAS]],"-")</f>
        <v>4177.1679999999997</v>
      </c>
      <c r="AF264" s="185">
        <f>IFERROR(TablaPrincipal[[#This Row],[LIBRAS PLANTA]]*454/TablaPrincipal[[#This Row],[GRAMOS PLANTA]],"-")</f>
        <v>292749.96480395173</v>
      </c>
      <c r="AG264" s="185">
        <f>TablaPrincipal[[#This Row],[LIBRAS RALEO PLANTA]]+TablaPrincipal[[#This Row],[LIBRAS PLANTA]]</f>
        <v>20885.839999999997</v>
      </c>
      <c r="AH264" s="185">
        <f>IFERROR(TablaPrincipal[[#This Row],[CAM COSECHADOS RALEO]]+TablaPrincipal[[#This Row],[CAM COSECHADOS]],"-")</f>
        <v>292749.96480395173</v>
      </c>
      <c r="AI264" s="185">
        <f>IFERROR((TablaPrincipal[[#This Row],[LIBRAS RALEO PLANTA]]+TablaPrincipal[[#This Row],[LIBRAS PLANTA]])/TablaPrincipal[[#This Row],[HAS]],"0")</f>
        <v>4177.1679999999997</v>
      </c>
      <c r="AJ264" s="186">
        <f t="shared" si="4"/>
        <v>3.0230666666666668</v>
      </c>
      <c r="AK264" s="186">
        <f>IFERROR(TablaPrincipal[[#This Row],[LBS/HA]]/TablaPrincipal[[#This Row],[DIAS]],"-")</f>
        <v>55.695573333333328</v>
      </c>
      <c r="AL264" s="186">
        <f>IFERROR(TablaPrincipal[[#This Row],[CAM COSECHADOS TOTALES]]/TablaPrincipal[[#This Row],[ANIM SEMBRADOS]]*100,"-")</f>
        <v>34.441172329876672</v>
      </c>
      <c r="AM264" s="185">
        <v>34182.323000000004</v>
      </c>
      <c r="AN264" s="187">
        <f>IFERROR(((TablaPrincipal[[#This Row],[BALANCEADO ACUMULADO (LBS)]]/2.2046)/TablaPrincipal[[#This Row],[HAS]])/TablaPrincipal[[#This Row],[DIAS]],"-")</f>
        <v>41.346666666666671</v>
      </c>
      <c r="AO264" s="184">
        <f>IFERROR(TablaPrincipal[[#This Row],[BALANCEADO ACUMULADO (LBS)]]/TablaPrincipal[[#This Row],[LIBRAS TOTALES]],"-")</f>
        <v>1.6366266810432335</v>
      </c>
      <c r="AP264" s="184"/>
      <c r="AQ264" s="184"/>
      <c r="AR264" s="185">
        <f>TablaPrincipal[[#This Row],[LIBRAS RALEO PLANTA]]-TablaPrincipal[[#This Row],[LIBRAS RALEO CAMARONERA]]</f>
        <v>0</v>
      </c>
      <c r="AS264" s="185">
        <f>TablaPrincipal[[#This Row],[LIBRAS PLANTA]]-TablaPrincipal[[#This Row],[LIBRAS CAMARONERA]]</f>
        <v>1185.8399999999965</v>
      </c>
      <c r="AT264" s="187">
        <f>TablaPrincipal[[#This Row],[GRAMAJE RALEO PLANTA]]-TablaPrincipal[[#This Row],[GRAMAJE RALEO CAMARONERA]]</f>
        <v>0</v>
      </c>
      <c r="AU264" s="187">
        <f>TablaPrincipal[[#This Row],[GRAMOS PLANTA]]-TablaPrincipal[[#This Row],[GRAMAJE CAMARONERA]]</f>
        <v>6.3900000000000006</v>
      </c>
      <c r="AV264" s="183" t="str">
        <f>+VLOOKUP(TablaPrincipal[[#This Row],[CODIGO]],TablaCosechas[#All],10,0)</f>
        <v>WILMER TORRES</v>
      </c>
      <c r="AW264" s="183" t="s">
        <v>139</v>
      </c>
      <c r="AX264" s="241" t="str">
        <f>+VLOOKUP(TablaPrincipal[[#This Row],[CODIGO]],TablaCosechas[#All],10,0)</f>
        <v>WILMER TORRES</v>
      </c>
    </row>
    <row r="265" spans="1:50" hidden="1" x14ac:dyDescent="0.25">
      <c r="A265" s="196">
        <v>46119</v>
      </c>
      <c r="B265" s="242">
        <v>263</v>
      </c>
      <c r="C265" s="183">
        <f>YEAR(TablaPrincipal[[#This Row],[FECHA]])</f>
        <v>2026</v>
      </c>
      <c r="D265" s="183" t="s">
        <v>319</v>
      </c>
      <c r="E265" s="183" t="str">
        <f>UPPER(TEXT(TablaPrincipal[[#This Row],[FECHA]],"MMMM"))</f>
        <v>ABRIL</v>
      </c>
      <c r="F265" s="183" t="str">
        <f>IFERROR(VLOOKUP(TablaPrincipal[[#This Row],[CODIGO]],COSECHAS!A:J,9,0),"-")</f>
        <v>13</v>
      </c>
      <c r="G265" s="183" t="str">
        <f>IFERROR(VLOOKUP(TablaPrincipal[[#This Row],[CODIGO]],COSECHAS!A:I,8,0),"-")</f>
        <v>ROBALO</v>
      </c>
      <c r="H265" s="184">
        <f>IFERROR(VLOOKUP(TablaPrincipal[[#This Row],[CODIGO]],DATOS!A:B,2,0),"-")</f>
        <v>4.8</v>
      </c>
      <c r="I265" s="183" t="str">
        <f>IFERROR(VLOOKUP(TablaPrincipal[[#This Row],[CODIGO]],Tabla8[[#Headers],[#Data]],3,0),"-")</f>
        <v>ASC-BAP</v>
      </c>
      <c r="J265" s="183">
        <f>IFERROR(TablaPrincipal[[#This Row],[FECHA]]-TablaPrincipal[[#This Row],[FECHA DE SIEMBRA]],"-")</f>
        <v>81</v>
      </c>
      <c r="K265" s="196">
        <f>VLOOKUP(TablaPrincipal[[#This Row],[CODIGO]]&amp;TablaPrincipal[[#This Row],[AGUAJE ]],Tabla4[#All],4,0)</f>
        <v>46038</v>
      </c>
      <c r="L265" s="183" t="str">
        <f>VLOOKUP(TablaPrincipal[[#This Row],[CODIGO]]&amp;TablaPrincipal[[#This Row],[AGUAJE ]],Tabla4[#All],15,0)</f>
        <v>RO 16</v>
      </c>
      <c r="M265" s="184">
        <f>VLOOKUP(TablaPrincipal[[#This Row],[CODIGO]]&amp;TablaPrincipal[[#This Row],[AGUAJE ]],Tabla4[#All],14,0)</f>
        <v>0.92</v>
      </c>
      <c r="N265" s="183">
        <v>7</v>
      </c>
      <c r="O265" s="170">
        <f>VLOOKUP(TablaPrincipal[[#This Row],[CODIGO]]&amp;TablaPrincipal[[#This Row],[AGUAJE ]],Tabla4[#All],5,0)</f>
        <v>816000</v>
      </c>
      <c r="P265" s="221">
        <f>IFERROR(TablaPrincipal[[#This Row],[ANIM SEMBRADOS]]/TablaPrincipal[[#This Row],[HAS]],"-")</f>
        <v>170000</v>
      </c>
      <c r="Q265" s="222">
        <f>IFERROR(TablaPrincipal[[#This Row],[DENSIDAD]]/10000,"-")</f>
        <v>17</v>
      </c>
      <c r="R265" s="183" t="str">
        <f>VLOOKUP(TablaPrincipal[[#This Row],[CODIGO]]&amp;TablaPrincipal[[#This Row],[AGUAJE ]],Tabla4[#All],8,0)</f>
        <v>BIOLACAM</v>
      </c>
      <c r="S265" s="183" t="str">
        <f>VLOOKUP(TablaPrincipal[[#This Row],[CODIGO]]&amp;TablaPrincipal[[#This Row],[AGUAJE ]],Tabla4[#All],7,0)</f>
        <v>TEXCUMAR</v>
      </c>
      <c r="T265" s="183" t="str">
        <f>IF(ISNUMBER(FIND("/",TablaPrincipal[[#This Row],[LABORATORIO]])),"COMBINADO","UNICO")</f>
        <v>UNICO</v>
      </c>
      <c r="U2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5100</v>
      </c>
      <c r="V2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6002.52</v>
      </c>
      <c r="W2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20.78</v>
      </c>
      <c r="Y265" s="185">
        <f>IFERROR(TablaPrincipal[[#This Row],[LIBRAS RALEO PLANTA]]/TablaPrincipal[[#This Row],[HAS]],"-")</f>
        <v>1250.5250000000001</v>
      </c>
      <c r="Z2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131142.64100096247</v>
      </c>
      <c r="AA265" s="228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23200</v>
      </c>
      <c r="AB2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27622.46</v>
      </c>
      <c r="AC265" s="186">
        <f>SUMIFS(COSECHAS!F:F,COSECHAS!A:A,'BASE 2026'!AW:AW,COSECHAS!G:G,"="&amp;A:A)</f>
        <v>37</v>
      </c>
      <c r="AD265" s="186">
        <f>SUMIFS(COSECHAS!M:M,COSECHAS!A:A,'BASE 2026'!AW:AW,COSECHAS!G:G,"="&amp;A:A)</f>
        <v>36.43</v>
      </c>
      <c r="AE265" s="185">
        <f>IFERROR(TablaPrincipal[[#This Row],[LIBRAS PLANTA]]/TablaPrincipal[[#This Row],[HAS]],"-")</f>
        <v>5754.6791666666668</v>
      </c>
      <c r="AF265" s="185">
        <f>IFERROR(TablaPrincipal[[#This Row],[LIBRAS PLANTA]]*454/TablaPrincipal[[#This Row],[GRAMOS PLANTA]],"-")</f>
        <v>344238.17842437554</v>
      </c>
      <c r="AG265" s="185">
        <f>TablaPrincipal[[#This Row],[LIBRAS RALEO PLANTA]]+TablaPrincipal[[#This Row],[LIBRAS PLANTA]]</f>
        <v>33624.979999999996</v>
      </c>
      <c r="AH265" s="185">
        <f>IFERROR(TablaPrincipal[[#This Row],[CAM COSECHADOS RALEO]]+TablaPrincipal[[#This Row],[CAM COSECHADOS]],"-")</f>
        <v>475380.81942533801</v>
      </c>
      <c r="AI265" s="185">
        <f>IFERROR((TablaPrincipal[[#This Row],[LIBRAS RALEO PLANTA]]+TablaPrincipal[[#This Row],[LIBRAS PLANTA]])/TablaPrincipal[[#This Row],[HAS]],"0")</f>
        <v>7005.2041666666664</v>
      </c>
      <c r="AJ265" s="186">
        <f t="shared" si="4"/>
        <v>3.1482716049382717</v>
      </c>
      <c r="AK265" s="186">
        <f>IFERROR(TablaPrincipal[[#This Row],[LBS/HA]]/TablaPrincipal[[#This Row],[DIAS]],"-")</f>
        <v>86.484002057613168</v>
      </c>
      <c r="AL265" s="186">
        <f>IFERROR(TablaPrincipal[[#This Row],[CAM COSECHADOS TOTALES]]/TablaPrincipal[[#This Row],[ANIM SEMBRADOS]]*100,"-")</f>
        <v>58.257453360948283</v>
      </c>
      <c r="AM265" s="185">
        <v>49223.2065</v>
      </c>
      <c r="AN265" s="187">
        <f>IFERROR(((TablaPrincipal[[#This Row],[BALANCEADO ACUMULADO (LBS)]]/2.2046)/TablaPrincipal[[#This Row],[HAS]])/TablaPrincipal[[#This Row],[DIAS]],"-")</f>
        <v>57.426697530864196</v>
      </c>
      <c r="AO265" s="184">
        <f>IFERROR(TablaPrincipal[[#This Row],[BALANCEADO ACUMULADO (LBS)]]/TablaPrincipal[[#This Row],[LIBRAS TOTALES]],"-")</f>
        <v>1.4638880528702176</v>
      </c>
      <c r="AP265" s="184"/>
      <c r="AQ265" s="184"/>
      <c r="AR265" s="185">
        <f>TablaPrincipal[[#This Row],[LIBRAS RALEO PLANTA]]-TablaPrincipal[[#This Row],[LIBRAS RALEO CAMARONERA]]</f>
        <v>902.52000000000044</v>
      </c>
      <c r="AS265" s="185">
        <f>TablaPrincipal[[#This Row],[LIBRAS PLANTA]]-TablaPrincipal[[#This Row],[LIBRAS CAMARONERA]]</f>
        <v>4422.4599999999991</v>
      </c>
      <c r="AT265" s="187">
        <f>TablaPrincipal[[#This Row],[GRAMAJE RALEO PLANTA]]-TablaPrincipal[[#This Row],[GRAMAJE RALEO CAMARONERA]]</f>
        <v>1.7800000000000011</v>
      </c>
      <c r="AU265" s="187">
        <f>TablaPrincipal[[#This Row],[GRAMOS PLANTA]]-TablaPrincipal[[#This Row],[GRAMAJE CAMARONERA]]</f>
        <v>-0.57000000000000028</v>
      </c>
      <c r="AV265" s="183" t="str">
        <f>+VLOOKUP(TablaPrincipal[[#This Row],[CODIGO]],TablaCosechas[#All],10,0)</f>
        <v>VICTOR QUINTANA</v>
      </c>
      <c r="AW265" s="183" t="s">
        <v>131</v>
      </c>
      <c r="AX265" s="188" t="str">
        <f>+VLOOKUP(TablaPrincipal[[#This Row],[CODIGO]],TablaCosechas[#All],10,0)</f>
        <v>VICTOR QUINTANA</v>
      </c>
    </row>
    <row r="266" spans="1:50" hidden="1" x14ac:dyDescent="0.25">
      <c r="A266" s="196">
        <v>46120</v>
      </c>
      <c r="B266" s="242">
        <v>264</v>
      </c>
      <c r="C266" s="183">
        <f>YEAR(TablaPrincipal[[#This Row],[FECHA]])</f>
        <v>2026</v>
      </c>
      <c r="D266" s="183" t="s">
        <v>319</v>
      </c>
      <c r="E266" s="183" t="str">
        <f>UPPER(TEXT(TablaPrincipal[[#This Row],[FECHA]],"MMMM"))</f>
        <v>ABRIL</v>
      </c>
      <c r="F266" s="183" t="str">
        <f>IFERROR(VLOOKUP(TablaPrincipal[[#This Row],[CODIGO]],COSECHAS!A:J,9,0),"-")</f>
        <v>12</v>
      </c>
      <c r="G266" s="183" t="str">
        <f>IFERROR(VLOOKUP(TablaPrincipal[[#This Row],[CODIGO]],COSECHAS!A:I,8,0),"-")</f>
        <v>ROBALO</v>
      </c>
      <c r="H266" s="184">
        <f>IFERROR(VLOOKUP(TablaPrincipal[[#This Row],[CODIGO]],DATOS!A:B,2,0),"-")</f>
        <v>5.2</v>
      </c>
      <c r="I266" s="183" t="str">
        <f>IFERROR(VLOOKUP(TablaPrincipal[[#This Row],[CODIGO]],Tabla8[[#Headers],[#Data]],3,0),"-")</f>
        <v>ASC-BAP</v>
      </c>
      <c r="J266" s="183">
        <f>IFERROR(TablaPrincipal[[#This Row],[FECHA]]-TablaPrincipal[[#This Row],[FECHA DE SIEMBRA]],"-")</f>
        <v>82</v>
      </c>
      <c r="K266" s="196">
        <f>VLOOKUP(TablaPrincipal[[#This Row],[CODIGO]]&amp;TablaPrincipal[[#This Row],[AGUAJE ]],Tabla4[#All],4,0)</f>
        <v>46038</v>
      </c>
      <c r="L266" s="183" t="str">
        <f>VLOOKUP(TablaPrincipal[[#This Row],[CODIGO]]&amp;TablaPrincipal[[#This Row],[AGUAJE ]],Tabla4[#All],15,0)</f>
        <v>RO 16</v>
      </c>
      <c r="M266" s="184">
        <f>VLOOKUP(TablaPrincipal[[#This Row],[CODIGO]]&amp;TablaPrincipal[[#This Row],[AGUAJE ]],Tabla4[#All],14,0)</f>
        <v>0.92</v>
      </c>
      <c r="N266" s="183">
        <v>6</v>
      </c>
      <c r="O266" s="170">
        <f>VLOOKUP(TablaPrincipal[[#This Row],[CODIGO]]&amp;TablaPrincipal[[#This Row],[AGUAJE ]],Tabla4[#All],5,0)</f>
        <v>884000</v>
      </c>
      <c r="P266" s="221">
        <f>IFERROR(TablaPrincipal[[#This Row],[ANIM SEMBRADOS]]/TablaPrincipal[[#This Row],[HAS]],"-")</f>
        <v>170000</v>
      </c>
      <c r="Q266" s="222">
        <f>IFERROR(TablaPrincipal[[#This Row],[DENSIDAD]]/10000,"-")</f>
        <v>17</v>
      </c>
      <c r="R266" s="183" t="str">
        <f>VLOOKUP(TablaPrincipal[[#This Row],[CODIGO]]&amp;TablaPrincipal[[#This Row],[AGUAJE ]],Tabla4[#All],8,0)</f>
        <v>BIOLACAM</v>
      </c>
      <c r="S266" s="183" t="str">
        <f>VLOOKUP(TablaPrincipal[[#This Row],[CODIGO]]&amp;TablaPrincipal[[#This Row],[AGUAJE ]],Tabla4[#All],7,0)</f>
        <v>TEXCUMAR</v>
      </c>
      <c r="T266" s="183" t="str">
        <f>IF(ISNUMBER(FIND("/",TablaPrincipal[[#This Row],[LABORATORIO]])),"COMBINADO","UNICO")</f>
        <v>UNICO</v>
      </c>
      <c r="U2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4000</v>
      </c>
      <c r="V2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4477.57</v>
      </c>
      <c r="W2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2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22.94</v>
      </c>
      <c r="Y266" s="185">
        <f>IFERROR(TablaPrincipal[[#This Row],[LIBRAS RALEO PLANTA]]/TablaPrincipal[[#This Row],[HAS]],"-")</f>
        <v>861.07115384615372</v>
      </c>
      <c r="Z2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88614.50653879685</v>
      </c>
      <c r="AA2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32150</v>
      </c>
      <c r="AB2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32640.31</v>
      </c>
      <c r="AC266" s="186">
        <f>SUMIFS(COSECHAS!F:F,COSECHAS!A:A,'BASE 2026'!AW:AW,COSECHAS!G:G,"="&amp;A:A)</f>
        <v>39</v>
      </c>
      <c r="AD266" s="186">
        <f>SUMIFS(COSECHAS!M:M,COSECHAS!A:A,'BASE 2026'!AW:AW,COSECHAS!G:G,"="&amp;A:A)</f>
        <v>39.03</v>
      </c>
      <c r="AE266" s="185">
        <f>IFERROR(TablaPrincipal[[#This Row],[LIBRAS PLANTA]]/TablaPrincipal[[#This Row],[HAS]],"-")</f>
        <v>6276.9826923076926</v>
      </c>
      <c r="AF266" s="185">
        <f>IFERROR(TablaPrincipal[[#This Row],[LIBRAS PLANTA]]*454/TablaPrincipal[[#This Row],[GRAMOS PLANTA]],"-")</f>
        <v>379674.62823469128</v>
      </c>
      <c r="AG266" s="185">
        <f>TablaPrincipal[[#This Row],[LIBRAS RALEO PLANTA]]+TablaPrincipal[[#This Row],[LIBRAS PLANTA]]</f>
        <v>37117.880000000005</v>
      </c>
      <c r="AH266" s="185">
        <f>IFERROR(TablaPrincipal[[#This Row],[CAM COSECHADOS RALEO]]+TablaPrincipal[[#This Row],[CAM COSECHADOS]],"-")</f>
        <v>468289.13477348816</v>
      </c>
      <c r="AI266" s="185">
        <f>IFERROR((TablaPrincipal[[#This Row],[LIBRAS RALEO PLANTA]]+TablaPrincipal[[#This Row],[LIBRAS PLANTA]])/TablaPrincipal[[#This Row],[HAS]],"0")</f>
        <v>7138.0538461538472</v>
      </c>
      <c r="AJ266" s="186">
        <f t="shared" si="4"/>
        <v>3.3318292682926831</v>
      </c>
      <c r="AK266" s="186">
        <f>IFERROR(TablaPrincipal[[#This Row],[LBS/HA]]/TablaPrincipal[[#This Row],[DIAS]],"-")</f>
        <v>87.049437148217649</v>
      </c>
      <c r="AL266" s="186">
        <f>IFERROR(TablaPrincipal[[#This Row],[CAM COSECHADOS TOTALES]]/TablaPrincipal[[#This Row],[ANIM SEMBRADOS]]*100,"-")</f>
        <v>52.973884024150244</v>
      </c>
      <c r="AM266" s="185">
        <v>51560.082500000004</v>
      </c>
      <c r="AN266" s="187">
        <f>IFERROR(((TablaPrincipal[[#This Row],[BALANCEADO ACUMULADO (LBS)]]/2.2046)/TablaPrincipal[[#This Row],[HAS]])/TablaPrincipal[[#This Row],[DIAS]],"-")</f>
        <v>54.848733583489675</v>
      </c>
      <c r="AO266" s="184">
        <f>IFERROR(TablaPrincipal[[#This Row],[BALANCEADO ACUMULADO (LBS)]]/TablaPrincipal[[#This Row],[LIBRAS TOTALES]],"-")</f>
        <v>1.3890901770251964</v>
      </c>
      <c r="AP266" s="184"/>
      <c r="AQ266" s="184"/>
      <c r="AR266" s="185">
        <f>TablaPrincipal[[#This Row],[LIBRAS RALEO PLANTA]]-TablaPrincipal[[#This Row],[LIBRAS RALEO CAMARONERA]]</f>
        <v>477.56999999999971</v>
      </c>
      <c r="AS266" s="185">
        <f>TablaPrincipal[[#This Row],[LIBRAS PLANTA]]-TablaPrincipal[[#This Row],[LIBRAS CAMARONERA]]</f>
        <v>490.31000000000131</v>
      </c>
      <c r="AT266" s="187">
        <f>TablaPrincipal[[#This Row],[GRAMAJE RALEO PLANTA]]-TablaPrincipal[[#This Row],[GRAMAJE RALEO CAMARONERA]]</f>
        <v>2.9400000000000013</v>
      </c>
      <c r="AU266" s="187">
        <f>TablaPrincipal[[#This Row],[GRAMOS PLANTA]]-TablaPrincipal[[#This Row],[GRAMAJE CAMARONERA]]</f>
        <v>3.0000000000001137E-2</v>
      </c>
      <c r="AV266" s="183" t="str">
        <f>+VLOOKUP(TablaPrincipal[[#This Row],[CODIGO]],TablaCosechas[#All],10,0)</f>
        <v>VICTOR QUINTANA</v>
      </c>
      <c r="AW266" s="183" t="s">
        <v>135</v>
      </c>
      <c r="AX266" s="241" t="str">
        <f>+VLOOKUP(TablaPrincipal[[#This Row],[CODIGO]],TablaCosechas[#All],10,0)</f>
        <v>VICTOR QUINTANA</v>
      </c>
    </row>
    <row r="267" spans="1:50" hidden="1" x14ac:dyDescent="0.25">
      <c r="A267" s="196">
        <v>46120</v>
      </c>
      <c r="B267" s="242">
        <v>265</v>
      </c>
      <c r="C267" s="183">
        <f>YEAR(TablaPrincipal[[#This Row],[FECHA]])</f>
        <v>2026</v>
      </c>
      <c r="D267" s="183" t="s">
        <v>319</v>
      </c>
      <c r="E267" s="183" t="str">
        <f>UPPER(TEXT(TablaPrincipal[[#This Row],[FECHA]],"MMMM"))</f>
        <v>ABRIL</v>
      </c>
      <c r="F267" s="183" t="str">
        <f>IFERROR(VLOOKUP(TablaPrincipal[[#This Row],[CODIGO]],COSECHAS!A:J,9,0),"-")</f>
        <v>09</v>
      </c>
      <c r="G267" s="183" t="str">
        <f>IFERROR(VLOOKUP(TablaPrincipal[[#This Row],[CODIGO]],COSECHAS!A:I,8,0),"-")</f>
        <v>DORADO</v>
      </c>
      <c r="H267" s="184">
        <f>IFERROR(VLOOKUP(TablaPrincipal[[#This Row],[CODIGO]],DATOS!A:B,2,0),"-")</f>
        <v>7.95</v>
      </c>
      <c r="I267" s="183" t="str">
        <f>IFERROR(VLOOKUP(TablaPrincipal[[#This Row],[CODIGO]],Tabla8[[#Headers],[#Data]],3,0),"-")</f>
        <v>ASC-BAP</v>
      </c>
      <c r="J267" s="183">
        <f>IFERROR(TablaPrincipal[[#This Row],[FECHA]]-TablaPrincipal[[#This Row],[FECHA DE SIEMBRA]],"-")</f>
        <v>81</v>
      </c>
      <c r="K267" s="196">
        <f>VLOOKUP(TablaPrincipal[[#This Row],[CODIGO]]&amp;TablaPrincipal[[#This Row],[AGUAJE ]],Tabla4[#All],4,0)</f>
        <v>46039</v>
      </c>
      <c r="L267" s="183" t="str">
        <f>VLOOKUP(TablaPrincipal[[#This Row],[CODIGO]]&amp;TablaPrincipal[[#This Row],[AGUAJE ]],Tabla4[#All],15,0)</f>
        <v>DO PS15</v>
      </c>
      <c r="M267" s="184">
        <f>VLOOKUP(TablaPrincipal[[#This Row],[CODIGO]]&amp;TablaPrincipal[[#This Row],[AGUAJE ]],Tabla4[#All],14,0)</f>
        <v>1.99</v>
      </c>
      <c r="N267" s="183">
        <v>4</v>
      </c>
      <c r="O267" s="170">
        <f>VLOOKUP(TablaPrincipal[[#This Row],[CODIGO]]&amp;TablaPrincipal[[#This Row],[AGUAJE ]],Tabla4[#All],5,0)</f>
        <v>1431050</v>
      </c>
      <c r="P267" s="221">
        <f>IFERROR(TablaPrincipal[[#This Row],[ANIM SEMBRADOS]]/TablaPrincipal[[#This Row],[HAS]],"-")</f>
        <v>180006.28930817608</v>
      </c>
      <c r="Q267" s="222">
        <f>IFERROR(TablaPrincipal[[#This Row],[DENSIDAD]]/10000,"-")</f>
        <v>18.000628930817609</v>
      </c>
      <c r="R267" s="183" t="str">
        <f>VLOOKUP(TablaPrincipal[[#This Row],[CODIGO]]&amp;TablaPrincipal[[#This Row],[AGUAJE ]],Tabla4[#All],8,0)</f>
        <v>TECSERV</v>
      </c>
      <c r="S267" s="183" t="str">
        <f>VLOOKUP(TablaPrincipal[[#This Row],[CODIGO]]&amp;TablaPrincipal[[#This Row],[AGUAJE ]],Tabla4[#All],7,0)</f>
        <v>SEMACUA</v>
      </c>
      <c r="T267" s="183" t="str">
        <f>IF(ISNUMBER(FIND("/",TablaPrincipal[[#This Row],[LABORATORIO]])),"COMBINADO","UNICO")</f>
        <v>UNICO</v>
      </c>
      <c r="U2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23800</v>
      </c>
      <c r="V2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26692.760000000002</v>
      </c>
      <c r="W2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2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29.78</v>
      </c>
      <c r="Y267" s="185">
        <f>IFERROR(TablaPrincipal[[#This Row],[LIBRAS RALEO PLANTA]]/TablaPrincipal[[#This Row],[HAS]],"-")</f>
        <v>3357.5798742138368</v>
      </c>
      <c r="Z2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424962.34272979025</v>
      </c>
      <c r="AA2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37350</v>
      </c>
      <c r="AB2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40201.81</v>
      </c>
      <c r="AC267" s="186">
        <f>SUMIFS(COSECHAS!F:F,COSECHAS!A:A,'BASE 2026'!AW:AW,COSECHAS!G:G,"="&amp;A:A)</f>
        <v>38</v>
      </c>
      <c r="AD267" s="186">
        <f>SUMIFS(COSECHAS!M:M,COSECHAS!A:A,'BASE 2026'!AW:AW,COSECHAS!G:G,"="&amp;A:A)</f>
        <v>37.979999999999997</v>
      </c>
      <c r="AE267" s="185">
        <f>IFERROR(TablaPrincipal[[#This Row],[LIBRAS PLANTA]]/TablaPrincipal[[#This Row],[HAS]],"-")</f>
        <v>5056.8314465408803</v>
      </c>
      <c r="AF267" s="185">
        <f>IFERROR(TablaPrincipal[[#This Row],[LIBRAS PLANTA]]*454/TablaPrincipal[[#This Row],[GRAMOS PLANTA]],"-")</f>
        <v>480558.76092680357</v>
      </c>
      <c r="AG267" s="185">
        <f>TablaPrincipal[[#This Row],[LIBRAS RALEO PLANTA]]+TablaPrincipal[[#This Row],[LIBRAS PLANTA]]</f>
        <v>66894.570000000007</v>
      </c>
      <c r="AH267" s="185">
        <f>IFERROR(TablaPrincipal[[#This Row],[CAM COSECHADOS RALEO]]+TablaPrincipal[[#This Row],[CAM COSECHADOS]],"-")</f>
        <v>905521.10365659383</v>
      </c>
      <c r="AI267" s="185">
        <f>IFERROR((TablaPrincipal[[#This Row],[LIBRAS RALEO PLANTA]]+TablaPrincipal[[#This Row],[LIBRAS PLANTA]])/TablaPrincipal[[#This Row],[HAS]],"0")</f>
        <v>8414.411320754718</v>
      </c>
      <c r="AJ267" s="186">
        <f t="shared" si="4"/>
        <v>3.2822222222222219</v>
      </c>
      <c r="AK267" s="186">
        <f>IFERROR(TablaPrincipal[[#This Row],[LBS/HA]]/TablaPrincipal[[#This Row],[DIAS]],"-")</f>
        <v>103.88162124388541</v>
      </c>
      <c r="AL267" s="186">
        <f>IFERROR(TablaPrincipal[[#This Row],[CAM COSECHADOS TOTALES]]/TablaPrincipal[[#This Row],[ANIM SEMBRADOS]]*100,"-")</f>
        <v>63.276692195003235</v>
      </c>
      <c r="AM267" s="185">
        <v>84766.87000000001</v>
      </c>
      <c r="AN267" s="187">
        <f>IFERROR(((TablaPrincipal[[#This Row],[BALANCEADO ACUMULADO (LBS)]]/2.2046)/TablaPrincipal[[#This Row],[HAS]])/TablaPrincipal[[#This Row],[DIAS]],"-")</f>
        <v>59.709604782980044</v>
      </c>
      <c r="AO267" s="184">
        <f>IFERROR(TablaPrincipal[[#This Row],[BALANCEADO ACUMULADO (LBS)]]/TablaPrincipal[[#This Row],[LIBRAS TOTALES]],"-")</f>
        <v>1.2671711620240627</v>
      </c>
      <c r="AP267" s="184"/>
      <c r="AQ267" s="184"/>
      <c r="AR267" s="185">
        <f>TablaPrincipal[[#This Row],[LIBRAS RALEO PLANTA]]-TablaPrincipal[[#This Row],[LIBRAS RALEO CAMARONERA]]</f>
        <v>2892.760000000002</v>
      </c>
      <c r="AS267" s="185">
        <f>TablaPrincipal[[#This Row],[LIBRAS PLANTA]]-TablaPrincipal[[#This Row],[LIBRAS CAMARONERA]]</f>
        <v>2851.8099999999977</v>
      </c>
      <c r="AT267" s="187">
        <f>TablaPrincipal[[#This Row],[GRAMAJE RALEO PLANTA]]-TablaPrincipal[[#This Row],[GRAMAJE RALEO CAMARONERA]]</f>
        <v>1.7800000000000011</v>
      </c>
      <c r="AU267" s="187">
        <f>TablaPrincipal[[#This Row],[GRAMOS PLANTA]]-TablaPrincipal[[#This Row],[GRAMAJE CAMARONERA]]</f>
        <v>-2.0000000000003126E-2</v>
      </c>
      <c r="AV267" s="183" t="str">
        <f>+VLOOKUP(TablaPrincipal[[#This Row],[CODIGO]],TablaCosechas[#All],10,0)</f>
        <v>JOSE CEDEÑO</v>
      </c>
      <c r="AW267" s="183" t="s">
        <v>144</v>
      </c>
      <c r="AX267" s="241" t="str">
        <f>+VLOOKUP(TablaPrincipal[[#This Row],[CODIGO]],TablaCosechas[#All],10,0)</f>
        <v>JOSE CEDEÑO</v>
      </c>
    </row>
    <row r="268" spans="1:50" hidden="1" x14ac:dyDescent="0.25">
      <c r="A268" s="196">
        <v>46120</v>
      </c>
      <c r="B268" s="242">
        <v>266</v>
      </c>
      <c r="C268" s="183">
        <f>YEAR(TablaPrincipal[[#This Row],[FECHA]])</f>
        <v>2026</v>
      </c>
      <c r="D268" s="183" t="s">
        <v>319</v>
      </c>
      <c r="E268" s="183" t="str">
        <f>UPPER(TEXT(TablaPrincipal[[#This Row],[FECHA]],"MMMM"))</f>
        <v>ABRIL</v>
      </c>
      <c r="F268" s="183" t="str">
        <f>IFERROR(VLOOKUP(TablaPrincipal[[#This Row],[CODIGO]],COSECHAS!A:J,9,0),"-")</f>
        <v>21</v>
      </c>
      <c r="G268" s="183" t="str">
        <f>IFERROR(VLOOKUP(TablaPrincipal[[#This Row],[CODIGO]],COSECHAS!A:I,8,0),"-")</f>
        <v>GUATO</v>
      </c>
      <c r="H268" s="184">
        <f>IFERROR(VLOOKUP(TablaPrincipal[[#This Row],[CODIGO]],DATOS!A:B,2,0),"-")</f>
        <v>3.32</v>
      </c>
      <c r="I268" s="183" t="str">
        <f>IFERROR(VLOOKUP(TablaPrincipal[[#This Row],[CODIGO]],Tabla8[[#Headers],[#Data]],3,0),"-")</f>
        <v>CONVENCIONAL</v>
      </c>
      <c r="J268" s="183">
        <f>IFERROR(TablaPrincipal[[#This Row],[FECHA]]-TablaPrincipal[[#This Row],[FECHA DE SIEMBRA]],"-")</f>
        <v>80</v>
      </c>
      <c r="K268" s="196">
        <f>VLOOKUP(TablaPrincipal[[#This Row],[CODIGO]]&amp;TablaPrincipal[[#This Row],[AGUAJE ]],Tabla4[#All],4,0)</f>
        <v>46040</v>
      </c>
      <c r="L268" s="183" t="str">
        <f>VLOOKUP(TablaPrincipal[[#This Row],[CODIGO]]&amp;TablaPrincipal[[#This Row],[AGUAJE ]],Tabla4[#All],15,0)</f>
        <v>GT PC 9</v>
      </c>
      <c r="M268" s="184">
        <f>VLOOKUP(TablaPrincipal[[#This Row],[CODIGO]]&amp;TablaPrincipal[[#This Row],[AGUAJE ]],Tabla4[#All],14,0)</f>
        <v>1.1000000000000001</v>
      </c>
      <c r="N268" s="183">
        <v>8</v>
      </c>
      <c r="O268" s="170">
        <f>VLOOKUP(TablaPrincipal[[#This Row],[CODIGO]]&amp;TablaPrincipal[[#This Row],[AGUAJE ]],Tabla4[#All],5,0)</f>
        <v>531200</v>
      </c>
      <c r="P268" s="221">
        <f>IFERROR(TablaPrincipal[[#This Row],[ANIM SEMBRADOS]]/TablaPrincipal[[#This Row],[HAS]],"-")</f>
        <v>160000</v>
      </c>
      <c r="Q268" s="222">
        <f>IFERROR(TablaPrincipal[[#This Row],[DENSIDAD]]/10000,"-")</f>
        <v>16</v>
      </c>
      <c r="R268" s="183" t="str">
        <f>VLOOKUP(TablaPrincipal[[#This Row],[CODIGO]]&amp;TablaPrincipal[[#This Row],[AGUAJE ]],Tabla4[#All],8,0)</f>
        <v>AQUANOVA</v>
      </c>
      <c r="S268" s="183" t="str">
        <f>VLOOKUP(TablaPrincipal[[#This Row],[CODIGO]]&amp;TablaPrincipal[[#This Row],[AGUAJE ]],Tabla4[#All],7,0)</f>
        <v>TEXCUMAR</v>
      </c>
      <c r="T268" s="183" t="str">
        <f>IF(ISNUMBER(FIND("/",TablaPrincipal[[#This Row],[LABORATORIO]])),"COMBINADO","UNICO")</f>
        <v>UNICO</v>
      </c>
      <c r="U2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8450</v>
      </c>
      <c r="V2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9477.0400000000009</v>
      </c>
      <c r="W2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23.28</v>
      </c>
      <c r="Y268" s="185">
        <f>IFERROR(TablaPrincipal[[#This Row],[LIBRAS RALEO PLANTA]]/TablaPrincipal[[#This Row],[HAS]],"-")</f>
        <v>2854.530120481928</v>
      </c>
      <c r="Z2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188249.76614029438</v>
      </c>
      <c r="AA2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10750</v>
      </c>
      <c r="AB2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11563.14</v>
      </c>
      <c r="AC268" s="186">
        <f>SUMIFS(COSECHAS!F:F,COSECHAS!A:A,'BASE 2026'!AW:AW,COSECHAS!G:G,"="&amp;A:A)</f>
        <v>34</v>
      </c>
      <c r="AD268" s="186">
        <f>SUMIFS(COSECHAS!M:M,COSECHAS!A:A,'BASE 2026'!AW:AW,COSECHAS!G:G,"="&amp;A:A)</f>
        <v>35.1</v>
      </c>
      <c r="AE268" s="185">
        <f>IFERROR(TablaPrincipal[[#This Row],[LIBRAS PLANTA]]/TablaPrincipal[[#This Row],[HAS]],"-")</f>
        <v>3482.8734939759038</v>
      </c>
      <c r="AF268" s="185">
        <f>IFERROR(TablaPrincipal[[#This Row],[LIBRAS PLANTA]]*454/TablaPrincipal[[#This Row],[GRAMOS PLANTA]],"-")</f>
        <v>149563.12136752135</v>
      </c>
      <c r="AG268" s="185">
        <f>TablaPrincipal[[#This Row],[LIBRAS RALEO PLANTA]]+TablaPrincipal[[#This Row],[LIBRAS PLANTA]]</f>
        <v>21040.18</v>
      </c>
      <c r="AH268" s="185">
        <f>IFERROR(TablaPrincipal[[#This Row],[CAM COSECHADOS RALEO]]+TablaPrincipal[[#This Row],[CAM COSECHADOS]],"-")</f>
        <v>337812.88750781573</v>
      </c>
      <c r="AI268" s="185">
        <f>IFERROR((TablaPrincipal[[#This Row],[LIBRAS RALEO PLANTA]]+TablaPrincipal[[#This Row],[LIBRAS PLANTA]])/TablaPrincipal[[#This Row],[HAS]],"0")</f>
        <v>6337.4036144578313</v>
      </c>
      <c r="AJ268" s="186">
        <f t="shared" si="4"/>
        <v>3.07125</v>
      </c>
      <c r="AK268" s="186">
        <f>IFERROR(TablaPrincipal[[#This Row],[LBS/HA]]/TablaPrincipal[[#This Row],[DIAS]],"-")</f>
        <v>79.217545180722894</v>
      </c>
      <c r="AL268" s="186">
        <f>IFERROR(TablaPrincipal[[#This Row],[CAM COSECHADOS TOTALES]]/TablaPrincipal[[#This Row],[ANIM SEMBRADOS]]*100,"-")</f>
        <v>63.594293582043626</v>
      </c>
      <c r="AM268" s="185">
        <v>33620.15</v>
      </c>
      <c r="AN268" s="187">
        <f>IFERROR(((TablaPrincipal[[#This Row],[BALANCEADO ACUMULADO (LBS)]]/2.2046)/TablaPrincipal[[#This Row],[HAS]])/TablaPrincipal[[#This Row],[DIAS]],"-")</f>
        <v>57.4171686746988</v>
      </c>
      <c r="AO268" s="184">
        <f>IFERROR(TablaPrincipal[[#This Row],[BALANCEADO ACUMULADO (LBS)]]/TablaPrincipal[[#This Row],[LIBRAS TOTALES]],"-")</f>
        <v>1.5979022042587088</v>
      </c>
      <c r="AP268" s="184"/>
      <c r="AQ268" s="184"/>
      <c r="AR268" s="185">
        <f>TablaPrincipal[[#This Row],[LIBRAS RALEO PLANTA]]-TablaPrincipal[[#This Row],[LIBRAS RALEO CAMARONERA]]</f>
        <v>1027.0400000000009</v>
      </c>
      <c r="AS268" s="185">
        <f>TablaPrincipal[[#This Row],[LIBRAS PLANTA]]-TablaPrincipal[[#This Row],[LIBRAS CAMARONERA]]</f>
        <v>813.13999999999942</v>
      </c>
      <c r="AT268" s="187">
        <f>TablaPrincipal[[#This Row],[GRAMAJE RALEO PLANTA]]-TablaPrincipal[[#This Row],[GRAMAJE RALEO CAMARONERA]]</f>
        <v>0.78000000000000114</v>
      </c>
      <c r="AU268" s="187">
        <f>TablaPrincipal[[#This Row],[GRAMOS PLANTA]]-TablaPrincipal[[#This Row],[GRAMAJE CAMARONERA]]</f>
        <v>1.1000000000000014</v>
      </c>
      <c r="AV268" s="183" t="str">
        <f>+VLOOKUP(TablaPrincipal[[#This Row],[CODIGO]],TablaCosechas[#All],10,0)</f>
        <v>JULIO SANTOS</v>
      </c>
      <c r="AW268" s="183" t="s">
        <v>134</v>
      </c>
      <c r="AX268" s="241" t="str">
        <f>+VLOOKUP(TablaPrincipal[[#This Row],[CODIGO]],TablaCosechas[#All],10,0)</f>
        <v>JULIO SANTOS</v>
      </c>
    </row>
    <row r="269" spans="1:50" hidden="1" x14ac:dyDescent="0.25">
      <c r="A269" s="196">
        <v>46120</v>
      </c>
      <c r="B269" s="242">
        <v>267</v>
      </c>
      <c r="C269" s="183">
        <f>YEAR(TablaPrincipal[[#This Row],[FECHA]])</f>
        <v>2026</v>
      </c>
      <c r="D269" s="183" t="s">
        <v>319</v>
      </c>
      <c r="E269" s="183" t="str">
        <f>UPPER(TEXT(TablaPrincipal[[#This Row],[FECHA]],"MMMM"))</f>
        <v>ABRIL</v>
      </c>
      <c r="F269" s="183" t="str">
        <f>IFERROR(VLOOKUP(TablaPrincipal[[#This Row],[CODIGO]],COSECHAS!A:J,9,0),"-")</f>
        <v>21</v>
      </c>
      <c r="G269" s="183" t="str">
        <f>IFERROR(VLOOKUP(TablaPrincipal[[#This Row],[CODIGO]],COSECHAS!A:I,8,0),"-")</f>
        <v>PARGO ROJO</v>
      </c>
      <c r="H269" s="184">
        <f>IFERROR(VLOOKUP(TablaPrincipal[[#This Row],[CODIGO]],DATOS!A:B,2,0),"-")</f>
        <v>1.7</v>
      </c>
      <c r="I269" s="183" t="str">
        <f>IFERROR(VLOOKUP(TablaPrincipal[[#This Row],[CODIGO]],Tabla8[[#Headers],[#Data]],3,0),"-")</f>
        <v>CONVENCIONAL</v>
      </c>
      <c r="J269" s="183">
        <f>IFERROR(TablaPrincipal[[#This Row],[FECHA]]-TablaPrincipal[[#This Row],[FECHA DE SIEMBRA]],"-")</f>
        <v>76</v>
      </c>
      <c r="K269" s="196">
        <f>VLOOKUP(TablaPrincipal[[#This Row],[CODIGO]]&amp;TablaPrincipal[[#This Row],[AGUAJE ]],Tabla4[#All],4,0)</f>
        <v>46044</v>
      </c>
      <c r="L269" s="183" t="str">
        <f>VLOOKUP(TablaPrincipal[[#This Row],[CODIGO]]&amp;TablaPrincipal[[#This Row],[AGUAJE ]],Tabla4[#All],15,0)</f>
        <v>PR PC 23</v>
      </c>
      <c r="M269" s="184">
        <f>VLOOKUP(TablaPrincipal[[#This Row],[CODIGO]]&amp;TablaPrincipal[[#This Row],[AGUAJE ]],Tabla4[#All],14,0)</f>
        <v>0.3</v>
      </c>
      <c r="N269" s="183">
        <v>10</v>
      </c>
      <c r="O269" s="170">
        <f>VLOOKUP(TablaPrincipal[[#This Row],[CODIGO]]&amp;TablaPrincipal[[#This Row],[AGUAJE ]],Tabla4[#All],5,0)</f>
        <v>306000</v>
      </c>
      <c r="P269" s="221">
        <f>IFERROR(TablaPrincipal[[#This Row],[ANIM SEMBRADOS]]/TablaPrincipal[[#This Row],[HAS]],"-")</f>
        <v>180000</v>
      </c>
      <c r="Q269" s="222">
        <f>IFERROR(TablaPrincipal[[#This Row],[DENSIDAD]]/10000,"-")</f>
        <v>18</v>
      </c>
      <c r="R269" s="183" t="str">
        <f>VLOOKUP(TablaPrincipal[[#This Row],[CODIGO]]&amp;TablaPrincipal[[#This Row],[AGUAJE ]],Tabla4[#All],8,0)</f>
        <v>EMPAGRAN</v>
      </c>
      <c r="S269" s="183" t="str">
        <f>VLOOKUP(TablaPrincipal[[#This Row],[CODIGO]]&amp;TablaPrincipal[[#This Row],[AGUAJE ]],Tabla4[#All],7,0)</f>
        <v xml:space="preserve">EMPAGRAN </v>
      </c>
      <c r="T269" s="183" t="str">
        <f>IF(ISNUMBER(FIND("/",TablaPrincipal[[#This Row],[LABORATORIO]])),"COMBINADO","UNICO")</f>
        <v>UNICO</v>
      </c>
      <c r="U2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69" s="185">
        <f>IFERROR(TablaPrincipal[[#This Row],[LIBRAS RALEO PLANTA]]/TablaPrincipal[[#This Row],[HAS]],"-")</f>
        <v>0</v>
      </c>
      <c r="Z2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7000</v>
      </c>
      <c r="AB2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8534.59</v>
      </c>
      <c r="AC269" s="186">
        <f>SUMIFS(COSECHAS!F:F,COSECHAS!A:A,'BASE 2026'!AW:AW,COSECHAS!G:G,"="&amp;A:A)</f>
        <v>31</v>
      </c>
      <c r="AD269" s="186">
        <f>SUMIFS(COSECHAS!M:M,COSECHAS!A:A,'BASE 2026'!AW:AW,COSECHAS!G:G,"="&amp;A:A)</f>
        <v>35.22</v>
      </c>
      <c r="AE269" s="185">
        <f>IFERROR(TablaPrincipal[[#This Row],[LIBRAS PLANTA]]/TablaPrincipal[[#This Row],[HAS]],"-")</f>
        <v>5020.3470588235296</v>
      </c>
      <c r="AF269" s="185">
        <f>IFERROR(TablaPrincipal[[#This Row],[LIBRAS PLANTA]]*454/TablaPrincipal[[#This Row],[GRAMOS PLANTA]],"-")</f>
        <v>110014.30607609313</v>
      </c>
      <c r="AG269" s="185">
        <f>TablaPrincipal[[#This Row],[LIBRAS RALEO PLANTA]]+TablaPrincipal[[#This Row],[LIBRAS PLANTA]]</f>
        <v>8534.59</v>
      </c>
      <c r="AH269" s="185">
        <f>IFERROR(TablaPrincipal[[#This Row],[CAM COSECHADOS RALEO]]+TablaPrincipal[[#This Row],[CAM COSECHADOS]],"-")</f>
        <v>110014.30607609313</v>
      </c>
      <c r="AI269" s="185">
        <f>IFERROR((TablaPrincipal[[#This Row],[LIBRAS RALEO PLANTA]]+TablaPrincipal[[#This Row],[LIBRAS PLANTA]])/TablaPrincipal[[#This Row],[HAS]],"0")</f>
        <v>5020.3470588235296</v>
      </c>
      <c r="AJ269" s="186">
        <f t="shared" si="4"/>
        <v>3.2439473684210522</v>
      </c>
      <c r="AK269" s="186">
        <f>IFERROR(TablaPrincipal[[#This Row],[LBS/HA]]/TablaPrincipal[[#This Row],[DIAS]],"-")</f>
        <v>66.057198142414862</v>
      </c>
      <c r="AL269" s="186">
        <f>IFERROR(TablaPrincipal[[#This Row],[CAM COSECHADOS TOTALES]]/TablaPrincipal[[#This Row],[ANIM SEMBRADOS]]*100,"-")</f>
        <v>35.952387606566383</v>
      </c>
      <c r="AM269" s="185">
        <v>13745.681</v>
      </c>
      <c r="AN269" s="187">
        <f>IFERROR(((TablaPrincipal[[#This Row],[BALANCEADO ACUMULADO (LBS)]]/2.2046)/TablaPrincipal[[#This Row],[HAS]])/TablaPrincipal[[#This Row],[DIAS]],"-")</f>
        <v>48.258513931888551</v>
      </c>
      <c r="AO269" s="184">
        <f>IFERROR(TablaPrincipal[[#This Row],[BALANCEADO ACUMULADO (LBS)]]/TablaPrincipal[[#This Row],[LIBRAS TOTALES]],"-")</f>
        <v>1.6105848084090741</v>
      </c>
      <c r="AP269" s="184"/>
      <c r="AQ269" s="184"/>
      <c r="AR269" s="185">
        <f>TablaPrincipal[[#This Row],[LIBRAS RALEO PLANTA]]-TablaPrincipal[[#This Row],[LIBRAS RALEO CAMARONERA]]</f>
        <v>0</v>
      </c>
      <c r="AS269" s="185">
        <f>TablaPrincipal[[#This Row],[LIBRAS PLANTA]]-TablaPrincipal[[#This Row],[LIBRAS CAMARONERA]]</f>
        <v>1534.5900000000001</v>
      </c>
      <c r="AT269" s="187">
        <f>TablaPrincipal[[#This Row],[GRAMAJE RALEO PLANTA]]-TablaPrincipal[[#This Row],[GRAMAJE RALEO CAMARONERA]]</f>
        <v>0</v>
      </c>
      <c r="AU269" s="187">
        <f>TablaPrincipal[[#This Row],[GRAMOS PLANTA]]-TablaPrincipal[[#This Row],[GRAMAJE CAMARONERA]]</f>
        <v>4.2199999999999989</v>
      </c>
      <c r="AV269" s="183" t="str">
        <f>+VLOOKUP(TablaPrincipal[[#This Row],[CODIGO]],TablaCosechas[#All],10,0)</f>
        <v>WILMER TORRES</v>
      </c>
      <c r="AW269" s="183" t="s">
        <v>141</v>
      </c>
      <c r="AX269" s="188" t="str">
        <f>+VLOOKUP(TablaPrincipal[[#This Row],[CODIGO]],TablaCosechas[#All],10,0)</f>
        <v>WILMER TORRES</v>
      </c>
    </row>
    <row r="270" spans="1:50" hidden="1" x14ac:dyDescent="0.25">
      <c r="A270" s="196">
        <v>46120</v>
      </c>
      <c r="B270" s="242">
        <v>268</v>
      </c>
      <c r="C270" s="183">
        <f>YEAR(TablaPrincipal[[#This Row],[FECHA]])</f>
        <v>2026</v>
      </c>
      <c r="D270" s="183" t="s">
        <v>319</v>
      </c>
      <c r="E270" s="183" t="str">
        <f>UPPER(TEXT(TablaPrincipal[[#This Row],[FECHA]],"MMMM"))</f>
        <v>ABRIL</v>
      </c>
      <c r="F270" s="183" t="str">
        <f>IFERROR(VLOOKUP(TablaPrincipal[[#This Row],[CODIGO]],COSECHAS!A:J,9,0),"-")</f>
        <v>22</v>
      </c>
      <c r="G270" s="183" t="str">
        <f>IFERROR(VLOOKUP(TablaPrincipal[[#This Row],[CODIGO]],COSECHAS!A:I,8,0),"-")</f>
        <v>PARGO ROJO</v>
      </c>
      <c r="H270" s="184">
        <f>IFERROR(VLOOKUP(TablaPrincipal[[#This Row],[CODIGO]],DATOS!A:B,2,0),"-")</f>
        <v>2.54</v>
      </c>
      <c r="I270" s="183" t="str">
        <f>IFERROR(VLOOKUP(TablaPrincipal[[#This Row],[CODIGO]],Tabla8[[#Headers],[#Data]],3,0),"-")</f>
        <v>CONVENCIONAL</v>
      </c>
      <c r="J270" s="183">
        <f>IFERROR(TablaPrincipal[[#This Row],[FECHA]]-TablaPrincipal[[#This Row],[FECHA DE SIEMBRA]],"-")</f>
        <v>76</v>
      </c>
      <c r="K270" s="196">
        <f>VLOOKUP(TablaPrincipal[[#This Row],[CODIGO]]&amp;TablaPrincipal[[#This Row],[AGUAJE ]],Tabla4[#All],4,0)</f>
        <v>46044</v>
      </c>
      <c r="L270" s="183" t="str">
        <f>VLOOKUP(TablaPrincipal[[#This Row],[CODIGO]]&amp;TablaPrincipal[[#This Row],[AGUAJE ]],Tabla4[#All],15,0)</f>
        <v>PR PC 23</v>
      </c>
      <c r="M270" s="184">
        <f>VLOOKUP(TablaPrincipal[[#This Row],[CODIGO]]&amp;TablaPrincipal[[#This Row],[AGUAJE ]],Tabla4[#All],14,0)</f>
        <v>0.3</v>
      </c>
      <c r="N270" s="183">
        <v>10</v>
      </c>
      <c r="O270" s="170">
        <f>VLOOKUP(TablaPrincipal[[#This Row],[CODIGO]]&amp;TablaPrincipal[[#This Row],[AGUAJE ]],Tabla4[#All],5,0)</f>
        <v>457000</v>
      </c>
      <c r="P270" s="221">
        <f>IFERROR(TablaPrincipal[[#This Row],[ANIM SEMBRADOS]]/TablaPrincipal[[#This Row],[HAS]],"-")</f>
        <v>179921.25984251968</v>
      </c>
      <c r="Q270" s="222">
        <f>IFERROR(TablaPrincipal[[#This Row],[DENSIDAD]]/10000,"-")</f>
        <v>17.992125984251967</v>
      </c>
      <c r="R270" s="183" t="str">
        <f>VLOOKUP(TablaPrincipal[[#This Row],[CODIGO]]&amp;TablaPrincipal[[#This Row],[AGUAJE ]],Tabla4[#All],8,0)</f>
        <v>EMPAGRAN</v>
      </c>
      <c r="S270" s="183" t="str">
        <f>VLOOKUP(TablaPrincipal[[#This Row],[CODIGO]]&amp;TablaPrincipal[[#This Row],[AGUAJE ]],Tabla4[#All],7,0)</f>
        <v>EMPAGRAN</v>
      </c>
      <c r="T270" s="183" t="str">
        <f>IF(ISNUMBER(FIND("/",TablaPrincipal[[#This Row],[LABORATORIO]])),"COMBINADO","UNICO")</f>
        <v>UNICO</v>
      </c>
      <c r="U2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0" s="185">
        <f>IFERROR(TablaPrincipal[[#This Row],[LIBRAS RALEO PLANTA]]/TablaPrincipal[[#This Row],[HAS]],"-")</f>
        <v>0</v>
      </c>
      <c r="Z2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9350</v>
      </c>
      <c r="AB2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11336.42</v>
      </c>
      <c r="AC270" s="186">
        <f>SUMIFS(COSECHAS!F:F,COSECHAS!A:A,'BASE 2026'!AW:AW,COSECHAS!G:G,"="&amp;A:A)</f>
        <v>27</v>
      </c>
      <c r="AD270" s="186">
        <f>SUMIFS(COSECHAS!M:M,COSECHAS!A:A,'BASE 2026'!AW:AW,COSECHAS!G:G,"="&amp;A:A)</f>
        <v>30.2</v>
      </c>
      <c r="AE270" s="185">
        <f>IFERROR(TablaPrincipal[[#This Row],[LIBRAS PLANTA]]/TablaPrincipal[[#This Row],[HAS]],"-")</f>
        <v>4463.1574803149606</v>
      </c>
      <c r="AF270" s="185">
        <f>IFERROR(TablaPrincipal[[#This Row],[LIBRAS PLANTA]]*454/TablaPrincipal[[#This Row],[GRAMOS PLANTA]],"-")</f>
        <v>170421.67814569536</v>
      </c>
      <c r="AG270" s="185">
        <f>TablaPrincipal[[#This Row],[LIBRAS RALEO PLANTA]]+TablaPrincipal[[#This Row],[LIBRAS PLANTA]]</f>
        <v>11336.42</v>
      </c>
      <c r="AH270" s="185">
        <f>IFERROR(TablaPrincipal[[#This Row],[CAM COSECHADOS RALEO]]+TablaPrincipal[[#This Row],[CAM COSECHADOS]],"-")</f>
        <v>170421.67814569536</v>
      </c>
      <c r="AI270" s="185">
        <f>IFERROR((TablaPrincipal[[#This Row],[LIBRAS RALEO PLANTA]]+TablaPrincipal[[#This Row],[LIBRAS PLANTA]])/TablaPrincipal[[#This Row],[HAS]],"0")</f>
        <v>4463.1574803149606</v>
      </c>
      <c r="AJ270" s="186">
        <f t="shared" si="4"/>
        <v>2.7815789473684207</v>
      </c>
      <c r="AK270" s="186">
        <f>IFERROR(TablaPrincipal[[#This Row],[LBS/HA]]/TablaPrincipal[[#This Row],[DIAS]],"-")</f>
        <v>58.725756319933694</v>
      </c>
      <c r="AL270" s="186">
        <f>IFERROR(TablaPrincipal[[#This Row],[CAM COSECHADOS TOTALES]]/TablaPrincipal[[#This Row],[ANIM SEMBRADOS]]*100,"-")</f>
        <v>37.291395655513213</v>
      </c>
      <c r="AM270" s="185">
        <v>18221.019</v>
      </c>
      <c r="AN270" s="187">
        <f>IFERROR(((TablaPrincipal[[#This Row],[BALANCEADO ACUMULADO (LBS)]]/2.2046)/TablaPrincipal[[#This Row],[HAS]])/TablaPrincipal[[#This Row],[DIAS]],"-")</f>
        <v>42.814960629921259</v>
      </c>
      <c r="AO270" s="184">
        <f>IFERROR(TablaPrincipal[[#This Row],[BALANCEADO ACUMULADO (LBS)]]/TablaPrincipal[[#This Row],[LIBRAS TOTALES]],"-")</f>
        <v>1.6072992179188845</v>
      </c>
      <c r="AP270" s="184"/>
      <c r="AQ270" s="184"/>
      <c r="AR270" s="185">
        <f>TablaPrincipal[[#This Row],[LIBRAS RALEO PLANTA]]-TablaPrincipal[[#This Row],[LIBRAS RALEO CAMARONERA]]</f>
        <v>0</v>
      </c>
      <c r="AS270" s="185">
        <f>TablaPrincipal[[#This Row],[LIBRAS PLANTA]]-TablaPrincipal[[#This Row],[LIBRAS CAMARONERA]]</f>
        <v>1986.42</v>
      </c>
      <c r="AT270" s="187">
        <f>TablaPrincipal[[#This Row],[GRAMAJE RALEO PLANTA]]-TablaPrincipal[[#This Row],[GRAMAJE RALEO CAMARONERA]]</f>
        <v>0</v>
      </c>
      <c r="AU270" s="187">
        <f>TablaPrincipal[[#This Row],[GRAMOS PLANTA]]-TablaPrincipal[[#This Row],[GRAMAJE CAMARONERA]]</f>
        <v>3.1999999999999993</v>
      </c>
      <c r="AV270" s="183" t="str">
        <f>+VLOOKUP(TablaPrincipal[[#This Row],[CODIGO]],TablaCosechas[#All],10,0)</f>
        <v>WILMER TORRES</v>
      </c>
      <c r="AW270" s="183" t="s">
        <v>142</v>
      </c>
      <c r="AX270" s="188" t="str">
        <f>+VLOOKUP(TablaPrincipal[[#This Row],[CODIGO]],TablaCosechas[#All],10,0)</f>
        <v>WILMER TORRES</v>
      </c>
    </row>
    <row r="271" spans="1:50" hidden="1" x14ac:dyDescent="0.25">
      <c r="A271" s="196">
        <v>46121</v>
      </c>
      <c r="B271" s="242">
        <v>269</v>
      </c>
      <c r="C271" s="183">
        <f>YEAR(TablaPrincipal[[#This Row],[FECHA]])</f>
        <v>2026</v>
      </c>
      <c r="D271" s="183" t="s">
        <v>319</v>
      </c>
      <c r="E271" s="183" t="str">
        <f>UPPER(TEXT(TablaPrincipal[[#This Row],[FECHA]],"MMMM"))</f>
        <v>ABRIL</v>
      </c>
      <c r="F271" s="183" t="str">
        <f>IFERROR(VLOOKUP(TablaPrincipal[[#This Row],[CODIGO]],COSECHAS!A:J,9,0),"-")</f>
        <v>12</v>
      </c>
      <c r="G271" s="183" t="str">
        <f>IFERROR(VLOOKUP(TablaPrincipal[[#This Row],[CODIGO]],COSECHAS!A:I,8,0),"-")</f>
        <v>PAMPANO</v>
      </c>
      <c r="H271" s="184">
        <f>IFERROR(VLOOKUP(TablaPrincipal[[#This Row],[CODIGO]],DATOS!A:B,2,0),"-")</f>
        <v>17</v>
      </c>
      <c r="I271" s="183" t="str">
        <f>IFERROR(VLOOKUP(TablaPrincipal[[#This Row],[CODIGO]],Tabla8[[#Headers],[#Data]],3,0),"-")</f>
        <v>ASC-BAP</v>
      </c>
      <c r="J271" s="183">
        <f>IFERROR(TablaPrincipal[[#This Row],[FECHA]]-TablaPrincipal[[#This Row],[FECHA DE SIEMBRA]],"-")</f>
        <v>93</v>
      </c>
      <c r="K271" s="196">
        <f>VLOOKUP(TablaPrincipal[[#This Row],[CODIGO]]&amp;TablaPrincipal[[#This Row],[AGUAJE ]],Tabla4[#All],4,0)</f>
        <v>46028</v>
      </c>
      <c r="L271" s="183" t="str">
        <f>VLOOKUP(TablaPrincipal[[#This Row],[CODIGO]]&amp;TablaPrincipal[[#This Row],[AGUAJE ]],Tabla4[#All],15,0)</f>
        <v>PA 7</v>
      </c>
      <c r="M271" s="184">
        <f>VLOOKUP(TablaPrincipal[[#This Row],[CODIGO]]&amp;TablaPrincipal[[#This Row],[AGUAJE ]],Tabla4[#All],14,0)</f>
        <v>0.65</v>
      </c>
      <c r="N271" s="183">
        <v>11</v>
      </c>
      <c r="O271" s="170">
        <f>VLOOKUP(TablaPrincipal[[#This Row],[CODIGO]]&amp;TablaPrincipal[[#This Row],[AGUAJE ]],Tabla4[#All],5,0)</f>
        <v>2380000</v>
      </c>
      <c r="P271" s="221">
        <f>IFERROR(TablaPrincipal[[#This Row],[ANIM SEMBRADOS]]/TablaPrincipal[[#This Row],[HAS]],"-")</f>
        <v>140000</v>
      </c>
      <c r="Q271" s="222">
        <f>IFERROR(TablaPrincipal[[#This Row],[DENSIDAD]]/10000,"-")</f>
        <v>14</v>
      </c>
      <c r="R271" s="183" t="str">
        <f>VLOOKUP(TablaPrincipal[[#This Row],[CODIGO]]&amp;TablaPrincipal[[#This Row],[AGUAJE ]],Tabla4[#All],8,0)</f>
        <v>NEMEN</v>
      </c>
      <c r="S271" s="183" t="str">
        <f>VLOOKUP(TablaPrincipal[[#This Row],[CODIGO]]&amp;TablaPrincipal[[#This Row],[AGUAJE ]],Tabla4[#All],7,0)</f>
        <v>TEXCUMAR</v>
      </c>
      <c r="T271" s="183" t="str">
        <f>IF(ISNUMBER(FIND("/",TablaPrincipal[[#This Row],[LABORATORIO]])),"COMBINADO","UNICO")</f>
        <v>UNICO</v>
      </c>
      <c r="U2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57900</v>
      </c>
      <c r="V2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56918.299999999996</v>
      </c>
      <c r="W2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26.375</v>
      </c>
      <c r="X2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28.099999999999998</v>
      </c>
      <c r="Y271" s="185">
        <f>IFERROR(TablaPrincipal[[#This Row],[LIBRAS RALEO PLANTA]]/TablaPrincipal[[#This Row],[HAS]],"-")</f>
        <v>3348.1352941176469</v>
      </c>
      <c r="Z2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979397.63574712374</v>
      </c>
      <c r="AA2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33750</v>
      </c>
      <c r="AB2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37261.660000000003</v>
      </c>
      <c r="AC271" s="186">
        <f>SUMIFS(COSECHAS!F:F,COSECHAS!A:A,'BASE 2026'!AW:AW,COSECHAS!G:G,"="&amp;A:A)</f>
        <v>33</v>
      </c>
      <c r="AD271" s="186">
        <f>SUMIFS(COSECHAS!M:M,COSECHAS!A:A,'BASE 2026'!AW:AW,COSECHAS!G:G,"="&amp;A:A)</f>
        <v>32.630000000000003</v>
      </c>
      <c r="AE271" s="185">
        <f>IFERROR(TablaPrincipal[[#This Row],[LIBRAS PLANTA]]/TablaPrincipal[[#This Row],[HAS]],"-")</f>
        <v>2191.8623529411766</v>
      </c>
      <c r="AF271" s="185">
        <f>IFERROR(TablaPrincipal[[#This Row],[LIBRAS PLANTA]]*454/TablaPrincipal[[#This Row],[GRAMOS PLANTA]],"-")</f>
        <v>518442.95556236588</v>
      </c>
      <c r="AG271" s="185">
        <f>TablaPrincipal[[#This Row],[LIBRAS RALEO PLANTA]]+TablaPrincipal[[#This Row],[LIBRAS PLANTA]]</f>
        <v>94179.959999999992</v>
      </c>
      <c r="AH271" s="185">
        <f>IFERROR(TablaPrincipal[[#This Row],[CAM COSECHADOS RALEO]]+TablaPrincipal[[#This Row],[CAM COSECHADOS]],"-")</f>
        <v>1497840.5913094897</v>
      </c>
      <c r="AI271" s="185">
        <f>IFERROR((TablaPrincipal[[#This Row],[LIBRAS RALEO PLANTA]]+TablaPrincipal[[#This Row],[LIBRAS PLANTA]])/TablaPrincipal[[#This Row],[HAS]],"0")</f>
        <v>5539.9976470588226</v>
      </c>
      <c r="AJ271" s="186">
        <f t="shared" si="4"/>
        <v>2.4560215053763441</v>
      </c>
      <c r="AK271" s="186">
        <f>IFERROR(TablaPrincipal[[#This Row],[LBS/HA]]/TablaPrincipal[[#This Row],[DIAS]],"-")</f>
        <v>59.569867172675515</v>
      </c>
      <c r="AL271" s="186">
        <f>IFERROR(TablaPrincipal[[#This Row],[CAM COSECHADOS TOTALES]]/TablaPrincipal[[#This Row],[ANIM SEMBRADOS]]*100,"-")</f>
        <v>62.934478626449142</v>
      </c>
      <c r="AM271" s="185">
        <v>154542.46000000002</v>
      </c>
      <c r="AN271" s="187">
        <f>IFERROR(((TablaPrincipal[[#This Row],[BALANCEADO ACUMULADO (LBS)]]/2.2046)/TablaPrincipal[[#This Row],[HAS]])/TablaPrincipal[[#This Row],[DIAS]],"-")</f>
        <v>44.339025932953831</v>
      </c>
      <c r="AO271" s="184">
        <f>IFERROR(TablaPrincipal[[#This Row],[BALANCEADO ACUMULADO (LBS)]]/TablaPrincipal[[#This Row],[LIBRAS TOTALES]],"-")</f>
        <v>1.6409272206104146</v>
      </c>
      <c r="AP271" s="184"/>
      <c r="AQ271" s="184"/>
      <c r="AR271" s="185">
        <f>TablaPrincipal[[#This Row],[LIBRAS RALEO PLANTA]]-TablaPrincipal[[#This Row],[LIBRAS RALEO CAMARONERA]]</f>
        <v>-981.70000000000437</v>
      </c>
      <c r="AS271" s="185">
        <f>TablaPrincipal[[#This Row],[LIBRAS PLANTA]]-TablaPrincipal[[#This Row],[LIBRAS CAMARONERA]]</f>
        <v>3511.6600000000035</v>
      </c>
      <c r="AT271" s="187">
        <f>TablaPrincipal[[#This Row],[GRAMAJE RALEO PLANTA]]-TablaPrincipal[[#This Row],[GRAMAJE RALEO CAMARONERA]]</f>
        <v>1.7249999999999979</v>
      </c>
      <c r="AU271" s="187">
        <f>TablaPrincipal[[#This Row],[GRAMOS PLANTA]]-TablaPrincipal[[#This Row],[GRAMAJE CAMARONERA]]</f>
        <v>-0.36999999999999744</v>
      </c>
      <c r="AV271" s="183" t="str">
        <f>+VLOOKUP(TablaPrincipal[[#This Row],[CODIGO]],TablaCosechas[#All],10,0)</f>
        <v>GUSTAVO CARRASCO</v>
      </c>
      <c r="AW271" s="183" t="s">
        <v>332</v>
      </c>
      <c r="AX271" s="241" t="str">
        <f>+VLOOKUP(TablaPrincipal[[#This Row],[CODIGO]],TablaCosechas[#All],10,0)</f>
        <v>GUSTAVO CARRASCO</v>
      </c>
    </row>
    <row r="272" spans="1:50" hidden="1" x14ac:dyDescent="0.25">
      <c r="A272" s="196">
        <v>46121</v>
      </c>
      <c r="B272" s="242">
        <v>270</v>
      </c>
      <c r="C272" s="183">
        <f>YEAR(TablaPrincipal[[#This Row],[FECHA]])</f>
        <v>2026</v>
      </c>
      <c r="D272" s="183" t="s">
        <v>319</v>
      </c>
      <c r="E272" s="183" t="str">
        <f>UPPER(TEXT(TablaPrincipal[[#This Row],[FECHA]],"MMMM"))</f>
        <v>ABRIL</v>
      </c>
      <c r="F272" s="183" t="str">
        <f>IFERROR(VLOOKUP(TablaPrincipal[[#This Row],[CODIGO]],COSECHAS!A:J,9,0),"-")</f>
        <v>05</v>
      </c>
      <c r="G272" s="183" t="str">
        <f>IFERROR(VLOOKUP(TablaPrincipal[[#This Row],[CODIGO]],COSECHAS!A:I,8,0),"-")</f>
        <v>PARGO ROJO</v>
      </c>
      <c r="H272" s="184">
        <f>IFERROR(VLOOKUP(TablaPrincipal[[#This Row],[CODIGO]],DATOS!A:B,2,0),"-")</f>
        <v>2.56</v>
      </c>
      <c r="I272" s="183" t="str">
        <f>IFERROR(VLOOKUP(TablaPrincipal[[#This Row],[CODIGO]],Tabla8[[#Headers],[#Data]],3,0),"-")</f>
        <v>CONVENCIONAL</v>
      </c>
      <c r="J272" s="183">
        <f>IFERROR(TablaPrincipal[[#This Row],[FECHA]]-TablaPrincipal[[#This Row],[FECHA DE SIEMBRA]],"-")</f>
        <v>83</v>
      </c>
      <c r="K272" s="196">
        <f>VLOOKUP(TablaPrincipal[[#This Row],[CODIGO]]&amp;TablaPrincipal[[#This Row],[AGUAJE ]],Tabla4[#All],4,0)</f>
        <v>46038</v>
      </c>
      <c r="L272" s="183" t="str">
        <f>VLOOKUP(TablaPrincipal[[#This Row],[CODIGO]]&amp;TablaPrincipal[[#This Row],[AGUAJE ]],Tabla4[#All],15,0)</f>
        <v>PR 4</v>
      </c>
      <c r="M272" s="184">
        <f>VLOOKUP(TablaPrincipal[[#This Row],[CODIGO]]&amp;TablaPrincipal[[#This Row],[AGUAJE ]],Tabla4[#All],14,0)</f>
        <v>0.43</v>
      </c>
      <c r="N272" s="183">
        <v>10</v>
      </c>
      <c r="O272" s="170">
        <f>VLOOKUP(TablaPrincipal[[#This Row],[CODIGO]]&amp;TablaPrincipal[[#This Row],[AGUAJE ]],Tabla4[#All],5,0)</f>
        <v>460800</v>
      </c>
      <c r="P272" s="221">
        <f>IFERROR(TablaPrincipal[[#This Row],[ANIM SEMBRADOS]]/TablaPrincipal[[#This Row],[HAS]],"-")</f>
        <v>180000</v>
      </c>
      <c r="Q272" s="222">
        <f>IFERROR(TablaPrincipal[[#This Row],[DENSIDAD]]/10000,"-")</f>
        <v>18</v>
      </c>
      <c r="R272" s="183" t="str">
        <f>VLOOKUP(TablaPrincipal[[#This Row],[CODIGO]]&amp;TablaPrincipal[[#This Row],[AGUAJE ]],Tabla4[#All],8,0)</f>
        <v>GABSO</v>
      </c>
      <c r="S272" s="183" t="str">
        <f>VLOOKUP(TablaPrincipal[[#This Row],[CODIGO]]&amp;TablaPrincipal[[#This Row],[AGUAJE ]],Tabla4[#All],7,0)</f>
        <v>TEXCUMAR</v>
      </c>
      <c r="T272" s="183" t="str">
        <f>IF(ISNUMBER(FIND("/",TablaPrincipal[[#This Row],[LABORATORIO]])),"COMBINADO","UNICO")</f>
        <v>UNICO</v>
      </c>
      <c r="U2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72" s="185">
        <f>IFERROR(TablaPrincipal[[#This Row],[LIBRAS RALEO PLANTA]]/TablaPrincipal[[#This Row],[HAS]],"-")</f>
        <v>0</v>
      </c>
      <c r="Z2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12100</v>
      </c>
      <c r="AB2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13716.76</v>
      </c>
      <c r="AC272" s="186">
        <f>SUMIFS(COSECHAS!F:F,COSECHAS!A:A,'BASE 2026'!AW:AW,COSECHAS!G:G,"="&amp;A:A)</f>
        <v>21</v>
      </c>
      <c r="AD272" s="186">
        <f>SUMIFS(COSECHAS!M:M,COSECHAS!A:A,'BASE 2026'!AW:AW,COSECHAS!G:G,"="&amp;A:A)</f>
        <v>21.76</v>
      </c>
      <c r="AE272" s="185">
        <f>IFERROR(TablaPrincipal[[#This Row],[LIBRAS PLANTA]]/TablaPrincipal[[#This Row],[HAS]],"-")</f>
        <v>5358.109375</v>
      </c>
      <c r="AF272" s="185">
        <f>IFERROR(TablaPrincipal[[#This Row],[LIBRAS PLANTA]]*454/TablaPrincipal[[#This Row],[GRAMOS PLANTA]],"-")</f>
        <v>286186.07720588235</v>
      </c>
      <c r="AG272" s="185">
        <f>TablaPrincipal[[#This Row],[LIBRAS RALEO PLANTA]]+TablaPrincipal[[#This Row],[LIBRAS PLANTA]]</f>
        <v>13716.76</v>
      </c>
      <c r="AH272" s="185">
        <f>IFERROR(TablaPrincipal[[#This Row],[CAM COSECHADOS RALEO]]+TablaPrincipal[[#This Row],[CAM COSECHADOS]],"-")</f>
        <v>286186.07720588235</v>
      </c>
      <c r="AI272" s="185">
        <f>IFERROR((TablaPrincipal[[#This Row],[LIBRAS RALEO PLANTA]]+TablaPrincipal[[#This Row],[LIBRAS PLANTA]])/TablaPrincipal[[#This Row],[HAS]],"0")</f>
        <v>5358.109375</v>
      </c>
      <c r="AJ272" s="186">
        <f t="shared" si="4"/>
        <v>1.8351807228915664</v>
      </c>
      <c r="AK272" s="186">
        <f>IFERROR(TablaPrincipal[[#This Row],[LBS/HA]]/TablaPrincipal[[#This Row],[DIAS]],"-")</f>
        <v>64.555534638554221</v>
      </c>
      <c r="AL272" s="186">
        <f>IFERROR(TablaPrincipal[[#This Row],[CAM COSECHADOS TOTALES]]/TablaPrincipal[[#This Row],[ANIM SEMBRADOS]]*100,"-")</f>
        <v>62.106353560304328</v>
      </c>
      <c r="AM272" s="185">
        <v>25088.348000000002</v>
      </c>
      <c r="AN272" s="187">
        <f>IFERROR(((TablaPrincipal[[#This Row],[BALANCEADO ACUMULADO (LBS)]]/2.2046)/TablaPrincipal[[#This Row],[HAS]])/TablaPrincipal[[#This Row],[DIAS]],"-")</f>
        <v>53.557981927710841</v>
      </c>
      <c r="AO272" s="184">
        <f>IFERROR(TablaPrincipal[[#This Row],[BALANCEADO ACUMULADO (LBS)]]/TablaPrincipal[[#This Row],[LIBRAS TOTALES]],"-")</f>
        <v>1.8290287210682408</v>
      </c>
      <c r="AP272" s="184"/>
      <c r="AQ272" s="184"/>
      <c r="AR272" s="185">
        <f>TablaPrincipal[[#This Row],[LIBRAS RALEO PLANTA]]-TablaPrincipal[[#This Row],[LIBRAS RALEO CAMARONERA]]</f>
        <v>0</v>
      </c>
      <c r="AS272" s="185">
        <f>TablaPrincipal[[#This Row],[LIBRAS PLANTA]]-TablaPrincipal[[#This Row],[LIBRAS CAMARONERA]]</f>
        <v>1616.7600000000002</v>
      </c>
      <c r="AT272" s="187">
        <f>TablaPrincipal[[#This Row],[GRAMAJE RALEO PLANTA]]-TablaPrincipal[[#This Row],[GRAMAJE RALEO CAMARONERA]]</f>
        <v>0</v>
      </c>
      <c r="AU272" s="187">
        <f>TablaPrincipal[[#This Row],[GRAMOS PLANTA]]-TablaPrincipal[[#This Row],[GRAMAJE CAMARONERA]]</f>
        <v>0.76000000000000156</v>
      </c>
      <c r="AV272" s="183" t="str">
        <f>+VLOOKUP(TablaPrincipal[[#This Row],[CODIGO]],TablaCosechas[#All],10,0)</f>
        <v>WILMER TORRES</v>
      </c>
      <c r="AW272" s="183" t="s">
        <v>117</v>
      </c>
      <c r="AX272" s="241" t="str">
        <f>+VLOOKUP(TablaPrincipal[[#This Row],[CODIGO]],TablaCosechas[#All],10,0)</f>
        <v>WILMER TORRES</v>
      </c>
    </row>
    <row r="273" spans="1:50" hidden="1" x14ac:dyDescent="0.25">
      <c r="A273" s="196">
        <v>46122</v>
      </c>
      <c r="B273" s="242">
        <v>271</v>
      </c>
      <c r="C273" s="183">
        <f>YEAR(TablaPrincipal[[#This Row],[FECHA]])</f>
        <v>2026</v>
      </c>
      <c r="D273" s="183" t="s">
        <v>319</v>
      </c>
      <c r="E273" s="183" t="str">
        <f>UPPER(TEXT(TablaPrincipal[[#This Row],[FECHA]],"MMMM"))</f>
        <v>ABRIL</v>
      </c>
      <c r="F273" s="183" t="str">
        <f>IFERROR(VLOOKUP(TablaPrincipal[[#This Row],[CODIGO]],COSECHAS!A:J,9,0),"-")</f>
        <v>24</v>
      </c>
      <c r="G273" s="183" t="str">
        <f>IFERROR(VLOOKUP(TablaPrincipal[[#This Row],[CODIGO]],COSECHAS!A:I,8,0),"-")</f>
        <v>CHERNA</v>
      </c>
      <c r="H273" s="184">
        <f>IFERROR(VLOOKUP(TablaPrincipal[[#This Row],[CODIGO]],DATOS!A:B,2,0),"-")</f>
        <v>5.54</v>
      </c>
      <c r="I273" s="183" t="str">
        <f>IFERROR(VLOOKUP(TablaPrincipal[[#This Row],[CODIGO]],Tabla8[[#Headers],[#Data]],3,0),"-")</f>
        <v>ASC</v>
      </c>
      <c r="J273" s="183">
        <f>IFERROR(TablaPrincipal[[#This Row],[FECHA]]-TablaPrincipal[[#This Row],[FECHA DE SIEMBRA]],"-")</f>
        <v>76</v>
      </c>
      <c r="K273" s="196">
        <f>VLOOKUP(TablaPrincipal[[#This Row],[CODIGO]]&amp;TablaPrincipal[[#This Row],[AGUAJE ]],Tabla4[#All],4,0)</f>
        <v>46046</v>
      </c>
      <c r="L273" s="183" t="str">
        <f>VLOOKUP(TablaPrincipal[[#This Row],[CODIGO]]&amp;TablaPrincipal[[#This Row],[AGUAJE ]],Tabla4[#All],15,0)</f>
        <v>CH PS 17</v>
      </c>
      <c r="M273" s="184">
        <f>VLOOKUP(TablaPrincipal[[#This Row],[CODIGO]]&amp;TablaPrincipal[[#This Row],[AGUAJE ]],Tabla4[#All],14,0)</f>
        <v>0.57999999999999996</v>
      </c>
      <c r="N273" s="183">
        <v>10</v>
      </c>
      <c r="O273" s="170">
        <f>VLOOKUP(TablaPrincipal[[#This Row],[CODIGO]]&amp;TablaPrincipal[[#This Row],[AGUAJE ]],Tabla4[#All],5,0)</f>
        <v>664800</v>
      </c>
      <c r="P273" s="221">
        <f>IFERROR(TablaPrincipal[[#This Row],[ANIM SEMBRADOS]]/TablaPrincipal[[#This Row],[HAS]],"-")</f>
        <v>120000</v>
      </c>
      <c r="Q273" s="222">
        <f>IFERROR(TablaPrincipal[[#This Row],[DENSIDAD]]/10000,"-")</f>
        <v>12</v>
      </c>
      <c r="R273" s="183" t="str">
        <f>VLOOKUP(TablaPrincipal[[#This Row],[CODIGO]]&amp;TablaPrincipal[[#This Row],[AGUAJE ]],Tabla4[#All],8,0)</f>
        <v>LARVASLAB</v>
      </c>
      <c r="S273" s="183" t="str">
        <f>VLOOKUP(TablaPrincipal[[#This Row],[CODIGO]]&amp;TablaPrincipal[[#This Row],[AGUAJE ]],Tabla4[#All],7,0)</f>
        <v>TEXCUMAR</v>
      </c>
      <c r="T273" s="183" t="str">
        <f>IF(ISNUMBER(FIND("/",TablaPrincipal[[#This Row],[LABORATORIO]])),"COMBINADO","UNICO")</f>
        <v>UNICO</v>
      </c>
      <c r="U2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6300</v>
      </c>
      <c r="V2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6789.85</v>
      </c>
      <c r="W2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</v>
      </c>
      <c r="X2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Y273" s="185">
        <f>IFERROR(TablaPrincipal[[#This Row],[LIBRAS RALEO PLANTA]]/TablaPrincipal[[#This Row],[HAS]],"-")</f>
        <v>1225.6046931407943</v>
      </c>
      <c r="Z2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123303.67600000002</v>
      </c>
      <c r="AA2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19450</v>
      </c>
      <c r="AB2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17644.82</v>
      </c>
      <c r="AC273" s="186">
        <f>SUMIFS(COSECHAS!F:F,COSECHAS!A:A,'BASE 2026'!AW:AW,COSECHAS!G:G,"="&amp;A:A)</f>
        <v>34</v>
      </c>
      <c r="AD273" s="186">
        <f>SUMIFS(COSECHAS!M:M,COSECHAS!A:A,'BASE 2026'!AW:AW,COSECHAS!G:G,"="&amp;A:A)</f>
        <v>33.78</v>
      </c>
      <c r="AE273" s="185">
        <f>IFERROR(TablaPrincipal[[#This Row],[LIBRAS PLANTA]]/TablaPrincipal[[#This Row],[HAS]],"-")</f>
        <v>3184.9855595667868</v>
      </c>
      <c r="AF273" s="185">
        <f>IFERROR(TablaPrincipal[[#This Row],[LIBRAS PLANTA]]*454/TablaPrincipal[[#This Row],[GRAMOS PLANTA]],"-")</f>
        <v>237144.70929544108</v>
      </c>
      <c r="AG273" s="185">
        <f>TablaPrincipal[[#This Row],[LIBRAS RALEO PLANTA]]+TablaPrincipal[[#This Row],[LIBRAS PLANTA]]</f>
        <v>24434.67</v>
      </c>
      <c r="AH273" s="185">
        <f>IFERROR(TablaPrincipal[[#This Row],[CAM COSECHADOS RALEO]]+TablaPrincipal[[#This Row],[CAM COSECHADOS]],"-")</f>
        <v>360448.38529544108</v>
      </c>
      <c r="AI273" s="185">
        <f>IFERROR((TablaPrincipal[[#This Row],[LIBRAS RALEO PLANTA]]+TablaPrincipal[[#This Row],[LIBRAS PLANTA]])/TablaPrincipal[[#This Row],[HAS]],"0")</f>
        <v>4410.5902527075805</v>
      </c>
      <c r="AJ273" s="186">
        <f t="shared" si="4"/>
        <v>3.111315789473684</v>
      </c>
      <c r="AK273" s="186">
        <f>IFERROR(TablaPrincipal[[#This Row],[LBS/HA]]/TablaPrincipal[[#This Row],[DIAS]],"-")</f>
        <v>58.034082272468162</v>
      </c>
      <c r="AL273" s="186">
        <f>IFERROR(TablaPrincipal[[#This Row],[CAM COSECHADOS TOTALES]]/TablaPrincipal[[#This Row],[ANIM SEMBRADOS]]*100,"-")</f>
        <v>54.219071193658408</v>
      </c>
      <c r="AM273" s="185">
        <v>41501.595000000001</v>
      </c>
      <c r="AN273" s="187">
        <f>IFERROR(((TablaPrincipal[[#This Row],[BALANCEADO ACUMULADO (LBS)]]/2.2046)/TablaPrincipal[[#This Row],[HAS]])/TablaPrincipal[[#This Row],[DIAS]],"-")</f>
        <v>44.710716321489649</v>
      </c>
      <c r="AO273" s="184">
        <f>IFERROR(TablaPrincipal[[#This Row],[BALANCEADO ACUMULADO (LBS)]]/TablaPrincipal[[#This Row],[LIBRAS TOTALES]],"-")</f>
        <v>1.6984716797894142</v>
      </c>
      <c r="AP273" s="184"/>
      <c r="AQ273" s="184"/>
      <c r="AR273" s="185">
        <f>TablaPrincipal[[#This Row],[LIBRAS RALEO PLANTA]]-TablaPrincipal[[#This Row],[LIBRAS RALEO CAMARONERA]]</f>
        <v>489.85000000000036</v>
      </c>
      <c r="AS273" s="185">
        <f>TablaPrincipal[[#This Row],[LIBRAS PLANTA]]-TablaPrincipal[[#This Row],[LIBRAS CAMARONERA]]</f>
        <v>-1805.1800000000003</v>
      </c>
      <c r="AT273" s="187">
        <f>TablaPrincipal[[#This Row],[GRAMAJE RALEO PLANTA]]-TablaPrincipal[[#This Row],[GRAMAJE RALEO CAMARONERA]]</f>
        <v>-1.8000000000000007</v>
      </c>
      <c r="AU273" s="187">
        <f>TablaPrincipal[[#This Row],[GRAMOS PLANTA]]-TablaPrincipal[[#This Row],[GRAMAJE CAMARONERA]]</f>
        <v>-0.21999999999999886</v>
      </c>
      <c r="AV273" s="183" t="str">
        <f>+VLOOKUP(TablaPrincipal[[#This Row],[CODIGO]],TablaCosechas[#All],10,0)</f>
        <v>SANTIAGO OBRIEN</v>
      </c>
      <c r="AW273" s="183" t="s">
        <v>27</v>
      </c>
      <c r="AX273" s="241" t="str">
        <f>+VLOOKUP(TablaPrincipal[[#This Row],[CODIGO]],TablaCosechas[#All],10,0)</f>
        <v>SANTIAGO OBRIEN</v>
      </c>
    </row>
    <row r="274" spans="1:50" hidden="1" x14ac:dyDescent="0.25">
      <c r="A274" s="196">
        <v>46122</v>
      </c>
      <c r="B274" s="242">
        <v>272</v>
      </c>
      <c r="C274" s="183">
        <f>YEAR(TablaPrincipal[[#This Row],[FECHA]])</f>
        <v>2026</v>
      </c>
      <c r="D274" s="183" t="s">
        <v>319</v>
      </c>
      <c r="E274" s="183" t="str">
        <f>UPPER(TEXT(TablaPrincipal[[#This Row],[FECHA]],"MMMM"))</f>
        <v>ABRIL</v>
      </c>
      <c r="F274" s="183" t="str">
        <f>IFERROR(VLOOKUP(TablaPrincipal[[#This Row],[CODIGO]],COSECHAS!A:J,9,0),"-")</f>
        <v>14</v>
      </c>
      <c r="G274" s="183" t="str">
        <f>IFERROR(VLOOKUP(TablaPrincipal[[#This Row],[CODIGO]],COSECHAS!A:I,8,0),"-")</f>
        <v>PAMPANO</v>
      </c>
      <c r="H274" s="184">
        <f>IFERROR(VLOOKUP(TablaPrincipal[[#This Row],[CODIGO]],DATOS!A:B,2,0),"-")</f>
        <v>11</v>
      </c>
      <c r="I274" s="183" t="str">
        <f>IFERROR(VLOOKUP(TablaPrincipal[[#This Row],[CODIGO]],Tabla8[[#Headers],[#Data]],3,0),"-")</f>
        <v>ASC-BAP</v>
      </c>
      <c r="J274" s="183">
        <f>IFERROR(TablaPrincipal[[#This Row],[FECHA]]-TablaPrincipal[[#This Row],[FECHA DE SIEMBRA]],"-")</f>
        <v>80</v>
      </c>
      <c r="K274" s="196">
        <f>VLOOKUP(TablaPrincipal[[#This Row],[CODIGO]]&amp;TablaPrincipal[[#This Row],[AGUAJE ]],Tabla4[#All],4,0)</f>
        <v>46042</v>
      </c>
      <c r="L274" s="183" t="str">
        <f>VLOOKUP(TablaPrincipal[[#This Row],[CODIGO]]&amp;TablaPrincipal[[#This Row],[AGUAJE ]],Tabla4[#All],15,0)</f>
        <v>PA 26</v>
      </c>
      <c r="M274" s="184">
        <f>VLOOKUP(TablaPrincipal[[#This Row],[CODIGO]]&amp;TablaPrincipal[[#This Row],[AGUAJE ]],Tabla4[#All],14,0)</f>
        <v>0.4</v>
      </c>
      <c r="N274" s="183">
        <v>12</v>
      </c>
      <c r="O274" s="170">
        <f>VLOOKUP(TablaPrincipal[[#This Row],[CODIGO]]&amp;TablaPrincipal[[#This Row],[AGUAJE ]],Tabla4[#All],5,0)</f>
        <v>1870000</v>
      </c>
      <c r="P274" s="221">
        <f>IFERROR(TablaPrincipal[[#This Row],[ANIM SEMBRADOS]]/TablaPrincipal[[#This Row],[HAS]],"-")</f>
        <v>170000</v>
      </c>
      <c r="Q274" s="222">
        <f>IFERROR(TablaPrincipal[[#This Row],[DENSIDAD]]/10000,"-")</f>
        <v>17</v>
      </c>
      <c r="R274" s="183" t="str">
        <f>VLOOKUP(TablaPrincipal[[#This Row],[CODIGO]]&amp;TablaPrincipal[[#This Row],[AGUAJE ]],Tabla4[#All],8,0)</f>
        <v>LARVASLAB</v>
      </c>
      <c r="S274" s="183" t="str">
        <f>VLOOKUP(TablaPrincipal[[#This Row],[CODIGO]]&amp;TablaPrincipal[[#This Row],[AGUAJE ]],Tabla4[#All],7,0)</f>
        <v>TEXCUMAR</v>
      </c>
      <c r="T274" s="183" t="str">
        <f>IF(ISNUMBER(FIND("/",TablaPrincipal[[#This Row],[LABORATORIO]])),"COMBINADO","UNICO")</f>
        <v>UNICO</v>
      </c>
      <c r="U2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29500</v>
      </c>
      <c r="V2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32460.5</v>
      </c>
      <c r="W2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19.666666666666668</v>
      </c>
      <c r="X2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20.62</v>
      </c>
      <c r="Y274" s="185">
        <f>IFERROR(TablaPrincipal[[#This Row],[LIBRAS RALEO PLANTA]]/TablaPrincipal[[#This Row],[HAS]],"-")</f>
        <v>2950.9545454545455</v>
      </c>
      <c r="Z2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717015.86314884736</v>
      </c>
      <c r="AA2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27100</v>
      </c>
      <c r="AB2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26690.55</v>
      </c>
      <c r="AC274" s="186">
        <f>SUMIFS(COSECHAS!F:F,COSECHAS!A:A,'BASE 2026'!AW:AW,COSECHAS!G:G,"="&amp;A:A)</f>
        <v>31</v>
      </c>
      <c r="AD274" s="186">
        <f>SUMIFS(COSECHAS!M:M,COSECHAS!A:A,'BASE 2026'!AW:AW,COSECHAS!G:G,"="&amp;A:A)</f>
        <v>33.94</v>
      </c>
      <c r="AE274" s="185">
        <f>IFERROR(TablaPrincipal[[#This Row],[LIBRAS PLANTA]]/TablaPrincipal[[#This Row],[HAS]],"-")</f>
        <v>2426.4136363636362</v>
      </c>
      <c r="AF274" s="185">
        <f>IFERROR(TablaPrincipal[[#This Row],[LIBRAS PLANTA]]*454/TablaPrincipal[[#This Row],[GRAMOS PLANTA]],"-")</f>
        <v>357027.39245727757</v>
      </c>
      <c r="AG274" s="185">
        <f>TablaPrincipal[[#This Row],[LIBRAS RALEO PLANTA]]+TablaPrincipal[[#This Row],[LIBRAS PLANTA]]</f>
        <v>59151.05</v>
      </c>
      <c r="AH274" s="185">
        <f>IFERROR(TablaPrincipal[[#This Row],[CAM COSECHADOS RALEO]]+TablaPrincipal[[#This Row],[CAM COSECHADOS]],"-")</f>
        <v>1074043.2556061249</v>
      </c>
      <c r="AI274" s="185">
        <f>IFERROR((TablaPrincipal[[#This Row],[LIBRAS RALEO PLANTA]]+TablaPrincipal[[#This Row],[LIBRAS PLANTA]])/TablaPrincipal[[#This Row],[HAS]],"0")</f>
        <v>5377.3681818181822</v>
      </c>
      <c r="AJ274" s="186">
        <f t="shared" si="4"/>
        <v>2.9697499999999999</v>
      </c>
      <c r="AK274" s="186">
        <f>IFERROR(TablaPrincipal[[#This Row],[LBS/HA]]/TablaPrincipal[[#This Row],[DIAS]],"-")</f>
        <v>67.217102272727274</v>
      </c>
      <c r="AL274" s="186">
        <f>IFERROR(TablaPrincipal[[#This Row],[CAM COSECHADOS TOTALES]]/TablaPrincipal[[#This Row],[ANIM SEMBRADOS]]*100,"-")</f>
        <v>57.435468214231278</v>
      </c>
      <c r="AM274" s="185">
        <v>84987.33</v>
      </c>
      <c r="AN274" s="187">
        <f>IFERROR(((TablaPrincipal[[#This Row],[BALANCEADO ACUMULADO (LBS)]]/2.2046)/TablaPrincipal[[#This Row],[HAS]])/TablaPrincipal[[#This Row],[DIAS]],"-")</f>
        <v>43.80681818181818</v>
      </c>
      <c r="AO274" s="184">
        <f>IFERROR(TablaPrincipal[[#This Row],[BALANCEADO ACUMULADO (LBS)]]/TablaPrincipal[[#This Row],[LIBRAS TOTALES]],"-")</f>
        <v>1.4367848077084007</v>
      </c>
      <c r="AP274" s="184"/>
      <c r="AQ274" s="184"/>
      <c r="AR274" s="185">
        <f>TablaPrincipal[[#This Row],[LIBRAS RALEO PLANTA]]-TablaPrincipal[[#This Row],[LIBRAS RALEO CAMARONERA]]</f>
        <v>2960.5</v>
      </c>
      <c r="AS274" s="185">
        <f>TablaPrincipal[[#This Row],[LIBRAS PLANTA]]-TablaPrincipal[[#This Row],[LIBRAS CAMARONERA]]</f>
        <v>-409.45000000000073</v>
      </c>
      <c r="AT274" s="187">
        <f>TablaPrincipal[[#This Row],[GRAMAJE RALEO PLANTA]]-TablaPrincipal[[#This Row],[GRAMAJE RALEO CAMARONERA]]</f>
        <v>0.95333333333333314</v>
      </c>
      <c r="AU274" s="187">
        <f>TablaPrincipal[[#This Row],[GRAMOS PLANTA]]-TablaPrincipal[[#This Row],[GRAMAJE CAMARONERA]]</f>
        <v>2.9399999999999977</v>
      </c>
      <c r="AV274" s="183" t="str">
        <f>+VLOOKUP(TablaPrincipal[[#This Row],[CODIGO]],TablaCosechas[#All],10,0)</f>
        <v>GUSTAVO CARRASCO</v>
      </c>
      <c r="AW274" s="183" t="s">
        <v>128</v>
      </c>
      <c r="AX274" s="241" t="str">
        <f>+VLOOKUP(TablaPrincipal[[#This Row],[CODIGO]],TablaCosechas[#All],10,0)</f>
        <v>GUSTAVO CARRASCO</v>
      </c>
    </row>
    <row r="275" spans="1:50" hidden="1" x14ac:dyDescent="0.25">
      <c r="A275" s="196">
        <v>46122</v>
      </c>
      <c r="B275" s="242">
        <v>273</v>
      </c>
      <c r="C275" s="183">
        <f>YEAR(TablaPrincipal[[#This Row],[FECHA]])</f>
        <v>2026</v>
      </c>
      <c r="D275" s="183" t="s">
        <v>319</v>
      </c>
      <c r="E275" s="183" t="str">
        <f>UPPER(TEXT(TablaPrincipal[[#This Row],[FECHA]],"MMMM"))</f>
        <v>ABRIL</v>
      </c>
      <c r="F275" s="183" t="str">
        <f>IFERROR(VLOOKUP(TablaPrincipal[[#This Row],[CODIGO]],COSECHAS!A:J,9,0),"-")</f>
        <v>02</v>
      </c>
      <c r="G275" s="183" t="str">
        <f>IFERROR(VLOOKUP(TablaPrincipal[[#This Row],[CODIGO]],COSECHAS!A:I,8,0),"-")</f>
        <v>WAHOO</v>
      </c>
      <c r="H275" s="184">
        <f>IFERROR(VLOOKUP(TablaPrincipal[[#This Row],[CODIGO]],DATOS!A:B,2,0),"-")</f>
        <v>6</v>
      </c>
      <c r="I275" s="183" t="str">
        <f>IFERROR(VLOOKUP(TablaPrincipal[[#This Row],[CODIGO]],Tabla8[[#Headers],[#Data]],3,0),"-")</f>
        <v>CONVENCIONAL</v>
      </c>
      <c r="J275" s="183">
        <f>IFERROR(TablaPrincipal[[#This Row],[FECHA]]-TablaPrincipal[[#This Row],[FECHA DE SIEMBRA]],"-")</f>
        <v>92</v>
      </c>
      <c r="K275" s="196">
        <f>VLOOKUP(TablaPrincipal[[#This Row],[CODIGO]]&amp;TablaPrincipal[[#This Row],[AGUAJE ]],Tabla4[#All],4,0)</f>
        <v>46030</v>
      </c>
      <c r="L275" s="183" t="str">
        <f>VLOOKUP(TablaPrincipal[[#This Row],[CODIGO]]&amp;TablaPrincipal[[#This Row],[AGUAJE ]],Tabla4[#All],15,0)</f>
        <v>WA PS 9 - 5</v>
      </c>
      <c r="M275" s="184">
        <f>VLOOKUP(TablaPrincipal[[#This Row],[CODIGO]]&amp;TablaPrincipal[[#This Row],[AGUAJE ]],Tabla4[#All],14,0)</f>
        <v>1.18</v>
      </c>
      <c r="N275" s="183">
        <v>50</v>
      </c>
      <c r="O275" s="170">
        <f>VLOOKUP(TablaPrincipal[[#This Row],[CODIGO]]&amp;TablaPrincipal[[#This Row],[AGUAJE ]],Tabla4[#All],5,0)</f>
        <v>900000</v>
      </c>
      <c r="P275" s="221">
        <f>IFERROR(TablaPrincipal[[#This Row],[ANIM SEMBRADOS]]/TablaPrincipal[[#This Row],[HAS]],"-")</f>
        <v>150000</v>
      </c>
      <c r="Q275" s="222">
        <f>IFERROR(TablaPrincipal[[#This Row],[DENSIDAD]]/10000,"-")</f>
        <v>15</v>
      </c>
      <c r="R275" s="183" t="str">
        <f>VLOOKUP(TablaPrincipal[[#This Row],[CODIGO]]&amp;TablaPrincipal[[#This Row],[AGUAJE ]],Tabla4[#All],8,0)</f>
        <v>MEGALATINA/DEONES</v>
      </c>
      <c r="S275" s="183" t="str">
        <f>VLOOKUP(TablaPrincipal[[#This Row],[CODIGO]]&amp;TablaPrincipal[[#This Row],[AGUAJE ]],Tabla4[#All],7,0)</f>
        <v>TEXCUMAR</v>
      </c>
      <c r="T275" s="183" t="str">
        <f>IF(ISNUMBER(FIND("/",TablaPrincipal[[#This Row],[LABORATORIO]])),"COMBINADO","UNICO")</f>
        <v>COMBINADO</v>
      </c>
      <c r="U2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18900</v>
      </c>
      <c r="V2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21521.239999999998</v>
      </c>
      <c r="W2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X2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22.73</v>
      </c>
      <c r="Y275" s="185">
        <f>IFERROR(TablaPrincipal[[#This Row],[LIBRAS RALEO PLANTA]]/TablaPrincipal[[#This Row],[HAS]],"-")</f>
        <v>3586.873333333333</v>
      </c>
      <c r="Z2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434666.17416288512</v>
      </c>
      <c r="AA2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14850</v>
      </c>
      <c r="AB2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13748.720000000001</v>
      </c>
      <c r="AC275" s="186">
        <f>SUMIFS(COSECHAS!F:F,COSECHAS!A:A,'BASE 2026'!AW:AW,COSECHAS!G:G,"="&amp;A:A)</f>
        <v>33</v>
      </c>
      <c r="AD275" s="186">
        <f>SUMIFS(COSECHAS!M:M,COSECHAS!A:A,'BASE 2026'!AW:AW,COSECHAS!G:G,"="&amp;A:A)</f>
        <v>32.630000000000003</v>
      </c>
      <c r="AE275" s="185">
        <f>IFERROR(TablaPrincipal[[#This Row],[LIBRAS PLANTA]]/TablaPrincipal[[#This Row],[HAS]],"-")</f>
        <v>2291.4533333333334</v>
      </c>
      <c r="AF275" s="185">
        <f>IFERROR(TablaPrincipal[[#This Row],[LIBRAS PLANTA]]*454/TablaPrincipal[[#This Row],[GRAMOS PLANTA]],"-")</f>
        <v>191293.86699356421</v>
      </c>
      <c r="AG275" s="185">
        <f>TablaPrincipal[[#This Row],[LIBRAS RALEO PLANTA]]+TablaPrincipal[[#This Row],[LIBRAS PLANTA]]</f>
        <v>35269.96</v>
      </c>
      <c r="AH275" s="185">
        <f>IFERROR(TablaPrincipal[[#This Row],[CAM COSECHADOS RALEO]]+TablaPrincipal[[#This Row],[CAM COSECHADOS]],"-")</f>
        <v>625960.04115644936</v>
      </c>
      <c r="AI275" s="185">
        <f>IFERROR((TablaPrincipal[[#This Row],[LIBRAS RALEO PLANTA]]+TablaPrincipal[[#This Row],[LIBRAS PLANTA]])/TablaPrincipal[[#This Row],[HAS]],"0")</f>
        <v>5878.3266666666668</v>
      </c>
      <c r="AJ275" s="186">
        <f t="shared" si="4"/>
        <v>2.4827173913043481</v>
      </c>
      <c r="AK275" s="186">
        <f>IFERROR(TablaPrincipal[[#This Row],[LBS/HA]]/TablaPrincipal[[#This Row],[DIAS]],"-")</f>
        <v>63.89485507246377</v>
      </c>
      <c r="AL275" s="186">
        <f>IFERROR(TablaPrincipal[[#This Row],[CAM COSECHADOS TOTALES]]/TablaPrincipal[[#This Row],[ANIM SEMBRADOS]]*100,"-")</f>
        <v>69.551115684049918</v>
      </c>
      <c r="AM275" s="185">
        <v>53686.419200000004</v>
      </c>
      <c r="AN275" s="187">
        <f>IFERROR(((TablaPrincipal[[#This Row],[BALANCEADO ACUMULADO (LBS)]]/2.2046)/TablaPrincipal[[#This Row],[HAS]])/TablaPrincipal[[#This Row],[DIAS]],"-")</f>
        <v>44.115942028985508</v>
      </c>
      <c r="AO275" s="184">
        <f>IFERROR(TablaPrincipal[[#This Row],[BALANCEADO ACUMULADO (LBS)]]/TablaPrincipal[[#This Row],[LIBRAS TOTALES]],"-")</f>
        <v>1.5221570764469254</v>
      </c>
      <c r="AP275" s="184"/>
      <c r="AQ275" s="184"/>
      <c r="AR275" s="185">
        <f>TablaPrincipal[[#This Row],[LIBRAS RALEO PLANTA]]-TablaPrincipal[[#This Row],[LIBRAS RALEO CAMARONERA]]</f>
        <v>2621.239999999998</v>
      </c>
      <c r="AS275" s="185">
        <f>TablaPrincipal[[#This Row],[LIBRAS PLANTA]]-TablaPrincipal[[#This Row],[LIBRAS CAMARONERA]]</f>
        <v>-1101.2799999999988</v>
      </c>
      <c r="AT275" s="187">
        <f>TablaPrincipal[[#This Row],[GRAMAJE RALEO PLANTA]]-TablaPrincipal[[#This Row],[GRAMAJE RALEO CAMARONERA]]</f>
        <v>1.2300000000000004</v>
      </c>
      <c r="AU275" s="187">
        <f>TablaPrincipal[[#This Row],[GRAMOS PLANTA]]-TablaPrincipal[[#This Row],[GRAMAJE CAMARONERA]]</f>
        <v>-0.36999999999999744</v>
      </c>
      <c r="AV275" s="183" t="str">
        <f>+VLOOKUP(TablaPrincipal[[#This Row],[CODIGO]],TablaCosechas[#All],10,0)</f>
        <v>JUNIOR ESQUIVEL</v>
      </c>
      <c r="AW275" s="183" t="s">
        <v>333</v>
      </c>
      <c r="AX275" s="188" t="str">
        <f>+VLOOKUP(TablaPrincipal[[#This Row],[CODIGO]],TablaCosechas[#All],10,0)</f>
        <v>JUNIOR ESQUIVEL</v>
      </c>
    </row>
    <row r="276" spans="1:50" hidden="1" x14ac:dyDescent="0.25">
      <c r="A276" s="196">
        <v>46123</v>
      </c>
      <c r="B276" s="242">
        <v>274</v>
      </c>
      <c r="C276" s="183">
        <f>YEAR(TablaPrincipal[[#This Row],[FECHA]])</f>
        <v>2026</v>
      </c>
      <c r="D276" s="183" t="s">
        <v>319</v>
      </c>
      <c r="E276" s="183" t="str">
        <f>UPPER(TEXT(TablaPrincipal[[#This Row],[FECHA]],"MMMM"))</f>
        <v>ABRIL</v>
      </c>
      <c r="F276" s="183" t="str">
        <f>IFERROR(VLOOKUP(TablaPrincipal[[#This Row],[CODIGO]],COSECHAS!A:J,9,0),"-")</f>
        <v>21</v>
      </c>
      <c r="G276" s="183" t="str">
        <f>IFERROR(VLOOKUP(TablaPrincipal[[#This Row],[CODIGO]],COSECHAS!A:I,8,0),"-")</f>
        <v>CHERNA</v>
      </c>
      <c r="H276" s="184">
        <f>IFERROR(VLOOKUP(TablaPrincipal[[#This Row],[CODIGO]],DATOS!A:B,2,0),"-")</f>
        <v>5.15</v>
      </c>
      <c r="I276" s="183" t="str">
        <f>IFERROR(VLOOKUP(TablaPrincipal[[#This Row],[CODIGO]],Tabla8[[#Headers],[#Data]],3,0),"-")</f>
        <v>ASC</v>
      </c>
      <c r="J276" s="183">
        <f>IFERROR(TablaPrincipal[[#This Row],[FECHA]]-TablaPrincipal[[#This Row],[FECHA DE SIEMBRA]],"-")</f>
        <v>77</v>
      </c>
      <c r="K276" s="196">
        <f>VLOOKUP(TablaPrincipal[[#This Row],[CODIGO]]&amp;TablaPrincipal[[#This Row],[AGUAJE ]],Tabla4[#All],4,0)</f>
        <v>46046</v>
      </c>
      <c r="L276" s="183" t="str">
        <f>VLOOKUP(TablaPrincipal[[#This Row],[CODIGO]]&amp;TablaPrincipal[[#This Row],[AGUAJE ]],Tabla4[#All],15,0)</f>
        <v>CH PS 17</v>
      </c>
      <c r="M276" s="184">
        <f>VLOOKUP(TablaPrincipal[[#This Row],[CODIGO]]&amp;TablaPrincipal[[#This Row],[AGUAJE ]],Tabla4[#All],14,0)</f>
        <v>0.57999999999999996</v>
      </c>
      <c r="N276" s="183">
        <v>12</v>
      </c>
      <c r="O276" s="170">
        <f>VLOOKUP(TablaPrincipal[[#This Row],[CODIGO]]&amp;TablaPrincipal[[#This Row],[AGUAJE ]],Tabla4[#All],5,0)</f>
        <v>927000</v>
      </c>
      <c r="P276" s="221">
        <f>IFERROR(TablaPrincipal[[#This Row],[ANIM SEMBRADOS]]/TablaPrincipal[[#This Row],[HAS]],"-")</f>
        <v>180000</v>
      </c>
      <c r="Q276" s="222">
        <f>IFERROR(TablaPrincipal[[#This Row],[DENSIDAD]]/10000,"-")</f>
        <v>18</v>
      </c>
      <c r="R276" s="183" t="str">
        <f>VLOOKUP(TablaPrincipal[[#This Row],[CODIGO]]&amp;TablaPrincipal[[#This Row],[AGUAJE ]],Tabla4[#All],8,0)</f>
        <v>LARVASLAB</v>
      </c>
      <c r="S276" s="183" t="str">
        <f>VLOOKUP(TablaPrincipal[[#This Row],[CODIGO]]&amp;TablaPrincipal[[#This Row],[AGUAJE ]],Tabla4[#All],7,0)</f>
        <v>TEXCUMAR</v>
      </c>
      <c r="T276" s="183" t="str">
        <f>IF(ISNUMBER(FIND("/",TablaPrincipal[[#This Row],[LABORATORIO]])),"COMBINADO","UNICO")</f>
        <v>UNICO</v>
      </c>
      <c r="U2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11550</v>
      </c>
      <c r="V2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12525.79</v>
      </c>
      <c r="W2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2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24.08</v>
      </c>
      <c r="Y276" s="185">
        <f>IFERROR(TablaPrincipal[[#This Row],[LIBRAS RALEO PLANTA]]/TablaPrincipal[[#This Row],[HAS]],"-")</f>
        <v>2432.1922330097086</v>
      </c>
      <c r="Z2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248851.51294287166</v>
      </c>
      <c r="AA2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18534.240000000002</v>
      </c>
      <c r="AC276" s="186">
        <f>SUMIFS(COSECHAS!F:F,COSECHAS!A:A,'BASE 2026'!AW:AW,COSECHAS!G:G,"="&amp;A:A)</f>
        <v>30</v>
      </c>
      <c r="AD276" s="186">
        <f>SUMIFS(COSECHAS!M:M,COSECHAS!A:A,'BASE 2026'!AW:AW,COSECHAS!G:G,"="&amp;A:A)</f>
        <v>29.9</v>
      </c>
      <c r="AE276" s="185">
        <f>IFERROR(TablaPrincipal[[#This Row],[LIBRAS PLANTA]]/TablaPrincipal[[#This Row],[HAS]],"-")</f>
        <v>3598.8815533980583</v>
      </c>
      <c r="AF276" s="185">
        <f>IFERROR(TablaPrincipal[[#This Row],[LIBRAS PLANTA]]*454/TablaPrincipal[[#This Row],[GRAMOS PLANTA]],"-")</f>
        <v>281422.90836120408</v>
      </c>
      <c r="AG276" s="185">
        <f>TablaPrincipal[[#This Row],[LIBRAS RALEO PLANTA]]+TablaPrincipal[[#This Row],[LIBRAS PLANTA]]</f>
        <v>31060.030000000002</v>
      </c>
      <c r="AH276" s="185">
        <f>IFERROR(TablaPrincipal[[#This Row],[CAM COSECHADOS RALEO]]+TablaPrincipal[[#This Row],[CAM COSECHADOS]],"-")</f>
        <v>530274.42130407575</v>
      </c>
      <c r="AI276" s="185">
        <f>IFERROR((TablaPrincipal[[#This Row],[LIBRAS RALEO PLANTA]]+TablaPrincipal[[#This Row],[LIBRAS PLANTA]])/TablaPrincipal[[#This Row],[HAS]],"0")</f>
        <v>6031.0737864077673</v>
      </c>
      <c r="AJ276" s="186">
        <f t="shared" si="4"/>
        <v>2.7181818181818183</v>
      </c>
      <c r="AK276" s="186">
        <f>IFERROR(TablaPrincipal[[#This Row],[LBS/HA]]/TablaPrincipal[[#This Row],[DIAS]],"-")</f>
        <v>78.325633589711259</v>
      </c>
      <c r="AL276" s="186">
        <f>IFERROR(TablaPrincipal[[#This Row],[CAM COSECHADOS TOTALES]]/TablaPrincipal[[#This Row],[ANIM SEMBRADOS]]*100,"-")</f>
        <v>57.203281694075059</v>
      </c>
      <c r="AM276" s="185">
        <v>51808.100000000006</v>
      </c>
      <c r="AN276" s="187">
        <f>IFERROR(((TablaPrincipal[[#This Row],[BALANCEADO ACUMULADO (LBS)]]/2.2046)/TablaPrincipal[[#This Row],[HAS]])/TablaPrincipal[[#This Row],[DIAS]],"-")</f>
        <v>59.261127222292266</v>
      </c>
      <c r="AO276" s="184">
        <f>IFERROR(TablaPrincipal[[#This Row],[BALANCEADO ACUMULADO (LBS)]]/TablaPrincipal[[#This Row],[LIBRAS TOTALES]],"-")</f>
        <v>1.6679990328405994</v>
      </c>
      <c r="AP276" s="184"/>
      <c r="AQ276" s="184"/>
      <c r="AR276" s="185">
        <f>TablaPrincipal[[#This Row],[LIBRAS RALEO PLANTA]]-TablaPrincipal[[#This Row],[LIBRAS RALEO CAMARONERA]]</f>
        <v>975.79000000000087</v>
      </c>
      <c r="AS276" s="185">
        <f>TablaPrincipal[[#This Row],[LIBRAS PLANTA]]-TablaPrincipal[[#This Row],[LIBRAS CAMARONERA]]</f>
        <v>2634.2400000000016</v>
      </c>
      <c r="AT276" s="187">
        <f>TablaPrincipal[[#This Row],[GRAMAJE RALEO PLANTA]]-TablaPrincipal[[#This Row],[GRAMAJE RALEO CAMARONERA]]</f>
        <v>-0.42000000000000171</v>
      </c>
      <c r="AU276" s="187">
        <f>TablaPrincipal[[#This Row],[GRAMOS PLANTA]]-TablaPrincipal[[#This Row],[GRAMAJE CAMARONERA]]</f>
        <v>-0.10000000000000142</v>
      </c>
      <c r="AV276" s="183" t="str">
        <f>+VLOOKUP(TablaPrincipal[[#This Row],[CODIGO]],TablaCosechas[#All],10,0)</f>
        <v>SANTIAGO OBRIEN</v>
      </c>
      <c r="AW276" s="183" t="s">
        <v>25</v>
      </c>
      <c r="AX276" s="241" t="str">
        <f>+VLOOKUP(TablaPrincipal[[#This Row],[CODIGO]],TablaCosechas[#All],10,0)</f>
        <v>SANTIAGO OBRIEN</v>
      </c>
    </row>
    <row r="277" spans="1:50" hidden="1" x14ac:dyDescent="0.25">
      <c r="A277" s="196">
        <v>46123</v>
      </c>
      <c r="B277" s="242">
        <v>275</v>
      </c>
      <c r="C277" s="183">
        <f>YEAR(TablaPrincipal[[#This Row],[FECHA]])</f>
        <v>2026</v>
      </c>
      <c r="D277" s="183" t="s">
        <v>319</v>
      </c>
      <c r="E277" s="183" t="str">
        <f>UPPER(TEXT(TablaPrincipal[[#This Row],[FECHA]],"MMMM"))</f>
        <v>ABRIL</v>
      </c>
      <c r="F277" s="183" t="str">
        <f>IFERROR(VLOOKUP(TablaPrincipal[[#This Row],[CODIGO]],COSECHAS!A:J,9,0),"-")</f>
        <v>07</v>
      </c>
      <c r="G277" s="183" t="str">
        <f>IFERROR(VLOOKUP(TablaPrincipal[[#This Row],[CODIGO]],COSECHAS!A:I,8,0),"-")</f>
        <v>ROBALO</v>
      </c>
      <c r="H277" s="184">
        <f>IFERROR(VLOOKUP(TablaPrincipal[[#This Row],[CODIGO]],DATOS!A:B,2,0),"-")</f>
        <v>8.93</v>
      </c>
      <c r="I277" s="183" t="str">
        <f>IFERROR(VLOOKUP(TablaPrincipal[[#This Row],[CODIGO]],Tabla8[[#Headers],[#Data]],3,0),"-")</f>
        <v>ASC-BAP</v>
      </c>
      <c r="J277" s="183">
        <f>IFERROR(TablaPrincipal[[#This Row],[FECHA]]-TablaPrincipal[[#This Row],[FECHA DE SIEMBRA]],"-")</f>
        <v>80</v>
      </c>
      <c r="K277" s="196">
        <f>VLOOKUP(TablaPrincipal[[#This Row],[CODIGO]]&amp;TablaPrincipal[[#This Row],[AGUAJE ]],Tabla4[#All],4,0)</f>
        <v>46043</v>
      </c>
      <c r="L277" s="183" t="str">
        <f>VLOOKUP(TablaPrincipal[[#This Row],[CODIGO]]&amp;TablaPrincipal[[#This Row],[AGUAJE ]],Tabla4[#All],15,0)</f>
        <v>CA PS 20</v>
      </c>
      <c r="M277" s="184">
        <f>VLOOKUP(TablaPrincipal[[#This Row],[CODIGO]]&amp;TablaPrincipal[[#This Row],[AGUAJE ]],Tabla4[#All],14,0)</f>
        <v>0.55000000000000004</v>
      </c>
      <c r="N277" s="183">
        <v>7</v>
      </c>
      <c r="O277" s="170">
        <f>VLOOKUP(TablaPrincipal[[#This Row],[CODIGO]]&amp;TablaPrincipal[[#This Row],[AGUAJE ]],Tabla4[#All],5,0)</f>
        <v>1786000</v>
      </c>
      <c r="P277" s="221">
        <f>IFERROR(TablaPrincipal[[#This Row],[ANIM SEMBRADOS]]/TablaPrincipal[[#This Row],[HAS]],"-")</f>
        <v>200000</v>
      </c>
      <c r="Q277" s="222">
        <f>IFERROR(TablaPrincipal[[#This Row],[DENSIDAD]]/10000,"-")</f>
        <v>20</v>
      </c>
      <c r="R277" s="183" t="str">
        <f>VLOOKUP(TablaPrincipal[[#This Row],[CODIGO]]&amp;TablaPrincipal[[#This Row],[AGUAJE ]],Tabla4[#All],8,0)</f>
        <v>PRONAUPLIO</v>
      </c>
      <c r="S277" s="183" t="str">
        <f>VLOOKUP(TablaPrincipal[[#This Row],[CODIGO]]&amp;TablaPrincipal[[#This Row],[AGUAJE ]],Tabla4[#All],7,0)</f>
        <v>SEMACUA</v>
      </c>
      <c r="T277" s="183" t="str">
        <f>IF(ISNUMBER(FIND("/",TablaPrincipal[[#This Row],[LABORATORIO]])),"COMBINADO","UNICO")</f>
        <v>UNICO</v>
      </c>
      <c r="U2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34000</v>
      </c>
      <c r="V2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35178.42</v>
      </c>
      <c r="W2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26.013333333333335</v>
      </c>
      <c r="Y277" s="185">
        <f>IFERROR(TablaPrincipal[[#This Row],[LIBRAS RALEO PLANTA]]/TablaPrincipal[[#This Row],[HAS]],"-")</f>
        <v>3939.3527435610304</v>
      </c>
      <c r="Z2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599751.17291967873</v>
      </c>
      <c r="AA2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36700</v>
      </c>
      <c r="AB2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37866.86</v>
      </c>
      <c r="AC277" s="186">
        <f>SUMIFS(COSECHAS!F:F,COSECHAS!A:A,'BASE 2026'!AW:AW,COSECHAS!G:G,"="&amp;A:A)</f>
        <v>31</v>
      </c>
      <c r="AD277" s="186">
        <f>SUMIFS(COSECHAS!M:M,COSECHAS!A:A,'BASE 2026'!AW:AW,COSECHAS!G:G,"="&amp;A:A)</f>
        <v>32.01</v>
      </c>
      <c r="AE277" s="185">
        <f>IFERROR(TablaPrincipal[[#This Row],[LIBRAS PLANTA]]/TablaPrincipal[[#This Row],[HAS]],"-")</f>
        <v>4240.4098544232929</v>
      </c>
      <c r="AF277" s="185">
        <f>IFERROR(TablaPrincipal[[#This Row],[LIBRAS PLANTA]]*454/TablaPrincipal[[#This Row],[GRAMOS PLANTA]],"-")</f>
        <v>537068.24242424255</v>
      </c>
      <c r="AG277" s="185">
        <f>TablaPrincipal[[#This Row],[LIBRAS RALEO PLANTA]]+TablaPrincipal[[#This Row],[LIBRAS PLANTA]]</f>
        <v>73045.279999999999</v>
      </c>
      <c r="AH277" s="185">
        <f>IFERROR(TablaPrincipal[[#This Row],[CAM COSECHADOS RALEO]]+TablaPrincipal[[#This Row],[CAM COSECHADOS]],"-")</f>
        <v>1136819.4153439212</v>
      </c>
      <c r="AI277" s="185">
        <f>IFERROR((TablaPrincipal[[#This Row],[LIBRAS RALEO PLANTA]]+TablaPrincipal[[#This Row],[LIBRAS PLANTA]])/TablaPrincipal[[#This Row],[HAS]],"0")</f>
        <v>8179.7625979843224</v>
      </c>
      <c r="AJ277" s="186">
        <f t="shared" si="4"/>
        <v>2.8008749999999996</v>
      </c>
      <c r="AK277" s="186">
        <f>IFERROR(TablaPrincipal[[#This Row],[LBS/HA]]/TablaPrincipal[[#This Row],[DIAS]],"-")</f>
        <v>102.24703247480403</v>
      </c>
      <c r="AL277" s="186">
        <f>IFERROR(TablaPrincipal[[#This Row],[CAM COSECHADOS TOTALES]]/TablaPrincipal[[#This Row],[ANIM SEMBRADOS]]*100,"-")</f>
        <v>63.6517029867817</v>
      </c>
      <c r="AM277" s="185">
        <v>94963.145000000004</v>
      </c>
      <c r="AN277" s="187">
        <f>IFERROR(((TablaPrincipal[[#This Row],[BALANCEADO ACUMULADO (LBS)]]/2.2046)/TablaPrincipal[[#This Row],[HAS]])/TablaPrincipal[[#This Row],[DIAS]],"-")</f>
        <v>60.295352743561033</v>
      </c>
      <c r="AO277" s="184">
        <f>IFERROR(TablaPrincipal[[#This Row],[BALANCEADO ACUMULADO (LBS)]]/TablaPrincipal[[#This Row],[LIBRAS TOTALES]],"-")</f>
        <v>1.3000586074829203</v>
      </c>
      <c r="AP277" s="184"/>
      <c r="AQ277" s="184"/>
      <c r="AR277" s="185">
        <f>TablaPrincipal[[#This Row],[LIBRAS RALEO PLANTA]]-TablaPrincipal[[#This Row],[LIBRAS RALEO CAMARONERA]]</f>
        <v>1178.4199999999983</v>
      </c>
      <c r="AS277" s="185">
        <f>TablaPrincipal[[#This Row],[LIBRAS PLANTA]]-TablaPrincipal[[#This Row],[LIBRAS CAMARONERA]]</f>
        <v>1166.8600000000006</v>
      </c>
      <c r="AT277" s="187">
        <f>TablaPrincipal[[#This Row],[GRAMAJE RALEO PLANTA]]-TablaPrincipal[[#This Row],[GRAMAJE RALEO CAMARONERA]]</f>
        <v>2.0133333333333354</v>
      </c>
      <c r="AU277" s="187">
        <f>TablaPrincipal[[#This Row],[GRAMOS PLANTA]]-TablaPrincipal[[#This Row],[GRAMAJE CAMARONERA]]</f>
        <v>1.009999999999998</v>
      </c>
      <c r="AV277" s="183" t="str">
        <f>+VLOOKUP(TablaPrincipal[[#This Row],[CODIGO]],TablaCosechas[#All],10,0)</f>
        <v>VICTOR QUINTANA</v>
      </c>
      <c r="AW277" s="183" t="s">
        <v>150</v>
      </c>
      <c r="AX277" s="188" t="str">
        <f>+VLOOKUP(TablaPrincipal[[#This Row],[CODIGO]],TablaCosechas[#All],10,0)</f>
        <v>VICTOR QUINTANA</v>
      </c>
    </row>
    <row r="278" spans="1:50" hidden="1" x14ac:dyDescent="0.25">
      <c r="A278" s="196">
        <v>46125</v>
      </c>
      <c r="B278" s="242">
        <v>276</v>
      </c>
      <c r="C278" s="183">
        <f>YEAR(TablaPrincipal[[#This Row],[FECHA]])</f>
        <v>2026</v>
      </c>
      <c r="D278" s="183" t="s">
        <v>319</v>
      </c>
      <c r="E278" s="183" t="str">
        <f>UPPER(TEXT(TablaPrincipal[[#This Row],[FECHA]],"MMMM"))</f>
        <v>ABRIL</v>
      </c>
      <c r="F278" s="183" t="str">
        <f>IFERROR(VLOOKUP(TablaPrincipal[[#This Row],[CODIGO]],COSECHAS!A:J,9,0),"-")</f>
        <v>20</v>
      </c>
      <c r="G278" s="183" t="str">
        <f>IFERROR(VLOOKUP(TablaPrincipal[[#This Row],[CODIGO]],COSECHAS!A:I,8,0),"-")</f>
        <v>CHERNA</v>
      </c>
      <c r="H278" s="184">
        <f>IFERROR(VLOOKUP(TablaPrincipal[[#This Row],[CODIGO]],DATOS!A:B,2,0),"-")</f>
        <v>6.45</v>
      </c>
      <c r="I278" s="183" t="str">
        <f>IFERROR(VLOOKUP(TablaPrincipal[[#This Row],[CODIGO]],Tabla8[[#Headers],[#Data]],3,0),"-")</f>
        <v>ASC</v>
      </c>
      <c r="J278" s="183">
        <f>IFERROR(TablaPrincipal[[#This Row],[FECHA]]-TablaPrincipal[[#This Row],[FECHA DE SIEMBRA]],"-")</f>
        <v>91</v>
      </c>
      <c r="K278" s="196">
        <f>VLOOKUP(TablaPrincipal[[#This Row],[CODIGO]]&amp;TablaPrincipal[[#This Row],[AGUAJE ]],Tabla4[#All],4,0)</f>
        <v>46034</v>
      </c>
      <c r="L278" s="183" t="str">
        <f>VLOOKUP(TablaPrincipal[[#This Row],[CODIGO]]&amp;TablaPrincipal[[#This Row],[AGUAJE ]],Tabla4[#All],15,0)</f>
        <v>CH 7</v>
      </c>
      <c r="M278" s="184">
        <f>VLOOKUP(TablaPrincipal[[#This Row],[CODIGO]]&amp;TablaPrincipal[[#This Row],[AGUAJE ]],Tabla4[#All],14,0)</f>
        <v>0.56999999999999995</v>
      </c>
      <c r="N278" s="183">
        <v>6</v>
      </c>
      <c r="O278" s="170">
        <f>VLOOKUP(TablaPrincipal[[#This Row],[CODIGO]]&amp;TablaPrincipal[[#This Row],[AGUAJE ]],Tabla4[#All],5,0)</f>
        <v>1293259</v>
      </c>
      <c r="P278" s="221">
        <f>IFERROR(TablaPrincipal[[#This Row],[ANIM SEMBRADOS]]/TablaPrincipal[[#This Row],[HAS]],"-")</f>
        <v>200505.27131782947</v>
      </c>
      <c r="Q278" s="222">
        <f>IFERROR(TablaPrincipal[[#This Row],[DENSIDAD]]/10000,"-")</f>
        <v>20.050527131782946</v>
      </c>
      <c r="R278" s="183" t="str">
        <f>VLOOKUP(TablaPrincipal[[#This Row],[CODIGO]]&amp;TablaPrincipal[[#This Row],[AGUAJE ]],Tabla4[#All],8,0)</f>
        <v>DEONES</v>
      </c>
      <c r="S278" s="183" t="str">
        <f>VLOOKUP(TablaPrincipal[[#This Row],[CODIGO]]&amp;TablaPrincipal[[#This Row],[AGUAJE ]],Tabla4[#All],7,0)</f>
        <v>TEXCUMAR</v>
      </c>
      <c r="T278" s="183" t="str">
        <f>IF(ISNUMBER(FIND("/",TablaPrincipal[[#This Row],[LABORATORIO]])),"COMBINADO","UNICO")</f>
        <v>UNICO</v>
      </c>
      <c r="U2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19900</v>
      </c>
      <c r="V2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20724.75</v>
      </c>
      <c r="W2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X2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24.75</v>
      </c>
      <c r="Y278" s="185">
        <f>IFERROR(TablaPrincipal[[#This Row],[LIBRAS RALEO PLANTA]]/TablaPrincipal[[#This Row],[HAS]],"-")</f>
        <v>3213.1395348837209</v>
      </c>
      <c r="Z2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392595.06450459542</v>
      </c>
      <c r="AA2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23500</v>
      </c>
      <c r="AB2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25202.79</v>
      </c>
      <c r="AC278" s="186">
        <f>SUMIFS(COSECHAS!F:F,COSECHAS!A:A,'BASE 2026'!AW:AW,COSECHAS!G:G,"="&amp;A:A)</f>
        <v>34</v>
      </c>
      <c r="AD278" s="186">
        <f>SUMIFS(COSECHAS!M:M,COSECHAS!A:A,'BASE 2026'!AW:AW,COSECHAS!G:G,"="&amp;A:A)</f>
        <v>35.15</v>
      </c>
      <c r="AE278" s="185">
        <f>IFERROR(TablaPrincipal[[#This Row],[LIBRAS PLANTA]]/TablaPrincipal[[#This Row],[HAS]],"-")</f>
        <v>3907.4093023255814</v>
      </c>
      <c r="AF278" s="185">
        <f>IFERROR(TablaPrincipal[[#This Row],[LIBRAS PLANTA]]*454/TablaPrincipal[[#This Row],[GRAMOS PLANTA]],"-")</f>
        <v>325521.0998577525</v>
      </c>
      <c r="AG278" s="185">
        <f>TablaPrincipal[[#This Row],[LIBRAS RALEO PLANTA]]+TablaPrincipal[[#This Row],[LIBRAS PLANTA]]</f>
        <v>45927.54</v>
      </c>
      <c r="AH278" s="185">
        <f>IFERROR(TablaPrincipal[[#This Row],[CAM COSECHADOS RALEO]]+TablaPrincipal[[#This Row],[CAM COSECHADOS]],"-")</f>
        <v>718116.16436234792</v>
      </c>
      <c r="AI278" s="185">
        <f>IFERROR((TablaPrincipal[[#This Row],[LIBRAS RALEO PLANTA]]+TablaPrincipal[[#This Row],[LIBRAS PLANTA]])/TablaPrincipal[[#This Row],[HAS]],"0")</f>
        <v>7120.5488372093023</v>
      </c>
      <c r="AJ278" s="186">
        <f t="shared" si="4"/>
        <v>2.7038461538461536</v>
      </c>
      <c r="AK278" s="186">
        <f>IFERROR(TablaPrincipal[[#This Row],[LBS/HA]]/TablaPrincipal[[#This Row],[DIAS]],"-")</f>
        <v>78.247789419882437</v>
      </c>
      <c r="AL278" s="186">
        <f>IFERROR(TablaPrincipal[[#This Row],[CAM COSECHADOS TOTALES]]/TablaPrincipal[[#This Row],[ANIM SEMBRADOS]]*100,"-")</f>
        <v>55.527637106128623</v>
      </c>
      <c r="AM278" s="185">
        <v>77050.77</v>
      </c>
      <c r="AN278" s="187">
        <f>IFERROR(((TablaPrincipal[[#This Row],[BALANCEADO ACUMULADO (LBS)]]/2.2046)/TablaPrincipal[[#This Row],[HAS]])/TablaPrincipal[[#This Row],[DIAS]],"-")</f>
        <v>59.545106056733957</v>
      </c>
      <c r="AO278" s="184">
        <f>IFERROR(TablaPrincipal[[#This Row],[BALANCEADO ACUMULADO (LBS)]]/TablaPrincipal[[#This Row],[LIBRAS TOTALES]],"-")</f>
        <v>1.6776594174214425</v>
      </c>
      <c r="AP278" s="184"/>
      <c r="AQ278" s="184"/>
      <c r="AR278" s="185">
        <f>TablaPrincipal[[#This Row],[LIBRAS RALEO PLANTA]]-TablaPrincipal[[#This Row],[LIBRAS RALEO CAMARONERA]]</f>
        <v>824.75</v>
      </c>
      <c r="AS278" s="185">
        <f>TablaPrincipal[[#This Row],[LIBRAS PLANTA]]-TablaPrincipal[[#This Row],[LIBRAS CAMARONERA]]</f>
        <v>1702.7900000000009</v>
      </c>
      <c r="AT278" s="187">
        <f>TablaPrincipal[[#This Row],[GRAMAJE RALEO PLANTA]]-TablaPrincipal[[#This Row],[GRAMAJE RALEO CAMARONERA]]</f>
        <v>0</v>
      </c>
      <c r="AU278" s="187">
        <f>TablaPrincipal[[#This Row],[GRAMOS PLANTA]]-TablaPrincipal[[#This Row],[GRAMAJE CAMARONERA]]</f>
        <v>1.1499999999999986</v>
      </c>
      <c r="AV278" s="183" t="str">
        <f>+VLOOKUP(TablaPrincipal[[#This Row],[CODIGO]],TablaCosechas[#All],10,0)</f>
        <v>SANTIAGO OBRIEN</v>
      </c>
      <c r="AW278" s="183" t="s">
        <v>24</v>
      </c>
      <c r="AX278" s="188" t="str">
        <f>+VLOOKUP(TablaPrincipal[[#This Row],[CODIGO]],TablaCosechas[#All],10,0)</f>
        <v>SANTIAGO OBRIEN</v>
      </c>
    </row>
    <row r="279" spans="1:50" hidden="1" x14ac:dyDescent="0.25">
      <c r="A279" s="196">
        <v>46126</v>
      </c>
      <c r="B279" s="242">
        <f>ROW() - ROW(TablaPrincipal[[#Headers],[ID]])</f>
        <v>277</v>
      </c>
      <c r="C279" s="183">
        <f>YEAR(TablaPrincipal[[#This Row],[FECHA]])</f>
        <v>2026</v>
      </c>
      <c r="D279" s="183" t="s">
        <v>334</v>
      </c>
      <c r="E279" s="183" t="str">
        <f>UPPER(TEXT(TablaPrincipal[[#This Row],[FECHA]],"MMMM"))</f>
        <v>ABRIL</v>
      </c>
      <c r="F279" s="183" t="str">
        <f>IFERROR(VLOOKUP(TablaPrincipal[[#This Row],[CODIGO]],COSECHAS!A:J,9,0),"-")</f>
        <v>27</v>
      </c>
      <c r="G279" s="183" t="str">
        <f>IFERROR(VLOOKUP(TablaPrincipal[[#This Row],[CODIGO]],COSECHAS!A:I,8,0),"-")</f>
        <v>DELFIN</v>
      </c>
      <c r="H279" s="184">
        <f>IFERROR(VLOOKUP(TablaPrincipal[[#This Row],[CODIGO]],DATOS!A:B,2,0),"-")</f>
        <v>13.5</v>
      </c>
      <c r="I279" s="183" t="str">
        <f>IFERROR(VLOOKUP(TablaPrincipal[[#This Row],[CODIGO]],Tabla8[[#Headers],[#Data]],3,0),"-")</f>
        <v>CONVENCIONAL</v>
      </c>
      <c r="J279" s="183">
        <f>IFERROR(TablaPrincipal[[#This Row],[FECHA]]-TablaPrincipal[[#This Row],[FECHA DE SIEMBRA]],"-")</f>
        <v>90</v>
      </c>
      <c r="K279" s="196">
        <f>VLOOKUP(TablaPrincipal[[#This Row],[CODIGO]]&amp;TablaPrincipal[[#This Row],[AGUAJE ]],Tabla4[#All],4,0)</f>
        <v>46036</v>
      </c>
      <c r="L279" s="183" t="str">
        <f>VLOOKUP(TablaPrincipal[[#This Row],[CODIGO]]&amp;TablaPrincipal[[#This Row],[AGUAJE ]],Tabla4[#All],15,0)</f>
        <v>DE 17</v>
      </c>
      <c r="M279" s="184">
        <f>VLOOKUP(TablaPrincipal[[#This Row],[CODIGO]]&amp;TablaPrincipal[[#This Row],[AGUAJE ]],Tabla4[#All],14,0)</f>
        <v>0.8</v>
      </c>
      <c r="N279" s="183">
        <v>5</v>
      </c>
      <c r="O279" s="170">
        <f>VLOOKUP(TablaPrincipal[[#This Row],[CODIGO]]&amp;TablaPrincipal[[#This Row],[AGUAJE ]],Tabla4[#All],5,0)</f>
        <v>2160000</v>
      </c>
      <c r="P279" s="221">
        <f>IFERROR(TablaPrincipal[[#This Row],[ANIM SEMBRADOS]]/TablaPrincipal[[#This Row],[HAS]],"-")</f>
        <v>160000</v>
      </c>
      <c r="Q279" s="222">
        <f>IFERROR(TablaPrincipal[[#This Row],[DENSIDAD]]/10000,"-")</f>
        <v>16</v>
      </c>
      <c r="R279" s="183" t="str">
        <f>VLOOKUP(TablaPrincipal[[#This Row],[CODIGO]]&amp;TablaPrincipal[[#This Row],[AGUAJE ]],Tabla4[#All],8,0)</f>
        <v>BIOLACAM</v>
      </c>
      <c r="S279" s="183" t="str">
        <f>VLOOKUP(TablaPrincipal[[#This Row],[CODIGO]]&amp;TablaPrincipal[[#This Row],[AGUAJE ]],Tabla4[#All],7,0)</f>
        <v>TEXCUMAR</v>
      </c>
      <c r="T279" s="183" t="str">
        <f>IF(ISNUMBER(FIND("/",TablaPrincipal[[#This Row],[LABORATORIO]])),"COMBINADO","UNICO")</f>
        <v>UNICO</v>
      </c>
      <c r="U2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42100</v>
      </c>
      <c r="V2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39485.589999999997</v>
      </c>
      <c r="W2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25.14</v>
      </c>
      <c r="Y279" s="185">
        <f>IFERROR(TablaPrincipal[[#This Row],[LIBRAS RALEO PLANTA]]/TablaPrincipal[[#This Row],[HAS]],"-")</f>
        <v>2924.8585185185184</v>
      </c>
      <c r="Z2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751596.03821198409</v>
      </c>
      <c r="AA2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44400</v>
      </c>
      <c r="AB2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50151.83</v>
      </c>
      <c r="AC279" s="186">
        <f>SUMIFS(COSECHAS!F:F,COSECHAS!A:A,'BASE 2026'!AW:AW,COSECHAS!G:G,"="&amp;A:A)</f>
        <v>38</v>
      </c>
      <c r="AD279" s="186">
        <f>SUMIFS(COSECHAS!M:M,COSECHAS!A:A,'BASE 2026'!AW:AW,COSECHAS!G:G,"="&amp;A:A)</f>
        <v>37.99</v>
      </c>
      <c r="AE279" s="185">
        <f>IFERROR(TablaPrincipal[[#This Row],[LIBRAS PLANTA]]/TablaPrincipal[[#This Row],[HAS]],"-")</f>
        <v>3714.9503703703704</v>
      </c>
      <c r="AF279" s="185">
        <f>IFERROR(TablaPrincipal[[#This Row],[LIBRAS PLANTA]]*454/TablaPrincipal[[#This Row],[GRAMOS PLANTA]],"-")</f>
        <v>599340.11108186364</v>
      </c>
      <c r="AG279" s="185">
        <f>TablaPrincipal[[#This Row],[LIBRAS RALEO PLANTA]]+TablaPrincipal[[#This Row],[LIBRAS PLANTA]]</f>
        <v>89637.42</v>
      </c>
      <c r="AH279" s="185">
        <f>IFERROR(TablaPrincipal[[#This Row],[CAM COSECHADOS RALEO]]+TablaPrincipal[[#This Row],[CAM COSECHADOS]],"-")</f>
        <v>1350936.1492938478</v>
      </c>
      <c r="AI279" s="185">
        <f>IFERROR((TablaPrincipal[[#This Row],[LIBRAS RALEO PLANTA]]+TablaPrincipal[[#This Row],[LIBRAS PLANTA]])/TablaPrincipal[[#This Row],[HAS]],"0")</f>
        <v>6639.8088888888888</v>
      </c>
      <c r="AJ279" s="186">
        <f t="shared" si="4"/>
        <v>2.9547777777777777</v>
      </c>
      <c r="AK279" s="186">
        <f>IFERROR(TablaPrincipal[[#This Row],[LBS/HA]]/TablaPrincipal[[#This Row],[DIAS]],"-")</f>
        <v>73.775654320987655</v>
      </c>
      <c r="AL279" s="186">
        <f>IFERROR(TablaPrincipal[[#This Row],[CAM COSECHADOS TOTALES]]/TablaPrincipal[[#This Row],[ANIM SEMBRADOS]]*100,"-")</f>
        <v>62.543340245085545</v>
      </c>
      <c r="AM279" s="185">
        <v>148645.155</v>
      </c>
      <c r="AN279" s="187">
        <f>IFERROR(((TablaPrincipal[[#This Row],[BALANCEADO ACUMULADO (LBS)]]/2.2046)/TablaPrincipal[[#This Row],[HAS]])/TablaPrincipal[[#This Row],[DIAS]],"-")</f>
        <v>55.493827160493829</v>
      </c>
      <c r="AO279" s="184">
        <f>IFERROR(TablaPrincipal[[#This Row],[BALANCEADO ACUMULADO (LBS)]]/TablaPrincipal[[#This Row],[LIBRAS TOTALES]],"-")</f>
        <v>1.6582935452626817</v>
      </c>
      <c r="AP279" s="184"/>
      <c r="AQ279" s="184"/>
      <c r="AR279" s="185">
        <f>TablaPrincipal[[#This Row],[LIBRAS RALEO PLANTA]]-TablaPrincipal[[#This Row],[LIBRAS RALEO CAMARONERA]]</f>
        <v>-2614.4100000000035</v>
      </c>
      <c r="AS279" s="185">
        <f>TablaPrincipal[[#This Row],[LIBRAS PLANTA]]-TablaPrincipal[[#This Row],[LIBRAS CAMARONERA]]</f>
        <v>5751.8300000000017</v>
      </c>
      <c r="AT279" s="187">
        <f>TablaPrincipal[[#This Row],[GRAMAJE RALEO PLANTA]]-TablaPrincipal[[#This Row],[GRAMAJE RALEO CAMARONERA]]</f>
        <v>0.14000000000000057</v>
      </c>
      <c r="AU279" s="187">
        <f>TablaPrincipal[[#This Row],[GRAMOS PLANTA]]-TablaPrincipal[[#This Row],[GRAMAJE CAMARONERA]]</f>
        <v>-9.9999999999980105E-3</v>
      </c>
      <c r="AV279" s="183" t="str">
        <f>+VLOOKUP(TablaPrincipal[[#This Row],[CODIGO]],TablaCosechas[#All],10,0)</f>
        <v>CARLOS FLORES</v>
      </c>
      <c r="AW279" s="183" t="s">
        <v>130</v>
      </c>
      <c r="AX279" s="241" t="str">
        <f>+VLOOKUP(TablaPrincipal[[#This Row],[CODIGO]],TablaCosechas[#All],10,0)</f>
        <v>CARLOS FLORES</v>
      </c>
    </row>
    <row r="280" spans="1:50" hidden="1" x14ac:dyDescent="0.25">
      <c r="A280" s="196">
        <v>46126</v>
      </c>
      <c r="B280" s="242">
        <f>ROW() - ROW(TablaPrincipal[[#Headers],[ID]])</f>
        <v>278</v>
      </c>
      <c r="C280" s="183">
        <f>YEAR(TablaPrincipal[[#This Row],[FECHA]])</f>
        <v>2026</v>
      </c>
      <c r="D280" s="183" t="s">
        <v>334</v>
      </c>
      <c r="E280" s="183" t="str">
        <f>UPPER(TEXT(TablaPrincipal[[#This Row],[FECHA]],"MMMM"))</f>
        <v>ABRIL</v>
      </c>
      <c r="F280" s="183" t="str">
        <f>IFERROR(VLOOKUP(TablaPrincipal[[#This Row],[CODIGO]],COSECHAS!A:J,9,0),"-")</f>
        <v>28</v>
      </c>
      <c r="G280" s="183" t="str">
        <f>IFERROR(VLOOKUP(TablaPrincipal[[#This Row],[CODIGO]],COSECHAS!A:I,8,0),"-")</f>
        <v>DORADO</v>
      </c>
      <c r="H280" s="184">
        <f>IFERROR(VLOOKUP(TablaPrincipal[[#This Row],[CODIGO]],DATOS!A:B,2,0),"-")</f>
        <v>7.74</v>
      </c>
      <c r="I280" s="183" t="str">
        <f>IFERROR(VLOOKUP(TablaPrincipal[[#This Row],[CODIGO]],Tabla8[[#Headers],[#Data]],3,0),"-")</f>
        <v>ASC-BAP</v>
      </c>
      <c r="J280" s="183">
        <f>IFERROR(TablaPrincipal[[#This Row],[FECHA]]-TablaPrincipal[[#This Row],[FECHA DE SIEMBRA]],"-")</f>
        <v>92</v>
      </c>
      <c r="K280" s="196">
        <f>VLOOKUP(TablaPrincipal[[#This Row],[CODIGO]]&amp;TablaPrincipal[[#This Row],[AGUAJE ]],Tabla4[#All],4,0)</f>
        <v>46034</v>
      </c>
      <c r="L280" s="183" t="str">
        <f>VLOOKUP(TablaPrincipal[[#This Row],[CODIGO]]&amp;TablaPrincipal[[#This Row],[AGUAJE ]],Tabla4[#All],15,0)</f>
        <v>DO PC0</v>
      </c>
      <c r="M280" s="184">
        <f>VLOOKUP(TablaPrincipal[[#This Row],[CODIGO]]&amp;TablaPrincipal[[#This Row],[AGUAJE ]],Tabla4[#All],14,0)</f>
        <v>0.6</v>
      </c>
      <c r="N280" s="183">
        <v>2</v>
      </c>
      <c r="O280" s="170">
        <f>VLOOKUP(TablaPrincipal[[#This Row],[CODIGO]]&amp;TablaPrincipal[[#This Row],[AGUAJE ]],Tabla4[#All],5,0)</f>
        <v>1315800</v>
      </c>
      <c r="P280" s="221">
        <f>IFERROR(TablaPrincipal[[#This Row],[ANIM SEMBRADOS]]/TablaPrincipal[[#This Row],[HAS]],"-")</f>
        <v>170000</v>
      </c>
      <c r="Q280" s="222">
        <f>IFERROR(TablaPrincipal[[#This Row],[DENSIDAD]]/10000,"-")</f>
        <v>17</v>
      </c>
      <c r="R280" s="183" t="str">
        <f>VLOOKUP(TablaPrincipal[[#This Row],[CODIGO]]&amp;TablaPrincipal[[#This Row],[AGUAJE ]],Tabla4[#All],8,0)</f>
        <v>GRILSAN</v>
      </c>
      <c r="S280" s="183" t="str">
        <f>VLOOKUP(TablaPrincipal[[#This Row],[CODIGO]]&amp;TablaPrincipal[[#This Row],[AGUAJE ]],Tabla4[#All],7,0)</f>
        <v>AQUAGEN</v>
      </c>
      <c r="T280" s="183" t="str">
        <f>IF(ISNUMBER(FIND("/",TablaPrincipal[[#This Row],[LABORATORIO]])),"COMBINADO","UNICO")</f>
        <v>UNICO</v>
      </c>
      <c r="U2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24400</v>
      </c>
      <c r="V2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25225.11</v>
      </c>
      <c r="W2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24.58</v>
      </c>
      <c r="Y280" s="185">
        <f>IFERROR(TablaPrincipal[[#This Row],[LIBRAS RALEO PLANTA]]/TablaPrincipal[[#This Row],[HAS]],"-")</f>
        <v>3259.0581395348836</v>
      </c>
      <c r="Z2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484507.92165531561</v>
      </c>
      <c r="AA2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28900</v>
      </c>
      <c r="AB2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29516.58</v>
      </c>
      <c r="AC280" s="186">
        <f>SUMIFS(COSECHAS!F:F,COSECHAS!A:A,'BASE 2026'!AW:AW,COSECHAS!G:G,"="&amp;A:A)</f>
        <v>36</v>
      </c>
      <c r="AD280" s="186">
        <f>SUMIFS(COSECHAS!M:M,COSECHAS!A:A,'BASE 2026'!AW:AW,COSECHAS!G:G,"="&amp;A:A)</f>
        <v>40</v>
      </c>
      <c r="AE280" s="185">
        <f>IFERROR(TablaPrincipal[[#This Row],[LIBRAS PLANTA]]/TablaPrincipal[[#This Row],[HAS]],"-")</f>
        <v>3813.5116279069771</v>
      </c>
      <c r="AF280" s="185">
        <f>IFERROR(TablaPrincipal[[#This Row],[LIBRAS PLANTA]]*454/TablaPrincipal[[#This Row],[GRAMOS PLANTA]],"-")</f>
        <v>335013.18300000002</v>
      </c>
      <c r="AG280" s="185">
        <f>TablaPrincipal[[#This Row],[LIBRAS RALEO PLANTA]]+TablaPrincipal[[#This Row],[LIBRAS PLANTA]]</f>
        <v>54741.69</v>
      </c>
      <c r="AH280" s="185">
        <f>IFERROR(TablaPrincipal[[#This Row],[CAM COSECHADOS RALEO]]+TablaPrincipal[[#This Row],[CAM COSECHADOS]],"-")</f>
        <v>819521.10465531563</v>
      </c>
      <c r="AI280" s="185">
        <f>IFERROR((TablaPrincipal[[#This Row],[LIBRAS RALEO PLANTA]]+TablaPrincipal[[#This Row],[LIBRAS PLANTA]])/TablaPrincipal[[#This Row],[HAS]],"0")</f>
        <v>7072.5697674418607</v>
      </c>
      <c r="AJ280" s="186">
        <f t="shared" si="4"/>
        <v>3.0434782608695654</v>
      </c>
      <c r="AK280" s="186">
        <f>IFERROR(TablaPrincipal[[#This Row],[LBS/HA]]/TablaPrincipal[[#This Row],[DIAS]],"-")</f>
        <v>76.875758341759351</v>
      </c>
      <c r="AL280" s="186">
        <f>IFERROR(TablaPrincipal[[#This Row],[CAM COSECHADOS TOTALES]]/TablaPrincipal[[#This Row],[ANIM SEMBRADOS]]*100,"-")</f>
        <v>62.283105688958472</v>
      </c>
      <c r="AM280" s="185">
        <v>102513.90000000001</v>
      </c>
      <c r="AN280" s="187">
        <f>IFERROR(((TablaPrincipal[[#This Row],[BALANCEADO ACUMULADO (LBS)]]/2.2046)/TablaPrincipal[[#This Row],[HAS]])/TablaPrincipal[[#This Row],[DIAS]],"-")</f>
        <v>65.301651499831479</v>
      </c>
      <c r="AO280" s="184">
        <f>IFERROR(TablaPrincipal[[#This Row],[BALANCEADO ACUMULADO (LBS)]]/TablaPrincipal[[#This Row],[LIBRAS TOTALES]],"-")</f>
        <v>1.8726842375527684</v>
      </c>
      <c r="AP280" s="184"/>
      <c r="AQ280" s="184"/>
      <c r="AR280" s="185">
        <f>TablaPrincipal[[#This Row],[LIBRAS RALEO PLANTA]]-TablaPrincipal[[#This Row],[LIBRAS RALEO CAMARONERA]]</f>
        <v>825.11000000000058</v>
      </c>
      <c r="AS280" s="185">
        <f>TablaPrincipal[[#This Row],[LIBRAS PLANTA]]-TablaPrincipal[[#This Row],[LIBRAS CAMARONERA]]</f>
        <v>616.58000000000175</v>
      </c>
      <c r="AT280" s="187">
        <f>TablaPrincipal[[#This Row],[GRAMAJE RALEO PLANTA]]-TablaPrincipal[[#This Row],[GRAMAJE RALEO CAMARONERA]]</f>
        <v>2.5799999999999983</v>
      </c>
      <c r="AU280" s="187">
        <f>TablaPrincipal[[#This Row],[GRAMOS PLANTA]]-TablaPrincipal[[#This Row],[GRAMAJE CAMARONERA]]</f>
        <v>4</v>
      </c>
      <c r="AV280" s="183" t="str">
        <f>+VLOOKUP(TablaPrincipal[[#This Row],[CODIGO]],TablaCosechas[#All],10,0)</f>
        <v>JOSE CEDEÑO</v>
      </c>
      <c r="AW280" s="183" t="s">
        <v>132</v>
      </c>
      <c r="AX280" s="241" t="str">
        <f>+VLOOKUP(TablaPrincipal[[#This Row],[CODIGO]],TablaCosechas[#All],10,0)</f>
        <v>JOSE CEDEÑO</v>
      </c>
    </row>
    <row r="281" spans="1:50" hidden="1" x14ac:dyDescent="0.25">
      <c r="A281" s="196">
        <v>46126</v>
      </c>
      <c r="B281" s="242">
        <f>ROW() - ROW(TablaPrincipal[[#Headers],[ID]])</f>
        <v>279</v>
      </c>
      <c r="C281" s="183">
        <f>YEAR(TablaPrincipal[[#This Row],[FECHA]])</f>
        <v>2026</v>
      </c>
      <c r="D281" s="183" t="s">
        <v>334</v>
      </c>
      <c r="E281" s="183" t="str">
        <f>UPPER(TEXT(TablaPrincipal[[#This Row],[FECHA]],"MMMM"))</f>
        <v>ABRIL</v>
      </c>
      <c r="F281" s="183" t="str">
        <f>IFERROR(VLOOKUP(TablaPrincipal[[#This Row],[CODIGO]],COSECHAS!A:J,9,0),"-")</f>
        <v>04</v>
      </c>
      <c r="G281" s="183" t="str">
        <f>IFERROR(VLOOKUP(TablaPrincipal[[#This Row],[CODIGO]],COSECHAS!A:I,8,0),"-")</f>
        <v>GUATO</v>
      </c>
      <c r="H281" s="184">
        <f>IFERROR(VLOOKUP(TablaPrincipal[[#This Row],[CODIGO]],DATOS!A:B,2,0),"-")</f>
        <v>6.62</v>
      </c>
      <c r="I281" s="183" t="str">
        <f>IFERROR(VLOOKUP(TablaPrincipal[[#This Row],[CODIGO]],Tabla8[[#Headers],[#Data]],3,0),"-")</f>
        <v>CONVENCIONAL</v>
      </c>
      <c r="J281" s="183">
        <f>IFERROR(TablaPrincipal[[#This Row],[FECHA]]-TablaPrincipal[[#This Row],[FECHA DE SIEMBRA]],"-")</f>
        <v>81</v>
      </c>
      <c r="K281" s="196">
        <f>VLOOKUP(TablaPrincipal[[#This Row],[CODIGO]]&amp;TablaPrincipal[[#This Row],[AGUAJE ]],Tabla4[#All],4,0)</f>
        <v>46045</v>
      </c>
      <c r="L281" s="183" t="str">
        <f>VLOOKUP(TablaPrincipal[[#This Row],[CODIGO]]&amp;TablaPrincipal[[#This Row],[AGUAJE ]],Tabla4[#All],15,0)</f>
        <v>GT PC 04</v>
      </c>
      <c r="M281" s="184">
        <f>VLOOKUP(TablaPrincipal[[#This Row],[CODIGO]]&amp;TablaPrincipal[[#This Row],[AGUAJE ]],Tabla4[#All],14,0)</f>
        <v>0.56999999999999995</v>
      </c>
      <c r="N281" s="183">
        <v>12</v>
      </c>
      <c r="O281" s="170">
        <f>VLOOKUP(TablaPrincipal[[#This Row],[CODIGO]]&amp;TablaPrincipal[[#This Row],[AGUAJE ]],Tabla4[#All],5,0)</f>
        <v>1059200</v>
      </c>
      <c r="P281" s="221">
        <f>IFERROR(TablaPrincipal[[#This Row],[ANIM SEMBRADOS]]/TablaPrincipal[[#This Row],[HAS]],"-")</f>
        <v>160000</v>
      </c>
      <c r="Q281" s="222">
        <f>IFERROR(TablaPrincipal[[#This Row],[DENSIDAD]]/10000,"-")</f>
        <v>16</v>
      </c>
      <c r="R281" s="183" t="str">
        <f>VLOOKUP(TablaPrincipal[[#This Row],[CODIGO]]&amp;TablaPrincipal[[#This Row],[AGUAJE ]],Tabla4[#All],8,0)</f>
        <v>LARVASLAB</v>
      </c>
      <c r="S281" s="183" t="str">
        <f>VLOOKUP(TablaPrincipal[[#This Row],[CODIGO]]&amp;TablaPrincipal[[#This Row],[AGUAJE ]],Tabla4[#All],7,0)</f>
        <v>TEXCUMAR</v>
      </c>
      <c r="T281" s="183" t="str">
        <f>IF(ISNUMBER(FIND("/",TablaPrincipal[[#This Row],[LABORATORIO]])),"COMBINADO","UNICO")</f>
        <v>UNICO</v>
      </c>
      <c r="U2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7200</v>
      </c>
      <c r="V2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7793.25</v>
      </c>
      <c r="W2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2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21.04</v>
      </c>
      <c r="Y281" s="185">
        <f>IFERROR(TablaPrincipal[[#This Row],[LIBRAS RALEO PLANTA]]/TablaPrincipal[[#This Row],[HAS]],"-")</f>
        <v>1177.2280966767371</v>
      </c>
      <c r="Z2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168162.33365019012</v>
      </c>
      <c r="AA2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2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32550.02</v>
      </c>
      <c r="AC281" s="186">
        <f>SUMIFS(COSECHAS!F:F,COSECHAS!A:A,'BASE 2026'!AW:AW,COSECHAS!G:G,"="&amp;A:A)</f>
        <v>30</v>
      </c>
      <c r="AD281" s="186">
        <f>SUMIFS(COSECHAS!M:M,COSECHAS!A:A,'BASE 2026'!AW:AW,COSECHAS!G:G,"="&amp;A:A)</f>
        <v>30.12</v>
      </c>
      <c r="AE281" s="185">
        <f>IFERROR(TablaPrincipal[[#This Row],[LIBRAS PLANTA]]/TablaPrincipal[[#This Row],[HAS]],"-")</f>
        <v>4916.9214501510578</v>
      </c>
      <c r="AF281" s="185">
        <f>IFERROR(TablaPrincipal[[#This Row],[LIBRAS PLANTA]]*454/TablaPrincipal[[#This Row],[GRAMOS PLANTA]],"-")</f>
        <v>490627.79150066403</v>
      </c>
      <c r="AG281" s="185">
        <f>TablaPrincipal[[#This Row],[LIBRAS RALEO PLANTA]]+TablaPrincipal[[#This Row],[LIBRAS PLANTA]]</f>
        <v>40343.270000000004</v>
      </c>
      <c r="AH281" s="185">
        <f>IFERROR(TablaPrincipal[[#This Row],[CAM COSECHADOS RALEO]]+TablaPrincipal[[#This Row],[CAM COSECHADOS]],"-")</f>
        <v>658790.12515085412</v>
      </c>
      <c r="AI281" s="185">
        <f>IFERROR((TablaPrincipal[[#This Row],[LIBRAS RALEO PLANTA]]+TablaPrincipal[[#This Row],[LIBRAS PLANTA]])/TablaPrincipal[[#This Row],[HAS]],"0")</f>
        <v>6094.1495468277953</v>
      </c>
      <c r="AJ281" s="186">
        <f t="shared" si="4"/>
        <v>2.6029629629629629</v>
      </c>
      <c r="AK281" s="186">
        <f>IFERROR(TablaPrincipal[[#This Row],[LBS/HA]]/TablaPrincipal[[#This Row],[DIAS]],"-")</f>
        <v>75.23641415836785</v>
      </c>
      <c r="AL281" s="186">
        <f>IFERROR(TablaPrincipal[[#This Row],[CAM COSECHADOS TOTALES]]/TablaPrincipal[[#This Row],[ANIM SEMBRADOS]]*100,"-")</f>
        <v>62.196952903215077</v>
      </c>
      <c r="AM281" s="185">
        <v>63547.595000000001</v>
      </c>
      <c r="AN281" s="187">
        <f>IFERROR(((TablaPrincipal[[#This Row],[BALANCEADO ACUMULADO (LBS)]]/2.2046)/TablaPrincipal[[#This Row],[HAS]])/TablaPrincipal[[#This Row],[DIAS]],"-")</f>
        <v>53.755921077169816</v>
      </c>
      <c r="AO281" s="184">
        <f>IFERROR(TablaPrincipal[[#This Row],[BALANCEADO ACUMULADO (LBS)]]/TablaPrincipal[[#This Row],[LIBRAS TOTALES]],"-")</f>
        <v>1.5751721414748976</v>
      </c>
      <c r="AP281" s="184"/>
      <c r="AQ281" s="184"/>
      <c r="AR281" s="185">
        <f>TablaPrincipal[[#This Row],[LIBRAS RALEO PLANTA]]-TablaPrincipal[[#This Row],[LIBRAS RALEO CAMARONERA]]</f>
        <v>593.25</v>
      </c>
      <c r="AS281" s="185">
        <f>TablaPrincipal[[#This Row],[LIBRAS PLANTA]]-TablaPrincipal[[#This Row],[LIBRAS CAMARONERA]]</f>
        <v>750.02000000000044</v>
      </c>
      <c r="AT281" s="187">
        <f>TablaPrincipal[[#This Row],[GRAMAJE RALEO PLANTA]]-TablaPrincipal[[#This Row],[GRAMAJE RALEO CAMARONERA]]</f>
        <v>2.0399999999999991</v>
      </c>
      <c r="AU281" s="187">
        <f>TablaPrincipal[[#This Row],[GRAMOS PLANTA]]-TablaPrincipal[[#This Row],[GRAMAJE CAMARONERA]]</f>
        <v>0.12000000000000099</v>
      </c>
      <c r="AV281" s="183" t="str">
        <f>+VLOOKUP(TablaPrincipal[[#This Row],[CODIGO]],TablaCosechas[#All],10,0)</f>
        <v>JULIO SANTOS</v>
      </c>
      <c r="AW281" s="183" t="s">
        <v>138</v>
      </c>
      <c r="AX281" s="241" t="str">
        <f>+VLOOKUP(TablaPrincipal[[#This Row],[CODIGO]],TablaCosechas[#All],10,0)</f>
        <v>JULIO SANTOS</v>
      </c>
    </row>
    <row r="282" spans="1:50" hidden="1" x14ac:dyDescent="0.25">
      <c r="A282" s="196">
        <v>46126</v>
      </c>
      <c r="B282" s="242">
        <f>ROW() - ROW(TablaPrincipal[[#Headers],[ID]])</f>
        <v>280</v>
      </c>
      <c r="C282" s="183">
        <f>YEAR(TablaPrincipal[[#This Row],[FECHA]])</f>
        <v>2026</v>
      </c>
      <c r="D282" s="183" t="s">
        <v>334</v>
      </c>
      <c r="E282" s="183" t="str">
        <f>UPPER(TEXT(TablaPrincipal[[#This Row],[FECHA]],"MMMM"))</f>
        <v>ABRIL</v>
      </c>
      <c r="F282" s="183" t="str">
        <f>IFERROR(VLOOKUP(TablaPrincipal[[#This Row],[CODIGO]],COSECHAS!A:J,9,0),"-")</f>
        <v>24</v>
      </c>
      <c r="G282" s="183" t="str">
        <f>IFERROR(VLOOKUP(TablaPrincipal[[#This Row],[CODIGO]],COSECHAS!A:I,8,0),"-")</f>
        <v>PARGO ROJO</v>
      </c>
      <c r="H282" s="184">
        <f>IFERROR(VLOOKUP(TablaPrincipal[[#This Row],[CODIGO]],DATOS!A:B,2,0),"-")</f>
        <v>7.3</v>
      </c>
      <c r="I282" s="183" t="str">
        <f>IFERROR(VLOOKUP(TablaPrincipal[[#This Row],[CODIGO]],Tabla8[[#Headers],[#Data]],3,0),"-")</f>
        <v>CONVENCIONAL</v>
      </c>
      <c r="J282" s="183">
        <f>IFERROR(TablaPrincipal[[#This Row],[FECHA]]-TablaPrincipal[[#This Row],[FECHA DE SIEMBRA]],"-")</f>
        <v>80</v>
      </c>
      <c r="K282" s="196">
        <f>VLOOKUP(TablaPrincipal[[#This Row],[CODIGO]]&amp;TablaPrincipal[[#This Row],[AGUAJE ]],Tabla4[#All],4,0)</f>
        <v>46046</v>
      </c>
      <c r="L282" s="183" t="str">
        <f>VLOOKUP(TablaPrincipal[[#This Row],[CODIGO]]&amp;TablaPrincipal[[#This Row],[AGUAJE ]],Tabla4[#All],15,0)</f>
        <v>PR 26</v>
      </c>
      <c r="M282" s="184">
        <f>VLOOKUP(TablaPrincipal[[#This Row],[CODIGO]]&amp;TablaPrincipal[[#This Row],[AGUAJE ]],Tabla4[#All],14,0)</f>
        <v>0.35</v>
      </c>
      <c r="N282" s="183">
        <v>4</v>
      </c>
      <c r="O282" s="170">
        <f>VLOOKUP(TablaPrincipal[[#This Row],[CODIGO]]&amp;TablaPrincipal[[#This Row],[AGUAJE ]],Tabla4[#All],5,0)</f>
        <v>1050000</v>
      </c>
      <c r="P282" s="221">
        <f>IFERROR(TablaPrincipal[[#This Row],[ANIM SEMBRADOS]]/TablaPrincipal[[#This Row],[HAS]],"-")</f>
        <v>143835.61643835617</v>
      </c>
      <c r="Q282" s="222">
        <f>IFERROR(TablaPrincipal[[#This Row],[DENSIDAD]]/10000,"-")</f>
        <v>14.383561643835616</v>
      </c>
      <c r="R282" s="183" t="str">
        <f>VLOOKUP(TablaPrincipal[[#This Row],[CODIGO]]&amp;TablaPrincipal[[#This Row],[AGUAJE ]],Tabla4[#All],8,0)</f>
        <v>NEMEN</v>
      </c>
      <c r="S282" s="183" t="str">
        <f>VLOOKUP(TablaPrincipal[[#This Row],[CODIGO]]&amp;TablaPrincipal[[#This Row],[AGUAJE ]],Tabla4[#All],7,0)</f>
        <v>TEXCUMAR</v>
      </c>
      <c r="T282" s="183" t="str">
        <f>IF(ISNUMBER(FIND("/",TablaPrincipal[[#This Row],[LABORATORIO]])),"COMBINADO","UNICO")</f>
        <v>UNICO</v>
      </c>
      <c r="U2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2" s="185">
        <f>IFERROR(TablaPrincipal[[#This Row],[LIBRAS RALEO PLANTA]]/TablaPrincipal[[#This Row],[HAS]],"-")</f>
        <v>0</v>
      </c>
      <c r="Z2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18800</v>
      </c>
      <c r="AB2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21640.66</v>
      </c>
      <c r="AC282" s="186">
        <f>SUMIFS(COSECHAS!F:F,COSECHAS!A:A,'BASE 2026'!AW:AW,COSECHAS!G:G,"="&amp;A:A)</f>
        <v>27</v>
      </c>
      <c r="AD282" s="186">
        <f>SUMIFS(COSECHAS!M:M,COSECHAS!A:A,'BASE 2026'!AW:AW,COSECHAS!G:G,"="&amp;A:A)</f>
        <v>31.36</v>
      </c>
      <c r="AE282" s="185">
        <f>IFERROR(TablaPrincipal[[#This Row],[LIBRAS PLANTA]]/TablaPrincipal[[#This Row],[HAS]],"-")</f>
        <v>2964.4739726027397</v>
      </c>
      <c r="AF282" s="185">
        <f>IFERROR(TablaPrincipal[[#This Row],[LIBRAS PLANTA]]*454/TablaPrincipal[[#This Row],[GRAMOS PLANTA]],"-")</f>
        <v>313292.71811224491</v>
      </c>
      <c r="AG282" s="185">
        <f>TablaPrincipal[[#This Row],[LIBRAS RALEO PLANTA]]+TablaPrincipal[[#This Row],[LIBRAS PLANTA]]</f>
        <v>21640.66</v>
      </c>
      <c r="AH282" s="185">
        <f>IFERROR(TablaPrincipal[[#This Row],[CAM COSECHADOS RALEO]]+TablaPrincipal[[#This Row],[CAM COSECHADOS]],"-")</f>
        <v>313292.71811224491</v>
      </c>
      <c r="AI282" s="185">
        <f>IFERROR((TablaPrincipal[[#This Row],[LIBRAS RALEO PLANTA]]+TablaPrincipal[[#This Row],[LIBRAS PLANTA]])/TablaPrincipal[[#This Row],[HAS]],"0")</f>
        <v>2964.4739726027397</v>
      </c>
      <c r="AJ282" s="186">
        <f t="shared" si="4"/>
        <v>2.7439999999999998</v>
      </c>
      <c r="AK282" s="186">
        <f>IFERROR(TablaPrincipal[[#This Row],[LBS/HA]]/TablaPrincipal[[#This Row],[DIAS]],"-")</f>
        <v>37.055924657534248</v>
      </c>
      <c r="AL282" s="186">
        <f>IFERROR(TablaPrincipal[[#This Row],[CAM COSECHADOS TOTALES]]/TablaPrincipal[[#This Row],[ANIM SEMBRADOS]]*100,"-")</f>
        <v>29.837401724975702</v>
      </c>
      <c r="AM282" s="185">
        <v>37158.533000000003</v>
      </c>
      <c r="AN282" s="187">
        <f>IFERROR(((TablaPrincipal[[#This Row],[BALANCEADO ACUMULADO (LBS)]]/2.2046)/TablaPrincipal[[#This Row],[HAS]])/TablaPrincipal[[#This Row],[DIAS]],"-")</f>
        <v>28.861301369863014</v>
      </c>
      <c r="AO282" s="184">
        <f>IFERROR(TablaPrincipal[[#This Row],[BALANCEADO ACUMULADO (LBS)]]/TablaPrincipal[[#This Row],[LIBRAS TOTALES]],"-")</f>
        <v>1.7170702279875014</v>
      </c>
      <c r="AP282" s="184"/>
      <c r="AQ282" s="184"/>
      <c r="AR282" s="185">
        <f>TablaPrincipal[[#This Row],[LIBRAS RALEO PLANTA]]-TablaPrincipal[[#This Row],[LIBRAS RALEO CAMARONERA]]</f>
        <v>0</v>
      </c>
      <c r="AS282" s="185">
        <f>TablaPrincipal[[#This Row],[LIBRAS PLANTA]]-TablaPrincipal[[#This Row],[LIBRAS CAMARONERA]]</f>
        <v>2840.66</v>
      </c>
      <c r="AT282" s="187">
        <f>TablaPrincipal[[#This Row],[GRAMAJE RALEO PLANTA]]-TablaPrincipal[[#This Row],[GRAMAJE RALEO CAMARONERA]]</f>
        <v>0</v>
      </c>
      <c r="AU282" s="187">
        <f>TablaPrincipal[[#This Row],[GRAMOS PLANTA]]-TablaPrincipal[[#This Row],[GRAMAJE CAMARONERA]]</f>
        <v>4.3599999999999994</v>
      </c>
      <c r="AV282" s="183" t="str">
        <f>+VLOOKUP(TablaPrincipal[[#This Row],[CODIGO]],TablaCosechas[#All],10,0)</f>
        <v>WILMER TORRES</v>
      </c>
      <c r="AW282" s="183" t="s">
        <v>155</v>
      </c>
      <c r="AX282" s="241" t="str">
        <f>+VLOOKUP(TablaPrincipal[[#This Row],[CODIGO]],TablaCosechas[#All],10,0)</f>
        <v>WILMER TORRES</v>
      </c>
    </row>
    <row r="283" spans="1:50" hidden="1" x14ac:dyDescent="0.25">
      <c r="A283" s="196">
        <v>46126</v>
      </c>
      <c r="B283" s="242">
        <f>ROW() - ROW(TablaPrincipal[[#Headers],[ID]])</f>
        <v>281</v>
      </c>
      <c r="C283" s="183">
        <f>YEAR(TablaPrincipal[[#This Row],[FECHA]])</f>
        <v>2026</v>
      </c>
      <c r="D283" s="183" t="s">
        <v>334</v>
      </c>
      <c r="E283" s="183" t="str">
        <f>UPPER(TEXT(TablaPrincipal[[#This Row],[FECHA]],"MMMM"))</f>
        <v>ABRIL</v>
      </c>
      <c r="F283" s="183" t="str">
        <f>IFERROR(VLOOKUP(TablaPrincipal[[#This Row],[CODIGO]],COSECHAS!A:J,9,0),"-")</f>
        <v>19</v>
      </c>
      <c r="G283" s="183" t="str">
        <f>IFERROR(VLOOKUP(TablaPrincipal[[#This Row],[CODIGO]],COSECHAS!A:I,8,0),"-")</f>
        <v>WAHOO</v>
      </c>
      <c r="H283" s="184">
        <f>IFERROR(VLOOKUP(TablaPrincipal[[#This Row],[CODIGO]],DATOS!A:B,2,0),"-")</f>
        <v>5.5</v>
      </c>
      <c r="I283" s="183" t="str">
        <f>IFERROR(VLOOKUP(TablaPrincipal[[#This Row],[CODIGO]],Tabla8[[#Headers],[#Data]],3,0),"-")</f>
        <v>CONVENCIONAL</v>
      </c>
      <c r="J283" s="183">
        <f>IFERROR(TablaPrincipal[[#This Row],[FECHA]]-TablaPrincipal[[#This Row],[FECHA DE SIEMBRA]],"-")</f>
        <v>82</v>
      </c>
      <c r="K283" s="196">
        <f>VLOOKUP(TablaPrincipal[[#This Row],[CODIGO]]&amp;TablaPrincipal[[#This Row],[AGUAJE ]],Tabla4[#All],4,0)</f>
        <v>46044</v>
      </c>
      <c r="L283" s="183" t="str">
        <f>VLOOKUP(TablaPrincipal[[#This Row],[CODIGO]]&amp;TablaPrincipal[[#This Row],[AGUAJE ]],Tabla4[#All],15,0)</f>
        <v>WA PS 18</v>
      </c>
      <c r="M283" s="184">
        <f>VLOOKUP(TablaPrincipal[[#This Row],[CODIGO]]&amp;TablaPrincipal[[#This Row],[AGUAJE ]],Tabla4[#All],14,0)</f>
        <v>1.1299999999999999</v>
      </c>
      <c r="N283" s="183">
        <v>38</v>
      </c>
      <c r="O283" s="170">
        <f>VLOOKUP(TablaPrincipal[[#This Row],[CODIGO]]&amp;TablaPrincipal[[#This Row],[AGUAJE ]],Tabla4[#All],5,0)</f>
        <v>797500</v>
      </c>
      <c r="P283" s="221">
        <f>IFERROR(TablaPrincipal[[#This Row],[ANIM SEMBRADOS]]/TablaPrincipal[[#This Row],[HAS]],"-")</f>
        <v>145000</v>
      </c>
      <c r="Q283" s="222">
        <f>IFERROR(TablaPrincipal[[#This Row],[DENSIDAD]]/10000,"-")</f>
        <v>14.5</v>
      </c>
      <c r="R283" s="183" t="str">
        <f>VLOOKUP(TablaPrincipal[[#This Row],[CODIGO]]&amp;TablaPrincipal[[#This Row],[AGUAJE ]],Tabla4[#All],8,0)</f>
        <v>TECSERV</v>
      </c>
      <c r="S283" s="183" t="str">
        <f>VLOOKUP(TablaPrincipal[[#This Row],[CODIGO]]&amp;TablaPrincipal[[#This Row],[AGUAJE ]],Tabla4[#All],7,0)</f>
        <v>SEMACUA</v>
      </c>
      <c r="T283" s="183" t="str">
        <f>IF(ISNUMBER(FIND("/",TablaPrincipal[[#This Row],[LABORATORIO]])),"COMBINADO","UNICO")</f>
        <v>UNICO</v>
      </c>
      <c r="U2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6500</v>
      </c>
      <c r="V2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7034.4</v>
      </c>
      <c r="W2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23.53</v>
      </c>
      <c r="Y283" s="185">
        <f>IFERROR(TablaPrincipal[[#This Row],[LIBRAS RALEO PLANTA]]/TablaPrincipal[[#This Row],[HAS]],"-")</f>
        <v>1278.9818181818182</v>
      </c>
      <c r="Z2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135725.35486612833</v>
      </c>
      <c r="AA2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18700</v>
      </c>
      <c r="AB2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21152.18</v>
      </c>
      <c r="AC283" s="186">
        <f>SUMIFS(COSECHAS!F:F,COSECHAS!A:A,'BASE 2026'!AW:AW,COSECHAS!G:G,"="&amp;A:A)</f>
        <v>41</v>
      </c>
      <c r="AD283" s="186">
        <f>SUMIFS(COSECHAS!M:M,COSECHAS!A:A,'BASE 2026'!AW:AW,COSECHAS!G:G,"="&amp;A:A)</f>
        <v>41.08</v>
      </c>
      <c r="AE283" s="185">
        <f>IFERROR(TablaPrincipal[[#This Row],[LIBRAS PLANTA]]/TablaPrincipal[[#This Row],[HAS]],"-")</f>
        <v>3845.8509090909092</v>
      </c>
      <c r="AF283" s="185">
        <f>IFERROR(TablaPrincipal[[#This Row],[LIBRAS PLANTA]]*454/TablaPrincipal[[#This Row],[GRAMOS PLANTA]],"-")</f>
        <v>233765.57254138269</v>
      </c>
      <c r="AG283" s="185">
        <f>TablaPrincipal[[#This Row],[LIBRAS RALEO PLANTA]]+TablaPrincipal[[#This Row],[LIBRAS PLANTA]]</f>
        <v>28186.58</v>
      </c>
      <c r="AH283" s="185">
        <f>IFERROR(TablaPrincipal[[#This Row],[CAM COSECHADOS RALEO]]+TablaPrincipal[[#This Row],[CAM COSECHADOS]],"-")</f>
        <v>369490.92740751104</v>
      </c>
      <c r="AI283" s="185">
        <f>IFERROR((TablaPrincipal[[#This Row],[LIBRAS RALEO PLANTA]]+TablaPrincipal[[#This Row],[LIBRAS PLANTA]])/TablaPrincipal[[#This Row],[HAS]],"0")</f>
        <v>5124.8327272727274</v>
      </c>
      <c r="AJ283" s="186">
        <f t="shared" si="4"/>
        <v>3.5068292682926829</v>
      </c>
      <c r="AK283" s="186">
        <f>IFERROR(TablaPrincipal[[#This Row],[LBS/HA]]/TablaPrincipal[[#This Row],[DIAS]],"-")</f>
        <v>62.497960088691798</v>
      </c>
      <c r="AL283" s="186">
        <f>IFERROR(TablaPrincipal[[#This Row],[CAM COSECHADOS TOTALES]]/TablaPrincipal[[#This Row],[ANIM SEMBRADOS]]*100,"-")</f>
        <v>46.331150772101701</v>
      </c>
      <c r="AM283" s="185">
        <v>41750.714800000002</v>
      </c>
      <c r="AN283" s="187">
        <f>IFERROR(((TablaPrincipal[[#This Row],[BALANCEADO ACUMULADO (LBS)]]/2.2046)/TablaPrincipal[[#This Row],[HAS]])/TablaPrincipal[[#This Row],[DIAS]],"-")</f>
        <v>41.991130820399114</v>
      </c>
      <c r="AO283" s="184">
        <f>IFERROR(TablaPrincipal[[#This Row],[BALANCEADO ACUMULADO (LBS)]]/TablaPrincipal[[#This Row],[LIBRAS TOTALES]],"-")</f>
        <v>1.4812266972438657</v>
      </c>
      <c r="AP283" s="184"/>
      <c r="AQ283" s="184"/>
      <c r="AR283" s="185">
        <f>TablaPrincipal[[#This Row],[LIBRAS RALEO PLANTA]]-TablaPrincipal[[#This Row],[LIBRAS RALEO CAMARONERA]]</f>
        <v>534.39999999999964</v>
      </c>
      <c r="AS283" s="185">
        <f>TablaPrincipal[[#This Row],[LIBRAS PLANTA]]-TablaPrincipal[[#This Row],[LIBRAS CAMARONERA]]</f>
        <v>2452.1800000000003</v>
      </c>
      <c r="AT283" s="187">
        <f>TablaPrincipal[[#This Row],[GRAMAJE RALEO PLANTA]]-TablaPrincipal[[#This Row],[GRAMAJE RALEO CAMARONERA]]</f>
        <v>1.5300000000000011</v>
      </c>
      <c r="AU283" s="187">
        <f>TablaPrincipal[[#This Row],[GRAMOS PLANTA]]-TablaPrincipal[[#This Row],[GRAMAJE CAMARONERA]]</f>
        <v>7.9999999999998295E-2</v>
      </c>
      <c r="AV283" s="183" t="str">
        <f>+VLOOKUP(TablaPrincipal[[#This Row],[CODIGO]],TablaCosechas[#All],10,0)</f>
        <v>JUNIOR ESQUIVEL</v>
      </c>
      <c r="AW283" s="183" t="s">
        <v>335</v>
      </c>
      <c r="AX283" s="241" t="str">
        <f>+VLOOKUP(TablaPrincipal[[#This Row],[CODIGO]],TablaCosechas[#All],10,0)</f>
        <v>JUNIOR ESQUIVEL</v>
      </c>
    </row>
    <row r="284" spans="1:50" hidden="1" x14ac:dyDescent="0.25">
      <c r="A284" s="196">
        <v>46127</v>
      </c>
      <c r="B284" s="242">
        <f>ROW() - ROW(TablaPrincipal[[#Headers],[ID]])</f>
        <v>282</v>
      </c>
      <c r="C284" s="183">
        <f>YEAR(TablaPrincipal[[#This Row],[FECHA]])</f>
        <v>2026</v>
      </c>
      <c r="D284" s="183" t="s">
        <v>334</v>
      </c>
      <c r="E284" s="183" t="str">
        <f>UPPER(TEXT(TablaPrincipal[[#This Row],[FECHA]],"MMMM"))</f>
        <v>ABRIL</v>
      </c>
      <c r="F284" s="183" t="str">
        <f>IFERROR(VLOOKUP(TablaPrincipal[[#This Row],[CODIGO]],COSECHAS!A:J,9,0),"-")</f>
        <v>23</v>
      </c>
      <c r="G284" s="183" t="str">
        <f>IFERROR(VLOOKUP(TablaPrincipal[[#This Row],[CODIGO]],COSECHAS!A:I,8,0),"-")</f>
        <v>CHERNA</v>
      </c>
      <c r="H284" s="184">
        <f>IFERROR(VLOOKUP(TablaPrincipal[[#This Row],[CODIGO]],DATOS!A:B,2,0),"-")</f>
        <v>6.1</v>
      </c>
      <c r="I284" s="183" t="str">
        <f>IFERROR(VLOOKUP(TablaPrincipal[[#This Row],[CODIGO]],Tabla8[[#Headers],[#Data]],3,0),"-")</f>
        <v>ASC</v>
      </c>
      <c r="J284" s="183">
        <f>IFERROR(TablaPrincipal[[#This Row],[FECHA]]-TablaPrincipal[[#This Row],[FECHA DE SIEMBRA]],"-")</f>
        <v>81</v>
      </c>
      <c r="K284" s="196">
        <f>VLOOKUP(TablaPrincipal[[#This Row],[CODIGO]]&amp;TablaPrincipal[[#This Row],[AGUAJE ]],Tabla4[#All],4,0)</f>
        <v>46046</v>
      </c>
      <c r="L284" s="183" t="str">
        <f>VLOOKUP(TablaPrincipal[[#This Row],[CODIGO]]&amp;TablaPrincipal[[#This Row],[AGUAJE ]],Tabla4[#All],15,0)</f>
        <v>CH PS 17</v>
      </c>
      <c r="M284" s="184">
        <f>VLOOKUP(TablaPrincipal[[#This Row],[CODIGO]]&amp;TablaPrincipal[[#This Row],[AGUAJE ]],Tabla4[#All],14,0)</f>
        <v>0.57999999999999996</v>
      </c>
      <c r="N284" s="183">
        <v>11</v>
      </c>
      <c r="O284" s="170">
        <f>VLOOKUP(TablaPrincipal[[#This Row],[CODIGO]]&amp;TablaPrincipal[[#This Row],[AGUAJE ]],Tabla4[#All],5,0)</f>
        <v>1098000</v>
      </c>
      <c r="P284" s="221">
        <f>IFERROR(TablaPrincipal[[#This Row],[ANIM SEMBRADOS]]/TablaPrincipal[[#This Row],[HAS]],"-")</f>
        <v>180000</v>
      </c>
      <c r="Q284" s="222">
        <f>IFERROR(TablaPrincipal[[#This Row],[DENSIDAD]]/10000,"-")</f>
        <v>18</v>
      </c>
      <c r="R284" s="183" t="str">
        <f>VLOOKUP(TablaPrincipal[[#This Row],[CODIGO]]&amp;TablaPrincipal[[#This Row],[AGUAJE ]],Tabla4[#All],8,0)</f>
        <v>LARVASLAB</v>
      </c>
      <c r="S284" s="183" t="str">
        <f>VLOOKUP(TablaPrincipal[[#This Row],[CODIGO]]&amp;TablaPrincipal[[#This Row],[AGUAJE ]],Tabla4[#All],7,0)</f>
        <v>TEXCUMAR</v>
      </c>
      <c r="T284" s="183" t="str">
        <f>IF(ISNUMBER(FIND("/",TablaPrincipal[[#This Row],[LABORATORIO]])),"COMBINADO","UNICO")</f>
        <v>UNICO</v>
      </c>
      <c r="U2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16100</v>
      </c>
      <c r="V2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17632.5</v>
      </c>
      <c r="W2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</v>
      </c>
      <c r="X2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26.82</v>
      </c>
      <c r="Y284" s="185">
        <f>IFERROR(TablaPrincipal[[#This Row],[LIBRAS RALEO PLANTA]]/TablaPrincipal[[#This Row],[HAS]],"-")</f>
        <v>2890.5737704918033</v>
      </c>
      <c r="Z2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301486.32098058256</v>
      </c>
      <c r="AA2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23600</v>
      </c>
      <c r="AB2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24156.080000000002</v>
      </c>
      <c r="AC284" s="186">
        <f>SUMIFS(COSECHAS!F:F,COSECHAS!A:A,'BASE 2026'!AW:AW,COSECHAS!G:G,"="&amp;A:A)</f>
        <v>33</v>
      </c>
      <c r="AD284" s="186">
        <f>SUMIFS(COSECHAS!M:M,COSECHAS!A:A,'BASE 2026'!AW:AW,COSECHAS!G:G,"="&amp;A:A)</f>
        <v>31.66</v>
      </c>
      <c r="AE284" s="185">
        <f>IFERROR(TablaPrincipal[[#This Row],[LIBRAS PLANTA]]/TablaPrincipal[[#This Row],[HAS]],"-")</f>
        <v>3960.0131147540988</v>
      </c>
      <c r="AF284" s="185">
        <f>IFERROR(TablaPrincipal[[#This Row],[LIBRAS PLANTA]]*454/TablaPrincipal[[#This Row],[GRAMOS PLANTA]],"-")</f>
        <v>346394.83006948832</v>
      </c>
      <c r="AG284" s="185">
        <f>TablaPrincipal[[#This Row],[LIBRAS RALEO PLANTA]]+TablaPrincipal[[#This Row],[LIBRAS PLANTA]]</f>
        <v>41788.58</v>
      </c>
      <c r="AH284" s="185">
        <f>IFERROR(TablaPrincipal[[#This Row],[CAM COSECHADOS RALEO]]+TablaPrincipal[[#This Row],[CAM COSECHADOS]],"-")</f>
        <v>647881.15105007088</v>
      </c>
      <c r="AI284" s="185">
        <f>IFERROR((TablaPrincipal[[#This Row],[LIBRAS RALEO PLANTA]]+TablaPrincipal[[#This Row],[LIBRAS PLANTA]])/TablaPrincipal[[#This Row],[HAS]],"0")</f>
        <v>6850.5868852459025</v>
      </c>
      <c r="AJ284" s="186">
        <f t="shared" si="4"/>
        <v>2.7360493827160495</v>
      </c>
      <c r="AK284" s="186">
        <f>IFERROR(TablaPrincipal[[#This Row],[LBS/HA]]/TablaPrincipal[[#This Row],[DIAS]],"-")</f>
        <v>84.575146731430891</v>
      </c>
      <c r="AL284" s="186">
        <f>IFERROR(TablaPrincipal[[#This Row],[CAM COSECHADOS TOTALES]]/TablaPrincipal[[#This Row],[ANIM SEMBRADOS]]*100,"-")</f>
        <v>59.005569312392616</v>
      </c>
      <c r="AM284" s="185">
        <v>66578.92</v>
      </c>
      <c r="AN284" s="187">
        <f>IFERROR(((TablaPrincipal[[#This Row],[BALANCEADO ACUMULADO (LBS)]]/2.2046)/TablaPrincipal[[#This Row],[HAS]])/TablaPrincipal[[#This Row],[DIAS]],"-")</f>
        <v>61.121230520137615</v>
      </c>
      <c r="AO284" s="184">
        <f>IFERROR(TablaPrincipal[[#This Row],[BALANCEADO ACUMULADO (LBS)]]/TablaPrincipal[[#This Row],[LIBRAS TOTALES]],"-")</f>
        <v>1.5932324094286046</v>
      </c>
      <c r="AP284" s="184"/>
      <c r="AQ284" s="184"/>
      <c r="AR284" s="185">
        <f>TablaPrincipal[[#This Row],[LIBRAS RALEO PLANTA]]-TablaPrincipal[[#This Row],[LIBRAS RALEO CAMARONERA]]</f>
        <v>1532.5</v>
      </c>
      <c r="AS284" s="185">
        <f>TablaPrincipal[[#This Row],[LIBRAS PLANTA]]-TablaPrincipal[[#This Row],[LIBRAS CAMARONERA]]</f>
        <v>556.08000000000175</v>
      </c>
      <c r="AT284" s="187">
        <f>TablaPrincipal[[#This Row],[GRAMAJE RALEO PLANTA]]-TablaPrincipal[[#This Row],[GRAMAJE RALEO CAMARONERA]]</f>
        <v>0.51999999999999957</v>
      </c>
      <c r="AU284" s="187">
        <f>TablaPrincipal[[#This Row],[GRAMOS PLANTA]]-TablaPrincipal[[#This Row],[GRAMAJE CAMARONERA]]</f>
        <v>-1.3399999999999999</v>
      </c>
      <c r="AV284" s="183" t="str">
        <f>+VLOOKUP(TablaPrincipal[[#This Row],[CODIGO]],TablaCosechas[#All],10,0)</f>
        <v>SANTIAGO OBRIEN</v>
      </c>
      <c r="AW284" s="183" t="s">
        <v>26</v>
      </c>
      <c r="AX284" s="241" t="str">
        <f>+VLOOKUP(TablaPrincipal[[#This Row],[CODIGO]],TablaCosechas[#All],10,0)</f>
        <v>SANTIAGO OBRIEN</v>
      </c>
    </row>
    <row r="285" spans="1:50" hidden="1" x14ac:dyDescent="0.25">
      <c r="A285" s="196">
        <v>46127</v>
      </c>
      <c r="B285" s="242">
        <f>ROW() - ROW(TablaPrincipal[[#Headers],[ID]])</f>
        <v>283</v>
      </c>
      <c r="C285" s="183">
        <f>YEAR(TablaPrincipal[[#This Row],[FECHA]])</f>
        <v>2026</v>
      </c>
      <c r="D285" s="183" t="s">
        <v>334</v>
      </c>
      <c r="E285" s="183" t="str">
        <f>UPPER(TEXT(TablaPrincipal[[#This Row],[FECHA]],"MMMM"))</f>
        <v>ABRIL</v>
      </c>
      <c r="F285" s="183" t="str">
        <f>IFERROR(VLOOKUP(TablaPrincipal[[#This Row],[CODIGO]],COSECHAS!A:J,9,0),"-")</f>
        <v>27</v>
      </c>
      <c r="G285" s="183" t="str">
        <f>IFERROR(VLOOKUP(TablaPrincipal[[#This Row],[CODIGO]],COSECHAS!A:I,8,0),"-")</f>
        <v>DORADO</v>
      </c>
      <c r="H285" s="184">
        <f>IFERROR(VLOOKUP(TablaPrincipal[[#This Row],[CODIGO]],DATOS!A:B,2,0),"-")</f>
        <v>5.34</v>
      </c>
      <c r="I285" s="183" t="str">
        <f>IFERROR(VLOOKUP(TablaPrincipal[[#This Row],[CODIGO]],Tabla8[[#Headers],[#Data]],3,0),"-")</f>
        <v>ASC-BAP</v>
      </c>
      <c r="J285" s="183">
        <f>IFERROR(TablaPrincipal[[#This Row],[FECHA]]-TablaPrincipal[[#This Row],[FECHA DE SIEMBRA]],"-")</f>
        <v>64</v>
      </c>
      <c r="K285" s="196">
        <f>VLOOKUP(TablaPrincipal[[#This Row],[CODIGO]]&amp;TablaPrincipal[[#This Row],[AGUAJE ]],Tabla4[#All],4,0)</f>
        <v>46063</v>
      </c>
      <c r="L285" s="183" t="str">
        <f>VLOOKUP(TablaPrincipal[[#This Row],[CODIGO]]&amp;TablaPrincipal[[#This Row],[AGUAJE ]],Tabla4[#All],15,0)</f>
        <v>DO PC 13</v>
      </c>
      <c r="M285" s="184">
        <f>VLOOKUP(TablaPrincipal[[#This Row],[CODIGO]]&amp;TablaPrincipal[[#This Row],[AGUAJE ]],Tabla4[#All],14,0)</f>
        <v>1.01</v>
      </c>
      <c r="N285" s="183">
        <v>1</v>
      </c>
      <c r="O285" s="170">
        <f>VLOOKUP(TablaPrincipal[[#This Row],[CODIGO]]&amp;TablaPrincipal[[#This Row],[AGUAJE ]],Tabla4[#All],5,0)</f>
        <v>961200</v>
      </c>
      <c r="P285" s="221">
        <f>IFERROR(TablaPrincipal[[#This Row],[ANIM SEMBRADOS]]/TablaPrincipal[[#This Row],[HAS]],"-")</f>
        <v>180000</v>
      </c>
      <c r="Q285" s="222">
        <f>IFERROR(TablaPrincipal[[#This Row],[DENSIDAD]]/10000,"-")</f>
        <v>18</v>
      </c>
      <c r="R285" s="183" t="str">
        <f>VLOOKUP(TablaPrincipal[[#This Row],[CODIGO]]&amp;TablaPrincipal[[#This Row],[AGUAJE ]],Tabla4[#All],8,0)</f>
        <v>PRICMARSA</v>
      </c>
      <c r="S285" s="183" t="str">
        <f>VLOOKUP(TablaPrincipal[[#This Row],[CODIGO]]&amp;TablaPrincipal[[#This Row],[AGUAJE ]],Tabla4[#All],7,0)</f>
        <v>TEXCUMAR</v>
      </c>
      <c r="T285" s="183" t="str">
        <f>IF(ISNUMBER(FIND("/",TablaPrincipal[[#This Row],[LABORATORIO]])),"COMBINADO","UNICO")</f>
        <v>UNICO</v>
      </c>
      <c r="U2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17500</v>
      </c>
      <c r="V2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17458.349999999999</v>
      </c>
      <c r="W2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22.72</v>
      </c>
      <c r="Y285" s="185">
        <f>IFERROR(TablaPrincipal[[#This Row],[LIBRAS RALEO PLANTA]]/TablaPrincipal[[#This Row],[HAS]],"-")</f>
        <v>3269.3539325842694</v>
      </c>
      <c r="Z2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356944.23124843009</v>
      </c>
      <c r="AA2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8000</v>
      </c>
      <c r="AB2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8619.83</v>
      </c>
      <c r="AC285" s="186">
        <f>SUMIFS(COSECHAS!F:F,COSECHAS!A:A,'BASE 2026'!AW:AW,COSECHAS!G:G,"="&amp;A:A)</f>
        <v>32</v>
      </c>
      <c r="AD285" s="186">
        <f>SUMIFS(COSECHAS!M:M,COSECHAS!A:A,'BASE 2026'!AW:AW,COSECHAS!G:G,"="&amp;A:A)</f>
        <v>34.5</v>
      </c>
      <c r="AE285" s="185">
        <f>IFERROR(TablaPrincipal[[#This Row],[LIBRAS PLANTA]]/TablaPrincipal[[#This Row],[HAS]],"-")</f>
        <v>1614.2003745318352</v>
      </c>
      <c r="AF285" s="185">
        <f>IFERROR(TablaPrincipal[[#This Row],[LIBRAS PLANTA]]*454/TablaPrincipal[[#This Row],[GRAMOS PLANTA]],"-")</f>
        <v>113431.96579710144</v>
      </c>
      <c r="AG285" s="185">
        <f>TablaPrincipal[[#This Row],[LIBRAS RALEO PLANTA]]+TablaPrincipal[[#This Row],[LIBRAS PLANTA]]</f>
        <v>26078.18</v>
      </c>
      <c r="AH285" s="185">
        <f>IFERROR(TablaPrincipal[[#This Row],[CAM COSECHADOS RALEO]]+TablaPrincipal[[#This Row],[CAM COSECHADOS]],"-")</f>
        <v>470376.19704553153</v>
      </c>
      <c r="AI285" s="185">
        <f>IFERROR((TablaPrincipal[[#This Row],[LIBRAS RALEO PLANTA]]+TablaPrincipal[[#This Row],[LIBRAS PLANTA]])/TablaPrincipal[[#This Row],[HAS]],"0")</f>
        <v>4883.5543071161046</v>
      </c>
      <c r="AJ285" s="186">
        <f t="shared" si="4"/>
        <v>3.7734375</v>
      </c>
      <c r="AK285" s="186">
        <f>IFERROR(TablaPrincipal[[#This Row],[LBS/HA]]/TablaPrincipal[[#This Row],[DIAS]],"-")</f>
        <v>76.305536048689135</v>
      </c>
      <c r="AL285" s="186">
        <f>IFERROR(TablaPrincipal[[#This Row],[CAM COSECHADOS TOTALES]]/TablaPrincipal[[#This Row],[ANIM SEMBRADOS]]*100,"-")</f>
        <v>48.936350087966247</v>
      </c>
      <c r="AM285" s="185">
        <v>43761.310000000005</v>
      </c>
      <c r="AN285" s="187">
        <f>IFERROR(((TablaPrincipal[[#This Row],[BALANCEADO ACUMULADO (LBS)]]/2.2046)/TablaPrincipal[[#This Row],[HAS]])/TablaPrincipal[[#This Row],[DIAS]],"-")</f>
        <v>58.081694756554306</v>
      </c>
      <c r="AO285" s="184">
        <f>IFERROR(TablaPrincipal[[#This Row],[BALANCEADO ACUMULADO (LBS)]]/TablaPrincipal[[#This Row],[LIBRAS TOTALES]],"-")</f>
        <v>1.6780814458677715</v>
      </c>
      <c r="AP285" s="184"/>
      <c r="AQ285" s="184"/>
      <c r="AR285" s="185">
        <f>TablaPrincipal[[#This Row],[LIBRAS RALEO PLANTA]]-TablaPrincipal[[#This Row],[LIBRAS RALEO CAMARONERA]]</f>
        <v>-41.650000000001455</v>
      </c>
      <c r="AS285" s="185">
        <f>TablaPrincipal[[#This Row],[LIBRAS PLANTA]]-TablaPrincipal[[#This Row],[LIBRAS CAMARONERA]]</f>
        <v>619.82999999999993</v>
      </c>
      <c r="AT285" s="187">
        <f>TablaPrincipal[[#This Row],[GRAMAJE RALEO PLANTA]]-TablaPrincipal[[#This Row],[GRAMAJE RALEO CAMARONERA]]</f>
        <v>1.7199999999999989</v>
      </c>
      <c r="AU285" s="187">
        <f>TablaPrincipal[[#This Row],[GRAMOS PLANTA]]-TablaPrincipal[[#This Row],[GRAMAJE CAMARONERA]]</f>
        <v>2.5</v>
      </c>
      <c r="AV285" s="183" t="str">
        <f>+VLOOKUP(TablaPrincipal[[#This Row],[CODIGO]],TablaCosechas[#All],10,0)</f>
        <v>JOSE CEDEÑO</v>
      </c>
      <c r="AW285" s="183" t="s">
        <v>206</v>
      </c>
      <c r="AX285" s="241" t="str">
        <f>+VLOOKUP(TablaPrincipal[[#This Row],[CODIGO]],TablaCosechas[#All],10,0)</f>
        <v>JOSE CEDEÑO</v>
      </c>
    </row>
    <row r="286" spans="1:50" hidden="1" x14ac:dyDescent="0.25">
      <c r="A286" s="196">
        <v>46127</v>
      </c>
      <c r="B286" s="242">
        <f>ROW() - ROW(TablaPrincipal[[#Headers],[ID]])</f>
        <v>284</v>
      </c>
      <c r="C286" s="183">
        <f>YEAR(TablaPrincipal[[#This Row],[FECHA]])</f>
        <v>2026</v>
      </c>
      <c r="D286" s="183" t="s">
        <v>334</v>
      </c>
      <c r="E286" s="183" t="str">
        <f>UPPER(TEXT(TablaPrincipal[[#This Row],[FECHA]],"MMMM"))</f>
        <v>ABRIL</v>
      </c>
      <c r="F286" s="183" t="str">
        <f>IFERROR(VLOOKUP(TablaPrincipal[[#This Row],[CODIGO]],COSECHAS!A:J,9,0),"-")</f>
        <v>12</v>
      </c>
      <c r="G286" s="183" t="str">
        <f>IFERROR(VLOOKUP(TablaPrincipal[[#This Row],[CODIGO]],COSECHAS!A:I,8,0),"-")</f>
        <v>DORADO</v>
      </c>
      <c r="H286" s="184">
        <f>IFERROR(VLOOKUP(TablaPrincipal[[#This Row],[CODIGO]],DATOS!A:B,2,0),"-")</f>
        <v>7.8</v>
      </c>
      <c r="I286" s="183" t="str">
        <f>IFERROR(VLOOKUP(TablaPrincipal[[#This Row],[CODIGO]],Tabla8[[#Headers],[#Data]],3,0),"-")</f>
        <v>ASC-BAP</v>
      </c>
      <c r="J286" s="183">
        <f>IFERROR(TablaPrincipal[[#This Row],[FECHA]]-TablaPrincipal[[#This Row],[FECHA DE SIEMBRA]],"-")</f>
        <v>81</v>
      </c>
      <c r="K286" s="196">
        <f>VLOOKUP(TablaPrincipal[[#This Row],[CODIGO]]&amp;TablaPrincipal[[#This Row],[AGUAJE ]],Tabla4[#All],4,0)</f>
        <v>46046</v>
      </c>
      <c r="L286" s="183" t="str">
        <f>VLOOKUP(TablaPrincipal[[#This Row],[CODIGO]]&amp;TablaPrincipal[[#This Row],[AGUAJE ]],Tabla4[#All],15,0)</f>
        <v>DO PS 15 - DO PC 6</v>
      </c>
      <c r="M286" s="184">
        <f>VLOOKUP(TablaPrincipal[[#This Row],[CODIGO]]&amp;TablaPrincipal[[#This Row],[AGUAJE ]],Tabla4[#All],14,0)</f>
        <v>1.4550000000000001</v>
      </c>
      <c r="N286" s="183">
        <v>3</v>
      </c>
      <c r="O286" s="170">
        <f>VLOOKUP(TablaPrincipal[[#This Row],[CODIGO]]&amp;TablaPrincipal[[#This Row],[AGUAJE ]],Tabla4[#All],5,0)</f>
        <v>1256929</v>
      </c>
      <c r="P286" s="221">
        <f>IFERROR(TablaPrincipal[[#This Row],[ANIM SEMBRADOS]]/TablaPrincipal[[#This Row],[HAS]],"-")</f>
        <v>161144.74358974359</v>
      </c>
      <c r="Q286" s="222">
        <f>IFERROR(TablaPrincipal[[#This Row],[DENSIDAD]]/10000,"-")</f>
        <v>16.114474358974359</v>
      </c>
      <c r="R286" s="183" t="str">
        <f>VLOOKUP(TablaPrincipal[[#This Row],[CODIGO]]&amp;TablaPrincipal[[#This Row],[AGUAJE ]],Tabla4[#All],8,0)</f>
        <v>TECSERV - PRONAUPLIO</v>
      </c>
      <c r="S286" s="183" t="str">
        <f>VLOOKUP(TablaPrincipal[[#This Row],[CODIGO]]&amp;TablaPrincipal[[#This Row],[AGUAJE ]],Tabla4[#All],7,0)</f>
        <v>SEMACUA / EMPAGRAN</v>
      </c>
      <c r="T286" s="183" t="str">
        <f>IF(ISNUMBER(FIND("/",TablaPrincipal[[#This Row],[LABORATORIO]])),"COMBINADO","UNICO")</f>
        <v>UNICO</v>
      </c>
      <c r="U2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39800</v>
      </c>
      <c r="V2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40030.21</v>
      </c>
      <c r="W2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33.333333333333336</v>
      </c>
      <c r="X2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34.72</v>
      </c>
      <c r="Y286" s="185">
        <f>IFERROR(TablaPrincipal[[#This Row],[LIBRAS RALEO PLANTA]]/TablaPrincipal[[#This Row],[HAS]],"-")</f>
        <v>5132.0782051282049</v>
      </c>
      <c r="Z2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518353.57538308634</v>
      </c>
      <c r="AA2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2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14766.36</v>
      </c>
      <c r="AC286" s="186">
        <f>SUMIFS(COSECHAS!F:F,COSECHAS!A:A,'BASE 2026'!AW:AW,COSECHAS!G:G,"="&amp;A:A)</f>
        <v>38</v>
      </c>
      <c r="AD286" s="186">
        <f>SUMIFS(COSECHAS!M:M,COSECHAS!A:A,'BASE 2026'!AW:AW,COSECHAS!G:G,"="&amp;A:A)</f>
        <v>39.200000000000003</v>
      </c>
      <c r="AE286" s="185">
        <f>IFERROR(TablaPrincipal[[#This Row],[LIBRAS PLANTA]]/TablaPrincipal[[#This Row],[HAS]],"-")</f>
        <v>1893.123076923077</v>
      </c>
      <c r="AF286" s="185">
        <f>IFERROR(TablaPrincipal[[#This Row],[LIBRAS PLANTA]]*454/TablaPrincipal[[#This Row],[GRAMOS PLANTA]],"-")</f>
        <v>171018.55714285714</v>
      </c>
      <c r="AG286" s="185">
        <f>TablaPrincipal[[#This Row],[LIBRAS RALEO PLANTA]]+TablaPrincipal[[#This Row],[LIBRAS PLANTA]]</f>
        <v>54796.57</v>
      </c>
      <c r="AH286" s="185">
        <f>IFERROR(TablaPrincipal[[#This Row],[CAM COSECHADOS RALEO]]+TablaPrincipal[[#This Row],[CAM COSECHADOS]],"-")</f>
        <v>689372.13252594345</v>
      </c>
      <c r="AI286" s="185">
        <f>IFERROR((TablaPrincipal[[#This Row],[LIBRAS RALEO PLANTA]]+TablaPrincipal[[#This Row],[LIBRAS PLANTA]])/TablaPrincipal[[#This Row],[HAS]],"0")</f>
        <v>7025.2012820512819</v>
      </c>
      <c r="AJ286" s="186">
        <f t="shared" si="4"/>
        <v>3.3876543209876546</v>
      </c>
      <c r="AK286" s="186">
        <f>IFERROR(TablaPrincipal[[#This Row],[LBS/HA]]/TablaPrincipal[[#This Row],[DIAS]],"-")</f>
        <v>86.730880025324467</v>
      </c>
      <c r="AL286" s="186">
        <f>IFERROR(TablaPrincipal[[#This Row],[CAM COSECHADOS TOTALES]]/TablaPrincipal[[#This Row],[ANIM SEMBRADOS]]*100,"-")</f>
        <v>54.845749642656308</v>
      </c>
      <c r="AM286" s="185">
        <v>88459.575000000012</v>
      </c>
      <c r="AN286" s="187">
        <f>IFERROR(((TablaPrincipal[[#This Row],[BALANCEADO ACUMULADO (LBS)]]/2.2046)/TablaPrincipal[[#This Row],[HAS]])/TablaPrincipal[[#This Row],[DIAS]],"-")</f>
        <v>63.509021842355182</v>
      </c>
      <c r="AO286" s="184">
        <f>IFERROR(TablaPrincipal[[#This Row],[BALANCEADO ACUMULADO (LBS)]]/TablaPrincipal[[#This Row],[LIBRAS TOTALES]],"-")</f>
        <v>1.6143268638894737</v>
      </c>
      <c r="AP286" s="184"/>
      <c r="AQ286" s="184"/>
      <c r="AR286" s="185">
        <f>TablaPrincipal[[#This Row],[LIBRAS RALEO PLANTA]]-TablaPrincipal[[#This Row],[LIBRAS RALEO CAMARONERA]]</f>
        <v>230.20999999999913</v>
      </c>
      <c r="AS286" s="185">
        <f>TablaPrincipal[[#This Row],[LIBRAS PLANTA]]-TablaPrincipal[[#This Row],[LIBRAS CAMARONERA]]</f>
        <v>-1133.6399999999994</v>
      </c>
      <c r="AT286" s="187">
        <f>TablaPrincipal[[#This Row],[GRAMAJE RALEO PLANTA]]-TablaPrincipal[[#This Row],[GRAMAJE RALEO CAMARONERA]]</f>
        <v>1.3866666666666632</v>
      </c>
      <c r="AU286" s="187">
        <f>TablaPrincipal[[#This Row],[GRAMOS PLANTA]]-TablaPrincipal[[#This Row],[GRAMAJE CAMARONERA]]</f>
        <v>1.2000000000000028</v>
      </c>
      <c r="AV286" s="183" t="str">
        <f>+VLOOKUP(TablaPrincipal[[#This Row],[CODIGO]],TablaCosechas[#All],10,0)</f>
        <v>JOSE CEDEÑO</v>
      </c>
      <c r="AW286" s="183" t="s">
        <v>169</v>
      </c>
      <c r="AX286" s="241" t="str">
        <f>+VLOOKUP(TablaPrincipal[[#This Row],[CODIGO]],TablaCosechas[#All],10,0)</f>
        <v>JOSE CEDEÑO</v>
      </c>
    </row>
    <row r="287" spans="1:50" hidden="1" x14ac:dyDescent="0.25">
      <c r="A287" s="196">
        <v>46127</v>
      </c>
      <c r="B287" s="242">
        <f>ROW() - ROW(TablaPrincipal[[#Headers],[ID]])</f>
        <v>285</v>
      </c>
      <c r="C287" s="183">
        <f>YEAR(TablaPrincipal[[#This Row],[FECHA]])</f>
        <v>2026</v>
      </c>
      <c r="D287" s="183" t="s">
        <v>334</v>
      </c>
      <c r="E287" s="183" t="str">
        <f>UPPER(TEXT(TablaPrincipal[[#This Row],[FECHA]],"MMMM"))</f>
        <v>ABRIL</v>
      </c>
      <c r="F287" s="183" t="str">
        <f>IFERROR(VLOOKUP(TablaPrincipal[[#This Row],[CODIGO]],COSECHAS!A:J,9,0),"-")</f>
        <v>05</v>
      </c>
      <c r="G287" s="183" t="str">
        <f>IFERROR(VLOOKUP(TablaPrincipal[[#This Row],[CODIGO]],COSECHAS!A:I,8,0),"-")</f>
        <v>GUATO</v>
      </c>
      <c r="H287" s="184">
        <f>IFERROR(VLOOKUP(TablaPrincipal[[#This Row],[CODIGO]],DATOS!A:B,2,0),"-")</f>
        <v>4.3</v>
      </c>
      <c r="I287" s="183" t="str">
        <f>IFERROR(VLOOKUP(TablaPrincipal[[#This Row],[CODIGO]],Tabla8[[#Headers],[#Data]],3,0),"-")</f>
        <v>CONVENCIONAL</v>
      </c>
      <c r="J287" s="183">
        <f>IFERROR(TablaPrincipal[[#This Row],[FECHA]]-TablaPrincipal[[#This Row],[FECHA DE SIEMBRA]],"-")</f>
        <v>82</v>
      </c>
      <c r="K287" s="196">
        <f>VLOOKUP(TablaPrincipal[[#This Row],[CODIGO]]&amp;TablaPrincipal[[#This Row],[AGUAJE ]],Tabla4[#All],4,0)</f>
        <v>46045</v>
      </c>
      <c r="L287" s="183" t="str">
        <f>VLOOKUP(TablaPrincipal[[#This Row],[CODIGO]]&amp;TablaPrincipal[[#This Row],[AGUAJE ]],Tabla4[#All],15,0)</f>
        <v>GT 4</v>
      </c>
      <c r="M287" s="184">
        <f>VLOOKUP(TablaPrincipal[[#This Row],[CODIGO]]&amp;TablaPrincipal[[#This Row],[AGUAJE ]],Tabla4[#All],14,0)</f>
        <v>0.56999999999999995</v>
      </c>
      <c r="N287" s="183">
        <v>7</v>
      </c>
      <c r="O287" s="170">
        <f>VLOOKUP(TablaPrincipal[[#This Row],[CODIGO]]&amp;TablaPrincipal[[#This Row],[AGUAJE ]],Tabla4[#All],5,0)</f>
        <v>645000</v>
      </c>
      <c r="P287" s="221">
        <f>IFERROR(TablaPrincipal[[#This Row],[ANIM SEMBRADOS]]/TablaPrincipal[[#This Row],[HAS]],"-")</f>
        <v>150000</v>
      </c>
      <c r="Q287" s="222">
        <f>IFERROR(TablaPrincipal[[#This Row],[DENSIDAD]]/10000,"-")</f>
        <v>15</v>
      </c>
      <c r="R287" s="183" t="str">
        <f>VLOOKUP(TablaPrincipal[[#This Row],[CODIGO]]&amp;TablaPrincipal[[#This Row],[AGUAJE ]],Tabla4[#All],8,0)</f>
        <v>LARVASLAB</v>
      </c>
      <c r="S287" s="183" t="str">
        <f>VLOOKUP(TablaPrincipal[[#This Row],[CODIGO]]&amp;TablaPrincipal[[#This Row],[AGUAJE ]],Tabla4[#All],7,0)</f>
        <v>TEXCUMAR</v>
      </c>
      <c r="T287" s="183" t="str">
        <f>IF(ISNUMBER(FIND("/",TablaPrincipal[[#This Row],[LABORATORIO]])),"COMBINADO","UNICO")</f>
        <v>UNICO</v>
      </c>
      <c r="U2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4200</v>
      </c>
      <c r="V2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4483.4399999999996</v>
      </c>
      <c r="W2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</v>
      </c>
      <c r="Y287" s="185">
        <f>IFERROR(TablaPrincipal[[#This Row],[LIBRAS RALEO PLANTA]]/TablaPrincipal[[#This Row],[HAS]],"-")</f>
        <v>1042.6604651162791</v>
      </c>
      <c r="Z2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86986.4</v>
      </c>
      <c r="AA2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18400</v>
      </c>
      <c r="AB2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20455.73</v>
      </c>
      <c r="AC287" s="186">
        <f>SUMIFS(COSECHAS!F:F,COSECHAS!A:A,'BASE 2026'!AW:AW,COSECHAS!G:G,"="&amp;A:A)</f>
        <v>35</v>
      </c>
      <c r="AD287" s="186">
        <f>SUMIFS(COSECHAS!M:M,COSECHAS!A:A,'BASE 2026'!AW:AW,COSECHAS!G:G,"="&amp;A:A)</f>
        <v>34.86</v>
      </c>
      <c r="AE287" s="185">
        <f>IFERROR(TablaPrincipal[[#This Row],[LIBRAS PLANTA]]/TablaPrincipal[[#This Row],[HAS]],"-")</f>
        <v>4757.1465116279069</v>
      </c>
      <c r="AF287" s="185">
        <f>IFERROR(TablaPrincipal[[#This Row],[LIBRAS PLANTA]]*454/TablaPrincipal[[#This Row],[GRAMOS PLANTA]],"-")</f>
        <v>266405.66322432586</v>
      </c>
      <c r="AG287" s="185">
        <f>TablaPrincipal[[#This Row],[LIBRAS RALEO PLANTA]]+TablaPrincipal[[#This Row],[LIBRAS PLANTA]]</f>
        <v>24939.17</v>
      </c>
      <c r="AH287" s="185">
        <f>IFERROR(TablaPrincipal[[#This Row],[CAM COSECHADOS RALEO]]+TablaPrincipal[[#This Row],[CAM COSECHADOS]],"-")</f>
        <v>353392.06322432589</v>
      </c>
      <c r="AI287" s="185">
        <f>IFERROR((TablaPrincipal[[#This Row],[LIBRAS RALEO PLANTA]]+TablaPrincipal[[#This Row],[LIBRAS PLANTA]])/TablaPrincipal[[#This Row],[HAS]],"0")</f>
        <v>5799.8069767441857</v>
      </c>
      <c r="AJ287" s="186">
        <f t="shared" si="4"/>
        <v>2.9758536585365856</v>
      </c>
      <c r="AK287" s="186">
        <f>IFERROR(TablaPrincipal[[#This Row],[LBS/HA]]/TablaPrincipal[[#This Row],[DIAS]],"-")</f>
        <v>70.72935337492909</v>
      </c>
      <c r="AL287" s="186">
        <f>IFERROR(TablaPrincipal[[#This Row],[CAM COSECHADOS TOTALES]]/TablaPrincipal[[#This Row],[ANIM SEMBRADOS]]*100,"-")</f>
        <v>54.789467166562154</v>
      </c>
      <c r="AM287" s="185">
        <v>37967.621200000001</v>
      </c>
      <c r="AN287" s="187">
        <f>IFERROR(((TablaPrincipal[[#This Row],[BALANCEADO ACUMULADO (LBS)]]/2.2046)/TablaPrincipal[[#This Row],[HAS]])/TablaPrincipal[[#This Row],[DIAS]],"-")</f>
        <v>48.842881452070337</v>
      </c>
      <c r="AO287" s="184">
        <f>IFERROR(TablaPrincipal[[#This Row],[BALANCEADO ACUMULADO (LBS)]]/TablaPrincipal[[#This Row],[LIBRAS TOTALES]],"-")</f>
        <v>1.5224091740021823</v>
      </c>
      <c r="AP287" s="184"/>
      <c r="AQ287" s="184"/>
      <c r="AR287" s="185">
        <f>TablaPrincipal[[#This Row],[LIBRAS RALEO PLANTA]]-TablaPrincipal[[#This Row],[LIBRAS RALEO CAMARONERA]]</f>
        <v>283.4399999999996</v>
      </c>
      <c r="AS287" s="185">
        <f>TablaPrincipal[[#This Row],[LIBRAS PLANTA]]-TablaPrincipal[[#This Row],[LIBRAS CAMARONERA]]</f>
        <v>2055.7299999999996</v>
      </c>
      <c r="AT287" s="187">
        <f>TablaPrincipal[[#This Row],[GRAMAJE RALEO PLANTA]]-TablaPrincipal[[#This Row],[GRAMAJE RALEO CAMARONERA]]</f>
        <v>2.3999999999999986</v>
      </c>
      <c r="AU287" s="187">
        <f>TablaPrincipal[[#This Row],[GRAMOS PLANTA]]-TablaPrincipal[[#This Row],[GRAMAJE CAMARONERA]]</f>
        <v>-0.14000000000000057</v>
      </c>
      <c r="AV287" s="183" t="str">
        <f>+VLOOKUP(TablaPrincipal[[#This Row],[CODIGO]],TablaCosechas[#All],10,0)</f>
        <v>JULIO SANTOS</v>
      </c>
      <c r="AW287" s="183" t="s">
        <v>153</v>
      </c>
      <c r="AX287" s="241" t="str">
        <f>+VLOOKUP(TablaPrincipal[[#This Row],[CODIGO]],TablaCosechas[#All],10,0)</f>
        <v>JULIO SANTOS</v>
      </c>
    </row>
    <row r="288" spans="1:50" hidden="1" x14ac:dyDescent="0.25">
      <c r="A288" s="196">
        <v>46127</v>
      </c>
      <c r="B288" s="242">
        <f>ROW() - ROW(TablaPrincipal[[#Headers],[ID]])</f>
        <v>286</v>
      </c>
      <c r="C288" s="183">
        <f>YEAR(TablaPrincipal[[#This Row],[FECHA]])</f>
        <v>2026</v>
      </c>
      <c r="D288" s="183" t="s">
        <v>334</v>
      </c>
      <c r="E288" s="183" t="str">
        <f>UPPER(TEXT(TablaPrincipal[[#This Row],[FECHA]],"MMMM"))</f>
        <v>ABRIL</v>
      </c>
      <c r="F288" s="183" t="str">
        <f>IFERROR(VLOOKUP(TablaPrincipal[[#This Row],[CODIGO]],COSECHAS!A:J,9,0),"-")</f>
        <v>27</v>
      </c>
      <c r="G288" s="183" t="str">
        <f>IFERROR(VLOOKUP(TablaPrincipal[[#This Row],[CODIGO]],COSECHAS!A:I,8,0),"-")</f>
        <v>PARGO ROJO</v>
      </c>
      <c r="H288" s="184">
        <f>IFERROR(VLOOKUP(TablaPrincipal[[#This Row],[CODIGO]],DATOS!A:B,2,0),"-")</f>
        <v>8.0500000000000007</v>
      </c>
      <c r="I288" s="183" t="str">
        <f>IFERROR(VLOOKUP(TablaPrincipal[[#This Row],[CODIGO]],Tabla8[[#Headers],[#Data]],3,0),"-")</f>
        <v>CONVENCIONAL</v>
      </c>
      <c r="J288" s="183">
        <f>IFERROR(TablaPrincipal[[#This Row],[FECHA]]-TablaPrincipal[[#This Row],[FECHA DE SIEMBRA]],"-")</f>
        <v>74</v>
      </c>
      <c r="K288" s="196">
        <f>VLOOKUP(TablaPrincipal[[#This Row],[CODIGO]]&amp;TablaPrincipal[[#This Row],[AGUAJE ]],Tabla4[#All],4,0)</f>
        <v>46053</v>
      </c>
      <c r="L288" s="183" t="str">
        <f>VLOOKUP(TablaPrincipal[[#This Row],[CODIGO]]&amp;TablaPrincipal[[#This Row],[AGUAJE ]],Tabla4[#All],15,0)</f>
        <v>PR PC 6</v>
      </c>
      <c r="M288" s="184">
        <f>VLOOKUP(TablaPrincipal[[#This Row],[CODIGO]]&amp;TablaPrincipal[[#This Row],[AGUAJE ]],Tabla4[#All],14,0)</f>
        <v>0.3</v>
      </c>
      <c r="N288" s="183">
        <v>13</v>
      </c>
      <c r="O288" s="170">
        <f>VLOOKUP(TablaPrincipal[[#This Row],[CODIGO]]&amp;TablaPrincipal[[#This Row],[AGUAJE ]],Tabla4[#All],5,0)</f>
        <v>1207500</v>
      </c>
      <c r="P288" s="221">
        <f>IFERROR(TablaPrincipal[[#This Row],[ANIM SEMBRADOS]]/TablaPrincipal[[#This Row],[HAS]],"-")</f>
        <v>150000</v>
      </c>
      <c r="Q288" s="222">
        <f>IFERROR(TablaPrincipal[[#This Row],[DENSIDAD]]/10000,"-")</f>
        <v>15</v>
      </c>
      <c r="R288" s="183" t="str">
        <f>VLOOKUP(TablaPrincipal[[#This Row],[CODIGO]]&amp;TablaPrincipal[[#This Row],[AGUAJE ]],Tabla4[#All],8,0)</f>
        <v>EMPAGRAM</v>
      </c>
      <c r="S288" s="183" t="str">
        <f>VLOOKUP(TablaPrincipal[[#This Row],[CODIGO]]&amp;TablaPrincipal[[#This Row],[AGUAJE ]],Tabla4[#All],7,0)</f>
        <v>EMPAGRAM</v>
      </c>
      <c r="T288" s="183" t="str">
        <f>IF(ISNUMBER(FIND("/",TablaPrincipal[[#This Row],[LABORATORIO]])),"COMBINADO","UNICO")</f>
        <v>UNICO</v>
      </c>
      <c r="U2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88" s="185">
        <f>IFERROR(TablaPrincipal[[#This Row],[LIBRAS RALEO PLANTA]]/TablaPrincipal[[#This Row],[HAS]],"-")</f>
        <v>0</v>
      </c>
      <c r="Z2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20800</v>
      </c>
      <c r="AB2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25677.01</v>
      </c>
      <c r="AC288" s="186">
        <f>SUMIFS(COSECHAS!F:F,COSECHAS!A:A,'BASE 2026'!AW:AW,COSECHAS!G:G,"="&amp;A:A)</f>
        <v>25</v>
      </c>
      <c r="AD288" s="186">
        <f>SUMIFS(COSECHAS!M:M,COSECHAS!A:A,'BASE 2026'!AW:AW,COSECHAS!G:G,"="&amp;A:A)</f>
        <v>28.08</v>
      </c>
      <c r="AE288" s="185">
        <f>IFERROR(TablaPrincipal[[#This Row],[LIBRAS PLANTA]]/TablaPrincipal[[#This Row],[HAS]],"-")</f>
        <v>3189.6906832298132</v>
      </c>
      <c r="AF288" s="185">
        <f>IFERROR(TablaPrincipal[[#This Row],[LIBRAS PLANTA]]*454/TablaPrincipal[[#This Row],[GRAMOS PLANTA]],"-")</f>
        <v>415148.2386039886</v>
      </c>
      <c r="AG288" s="185">
        <f>TablaPrincipal[[#This Row],[LIBRAS RALEO PLANTA]]+TablaPrincipal[[#This Row],[LIBRAS PLANTA]]</f>
        <v>25677.01</v>
      </c>
      <c r="AH288" s="185">
        <f>IFERROR(TablaPrincipal[[#This Row],[CAM COSECHADOS RALEO]]+TablaPrincipal[[#This Row],[CAM COSECHADOS]],"-")</f>
        <v>415148.2386039886</v>
      </c>
      <c r="AI288" s="185">
        <f>IFERROR((TablaPrincipal[[#This Row],[LIBRAS RALEO PLANTA]]+TablaPrincipal[[#This Row],[LIBRAS PLANTA]])/TablaPrincipal[[#This Row],[HAS]],"0")</f>
        <v>3189.6906832298132</v>
      </c>
      <c r="AJ288" s="186">
        <f t="shared" si="4"/>
        <v>2.6562162162162162</v>
      </c>
      <c r="AK288" s="186">
        <f>IFERROR(TablaPrincipal[[#This Row],[LBS/HA]]/TablaPrincipal[[#This Row],[DIAS]],"-")</f>
        <v>43.103928151754232</v>
      </c>
      <c r="AL288" s="186">
        <f>IFERROR(TablaPrincipal[[#This Row],[CAM COSECHADOS TOTALES]]/TablaPrincipal[[#This Row],[ANIM SEMBRADOS]]*100,"-")</f>
        <v>34.380806509647087</v>
      </c>
      <c r="AM288" s="185">
        <v>43595.965000000004</v>
      </c>
      <c r="AN288" s="187">
        <f>IFERROR(((TablaPrincipal[[#This Row],[BALANCEADO ACUMULADO (LBS)]]/2.2046)/TablaPrincipal[[#This Row],[HAS]])/TablaPrincipal[[#This Row],[DIAS]],"-")</f>
        <v>33.196239717978848</v>
      </c>
      <c r="AO288" s="184">
        <f>IFERROR(TablaPrincipal[[#This Row],[BALANCEADO ACUMULADO (LBS)]]/TablaPrincipal[[#This Row],[LIBRAS TOTALES]],"-")</f>
        <v>1.6978598754294214</v>
      </c>
      <c r="AP288" s="184"/>
      <c r="AQ288" s="184"/>
      <c r="AR288" s="185">
        <f>TablaPrincipal[[#This Row],[LIBRAS RALEO PLANTA]]-TablaPrincipal[[#This Row],[LIBRAS RALEO CAMARONERA]]</f>
        <v>0</v>
      </c>
      <c r="AS288" s="185">
        <f>TablaPrincipal[[#This Row],[LIBRAS PLANTA]]-TablaPrincipal[[#This Row],[LIBRAS CAMARONERA]]</f>
        <v>4877.0099999999984</v>
      </c>
      <c r="AT288" s="187">
        <f>TablaPrincipal[[#This Row],[GRAMAJE RALEO PLANTA]]-TablaPrincipal[[#This Row],[GRAMAJE RALEO CAMARONERA]]</f>
        <v>0</v>
      </c>
      <c r="AU288" s="187">
        <f>TablaPrincipal[[#This Row],[GRAMOS PLANTA]]-TablaPrincipal[[#This Row],[GRAMAJE CAMARONERA]]</f>
        <v>3.0799999999999983</v>
      </c>
      <c r="AV288" s="183" t="str">
        <f>+VLOOKUP(TablaPrincipal[[#This Row],[CODIGO]],TablaCosechas[#All],10,0)</f>
        <v>WILMER TORRES</v>
      </c>
      <c r="AW288" s="183" t="s">
        <v>161</v>
      </c>
      <c r="AX288" s="241" t="str">
        <f>+VLOOKUP(TablaPrincipal[[#This Row],[CODIGO]],TablaCosechas[#All],10,0)</f>
        <v>WILMER TORRES</v>
      </c>
    </row>
    <row r="289" spans="1:50" hidden="1" x14ac:dyDescent="0.25">
      <c r="A289" s="196">
        <v>46127</v>
      </c>
      <c r="B289" s="242">
        <f>ROW() - ROW(TablaPrincipal[[#Headers],[ID]])</f>
        <v>287</v>
      </c>
      <c r="C289" s="183">
        <f>YEAR(TablaPrincipal[[#This Row],[FECHA]])</f>
        <v>2026</v>
      </c>
      <c r="D289" s="183" t="s">
        <v>334</v>
      </c>
      <c r="E289" s="183" t="str">
        <f>UPPER(TEXT(TablaPrincipal[[#This Row],[FECHA]],"MMMM"))</f>
        <v>ABRIL</v>
      </c>
      <c r="F289" s="183" t="str">
        <f>IFERROR(VLOOKUP(TablaPrincipal[[#This Row],[CODIGO]],COSECHAS!A:J,9,0),"-")</f>
        <v>13</v>
      </c>
      <c r="G289" s="183" t="str">
        <f>IFERROR(VLOOKUP(TablaPrincipal[[#This Row],[CODIGO]],COSECHAS!A:I,8,0),"-")</f>
        <v>TIBURON</v>
      </c>
      <c r="H289" s="184">
        <f>IFERROR(VLOOKUP(TablaPrincipal[[#This Row],[CODIGO]],DATOS!A:B,2,0),"-")</f>
        <v>4.51</v>
      </c>
      <c r="I289" s="183" t="str">
        <f>IFERROR(VLOOKUP(TablaPrincipal[[#This Row],[CODIGO]],Tabla8[[#Headers],[#Data]],3,0),"-")</f>
        <v>ASC-BAP</v>
      </c>
      <c r="J289" s="183">
        <f>IFERROR(TablaPrincipal[[#This Row],[FECHA]]-TablaPrincipal[[#This Row],[FECHA DE SIEMBRA]],"-")</f>
        <v>76</v>
      </c>
      <c r="K289" s="196">
        <f>VLOOKUP(TablaPrincipal[[#This Row],[CODIGO]]&amp;TablaPrincipal[[#This Row],[AGUAJE ]],Tabla4[#All],4,0)</f>
        <v>46051</v>
      </c>
      <c r="L289" s="183" t="str">
        <f>VLOOKUP(TablaPrincipal[[#This Row],[CODIGO]]&amp;TablaPrincipal[[#This Row],[AGUAJE ]],Tabla4[#All],15,0)</f>
        <v>TI 32 - 37</v>
      </c>
      <c r="M289" s="184">
        <f>VLOOKUP(TablaPrincipal[[#This Row],[CODIGO]]&amp;TablaPrincipal[[#This Row],[AGUAJE ]],Tabla4[#All],14,0)</f>
        <v>0.55000000000000004</v>
      </c>
      <c r="N289" s="183">
        <v>1</v>
      </c>
      <c r="O289" s="170">
        <f>VLOOKUP(TablaPrincipal[[#This Row],[CODIGO]]&amp;TablaPrincipal[[#This Row],[AGUAJE ]],Tabla4[#All],5,0)</f>
        <v>766700</v>
      </c>
      <c r="P289" s="221">
        <f>IFERROR(TablaPrincipal[[#This Row],[ANIM SEMBRADOS]]/TablaPrincipal[[#This Row],[HAS]],"-")</f>
        <v>170000</v>
      </c>
      <c r="Q289" s="222">
        <f>IFERROR(TablaPrincipal[[#This Row],[DENSIDAD]]/10000,"-")</f>
        <v>17</v>
      </c>
      <c r="R289" s="183" t="str">
        <f>VLOOKUP(TablaPrincipal[[#This Row],[CODIGO]]&amp;TablaPrincipal[[#This Row],[AGUAJE ]],Tabla4[#All],8,0)</f>
        <v>EMPAGRAN</v>
      </c>
      <c r="S289" s="183" t="str">
        <f>VLOOKUP(TablaPrincipal[[#This Row],[CODIGO]]&amp;TablaPrincipal[[#This Row],[AGUAJE ]],Tabla4[#All],7,0)</f>
        <v>EMPAGRAN</v>
      </c>
      <c r="T289" s="183" t="str">
        <f>IF(ISNUMBER(FIND("/",TablaPrincipal[[#This Row],[LABORATORIO]])),"COMBINADO","UNICO")</f>
        <v>UNICO</v>
      </c>
      <c r="U2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12800</v>
      </c>
      <c r="V2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14189.59</v>
      </c>
      <c r="W2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2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21.35</v>
      </c>
      <c r="Y289" s="185">
        <f>IFERROR(TablaPrincipal[[#This Row],[LIBRAS RALEO PLANTA]]/TablaPrincipal[[#This Row],[HAS]],"-")</f>
        <v>3146.2505543237253</v>
      </c>
      <c r="Z2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301981.76918103453</v>
      </c>
      <c r="AA2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2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27841.95</v>
      </c>
      <c r="AC289" s="186">
        <f>SUMIFS(COSECHAS!F:F,COSECHAS!A:A,'BASE 2026'!AW:AW,COSECHAS!G:G,"="&amp;A:A)</f>
        <v>29</v>
      </c>
      <c r="AD289" s="186">
        <f>SUMIFS(COSECHAS!M:M,COSECHAS!A:A,'BASE 2026'!AW:AW,COSECHAS!G:G,"="&amp;A:A)</f>
        <v>29.33</v>
      </c>
      <c r="AE289" s="185">
        <f>IFERROR(TablaPrincipal[[#This Row],[LIBRAS PLANTA]]/TablaPrincipal[[#This Row],[HAS]],"-")</f>
        <v>6173.3813747228387</v>
      </c>
      <c r="AF289" s="185">
        <f>IFERROR(TablaPrincipal[[#This Row],[LIBRAS PLANTA]]*454/TablaPrincipal[[#This Row],[GRAMOS PLANTA]],"-")</f>
        <v>430966.42686668946</v>
      </c>
      <c r="AG289" s="185">
        <f>TablaPrincipal[[#This Row],[LIBRAS RALEO PLANTA]]+TablaPrincipal[[#This Row],[LIBRAS PLANTA]]</f>
        <v>42031.54</v>
      </c>
      <c r="AH289" s="185">
        <f>IFERROR(TablaPrincipal[[#This Row],[CAM COSECHADOS RALEO]]+TablaPrincipal[[#This Row],[CAM COSECHADOS]],"-")</f>
        <v>732948.19604772399</v>
      </c>
      <c r="AI289" s="185">
        <f>IFERROR((TablaPrincipal[[#This Row],[LIBRAS RALEO PLANTA]]+TablaPrincipal[[#This Row],[LIBRAS PLANTA]])/TablaPrincipal[[#This Row],[HAS]],"0")</f>
        <v>9319.6319290465635</v>
      </c>
      <c r="AJ289" s="186">
        <f t="shared" si="4"/>
        <v>2.7014473684210523</v>
      </c>
      <c r="AK289" s="186">
        <f>IFERROR(TablaPrincipal[[#This Row],[LBS/HA]]/TablaPrincipal[[#This Row],[DIAS]],"-")</f>
        <v>122.62673590850741</v>
      </c>
      <c r="AL289" s="186">
        <f>IFERROR(TablaPrincipal[[#This Row],[CAM COSECHADOS TOTALES]]/TablaPrincipal[[#This Row],[ANIM SEMBRADOS]]*100,"-")</f>
        <v>95.597782189607926</v>
      </c>
      <c r="AM289" s="185">
        <v>52700.963000000003</v>
      </c>
      <c r="AN289" s="187">
        <f>IFERROR(((TablaPrincipal[[#This Row],[BALANCEADO ACUMULADO (LBS)]]/2.2046)/TablaPrincipal[[#This Row],[HAS]])/TablaPrincipal[[#This Row],[DIAS]],"-")</f>
        <v>69.742677091842694</v>
      </c>
      <c r="AO289" s="184">
        <f>IFERROR(TablaPrincipal[[#This Row],[BALANCEADO ACUMULADO (LBS)]]/TablaPrincipal[[#This Row],[LIBRAS TOTALES]],"-")</f>
        <v>1.2538432567543327</v>
      </c>
      <c r="AP289" s="184"/>
      <c r="AQ289" s="184"/>
      <c r="AR289" s="185">
        <f>TablaPrincipal[[#This Row],[LIBRAS RALEO PLANTA]]-TablaPrincipal[[#This Row],[LIBRAS RALEO CAMARONERA]]</f>
        <v>1389.5900000000001</v>
      </c>
      <c r="AS289" s="185">
        <f>TablaPrincipal[[#This Row],[LIBRAS PLANTA]]-TablaPrincipal[[#This Row],[LIBRAS CAMARONERA]]</f>
        <v>2941.9500000000007</v>
      </c>
      <c r="AT289" s="187">
        <f>TablaPrincipal[[#This Row],[GRAMAJE RALEO PLANTA]]-TablaPrincipal[[#This Row],[GRAMAJE RALEO CAMARONERA]]</f>
        <v>0.35000000000000142</v>
      </c>
      <c r="AU289" s="187">
        <f>TablaPrincipal[[#This Row],[GRAMOS PLANTA]]-TablaPrincipal[[#This Row],[GRAMAJE CAMARONERA]]</f>
        <v>0.32999999999999829</v>
      </c>
      <c r="AV289" s="183" t="str">
        <f>+VLOOKUP(TablaPrincipal[[#This Row],[CODIGO]],TablaCosechas[#All],10,0)</f>
        <v>ALFONSO GRUNAUER</v>
      </c>
      <c r="AW289" s="183" t="s">
        <v>179</v>
      </c>
      <c r="AX289" s="188" t="str">
        <f>+VLOOKUP(TablaPrincipal[[#This Row],[CODIGO]],TablaCosechas[#All],10,0)</f>
        <v>ALFONSO GRUNAUER</v>
      </c>
    </row>
    <row r="290" spans="1:50" hidden="1" x14ac:dyDescent="0.25">
      <c r="A290" s="196">
        <v>46127</v>
      </c>
      <c r="B290" s="242">
        <f>ROW() - ROW(TablaPrincipal[[#Headers],[ID]])</f>
        <v>288</v>
      </c>
      <c r="C290" s="183">
        <f>YEAR(TablaPrincipal[[#This Row],[FECHA]])</f>
        <v>2026</v>
      </c>
      <c r="D290" s="183" t="s">
        <v>334</v>
      </c>
      <c r="E290" s="183" t="str">
        <f>UPPER(TEXT(TablaPrincipal[[#This Row],[FECHA]],"MMMM"))</f>
        <v>ABRIL</v>
      </c>
      <c r="F290" s="183" t="str">
        <f>IFERROR(VLOOKUP(TablaPrincipal[[#This Row],[CODIGO]],COSECHAS!A:J,9,0),"-")</f>
        <v>12</v>
      </c>
      <c r="G290" s="183" t="str">
        <f>IFERROR(VLOOKUP(TablaPrincipal[[#This Row],[CODIGO]],COSECHAS!A:I,8,0),"-")</f>
        <v>WAHOO</v>
      </c>
      <c r="H290" s="184">
        <f>IFERROR(VLOOKUP(TablaPrincipal[[#This Row],[CODIGO]],DATOS!A:B,2,0),"-")</f>
        <v>6</v>
      </c>
      <c r="I290" s="183" t="str">
        <f>IFERROR(VLOOKUP(TablaPrincipal[[#This Row],[CODIGO]],Tabla8[[#Headers],[#Data]],3,0),"-")</f>
        <v>CONVENCIONAL</v>
      </c>
      <c r="J290" s="183">
        <f>IFERROR(TablaPrincipal[[#This Row],[FECHA]]-TablaPrincipal[[#This Row],[FECHA DE SIEMBRA]],"-")</f>
        <v>86</v>
      </c>
      <c r="K290" s="196">
        <f>VLOOKUP(TablaPrincipal[[#This Row],[CODIGO]]&amp;TablaPrincipal[[#This Row],[AGUAJE ]],Tabla4[#All],4,0)</f>
        <v>46041</v>
      </c>
      <c r="L290" s="183" t="str">
        <f>VLOOKUP(TablaPrincipal[[#This Row],[CODIGO]]&amp;TablaPrincipal[[#This Row],[AGUAJE ]],Tabla4[#All],15,0)</f>
        <v>WA PS 6</v>
      </c>
      <c r="M290" s="184">
        <f>VLOOKUP(TablaPrincipal[[#This Row],[CODIGO]]&amp;TablaPrincipal[[#This Row],[AGUAJE ]],Tabla4[#All],14,0)</f>
        <v>1.1000000000000001</v>
      </c>
      <c r="N290" s="183">
        <v>47</v>
      </c>
      <c r="O290" s="170">
        <f>VLOOKUP(TablaPrincipal[[#This Row],[CODIGO]]&amp;TablaPrincipal[[#This Row],[AGUAJE ]],Tabla4[#All],5,0)</f>
        <v>1050000</v>
      </c>
      <c r="P290" s="221">
        <f>IFERROR(TablaPrincipal[[#This Row],[ANIM SEMBRADOS]]/TablaPrincipal[[#This Row],[HAS]],"-")</f>
        <v>175000</v>
      </c>
      <c r="Q290" s="222">
        <f>IFERROR(TablaPrincipal[[#This Row],[DENSIDAD]]/10000,"-")</f>
        <v>17.5</v>
      </c>
      <c r="R290" s="183" t="str">
        <f>VLOOKUP(TablaPrincipal[[#This Row],[CODIGO]]&amp;TablaPrincipal[[#This Row],[AGUAJE ]],Tabla4[#All],8,0)</f>
        <v>TECSERV</v>
      </c>
      <c r="S290" s="183" t="str">
        <f>VLOOKUP(TablaPrincipal[[#This Row],[CODIGO]]&amp;TablaPrincipal[[#This Row],[AGUAJE ]],Tabla4[#All],7,0)</f>
        <v>SEMACUA</v>
      </c>
      <c r="T290" s="183" t="str">
        <f>IF(ISNUMBER(FIND("/",TablaPrincipal[[#This Row],[LABORATORIO]])),"COMBINADO","UNICO")</f>
        <v>UNICO</v>
      </c>
      <c r="U2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2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8784.1200000000008</v>
      </c>
      <c r="W2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2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</v>
      </c>
      <c r="Y290" s="185">
        <f>IFERROR(TablaPrincipal[[#This Row],[LIBRAS RALEO PLANTA]]/TablaPrincipal[[#This Row],[HAS]],"-")</f>
        <v>1464.0200000000002</v>
      </c>
      <c r="Z2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189004.28815165878</v>
      </c>
      <c r="AA2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22500</v>
      </c>
      <c r="AB2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25949.9</v>
      </c>
      <c r="AC290" s="186">
        <f>SUMIFS(COSECHAS!F:F,COSECHAS!A:A,'BASE 2026'!AW:AW,COSECHAS!G:G,"="&amp;A:A)</f>
        <v>33</v>
      </c>
      <c r="AD290" s="186">
        <f>SUMIFS(COSECHAS!M:M,COSECHAS!A:A,'BASE 2026'!AW:AW,COSECHAS!G:G,"="&amp;A:A)</f>
        <v>29.18</v>
      </c>
      <c r="AE290" s="185">
        <f>IFERROR(TablaPrincipal[[#This Row],[LIBRAS PLANTA]]/TablaPrincipal[[#This Row],[HAS]],"-")</f>
        <v>4324.9833333333336</v>
      </c>
      <c r="AF290" s="185">
        <f>IFERROR(TablaPrincipal[[#This Row],[LIBRAS PLANTA]]*454/TablaPrincipal[[#This Row],[GRAMOS PLANTA]],"-")</f>
        <v>403744.16038382461</v>
      </c>
      <c r="AG290" s="185">
        <f>TablaPrincipal[[#This Row],[LIBRAS RALEO PLANTA]]+TablaPrincipal[[#This Row],[LIBRAS PLANTA]]</f>
        <v>34734.020000000004</v>
      </c>
      <c r="AH290" s="185">
        <f>IFERROR(TablaPrincipal[[#This Row],[CAM COSECHADOS RALEO]]+TablaPrincipal[[#This Row],[CAM COSECHADOS]],"-")</f>
        <v>592748.44853548333</v>
      </c>
      <c r="AI290" s="185">
        <f>IFERROR((TablaPrincipal[[#This Row],[LIBRAS RALEO PLANTA]]+TablaPrincipal[[#This Row],[LIBRAS PLANTA]])/TablaPrincipal[[#This Row],[HAS]],"0")</f>
        <v>5789.003333333334</v>
      </c>
      <c r="AJ290" s="186">
        <f t="shared" si="4"/>
        <v>2.3751162790697671</v>
      </c>
      <c r="AK290" s="186">
        <f>IFERROR(TablaPrincipal[[#This Row],[LBS/HA]]/TablaPrincipal[[#This Row],[DIAS]],"-")</f>
        <v>67.313992248062021</v>
      </c>
      <c r="AL290" s="186">
        <f>IFERROR(TablaPrincipal[[#This Row],[CAM COSECHADOS TOTALES]]/TablaPrincipal[[#This Row],[ANIM SEMBRADOS]]*100,"-")</f>
        <v>56.452233193855548</v>
      </c>
      <c r="AM290" s="185">
        <v>62910.465600000003</v>
      </c>
      <c r="AN290" s="187">
        <f>IFERROR(((TablaPrincipal[[#This Row],[BALANCEADO ACUMULADO (LBS)]]/2.2046)/TablaPrincipal[[#This Row],[HAS]])/TablaPrincipal[[#This Row],[DIAS]],"-")</f>
        <v>55.302325581395351</v>
      </c>
      <c r="AO290" s="184">
        <f>IFERROR(TablaPrincipal[[#This Row],[BALANCEADO ACUMULADO (LBS)]]/TablaPrincipal[[#This Row],[LIBRAS TOTALES]],"-")</f>
        <v>1.8112060049484624</v>
      </c>
      <c r="AP290" s="184"/>
      <c r="AQ290" s="184"/>
      <c r="AR290" s="185">
        <f>TablaPrincipal[[#This Row],[LIBRAS RALEO PLANTA]]-TablaPrincipal[[#This Row],[LIBRAS RALEO CAMARONERA]]</f>
        <v>784.1200000000008</v>
      </c>
      <c r="AS290" s="185">
        <f>TablaPrincipal[[#This Row],[LIBRAS PLANTA]]-TablaPrincipal[[#This Row],[LIBRAS CAMARONERA]]</f>
        <v>3449.9000000000015</v>
      </c>
      <c r="AT290" s="187">
        <f>TablaPrincipal[[#This Row],[GRAMAJE RALEO PLANTA]]-TablaPrincipal[[#This Row],[GRAMAJE RALEO CAMARONERA]]</f>
        <v>-0.89999999999999858</v>
      </c>
      <c r="AU290" s="187">
        <f>TablaPrincipal[[#This Row],[GRAMOS PLANTA]]-TablaPrincipal[[#This Row],[GRAMAJE CAMARONERA]]</f>
        <v>-3.8200000000000003</v>
      </c>
      <c r="AV290" s="183" t="str">
        <f>+VLOOKUP(TablaPrincipal[[#This Row],[CODIGO]],TablaCosechas[#All],10,0)</f>
        <v>JUNIOR ESQUIVEL</v>
      </c>
      <c r="AW290" s="183" t="s">
        <v>336</v>
      </c>
      <c r="AX290" s="241" t="str">
        <f>+VLOOKUP(TablaPrincipal[[#This Row],[CODIGO]],TablaCosechas[#All],10,0)</f>
        <v>JUNIOR ESQUIVEL</v>
      </c>
    </row>
    <row r="291" spans="1:50" hidden="1" x14ac:dyDescent="0.25">
      <c r="A291" s="196">
        <v>46128</v>
      </c>
      <c r="B291" s="242">
        <f>ROW() - ROW(TablaPrincipal[[#Headers],[ID]])</f>
        <v>289</v>
      </c>
      <c r="C291" s="183">
        <f>YEAR(TablaPrincipal[[#This Row],[FECHA]])</f>
        <v>2026</v>
      </c>
      <c r="D291" s="183" t="s">
        <v>334</v>
      </c>
      <c r="E291" s="183" t="str">
        <f>UPPER(TEXT(TablaPrincipal[[#This Row],[FECHA]],"MMMM"))</f>
        <v>ABRIL</v>
      </c>
      <c r="F291" s="183" t="str">
        <f>IFERROR(VLOOKUP(TablaPrincipal[[#This Row],[CODIGO]],COSECHAS!A:J,9,0),"-")</f>
        <v>07</v>
      </c>
      <c r="G291" s="183" t="str">
        <f>IFERROR(VLOOKUP(TablaPrincipal[[#This Row],[CODIGO]],COSECHAS!A:I,8,0),"-")</f>
        <v>GUATO</v>
      </c>
      <c r="H291" s="184">
        <f>IFERROR(VLOOKUP(TablaPrincipal[[#This Row],[CODIGO]],DATOS!A:B,2,0),"-")</f>
        <v>4.42</v>
      </c>
      <c r="I291" s="183" t="str">
        <f>IFERROR(VLOOKUP(TablaPrincipal[[#This Row],[CODIGO]],Tabla8[[#Headers],[#Data]],3,0),"-")</f>
        <v>CONVENCIONAL</v>
      </c>
      <c r="J291" s="183">
        <f>IFERROR(TablaPrincipal[[#This Row],[FECHA]]-TablaPrincipal[[#This Row],[FECHA DE SIEMBRA]],"-")</f>
        <v>85</v>
      </c>
      <c r="K291" s="196">
        <f>VLOOKUP(TablaPrincipal[[#This Row],[CODIGO]]&amp;TablaPrincipal[[#This Row],[AGUAJE ]],Tabla4[#All],4,0)</f>
        <v>46043</v>
      </c>
      <c r="L291" s="183" t="str">
        <f>VLOOKUP(TablaPrincipal[[#This Row],[CODIGO]]&amp;TablaPrincipal[[#This Row],[AGUAJE ]],Tabla4[#All],15,0)</f>
        <v>GT PC 07</v>
      </c>
      <c r="M291" s="184">
        <f>VLOOKUP(TablaPrincipal[[#This Row],[CODIGO]]&amp;TablaPrincipal[[#This Row],[AGUAJE ]],Tabla4[#All],14,0)</f>
        <v>0.8</v>
      </c>
      <c r="N291" s="183">
        <v>7</v>
      </c>
      <c r="O291" s="170">
        <f>VLOOKUP(TablaPrincipal[[#This Row],[CODIGO]]&amp;TablaPrincipal[[#This Row],[AGUAJE ]],Tabla4[#All],5,0)</f>
        <v>663000</v>
      </c>
      <c r="P291" s="221">
        <f>IFERROR(TablaPrincipal[[#This Row],[ANIM SEMBRADOS]]/TablaPrincipal[[#This Row],[HAS]],"-")</f>
        <v>150000</v>
      </c>
      <c r="Q291" s="222">
        <f>IFERROR(TablaPrincipal[[#This Row],[DENSIDAD]]/10000,"-")</f>
        <v>15</v>
      </c>
      <c r="R291" s="183" t="str">
        <f>VLOOKUP(TablaPrincipal[[#This Row],[CODIGO]]&amp;TablaPrincipal[[#This Row],[AGUAJE ]],Tabla4[#All],8,0)</f>
        <v>TECSERV</v>
      </c>
      <c r="S291" s="183" t="str">
        <f>VLOOKUP(TablaPrincipal[[#This Row],[CODIGO]]&amp;TablaPrincipal[[#This Row],[AGUAJE ]],Tabla4[#All],7,0)</f>
        <v>SEMACUA</v>
      </c>
      <c r="T291" s="183" t="str">
        <f>IF(ISNUMBER(FIND("/",TablaPrincipal[[#This Row],[LABORATORIO]])),"COMBINADO","UNICO")</f>
        <v>UNICO</v>
      </c>
      <c r="U2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4400</v>
      </c>
      <c r="V2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4549.7299999999996</v>
      </c>
      <c r="W2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19.48</v>
      </c>
      <c r="Y291" s="185">
        <f>IFERROR(TablaPrincipal[[#This Row],[LIBRAS RALEO PLANTA]]/TablaPrincipal[[#This Row],[HAS]],"-")</f>
        <v>1029.3506787330316</v>
      </c>
      <c r="Z2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106035.80184804926</v>
      </c>
      <c r="AA2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B2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22526.29</v>
      </c>
      <c r="AC291" s="186">
        <f>SUMIFS(COSECHAS!F:F,COSECHAS!A:A,'BASE 2026'!AW:AW,COSECHAS!G:G,"="&amp;A:A)</f>
        <v>30</v>
      </c>
      <c r="AD291" s="186">
        <f>SUMIFS(COSECHAS!M:M,COSECHAS!A:A,'BASE 2026'!AW:AW,COSECHAS!G:G,"="&amp;A:A)</f>
        <v>30.74</v>
      </c>
      <c r="AE291" s="185">
        <f>IFERROR(TablaPrincipal[[#This Row],[LIBRAS PLANTA]]/TablaPrincipal[[#This Row],[HAS]],"-")</f>
        <v>5096.4457013574665</v>
      </c>
      <c r="AF291" s="185">
        <f>IFERROR(TablaPrincipal[[#This Row],[LIBRAS PLANTA]]*454/TablaPrincipal[[#This Row],[GRAMOS PLANTA]],"-")</f>
        <v>332691.46584255045</v>
      </c>
      <c r="AG291" s="185">
        <f>TablaPrincipal[[#This Row],[LIBRAS RALEO PLANTA]]+TablaPrincipal[[#This Row],[LIBRAS PLANTA]]</f>
        <v>27076.02</v>
      </c>
      <c r="AH291" s="185">
        <f>IFERROR(TablaPrincipal[[#This Row],[CAM COSECHADOS RALEO]]+TablaPrincipal[[#This Row],[CAM COSECHADOS]],"-")</f>
        <v>438727.26769059972</v>
      </c>
      <c r="AI291" s="185">
        <f>IFERROR((TablaPrincipal[[#This Row],[LIBRAS RALEO PLANTA]]+TablaPrincipal[[#This Row],[LIBRAS PLANTA]])/TablaPrincipal[[#This Row],[HAS]],"0")</f>
        <v>6125.7963800904981</v>
      </c>
      <c r="AJ291" s="186">
        <f t="shared" si="4"/>
        <v>2.5315294117647058</v>
      </c>
      <c r="AK291" s="186">
        <f>IFERROR(TablaPrincipal[[#This Row],[LBS/HA]]/TablaPrincipal[[#This Row],[DIAS]],"-")</f>
        <v>72.068192706947031</v>
      </c>
      <c r="AL291" s="186">
        <f>IFERROR(TablaPrincipal[[#This Row],[CAM COSECHADOS TOTALES]]/TablaPrincipal[[#This Row],[ANIM SEMBRADOS]]*100,"-")</f>
        <v>66.173041883951683</v>
      </c>
      <c r="AM291" s="185">
        <v>43099.93</v>
      </c>
      <c r="AN291" s="187">
        <f>IFERROR(((TablaPrincipal[[#This Row],[BALANCEADO ACUMULADO (LBS)]]/2.2046)/TablaPrincipal[[#This Row],[HAS]])/TablaPrincipal[[#This Row],[DIAS]],"-")</f>
        <v>52.036199095022624</v>
      </c>
      <c r="AO291" s="184">
        <f>IFERROR(TablaPrincipal[[#This Row],[BALANCEADO ACUMULADO (LBS)]]/TablaPrincipal[[#This Row],[LIBRAS TOTALES]],"-")</f>
        <v>1.5918118689526748</v>
      </c>
      <c r="AP291" s="184"/>
      <c r="AQ291" s="184"/>
      <c r="AR291" s="185">
        <f>TablaPrincipal[[#This Row],[LIBRAS RALEO PLANTA]]-TablaPrincipal[[#This Row],[LIBRAS RALEO CAMARONERA]]</f>
        <v>149.72999999999956</v>
      </c>
      <c r="AS291" s="185">
        <f>TablaPrincipal[[#This Row],[LIBRAS PLANTA]]-TablaPrincipal[[#This Row],[LIBRAS CAMARONERA]]</f>
        <v>2026.2900000000009</v>
      </c>
      <c r="AT291" s="187">
        <f>TablaPrincipal[[#This Row],[GRAMAJE RALEO PLANTA]]-TablaPrincipal[[#This Row],[GRAMAJE RALEO CAMARONERA]]</f>
        <v>2.4800000000000004</v>
      </c>
      <c r="AU291" s="187">
        <f>TablaPrincipal[[#This Row],[GRAMOS PLANTA]]-TablaPrincipal[[#This Row],[GRAMAJE CAMARONERA]]</f>
        <v>0.73999999999999844</v>
      </c>
      <c r="AV291" s="183" t="str">
        <f>+VLOOKUP(TablaPrincipal[[#This Row],[CODIGO]],TablaCosechas[#All],10,0)</f>
        <v>JULIO SANTOS</v>
      </c>
      <c r="AW291" s="183" t="s">
        <v>148</v>
      </c>
      <c r="AX291" s="241" t="str">
        <f>+VLOOKUP(TablaPrincipal[[#This Row],[CODIGO]],TablaCosechas[#All],10,0)</f>
        <v>JULIO SANTOS</v>
      </c>
    </row>
    <row r="292" spans="1:50" hidden="1" x14ac:dyDescent="0.25">
      <c r="A292" s="196">
        <v>46128</v>
      </c>
      <c r="B292" s="242">
        <f>ROW() - ROW(TablaPrincipal[[#Headers],[ID]])</f>
        <v>290</v>
      </c>
      <c r="C292" s="183">
        <f>YEAR(TablaPrincipal[[#This Row],[FECHA]])</f>
        <v>2026</v>
      </c>
      <c r="D292" s="183" t="s">
        <v>334</v>
      </c>
      <c r="E292" s="183" t="str">
        <f>UPPER(TEXT(TablaPrincipal[[#This Row],[FECHA]],"MMMM"))</f>
        <v>ABRIL</v>
      </c>
      <c r="F292" s="183" t="str">
        <f>IFERROR(VLOOKUP(TablaPrincipal[[#This Row],[CODIGO]],COSECHAS!A:J,9,0),"-")</f>
        <v>29</v>
      </c>
      <c r="G292" s="183" t="str">
        <f>IFERROR(VLOOKUP(TablaPrincipal[[#This Row],[CODIGO]],COSECHAS!A:I,8,0),"-")</f>
        <v>PARGO ROJO</v>
      </c>
      <c r="H292" s="184">
        <f>IFERROR(VLOOKUP(TablaPrincipal[[#This Row],[CODIGO]],DATOS!A:B,2,0),"-")</f>
        <v>6.35</v>
      </c>
      <c r="I292" s="183" t="str">
        <f>IFERROR(VLOOKUP(TablaPrincipal[[#This Row],[CODIGO]],Tabla8[[#Headers],[#Data]],3,0),"-")</f>
        <v>CONVENCIONAL</v>
      </c>
      <c r="J292" s="183">
        <f>IFERROR(TablaPrincipal[[#This Row],[FECHA]]-TablaPrincipal[[#This Row],[FECHA DE SIEMBRA]],"-")</f>
        <v>74</v>
      </c>
      <c r="K292" s="196">
        <f>VLOOKUP(TablaPrincipal[[#This Row],[CODIGO]]&amp;TablaPrincipal[[#This Row],[AGUAJE ]],Tabla4[#All],4,0)</f>
        <v>46054</v>
      </c>
      <c r="L292" s="183" t="str">
        <f>VLOOKUP(TablaPrincipal[[#This Row],[CODIGO]]&amp;TablaPrincipal[[#This Row],[AGUAJE ]],Tabla4[#All],15,0)</f>
        <v>PR 25</v>
      </c>
      <c r="M292" s="184">
        <f>VLOOKUP(TablaPrincipal[[#This Row],[CODIGO]]&amp;TablaPrincipal[[#This Row],[AGUAJE ]],Tabla4[#All],14,0)</f>
        <v>0.5</v>
      </c>
      <c r="N292" s="183">
        <v>19</v>
      </c>
      <c r="O292" s="170">
        <f>VLOOKUP(TablaPrincipal[[#This Row],[CODIGO]]&amp;TablaPrincipal[[#This Row],[AGUAJE ]],Tabla4[#All],5,0)</f>
        <v>889000</v>
      </c>
      <c r="P292" s="221">
        <f>IFERROR(TablaPrincipal[[#This Row],[ANIM SEMBRADOS]]/TablaPrincipal[[#This Row],[HAS]],"-")</f>
        <v>140000</v>
      </c>
      <c r="Q292" s="222">
        <f>IFERROR(TablaPrincipal[[#This Row],[DENSIDAD]]/10000,"-")</f>
        <v>14</v>
      </c>
      <c r="R292" s="183" t="str">
        <f>VLOOKUP(TablaPrincipal[[#This Row],[CODIGO]]&amp;TablaPrincipal[[#This Row],[AGUAJE ]],Tabla4[#All],8,0)</f>
        <v>ACUATECSA</v>
      </c>
      <c r="S292" s="183" t="str">
        <f>VLOOKUP(TablaPrincipal[[#This Row],[CODIGO]]&amp;TablaPrincipal[[#This Row],[AGUAJE ]],Tabla4[#All],7,0)</f>
        <v>TEXCUMAR</v>
      </c>
      <c r="T292" s="183" t="str">
        <f>IF(ISNUMBER(FIND("/",TablaPrincipal[[#This Row],[LABORATORIO]])),"COMBINADO","UNICO")</f>
        <v>UNICO</v>
      </c>
      <c r="U2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2" s="185">
        <f>IFERROR(TablaPrincipal[[#This Row],[LIBRAS RALEO PLANTA]]/TablaPrincipal[[#This Row],[HAS]],"-")</f>
        <v>0</v>
      </c>
      <c r="Z2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2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22392.48</v>
      </c>
      <c r="AC292" s="186">
        <f>SUMIFS(COSECHAS!F:F,COSECHAS!A:A,'BASE 2026'!AW:AW,COSECHAS!G:G,"="&amp;A:A)</f>
        <v>32</v>
      </c>
      <c r="AD292" s="186">
        <f>SUMIFS(COSECHAS!M:M,COSECHAS!A:A,'BASE 2026'!AW:AW,COSECHAS!G:G,"="&amp;A:A)</f>
        <v>31</v>
      </c>
      <c r="AE292" s="185">
        <f>IFERROR(TablaPrincipal[[#This Row],[LIBRAS PLANTA]]/TablaPrincipal[[#This Row],[HAS]],"-")</f>
        <v>3526.3748031496066</v>
      </c>
      <c r="AF292" s="185">
        <f>IFERROR(TablaPrincipal[[#This Row],[LIBRAS PLANTA]]*454/TablaPrincipal[[#This Row],[GRAMOS PLANTA]],"-")</f>
        <v>327941.48129032255</v>
      </c>
      <c r="AG292" s="185">
        <f>TablaPrincipal[[#This Row],[LIBRAS RALEO PLANTA]]+TablaPrincipal[[#This Row],[LIBRAS PLANTA]]</f>
        <v>22392.48</v>
      </c>
      <c r="AH292" s="185">
        <f>IFERROR(TablaPrincipal[[#This Row],[CAM COSECHADOS RALEO]]+TablaPrincipal[[#This Row],[CAM COSECHADOS]],"-")</f>
        <v>327941.48129032255</v>
      </c>
      <c r="AI292" s="185">
        <f>IFERROR((TablaPrincipal[[#This Row],[LIBRAS RALEO PLANTA]]+TablaPrincipal[[#This Row],[LIBRAS PLANTA]])/TablaPrincipal[[#This Row],[HAS]],"0")</f>
        <v>3526.3748031496066</v>
      </c>
      <c r="AJ292" s="186">
        <f t="shared" si="4"/>
        <v>2.9324324324324325</v>
      </c>
      <c r="AK292" s="186">
        <f>IFERROR(TablaPrincipal[[#This Row],[LBS/HA]]/TablaPrincipal[[#This Row],[DIAS]],"-")</f>
        <v>47.653713556075765</v>
      </c>
      <c r="AL292" s="186">
        <f>IFERROR(TablaPrincipal[[#This Row],[CAM COSECHADOS TOTALES]]/TablaPrincipal[[#This Row],[ANIM SEMBRADOS]]*100,"-")</f>
        <v>36.888805544468227</v>
      </c>
      <c r="AM292" s="185">
        <v>37478.200000000004</v>
      </c>
      <c r="AN292" s="187">
        <f>IFERROR(((TablaPrincipal[[#This Row],[BALANCEADO ACUMULADO (LBS)]]/2.2046)/TablaPrincipal[[#This Row],[HAS]])/TablaPrincipal[[#This Row],[DIAS]],"-")</f>
        <v>36.177910193658228</v>
      </c>
      <c r="AO292" s="184">
        <f>IFERROR(TablaPrincipal[[#This Row],[BALANCEADO ACUMULADO (LBS)]]/TablaPrincipal[[#This Row],[LIBRAS TOTALES]],"-")</f>
        <v>1.673695812165513</v>
      </c>
      <c r="AP292" s="184"/>
      <c r="AQ292" s="184"/>
      <c r="AR292" s="185">
        <f>TablaPrincipal[[#This Row],[LIBRAS RALEO PLANTA]]-TablaPrincipal[[#This Row],[LIBRAS RALEO CAMARONERA]]</f>
        <v>0</v>
      </c>
      <c r="AS292" s="185">
        <f>TablaPrincipal[[#This Row],[LIBRAS PLANTA]]-TablaPrincipal[[#This Row],[LIBRAS CAMARONERA]]</f>
        <v>2192.4799999999996</v>
      </c>
      <c r="AT292" s="187">
        <f>TablaPrincipal[[#This Row],[GRAMAJE RALEO PLANTA]]-TablaPrincipal[[#This Row],[GRAMAJE RALEO CAMARONERA]]</f>
        <v>0</v>
      </c>
      <c r="AU292" s="187">
        <f>TablaPrincipal[[#This Row],[GRAMOS PLANTA]]-TablaPrincipal[[#This Row],[GRAMAJE CAMARONERA]]</f>
        <v>-1</v>
      </c>
      <c r="AV292" s="183" t="str">
        <f>+VLOOKUP(TablaPrincipal[[#This Row],[CODIGO]],TablaCosechas[#All],10,0)</f>
        <v>WILMER TORRES</v>
      </c>
      <c r="AW292" s="183" t="s">
        <v>146</v>
      </c>
      <c r="AX292" s="241" t="str">
        <f>+VLOOKUP(TablaPrincipal[[#This Row],[CODIGO]],TablaCosechas[#All],10,0)</f>
        <v>WILMER TORRES</v>
      </c>
    </row>
    <row r="293" spans="1:50" hidden="1" x14ac:dyDescent="0.25">
      <c r="A293" s="196">
        <v>46128</v>
      </c>
      <c r="B293" s="242">
        <f>ROW() - ROW(TablaPrincipal[[#Headers],[ID]])</f>
        <v>291</v>
      </c>
      <c r="C293" s="183">
        <f>YEAR(TablaPrincipal[[#This Row],[FECHA]])</f>
        <v>2026</v>
      </c>
      <c r="D293" s="183" t="s">
        <v>334</v>
      </c>
      <c r="E293" s="183" t="str">
        <f>UPPER(TEXT(TablaPrincipal[[#This Row],[FECHA]],"MMMM"))</f>
        <v>ABRIL</v>
      </c>
      <c r="F293" s="183" t="str">
        <f>IFERROR(VLOOKUP(TablaPrincipal[[#This Row],[CODIGO]],COSECHAS!A:J,9,0),"-")</f>
        <v>10</v>
      </c>
      <c r="G293" s="183" t="str">
        <f>IFERROR(VLOOKUP(TablaPrincipal[[#This Row],[CODIGO]],COSECHAS!A:I,8,0),"-")</f>
        <v>TAMBULERO</v>
      </c>
      <c r="H293" s="184">
        <f>IFERROR(VLOOKUP(TablaPrincipal[[#This Row],[CODIGO]],DATOS!A:B,2,0),"-")</f>
        <v>8</v>
      </c>
      <c r="I293" s="183" t="str">
        <f>IFERROR(VLOOKUP(TablaPrincipal[[#This Row],[CODIGO]],Tabla8[[#Headers],[#Data]],3,0),"-")</f>
        <v>ASC-BAP</v>
      </c>
      <c r="J293" s="183">
        <f>IFERROR(TablaPrincipal[[#This Row],[FECHA]]-TablaPrincipal[[#This Row],[FECHA DE SIEMBRA]],"-")</f>
        <v>75</v>
      </c>
      <c r="K293" s="196">
        <f>VLOOKUP(TablaPrincipal[[#This Row],[CODIGO]]&amp;TablaPrincipal[[#This Row],[AGUAJE ]],Tabla4[#All],4,0)</f>
        <v>46053</v>
      </c>
      <c r="L293" s="183" t="str">
        <f>VLOOKUP(TablaPrincipal[[#This Row],[CODIGO]]&amp;TablaPrincipal[[#This Row],[AGUAJE ]],Tabla4[#All],15,0)</f>
        <v>TI 35 - 37</v>
      </c>
      <c r="M293" s="184">
        <f>VLOOKUP(TablaPrincipal[[#This Row],[CODIGO]]&amp;TablaPrincipal[[#This Row],[AGUAJE ]],Tabla4[#All],14,0)</f>
        <v>0.75</v>
      </c>
      <c r="N293" s="183">
        <v>4</v>
      </c>
      <c r="O293" s="170">
        <f>VLOOKUP(TablaPrincipal[[#This Row],[CODIGO]]&amp;TablaPrincipal[[#This Row],[AGUAJE ]],Tabla4[#All],5,0)</f>
        <v>1280000</v>
      </c>
      <c r="P293" s="221">
        <f>IFERROR(TablaPrincipal[[#This Row],[ANIM SEMBRADOS]]/TablaPrincipal[[#This Row],[HAS]],"-")</f>
        <v>160000</v>
      </c>
      <c r="Q293" s="222">
        <f>IFERROR(TablaPrincipal[[#This Row],[DENSIDAD]]/10000,"-")</f>
        <v>16</v>
      </c>
      <c r="R293" s="183" t="str">
        <f>VLOOKUP(TablaPrincipal[[#This Row],[CODIGO]]&amp;TablaPrincipal[[#This Row],[AGUAJE ]],Tabla4[#All],8,0)</f>
        <v>GENESIS</v>
      </c>
      <c r="S293" s="183" t="str">
        <f>VLOOKUP(TablaPrincipal[[#This Row],[CODIGO]]&amp;TablaPrincipal[[#This Row],[AGUAJE ]],Tabla4[#All],7,0)</f>
        <v>TEXCUMAR</v>
      </c>
      <c r="T293" s="183" t="str">
        <f>IF(ISNUMBER(FIND("/",TablaPrincipal[[#This Row],[LABORATORIO]])),"COMBINADO","UNICO")</f>
        <v>UNICO</v>
      </c>
      <c r="U2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38500</v>
      </c>
      <c r="V2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40461.740000000005</v>
      </c>
      <c r="W2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2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26.813333333333333</v>
      </c>
      <c r="Y293" s="185">
        <f>IFERROR(TablaPrincipal[[#This Row],[LIBRAS RALEO PLANTA]]/TablaPrincipal[[#This Row],[HAS]],"-")</f>
        <v>5057.7175000000007</v>
      </c>
      <c r="Z2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693780.65886106982</v>
      </c>
      <c r="AA2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31150</v>
      </c>
      <c r="AB2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30880.25</v>
      </c>
      <c r="AC293" s="186">
        <f>SUMIFS(COSECHAS!F:F,COSECHAS!A:A,'BASE 2026'!AW:AW,COSECHAS!G:G,"="&amp;A:A)</f>
        <v>36</v>
      </c>
      <c r="AD293" s="186">
        <f>SUMIFS(COSECHAS!M:M,COSECHAS!A:A,'BASE 2026'!AW:AW,COSECHAS!G:G,"="&amp;A:A)</f>
        <v>35.799999999999997</v>
      </c>
      <c r="AE293" s="185">
        <f>IFERROR(TablaPrincipal[[#This Row],[LIBRAS PLANTA]]/TablaPrincipal[[#This Row],[HAS]],"-")</f>
        <v>3860.03125</v>
      </c>
      <c r="AF293" s="185">
        <f>IFERROR(TablaPrincipal[[#This Row],[LIBRAS PLANTA]]*454/TablaPrincipal[[#This Row],[GRAMOS PLANTA]],"-")</f>
        <v>391609.874301676</v>
      </c>
      <c r="AG293" s="185">
        <f>TablaPrincipal[[#This Row],[LIBRAS RALEO PLANTA]]+TablaPrincipal[[#This Row],[LIBRAS PLANTA]]</f>
        <v>71341.990000000005</v>
      </c>
      <c r="AH293" s="185">
        <f>IFERROR(TablaPrincipal[[#This Row],[CAM COSECHADOS RALEO]]+TablaPrincipal[[#This Row],[CAM COSECHADOS]],"-")</f>
        <v>1085390.5331627459</v>
      </c>
      <c r="AI293" s="185">
        <f>IFERROR((TablaPrincipal[[#This Row],[LIBRAS RALEO PLANTA]]+TablaPrincipal[[#This Row],[LIBRAS PLANTA]])/TablaPrincipal[[#This Row],[HAS]],"0")</f>
        <v>8917.7487500000007</v>
      </c>
      <c r="AJ293" s="186">
        <f t="shared" si="4"/>
        <v>3.3413333333333335</v>
      </c>
      <c r="AK293" s="186">
        <f>IFERROR(TablaPrincipal[[#This Row],[LBS/HA]]/TablaPrincipal[[#This Row],[DIAS]],"-")</f>
        <v>118.90331666666667</v>
      </c>
      <c r="AL293" s="186">
        <f>IFERROR(TablaPrincipal[[#This Row],[CAM COSECHADOS TOTALES]]/TablaPrincipal[[#This Row],[ANIM SEMBRADOS]]*100,"-")</f>
        <v>84.79613540333952</v>
      </c>
      <c r="AM293" s="185">
        <v>97277.975000000006</v>
      </c>
      <c r="AN293" s="187">
        <f>IFERROR(((TablaPrincipal[[#This Row],[BALANCEADO ACUMULADO (LBS)]]/2.2046)/TablaPrincipal[[#This Row],[HAS]])/TablaPrincipal[[#This Row],[DIAS]],"-")</f>
        <v>73.541666666666671</v>
      </c>
      <c r="AO293" s="184">
        <f>IFERROR(TablaPrincipal[[#This Row],[BALANCEADO ACUMULADO (LBS)]]/TablaPrincipal[[#This Row],[LIBRAS TOTALES]],"-")</f>
        <v>1.3635444567778388</v>
      </c>
      <c r="AP293" s="184"/>
      <c r="AQ293" s="184"/>
      <c r="AR293" s="185">
        <f>TablaPrincipal[[#This Row],[LIBRAS RALEO PLANTA]]-TablaPrincipal[[#This Row],[LIBRAS RALEO CAMARONERA]]</f>
        <v>1961.7400000000052</v>
      </c>
      <c r="AS293" s="185">
        <f>TablaPrincipal[[#This Row],[LIBRAS PLANTA]]-TablaPrincipal[[#This Row],[LIBRAS CAMARONERA]]</f>
        <v>-269.75</v>
      </c>
      <c r="AT293" s="187">
        <f>TablaPrincipal[[#This Row],[GRAMAJE RALEO PLANTA]]-TablaPrincipal[[#This Row],[GRAMAJE RALEO CAMARONERA]]</f>
        <v>0.48000000000000043</v>
      </c>
      <c r="AU293" s="187">
        <f>TablaPrincipal[[#This Row],[GRAMOS PLANTA]]-TablaPrincipal[[#This Row],[GRAMAJE CAMARONERA]]</f>
        <v>-0.20000000000000284</v>
      </c>
      <c r="AV293" s="183" t="str">
        <f>+VLOOKUP(TablaPrincipal[[#This Row],[CODIGO]],TablaCosechas[#All],10,0)</f>
        <v>ALFONSO GRUNAUER</v>
      </c>
      <c r="AW293" s="183" t="s">
        <v>181</v>
      </c>
      <c r="AX293" s="241" t="str">
        <f>+VLOOKUP(TablaPrincipal[[#This Row],[CODIGO]],TablaCosechas[#All],10,0)</f>
        <v>ALFONSO GRUNAUER</v>
      </c>
    </row>
    <row r="294" spans="1:50" hidden="1" x14ac:dyDescent="0.25">
      <c r="A294" s="196">
        <v>46128</v>
      </c>
      <c r="B294" s="242">
        <f>ROW() - ROW(TablaPrincipal[[#Headers],[ID]])</f>
        <v>292</v>
      </c>
      <c r="C294" s="183">
        <f>YEAR(TablaPrincipal[[#This Row],[FECHA]])</f>
        <v>2026</v>
      </c>
      <c r="D294" s="183" t="s">
        <v>334</v>
      </c>
      <c r="E294" s="183" t="str">
        <f>UPPER(TEXT(TablaPrincipal[[#This Row],[FECHA]],"MMMM"))</f>
        <v>ABRIL</v>
      </c>
      <c r="F294" s="183" t="str">
        <f>IFERROR(VLOOKUP(TablaPrincipal[[#This Row],[CODIGO]],COSECHAS!A:J,9,0),"-")</f>
        <v>03</v>
      </c>
      <c r="G294" s="183" t="str">
        <f>IFERROR(VLOOKUP(TablaPrincipal[[#This Row],[CODIGO]],COSECHAS!A:I,8,0),"-")</f>
        <v>WAHOO</v>
      </c>
      <c r="H294" s="184">
        <f>IFERROR(VLOOKUP(TablaPrincipal[[#This Row],[CODIGO]],DATOS!A:B,2,0),"-")</f>
        <v>3.5</v>
      </c>
      <c r="I294" s="183" t="str">
        <f>IFERROR(VLOOKUP(TablaPrincipal[[#This Row],[CODIGO]],Tabla8[[#Headers],[#Data]],3,0),"-")</f>
        <v>CONVENCIONAL</v>
      </c>
      <c r="J294" s="183">
        <f>IFERROR(TablaPrincipal[[#This Row],[FECHA]]-TablaPrincipal[[#This Row],[FECHA DE SIEMBRA]],"-")</f>
        <v>92</v>
      </c>
      <c r="K294" s="196">
        <f>VLOOKUP(TablaPrincipal[[#This Row],[CODIGO]]&amp;TablaPrincipal[[#This Row],[AGUAJE ]],Tabla4[#All],4,0)</f>
        <v>46036</v>
      </c>
      <c r="L294" s="183" t="str">
        <f>VLOOKUP(TablaPrincipal[[#This Row],[CODIGO]]&amp;TablaPrincipal[[#This Row],[AGUAJE ]],Tabla4[#All],15,0)</f>
        <v>WA PC 3</v>
      </c>
      <c r="M294" s="184">
        <f>VLOOKUP(TablaPrincipal[[#This Row],[CODIGO]]&amp;TablaPrincipal[[#This Row],[AGUAJE ]],Tabla4[#All],14,0)</f>
        <v>0.6</v>
      </c>
      <c r="N294" s="183">
        <v>29</v>
      </c>
      <c r="O294" s="170">
        <f>VLOOKUP(TablaPrincipal[[#This Row],[CODIGO]]&amp;TablaPrincipal[[#This Row],[AGUAJE ]],Tabla4[#All],5,0)</f>
        <v>595000</v>
      </c>
      <c r="P294" s="221">
        <f>IFERROR(TablaPrincipal[[#This Row],[ANIM SEMBRADOS]]/TablaPrincipal[[#This Row],[HAS]],"-")</f>
        <v>170000</v>
      </c>
      <c r="Q294" s="222">
        <f>IFERROR(TablaPrincipal[[#This Row],[DENSIDAD]]/10000,"-")</f>
        <v>17</v>
      </c>
      <c r="R294" s="183" t="str">
        <f>VLOOKUP(TablaPrincipal[[#This Row],[CODIGO]]&amp;TablaPrincipal[[#This Row],[AGUAJE ]],Tabla4[#All],8,0)</f>
        <v>GRILSAN</v>
      </c>
      <c r="S294" s="183" t="str">
        <f>VLOOKUP(TablaPrincipal[[#This Row],[CODIGO]]&amp;TablaPrincipal[[#This Row],[AGUAJE ]],Tabla4[#All],7,0)</f>
        <v>AQUAGEN</v>
      </c>
      <c r="T294" s="183" t="str">
        <f>IF(ISNUMBER(FIND("/",TablaPrincipal[[#This Row],[LABORATORIO]])),"COMBINADO","UNICO")</f>
        <v>UNICO</v>
      </c>
      <c r="U2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11400</v>
      </c>
      <c r="V2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12084.41</v>
      </c>
      <c r="W2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2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24.45</v>
      </c>
      <c r="Y294" s="185">
        <f>IFERROR(TablaPrincipal[[#This Row],[LIBRAS RALEO PLANTA]]/TablaPrincipal[[#This Row],[HAS]],"-")</f>
        <v>3452.6885714285713</v>
      </c>
      <c r="Z2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222184.88258677238</v>
      </c>
      <c r="AA2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13200</v>
      </c>
      <c r="AB2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15051.54</v>
      </c>
      <c r="AC294" s="186">
        <f>SUMIFS(COSECHAS!F:F,COSECHAS!A:A,'BASE 2026'!AW:AW,COSECHAS!G:G,"="&amp;A:A)</f>
        <v>32</v>
      </c>
      <c r="AD294" s="186">
        <f>SUMIFS(COSECHAS!M:M,COSECHAS!A:A,'BASE 2026'!AW:AW,COSECHAS!G:G,"="&amp;A:A)</f>
        <v>30.36</v>
      </c>
      <c r="AE294" s="185">
        <f>IFERROR(TablaPrincipal[[#This Row],[LIBRAS PLANTA]]/TablaPrincipal[[#This Row],[HAS]],"-")</f>
        <v>4300.4400000000005</v>
      </c>
      <c r="AF294" s="185">
        <f>IFERROR(TablaPrincipal[[#This Row],[LIBRAS PLANTA]]*454/TablaPrincipal[[#This Row],[GRAMOS PLANTA]],"-")</f>
        <v>225079.02371541504</v>
      </c>
      <c r="AG294" s="185">
        <f>TablaPrincipal[[#This Row],[LIBRAS RALEO PLANTA]]+TablaPrincipal[[#This Row],[LIBRAS PLANTA]]</f>
        <v>27135.95</v>
      </c>
      <c r="AH294" s="185">
        <f>IFERROR(TablaPrincipal[[#This Row],[CAM COSECHADOS RALEO]]+TablaPrincipal[[#This Row],[CAM COSECHADOS]],"-")</f>
        <v>447263.90630218742</v>
      </c>
      <c r="AI294" s="185">
        <f>IFERROR((TablaPrincipal[[#This Row],[LIBRAS RALEO PLANTA]]+TablaPrincipal[[#This Row],[LIBRAS PLANTA]])/TablaPrincipal[[#This Row],[HAS]],"0")</f>
        <v>7753.1285714285714</v>
      </c>
      <c r="AJ294" s="186">
        <f t="shared" si="4"/>
        <v>2.31</v>
      </c>
      <c r="AK294" s="186">
        <f>IFERROR(TablaPrincipal[[#This Row],[LBS/HA]]/TablaPrincipal[[#This Row],[DIAS]],"-")</f>
        <v>84.273136645962737</v>
      </c>
      <c r="AL294" s="186">
        <f>IFERROR(TablaPrincipal[[#This Row],[CAM COSECHADOS TOTALES]]/TablaPrincipal[[#This Row],[ANIM SEMBRADOS]]*100,"-")</f>
        <v>75.170404420535704</v>
      </c>
      <c r="AM294" s="185">
        <v>44274.981800000001</v>
      </c>
      <c r="AN294" s="187">
        <f>IFERROR(((TablaPrincipal[[#This Row],[BALANCEADO ACUMULADO (LBS)]]/2.2046)/TablaPrincipal[[#This Row],[HAS]])/TablaPrincipal[[#This Row],[DIAS]],"-")</f>
        <v>62.369565217391305</v>
      </c>
      <c r="AO294" s="184">
        <f>IFERROR(TablaPrincipal[[#This Row],[BALANCEADO ACUMULADO (LBS)]]/TablaPrincipal[[#This Row],[LIBRAS TOTALES]],"-")</f>
        <v>1.6315987389422519</v>
      </c>
      <c r="AP294" s="184"/>
      <c r="AQ294" s="184"/>
      <c r="AR294" s="185">
        <f>TablaPrincipal[[#This Row],[LIBRAS RALEO PLANTA]]-TablaPrincipal[[#This Row],[LIBRAS RALEO CAMARONERA]]</f>
        <v>684.40999999999985</v>
      </c>
      <c r="AS294" s="185">
        <f>TablaPrincipal[[#This Row],[LIBRAS PLANTA]]-TablaPrincipal[[#This Row],[LIBRAS CAMARONERA]]</f>
        <v>1851.5400000000009</v>
      </c>
      <c r="AT294" s="187">
        <f>TablaPrincipal[[#This Row],[GRAMAJE RALEO PLANTA]]-TablaPrincipal[[#This Row],[GRAMAJE RALEO CAMARONERA]]</f>
        <v>1.9499999999999993</v>
      </c>
      <c r="AU294" s="187">
        <f>TablaPrincipal[[#This Row],[GRAMOS PLANTA]]-TablaPrincipal[[#This Row],[GRAMAJE CAMARONERA]]</f>
        <v>-1.6400000000000006</v>
      </c>
      <c r="AV294" s="183" t="str">
        <f>+VLOOKUP(TablaPrincipal[[#This Row],[CODIGO]],TablaCosechas[#All],10,0)</f>
        <v>JUNIOR ESQUIVEL</v>
      </c>
      <c r="AW294" s="183" t="s">
        <v>337</v>
      </c>
      <c r="AX294" s="188" t="str">
        <f>+VLOOKUP(TablaPrincipal[[#This Row],[CODIGO]],TablaCosechas[#All],10,0)</f>
        <v>JUNIOR ESQUIVEL</v>
      </c>
    </row>
    <row r="295" spans="1:50" hidden="1" x14ac:dyDescent="0.25">
      <c r="A295" s="196">
        <v>46129</v>
      </c>
      <c r="B295" s="242">
        <f>ROW() - ROW(TablaPrincipal[[#Headers],[ID]])</f>
        <v>293</v>
      </c>
      <c r="C295" s="183">
        <f>YEAR(TablaPrincipal[[#This Row],[FECHA]])</f>
        <v>2026</v>
      </c>
      <c r="D295" s="183" t="s">
        <v>334</v>
      </c>
      <c r="E295" s="183" t="str">
        <f>UPPER(TEXT(TablaPrincipal[[#This Row],[FECHA]],"MMMM"))</f>
        <v>ABRIL</v>
      </c>
      <c r="F295" s="183" t="str">
        <f>IFERROR(VLOOKUP(TablaPrincipal[[#This Row],[CODIGO]],COSECHAS!A:J,9,0),"-")</f>
        <v>30</v>
      </c>
      <c r="G295" s="183" t="str">
        <f>IFERROR(VLOOKUP(TablaPrincipal[[#This Row],[CODIGO]],COSECHAS!A:I,8,0),"-")</f>
        <v>DORADO</v>
      </c>
      <c r="H295" s="184">
        <f>IFERROR(VLOOKUP(TablaPrincipal[[#This Row],[CODIGO]],DATOS!A:B,2,0),"-")</f>
        <v>8.5399999999999991</v>
      </c>
      <c r="I295" s="183" t="str">
        <f>IFERROR(VLOOKUP(TablaPrincipal[[#This Row],[CODIGO]],Tabla8[[#Headers],[#Data]],3,0),"-")</f>
        <v>ASC-BAP</v>
      </c>
      <c r="J295" s="183">
        <f>IFERROR(TablaPrincipal[[#This Row],[FECHA]]-TablaPrincipal[[#This Row],[FECHA DE SIEMBRA]],"-")</f>
        <v>89</v>
      </c>
      <c r="K295" s="196">
        <f>VLOOKUP(TablaPrincipal[[#This Row],[CODIGO]]&amp;TablaPrincipal[[#This Row],[AGUAJE ]],Tabla4[#All],4,0)</f>
        <v>46040</v>
      </c>
      <c r="L295" s="183" t="str">
        <f>VLOOKUP(TablaPrincipal[[#This Row],[CODIGO]]&amp;TablaPrincipal[[#This Row],[AGUAJE ]],Tabla4[#All],15,0)</f>
        <v>DO 07</v>
      </c>
      <c r="M295" s="184">
        <f>VLOOKUP(TablaPrincipal[[#This Row],[CODIGO]]&amp;TablaPrincipal[[#This Row],[AGUAJE ]],Tabla4[#All],14,0)</f>
        <v>0.95</v>
      </c>
      <c r="N295" s="183">
        <v>3</v>
      </c>
      <c r="O295" s="170">
        <f>VLOOKUP(TablaPrincipal[[#This Row],[CODIGO]]&amp;TablaPrincipal[[#This Row],[AGUAJE ]],Tabla4[#All],5,0)</f>
        <v>1333731</v>
      </c>
      <c r="P295" s="221">
        <f>IFERROR(TablaPrincipal[[#This Row],[ANIM SEMBRADOS]]/TablaPrincipal[[#This Row],[HAS]],"-")</f>
        <v>156174.59016393445</v>
      </c>
      <c r="Q295" s="222">
        <f>IFERROR(TablaPrincipal[[#This Row],[DENSIDAD]]/10000,"-")</f>
        <v>15.617459016393445</v>
      </c>
      <c r="R295" s="183" t="str">
        <f>VLOOKUP(TablaPrincipal[[#This Row],[CODIGO]]&amp;TablaPrincipal[[#This Row],[AGUAJE ]],Tabla4[#All],8,0)</f>
        <v>EMPAGRAN</v>
      </c>
      <c r="S295" s="183" t="str">
        <f>VLOOKUP(TablaPrincipal[[#This Row],[CODIGO]]&amp;TablaPrincipal[[#This Row],[AGUAJE ]],Tabla4[#All],7,0)</f>
        <v>EMPAGRAN</v>
      </c>
      <c r="T295" s="183" t="str">
        <f>IF(ISNUMBER(FIND("/",TablaPrincipal[[#This Row],[LABORATORIO]])),"COMBINADO","UNICO")</f>
        <v>UNICO</v>
      </c>
      <c r="U2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22800</v>
      </c>
      <c r="V2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23938.120000000003</v>
      </c>
      <c r="W2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2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25.954999999999998</v>
      </c>
      <c r="Y295" s="185">
        <f>IFERROR(TablaPrincipal[[#This Row],[LIBRAS RALEO PLANTA]]/TablaPrincipal[[#This Row],[HAS]],"-")</f>
        <v>2803.0585480093682</v>
      </c>
      <c r="Z2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433284.28331725625</v>
      </c>
      <c r="AA2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17450</v>
      </c>
      <c r="AB2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18908.96</v>
      </c>
      <c r="AC295" s="186">
        <f>SUMIFS(COSECHAS!F:F,COSECHAS!A:A,'BASE 2026'!AW:AW,COSECHAS!G:G,"="&amp;A:A)</f>
        <v>38</v>
      </c>
      <c r="AD295" s="186">
        <f>SUMIFS(COSECHAS!M:M,COSECHAS!A:A,'BASE 2026'!AW:AW,COSECHAS!G:G,"="&amp;A:A)</f>
        <v>38.54</v>
      </c>
      <c r="AE295" s="185">
        <f>IFERROR(TablaPrincipal[[#This Row],[LIBRAS PLANTA]]/TablaPrincipal[[#This Row],[HAS]],"-")</f>
        <v>2214.1639344262298</v>
      </c>
      <c r="AF295" s="185">
        <f>IFERROR(TablaPrincipal[[#This Row],[LIBRAS PLANTA]]*454/TablaPrincipal[[#This Row],[GRAMOS PLANTA]],"-")</f>
        <v>222746.9600415153</v>
      </c>
      <c r="AG295" s="185">
        <f>TablaPrincipal[[#This Row],[LIBRAS RALEO PLANTA]]+TablaPrincipal[[#This Row],[LIBRAS PLANTA]]</f>
        <v>42847.08</v>
      </c>
      <c r="AH295" s="185">
        <f>IFERROR(TablaPrincipal[[#This Row],[CAM COSECHADOS RALEO]]+TablaPrincipal[[#This Row],[CAM COSECHADOS]],"-")</f>
        <v>656031.24335877155</v>
      </c>
      <c r="AI295" s="185">
        <f>IFERROR((TablaPrincipal[[#This Row],[LIBRAS RALEO PLANTA]]+TablaPrincipal[[#This Row],[LIBRAS PLANTA]])/TablaPrincipal[[#This Row],[HAS]],"0")</f>
        <v>5017.2224824355981</v>
      </c>
      <c r="AJ295" s="186">
        <f t="shared" si="4"/>
        <v>3.03123595505618</v>
      </c>
      <c r="AK295" s="186">
        <f>IFERROR(TablaPrincipal[[#This Row],[LBS/HA]]/TablaPrincipal[[#This Row],[DIAS]],"-")</f>
        <v>56.373286319501105</v>
      </c>
      <c r="AL295" s="186">
        <f>IFERROR(TablaPrincipal[[#This Row],[CAM COSECHADOS TOTALES]]/TablaPrincipal[[#This Row],[ANIM SEMBRADOS]]*100,"-")</f>
        <v>49.187673028427135</v>
      </c>
      <c r="AM295" s="185">
        <v>77987.725000000006</v>
      </c>
      <c r="AN295" s="187">
        <f>IFERROR(((TablaPrincipal[[#This Row],[BALANCEADO ACUMULADO (LBS)]]/2.2046)/TablaPrincipal[[#This Row],[HAS]])/TablaPrincipal[[#This Row],[DIAS]],"-")</f>
        <v>46.542378233297377</v>
      </c>
      <c r="AO295" s="184">
        <f>IFERROR(TablaPrincipal[[#This Row],[BALANCEADO ACUMULADO (LBS)]]/TablaPrincipal[[#This Row],[LIBRAS TOTALES]],"-")</f>
        <v>1.8201409524289638</v>
      </c>
      <c r="AP295" s="184"/>
      <c r="AQ295" s="184"/>
      <c r="AR295" s="185">
        <f>TablaPrincipal[[#This Row],[LIBRAS RALEO PLANTA]]-TablaPrincipal[[#This Row],[LIBRAS RALEO CAMARONERA]]</f>
        <v>1138.1200000000026</v>
      </c>
      <c r="AS295" s="185">
        <f>TablaPrincipal[[#This Row],[LIBRAS PLANTA]]-TablaPrincipal[[#This Row],[LIBRAS CAMARONERA]]</f>
        <v>1458.9599999999991</v>
      </c>
      <c r="AT295" s="187">
        <f>TablaPrincipal[[#This Row],[GRAMAJE RALEO PLANTA]]-TablaPrincipal[[#This Row],[GRAMAJE RALEO CAMARONERA]]</f>
        <v>0.95499999999999829</v>
      </c>
      <c r="AU295" s="187">
        <f>TablaPrincipal[[#This Row],[GRAMOS PLANTA]]-TablaPrincipal[[#This Row],[GRAMAJE CAMARONERA]]</f>
        <v>0.53999999999999915</v>
      </c>
      <c r="AV295" s="183" t="str">
        <f>+VLOOKUP(TablaPrincipal[[#This Row],[CODIGO]],TablaCosechas[#All],10,0)</f>
        <v>JOSE CEDEÑO</v>
      </c>
      <c r="AW295" s="183" t="s">
        <v>152</v>
      </c>
      <c r="AX295" s="241" t="str">
        <f>+VLOOKUP(TablaPrincipal[[#This Row],[CODIGO]],TablaCosechas[#All],10,0)</f>
        <v>JOSE CEDEÑO</v>
      </c>
    </row>
    <row r="296" spans="1:50" hidden="1" x14ac:dyDescent="0.25">
      <c r="A296" s="196">
        <v>46129</v>
      </c>
      <c r="B296" s="242">
        <f>ROW() - ROW(TablaPrincipal[[#Headers],[ID]])</f>
        <v>294</v>
      </c>
      <c r="C296" s="183">
        <f>YEAR(TablaPrincipal[[#This Row],[FECHA]])</f>
        <v>2026</v>
      </c>
      <c r="D296" s="183" t="s">
        <v>334</v>
      </c>
      <c r="E296" s="183" t="str">
        <f>UPPER(TEXT(TablaPrincipal[[#This Row],[FECHA]],"MMMM"))</f>
        <v>ABRIL</v>
      </c>
      <c r="F296" s="183" t="str">
        <f>IFERROR(VLOOKUP(TablaPrincipal[[#This Row],[CODIGO]],COSECHAS!A:J,9,0),"-")</f>
        <v>31</v>
      </c>
      <c r="G296" s="183" t="str">
        <f>IFERROR(VLOOKUP(TablaPrincipal[[#This Row],[CODIGO]],COSECHAS!A:I,8,0),"-")</f>
        <v>PARGO ROJO</v>
      </c>
      <c r="H296" s="184">
        <f>IFERROR(VLOOKUP(TablaPrincipal[[#This Row],[CODIGO]],DATOS!A:B,2,0),"-")</f>
        <v>8.15</v>
      </c>
      <c r="I296" s="183" t="str">
        <f>IFERROR(VLOOKUP(TablaPrincipal[[#This Row],[CODIGO]],Tabla8[[#Headers],[#Data]],3,0),"-")</f>
        <v>CONVENCIONAL</v>
      </c>
      <c r="J296" s="183">
        <f>IFERROR(TablaPrincipal[[#This Row],[FECHA]]-TablaPrincipal[[#This Row],[FECHA DE SIEMBRA]],"-")</f>
        <v>75</v>
      </c>
      <c r="K296" s="196">
        <f>VLOOKUP(TablaPrincipal[[#This Row],[CODIGO]]&amp;TablaPrincipal[[#This Row],[AGUAJE ]],Tabla4[#All],4,0)</f>
        <v>46054</v>
      </c>
      <c r="L296" s="183" t="str">
        <f>VLOOKUP(TablaPrincipal[[#This Row],[CODIGO]]&amp;TablaPrincipal[[#This Row],[AGUAJE ]],Tabla4[#All],15,0)</f>
        <v>PR 25</v>
      </c>
      <c r="M296" s="184">
        <f>VLOOKUP(TablaPrincipal[[#This Row],[CODIGO]]&amp;TablaPrincipal[[#This Row],[AGUAJE ]],Tabla4[#All],14,0)</f>
        <v>0.5</v>
      </c>
      <c r="N296" s="183">
        <v>18</v>
      </c>
      <c r="O296" s="170">
        <f>VLOOKUP(TablaPrincipal[[#This Row],[CODIGO]]&amp;TablaPrincipal[[#This Row],[AGUAJE ]],Tabla4[#All],5,0)</f>
        <v>1141000</v>
      </c>
      <c r="P296" s="221">
        <f>IFERROR(TablaPrincipal[[#This Row],[ANIM SEMBRADOS]]/TablaPrincipal[[#This Row],[HAS]],"-")</f>
        <v>140000</v>
      </c>
      <c r="Q296" s="222">
        <f>IFERROR(TablaPrincipal[[#This Row],[DENSIDAD]]/10000,"-")</f>
        <v>14</v>
      </c>
      <c r="R296" s="183" t="str">
        <f>VLOOKUP(TablaPrincipal[[#This Row],[CODIGO]]&amp;TablaPrincipal[[#This Row],[AGUAJE ]],Tabla4[#All],8,0)</f>
        <v>ACUATECSA</v>
      </c>
      <c r="S296" s="183" t="str">
        <f>VLOOKUP(TablaPrincipal[[#This Row],[CODIGO]]&amp;TablaPrincipal[[#This Row],[AGUAJE ]],Tabla4[#All],7,0)</f>
        <v>TEXCUMAR</v>
      </c>
      <c r="T296" s="183" t="str">
        <f>IF(ISNUMBER(FIND("/",TablaPrincipal[[#This Row],[LABORATORIO]])),"COMBINADO","UNICO")</f>
        <v>UNICO</v>
      </c>
      <c r="U2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6" s="185">
        <f>IFERROR(TablaPrincipal[[#This Row],[LIBRAS RALEO PLANTA]]/TablaPrincipal[[#This Row],[HAS]],"-")</f>
        <v>0</v>
      </c>
      <c r="Z2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25000</v>
      </c>
      <c r="AB2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30371.61</v>
      </c>
      <c r="AC296" s="186">
        <f>SUMIFS(COSECHAS!F:F,COSECHAS!A:A,'BASE 2026'!AW:AW,COSECHAS!G:G,"="&amp;A:A)</f>
        <v>25</v>
      </c>
      <c r="AD296" s="186">
        <f>SUMIFS(COSECHAS!M:M,COSECHAS!A:A,'BASE 2026'!AW:AW,COSECHAS!G:G,"="&amp;A:A)</f>
        <v>27.4</v>
      </c>
      <c r="AE296" s="185">
        <f>IFERROR(TablaPrincipal[[#This Row],[LIBRAS PLANTA]]/TablaPrincipal[[#This Row],[HAS]],"-")</f>
        <v>3726.5779141104294</v>
      </c>
      <c r="AF296" s="185">
        <f>IFERROR(TablaPrincipal[[#This Row],[LIBRAS PLANTA]]*454/TablaPrincipal[[#This Row],[GRAMOS PLANTA]],"-")</f>
        <v>503237.62554744526</v>
      </c>
      <c r="AG296" s="185">
        <f>TablaPrincipal[[#This Row],[LIBRAS RALEO PLANTA]]+TablaPrincipal[[#This Row],[LIBRAS PLANTA]]</f>
        <v>30371.61</v>
      </c>
      <c r="AH296" s="185">
        <f>IFERROR(TablaPrincipal[[#This Row],[CAM COSECHADOS RALEO]]+TablaPrincipal[[#This Row],[CAM COSECHADOS]],"-")</f>
        <v>503237.62554744526</v>
      </c>
      <c r="AI296" s="185">
        <f>IFERROR((TablaPrincipal[[#This Row],[LIBRAS RALEO PLANTA]]+TablaPrincipal[[#This Row],[LIBRAS PLANTA]])/TablaPrincipal[[#This Row],[HAS]],"0")</f>
        <v>3726.5779141104294</v>
      </c>
      <c r="AJ296" s="186">
        <f t="shared" si="4"/>
        <v>2.5573333333333332</v>
      </c>
      <c r="AK296" s="186">
        <f>IFERROR(TablaPrincipal[[#This Row],[LBS/HA]]/TablaPrincipal[[#This Row],[DIAS]],"-")</f>
        <v>49.687705521472395</v>
      </c>
      <c r="AL296" s="186">
        <f>IFERROR(TablaPrincipal[[#This Row],[CAM COSECHADOS TOTALES]]/TablaPrincipal[[#This Row],[ANIM SEMBRADOS]]*100,"-")</f>
        <v>44.10496279995138</v>
      </c>
      <c r="AM296" s="185">
        <v>44422.69</v>
      </c>
      <c r="AN296" s="187">
        <f>IFERROR(((TablaPrincipal[[#This Row],[BALANCEADO ACUMULADO (LBS)]]/2.2046)/TablaPrincipal[[#This Row],[HAS]])/TablaPrincipal[[#This Row],[DIAS]],"-")</f>
        <v>32.965235173824134</v>
      </c>
      <c r="AO296" s="184">
        <f>IFERROR(TablaPrincipal[[#This Row],[BALANCEADO ACUMULADO (LBS)]]/TablaPrincipal[[#This Row],[LIBRAS TOTALES]],"-")</f>
        <v>1.4626386286403652</v>
      </c>
      <c r="AP296" s="184"/>
      <c r="AQ296" s="184"/>
      <c r="AR296" s="185">
        <f>TablaPrincipal[[#This Row],[LIBRAS RALEO PLANTA]]-TablaPrincipal[[#This Row],[LIBRAS RALEO CAMARONERA]]</f>
        <v>0</v>
      </c>
      <c r="AS296" s="185">
        <f>TablaPrincipal[[#This Row],[LIBRAS PLANTA]]-TablaPrincipal[[#This Row],[LIBRAS CAMARONERA]]</f>
        <v>5371.6100000000006</v>
      </c>
      <c r="AT296" s="187">
        <f>TablaPrincipal[[#This Row],[GRAMAJE RALEO PLANTA]]-TablaPrincipal[[#This Row],[GRAMAJE RALEO CAMARONERA]]</f>
        <v>0</v>
      </c>
      <c r="AU296" s="187">
        <f>TablaPrincipal[[#This Row],[GRAMOS PLANTA]]-TablaPrincipal[[#This Row],[GRAMAJE CAMARONERA]]</f>
        <v>2.3999999999999986</v>
      </c>
      <c r="AV296" s="183" t="str">
        <f>+VLOOKUP(TablaPrincipal[[#This Row],[CODIGO]],TablaCosechas[#All],10,0)</f>
        <v>WILMER TORRES</v>
      </c>
      <c r="AW296" s="183" t="s">
        <v>149</v>
      </c>
      <c r="AX296" s="241" t="str">
        <f>+VLOOKUP(TablaPrincipal[[#This Row],[CODIGO]],TablaCosechas[#All],10,0)</f>
        <v>WILMER TORRES</v>
      </c>
    </row>
    <row r="297" spans="1:50" hidden="1" x14ac:dyDescent="0.25">
      <c r="A297" s="196">
        <v>46129</v>
      </c>
      <c r="B297" s="242">
        <f>ROW() - ROW(TablaPrincipal[[#Headers],[ID]])</f>
        <v>295</v>
      </c>
      <c r="C297" s="183">
        <f>YEAR(TablaPrincipal[[#This Row],[FECHA]])</f>
        <v>2026</v>
      </c>
      <c r="D297" s="183" t="s">
        <v>334</v>
      </c>
      <c r="E297" s="183" t="str">
        <f>UPPER(TEXT(TablaPrincipal[[#This Row],[FECHA]],"MMMM"))</f>
        <v>ABRIL</v>
      </c>
      <c r="F297" s="183" t="str">
        <f>IFERROR(VLOOKUP(TablaPrincipal[[#This Row],[CODIGO]],COSECHAS!A:J,9,0),"-")</f>
        <v>01</v>
      </c>
      <c r="G297" s="183" t="str">
        <f>IFERROR(VLOOKUP(TablaPrincipal[[#This Row],[CODIGO]],COSECHAS!A:I,8,0),"-")</f>
        <v>TIBURON</v>
      </c>
      <c r="H297" s="184">
        <f>IFERROR(VLOOKUP(TablaPrincipal[[#This Row],[CODIGO]],DATOS!A:B,2,0),"-")</f>
        <v>7.84</v>
      </c>
      <c r="I297" s="183" t="str">
        <f>IFERROR(VLOOKUP(TablaPrincipal[[#This Row],[CODIGO]],Tabla8[[#Headers],[#Data]],3,0),"-")</f>
        <v>ASC-BAP</v>
      </c>
      <c r="J297" s="183">
        <f>IFERROR(TablaPrincipal[[#This Row],[FECHA]]-TablaPrincipal[[#This Row],[FECHA DE SIEMBRA]],"-")</f>
        <v>80</v>
      </c>
      <c r="K297" s="196">
        <f>VLOOKUP(TablaPrincipal[[#This Row],[CODIGO]]&amp;TablaPrincipal[[#This Row],[AGUAJE ]],Tabla4[#All],4,0)</f>
        <v>46049</v>
      </c>
      <c r="L297" s="183" t="str">
        <f>VLOOKUP(TablaPrincipal[[#This Row],[CODIGO]]&amp;TablaPrincipal[[#This Row],[AGUAJE ]],Tabla4[#All],15,0)</f>
        <v>TI 36 - 38</v>
      </c>
      <c r="M297" s="184">
        <f>VLOOKUP(TablaPrincipal[[#This Row],[CODIGO]]&amp;TablaPrincipal[[#This Row],[AGUAJE ]],Tabla4[#All],14,0)</f>
        <v>0.56000000000000005</v>
      </c>
      <c r="N297" s="183">
        <v>5</v>
      </c>
      <c r="O297" s="170">
        <f>VLOOKUP(TablaPrincipal[[#This Row],[CODIGO]]&amp;TablaPrincipal[[#This Row],[AGUAJE ]],Tabla4[#All],5,0)</f>
        <v>1411200</v>
      </c>
      <c r="P297" s="221">
        <f>IFERROR(TablaPrincipal[[#This Row],[ANIM SEMBRADOS]]/TablaPrincipal[[#This Row],[HAS]],"-")</f>
        <v>180000</v>
      </c>
      <c r="Q297" s="222">
        <f>IFERROR(TablaPrincipal[[#This Row],[DENSIDAD]]/10000,"-")</f>
        <v>18</v>
      </c>
      <c r="R297" s="183" t="str">
        <f>VLOOKUP(TablaPrincipal[[#This Row],[CODIGO]]&amp;TablaPrincipal[[#This Row],[AGUAJE ]],Tabla4[#All],8,0)</f>
        <v>EMPAGRAN</v>
      </c>
      <c r="S297" s="183" t="str">
        <f>VLOOKUP(TablaPrincipal[[#This Row],[CODIGO]]&amp;TablaPrincipal[[#This Row],[AGUAJE ]],Tabla4[#All],7,0)</f>
        <v>EMPAGRAN</v>
      </c>
      <c r="T297" s="183" t="str">
        <f>IF(ISNUMBER(FIND("/",TablaPrincipal[[#This Row],[LABORATORIO]])),"COMBINADO","UNICO")</f>
        <v>UNICO</v>
      </c>
      <c r="U2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22500</v>
      </c>
      <c r="V2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23580.129999999997</v>
      </c>
      <c r="W2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2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24.98</v>
      </c>
      <c r="Y297" s="185">
        <f>IFERROR(TablaPrincipal[[#This Row],[LIBRAS RALEO PLANTA]]/TablaPrincipal[[#This Row],[HAS]],"-")</f>
        <v>3007.6696428571427</v>
      </c>
      <c r="Z2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432924.75728276023</v>
      </c>
      <c r="AA2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2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37761.89</v>
      </c>
      <c r="AC297" s="186">
        <f>SUMIFS(COSECHAS!F:F,COSECHAS!A:A,'BASE 2026'!AW:AW,COSECHAS!G:G,"="&amp;A:A)</f>
        <v>30</v>
      </c>
      <c r="AD297" s="186">
        <f>SUMIFS(COSECHAS!M:M,COSECHAS!A:A,'BASE 2026'!AW:AW,COSECHAS!G:G,"="&amp;A:A)</f>
        <v>30.38</v>
      </c>
      <c r="AE297" s="185">
        <f>IFERROR(TablaPrincipal[[#This Row],[LIBRAS PLANTA]]/TablaPrincipal[[#This Row],[HAS]],"-")</f>
        <v>4816.5676020408164</v>
      </c>
      <c r="AF297" s="185">
        <f>IFERROR(TablaPrincipal[[#This Row],[LIBRAS PLANTA]]*454/TablaPrincipal[[#This Row],[GRAMOS PLANTA]],"-")</f>
        <v>564315.27518104017</v>
      </c>
      <c r="AG297" s="185">
        <f>TablaPrincipal[[#This Row],[LIBRAS RALEO PLANTA]]+TablaPrincipal[[#This Row],[LIBRAS PLANTA]]</f>
        <v>61342.02</v>
      </c>
      <c r="AH297" s="185">
        <f>IFERROR(TablaPrincipal[[#This Row],[CAM COSECHADOS RALEO]]+TablaPrincipal[[#This Row],[CAM COSECHADOS]],"-")</f>
        <v>997240.03246380039</v>
      </c>
      <c r="AI297" s="185">
        <f>IFERROR((TablaPrincipal[[#This Row],[LIBRAS RALEO PLANTA]]+TablaPrincipal[[#This Row],[LIBRAS PLANTA]])/TablaPrincipal[[#This Row],[HAS]],"0")</f>
        <v>7824.2372448979586</v>
      </c>
      <c r="AJ297" s="186">
        <f t="shared" si="4"/>
        <v>2.6582499999999998</v>
      </c>
      <c r="AK297" s="186">
        <f>IFERROR(TablaPrincipal[[#This Row],[LBS/HA]]/TablaPrincipal[[#This Row],[DIAS]],"-")</f>
        <v>97.802965561224482</v>
      </c>
      <c r="AL297" s="186">
        <f>IFERROR(TablaPrincipal[[#This Row],[CAM COSECHADOS TOTALES]]/TablaPrincipal[[#This Row],[ANIM SEMBRADOS]]*100,"-")</f>
        <v>70.666102073681998</v>
      </c>
      <c r="AM297" s="185">
        <v>91490.900000000009</v>
      </c>
      <c r="AN297" s="187">
        <f>IFERROR(((TablaPrincipal[[#This Row],[BALANCEADO ACUMULADO (LBS)]]/2.2046)/TablaPrincipal[[#This Row],[HAS]])/TablaPrincipal[[#This Row],[DIAS]],"-")</f>
        <v>66.167091836734699</v>
      </c>
      <c r="AO297" s="184">
        <f>IFERROR(TablaPrincipal[[#This Row],[BALANCEADO ACUMULADO (LBS)]]/TablaPrincipal[[#This Row],[LIBRAS TOTALES]],"-")</f>
        <v>1.4914882163971779</v>
      </c>
      <c r="AP297" s="184"/>
      <c r="AQ297" s="184"/>
      <c r="AR297" s="185">
        <f>TablaPrincipal[[#This Row],[LIBRAS RALEO PLANTA]]-TablaPrincipal[[#This Row],[LIBRAS RALEO CAMARONERA]]</f>
        <v>1080.1299999999974</v>
      </c>
      <c r="AS297" s="185">
        <f>TablaPrincipal[[#This Row],[LIBRAS PLANTA]]-TablaPrincipal[[#This Row],[LIBRAS CAMARONERA]]</f>
        <v>261.88999999999942</v>
      </c>
      <c r="AT297" s="187">
        <f>TablaPrincipal[[#This Row],[GRAMAJE RALEO PLANTA]]-TablaPrincipal[[#This Row],[GRAMAJE RALEO CAMARONERA]]</f>
        <v>0.98000000000000043</v>
      </c>
      <c r="AU297" s="187">
        <f>TablaPrincipal[[#This Row],[GRAMOS PLANTA]]-TablaPrincipal[[#This Row],[GRAMAJE CAMARONERA]]</f>
        <v>0.37999999999999901</v>
      </c>
      <c r="AV297" s="183" t="str">
        <f>+VLOOKUP(TablaPrincipal[[#This Row],[CODIGO]],TablaCosechas[#All],10,0)</f>
        <v>ALFONSO GRUNAUER</v>
      </c>
      <c r="AW297" s="183" t="s">
        <v>173</v>
      </c>
      <c r="AX297" s="241" t="str">
        <f>+VLOOKUP(TablaPrincipal[[#This Row],[CODIGO]],TablaCosechas[#All],10,0)</f>
        <v>ALFONSO GRUNAUER</v>
      </c>
    </row>
    <row r="298" spans="1:50" hidden="1" x14ac:dyDescent="0.25">
      <c r="A298" s="196">
        <v>46129</v>
      </c>
      <c r="B298" s="242">
        <f>ROW() - ROW(TablaPrincipal[[#Headers],[ID]])</f>
        <v>296</v>
      </c>
      <c r="C298" s="183">
        <f>YEAR(TablaPrincipal[[#This Row],[FECHA]])</f>
        <v>2026</v>
      </c>
      <c r="D298" s="183" t="s">
        <v>334</v>
      </c>
      <c r="E298" s="183" t="str">
        <f>UPPER(TEXT(TablaPrincipal[[#This Row],[FECHA]],"MMMM"))</f>
        <v>ABRIL</v>
      </c>
      <c r="F298" s="183" t="str">
        <f>IFERROR(VLOOKUP(TablaPrincipal[[#This Row],[CODIGO]],COSECHAS!A:J,9,0),"-")</f>
        <v>15</v>
      </c>
      <c r="G298" s="183" t="str">
        <f>IFERROR(VLOOKUP(TablaPrincipal[[#This Row],[CODIGO]],COSECHAS!A:I,8,0),"-")</f>
        <v>GUATO</v>
      </c>
      <c r="H298" s="184">
        <f>IFERROR(VLOOKUP(TablaPrincipal[[#This Row],[CODIGO]],DATOS!A:B,2,0),"-")</f>
        <v>2.69</v>
      </c>
      <c r="I298" s="183" t="str">
        <f>IFERROR(VLOOKUP(TablaPrincipal[[#This Row],[CODIGO]],Tabla8[[#Headers],[#Data]],3,0),"-")</f>
        <v>CONVENCIONAL</v>
      </c>
      <c r="J298" s="183">
        <f>IFERROR(TablaPrincipal[[#This Row],[FECHA]]-TablaPrincipal[[#This Row],[FECHA DE SIEMBRA]],"-")</f>
        <v>79</v>
      </c>
      <c r="K298" s="196">
        <f>VLOOKUP(TablaPrincipal[[#This Row],[CODIGO]]&amp;TablaPrincipal[[#This Row],[AGUAJE ]],Tabla4[#All],4,0)</f>
        <v>46050</v>
      </c>
      <c r="L298" s="183" t="str">
        <f>VLOOKUP(TablaPrincipal[[#This Row],[CODIGO]]&amp;TablaPrincipal[[#This Row],[AGUAJE ]],Tabla4[#All],15,0)</f>
        <v>GT PC 06</v>
      </c>
      <c r="M298" s="184">
        <f>VLOOKUP(TablaPrincipal[[#This Row],[CODIGO]]&amp;TablaPrincipal[[#This Row],[AGUAJE ]],Tabla4[#All],14,0)</f>
        <v>0.45</v>
      </c>
      <c r="N298" s="183">
        <v>15</v>
      </c>
      <c r="O298" s="170">
        <f>VLOOKUP(TablaPrincipal[[#This Row],[CODIGO]]&amp;TablaPrincipal[[#This Row],[AGUAJE ]],Tabla4[#All],5,0)</f>
        <v>376600</v>
      </c>
      <c r="P298" s="221">
        <f>IFERROR(TablaPrincipal[[#This Row],[ANIM SEMBRADOS]]/TablaPrincipal[[#This Row],[HAS]],"-")</f>
        <v>140000</v>
      </c>
      <c r="Q298" s="222">
        <f>IFERROR(TablaPrincipal[[#This Row],[DENSIDAD]]/10000,"-")</f>
        <v>14</v>
      </c>
      <c r="R298" s="183" t="str">
        <f>VLOOKUP(TablaPrincipal[[#This Row],[CODIGO]]&amp;TablaPrincipal[[#This Row],[AGUAJE ]],Tabla4[#All],8,0)</f>
        <v>TEXCUMAR</v>
      </c>
      <c r="S298" s="183" t="str">
        <f>VLOOKUP(TablaPrincipal[[#This Row],[CODIGO]]&amp;TablaPrincipal[[#This Row],[AGUAJE ]],Tabla4[#All],7,0)</f>
        <v xml:space="preserve">NEMEN </v>
      </c>
      <c r="T298" s="183" t="str">
        <f>IF(ISNUMBER(FIND("/",TablaPrincipal[[#This Row],[LABORATORIO]])),"COMBINADO","UNICO")</f>
        <v>UNICO</v>
      </c>
      <c r="U2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2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2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2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298" s="185">
        <f>IFERROR(TablaPrincipal[[#This Row],[LIBRAS RALEO PLANTA]]/TablaPrincipal[[#This Row],[HAS]],"-")</f>
        <v>0</v>
      </c>
      <c r="Z2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2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11950</v>
      </c>
      <c r="AB2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13920.52</v>
      </c>
      <c r="AC298" s="186">
        <f>SUMIFS(COSECHAS!F:F,COSECHAS!A:A,'BASE 2026'!AW:AW,COSECHAS!G:G,"="&amp;A:A)</f>
        <v>33</v>
      </c>
      <c r="AD298" s="186">
        <f>SUMIFS(COSECHAS!M:M,COSECHAS!A:A,'BASE 2026'!AW:AW,COSECHAS!G:G,"="&amp;A:A)</f>
        <v>33.04</v>
      </c>
      <c r="AE298" s="185">
        <f>IFERROR(TablaPrincipal[[#This Row],[LIBRAS PLANTA]]/TablaPrincipal[[#This Row],[HAS]],"-")</f>
        <v>5174.9144981412646</v>
      </c>
      <c r="AF298" s="185">
        <f>IFERROR(TablaPrincipal[[#This Row],[LIBRAS PLANTA]]*454/TablaPrincipal[[#This Row],[GRAMOS PLANTA]],"-")</f>
        <v>191280.7530266344</v>
      </c>
      <c r="AG298" s="185">
        <f>TablaPrincipal[[#This Row],[LIBRAS RALEO PLANTA]]+TablaPrincipal[[#This Row],[LIBRAS PLANTA]]</f>
        <v>13920.52</v>
      </c>
      <c r="AH298" s="185">
        <f>IFERROR(TablaPrincipal[[#This Row],[CAM COSECHADOS RALEO]]+TablaPrincipal[[#This Row],[CAM COSECHADOS]],"-")</f>
        <v>191280.7530266344</v>
      </c>
      <c r="AI298" s="185">
        <f>IFERROR((TablaPrincipal[[#This Row],[LIBRAS RALEO PLANTA]]+TablaPrincipal[[#This Row],[LIBRAS PLANTA]])/TablaPrincipal[[#This Row],[HAS]],"0")</f>
        <v>5174.9144981412646</v>
      </c>
      <c r="AJ298" s="186">
        <f t="shared" si="4"/>
        <v>2.9275949367088603</v>
      </c>
      <c r="AK298" s="186">
        <f>IFERROR(TablaPrincipal[[#This Row],[LBS/HA]]/TablaPrincipal[[#This Row],[DIAS]],"-")</f>
        <v>65.505246811914745</v>
      </c>
      <c r="AL298" s="186">
        <f>IFERROR(TablaPrincipal[[#This Row],[CAM COSECHADOS TOTALES]]/TablaPrincipal[[#This Row],[ANIM SEMBRADOS]]*100,"-")</f>
        <v>50.791490447858308</v>
      </c>
      <c r="AM298" s="185">
        <v>21219.279999999999</v>
      </c>
      <c r="AN298" s="187">
        <f>IFERROR(((TablaPrincipal[[#This Row],[BALANCEADO ACUMULADO (LBS)]]/2.2046)/TablaPrincipal[[#This Row],[HAS]])/TablaPrincipal[[#This Row],[DIAS]],"-")</f>
        <v>45.291996931839073</v>
      </c>
      <c r="AO298" s="184">
        <f>IFERROR(TablaPrincipal[[#This Row],[BALANCEADO ACUMULADO (LBS)]]/TablaPrincipal[[#This Row],[LIBRAS TOTALES]],"-")</f>
        <v>1.524316620356136</v>
      </c>
      <c r="AP298" s="184"/>
      <c r="AQ298" s="184"/>
      <c r="AR298" s="185">
        <f>TablaPrincipal[[#This Row],[LIBRAS RALEO PLANTA]]-TablaPrincipal[[#This Row],[LIBRAS RALEO CAMARONERA]]</f>
        <v>0</v>
      </c>
      <c r="AS298" s="185">
        <f>TablaPrincipal[[#This Row],[LIBRAS PLANTA]]-TablaPrincipal[[#This Row],[LIBRAS CAMARONERA]]</f>
        <v>1970.5200000000004</v>
      </c>
      <c r="AT298" s="187">
        <f>TablaPrincipal[[#This Row],[GRAMAJE RALEO PLANTA]]-TablaPrincipal[[#This Row],[GRAMAJE RALEO CAMARONERA]]</f>
        <v>0</v>
      </c>
      <c r="AU298" s="187">
        <f>TablaPrincipal[[#This Row],[GRAMOS PLANTA]]-TablaPrincipal[[#This Row],[GRAMAJE CAMARONERA]]</f>
        <v>3.9999999999999147E-2</v>
      </c>
      <c r="AV298" s="183" t="str">
        <f>+VLOOKUP(TablaPrincipal[[#This Row],[CODIGO]],TablaCosechas[#All],10,0)</f>
        <v>JULIO SANTOS</v>
      </c>
      <c r="AW298" s="183" t="s">
        <v>145</v>
      </c>
      <c r="AX298" s="188" t="str">
        <f>+VLOOKUP(TablaPrincipal[[#This Row],[CODIGO]],TablaCosechas[#All],10,0)</f>
        <v>JULIO SANTOS</v>
      </c>
    </row>
    <row r="299" spans="1:50" hidden="1" x14ac:dyDescent="0.25">
      <c r="A299" s="196">
        <v>46129</v>
      </c>
      <c r="B299" s="242">
        <f>ROW() - ROW(TablaPrincipal[[#Headers],[ID]])</f>
        <v>297</v>
      </c>
      <c r="C299" s="183">
        <f>YEAR(TablaPrincipal[[#This Row],[FECHA]])</f>
        <v>2026</v>
      </c>
      <c r="D299" s="183" t="s">
        <v>334</v>
      </c>
      <c r="E299" s="183" t="str">
        <f>UPPER(TEXT(TablaPrincipal[[#This Row],[FECHA]],"MMMM"))</f>
        <v>ABRIL</v>
      </c>
      <c r="F299" s="183" t="str">
        <f>IFERROR(VLOOKUP(TablaPrincipal[[#This Row],[CODIGO]],COSECHAS!A:J,9,0),"-")</f>
        <v>07</v>
      </c>
      <c r="G299" s="183" t="str">
        <f>IFERROR(VLOOKUP(TablaPrincipal[[#This Row],[CODIGO]],COSECHAS!A:I,8,0),"-")</f>
        <v>WAHOO</v>
      </c>
      <c r="H299" s="184">
        <f>IFERROR(VLOOKUP(TablaPrincipal[[#This Row],[CODIGO]],DATOS!A:B,2,0),"-")</f>
        <v>4.4000000000000004</v>
      </c>
      <c r="I299" s="183" t="str">
        <f>IFERROR(VLOOKUP(TablaPrincipal[[#This Row],[CODIGO]],Tabla8[[#Headers],[#Data]],3,0),"-")</f>
        <v>CONVENCIONAL</v>
      </c>
      <c r="J299" s="183">
        <f>IFERROR(TablaPrincipal[[#This Row],[FECHA]]-TablaPrincipal[[#This Row],[FECHA DE SIEMBRA]],"-")</f>
        <v>88</v>
      </c>
      <c r="K299" s="196">
        <f>VLOOKUP(TablaPrincipal[[#This Row],[CODIGO]]&amp;TablaPrincipal[[#This Row],[AGUAJE ]],Tabla4[#All],4,0)</f>
        <v>46041</v>
      </c>
      <c r="L299" s="183" t="str">
        <f>VLOOKUP(TablaPrincipal[[#This Row],[CODIGO]]&amp;TablaPrincipal[[#This Row],[AGUAJE ]],Tabla4[#All],15,0)</f>
        <v>WA PS 6</v>
      </c>
      <c r="M299" s="184">
        <f>VLOOKUP(TablaPrincipal[[#This Row],[CODIGO]]&amp;TablaPrincipal[[#This Row],[AGUAJE ]],Tabla4[#All],14,0)</f>
        <v>1.1000000000000001</v>
      </c>
      <c r="N299" s="183">
        <v>33</v>
      </c>
      <c r="O299" s="170">
        <f>VLOOKUP(TablaPrincipal[[#This Row],[CODIGO]]&amp;TablaPrincipal[[#This Row],[AGUAJE ]],Tabla4[#All],5,0)</f>
        <v>770000</v>
      </c>
      <c r="P299" s="221">
        <f>IFERROR(TablaPrincipal[[#This Row],[ANIM SEMBRADOS]]/TablaPrincipal[[#This Row],[HAS]],"-")</f>
        <v>175000</v>
      </c>
      <c r="Q299" s="222">
        <f>IFERROR(TablaPrincipal[[#This Row],[DENSIDAD]]/10000,"-")</f>
        <v>17.5</v>
      </c>
      <c r="R299" s="183" t="str">
        <f>VLOOKUP(TablaPrincipal[[#This Row],[CODIGO]]&amp;TablaPrincipal[[#This Row],[AGUAJE ]],Tabla4[#All],8,0)</f>
        <v>TECSERV</v>
      </c>
      <c r="S299" s="183" t="str">
        <f>VLOOKUP(TablaPrincipal[[#This Row],[CODIGO]]&amp;TablaPrincipal[[#This Row],[AGUAJE ]],Tabla4[#All],7,0)</f>
        <v>SEMACUA</v>
      </c>
      <c r="T299" s="183" t="str">
        <f>IF(ISNUMBER(FIND("/",TablaPrincipal[[#This Row],[LABORATORIO]])),"COMBINADO","UNICO")</f>
        <v>UNICO</v>
      </c>
      <c r="U2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5950</v>
      </c>
      <c r="V2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6333.41</v>
      </c>
      <c r="W2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2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15.76</v>
      </c>
      <c r="Y299" s="185">
        <f>IFERROR(TablaPrincipal[[#This Row],[LIBRAS RALEO PLANTA]]/TablaPrincipal[[#This Row],[HAS]],"-")</f>
        <v>1439.4113636363634</v>
      </c>
      <c r="Z2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182447.21700507615</v>
      </c>
      <c r="AA2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11850</v>
      </c>
      <c r="AB2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13472.28</v>
      </c>
      <c r="AC299" s="186">
        <f>SUMIFS(COSECHAS!F:F,COSECHAS!A:A,'BASE 2026'!AW:AW,COSECHAS!G:G,"="&amp;A:A)</f>
        <v>32</v>
      </c>
      <c r="AD299" s="186">
        <f>SUMIFS(COSECHAS!M:M,COSECHAS!A:A,'BASE 2026'!AW:AW,COSECHAS!G:G,"="&amp;A:A)</f>
        <v>29.62</v>
      </c>
      <c r="AE299" s="185">
        <f>IFERROR(TablaPrincipal[[#This Row],[LIBRAS PLANTA]]/TablaPrincipal[[#This Row],[HAS]],"-")</f>
        <v>3061.8818181818183</v>
      </c>
      <c r="AF299" s="185">
        <f>IFERROR(TablaPrincipal[[#This Row],[LIBRAS PLANTA]]*454/TablaPrincipal[[#This Row],[GRAMOS PLANTA]],"-")</f>
        <v>206496.12153950034</v>
      </c>
      <c r="AG299" s="185">
        <f>TablaPrincipal[[#This Row],[LIBRAS RALEO PLANTA]]+TablaPrincipal[[#This Row],[LIBRAS PLANTA]]</f>
        <v>19805.690000000002</v>
      </c>
      <c r="AH299" s="185">
        <f>IFERROR(TablaPrincipal[[#This Row],[CAM COSECHADOS RALEO]]+TablaPrincipal[[#This Row],[CAM COSECHADOS]],"-")</f>
        <v>388943.33854457649</v>
      </c>
      <c r="AI299" s="185">
        <f>IFERROR((TablaPrincipal[[#This Row],[LIBRAS RALEO PLANTA]]+TablaPrincipal[[#This Row],[LIBRAS PLANTA]])/TablaPrincipal[[#This Row],[HAS]],"0")</f>
        <v>4501.2931818181823</v>
      </c>
      <c r="AJ299" s="186">
        <f t="shared" si="4"/>
        <v>2.3561363636363639</v>
      </c>
      <c r="AK299" s="186">
        <f>IFERROR(TablaPrincipal[[#This Row],[LBS/HA]]/TablaPrincipal[[#This Row],[DIAS]],"-")</f>
        <v>51.151058884297527</v>
      </c>
      <c r="AL299" s="186">
        <f>IFERROR(TablaPrincipal[[#This Row],[CAM COSECHADOS TOTALES]]/TablaPrincipal[[#This Row],[ANIM SEMBRADOS]]*100,"-")</f>
        <v>50.512121888906037</v>
      </c>
      <c r="AM299" s="185">
        <v>38767.891000000003</v>
      </c>
      <c r="AN299" s="187">
        <f>IFERROR(((TablaPrincipal[[#This Row],[BALANCEADO ACUMULADO (LBS)]]/2.2046)/TablaPrincipal[[#This Row],[HAS]])/TablaPrincipal[[#This Row],[DIAS]],"-")</f>
        <v>45.415805785123958</v>
      </c>
      <c r="AO299" s="184">
        <f>IFERROR(TablaPrincipal[[#This Row],[BALANCEADO ACUMULADO (LBS)]]/TablaPrincipal[[#This Row],[LIBRAS TOTALES]],"-")</f>
        <v>1.9574117841892911</v>
      </c>
      <c r="AP299" s="184"/>
      <c r="AQ299" s="184"/>
      <c r="AR299" s="185">
        <f>TablaPrincipal[[#This Row],[LIBRAS RALEO PLANTA]]-TablaPrincipal[[#This Row],[LIBRAS RALEO CAMARONERA]]</f>
        <v>383.40999999999985</v>
      </c>
      <c r="AS299" s="185">
        <f>TablaPrincipal[[#This Row],[LIBRAS PLANTA]]-TablaPrincipal[[#This Row],[LIBRAS CAMARONERA]]</f>
        <v>1622.2800000000007</v>
      </c>
      <c r="AT299" s="187">
        <f>TablaPrincipal[[#This Row],[GRAMAJE RALEO PLANTA]]-TablaPrincipal[[#This Row],[GRAMAJE RALEO CAMARONERA]]</f>
        <v>-1.2400000000000002</v>
      </c>
      <c r="AU299" s="187">
        <f>TablaPrincipal[[#This Row],[GRAMOS PLANTA]]-TablaPrincipal[[#This Row],[GRAMAJE CAMARONERA]]</f>
        <v>-2.379999999999999</v>
      </c>
      <c r="AV299" s="183" t="str">
        <f>+VLOOKUP(TablaPrincipal[[#This Row],[CODIGO]],TablaCosechas[#All],10,0)</f>
        <v>JUNIOR ESQUIVEL</v>
      </c>
      <c r="AW299" s="183" t="s">
        <v>338</v>
      </c>
      <c r="AX299" s="188" t="str">
        <f>+VLOOKUP(TablaPrincipal[[#This Row],[CODIGO]],TablaCosechas[#All],10,0)</f>
        <v>JUNIOR ESQUIVEL</v>
      </c>
    </row>
    <row r="300" spans="1:50" hidden="1" x14ac:dyDescent="0.25">
      <c r="A300" s="196">
        <v>46129</v>
      </c>
      <c r="B300" s="242">
        <f>ROW() - ROW(TablaPrincipal[[#Headers],[ID]])</f>
        <v>298</v>
      </c>
      <c r="C300" s="183">
        <f>YEAR(TablaPrincipal[[#This Row],[FECHA]])</f>
        <v>2026</v>
      </c>
      <c r="D300" s="183" t="s">
        <v>334</v>
      </c>
      <c r="E300" s="183" t="str">
        <f>UPPER(TEXT(TablaPrincipal[[#This Row],[FECHA]],"MMMM"))</f>
        <v>ABRIL</v>
      </c>
      <c r="F300" s="183" t="str">
        <f>IFERROR(VLOOKUP(TablaPrincipal[[#This Row],[CODIGO]],COSECHAS!A:J,9,0),"-")</f>
        <v>24</v>
      </c>
      <c r="G300" s="183" t="str">
        <f>IFERROR(VLOOKUP(TablaPrincipal[[#This Row],[CODIGO]],COSECHAS!A:I,8,0),"-")</f>
        <v>DELFIN</v>
      </c>
      <c r="H300" s="184">
        <f>IFERROR(VLOOKUP(TablaPrincipal[[#This Row],[CODIGO]],DATOS!A:B,2,0),"-")</f>
        <v>5.3</v>
      </c>
      <c r="I300" s="183" t="str">
        <f>IFERROR(VLOOKUP(TablaPrincipal[[#This Row],[CODIGO]],Tabla8[[#Headers],[#Data]],3,0),"-")</f>
        <v>CONVENCIONAL</v>
      </c>
      <c r="J300" s="183">
        <f>IFERROR(TablaPrincipal[[#This Row],[FECHA]]-TablaPrincipal[[#This Row],[FECHA DE SIEMBRA]],"-")</f>
        <v>68</v>
      </c>
      <c r="K300" s="196">
        <f>VLOOKUP(TablaPrincipal[[#This Row],[CODIGO]]&amp;TablaPrincipal[[#This Row],[AGUAJE ]],Tabla4[#All],4,0)</f>
        <v>46061</v>
      </c>
      <c r="L300" s="183" t="str">
        <f>VLOOKUP(TablaPrincipal[[#This Row],[CODIGO]]&amp;TablaPrincipal[[#This Row],[AGUAJE ]],Tabla4[#All],15,0)</f>
        <v>DE 25</v>
      </c>
      <c r="M300" s="184">
        <f>VLOOKUP(TablaPrincipal[[#This Row],[CODIGO]]&amp;TablaPrincipal[[#This Row],[AGUAJE ]],Tabla4[#All],14,0)</f>
        <v>0.65</v>
      </c>
      <c r="N300" s="183">
        <v>11</v>
      </c>
      <c r="O300" s="170">
        <f>VLOOKUP(TablaPrincipal[[#This Row],[CODIGO]]&amp;TablaPrincipal[[#This Row],[AGUAJE ]],Tabla4[#All],5,0)</f>
        <v>583000</v>
      </c>
      <c r="P300" s="221">
        <f>IFERROR(TablaPrincipal[[#This Row],[ANIM SEMBRADOS]]/TablaPrincipal[[#This Row],[HAS]],"-")</f>
        <v>110000</v>
      </c>
      <c r="Q300" s="222">
        <f>IFERROR(TablaPrincipal[[#This Row],[DENSIDAD]]/10000,"-")</f>
        <v>11</v>
      </c>
      <c r="R300" s="183" t="str">
        <f>VLOOKUP(TablaPrincipal[[#This Row],[CODIGO]]&amp;TablaPrincipal[[#This Row],[AGUAJE ]],Tabla4[#All],8,0)</f>
        <v>PRICMARSA</v>
      </c>
      <c r="S300" s="183" t="str">
        <f>VLOOKUP(TablaPrincipal[[#This Row],[CODIGO]]&amp;TablaPrincipal[[#This Row],[AGUAJE ]],Tabla4[#All],7,0)</f>
        <v>TEXCUMAR</v>
      </c>
      <c r="T300" s="183" t="str">
        <f>IF(ISNUMBER(FIND("/",TablaPrincipal[[#This Row],[LABORATORIO]])),"COMBINADO","UNICO")</f>
        <v>UNICO</v>
      </c>
      <c r="U3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10800</v>
      </c>
      <c r="V3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10375.43</v>
      </c>
      <c r="W3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21.759999999999998</v>
      </c>
      <c r="Y300" s="185">
        <f>IFERROR(TablaPrincipal[[#This Row],[LIBRAS RALEO PLANTA]]/TablaPrincipal[[#This Row],[HAS]],"-")</f>
        <v>1957.6283018867925</v>
      </c>
      <c r="Z3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214717.2943793895</v>
      </c>
      <c r="AA3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18650</v>
      </c>
      <c r="AB3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18018</v>
      </c>
      <c r="AC300" s="186">
        <f>SUMIFS(COSECHAS!F:F,COSECHAS!A:A,'BASE 2026'!AW:AW,COSECHAS!G:G,"="&amp;A:A)</f>
        <v>29</v>
      </c>
      <c r="AD300" s="186">
        <f>SUMIFS(COSECHAS!M:M,COSECHAS!A:A,'BASE 2026'!AW:AW,COSECHAS!G:G,"="&amp;A:A)</f>
        <v>31.94</v>
      </c>
      <c r="AE300" s="185">
        <f>IFERROR(TablaPrincipal[[#This Row],[LIBRAS PLANTA]]/TablaPrincipal[[#This Row],[HAS]],"-")</f>
        <v>3399.6226415094343</v>
      </c>
      <c r="AF300" s="185">
        <f>IFERROR(TablaPrincipal[[#This Row],[LIBRAS PLANTA]]*454/TablaPrincipal[[#This Row],[GRAMOS PLANTA]],"-")</f>
        <v>256110.58234189104</v>
      </c>
      <c r="AG300" s="185">
        <f>TablaPrincipal[[#This Row],[LIBRAS RALEO PLANTA]]+TablaPrincipal[[#This Row],[LIBRAS PLANTA]]</f>
        <v>28393.43</v>
      </c>
      <c r="AH300" s="185">
        <f>IFERROR(TablaPrincipal[[#This Row],[CAM COSECHADOS RALEO]]+TablaPrincipal[[#This Row],[CAM COSECHADOS]],"-")</f>
        <v>470827.87672128051</v>
      </c>
      <c r="AI300" s="185">
        <f>IFERROR((TablaPrincipal[[#This Row],[LIBRAS RALEO PLANTA]]+TablaPrincipal[[#This Row],[LIBRAS PLANTA]])/TablaPrincipal[[#This Row],[HAS]],"0")</f>
        <v>5357.2509433962268</v>
      </c>
      <c r="AJ300" s="186">
        <f t="shared" si="4"/>
        <v>3.2879411764705888</v>
      </c>
      <c r="AK300" s="186">
        <f>IFERROR(TablaPrincipal[[#This Row],[LBS/HA]]/TablaPrincipal[[#This Row],[DIAS]],"-")</f>
        <v>78.783102108768048</v>
      </c>
      <c r="AL300" s="186">
        <f>IFERROR(TablaPrincipal[[#This Row],[CAM COSECHADOS TOTALES]]/TablaPrincipal[[#This Row],[ANIM SEMBRADOS]]*100,"-")</f>
        <v>80.759498579979507</v>
      </c>
      <c r="AM300" s="185">
        <v>46351.715000000004</v>
      </c>
      <c r="AN300" s="187">
        <f>IFERROR(((TablaPrincipal[[#This Row],[BALANCEADO ACUMULADO (LBS)]]/2.2046)/TablaPrincipal[[#This Row],[HAS]])/TablaPrincipal[[#This Row],[DIAS]],"-")</f>
        <v>58.337957824639297</v>
      </c>
      <c r="AO300" s="184">
        <f>IFERROR(TablaPrincipal[[#This Row],[BALANCEADO ACUMULADO (LBS)]]/TablaPrincipal[[#This Row],[LIBRAS TOTALES]],"-")</f>
        <v>1.6324802956176836</v>
      </c>
      <c r="AP300" s="184"/>
      <c r="AQ300" s="184"/>
      <c r="AR300" s="185">
        <f>TablaPrincipal[[#This Row],[LIBRAS RALEO PLANTA]]-TablaPrincipal[[#This Row],[LIBRAS RALEO CAMARONERA]]</f>
        <v>-424.56999999999971</v>
      </c>
      <c r="AS300" s="185">
        <f>TablaPrincipal[[#This Row],[LIBRAS PLANTA]]-TablaPrincipal[[#This Row],[LIBRAS CAMARONERA]]</f>
        <v>-632</v>
      </c>
      <c r="AT300" s="187">
        <f>TablaPrincipal[[#This Row],[GRAMAJE RALEO PLANTA]]-TablaPrincipal[[#This Row],[GRAMAJE RALEO CAMARONERA]]</f>
        <v>1.759999999999998</v>
      </c>
      <c r="AU300" s="187">
        <f>TablaPrincipal[[#This Row],[GRAMOS PLANTA]]-TablaPrincipal[[#This Row],[GRAMAJE CAMARONERA]]</f>
        <v>2.9400000000000013</v>
      </c>
      <c r="AV300" s="183" t="str">
        <f>+VLOOKUP(TablaPrincipal[[#This Row],[CODIGO]],TablaCosechas[#All],10,0)</f>
        <v>CARLOS FLORES</v>
      </c>
      <c r="AW300" s="183" t="s">
        <v>182</v>
      </c>
      <c r="AX300" s="241" t="str">
        <f>+VLOOKUP(TablaPrincipal[[#This Row],[CODIGO]],TablaCosechas[#All],10,0)</f>
        <v>CARLOS FLORES</v>
      </c>
    </row>
    <row r="301" spans="1:50" hidden="1" x14ac:dyDescent="0.25">
      <c r="A301" s="196">
        <v>46130</v>
      </c>
      <c r="B301" s="242">
        <f>ROW() - ROW(TablaPrincipal[[#Headers],[ID]])</f>
        <v>299</v>
      </c>
      <c r="C301" s="183">
        <f>YEAR(TablaPrincipal[[#This Row],[FECHA]])</f>
        <v>2026</v>
      </c>
      <c r="D301" s="183" t="s">
        <v>334</v>
      </c>
      <c r="E301" s="183" t="str">
        <f>UPPER(TEXT(TablaPrincipal[[#This Row],[FECHA]],"MMMM"))</f>
        <v>ABRIL</v>
      </c>
      <c r="F301" s="183" t="str">
        <f>IFERROR(VLOOKUP(TablaPrincipal[[#This Row],[CODIGO]],COSECHAS!A:J,9,0),"-")</f>
        <v>18</v>
      </c>
      <c r="G301" s="183" t="str">
        <f>IFERROR(VLOOKUP(TablaPrincipal[[#This Row],[CODIGO]],COSECHAS!A:I,8,0),"-")</f>
        <v>GUATO</v>
      </c>
      <c r="H301" s="184">
        <f>IFERROR(VLOOKUP(TablaPrincipal[[#This Row],[CODIGO]],DATOS!A:B,2,0),"-")</f>
        <v>4.47</v>
      </c>
      <c r="I301" s="183" t="str">
        <f>IFERROR(VLOOKUP(TablaPrincipal[[#This Row],[CODIGO]],Tabla8[[#Headers],[#Data]],3,0),"-")</f>
        <v>CONVENCIONAL</v>
      </c>
      <c r="J301" s="183">
        <f>IFERROR(TablaPrincipal[[#This Row],[FECHA]]-TablaPrincipal[[#This Row],[FECHA DE SIEMBRA]],"-")</f>
        <v>80</v>
      </c>
      <c r="K301" s="196">
        <f>VLOOKUP(TablaPrincipal[[#This Row],[CODIGO]]&amp;TablaPrincipal[[#This Row],[AGUAJE ]],Tabla4[#All],4,0)</f>
        <v>46050</v>
      </c>
      <c r="L301" s="183" t="str">
        <f>VLOOKUP(TablaPrincipal[[#This Row],[CODIGO]]&amp;TablaPrincipal[[#This Row],[AGUAJE ]],Tabla4[#All],15,0)</f>
        <v>GT 6</v>
      </c>
      <c r="M301" s="184">
        <f>VLOOKUP(TablaPrincipal[[#This Row],[CODIGO]]&amp;TablaPrincipal[[#This Row],[AGUAJE ]],Tabla4[#All],14,0)</f>
        <v>0.45</v>
      </c>
      <c r="N301" s="183">
        <v>16</v>
      </c>
      <c r="O301" s="170">
        <f>VLOOKUP(TablaPrincipal[[#This Row],[CODIGO]]&amp;TablaPrincipal[[#This Row],[AGUAJE ]],Tabla4[#All],5,0)</f>
        <v>670500</v>
      </c>
      <c r="P301" s="221">
        <f>IFERROR(TablaPrincipal[[#This Row],[ANIM SEMBRADOS]]/TablaPrincipal[[#This Row],[HAS]],"-")</f>
        <v>150000</v>
      </c>
      <c r="Q301" s="222">
        <f>IFERROR(TablaPrincipal[[#This Row],[DENSIDAD]]/10000,"-")</f>
        <v>15</v>
      </c>
      <c r="R301" s="183" t="str">
        <f>VLOOKUP(TablaPrincipal[[#This Row],[CODIGO]]&amp;TablaPrincipal[[#This Row],[AGUAJE ]],Tabla4[#All],8,0)</f>
        <v>NEMEN</v>
      </c>
      <c r="S301" s="183" t="str">
        <f>VLOOKUP(TablaPrincipal[[#This Row],[CODIGO]]&amp;TablaPrincipal[[#This Row],[AGUAJE ]],Tabla4[#All],7,0)</f>
        <v>TEXCUMAR</v>
      </c>
      <c r="T301" s="183" t="str">
        <f>IF(ISNUMBER(FIND("/",TablaPrincipal[[#This Row],[LABORATORIO]])),"COMBINADO","UNICO")</f>
        <v>UNICO</v>
      </c>
      <c r="U3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4900</v>
      </c>
      <c r="V3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4970.47</v>
      </c>
      <c r="W3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25.94</v>
      </c>
      <c r="Y301" s="185">
        <f>IFERROR(TablaPrincipal[[#This Row],[LIBRAS RALEO PLANTA]]/TablaPrincipal[[#This Row],[HAS]],"-")</f>
        <v>1111.9619686800895</v>
      </c>
      <c r="Z3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86992.805705474166</v>
      </c>
      <c r="AA3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12300</v>
      </c>
      <c r="AB3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13491.84</v>
      </c>
      <c r="AC301" s="186">
        <f>SUMIFS(COSECHAS!F:F,COSECHAS!A:A,'BASE 2026'!AW:AW,COSECHAS!G:G,"="&amp;A:A)</f>
        <v>30</v>
      </c>
      <c r="AD301" s="186">
        <f>SUMIFS(COSECHAS!M:M,COSECHAS!A:A,'BASE 2026'!AW:AW,COSECHAS!G:G,"="&amp;A:A)</f>
        <v>29.42</v>
      </c>
      <c r="AE301" s="185">
        <f>IFERROR(TablaPrincipal[[#This Row],[LIBRAS PLANTA]]/TablaPrincipal[[#This Row],[HAS]],"-")</f>
        <v>3018.3087248322149</v>
      </c>
      <c r="AF301" s="185">
        <f>IFERROR(TablaPrincipal[[#This Row],[LIBRAS PLANTA]]*454/TablaPrincipal[[#This Row],[GRAMOS PLANTA]],"-")</f>
        <v>208201.74575118968</v>
      </c>
      <c r="AG301" s="185">
        <f>TablaPrincipal[[#This Row],[LIBRAS RALEO PLANTA]]+TablaPrincipal[[#This Row],[LIBRAS PLANTA]]</f>
        <v>18462.310000000001</v>
      </c>
      <c r="AH301" s="185">
        <f>IFERROR(TablaPrincipal[[#This Row],[CAM COSECHADOS RALEO]]+TablaPrincipal[[#This Row],[CAM COSECHADOS]],"-")</f>
        <v>295194.55145666387</v>
      </c>
      <c r="AI301" s="185">
        <f>IFERROR((TablaPrincipal[[#This Row],[LIBRAS RALEO PLANTA]]+TablaPrincipal[[#This Row],[LIBRAS PLANTA]])/TablaPrincipal[[#This Row],[HAS]],"0")</f>
        <v>4130.2706935123051</v>
      </c>
      <c r="AJ301" s="186">
        <f t="shared" si="4"/>
        <v>2.5742500000000001</v>
      </c>
      <c r="AK301" s="186">
        <f>IFERROR(TablaPrincipal[[#This Row],[LBS/HA]]/TablaPrincipal[[#This Row],[DIAS]],"-")</f>
        <v>51.628383668903815</v>
      </c>
      <c r="AL301" s="186">
        <f>IFERROR(TablaPrincipal[[#This Row],[CAM COSECHADOS TOTALES]]/TablaPrincipal[[#This Row],[ANIM SEMBRADOS]]*100,"-")</f>
        <v>44.026033028585218</v>
      </c>
      <c r="AM301" s="185">
        <v>36651.480000000003</v>
      </c>
      <c r="AN301" s="187">
        <f>IFERROR(((TablaPrincipal[[#This Row],[BALANCEADO ACUMULADO (LBS)]]/2.2046)/TablaPrincipal[[#This Row],[HAS]])/TablaPrincipal[[#This Row],[DIAS]],"-")</f>
        <v>46.490498512262647</v>
      </c>
      <c r="AO301" s="184">
        <f>IFERROR(TablaPrincipal[[#This Row],[BALANCEADO ACUMULADO (LBS)]]/TablaPrincipal[[#This Row],[LIBRAS TOTALES]],"-")</f>
        <v>1.9852055349520186</v>
      </c>
      <c r="AP301" s="184"/>
      <c r="AQ301" s="184"/>
      <c r="AR301" s="185">
        <f>TablaPrincipal[[#This Row],[LIBRAS RALEO PLANTA]]-TablaPrincipal[[#This Row],[LIBRAS RALEO CAMARONERA]]</f>
        <v>70.470000000000255</v>
      </c>
      <c r="AS301" s="185">
        <f>TablaPrincipal[[#This Row],[LIBRAS PLANTA]]-TablaPrincipal[[#This Row],[LIBRAS CAMARONERA]]</f>
        <v>1191.8400000000001</v>
      </c>
      <c r="AT301" s="187">
        <f>TablaPrincipal[[#This Row],[GRAMAJE RALEO PLANTA]]-TablaPrincipal[[#This Row],[GRAMAJE RALEO CAMARONERA]]</f>
        <v>1.9400000000000013</v>
      </c>
      <c r="AU301" s="187">
        <f>TablaPrincipal[[#This Row],[GRAMOS PLANTA]]-TablaPrincipal[[#This Row],[GRAMAJE CAMARONERA]]</f>
        <v>-0.57999999999999829</v>
      </c>
      <c r="AV301" s="183" t="str">
        <f>+VLOOKUP(TablaPrincipal[[#This Row],[CODIGO]],TablaCosechas[#All],10,0)</f>
        <v>JULIO SANTOS</v>
      </c>
      <c r="AW301" s="183" t="s">
        <v>140</v>
      </c>
      <c r="AX301" s="241" t="str">
        <f>+VLOOKUP(TablaPrincipal[[#This Row],[CODIGO]],TablaCosechas[#All],10,0)</f>
        <v>JULIO SANTOS</v>
      </c>
    </row>
    <row r="302" spans="1:50" hidden="1" x14ac:dyDescent="0.25">
      <c r="A302" s="196">
        <v>46130</v>
      </c>
      <c r="B302" s="242">
        <f>ROW() - ROW(TablaPrincipal[[#Headers],[ID]])</f>
        <v>300</v>
      </c>
      <c r="C302" s="183">
        <f>YEAR(TablaPrincipal[[#This Row],[FECHA]])</f>
        <v>2026</v>
      </c>
      <c r="D302" s="183" t="s">
        <v>334</v>
      </c>
      <c r="E302" s="183" t="str">
        <f>UPPER(TEXT(TablaPrincipal[[#This Row],[FECHA]],"MMMM"))</f>
        <v>ABRIL</v>
      </c>
      <c r="F302" s="183" t="str">
        <f>IFERROR(VLOOKUP(TablaPrincipal[[#This Row],[CODIGO]],COSECHAS!A:J,9,0),"-")</f>
        <v>08</v>
      </c>
      <c r="G302" s="183" t="str">
        <f>IFERROR(VLOOKUP(TablaPrincipal[[#This Row],[CODIGO]],COSECHAS!A:I,8,0),"-")</f>
        <v>PAMPANO</v>
      </c>
      <c r="H302" s="184">
        <f>IFERROR(VLOOKUP(TablaPrincipal[[#This Row],[CODIGO]],DATOS!A:B,2,0),"-")</f>
        <v>4.3</v>
      </c>
      <c r="I302" s="183" t="str">
        <f>IFERROR(VLOOKUP(TablaPrincipal[[#This Row],[CODIGO]],Tabla8[[#Headers],[#Data]],3,0),"-")</f>
        <v>ASC-BAP</v>
      </c>
      <c r="J302" s="183">
        <f>IFERROR(TablaPrincipal[[#This Row],[FECHA]]-TablaPrincipal[[#This Row],[FECHA DE SIEMBRA]],"-")</f>
        <v>79</v>
      </c>
      <c r="K302" s="196">
        <f>VLOOKUP(TablaPrincipal[[#This Row],[CODIGO]]&amp;TablaPrincipal[[#This Row],[AGUAJE ]],Tabla4[#All],4,0)</f>
        <v>46051</v>
      </c>
      <c r="L302" s="183" t="str">
        <f>VLOOKUP(TablaPrincipal[[#This Row],[CODIGO]]&amp;TablaPrincipal[[#This Row],[AGUAJE ]],Tabla4[#All],15,0)</f>
        <v>PA PC 7</v>
      </c>
      <c r="M302" s="184">
        <f>VLOOKUP(TablaPrincipal[[#This Row],[CODIGO]]&amp;TablaPrincipal[[#This Row],[AGUAJE ]],Tabla4[#All],14,0)</f>
        <v>0.5</v>
      </c>
      <c r="N302" s="183">
        <v>4</v>
      </c>
      <c r="O302" s="170">
        <f>VLOOKUP(TablaPrincipal[[#This Row],[CODIGO]]&amp;TablaPrincipal[[#This Row],[AGUAJE ]],Tabla4[#All],5,0)</f>
        <v>566450</v>
      </c>
      <c r="P302" s="221">
        <f>IFERROR(TablaPrincipal[[#This Row],[ANIM SEMBRADOS]]/TablaPrincipal[[#This Row],[HAS]],"-")</f>
        <v>131732.5581395349</v>
      </c>
      <c r="Q302" s="222">
        <f>IFERROR(TablaPrincipal[[#This Row],[DENSIDAD]]/10000,"-")</f>
        <v>13.173255813953491</v>
      </c>
      <c r="R302" s="183" t="str">
        <f>VLOOKUP(TablaPrincipal[[#This Row],[CODIGO]]&amp;TablaPrincipal[[#This Row],[AGUAJE ]],Tabla4[#All],8,0)</f>
        <v>NEMEN</v>
      </c>
      <c r="S302" s="183" t="str">
        <f>VLOOKUP(TablaPrincipal[[#This Row],[CODIGO]]&amp;TablaPrincipal[[#This Row],[AGUAJE ]],Tabla4[#All],7,0)</f>
        <v>TEXCUMAR</v>
      </c>
      <c r="T302" s="183" t="str">
        <f>IF(ISNUMBER(FIND("/",TablaPrincipal[[#This Row],[LABORATORIO]])),"COMBINADO","UNICO")</f>
        <v>UNICO</v>
      </c>
      <c r="U3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10450</v>
      </c>
      <c r="V3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12152.75</v>
      </c>
      <c r="W3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25.12</v>
      </c>
      <c r="Y302" s="185">
        <f>IFERROR(TablaPrincipal[[#This Row],[LIBRAS RALEO PLANTA]]/TablaPrincipal[[#This Row],[HAS]],"-")</f>
        <v>2826.2209302325582</v>
      </c>
      <c r="Z3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224449.8051427739</v>
      </c>
      <c r="AA3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15500</v>
      </c>
      <c r="AB3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17164.77</v>
      </c>
      <c r="AC302" s="186">
        <f>SUMIFS(COSECHAS!F:F,COSECHAS!A:A,'BASE 2026'!AW:AW,COSECHAS!G:G,"="&amp;A:A)</f>
        <v>34</v>
      </c>
      <c r="AD302" s="186">
        <f>SUMIFS(COSECHAS!M:M,COSECHAS!A:A,'BASE 2026'!AW:AW,COSECHAS!G:G,"="&amp;A:A)</f>
        <v>34.14</v>
      </c>
      <c r="AE302" s="185">
        <f>IFERROR(TablaPrincipal[[#This Row],[LIBRAS PLANTA]]/TablaPrincipal[[#This Row],[HAS]],"-")</f>
        <v>3991.8069767441862</v>
      </c>
      <c r="AF302" s="185">
        <f>IFERROR(TablaPrincipal[[#This Row],[LIBRAS PLANTA]]*454/TablaPrincipal[[#This Row],[GRAMOS PLANTA]],"-")</f>
        <v>228260.26889279438</v>
      </c>
      <c r="AG302" s="185">
        <f>TablaPrincipal[[#This Row],[LIBRAS RALEO PLANTA]]+TablaPrincipal[[#This Row],[LIBRAS PLANTA]]</f>
        <v>29317.52</v>
      </c>
      <c r="AH302" s="185">
        <f>IFERROR(TablaPrincipal[[#This Row],[CAM COSECHADOS RALEO]]+TablaPrincipal[[#This Row],[CAM COSECHADOS]],"-")</f>
        <v>452710.07403556828</v>
      </c>
      <c r="AI302" s="185">
        <f>IFERROR((TablaPrincipal[[#This Row],[LIBRAS RALEO PLANTA]]+TablaPrincipal[[#This Row],[LIBRAS PLANTA]])/TablaPrincipal[[#This Row],[HAS]],"0")</f>
        <v>6818.0279069767448</v>
      </c>
      <c r="AJ302" s="186">
        <f t="shared" si="4"/>
        <v>3.0250632911392406</v>
      </c>
      <c r="AK302" s="186">
        <f>IFERROR(TablaPrincipal[[#This Row],[LBS/HA]]/TablaPrincipal[[#This Row],[DIAS]],"-")</f>
        <v>86.304150721224616</v>
      </c>
      <c r="AL302" s="186">
        <f>IFERROR(TablaPrincipal[[#This Row],[CAM COSECHADOS TOTALES]]/TablaPrincipal[[#This Row],[ANIM SEMBRADOS]]*100,"-")</f>
        <v>79.920570930456051</v>
      </c>
      <c r="AM302" s="185">
        <v>37202.620000000003</v>
      </c>
      <c r="AN302" s="187">
        <f>IFERROR(((TablaPrincipal[[#This Row],[BALANCEADO ACUMULADO (LBS)]]/2.2046)/TablaPrincipal[[#This Row],[HAS]])/TablaPrincipal[[#This Row],[DIAS]],"-")</f>
        <v>49.676178192566617</v>
      </c>
      <c r="AO302" s="184">
        <f>IFERROR(TablaPrincipal[[#This Row],[BALANCEADO ACUMULADO (LBS)]]/TablaPrincipal[[#This Row],[LIBRAS TOTALES]],"-")</f>
        <v>1.2689552185860196</v>
      </c>
      <c r="AP302" s="184"/>
      <c r="AQ302" s="184"/>
      <c r="AR302" s="185">
        <f>TablaPrincipal[[#This Row],[LIBRAS RALEO PLANTA]]-TablaPrincipal[[#This Row],[LIBRAS RALEO CAMARONERA]]</f>
        <v>1702.75</v>
      </c>
      <c r="AS302" s="185">
        <f>TablaPrincipal[[#This Row],[LIBRAS PLANTA]]-TablaPrincipal[[#This Row],[LIBRAS CAMARONERA]]</f>
        <v>1664.7700000000004</v>
      </c>
      <c r="AT302" s="187">
        <f>TablaPrincipal[[#This Row],[GRAMAJE RALEO PLANTA]]-TablaPrincipal[[#This Row],[GRAMAJE RALEO CAMARONERA]]</f>
        <v>1.870000000000001</v>
      </c>
      <c r="AU302" s="187">
        <f>TablaPrincipal[[#This Row],[GRAMOS PLANTA]]-TablaPrincipal[[#This Row],[GRAMAJE CAMARONERA]]</f>
        <v>0.14000000000000057</v>
      </c>
      <c r="AV302" s="183" t="str">
        <f>+VLOOKUP(TablaPrincipal[[#This Row],[CODIGO]],TablaCosechas[#All],10,0)</f>
        <v>GUSTAVO CARRASCO</v>
      </c>
      <c r="AW302" s="183" t="s">
        <v>170</v>
      </c>
      <c r="AX302" s="241" t="str">
        <f>+VLOOKUP(TablaPrincipal[[#This Row],[CODIGO]],TablaCosechas[#All],10,0)</f>
        <v>GUSTAVO CARRASCO</v>
      </c>
    </row>
    <row r="303" spans="1:50" hidden="1" x14ac:dyDescent="0.25">
      <c r="A303" s="196">
        <v>46130</v>
      </c>
      <c r="B303" s="242">
        <f>ROW() - ROW(TablaPrincipal[[#Headers],[ID]])</f>
        <v>301</v>
      </c>
      <c r="C303" s="183">
        <f>YEAR(TablaPrincipal[[#This Row],[FECHA]])</f>
        <v>2026</v>
      </c>
      <c r="D303" s="183" t="s">
        <v>334</v>
      </c>
      <c r="E303" s="183" t="str">
        <f>UPPER(TEXT(TablaPrincipal[[#This Row],[FECHA]],"MMMM"))</f>
        <v>ABRIL</v>
      </c>
      <c r="F303" s="183" t="str">
        <f>IFERROR(VLOOKUP(TablaPrincipal[[#This Row],[CODIGO]],COSECHAS!A:J,9,0),"-")</f>
        <v>32</v>
      </c>
      <c r="G303" s="183" t="str">
        <f>IFERROR(VLOOKUP(TablaPrincipal[[#This Row],[CODIGO]],COSECHAS!A:I,8,0),"-")</f>
        <v>PARGO ROJO</v>
      </c>
      <c r="H303" s="184">
        <f>IFERROR(VLOOKUP(TablaPrincipal[[#This Row],[CODIGO]],DATOS!A:B,2,0),"-")</f>
        <v>8.25</v>
      </c>
      <c r="I303" s="183" t="str">
        <f>IFERROR(VLOOKUP(TablaPrincipal[[#This Row],[CODIGO]],Tabla8[[#Headers],[#Data]],3,0),"-")</f>
        <v>CONVENCIONAL</v>
      </c>
      <c r="J303" s="183">
        <f>IFERROR(TablaPrincipal[[#This Row],[FECHA]]-TablaPrincipal[[#This Row],[FECHA DE SIEMBRA]],"-")</f>
        <v>75</v>
      </c>
      <c r="K303" s="196">
        <f>VLOOKUP(TablaPrincipal[[#This Row],[CODIGO]]&amp;TablaPrincipal[[#This Row],[AGUAJE ]],Tabla4[#All],4,0)</f>
        <v>46055</v>
      </c>
      <c r="L303" s="183" t="str">
        <f>VLOOKUP(TablaPrincipal[[#This Row],[CODIGO]]&amp;TablaPrincipal[[#This Row],[AGUAJE ]],Tabla4[#All],15,0)</f>
        <v>PR PC 5</v>
      </c>
      <c r="M303" s="184">
        <f>VLOOKUP(TablaPrincipal[[#This Row],[CODIGO]]&amp;TablaPrincipal[[#This Row],[AGUAJE ]],Tabla4[#All],14,0)</f>
        <v>0.35</v>
      </c>
      <c r="N303" s="183">
        <v>14</v>
      </c>
      <c r="O303" s="170">
        <f>VLOOKUP(TablaPrincipal[[#This Row],[CODIGO]]&amp;TablaPrincipal[[#This Row],[AGUAJE ]],Tabla4[#All],5,0)</f>
        <v>1155000</v>
      </c>
      <c r="P303" s="221">
        <f>IFERROR(TablaPrincipal[[#This Row],[ANIM SEMBRADOS]]/TablaPrincipal[[#This Row],[HAS]],"-")</f>
        <v>140000</v>
      </c>
      <c r="Q303" s="222">
        <f>IFERROR(TablaPrincipal[[#This Row],[DENSIDAD]]/10000,"-")</f>
        <v>14</v>
      </c>
      <c r="R303" s="183" t="str">
        <f>VLOOKUP(TablaPrincipal[[#This Row],[CODIGO]]&amp;TablaPrincipal[[#This Row],[AGUAJE ]],Tabla4[#All],8,0)</f>
        <v>ACUATECSA</v>
      </c>
      <c r="S303" s="183" t="str">
        <f>VLOOKUP(TablaPrincipal[[#This Row],[CODIGO]]&amp;TablaPrincipal[[#This Row],[AGUAJE ]],Tabla4[#All],7,0)</f>
        <v>TEXCUMAR</v>
      </c>
      <c r="T303" s="183" t="str">
        <f>IF(ISNUMBER(FIND("/",TablaPrincipal[[#This Row],[LABORATORIO]])),"COMBINADO","UNICO")</f>
        <v>UNICO</v>
      </c>
      <c r="U3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3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03" s="185">
        <f>IFERROR(TablaPrincipal[[#This Row],[LIBRAS RALEO PLANTA]]/TablaPrincipal[[#This Row],[HAS]],"-")</f>
        <v>0</v>
      </c>
      <c r="Z3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23400</v>
      </c>
      <c r="AB3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25331.68</v>
      </c>
      <c r="AC303" s="186">
        <f>SUMIFS(COSECHAS!F:F,COSECHAS!A:A,'BASE 2026'!AW:AW,COSECHAS!G:G,"="&amp;A:A)</f>
        <v>25</v>
      </c>
      <c r="AD303" s="186">
        <f>SUMIFS(COSECHAS!M:M,COSECHAS!A:A,'BASE 2026'!AW:AW,COSECHAS!G:G,"="&amp;A:A)</f>
        <v>26.32</v>
      </c>
      <c r="AE303" s="185">
        <f>IFERROR(TablaPrincipal[[#This Row],[LIBRAS PLANTA]]/TablaPrincipal[[#This Row],[HAS]],"-")</f>
        <v>3070.5066666666667</v>
      </c>
      <c r="AF303" s="185">
        <f>IFERROR(TablaPrincipal[[#This Row],[LIBRAS PLANTA]]*454/TablaPrincipal[[#This Row],[GRAMOS PLANTA]],"-")</f>
        <v>436952.23100303952</v>
      </c>
      <c r="AG303" s="185">
        <f>TablaPrincipal[[#This Row],[LIBRAS RALEO PLANTA]]+TablaPrincipal[[#This Row],[LIBRAS PLANTA]]</f>
        <v>25331.68</v>
      </c>
      <c r="AH303" s="185">
        <f>IFERROR(TablaPrincipal[[#This Row],[CAM COSECHADOS RALEO]]+TablaPrincipal[[#This Row],[CAM COSECHADOS]],"-")</f>
        <v>436952.23100303952</v>
      </c>
      <c r="AI303" s="185">
        <f>IFERROR((TablaPrincipal[[#This Row],[LIBRAS RALEO PLANTA]]+TablaPrincipal[[#This Row],[LIBRAS PLANTA]])/TablaPrincipal[[#This Row],[HAS]],"0")</f>
        <v>3070.5066666666667</v>
      </c>
      <c r="AJ303" s="186">
        <f t="shared" si="4"/>
        <v>2.4565333333333337</v>
      </c>
      <c r="AK303" s="186">
        <f>IFERROR(TablaPrincipal[[#This Row],[LBS/HA]]/TablaPrincipal[[#This Row],[DIAS]],"-")</f>
        <v>40.940088888888887</v>
      </c>
      <c r="AL303" s="186">
        <f>IFERROR(TablaPrincipal[[#This Row],[CAM COSECHADOS TOTALES]]/TablaPrincipal[[#This Row],[ANIM SEMBRADOS]]*100,"-")</f>
        <v>37.831361991605149</v>
      </c>
      <c r="AM303" s="185">
        <v>48280.74</v>
      </c>
      <c r="AN303" s="187">
        <f>IFERROR(((TablaPrincipal[[#This Row],[BALANCEADO ACUMULADO (LBS)]]/2.2046)/TablaPrincipal[[#This Row],[HAS]])/TablaPrincipal[[#This Row],[DIAS]],"-")</f>
        <v>35.393939393939384</v>
      </c>
      <c r="AO303" s="184">
        <f>IFERROR(TablaPrincipal[[#This Row],[BALANCEADO ACUMULADO (LBS)]]/TablaPrincipal[[#This Row],[LIBRAS TOTALES]],"-")</f>
        <v>1.9059430720741775</v>
      </c>
      <c r="AP303" s="184"/>
      <c r="AQ303" s="184"/>
      <c r="AR303" s="185">
        <f>TablaPrincipal[[#This Row],[LIBRAS RALEO PLANTA]]-TablaPrincipal[[#This Row],[LIBRAS RALEO CAMARONERA]]</f>
        <v>0</v>
      </c>
      <c r="AS303" s="185">
        <f>TablaPrincipal[[#This Row],[LIBRAS PLANTA]]-TablaPrincipal[[#This Row],[LIBRAS CAMARONERA]]</f>
        <v>1931.6800000000003</v>
      </c>
      <c r="AT303" s="187">
        <f>TablaPrincipal[[#This Row],[GRAMAJE RALEO PLANTA]]-TablaPrincipal[[#This Row],[GRAMAJE RALEO CAMARONERA]]</f>
        <v>0</v>
      </c>
      <c r="AU303" s="187">
        <f>TablaPrincipal[[#This Row],[GRAMOS PLANTA]]-TablaPrincipal[[#This Row],[GRAMAJE CAMARONERA]]</f>
        <v>1.3200000000000003</v>
      </c>
      <c r="AV303" s="183" t="str">
        <f>+VLOOKUP(TablaPrincipal[[#This Row],[CODIGO]],TablaCosechas[#All],10,0)</f>
        <v>WILMER TORRES</v>
      </c>
      <c r="AW303" s="183" t="s">
        <v>165</v>
      </c>
      <c r="AX303" s="241" t="str">
        <f>+VLOOKUP(TablaPrincipal[[#This Row],[CODIGO]],TablaCosechas[#All],10,0)</f>
        <v>WILMER TORRES</v>
      </c>
    </row>
    <row r="304" spans="1:50" hidden="1" x14ac:dyDescent="0.25">
      <c r="A304" s="196">
        <v>46130</v>
      </c>
      <c r="B304" s="242">
        <f>ROW() - ROW(TablaPrincipal[[#Headers],[ID]])</f>
        <v>302</v>
      </c>
      <c r="C304" s="183">
        <f>YEAR(TablaPrincipal[[#This Row],[FECHA]])</f>
        <v>2026</v>
      </c>
      <c r="D304" s="183" t="s">
        <v>334</v>
      </c>
      <c r="E304" s="183" t="str">
        <f>UPPER(TEXT(TablaPrincipal[[#This Row],[FECHA]],"MMMM"))</f>
        <v>ABRIL</v>
      </c>
      <c r="F304" s="183" t="str">
        <f>IFERROR(VLOOKUP(TablaPrincipal[[#This Row],[CODIGO]],COSECHAS!A:J,9,0),"-")</f>
        <v>06</v>
      </c>
      <c r="G304" s="183" t="str">
        <f>IFERROR(VLOOKUP(TablaPrincipal[[#This Row],[CODIGO]],COSECHAS!A:I,8,0),"-")</f>
        <v>TAMBULERO</v>
      </c>
      <c r="H304" s="184">
        <f>IFERROR(VLOOKUP(TablaPrincipal[[#This Row],[CODIGO]],DATOS!A:B,2,0),"-")</f>
        <v>4.55</v>
      </c>
      <c r="I304" s="183" t="str">
        <f>IFERROR(VLOOKUP(TablaPrincipal[[#This Row],[CODIGO]],Tabla8[[#Headers],[#Data]],3,0),"-")</f>
        <v>ASC-BAP</v>
      </c>
      <c r="J304" s="183">
        <f>IFERROR(TablaPrincipal[[#This Row],[FECHA]]-TablaPrincipal[[#This Row],[FECHA DE SIEMBRA]],"-")</f>
        <v>80</v>
      </c>
      <c r="K304" s="196">
        <f>VLOOKUP(TablaPrincipal[[#This Row],[CODIGO]]&amp;TablaPrincipal[[#This Row],[AGUAJE ]],Tabla4[#All],4,0)</f>
        <v>46050</v>
      </c>
      <c r="L304" s="183" t="str">
        <f>VLOOKUP(TablaPrincipal[[#This Row],[CODIGO]]&amp;TablaPrincipal[[#This Row],[AGUAJE ]],Tabla4[#All],15,0)</f>
        <v>TA PC 5</v>
      </c>
      <c r="M304" s="184">
        <f>VLOOKUP(TablaPrincipal[[#This Row],[CODIGO]]&amp;TablaPrincipal[[#This Row],[AGUAJE ]],Tabla4[#All],14,0)</f>
        <v>0.52</v>
      </c>
      <c r="N304" s="183">
        <v>10</v>
      </c>
      <c r="O304" s="170">
        <f>VLOOKUP(TablaPrincipal[[#This Row],[CODIGO]]&amp;TablaPrincipal[[#This Row],[AGUAJE ]],Tabla4[#All],5,0)</f>
        <v>819000</v>
      </c>
      <c r="P304" s="221">
        <f>IFERROR(TablaPrincipal[[#This Row],[ANIM SEMBRADOS]]/TablaPrincipal[[#This Row],[HAS]],"-")</f>
        <v>180000</v>
      </c>
      <c r="Q304" s="222">
        <f>IFERROR(TablaPrincipal[[#This Row],[DENSIDAD]]/10000,"-")</f>
        <v>18</v>
      </c>
      <c r="R304" s="183" t="str">
        <f>VLOOKUP(TablaPrincipal[[#This Row],[CODIGO]]&amp;TablaPrincipal[[#This Row],[AGUAJE ]],Tabla4[#All],8,0)</f>
        <v>NEMEN</v>
      </c>
      <c r="S304" s="183" t="str">
        <f>VLOOKUP(TablaPrincipal[[#This Row],[CODIGO]]&amp;TablaPrincipal[[#This Row],[AGUAJE ]],Tabla4[#All],7,0)</f>
        <v>TEXCUMAR</v>
      </c>
      <c r="T304" s="183" t="str">
        <f>IF(ISNUMBER(FIND("/",TablaPrincipal[[#This Row],[LABORATORIO]])),"COMBINADO","UNICO")</f>
        <v>UNICO</v>
      </c>
      <c r="U3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15500</v>
      </c>
      <c r="V3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17525.03</v>
      </c>
      <c r="W3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23.1</v>
      </c>
      <c r="X3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24.34</v>
      </c>
      <c r="Y304" s="185">
        <f>IFERROR(TablaPrincipal[[#This Row],[LIBRAS RALEO PLANTA]]/TablaPrincipal[[#This Row],[HAS]],"-")</f>
        <v>3851.6549450549451</v>
      </c>
      <c r="Z3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335752.53281881812</v>
      </c>
      <c r="AA3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20150</v>
      </c>
      <c r="AB3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23081.82</v>
      </c>
      <c r="AC304" s="186">
        <f>SUMIFS(COSECHAS!F:F,COSECHAS!A:A,'BASE 2026'!AW:AW,COSECHAS!G:G,"="&amp;A:A)</f>
        <v>32</v>
      </c>
      <c r="AD304" s="186">
        <f>SUMIFS(COSECHAS!M:M,COSECHAS!A:A,'BASE 2026'!AW:AW,COSECHAS!G:G,"="&amp;A:A)</f>
        <v>29.02</v>
      </c>
      <c r="AE304" s="185">
        <f>IFERROR(TablaPrincipal[[#This Row],[LIBRAS PLANTA]]/TablaPrincipal[[#This Row],[HAS]],"-")</f>
        <v>5072.9274725274727</v>
      </c>
      <c r="AF304" s="185">
        <f>IFERROR(TablaPrincipal[[#This Row],[LIBRAS PLANTA]]*454/TablaPrincipal[[#This Row],[GRAMOS PLANTA]],"-")</f>
        <v>361100.83666436939</v>
      </c>
      <c r="AG304" s="185">
        <f>TablaPrincipal[[#This Row],[LIBRAS RALEO PLANTA]]+TablaPrincipal[[#This Row],[LIBRAS PLANTA]]</f>
        <v>40606.85</v>
      </c>
      <c r="AH304" s="185">
        <f>IFERROR(TablaPrincipal[[#This Row],[CAM COSECHADOS RALEO]]+TablaPrincipal[[#This Row],[CAM COSECHADOS]],"-")</f>
        <v>696853.36948318756</v>
      </c>
      <c r="AI304" s="185">
        <f>IFERROR((TablaPrincipal[[#This Row],[LIBRAS RALEO PLANTA]]+TablaPrincipal[[#This Row],[LIBRAS PLANTA]])/TablaPrincipal[[#This Row],[HAS]],"0")</f>
        <v>8924.5824175824182</v>
      </c>
      <c r="AJ304" s="186">
        <f t="shared" si="4"/>
        <v>2.53925</v>
      </c>
      <c r="AK304" s="186">
        <f>IFERROR(TablaPrincipal[[#This Row],[LBS/HA]]/TablaPrincipal[[#This Row],[DIAS]],"-")</f>
        <v>111.55728021978022</v>
      </c>
      <c r="AL304" s="186">
        <f>IFERROR(TablaPrincipal[[#This Row],[CAM COSECHADOS TOTALES]]/TablaPrincipal[[#This Row],[ANIM SEMBRADOS]]*100,"-")</f>
        <v>85.085881499778708</v>
      </c>
      <c r="AM304" s="185">
        <v>72531.34</v>
      </c>
      <c r="AN304" s="187">
        <f>IFERROR(((TablaPrincipal[[#This Row],[BALANCEADO ACUMULADO (LBS)]]/2.2046)/TablaPrincipal[[#This Row],[HAS]])/TablaPrincipal[[#This Row],[DIAS]],"-")</f>
        <v>90.384615384615387</v>
      </c>
      <c r="AO304" s="184">
        <f>IFERROR(TablaPrincipal[[#This Row],[BALANCEADO ACUMULADO (LBS)]]/TablaPrincipal[[#This Row],[LIBRAS TOTALES]],"-")</f>
        <v>1.7861848431976377</v>
      </c>
      <c r="AP304" s="184"/>
      <c r="AQ304" s="184"/>
      <c r="AR304" s="185">
        <f>TablaPrincipal[[#This Row],[LIBRAS RALEO PLANTA]]-TablaPrincipal[[#This Row],[LIBRAS RALEO CAMARONERA]]</f>
        <v>2025.0299999999988</v>
      </c>
      <c r="AS304" s="185">
        <f>TablaPrincipal[[#This Row],[LIBRAS PLANTA]]-TablaPrincipal[[#This Row],[LIBRAS CAMARONERA]]</f>
        <v>2931.8199999999997</v>
      </c>
      <c r="AT304" s="187">
        <f>TablaPrincipal[[#This Row],[GRAMAJE RALEO PLANTA]]-TablaPrincipal[[#This Row],[GRAMAJE RALEO CAMARONERA]]</f>
        <v>1.2399999999999984</v>
      </c>
      <c r="AU304" s="187">
        <f>TablaPrincipal[[#This Row],[GRAMOS PLANTA]]-TablaPrincipal[[#This Row],[GRAMAJE CAMARONERA]]</f>
        <v>-2.9800000000000004</v>
      </c>
      <c r="AV304" s="183" t="str">
        <f>+VLOOKUP(TablaPrincipal[[#This Row],[CODIGO]],TablaCosechas[#All],10,0)</f>
        <v>ALFONSO GRUNAUER</v>
      </c>
      <c r="AW304" s="183" t="s">
        <v>162</v>
      </c>
      <c r="AX304" s="241" t="str">
        <f>+VLOOKUP(TablaPrincipal[[#This Row],[CODIGO]],TablaCosechas[#All],10,0)</f>
        <v>ALFONSO GRUNAUER</v>
      </c>
    </row>
    <row r="305" spans="1:50" hidden="1" x14ac:dyDescent="0.25">
      <c r="A305" s="196">
        <v>46130</v>
      </c>
      <c r="B305" s="242">
        <f>ROW() - ROW(TablaPrincipal[[#Headers],[ID]])</f>
        <v>303</v>
      </c>
      <c r="C305" s="183">
        <f>YEAR(TablaPrincipal[[#This Row],[FECHA]])</f>
        <v>2026</v>
      </c>
      <c r="D305" s="183" t="s">
        <v>334</v>
      </c>
      <c r="E305" s="183" t="str">
        <f>UPPER(TEXT(TablaPrincipal[[#This Row],[FECHA]],"MMMM"))</f>
        <v>ABRIL</v>
      </c>
      <c r="F305" s="183" t="str">
        <f>IFERROR(VLOOKUP(TablaPrincipal[[#This Row],[CODIGO]],COSECHAS!A:J,9,0),"-")</f>
        <v>16</v>
      </c>
      <c r="G305" s="183" t="str">
        <f>IFERROR(VLOOKUP(TablaPrincipal[[#This Row],[CODIGO]],COSECHAS!A:I,8,0),"-")</f>
        <v>WAHOO</v>
      </c>
      <c r="H305" s="184">
        <f>IFERROR(VLOOKUP(TablaPrincipal[[#This Row],[CODIGO]],DATOS!A:B,2,0),"-")</f>
        <v>8</v>
      </c>
      <c r="I305" s="183" t="str">
        <f>IFERROR(VLOOKUP(TablaPrincipal[[#This Row],[CODIGO]],Tabla8[[#Headers],[#Data]],3,0),"-")</f>
        <v>CONVENCIONAL</v>
      </c>
      <c r="J305" s="183">
        <f>IFERROR(TablaPrincipal[[#This Row],[FECHA]]-TablaPrincipal[[#This Row],[FECHA DE SIEMBRA]],"-")</f>
        <v>92</v>
      </c>
      <c r="K305" s="196">
        <f>VLOOKUP(TablaPrincipal[[#This Row],[CODIGO]]&amp;TablaPrincipal[[#This Row],[AGUAJE ]],Tabla4[#All],4,0)</f>
        <v>46038</v>
      </c>
      <c r="L305" s="183" t="str">
        <f>VLOOKUP(TablaPrincipal[[#This Row],[CODIGO]]&amp;TablaPrincipal[[#This Row],[AGUAJE ]],Tabla4[#All],15,0)</f>
        <v>WA PS 23 - PC 09</v>
      </c>
      <c r="M305" s="184">
        <f>VLOOKUP(TablaPrincipal[[#This Row],[CODIGO]]&amp;TablaPrincipal[[#This Row],[AGUAJE ]],Tabla4[#All],14,0)</f>
        <v>0.71</v>
      </c>
      <c r="N305" s="183">
        <v>56</v>
      </c>
      <c r="O305" s="170">
        <f>VLOOKUP(TablaPrincipal[[#This Row],[CODIGO]]&amp;TablaPrincipal[[#This Row],[AGUAJE ]],Tabla4[#All],5,0)</f>
        <v>1325000</v>
      </c>
      <c r="P305" s="221">
        <f>IFERROR(TablaPrincipal[[#This Row],[ANIM SEMBRADOS]]/TablaPrincipal[[#This Row],[HAS]],"-")</f>
        <v>165625</v>
      </c>
      <c r="Q305" s="222">
        <f>IFERROR(TablaPrincipal[[#This Row],[DENSIDAD]]/10000,"-")</f>
        <v>16.5625</v>
      </c>
      <c r="R305" s="183" t="str">
        <f>VLOOKUP(TablaPrincipal[[#This Row],[CODIGO]]&amp;TablaPrincipal[[#This Row],[AGUAJE ]],Tabla4[#All],8,0)</f>
        <v>BIOLACAM/GRILSAN</v>
      </c>
      <c r="S305" s="183" t="str">
        <f>VLOOKUP(TablaPrincipal[[#This Row],[CODIGO]]&amp;TablaPrincipal[[#This Row],[AGUAJE ]],Tabla4[#All],7,0)</f>
        <v>TEXCUMAR/AQUAGEN</v>
      </c>
      <c r="T305" s="183" t="str">
        <f>IF(ISNUMBER(FIND("/",TablaPrincipal[[#This Row],[LABORATORIO]])),"COMBINADO","UNICO")</f>
        <v>COMBINADO</v>
      </c>
      <c r="U3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14400</v>
      </c>
      <c r="V3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15417.3</v>
      </c>
      <c r="W3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</v>
      </c>
      <c r="X3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26.87</v>
      </c>
      <c r="Y305" s="185">
        <f>IFERROR(TablaPrincipal[[#This Row],[LIBRAS RALEO PLANTA]]/TablaPrincipal[[#This Row],[HAS]],"-")</f>
        <v>1927.1624999999999</v>
      </c>
      <c r="Z3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268676.3420412835</v>
      </c>
      <c r="AA3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3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19018.14</v>
      </c>
      <c r="AC305" s="186">
        <f>SUMIFS(COSECHAS!F:F,COSECHAS!A:A,'BASE 2026'!AW:AW,COSECHAS!G:G,"="&amp;A:A)</f>
        <v>42</v>
      </c>
      <c r="AD305" s="186">
        <f>SUMIFS(COSECHAS!M:M,COSECHAS!A:A,'BASE 2026'!AW:AW,COSECHAS!G:G,"="&amp;A:A)</f>
        <v>40.42</v>
      </c>
      <c r="AE305" s="185">
        <f>IFERROR(TablaPrincipal[[#This Row],[LIBRAS PLANTA]]/TablaPrincipal[[#This Row],[HAS]],"-")</f>
        <v>2377.2674999999999</v>
      </c>
      <c r="AF305" s="185">
        <f>IFERROR(TablaPrincipal[[#This Row],[LIBRAS PLANTA]]*454/TablaPrincipal[[#This Row],[GRAMOS PLANTA]],"-")</f>
        <v>213612.95299356754</v>
      </c>
      <c r="AG305" s="185">
        <f>TablaPrincipal[[#This Row],[LIBRAS RALEO PLANTA]]+TablaPrincipal[[#This Row],[LIBRAS PLANTA]]</f>
        <v>34435.440000000002</v>
      </c>
      <c r="AH305" s="185">
        <f>IFERROR(TablaPrincipal[[#This Row],[CAM COSECHADOS RALEO]]+TablaPrincipal[[#This Row],[CAM COSECHADOS]],"-")</f>
        <v>482289.29503485106</v>
      </c>
      <c r="AI305" s="185">
        <f>IFERROR((TablaPrincipal[[#This Row],[LIBRAS RALEO PLANTA]]+TablaPrincipal[[#This Row],[LIBRAS PLANTA]])/TablaPrincipal[[#This Row],[HAS]],"0")</f>
        <v>4304.43</v>
      </c>
      <c r="AJ305" s="186">
        <f t="shared" si="4"/>
        <v>3.0754347826086961</v>
      </c>
      <c r="AK305" s="186">
        <f>IFERROR(TablaPrincipal[[#This Row],[LBS/HA]]/TablaPrincipal[[#This Row],[DIAS]],"-")</f>
        <v>46.787282608695655</v>
      </c>
      <c r="AL305" s="186">
        <f>IFERROR(TablaPrincipal[[#This Row],[CAM COSECHADOS TOTALES]]/TablaPrincipal[[#This Row],[ANIM SEMBRADOS]]*100,"-")</f>
        <v>36.399192078101969</v>
      </c>
      <c r="AM305" s="185">
        <v>63558.618000000002</v>
      </c>
      <c r="AN305" s="187">
        <f>IFERROR(((TablaPrincipal[[#This Row],[BALANCEADO ACUMULADO (LBS)]]/2.2046)/TablaPrincipal[[#This Row],[HAS]])/TablaPrincipal[[#This Row],[DIAS]],"-")</f>
        <v>39.171195652173914</v>
      </c>
      <c r="AO305" s="184">
        <f>IFERROR(TablaPrincipal[[#This Row],[BALANCEADO ACUMULADO (LBS)]]/TablaPrincipal[[#This Row],[LIBRAS TOTALES]],"-")</f>
        <v>1.8457327102543193</v>
      </c>
      <c r="AP305" s="184"/>
      <c r="AQ305" s="184"/>
      <c r="AR305" s="185">
        <f>TablaPrincipal[[#This Row],[LIBRAS RALEO PLANTA]]-TablaPrincipal[[#This Row],[LIBRAS RALEO CAMARONERA]]</f>
        <v>1017.2999999999993</v>
      </c>
      <c r="AS305" s="185">
        <f>TablaPrincipal[[#This Row],[LIBRAS PLANTA]]-TablaPrincipal[[#This Row],[LIBRAS CAMARONERA]]</f>
        <v>2268.1399999999994</v>
      </c>
      <c r="AT305" s="187">
        <f>TablaPrincipal[[#This Row],[GRAMAJE RALEO PLANTA]]-TablaPrincipal[[#This Row],[GRAMAJE RALEO CAMARONERA]]</f>
        <v>-0.62999999999999901</v>
      </c>
      <c r="AU305" s="187">
        <f>TablaPrincipal[[#This Row],[GRAMOS PLANTA]]-TablaPrincipal[[#This Row],[GRAMAJE CAMARONERA]]</f>
        <v>-1.5799999999999983</v>
      </c>
      <c r="AV305" s="183" t="str">
        <f>+VLOOKUP(TablaPrincipal[[#This Row],[CODIGO]],TablaCosechas[#All],10,0)</f>
        <v>JUNIOR ESQUIVEL</v>
      </c>
      <c r="AW305" s="183" t="s">
        <v>339</v>
      </c>
      <c r="AX305" s="241" t="str">
        <f>+VLOOKUP(TablaPrincipal[[#This Row],[CODIGO]],TablaCosechas[#All],10,0)</f>
        <v>JUNIOR ESQUIVEL</v>
      </c>
    </row>
    <row r="306" spans="1:50" hidden="1" x14ac:dyDescent="0.25">
      <c r="A306" s="196">
        <v>46130</v>
      </c>
      <c r="B306" s="242">
        <f>ROW() - ROW(TablaPrincipal[[#Headers],[ID]])</f>
        <v>304</v>
      </c>
      <c r="C306" s="183">
        <f>YEAR(TablaPrincipal[[#This Row],[FECHA]])</f>
        <v>2026</v>
      </c>
      <c r="D306" s="183" t="s">
        <v>334</v>
      </c>
      <c r="E306" s="183" t="str">
        <f>UPPER(TEXT(TablaPrincipal[[#This Row],[FECHA]],"MMMM"))</f>
        <v>ABRIL</v>
      </c>
      <c r="F306" s="183" t="str">
        <f>IFERROR(VLOOKUP(TablaPrincipal[[#This Row],[CODIGO]],COSECHAS!A:J,9,0),"-")</f>
        <v>01</v>
      </c>
      <c r="G306" s="183" t="str">
        <f>IFERROR(VLOOKUP(TablaPrincipal[[#This Row],[CODIGO]],COSECHAS!A:I,8,0),"-")</f>
        <v>TAMBULERO</v>
      </c>
      <c r="H306" s="184">
        <f>IFERROR(VLOOKUP(TablaPrincipal[[#This Row],[CODIGO]],DATOS!A:B,2,0),"-")</f>
        <v>3</v>
      </c>
      <c r="I306" s="183" t="str">
        <f>IFERROR(VLOOKUP(TablaPrincipal[[#This Row],[CODIGO]],Tabla8[[#Headers],[#Data]],3,0),"-")</f>
        <v>ASC-BAP</v>
      </c>
      <c r="J306" s="183">
        <f>IFERROR(TablaPrincipal[[#This Row],[FECHA]]-TablaPrincipal[[#This Row],[FECHA DE SIEMBRA]],"-")</f>
        <v>80</v>
      </c>
      <c r="K306" s="196">
        <f>VLOOKUP(TablaPrincipal[[#This Row],[CODIGO]]&amp;TablaPrincipal[[#This Row],[AGUAJE ]],Tabla4[#All],4,0)</f>
        <v>46050</v>
      </c>
      <c r="L306" s="183" t="str">
        <f>VLOOKUP(TablaPrincipal[[#This Row],[CODIGO]]&amp;TablaPrincipal[[#This Row],[AGUAJE ]],Tabla4[#All],15,0)</f>
        <v>TA 5</v>
      </c>
      <c r="M306" s="184">
        <f>VLOOKUP(TablaPrincipal[[#This Row],[CODIGO]]&amp;TablaPrincipal[[#This Row],[AGUAJE ]],Tabla4[#All],14,0)</f>
        <v>0.52</v>
      </c>
      <c r="N306" s="183">
        <v>9</v>
      </c>
      <c r="O306" s="170">
        <f>VLOOKUP(TablaPrincipal[[#This Row],[CODIGO]]&amp;TablaPrincipal[[#This Row],[AGUAJE ]],Tabla4[#All],5,0)</f>
        <v>480000</v>
      </c>
      <c r="P306" s="221">
        <f>IFERROR(TablaPrincipal[[#This Row],[ANIM SEMBRADOS]]/TablaPrincipal[[#This Row],[HAS]],"-")</f>
        <v>160000</v>
      </c>
      <c r="Q306" s="222">
        <f>IFERROR(TablaPrincipal[[#This Row],[DENSIDAD]]/10000,"-")</f>
        <v>16</v>
      </c>
      <c r="R306" s="183" t="str">
        <f>VLOOKUP(TablaPrincipal[[#This Row],[CODIGO]]&amp;TablaPrincipal[[#This Row],[AGUAJE ]],Tabla4[#All],8,0)</f>
        <v>NEMEN</v>
      </c>
      <c r="S306" s="183" t="str">
        <f>VLOOKUP(TablaPrincipal[[#This Row],[CODIGO]]&amp;TablaPrincipal[[#This Row],[AGUAJE ]],Tabla4[#All],7,0)</f>
        <v>TEXCUMAR</v>
      </c>
      <c r="T306" s="183" t="str">
        <f>IF(ISNUMBER(FIND("/",TablaPrincipal[[#This Row],[LABORATORIO]])),"COMBINADO","UNICO")</f>
        <v>UNICO</v>
      </c>
      <c r="U3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8950</v>
      </c>
      <c r="V3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10120.150000000001</v>
      </c>
      <c r="W3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23.93</v>
      </c>
      <c r="Y306" s="185">
        <f>IFERROR(TablaPrincipal[[#This Row],[LIBRAS RALEO PLANTA]]/TablaPrincipal[[#This Row],[HAS]],"-")</f>
        <v>3373.3833333333337</v>
      </c>
      <c r="Z3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191387.98132835462</v>
      </c>
      <c r="AA3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3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16641.990000000002</v>
      </c>
      <c r="AC306" s="186">
        <f>SUMIFS(COSECHAS!F:F,COSECHAS!A:A,'BASE 2026'!AW:AW,COSECHAS!G:G,"="&amp;A:A)</f>
        <v>40</v>
      </c>
      <c r="AD306" s="186">
        <f>SUMIFS(COSECHAS!M:M,COSECHAS!A:A,'BASE 2026'!AW:AW,COSECHAS!G:G,"="&amp;A:A)</f>
        <v>40.04</v>
      </c>
      <c r="AE306" s="185">
        <f>IFERROR(TablaPrincipal[[#This Row],[LIBRAS PLANTA]]/TablaPrincipal[[#This Row],[HAS]],"-")</f>
        <v>5547.3300000000008</v>
      </c>
      <c r="AF306" s="185">
        <f>IFERROR(TablaPrincipal[[#This Row],[LIBRAS PLANTA]]*454/TablaPrincipal[[#This Row],[GRAMOS PLANTA]],"-")</f>
        <v>188697.88861138863</v>
      </c>
      <c r="AG306" s="185">
        <f>TablaPrincipal[[#This Row],[LIBRAS RALEO PLANTA]]+TablaPrincipal[[#This Row],[LIBRAS PLANTA]]</f>
        <v>26762.140000000003</v>
      </c>
      <c r="AH306" s="185">
        <f>IFERROR(TablaPrincipal[[#This Row],[CAM COSECHADOS RALEO]]+TablaPrincipal[[#This Row],[CAM COSECHADOS]],"-")</f>
        <v>380085.86993974325</v>
      </c>
      <c r="AI306" s="185">
        <f>IFERROR((TablaPrincipal[[#This Row],[LIBRAS RALEO PLANTA]]+TablaPrincipal[[#This Row],[LIBRAS PLANTA]])/TablaPrincipal[[#This Row],[HAS]],"0")</f>
        <v>8920.713333333335</v>
      </c>
      <c r="AJ306" s="186">
        <f t="shared" si="4"/>
        <v>3.5034999999999998</v>
      </c>
      <c r="AK306" s="186">
        <f>IFERROR(TablaPrincipal[[#This Row],[LBS/HA]]/TablaPrincipal[[#This Row],[DIAS]],"-")</f>
        <v>111.50891666666669</v>
      </c>
      <c r="AL306" s="186">
        <f>IFERROR(TablaPrincipal[[#This Row],[CAM COSECHADOS TOTALES]]/TablaPrincipal[[#This Row],[ANIM SEMBRADOS]]*100,"-")</f>
        <v>79.184556237446515</v>
      </c>
      <c r="AM306" s="185">
        <v>36640.449999999997</v>
      </c>
      <c r="AN306" s="187">
        <f>IFERROR(((TablaPrincipal[[#This Row],[BALANCEADO ACUMULADO (LBS)]]/2.2046)/TablaPrincipal[[#This Row],[HAS]])/TablaPrincipal[[#This Row],[DIAS]],"-")</f>
        <v>69.249996220024784</v>
      </c>
      <c r="AO306" s="184">
        <f>IFERROR(TablaPrincipal[[#This Row],[BALANCEADO ACUMULADO (LBS)]]/TablaPrincipal[[#This Row],[LIBRAS TOTALES]],"-")</f>
        <v>1.3691151006608586</v>
      </c>
      <c r="AP306" s="184"/>
      <c r="AQ306" s="184"/>
      <c r="AR306" s="185">
        <f>TablaPrincipal[[#This Row],[LIBRAS RALEO PLANTA]]-TablaPrincipal[[#This Row],[LIBRAS RALEO CAMARONERA]]</f>
        <v>1170.1500000000015</v>
      </c>
      <c r="AS306" s="185">
        <f>TablaPrincipal[[#This Row],[LIBRAS PLANTA]]-TablaPrincipal[[#This Row],[LIBRAS CAMARONERA]]</f>
        <v>741.9900000000016</v>
      </c>
      <c r="AT306" s="187">
        <f>TablaPrincipal[[#This Row],[GRAMAJE RALEO PLANTA]]-TablaPrincipal[[#This Row],[GRAMAJE RALEO CAMARONERA]]</f>
        <v>1.4299999999999997</v>
      </c>
      <c r="AU306" s="187">
        <f>TablaPrincipal[[#This Row],[GRAMOS PLANTA]]-TablaPrincipal[[#This Row],[GRAMAJE CAMARONERA]]</f>
        <v>3.9999999999999147E-2</v>
      </c>
      <c r="AV306" s="183" t="str">
        <f>+VLOOKUP(TablaPrincipal[[#This Row],[CODIGO]],TablaCosechas[#All],10,0)</f>
        <v>ALFONSO GRUNAUER</v>
      </c>
      <c r="AW306" s="183" t="s">
        <v>166</v>
      </c>
      <c r="AX306" s="188" t="str">
        <f>+VLOOKUP(TablaPrincipal[[#This Row],[CODIGO]],TablaCosechas[#All],10,0)</f>
        <v>ALFONSO GRUNAUER</v>
      </c>
    </row>
    <row r="307" spans="1:50" hidden="1" x14ac:dyDescent="0.25">
      <c r="A307" s="196">
        <v>46130</v>
      </c>
      <c r="B307" s="242">
        <f>ROW() - ROW(TablaPrincipal[[#Headers],[ID]])</f>
        <v>305</v>
      </c>
      <c r="C307" s="183">
        <f>YEAR(TablaPrincipal[[#This Row],[FECHA]])</f>
        <v>2026</v>
      </c>
      <c r="D307" s="183" t="s">
        <v>334</v>
      </c>
      <c r="E307" s="183" t="str">
        <f>UPPER(TEXT(TablaPrincipal[[#This Row],[FECHA]],"MMMM"))</f>
        <v>ABRIL</v>
      </c>
      <c r="F307" s="183" t="str">
        <f>IFERROR(VLOOKUP(TablaPrincipal[[#This Row],[CODIGO]],COSECHAS!A:J,9,0),"-")</f>
        <v>06</v>
      </c>
      <c r="G307" s="183" t="str">
        <f>IFERROR(VLOOKUP(TablaPrincipal[[#This Row],[CODIGO]],COSECHAS!A:I,8,0),"-")</f>
        <v>DORADO</v>
      </c>
      <c r="H307" s="184">
        <f>IFERROR(VLOOKUP(TablaPrincipal[[#This Row],[CODIGO]],DATOS!A:B,2,0),"-")</f>
        <v>5.23</v>
      </c>
      <c r="I307" s="183" t="str">
        <f>IFERROR(VLOOKUP(TablaPrincipal[[#This Row],[CODIGO]],Tabla8[[#Headers],[#Data]],3,0),"-")</f>
        <v>ASC-BAP</v>
      </c>
      <c r="J307" s="183">
        <f>IFERROR(TablaPrincipal[[#This Row],[FECHA]]-TablaPrincipal[[#This Row],[FECHA DE SIEMBRA]],"-")</f>
        <v>92</v>
      </c>
      <c r="K307" s="196">
        <f>VLOOKUP(TablaPrincipal[[#This Row],[CODIGO]]&amp;TablaPrincipal[[#This Row],[AGUAJE ]],Tabla4[#All],4,0)</f>
        <v>46038</v>
      </c>
      <c r="L307" s="183" t="str">
        <f>VLOOKUP(TablaPrincipal[[#This Row],[CODIGO]]&amp;TablaPrincipal[[#This Row],[AGUAJE ]],Tabla4[#All],15,0)</f>
        <v>DO 01</v>
      </c>
      <c r="M307" s="184">
        <f>VLOOKUP(TablaPrincipal[[#This Row],[CODIGO]]&amp;TablaPrincipal[[#This Row],[AGUAJE ]],Tabla4[#All],14,0)</f>
        <v>0.8</v>
      </c>
      <c r="N307" s="183">
        <v>7</v>
      </c>
      <c r="O307" s="170">
        <f>VLOOKUP(TablaPrincipal[[#This Row],[CODIGO]]&amp;TablaPrincipal[[#This Row],[AGUAJE ]],Tabla4[#All],5,0)</f>
        <v>941400</v>
      </c>
      <c r="P307" s="221">
        <f>IFERROR(TablaPrincipal[[#This Row],[ANIM SEMBRADOS]]/TablaPrincipal[[#This Row],[HAS]],"-")</f>
        <v>179999.99999999997</v>
      </c>
      <c r="Q307" s="222">
        <f>IFERROR(TablaPrincipal[[#This Row],[DENSIDAD]]/10000,"-")</f>
        <v>17.999999999999996</v>
      </c>
      <c r="R307" s="183" t="str">
        <f>VLOOKUP(TablaPrincipal[[#This Row],[CODIGO]]&amp;TablaPrincipal[[#This Row],[AGUAJE ]],Tabla4[#All],8,0)</f>
        <v>BIOLACAM</v>
      </c>
      <c r="S307" s="183" t="str">
        <f>VLOOKUP(TablaPrincipal[[#This Row],[CODIGO]]&amp;TablaPrincipal[[#This Row],[AGUAJE ]],Tabla4[#All],7,0)</f>
        <v>TEXCUMAR</v>
      </c>
      <c r="T307" s="183" t="str">
        <f>IF(ISNUMBER(FIND("/",TablaPrincipal[[#This Row],[LABORATORIO]])),"COMBINADO","UNICO")</f>
        <v>UNICO</v>
      </c>
      <c r="U3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18800</v>
      </c>
      <c r="V3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19441.82</v>
      </c>
      <c r="W3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25.58</v>
      </c>
      <c r="Y307" s="185">
        <f>IFERROR(TablaPrincipal[[#This Row],[LIBRAS RALEO PLANTA]]/TablaPrincipal[[#This Row],[HAS]],"-")</f>
        <v>3717.3652007648179</v>
      </c>
      <c r="Z3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340649.56002265617</v>
      </c>
      <c r="AA3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16500</v>
      </c>
      <c r="AB3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15019.98</v>
      </c>
      <c r="AC307" s="186">
        <f>SUMIFS(COSECHAS!F:F,COSECHAS!A:A,'BASE 2026'!AW:AW,COSECHAS!G:G,"="&amp;A:A)</f>
        <v>42</v>
      </c>
      <c r="AD307" s="186">
        <f>SUMIFS(COSECHAS!M:M,COSECHAS!A:A,'BASE 2026'!AW:AW,COSECHAS!G:G,"="&amp;A:A)</f>
        <v>43.05</v>
      </c>
      <c r="AE307" s="185">
        <f>IFERROR(TablaPrincipal[[#This Row],[LIBRAS PLANTA]]/TablaPrincipal[[#This Row],[HAS]],"-")</f>
        <v>2871.8891013384318</v>
      </c>
      <c r="AF307" s="185">
        <f>IFERROR(TablaPrincipal[[#This Row],[LIBRAS PLANTA]]*454/TablaPrincipal[[#This Row],[GRAMOS PLANTA]],"-")</f>
        <v>158398.8599303136</v>
      </c>
      <c r="AG307" s="185">
        <f>TablaPrincipal[[#This Row],[LIBRAS RALEO PLANTA]]+TablaPrincipal[[#This Row],[LIBRAS PLANTA]]</f>
        <v>34461.800000000003</v>
      </c>
      <c r="AH307" s="185">
        <f>IFERROR(TablaPrincipal[[#This Row],[CAM COSECHADOS RALEO]]+TablaPrincipal[[#This Row],[CAM COSECHADOS]],"-")</f>
        <v>499048.41995296977</v>
      </c>
      <c r="AI307" s="185">
        <f>IFERROR((TablaPrincipal[[#This Row],[LIBRAS RALEO PLANTA]]+TablaPrincipal[[#This Row],[LIBRAS PLANTA]])/TablaPrincipal[[#This Row],[HAS]],"0")</f>
        <v>6589.2543021032507</v>
      </c>
      <c r="AJ307" s="186">
        <f t="shared" si="4"/>
        <v>3.2755434782608694</v>
      </c>
      <c r="AK307" s="186">
        <f>IFERROR(TablaPrincipal[[#This Row],[LBS/HA]]/TablaPrincipal[[#This Row],[DIAS]],"-")</f>
        <v>71.62232937068751</v>
      </c>
      <c r="AL307" s="186">
        <f>IFERROR(TablaPrincipal[[#This Row],[CAM COSECHADOS TOTALES]]/TablaPrincipal[[#This Row],[ANIM SEMBRADOS]]*100,"-")</f>
        <v>53.011304435199676</v>
      </c>
      <c r="AM307" s="185">
        <v>58477.02</v>
      </c>
      <c r="AN307" s="187">
        <f>IFERROR(((TablaPrincipal[[#This Row],[BALANCEADO ACUMULADO (LBS)]]/2.2046)/TablaPrincipal[[#This Row],[HAS]])/TablaPrincipal[[#This Row],[DIAS]],"-")</f>
        <v>55.127197331418074</v>
      </c>
      <c r="AO307" s="184">
        <f>IFERROR(TablaPrincipal[[#This Row],[BALANCEADO ACUMULADO (LBS)]]/TablaPrincipal[[#This Row],[LIBRAS TOTALES]],"-")</f>
        <v>1.6968649345071933</v>
      </c>
      <c r="AP307" s="184"/>
      <c r="AQ307" s="184"/>
      <c r="AR307" s="185">
        <f>TablaPrincipal[[#This Row],[LIBRAS RALEO PLANTA]]-TablaPrincipal[[#This Row],[LIBRAS RALEO CAMARONERA]]</f>
        <v>641.81999999999971</v>
      </c>
      <c r="AS307" s="185">
        <f>TablaPrincipal[[#This Row],[LIBRAS PLANTA]]-TablaPrincipal[[#This Row],[LIBRAS CAMARONERA]]</f>
        <v>-1480.0200000000004</v>
      </c>
      <c r="AT307" s="187">
        <f>TablaPrincipal[[#This Row],[GRAMAJE RALEO PLANTA]]-TablaPrincipal[[#This Row],[GRAMAJE RALEO CAMARONERA]]</f>
        <v>0.57999999999999829</v>
      </c>
      <c r="AU307" s="187">
        <f>TablaPrincipal[[#This Row],[GRAMOS PLANTA]]-TablaPrincipal[[#This Row],[GRAMAJE CAMARONERA]]</f>
        <v>1.0499999999999972</v>
      </c>
      <c r="AV307" s="183" t="str">
        <f>+VLOOKUP(TablaPrincipal[[#This Row],[CODIGO]],TablaCosechas[#All],10,0)</f>
        <v>JOSE CEDEÑO</v>
      </c>
      <c r="AW307" s="183" t="s">
        <v>126</v>
      </c>
      <c r="AX307" s="188" t="str">
        <f>+VLOOKUP(TablaPrincipal[[#This Row],[CODIGO]],TablaCosechas[#All],10,0)</f>
        <v>JOSE CEDEÑO</v>
      </c>
    </row>
    <row r="308" spans="1:50" hidden="1" x14ac:dyDescent="0.25">
      <c r="A308" s="196">
        <v>46131</v>
      </c>
      <c r="B308" s="242">
        <f>ROW() - ROW(TablaPrincipal[[#Headers],[ID]])</f>
        <v>306</v>
      </c>
      <c r="C308" s="183">
        <f>YEAR(TablaPrincipal[[#This Row],[FECHA]])</f>
        <v>2026</v>
      </c>
      <c r="D308" s="183" t="s">
        <v>334</v>
      </c>
      <c r="E308" s="183" t="str">
        <f>UPPER(TEXT(TablaPrincipal[[#This Row],[FECHA]],"MMMM"))</f>
        <v>ABRIL</v>
      </c>
      <c r="F308" s="183" t="str">
        <f>IFERROR(VLOOKUP(TablaPrincipal[[#This Row],[CODIGO]],COSECHAS!A:J,9,0),"-")</f>
        <v>10</v>
      </c>
      <c r="G308" s="183" t="str">
        <f>IFERROR(VLOOKUP(TablaPrincipal[[#This Row],[CODIGO]],COSECHAS!A:I,8,0),"-")</f>
        <v>PAMPANO</v>
      </c>
      <c r="H308" s="184">
        <f>IFERROR(VLOOKUP(TablaPrincipal[[#This Row],[CODIGO]],DATOS!A:B,2,0),"-")</f>
        <v>2.5</v>
      </c>
      <c r="I308" s="183" t="str">
        <f>IFERROR(VLOOKUP(TablaPrincipal[[#This Row],[CODIGO]],Tabla8[[#Headers],[#Data]],3,0),"-")</f>
        <v>ASC-BAP</v>
      </c>
      <c r="J308" s="183">
        <f>IFERROR(TablaPrincipal[[#This Row],[FECHA]]-TablaPrincipal[[#This Row],[FECHA DE SIEMBRA]],"-")</f>
        <v>80</v>
      </c>
      <c r="K308" s="196">
        <f>VLOOKUP(TablaPrincipal[[#This Row],[CODIGO]]&amp;TablaPrincipal[[#This Row],[AGUAJE ]],Tabla4[#All],4,0)</f>
        <v>46051</v>
      </c>
      <c r="L308" s="183" t="str">
        <f>VLOOKUP(TablaPrincipal[[#This Row],[CODIGO]]&amp;TablaPrincipal[[#This Row],[AGUAJE ]],Tabla4[#All],15,0)</f>
        <v>PA PC 7</v>
      </c>
      <c r="M308" s="184">
        <f>VLOOKUP(TablaPrincipal[[#This Row],[CODIGO]]&amp;TablaPrincipal[[#This Row],[AGUAJE ]],Tabla4[#All],14,0)</f>
        <v>0.5</v>
      </c>
      <c r="N308" s="183">
        <v>9</v>
      </c>
      <c r="O308" s="170">
        <f>VLOOKUP(TablaPrincipal[[#This Row],[CODIGO]]&amp;TablaPrincipal[[#This Row],[AGUAJE ]],Tabla4[#All],5,0)</f>
        <v>380800</v>
      </c>
      <c r="P308" s="221">
        <f>IFERROR(TablaPrincipal[[#This Row],[ANIM SEMBRADOS]]/TablaPrincipal[[#This Row],[HAS]],"-")</f>
        <v>152320</v>
      </c>
      <c r="Q308" s="222">
        <f>IFERROR(TablaPrincipal[[#This Row],[DENSIDAD]]/10000,"-")</f>
        <v>15.231999999999999</v>
      </c>
      <c r="R308" s="183" t="str">
        <f>VLOOKUP(TablaPrincipal[[#This Row],[CODIGO]]&amp;TablaPrincipal[[#This Row],[AGUAJE ]],Tabla4[#All],8,0)</f>
        <v>NEMEN</v>
      </c>
      <c r="S308" s="183" t="str">
        <f>VLOOKUP(TablaPrincipal[[#This Row],[CODIGO]]&amp;TablaPrincipal[[#This Row],[AGUAJE ]],Tabla4[#All],7,0)</f>
        <v>TEXCUMAR</v>
      </c>
      <c r="T308" s="183" t="str">
        <f>IF(ISNUMBER(FIND("/",TablaPrincipal[[#This Row],[LABORATORIO]])),"COMBINADO","UNICO")</f>
        <v>UNICO</v>
      </c>
      <c r="U3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6100</v>
      </c>
      <c r="V3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6391.5499999999993</v>
      </c>
      <c r="W3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3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25.71</v>
      </c>
      <c r="Y308" s="185">
        <f>IFERROR(TablaPrincipal[[#This Row],[LIBRAS RALEO PLANTA]]/TablaPrincipal[[#This Row],[HAS]],"-")</f>
        <v>2556.62</v>
      </c>
      <c r="Z3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114186.51929131891</v>
      </c>
      <c r="AA3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8300</v>
      </c>
      <c r="AB3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9377.19</v>
      </c>
      <c r="AC308" s="186">
        <f>SUMIFS(COSECHAS!F:F,COSECHAS!A:A,'BASE 2026'!AW:AW,COSECHAS!G:G,"="&amp;A:A)</f>
        <v>32</v>
      </c>
      <c r="AD308" s="186">
        <f>SUMIFS(COSECHAS!M:M,COSECHAS!A:A,'BASE 2026'!AW:AW,COSECHAS!G:G,"="&amp;A:A)</f>
        <v>34.06</v>
      </c>
      <c r="AE308" s="185">
        <f>IFERROR(TablaPrincipal[[#This Row],[LIBRAS PLANTA]]/TablaPrincipal[[#This Row],[HAS]],"-")</f>
        <v>3750.8760000000002</v>
      </c>
      <c r="AF308" s="185">
        <f>IFERROR(TablaPrincipal[[#This Row],[LIBRAS PLANTA]]*454/TablaPrincipal[[#This Row],[GRAMOS PLANTA]],"-")</f>
        <v>124992.4914856136</v>
      </c>
      <c r="AG308" s="185">
        <f>TablaPrincipal[[#This Row],[LIBRAS RALEO PLANTA]]+TablaPrincipal[[#This Row],[LIBRAS PLANTA]]</f>
        <v>15768.74</v>
      </c>
      <c r="AH308" s="185">
        <f>IFERROR(TablaPrincipal[[#This Row],[CAM COSECHADOS RALEO]]+TablaPrincipal[[#This Row],[CAM COSECHADOS]],"-")</f>
        <v>239179.01077693253</v>
      </c>
      <c r="AI308" s="185">
        <f>IFERROR((TablaPrincipal[[#This Row],[LIBRAS RALEO PLANTA]]+TablaPrincipal[[#This Row],[LIBRAS PLANTA]])/TablaPrincipal[[#This Row],[HAS]],"0")</f>
        <v>6307.4960000000001</v>
      </c>
      <c r="AJ308" s="186">
        <f t="shared" si="4"/>
        <v>2.9802500000000003</v>
      </c>
      <c r="AK308" s="186">
        <f>IFERROR(TablaPrincipal[[#This Row],[LBS/HA]]/TablaPrincipal[[#This Row],[DIAS]],"-")</f>
        <v>78.843699999999998</v>
      </c>
      <c r="AL308" s="186">
        <f>IFERROR(TablaPrincipal[[#This Row],[CAM COSECHADOS TOTALES]]/TablaPrincipal[[#This Row],[ANIM SEMBRADOS]]*100,"-")</f>
        <v>62.809614174614637</v>
      </c>
      <c r="AM308" s="185">
        <v>23258.53</v>
      </c>
      <c r="AN308" s="187">
        <f>IFERROR(((TablaPrincipal[[#This Row],[BALANCEADO ACUMULADO (LBS)]]/2.2046)/TablaPrincipal[[#This Row],[HAS]])/TablaPrincipal[[#This Row],[DIAS]],"-")</f>
        <v>52.749999999999986</v>
      </c>
      <c r="AO308" s="184">
        <f>IFERROR(TablaPrincipal[[#This Row],[BALANCEADO ACUMULADO (LBS)]]/TablaPrincipal[[#This Row],[LIBRAS TOTALES]],"-")</f>
        <v>1.474977074896282</v>
      </c>
      <c r="AP308" s="184"/>
      <c r="AQ308" s="184"/>
      <c r="AR308" s="185">
        <f>TablaPrincipal[[#This Row],[LIBRAS RALEO PLANTA]]-TablaPrincipal[[#This Row],[LIBRAS RALEO CAMARONERA]]</f>
        <v>291.54999999999927</v>
      </c>
      <c r="AS308" s="185">
        <f>TablaPrincipal[[#This Row],[LIBRAS PLANTA]]-TablaPrincipal[[#This Row],[LIBRAS CAMARONERA]]</f>
        <v>1077.1900000000005</v>
      </c>
      <c r="AT308" s="187">
        <f>TablaPrincipal[[#This Row],[GRAMAJE RALEO PLANTA]]-TablaPrincipal[[#This Row],[GRAMAJE RALEO CAMARONERA]]</f>
        <v>2.9600000000000009</v>
      </c>
      <c r="AU308" s="187">
        <f>TablaPrincipal[[#This Row],[GRAMOS PLANTA]]-TablaPrincipal[[#This Row],[GRAMAJE CAMARONERA]]</f>
        <v>2.0600000000000023</v>
      </c>
      <c r="AV308" s="183" t="str">
        <f>+VLOOKUP(TablaPrincipal[[#This Row],[CODIGO]],TablaCosechas[#All],10,0)</f>
        <v>GUSTAVO CARRASCO</v>
      </c>
      <c r="AW308" s="183" t="s">
        <v>167</v>
      </c>
      <c r="AX308" s="241" t="str">
        <f>+VLOOKUP(TablaPrincipal[[#This Row],[CODIGO]],TablaCosechas[#All],10,0)</f>
        <v>GUSTAVO CARRASCO</v>
      </c>
    </row>
    <row r="309" spans="1:50" hidden="1" x14ac:dyDescent="0.25">
      <c r="A309" s="196">
        <v>46131</v>
      </c>
      <c r="B309" s="242">
        <f>ROW() - ROW(TablaPrincipal[[#Headers],[ID]])</f>
        <v>307</v>
      </c>
      <c r="C309" s="183">
        <f>YEAR(TablaPrincipal[[#This Row],[FECHA]])</f>
        <v>2026</v>
      </c>
      <c r="D309" s="183" t="s">
        <v>334</v>
      </c>
      <c r="E309" s="183" t="str">
        <f>UPPER(TEXT(TablaPrincipal[[#This Row],[FECHA]],"MMMM"))</f>
        <v>ABRIL</v>
      </c>
      <c r="F309" s="183" t="str">
        <f>IFERROR(VLOOKUP(TablaPrincipal[[#This Row],[CODIGO]],COSECHAS!A:J,9,0),"-")</f>
        <v>15</v>
      </c>
      <c r="G309" s="183" t="str">
        <f>IFERROR(VLOOKUP(TablaPrincipal[[#This Row],[CODIGO]],COSECHAS!A:I,8,0),"-")</f>
        <v>TAMBULERO</v>
      </c>
      <c r="H309" s="184">
        <f>IFERROR(VLOOKUP(TablaPrincipal[[#This Row],[CODIGO]],DATOS!A:B,2,0),"-")</f>
        <v>6</v>
      </c>
      <c r="I309" s="183" t="str">
        <f>IFERROR(VLOOKUP(TablaPrincipal[[#This Row],[CODIGO]],Tabla8[[#Headers],[#Data]],3,0),"-")</f>
        <v>ASC-BAP</v>
      </c>
      <c r="J309" s="183">
        <f>IFERROR(TablaPrincipal[[#This Row],[FECHA]]-TablaPrincipal[[#This Row],[FECHA DE SIEMBRA]],"-")</f>
        <v>77</v>
      </c>
      <c r="K309" s="196">
        <f>VLOOKUP(TablaPrincipal[[#This Row],[CODIGO]]&amp;TablaPrincipal[[#This Row],[AGUAJE ]],Tabla4[#All],4,0)</f>
        <v>46054</v>
      </c>
      <c r="L309" s="183" t="str">
        <f>VLOOKUP(TablaPrincipal[[#This Row],[CODIGO]]&amp;TablaPrincipal[[#This Row],[AGUAJE ]],Tabla4[#All],15,0)</f>
        <v>TA 14</v>
      </c>
      <c r="M309" s="184">
        <f>VLOOKUP(TablaPrincipal[[#This Row],[CODIGO]]&amp;TablaPrincipal[[#This Row],[AGUAJE ]],Tabla4[#All],14,0)</f>
        <v>0.42</v>
      </c>
      <c r="N309" s="183">
        <v>9</v>
      </c>
      <c r="O309" s="170">
        <f>VLOOKUP(TablaPrincipal[[#This Row],[CODIGO]]&amp;TablaPrincipal[[#This Row],[AGUAJE ]],Tabla4[#All],5,0)</f>
        <v>900000</v>
      </c>
      <c r="P309" s="221">
        <f>IFERROR(TablaPrincipal[[#This Row],[ANIM SEMBRADOS]]/TablaPrincipal[[#This Row],[HAS]],"-")</f>
        <v>150000</v>
      </c>
      <c r="Q309" s="222">
        <f>IFERROR(TablaPrincipal[[#This Row],[DENSIDAD]]/10000,"-")</f>
        <v>15</v>
      </c>
      <c r="R309" s="183" t="str">
        <f>VLOOKUP(TablaPrincipal[[#This Row],[CODIGO]]&amp;TablaPrincipal[[#This Row],[AGUAJE ]],Tabla4[#All],8,0)</f>
        <v>EMPAGRAN</v>
      </c>
      <c r="S309" s="183" t="str">
        <f>VLOOKUP(TablaPrincipal[[#This Row],[CODIGO]]&amp;TablaPrincipal[[#This Row],[AGUAJE ]],Tabla4[#All],7,0)</f>
        <v>EMPAGRAN</v>
      </c>
      <c r="T309" s="183" t="str">
        <f>IF(ISNUMBER(FIND("/",TablaPrincipal[[#This Row],[LABORATORIO]])),"COMBINADO","UNICO")</f>
        <v>UNICO</v>
      </c>
      <c r="U3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10200</v>
      </c>
      <c r="V3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10142.69</v>
      </c>
      <c r="W3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25.86</v>
      </c>
      <c r="Y309" s="185">
        <f>IFERROR(TablaPrincipal[[#This Row],[LIBRAS RALEO PLANTA]]/TablaPrincipal[[#This Row],[HAS]],"-")</f>
        <v>1690.4483333333335</v>
      </c>
      <c r="Z3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178065.78731631863</v>
      </c>
      <c r="AA3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30000</v>
      </c>
      <c r="AB3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34145.53</v>
      </c>
      <c r="AC309" s="186">
        <f>SUMIFS(COSECHAS!F:F,COSECHAS!A:A,'BASE 2026'!AW:AW,COSECHAS!G:G,"="&amp;A:A)</f>
        <v>39</v>
      </c>
      <c r="AD309" s="186">
        <f>SUMIFS(COSECHAS!M:M,COSECHAS!A:A,'BASE 2026'!AW:AW,COSECHAS!G:G,"="&amp;A:A)</f>
        <v>39.479999999999997</v>
      </c>
      <c r="AE309" s="185">
        <f>IFERROR(TablaPrincipal[[#This Row],[LIBRAS PLANTA]]/TablaPrincipal[[#This Row],[HAS]],"-")</f>
        <v>5690.9216666666662</v>
      </c>
      <c r="AF309" s="185">
        <f>IFERROR(TablaPrincipal[[#This Row],[LIBRAS PLANTA]]*454/TablaPrincipal[[#This Row],[GRAMOS PLANTA]],"-")</f>
        <v>392656.29736575484</v>
      </c>
      <c r="AG309" s="185">
        <f>TablaPrincipal[[#This Row],[LIBRAS RALEO PLANTA]]+TablaPrincipal[[#This Row],[LIBRAS PLANTA]]</f>
        <v>44288.22</v>
      </c>
      <c r="AH309" s="185">
        <f>IFERROR(TablaPrincipal[[#This Row],[CAM COSECHADOS RALEO]]+TablaPrincipal[[#This Row],[CAM COSECHADOS]],"-")</f>
        <v>570722.08468207344</v>
      </c>
      <c r="AI309" s="185">
        <f>IFERROR((TablaPrincipal[[#This Row],[LIBRAS RALEO PLANTA]]+TablaPrincipal[[#This Row],[LIBRAS PLANTA]])/TablaPrincipal[[#This Row],[HAS]],"0")</f>
        <v>7381.37</v>
      </c>
      <c r="AJ309" s="186">
        <f t="shared" si="4"/>
        <v>3.5890909090909089</v>
      </c>
      <c r="AK309" s="186">
        <f>IFERROR(TablaPrincipal[[#This Row],[LBS/HA]]/TablaPrincipal[[#This Row],[DIAS]],"-")</f>
        <v>95.861948051948048</v>
      </c>
      <c r="AL309" s="186">
        <f>IFERROR(TablaPrincipal[[#This Row],[CAM COSECHADOS TOTALES]]/TablaPrincipal[[#This Row],[ANIM SEMBRADOS]]*100,"-")</f>
        <v>63.413564964674826</v>
      </c>
      <c r="AM309" s="185">
        <v>63327.13</v>
      </c>
      <c r="AN309" s="187">
        <f>IFERROR(((TablaPrincipal[[#This Row],[BALANCEADO ACUMULADO (LBS)]]/2.2046)/TablaPrincipal[[#This Row],[HAS]])/TablaPrincipal[[#This Row],[DIAS]],"-")</f>
        <v>62.175319766265972</v>
      </c>
      <c r="AO309" s="184">
        <f>IFERROR(TablaPrincipal[[#This Row],[BALANCEADO ACUMULADO (LBS)]]/TablaPrincipal[[#This Row],[LIBRAS TOTALES]],"-")</f>
        <v>1.4298865477095262</v>
      </c>
      <c r="AP309" s="184"/>
      <c r="AQ309" s="184"/>
      <c r="AR309" s="185">
        <f>TablaPrincipal[[#This Row],[LIBRAS RALEO PLANTA]]-TablaPrincipal[[#This Row],[LIBRAS RALEO CAMARONERA]]</f>
        <v>-57.309999999999491</v>
      </c>
      <c r="AS309" s="185">
        <f>TablaPrincipal[[#This Row],[LIBRAS PLANTA]]-TablaPrincipal[[#This Row],[LIBRAS CAMARONERA]]</f>
        <v>4145.5299999999988</v>
      </c>
      <c r="AT309" s="187">
        <f>TablaPrincipal[[#This Row],[GRAMAJE RALEO PLANTA]]-TablaPrincipal[[#This Row],[GRAMAJE RALEO CAMARONERA]]</f>
        <v>0.85999999999999943</v>
      </c>
      <c r="AU309" s="187">
        <f>TablaPrincipal[[#This Row],[GRAMOS PLANTA]]-TablaPrincipal[[#This Row],[GRAMAJE CAMARONERA]]</f>
        <v>0.47999999999999687</v>
      </c>
      <c r="AV309" s="183" t="str">
        <f>+VLOOKUP(TablaPrincipal[[#This Row],[CODIGO]],TablaCosechas[#All],10,0)</f>
        <v>ALFONSO GRUNAUER</v>
      </c>
      <c r="AW309" s="183" t="s">
        <v>176</v>
      </c>
      <c r="AX309" s="188" t="str">
        <f>+VLOOKUP(TablaPrincipal[[#This Row],[CODIGO]],TablaCosechas[#All],10,0)</f>
        <v>ALFONSO GRUNAUER</v>
      </c>
    </row>
    <row r="310" spans="1:50" hidden="1" x14ac:dyDescent="0.25">
      <c r="A310" s="196">
        <v>46131</v>
      </c>
      <c r="B310" s="242">
        <f>ROW() - ROW(TablaPrincipal[[#Headers],[ID]])</f>
        <v>308</v>
      </c>
      <c r="C310" s="183">
        <f>YEAR(TablaPrincipal[[#This Row],[FECHA]])</f>
        <v>2026</v>
      </c>
      <c r="D310" s="183" t="s">
        <v>334</v>
      </c>
      <c r="E310" s="183" t="str">
        <f>UPPER(TEXT(TablaPrincipal[[#This Row],[FECHA]],"MMMM"))</f>
        <v>ABRIL</v>
      </c>
      <c r="F310" s="183" t="str">
        <f>IFERROR(VLOOKUP(TablaPrincipal[[#This Row],[CODIGO]],COSECHAS!A:J,9,0),"-")</f>
        <v>29</v>
      </c>
      <c r="G310" s="183" t="str">
        <f>IFERROR(VLOOKUP(TablaPrincipal[[#This Row],[CODIGO]],COSECHAS!A:I,8,0),"-")</f>
        <v>WAHOO</v>
      </c>
      <c r="H310" s="184">
        <f>IFERROR(VLOOKUP(TablaPrincipal[[#This Row],[CODIGO]],DATOS!A:B,2,0),"-")</f>
        <v>5</v>
      </c>
      <c r="I310" s="183" t="str">
        <f>IFERROR(VLOOKUP(TablaPrincipal[[#This Row],[CODIGO]],Tabla8[[#Headers],[#Data]],3,0),"-")</f>
        <v>CONVENCIONAL</v>
      </c>
      <c r="J310" s="183">
        <f>IFERROR(TablaPrincipal[[#This Row],[FECHA]]-TablaPrincipal[[#This Row],[FECHA DE SIEMBRA]],"-")</f>
        <v>92</v>
      </c>
      <c r="K310" s="196">
        <f>VLOOKUP(TablaPrincipal[[#This Row],[CODIGO]]&amp;TablaPrincipal[[#This Row],[AGUAJE ]],Tabla4[#All],4,0)</f>
        <v>46039</v>
      </c>
      <c r="L310" s="183" t="str">
        <f>VLOOKUP(TablaPrincipal[[#This Row],[CODIGO]]&amp;TablaPrincipal[[#This Row],[AGUAJE ]],Tabla4[#All],15,0)</f>
        <v>WA PS 27</v>
      </c>
      <c r="M310" s="184">
        <f>VLOOKUP(TablaPrincipal[[#This Row],[CODIGO]]&amp;TablaPrincipal[[#This Row],[AGUAJE ]],Tabla4[#All],14,0)</f>
        <v>0.82</v>
      </c>
      <c r="N310" s="183">
        <v>34</v>
      </c>
      <c r="O310" s="170">
        <f>VLOOKUP(TablaPrincipal[[#This Row],[CODIGO]]&amp;TablaPrincipal[[#This Row],[AGUAJE ]],Tabla4[#All],5,0)</f>
        <v>800000</v>
      </c>
      <c r="P310" s="221">
        <f>IFERROR(TablaPrincipal[[#This Row],[ANIM SEMBRADOS]]/TablaPrincipal[[#This Row],[HAS]],"-")</f>
        <v>160000</v>
      </c>
      <c r="Q310" s="222">
        <f>IFERROR(TablaPrincipal[[#This Row],[DENSIDAD]]/10000,"-")</f>
        <v>16</v>
      </c>
      <c r="R310" s="183" t="str">
        <f>VLOOKUP(TablaPrincipal[[#This Row],[CODIGO]]&amp;TablaPrincipal[[#This Row],[AGUAJE ]],Tabla4[#All],8,0)</f>
        <v>BIOLACAM</v>
      </c>
      <c r="S310" s="183" t="str">
        <f>VLOOKUP(TablaPrincipal[[#This Row],[CODIGO]]&amp;TablaPrincipal[[#This Row],[AGUAJE ]],Tabla4[#All],7,0)</f>
        <v>TEXCUMAR</v>
      </c>
      <c r="T310" s="183" t="str">
        <f>IF(ISNUMBER(FIND("/",TablaPrincipal[[#This Row],[LABORATORIO]])),"COMBINADO","UNICO")</f>
        <v>UNICO</v>
      </c>
      <c r="U3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6750</v>
      </c>
      <c r="V3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7116.38</v>
      </c>
      <c r="W3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</v>
      </c>
      <c r="Y310" s="185">
        <f>IFERROR(TablaPrincipal[[#This Row],[LIBRAS RALEO PLANTA]]/TablaPrincipal[[#This Row],[HAS]],"-")</f>
        <v>1423.2760000000001</v>
      </c>
      <c r="Z3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117059.29420289854</v>
      </c>
      <c r="AA3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20000</v>
      </c>
      <c r="AB3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22109.360000000001</v>
      </c>
      <c r="AC310" s="186">
        <f>SUMIFS(COSECHAS!F:F,COSECHAS!A:A,'BASE 2026'!AW:AW,COSECHAS!G:G,"="&amp;A:A)</f>
        <v>40</v>
      </c>
      <c r="AD310" s="186">
        <f>SUMIFS(COSECHAS!M:M,COSECHAS!A:A,'BASE 2026'!AW:AW,COSECHAS!G:G,"="&amp;A:A)</f>
        <v>38.76</v>
      </c>
      <c r="AE310" s="185">
        <f>IFERROR(TablaPrincipal[[#This Row],[LIBRAS PLANTA]]/TablaPrincipal[[#This Row],[HAS]],"-")</f>
        <v>4421.8720000000003</v>
      </c>
      <c r="AF310" s="185">
        <f>IFERROR(TablaPrincipal[[#This Row],[LIBRAS PLANTA]]*454/TablaPrincipal[[#This Row],[GRAMOS PLANTA]],"-")</f>
        <v>258969.28379772961</v>
      </c>
      <c r="AG310" s="185">
        <f>TablaPrincipal[[#This Row],[LIBRAS RALEO PLANTA]]+TablaPrincipal[[#This Row],[LIBRAS PLANTA]]</f>
        <v>29225.74</v>
      </c>
      <c r="AH310" s="185">
        <f>IFERROR(TablaPrincipal[[#This Row],[CAM COSECHADOS RALEO]]+TablaPrincipal[[#This Row],[CAM COSECHADOS]],"-")</f>
        <v>376028.57800062816</v>
      </c>
      <c r="AI310" s="185">
        <f>IFERROR((TablaPrincipal[[#This Row],[LIBRAS RALEO PLANTA]]+TablaPrincipal[[#This Row],[LIBRAS PLANTA]])/TablaPrincipal[[#This Row],[HAS]],"0")</f>
        <v>5845.1480000000001</v>
      </c>
      <c r="AJ310" s="186">
        <f t="shared" si="4"/>
        <v>2.9491304347826088</v>
      </c>
      <c r="AK310" s="186">
        <f>IFERROR(TablaPrincipal[[#This Row],[LBS/HA]]/TablaPrincipal[[#This Row],[DIAS]],"-")</f>
        <v>63.534217391304352</v>
      </c>
      <c r="AL310" s="186">
        <f>IFERROR(TablaPrincipal[[#This Row],[CAM COSECHADOS TOTALES]]/TablaPrincipal[[#This Row],[ANIM SEMBRADOS]]*100,"-")</f>
        <v>47.00357225007852</v>
      </c>
      <c r="AM310" s="185">
        <v>52756.08</v>
      </c>
      <c r="AN310" s="187">
        <f>IFERROR(((TablaPrincipal[[#This Row],[BALANCEADO ACUMULADO (LBS)]]/2.2046)/TablaPrincipal[[#This Row],[HAS]])/TablaPrincipal[[#This Row],[DIAS]],"-")</f>
        <v>52.021741102595755</v>
      </c>
      <c r="AO310" s="184">
        <f>IFERROR(TablaPrincipal[[#This Row],[BALANCEADO ACUMULADO (LBS)]]/TablaPrincipal[[#This Row],[LIBRAS TOTALES]],"-")</f>
        <v>1.8051238394648006</v>
      </c>
      <c r="AP310" s="184"/>
      <c r="AQ310" s="184"/>
      <c r="AR310" s="185">
        <f>TablaPrincipal[[#This Row],[LIBRAS RALEO PLANTA]]-TablaPrincipal[[#This Row],[LIBRAS RALEO CAMARONERA]]</f>
        <v>366.38000000000011</v>
      </c>
      <c r="AS310" s="185">
        <f>TablaPrincipal[[#This Row],[LIBRAS PLANTA]]-TablaPrincipal[[#This Row],[LIBRAS CAMARONERA]]</f>
        <v>2109.3600000000006</v>
      </c>
      <c r="AT310" s="187">
        <f>TablaPrincipal[[#This Row],[GRAMAJE RALEO PLANTA]]-TablaPrincipal[[#This Row],[GRAMAJE RALEO CAMARONERA]]</f>
        <v>0.60000000000000142</v>
      </c>
      <c r="AU310" s="187">
        <f>TablaPrincipal[[#This Row],[GRAMOS PLANTA]]-TablaPrincipal[[#This Row],[GRAMAJE CAMARONERA]]</f>
        <v>-1.240000000000002</v>
      </c>
      <c r="AV310" s="183" t="str">
        <f>+VLOOKUP(TablaPrincipal[[#This Row],[CODIGO]],TablaCosechas[#All],10,0)</f>
        <v>JUNIOR ESQUIVEL</v>
      </c>
      <c r="AW310" s="183" t="s">
        <v>340</v>
      </c>
      <c r="AX310" s="188" t="str">
        <f>+VLOOKUP(TablaPrincipal[[#This Row],[CODIGO]],TablaCosechas[#All],10,0)</f>
        <v>JUNIOR ESQUIVEL</v>
      </c>
    </row>
    <row r="311" spans="1:50" hidden="1" x14ac:dyDescent="0.25">
      <c r="A311" s="196">
        <v>46132</v>
      </c>
      <c r="B311" s="242">
        <f>ROW() - ROW(TablaPrincipal[[#Headers],[ID]])</f>
        <v>309</v>
      </c>
      <c r="C311" s="183">
        <f>YEAR(TablaPrincipal[[#This Row],[FECHA]])</f>
        <v>2026</v>
      </c>
      <c r="D311" s="183" t="s">
        <v>334</v>
      </c>
      <c r="E311" s="183" t="str">
        <f>UPPER(TEXT(TablaPrincipal[[#This Row],[FECHA]],"MMMM"))</f>
        <v>ABRIL</v>
      </c>
      <c r="F311" s="183" t="str">
        <f>IFERROR(VLOOKUP(TablaPrincipal[[#This Row],[CODIGO]],COSECHAS!A:J,9,0),"-")</f>
        <v>11</v>
      </c>
      <c r="G311" s="183" t="str">
        <f>IFERROR(VLOOKUP(TablaPrincipal[[#This Row],[CODIGO]],COSECHAS!A:I,8,0),"-")</f>
        <v>PAMPANO</v>
      </c>
      <c r="H311" s="184">
        <f>IFERROR(VLOOKUP(TablaPrincipal[[#This Row],[CODIGO]],DATOS!A:B,2,0),"-")</f>
        <v>5.8</v>
      </c>
      <c r="I311" s="183" t="str">
        <f>IFERROR(VLOOKUP(TablaPrincipal[[#This Row],[CODIGO]],Tabla8[[#Headers],[#Data]],3,0),"-")</f>
        <v>ASC-BAP</v>
      </c>
      <c r="J311" s="183">
        <f>IFERROR(TablaPrincipal[[#This Row],[FECHA]]-TablaPrincipal[[#This Row],[FECHA DE SIEMBRA]],"-")</f>
        <v>81</v>
      </c>
      <c r="K311" s="196">
        <f>VLOOKUP(TablaPrincipal[[#This Row],[CODIGO]]&amp;TablaPrincipal[[#This Row],[AGUAJE ]],Tabla4[#All],4,0)</f>
        <v>46051</v>
      </c>
      <c r="L311" s="183" t="str">
        <f>VLOOKUP(TablaPrincipal[[#This Row],[CODIGO]]&amp;TablaPrincipal[[#This Row],[AGUAJE ]],Tabla4[#All],15,0)</f>
        <v>PA PC 7</v>
      </c>
      <c r="M311" s="184">
        <f>VLOOKUP(TablaPrincipal[[#This Row],[CODIGO]]&amp;TablaPrincipal[[#This Row],[AGUAJE ]],Tabla4[#All],14,0)</f>
        <v>0.5</v>
      </c>
      <c r="N311" s="183">
        <v>10</v>
      </c>
      <c r="O311" s="170">
        <f>VLOOKUP(TablaPrincipal[[#This Row],[CODIGO]]&amp;TablaPrincipal[[#This Row],[AGUAJE ]],Tabla4[#All],5,0)</f>
        <v>910400</v>
      </c>
      <c r="P311" s="221">
        <f>IFERROR(TablaPrincipal[[#This Row],[ANIM SEMBRADOS]]/TablaPrincipal[[#This Row],[HAS]],"-")</f>
        <v>156965.5172413793</v>
      </c>
      <c r="Q311" s="222">
        <f>IFERROR(TablaPrincipal[[#This Row],[DENSIDAD]]/10000,"-")</f>
        <v>15.696551724137931</v>
      </c>
      <c r="R311" s="183" t="str">
        <f>VLOOKUP(TablaPrincipal[[#This Row],[CODIGO]]&amp;TablaPrincipal[[#This Row],[AGUAJE ]],Tabla4[#All],8,0)</f>
        <v>NEMEN</v>
      </c>
      <c r="S311" s="183" t="str">
        <f>VLOOKUP(TablaPrincipal[[#This Row],[CODIGO]]&amp;TablaPrincipal[[#This Row],[AGUAJE ]],Tabla4[#All],7,0)</f>
        <v>TEXCUMAR</v>
      </c>
      <c r="T311" s="183" t="str">
        <f>IF(ISNUMBER(FIND("/",TablaPrincipal[[#This Row],[LABORATORIO]])),"COMBINADO","UNICO")</f>
        <v>UNICO</v>
      </c>
      <c r="U3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12200</v>
      </c>
      <c r="V3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13127.84</v>
      </c>
      <c r="W3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23.24</v>
      </c>
      <c r="Y311" s="185">
        <f>IFERROR(TablaPrincipal[[#This Row],[LIBRAS RALEO PLANTA]]/TablaPrincipal[[#This Row],[HAS]],"-")</f>
        <v>2263.4206896551723</v>
      </c>
      <c r="Z3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261661.86519763118</v>
      </c>
      <c r="AA3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23800</v>
      </c>
      <c r="AB3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22681.97</v>
      </c>
      <c r="AC311" s="186">
        <f>SUMIFS(COSECHAS!F:F,COSECHAS!A:A,'BASE 2026'!AW:AW,COSECHAS!G:G,"="&amp;A:A)</f>
        <v>31</v>
      </c>
      <c r="AD311" s="186">
        <f>SUMIFS(COSECHAS!M:M,COSECHAS!A:A,'BASE 2026'!AW:AW,COSECHAS!G:G,"="&amp;A:A)</f>
        <v>31.99</v>
      </c>
      <c r="AE311" s="185">
        <f>IFERROR(TablaPrincipal[[#This Row],[LIBRAS PLANTA]]/TablaPrincipal[[#This Row],[HAS]],"-")</f>
        <v>3910.684482758621</v>
      </c>
      <c r="AF311" s="185">
        <f>IFERROR(TablaPrincipal[[#This Row],[LIBRAS PLANTA]]*454/TablaPrincipal[[#This Row],[GRAMOS PLANTA]],"-")</f>
        <v>321901.04345107853</v>
      </c>
      <c r="AG311" s="185">
        <f>TablaPrincipal[[#This Row],[LIBRAS RALEO PLANTA]]+TablaPrincipal[[#This Row],[LIBRAS PLANTA]]</f>
        <v>35809.81</v>
      </c>
      <c r="AH311" s="185">
        <f>IFERROR(TablaPrincipal[[#This Row],[CAM COSECHADOS RALEO]]+TablaPrincipal[[#This Row],[CAM COSECHADOS]],"-")</f>
        <v>583562.90864870977</v>
      </c>
      <c r="AI311" s="185">
        <f>IFERROR((TablaPrincipal[[#This Row],[LIBRAS RALEO PLANTA]]+TablaPrincipal[[#This Row],[LIBRAS PLANTA]])/TablaPrincipal[[#This Row],[HAS]],"0")</f>
        <v>6174.1051724137933</v>
      </c>
      <c r="AJ311" s="186">
        <f t="shared" si="4"/>
        <v>2.7645679012345679</v>
      </c>
      <c r="AK311" s="186">
        <f>IFERROR(TablaPrincipal[[#This Row],[LBS/HA]]/TablaPrincipal[[#This Row],[DIAS]],"-")</f>
        <v>76.223520647083873</v>
      </c>
      <c r="AL311" s="186">
        <f>IFERROR(TablaPrincipal[[#This Row],[CAM COSECHADOS TOTALES]]/TablaPrincipal[[#This Row],[ANIM SEMBRADOS]]*100,"-")</f>
        <v>64.099616503592898</v>
      </c>
      <c r="AM311" s="185">
        <v>49272.81</v>
      </c>
      <c r="AN311" s="187">
        <f>IFERROR(((TablaPrincipal[[#This Row],[BALANCEADO ACUMULADO (LBS)]]/2.2046)/TablaPrincipal[[#This Row],[HAS]])/TablaPrincipal[[#This Row],[DIAS]],"-")</f>
        <v>47.573435504469977</v>
      </c>
      <c r="AO311" s="184">
        <f>IFERROR(TablaPrincipal[[#This Row],[BALANCEADO ACUMULADO (LBS)]]/TablaPrincipal[[#This Row],[LIBRAS TOTALES]],"-")</f>
        <v>1.3759584315024291</v>
      </c>
      <c r="AP311" s="184"/>
      <c r="AQ311" s="184"/>
      <c r="AR311" s="185">
        <f>TablaPrincipal[[#This Row],[LIBRAS RALEO PLANTA]]-TablaPrincipal[[#This Row],[LIBRAS RALEO CAMARONERA]]</f>
        <v>927.84000000000015</v>
      </c>
      <c r="AS311" s="185">
        <f>TablaPrincipal[[#This Row],[LIBRAS PLANTA]]-TablaPrincipal[[#This Row],[LIBRAS CAMARONERA]]</f>
        <v>-1118.0299999999988</v>
      </c>
      <c r="AT311" s="187">
        <f>TablaPrincipal[[#This Row],[GRAMAJE RALEO PLANTA]]-TablaPrincipal[[#This Row],[GRAMAJE RALEO CAMARONERA]]</f>
        <v>2.2399999999999984</v>
      </c>
      <c r="AU311" s="187">
        <f>TablaPrincipal[[#This Row],[GRAMOS PLANTA]]-TablaPrincipal[[#This Row],[GRAMAJE CAMARONERA]]</f>
        <v>0.98999999999999844</v>
      </c>
      <c r="AV311" s="183" t="str">
        <f>+VLOOKUP(TablaPrincipal[[#This Row],[CODIGO]],TablaCosechas[#All],10,0)</f>
        <v>GUSTAVO CARRASCO</v>
      </c>
      <c r="AW311" s="183" t="s">
        <v>164</v>
      </c>
      <c r="AX311" s="241" t="str">
        <f>+VLOOKUP(TablaPrincipal[[#This Row],[CODIGO]],TablaCosechas[#All],10,0)</f>
        <v>GUSTAVO CARRASCO</v>
      </c>
    </row>
    <row r="312" spans="1:50" hidden="1" x14ac:dyDescent="0.25">
      <c r="A312" s="196">
        <v>46132</v>
      </c>
      <c r="B312" s="242">
        <f>ROW() - ROW(TablaPrincipal[[#Headers],[ID]])</f>
        <v>310</v>
      </c>
      <c r="C312" s="183">
        <f>YEAR(TablaPrincipal[[#This Row],[FECHA]])</f>
        <v>2026</v>
      </c>
      <c r="D312" s="183" t="s">
        <v>334</v>
      </c>
      <c r="E312" s="183" t="str">
        <f>UPPER(TEXT(TablaPrincipal[[#This Row],[FECHA]],"MMMM"))</f>
        <v>ABRIL</v>
      </c>
      <c r="F312" s="183" t="str">
        <f>IFERROR(VLOOKUP(TablaPrincipal[[#This Row],[CODIGO]],COSECHAS!A:J,9,0),"-")</f>
        <v>05</v>
      </c>
      <c r="G312" s="183" t="str">
        <f>IFERROR(VLOOKUP(TablaPrincipal[[#This Row],[CODIGO]],COSECHAS!A:I,8,0),"-")</f>
        <v>WAHOO</v>
      </c>
      <c r="H312" s="184">
        <f>IFERROR(VLOOKUP(TablaPrincipal[[#This Row],[CODIGO]],DATOS!A:B,2,0),"-")</f>
        <v>7</v>
      </c>
      <c r="I312" s="183" t="str">
        <f>IFERROR(VLOOKUP(TablaPrincipal[[#This Row],[CODIGO]],Tabla8[[#Headers],[#Data]],3,0),"-")</f>
        <v>CONVENCIONAL</v>
      </c>
      <c r="J312" s="183">
        <f>IFERROR(TablaPrincipal[[#This Row],[FECHA]]-TablaPrincipal[[#This Row],[FECHA DE SIEMBRA]],"-")</f>
        <v>96</v>
      </c>
      <c r="K312" s="196">
        <f>VLOOKUP(TablaPrincipal[[#This Row],[CODIGO]]&amp;TablaPrincipal[[#This Row],[AGUAJE ]],Tabla4[#All],4,0)</f>
        <v>46036</v>
      </c>
      <c r="L312" s="183" t="str">
        <f>VLOOKUP(TablaPrincipal[[#This Row],[CODIGO]]&amp;TablaPrincipal[[#This Row],[AGUAJE ]],Tabla4[#All],15,0)</f>
        <v>WA PC 3</v>
      </c>
      <c r="M312" s="184">
        <f>VLOOKUP(TablaPrincipal[[#This Row],[CODIGO]]&amp;TablaPrincipal[[#This Row],[AGUAJE ]],Tabla4[#All],14,0)</f>
        <v>0.6</v>
      </c>
      <c r="N312" s="183">
        <v>21</v>
      </c>
      <c r="O312" s="170">
        <f>VLOOKUP(TablaPrincipal[[#This Row],[CODIGO]]&amp;TablaPrincipal[[#This Row],[AGUAJE ]],Tabla4[#All],5,0)</f>
        <v>1295000</v>
      </c>
      <c r="P312" s="221">
        <f>IFERROR(TablaPrincipal[[#This Row],[ANIM SEMBRADOS]]/TablaPrincipal[[#This Row],[HAS]],"-")</f>
        <v>185000</v>
      </c>
      <c r="Q312" s="222">
        <f>IFERROR(TablaPrincipal[[#This Row],[DENSIDAD]]/10000,"-")</f>
        <v>18.5</v>
      </c>
      <c r="R312" s="183" t="str">
        <f>VLOOKUP(TablaPrincipal[[#This Row],[CODIGO]]&amp;TablaPrincipal[[#This Row],[AGUAJE ]],Tabla4[#All],8,0)</f>
        <v>GRILSAN</v>
      </c>
      <c r="S312" s="183" t="str">
        <f>VLOOKUP(TablaPrincipal[[#This Row],[CODIGO]]&amp;TablaPrincipal[[#This Row],[AGUAJE ]],Tabla4[#All],7,0)</f>
        <v>AQUAGEN</v>
      </c>
      <c r="T312" s="183" t="str">
        <f>IF(ISNUMBER(FIND("/",TablaPrincipal[[#This Row],[LABORATORIO]])),"COMBINADO","UNICO")</f>
        <v>UNICO</v>
      </c>
      <c r="U3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22600</v>
      </c>
      <c r="V31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23994.33</v>
      </c>
      <c r="W31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23.29</v>
      </c>
      <c r="Y312" s="185">
        <f>IFERROR(TablaPrincipal[[#This Row],[LIBRAS RALEO PLANTA]]/TablaPrincipal[[#This Row],[HAS]],"-")</f>
        <v>3427.761428571429</v>
      </c>
      <c r="Z31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479240.68698851916</v>
      </c>
      <c r="AA3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17100</v>
      </c>
      <c r="AB3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19150.52</v>
      </c>
      <c r="AC312" s="186">
        <f>SUMIFS(COSECHAS!F:F,COSECHAS!A:A,'BASE 2026'!AW:AW,COSECHAS!G:G,"="&amp;A:A)</f>
        <v>31</v>
      </c>
      <c r="AD312" s="186">
        <f>SUMIFS(COSECHAS!M:M,COSECHAS!A:A,'BASE 2026'!AW:AW,COSECHAS!G:G,"="&amp;A:A)</f>
        <v>32.22</v>
      </c>
      <c r="AE312" s="185">
        <f>IFERROR(TablaPrincipal[[#This Row],[LIBRAS PLANTA]]/TablaPrincipal[[#This Row],[HAS]],"-")</f>
        <v>2735.7885714285717</v>
      </c>
      <c r="AF312" s="185">
        <f>IFERROR(TablaPrincipal[[#This Row],[LIBRAS PLANTA]]*454/TablaPrincipal[[#This Row],[GRAMOS PLANTA]],"-")</f>
        <v>269842.8330229671</v>
      </c>
      <c r="AG312" s="185">
        <f>TablaPrincipal[[#This Row],[LIBRAS RALEO PLANTA]]+TablaPrincipal[[#This Row],[LIBRAS PLANTA]]</f>
        <v>43144.850000000006</v>
      </c>
      <c r="AH312" s="185">
        <f>IFERROR(TablaPrincipal[[#This Row],[CAM COSECHADOS RALEO]]+TablaPrincipal[[#This Row],[CAM COSECHADOS]],"-")</f>
        <v>749083.52001148625</v>
      </c>
      <c r="AI312" s="185">
        <f>IFERROR((TablaPrincipal[[#This Row],[LIBRAS RALEO PLANTA]]+TablaPrincipal[[#This Row],[LIBRAS PLANTA]])/TablaPrincipal[[#This Row],[HAS]],"0")</f>
        <v>6163.5500000000011</v>
      </c>
      <c r="AJ312" s="186">
        <f t="shared" si="4"/>
        <v>2.3493750000000002</v>
      </c>
      <c r="AK312" s="186">
        <f>IFERROR(TablaPrincipal[[#This Row],[LBS/HA]]/TablaPrincipal[[#This Row],[DIAS]],"-")</f>
        <v>64.20364583333334</v>
      </c>
      <c r="AL312" s="186">
        <f>IFERROR(TablaPrincipal[[#This Row],[CAM COSECHADOS TOTALES]]/TablaPrincipal[[#This Row],[ANIM SEMBRADOS]]*100,"-")</f>
        <v>57.844287259574223</v>
      </c>
      <c r="AM312" s="185">
        <v>67535.72</v>
      </c>
      <c r="AN312" s="187">
        <f>IFERROR(((TablaPrincipal[[#This Row],[BALANCEADO ACUMULADO (LBS)]]/2.2046)/TablaPrincipal[[#This Row],[HAS]])/TablaPrincipal[[#This Row],[DIAS]],"-")</f>
        <v>45.586311953793576</v>
      </c>
      <c r="AO312" s="184">
        <f>IFERROR(TablaPrincipal[[#This Row],[BALANCEADO ACUMULADO (LBS)]]/TablaPrincipal[[#This Row],[LIBRAS TOTALES]],"-")</f>
        <v>1.5653251778601616</v>
      </c>
      <c r="AP312" s="184"/>
      <c r="AQ312" s="184"/>
      <c r="AR312" s="185">
        <f>TablaPrincipal[[#This Row],[LIBRAS RALEO PLANTA]]-TablaPrincipal[[#This Row],[LIBRAS RALEO CAMARONERA]]</f>
        <v>1394.3300000000017</v>
      </c>
      <c r="AS312" s="185">
        <f>TablaPrincipal[[#This Row],[LIBRAS PLANTA]]-TablaPrincipal[[#This Row],[LIBRAS CAMARONERA]]</f>
        <v>2050.5200000000004</v>
      </c>
      <c r="AT312" s="187">
        <f>TablaPrincipal[[#This Row],[GRAMAJE RALEO PLANTA]]-TablaPrincipal[[#This Row],[GRAMAJE RALEO CAMARONERA]]</f>
        <v>0.78999999999999915</v>
      </c>
      <c r="AU312" s="187">
        <f>TablaPrincipal[[#This Row],[GRAMOS PLANTA]]-TablaPrincipal[[#This Row],[GRAMAJE CAMARONERA]]</f>
        <v>1.2199999999999989</v>
      </c>
      <c r="AV312" s="183" t="str">
        <f>+VLOOKUP(TablaPrincipal[[#This Row],[CODIGO]],TablaCosechas[#All],10,0)</f>
        <v>JUNIOR ESQUIVEL</v>
      </c>
      <c r="AW312" s="183" t="s">
        <v>341</v>
      </c>
      <c r="AX312" s="241" t="str">
        <f>+VLOOKUP(TablaPrincipal[[#This Row],[CODIGO]],TablaCosechas[#All],10,0)</f>
        <v>JUNIOR ESQUIVEL</v>
      </c>
    </row>
    <row r="313" spans="1:50" hidden="1" x14ac:dyDescent="0.25">
      <c r="A313" s="196">
        <v>46132</v>
      </c>
      <c r="B313" s="242">
        <f>ROW() - ROW(TablaPrincipal[[#Headers],[ID]])</f>
        <v>311</v>
      </c>
      <c r="C313" s="183">
        <f>YEAR(TablaPrincipal[[#This Row],[FECHA]])</f>
        <v>2026</v>
      </c>
      <c r="D313" s="183" t="s">
        <v>334</v>
      </c>
      <c r="E313" s="183" t="str">
        <f>UPPER(TEXT(TablaPrincipal[[#This Row],[FECHA]],"MMMM"))</f>
        <v>ABRIL</v>
      </c>
      <c r="F313" s="183" t="str">
        <f>IFERROR(VLOOKUP(TablaPrincipal[[#This Row],[CODIGO]],COSECHAS!A:J,9,0),"-")</f>
        <v>15</v>
      </c>
      <c r="G313" s="183" t="str">
        <f>IFERROR(VLOOKUP(TablaPrincipal[[#This Row],[CODIGO]],COSECHAS!A:I,8,0),"-")</f>
        <v>CHERNA</v>
      </c>
      <c r="H313" s="184">
        <f>IFERROR(VLOOKUP(TablaPrincipal[[#This Row],[CODIGO]],DATOS!A:B,2,0),"-")</f>
        <v>1.65</v>
      </c>
      <c r="I313" s="183" t="str">
        <f>IFERROR(VLOOKUP(TablaPrincipal[[#This Row],[CODIGO]],Tabla8[[#Headers],[#Data]],3,0),"-")</f>
        <v>ASC</v>
      </c>
      <c r="J313" s="183">
        <f>IFERROR(TablaPrincipal[[#This Row],[FECHA]]-TablaPrincipal[[#This Row],[FECHA DE SIEMBRA]],"-")</f>
        <v>72</v>
      </c>
      <c r="K313" s="196">
        <f>VLOOKUP(TablaPrincipal[[#This Row],[CODIGO]]&amp;TablaPrincipal[[#This Row],[AGUAJE ]],Tabla4[#All],4,0)</f>
        <v>46060</v>
      </c>
      <c r="L313" s="183" t="str">
        <f>VLOOKUP(TablaPrincipal[[#This Row],[CODIGO]]&amp;TablaPrincipal[[#This Row],[AGUAJE ]],Tabla4[#All],15,0)</f>
        <v>CH PC 5</v>
      </c>
      <c r="M313" s="184">
        <f>VLOOKUP(TablaPrincipal[[#This Row],[CODIGO]]&amp;TablaPrincipal[[#This Row],[AGUAJE ]],Tabla4[#All],14,0)</f>
        <v>0.7</v>
      </c>
      <c r="N313" s="183">
        <v>6</v>
      </c>
      <c r="O313" s="170">
        <f>VLOOKUP(TablaPrincipal[[#This Row],[CODIGO]]&amp;TablaPrincipal[[#This Row],[AGUAJE ]],Tabla4[#All],5,0)</f>
        <v>297000</v>
      </c>
      <c r="P313" s="221">
        <f>IFERROR(TablaPrincipal[[#This Row],[ANIM SEMBRADOS]]/TablaPrincipal[[#This Row],[HAS]],"-")</f>
        <v>180000</v>
      </c>
      <c r="Q313" s="222">
        <f>IFERROR(TablaPrincipal[[#This Row],[DENSIDAD]]/10000,"-")</f>
        <v>18</v>
      </c>
      <c r="R313" s="183" t="str">
        <f>VLOOKUP(TablaPrincipal[[#This Row],[CODIGO]]&amp;TablaPrincipal[[#This Row],[AGUAJE ]],Tabla4[#All],8,0)</f>
        <v>PRICMARSA</v>
      </c>
      <c r="S313" s="183" t="str">
        <f>VLOOKUP(TablaPrincipal[[#This Row],[CODIGO]]&amp;TablaPrincipal[[#This Row],[AGUAJE ]],Tabla4[#All],7,0)</f>
        <v>TEXCUMAR</v>
      </c>
      <c r="T313" s="183" t="str">
        <f>IF(ISNUMBER(FIND("/",TablaPrincipal[[#This Row],[LABORATORIO]])),"COMBINADO","UNICO")</f>
        <v>UNICO</v>
      </c>
      <c r="U3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2000</v>
      </c>
      <c r="V31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2345.62</v>
      </c>
      <c r="W31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1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21.48</v>
      </c>
      <c r="Y313" s="185">
        <f>IFERROR(TablaPrincipal[[#This Row],[LIBRAS RALEO PLANTA]]/TablaPrincipal[[#This Row],[HAS]],"-")</f>
        <v>1421.5878787878787</v>
      </c>
      <c r="Z31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49576.88454376164</v>
      </c>
      <c r="AA3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9300</v>
      </c>
      <c r="AB3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9917.2099999999991</v>
      </c>
      <c r="AC313" s="186">
        <f>SUMIFS(COSECHAS!F:F,COSECHAS!A:A,'BASE 2026'!AW:AW,COSECHAS!G:G,"="&amp;A:A)</f>
        <v>31</v>
      </c>
      <c r="AD313" s="186">
        <f>SUMIFS(COSECHAS!M:M,COSECHAS!A:A,'BASE 2026'!AW:AW,COSECHAS!G:G,"="&amp;A:A)</f>
        <v>32.6</v>
      </c>
      <c r="AE313" s="185">
        <f>IFERROR(TablaPrincipal[[#This Row],[LIBRAS PLANTA]]/TablaPrincipal[[#This Row],[HAS]],"-")</f>
        <v>6010.4303030303026</v>
      </c>
      <c r="AF313" s="185">
        <f>IFERROR(TablaPrincipal[[#This Row],[LIBRAS PLANTA]]*454/TablaPrincipal[[#This Row],[GRAMOS PLANTA]],"-")</f>
        <v>138110.83865030674</v>
      </c>
      <c r="AG313" s="185">
        <f>TablaPrincipal[[#This Row],[LIBRAS RALEO PLANTA]]+TablaPrincipal[[#This Row],[LIBRAS PLANTA]]</f>
        <v>12262.829999999998</v>
      </c>
      <c r="AH313" s="185">
        <f>IFERROR(TablaPrincipal[[#This Row],[CAM COSECHADOS RALEO]]+TablaPrincipal[[#This Row],[CAM COSECHADOS]],"-")</f>
        <v>187687.72319406839</v>
      </c>
      <c r="AI313" s="185">
        <f>IFERROR((TablaPrincipal[[#This Row],[LIBRAS RALEO PLANTA]]+TablaPrincipal[[#This Row],[LIBRAS PLANTA]])/TablaPrincipal[[#This Row],[HAS]],"0")</f>
        <v>7432.0181818181809</v>
      </c>
      <c r="AJ313" s="186">
        <f t="shared" si="4"/>
        <v>3.1694444444444443</v>
      </c>
      <c r="AK313" s="186">
        <f>IFERROR(TablaPrincipal[[#This Row],[LBS/HA]]/TablaPrincipal[[#This Row],[DIAS]],"-")</f>
        <v>103.22247474747473</v>
      </c>
      <c r="AL313" s="186">
        <f>IFERROR(TablaPrincipal[[#This Row],[CAM COSECHADOS TOTALES]]/TablaPrincipal[[#This Row],[ANIM SEMBRADOS]]*100,"-")</f>
        <v>63.194519593962418</v>
      </c>
      <c r="AM313" s="185">
        <v>20337.439999999999</v>
      </c>
      <c r="AN313" s="187">
        <f>IFERROR(((TablaPrincipal[[#This Row],[BALANCEADO ACUMULADO (LBS)]]/2.2046)/TablaPrincipal[[#This Row],[HAS]])/TablaPrincipal[[#This Row],[DIAS]],"-")</f>
        <v>77.651534242298993</v>
      </c>
      <c r="AO313" s="184">
        <f>IFERROR(TablaPrincipal[[#This Row],[BALANCEADO ACUMULADO (LBS)]]/TablaPrincipal[[#This Row],[LIBRAS TOTALES]],"-")</f>
        <v>1.658462198366935</v>
      </c>
      <c r="AP313" s="184"/>
      <c r="AQ313" s="184"/>
      <c r="AR313" s="185">
        <f>TablaPrincipal[[#This Row],[LIBRAS RALEO PLANTA]]-TablaPrincipal[[#This Row],[LIBRAS RALEO CAMARONERA]]</f>
        <v>345.61999999999989</v>
      </c>
      <c r="AS313" s="185">
        <f>TablaPrincipal[[#This Row],[LIBRAS PLANTA]]-TablaPrincipal[[#This Row],[LIBRAS CAMARONERA]]</f>
        <v>617.20999999999913</v>
      </c>
      <c r="AT313" s="187">
        <f>TablaPrincipal[[#This Row],[GRAMAJE RALEO PLANTA]]-TablaPrincipal[[#This Row],[GRAMAJE RALEO CAMARONERA]]</f>
        <v>-0.51999999999999957</v>
      </c>
      <c r="AU313" s="187">
        <f>TablaPrincipal[[#This Row],[GRAMOS PLANTA]]-TablaPrincipal[[#This Row],[GRAMAJE CAMARONERA]]</f>
        <v>1.6000000000000014</v>
      </c>
      <c r="AV313" s="183" t="str">
        <f>+VLOOKUP(TablaPrincipal[[#This Row],[CODIGO]],TablaCosechas[#All],10,0)</f>
        <v>SANTIAGO OBRIEN</v>
      </c>
      <c r="AW313" s="183" t="s">
        <v>21</v>
      </c>
      <c r="AX313" s="188" t="str">
        <f>+VLOOKUP(TablaPrincipal[[#This Row],[CODIGO]],TablaCosechas[#All],10,0)</f>
        <v>SANTIAGO OBRIEN</v>
      </c>
    </row>
    <row r="314" spans="1:50" hidden="1" x14ac:dyDescent="0.25">
      <c r="A314" s="196">
        <v>46133</v>
      </c>
      <c r="B314" s="242">
        <f>ROW() - ROW(TablaPrincipal[[#Headers],[ID]])</f>
        <v>312</v>
      </c>
      <c r="C314" s="183">
        <f>YEAR(TablaPrincipal[[#This Row],[FECHA]])</f>
        <v>2026</v>
      </c>
      <c r="D314" s="183" t="s">
        <v>334</v>
      </c>
      <c r="E314" s="183" t="str">
        <f>UPPER(TEXT(TablaPrincipal[[#This Row],[FECHA]],"MMMM"))</f>
        <v>ABRIL</v>
      </c>
      <c r="F314" s="183" t="str">
        <f>IFERROR(VLOOKUP(TablaPrincipal[[#This Row],[CODIGO]],COSECHAS!A:J,9,0),"-")</f>
        <v>05</v>
      </c>
      <c r="G314" s="183" t="str">
        <f>IFERROR(VLOOKUP(TablaPrincipal[[#This Row],[CODIGO]],COSECHAS!A:I,8,0),"-")</f>
        <v>CHERNA</v>
      </c>
      <c r="H314" s="184">
        <f>IFERROR(VLOOKUP(TablaPrincipal[[#This Row],[CODIGO]],DATOS!A:B,2,0),"-")</f>
        <v>5.4</v>
      </c>
      <c r="I314" s="183" t="str">
        <f>IFERROR(VLOOKUP(TablaPrincipal[[#This Row],[CODIGO]],Tabla8[[#Headers],[#Data]],3,0),"-")</f>
        <v>ASC</v>
      </c>
      <c r="J314" s="183">
        <f>IFERROR(TablaPrincipal[[#This Row],[FECHA]]-TablaPrincipal[[#This Row],[FECHA DE SIEMBRA]],"-")</f>
        <v>77</v>
      </c>
      <c r="K314" s="196">
        <f>VLOOKUP(TablaPrincipal[[#This Row],[CODIGO]]&amp;TablaPrincipal[[#This Row],[AGUAJE ]],Tabla4[#All],4,0)</f>
        <v>46056</v>
      </c>
      <c r="L314" s="183" t="str">
        <f>VLOOKUP(TablaPrincipal[[#This Row],[CODIGO]]&amp;TablaPrincipal[[#This Row],[AGUAJE ]],Tabla4[#All],15,0)</f>
        <v>CH PC 3</v>
      </c>
      <c r="M314" s="184">
        <f>VLOOKUP(TablaPrincipal[[#This Row],[CODIGO]]&amp;TablaPrincipal[[#This Row],[AGUAJE ]],Tabla4[#All],14,0)</f>
        <v>0.64</v>
      </c>
      <c r="N314" s="183">
        <v>5</v>
      </c>
      <c r="O314" s="170">
        <f>VLOOKUP(TablaPrincipal[[#This Row],[CODIGO]]&amp;TablaPrincipal[[#This Row],[AGUAJE ]],Tabla4[#All],5,0)</f>
        <v>972000</v>
      </c>
      <c r="P314" s="221">
        <f>IFERROR(TablaPrincipal[[#This Row],[ANIM SEMBRADOS]]/TablaPrincipal[[#This Row],[HAS]],"-")</f>
        <v>180000</v>
      </c>
      <c r="Q314" s="222">
        <f>IFERROR(TablaPrincipal[[#This Row],[DENSIDAD]]/10000,"-")</f>
        <v>18</v>
      </c>
      <c r="R314" s="183" t="str">
        <f>VLOOKUP(TablaPrincipal[[#This Row],[CODIGO]]&amp;TablaPrincipal[[#This Row],[AGUAJE ]],Tabla4[#All],8,0)</f>
        <v>ACUATECSA</v>
      </c>
      <c r="S314" s="183" t="str">
        <f>VLOOKUP(TablaPrincipal[[#This Row],[CODIGO]]&amp;TablaPrincipal[[#This Row],[AGUAJE ]],Tabla4[#All],7,0)</f>
        <v>TEXCUMAR</v>
      </c>
      <c r="T314" s="183" t="str">
        <f>IF(ISNUMBER(FIND("/",TablaPrincipal[[#This Row],[LABORATORIO]])),"COMBINADO","UNICO")</f>
        <v>UNICO</v>
      </c>
      <c r="U3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15200</v>
      </c>
      <c r="V31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16277.89</v>
      </c>
      <c r="W31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21.85</v>
      </c>
      <c r="X31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24.740000000000002</v>
      </c>
      <c r="Y314" s="185">
        <f>IFERROR(TablaPrincipal[[#This Row],[LIBRAS RALEO PLANTA]]/TablaPrincipal[[#This Row],[HAS]],"-")</f>
        <v>3014.4240740740738</v>
      </c>
      <c r="Z31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302116.96283607872</v>
      </c>
      <c r="AA3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18900</v>
      </c>
      <c r="AB3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19420.63</v>
      </c>
      <c r="AC314" s="186">
        <f>SUMIFS(COSECHAS!F:F,COSECHAS!A:A,'BASE 2026'!AW:AW,COSECHAS!G:G,"="&amp;A:A)</f>
        <v>30</v>
      </c>
      <c r="AD314" s="186">
        <f>SUMIFS(COSECHAS!M:M,COSECHAS!A:A,'BASE 2026'!AW:AW,COSECHAS!G:G,"="&amp;A:A)</f>
        <v>29</v>
      </c>
      <c r="AE314" s="185">
        <f>IFERROR(TablaPrincipal[[#This Row],[LIBRAS PLANTA]]/TablaPrincipal[[#This Row],[HAS]],"-")</f>
        <v>3596.4129629629629</v>
      </c>
      <c r="AF314" s="185">
        <f>IFERROR(TablaPrincipal[[#This Row],[LIBRAS PLANTA]]*454/TablaPrincipal[[#This Row],[GRAMOS PLANTA]],"-")</f>
        <v>304033.31103448273</v>
      </c>
      <c r="AG314" s="185">
        <f>TablaPrincipal[[#This Row],[LIBRAS RALEO PLANTA]]+TablaPrincipal[[#This Row],[LIBRAS PLANTA]]</f>
        <v>35698.520000000004</v>
      </c>
      <c r="AH314" s="185">
        <f>IFERROR(TablaPrincipal[[#This Row],[CAM COSECHADOS RALEO]]+TablaPrincipal[[#This Row],[CAM COSECHADOS]],"-")</f>
        <v>606150.2738705615</v>
      </c>
      <c r="AI314" s="185">
        <f>IFERROR((TablaPrincipal[[#This Row],[LIBRAS RALEO PLANTA]]+TablaPrincipal[[#This Row],[LIBRAS PLANTA]])/TablaPrincipal[[#This Row],[HAS]],"0")</f>
        <v>6610.8370370370376</v>
      </c>
      <c r="AJ314" s="186">
        <f t="shared" si="4"/>
        <v>2.6363636363636362</v>
      </c>
      <c r="AK314" s="186">
        <f>IFERROR(TablaPrincipal[[#This Row],[LBS/HA]]/TablaPrincipal[[#This Row],[DIAS]],"-")</f>
        <v>85.855026455026461</v>
      </c>
      <c r="AL314" s="186">
        <f>IFERROR(TablaPrincipal[[#This Row],[CAM COSECHADOS TOTALES]]/TablaPrincipal[[#This Row],[ANIM SEMBRADOS]]*100,"-")</f>
        <v>62.361139287094801</v>
      </c>
      <c r="AM314" s="185">
        <v>61783.91</v>
      </c>
      <c r="AN314" s="187">
        <f>IFERROR(((TablaPrincipal[[#This Row],[BALANCEADO ACUMULADO (LBS)]]/2.2046)/TablaPrincipal[[#This Row],[HAS]])/TablaPrincipal[[#This Row],[DIAS]],"-")</f>
        <v>67.400186945682734</v>
      </c>
      <c r="AO314" s="184">
        <f>IFERROR(TablaPrincipal[[#This Row],[BALANCEADO ACUMULADO (LBS)]]/TablaPrincipal[[#This Row],[LIBRAS TOTALES]],"-")</f>
        <v>1.7307134861613309</v>
      </c>
      <c r="AP314" s="184"/>
      <c r="AQ314" s="184"/>
      <c r="AR314" s="185">
        <f>TablaPrincipal[[#This Row],[LIBRAS RALEO PLANTA]]-TablaPrincipal[[#This Row],[LIBRAS RALEO CAMARONERA]]</f>
        <v>1077.8899999999994</v>
      </c>
      <c r="AS314" s="185">
        <f>TablaPrincipal[[#This Row],[LIBRAS PLANTA]]-TablaPrincipal[[#This Row],[LIBRAS CAMARONERA]]</f>
        <v>520.63000000000102</v>
      </c>
      <c r="AT314" s="187">
        <f>TablaPrincipal[[#This Row],[GRAMAJE RALEO PLANTA]]-TablaPrincipal[[#This Row],[GRAMAJE RALEO CAMARONERA]]</f>
        <v>2.8900000000000006</v>
      </c>
      <c r="AU314" s="187">
        <f>TablaPrincipal[[#This Row],[GRAMOS PLANTA]]-TablaPrincipal[[#This Row],[GRAMAJE CAMARONERA]]</f>
        <v>-1</v>
      </c>
      <c r="AV314" s="183" t="str">
        <f>+VLOOKUP(TablaPrincipal[[#This Row],[CODIGO]],TablaCosechas[#All],10,0)</f>
        <v>SANTIAGO OBRIEN</v>
      </c>
      <c r="AW314" s="183" t="s">
        <v>11</v>
      </c>
      <c r="AX314" s="188" t="str">
        <f>+VLOOKUP(TablaPrincipal[[#This Row],[CODIGO]],TablaCosechas[#All],10,0)</f>
        <v>SANTIAGO OBRIEN</v>
      </c>
    </row>
    <row r="315" spans="1:50" hidden="1" x14ac:dyDescent="0.25">
      <c r="A315" s="196">
        <v>46133</v>
      </c>
      <c r="B315" s="242">
        <f>ROW() - ROW(TablaPrincipal[[#Headers],[ID]])</f>
        <v>313</v>
      </c>
      <c r="C315" s="183">
        <f>YEAR(TablaPrincipal[[#This Row],[FECHA]])</f>
        <v>2026</v>
      </c>
      <c r="D315" s="183" t="s">
        <v>334</v>
      </c>
      <c r="E315" s="183" t="str">
        <f>UPPER(TEXT(TablaPrincipal[[#This Row],[FECHA]],"MMMM"))</f>
        <v>ABRIL</v>
      </c>
      <c r="F315" s="183" t="str">
        <f>IFERROR(VLOOKUP(TablaPrincipal[[#This Row],[CODIGO]],COSECHAS!A:J,9,0),"-")</f>
        <v>24</v>
      </c>
      <c r="G315" s="183" t="str">
        <f>IFERROR(VLOOKUP(TablaPrincipal[[#This Row],[CODIGO]],COSECHAS!A:I,8,0),"-")</f>
        <v>WAHOO</v>
      </c>
      <c r="H315" s="184">
        <f>IFERROR(VLOOKUP(TablaPrincipal[[#This Row],[CODIGO]],DATOS!A:B,2,0),"-")</f>
        <v>4.5999999999999996</v>
      </c>
      <c r="I315" s="183" t="str">
        <f>IFERROR(VLOOKUP(TablaPrincipal[[#This Row],[CODIGO]],Tabla8[[#Headers],[#Data]],3,0),"-")</f>
        <v>CONVENCIONAL</v>
      </c>
      <c r="J315" s="183">
        <f>IFERROR(TablaPrincipal[[#This Row],[FECHA]]-TablaPrincipal[[#This Row],[FECHA DE SIEMBRA]],"-")</f>
        <v>95</v>
      </c>
      <c r="K315" s="196">
        <f>VLOOKUP(TablaPrincipal[[#This Row],[CODIGO]]&amp;TablaPrincipal[[#This Row],[AGUAJE ]],Tabla4[#All],4,0)</f>
        <v>46038</v>
      </c>
      <c r="L315" s="183" t="str">
        <f>VLOOKUP(TablaPrincipal[[#This Row],[CODIGO]]&amp;TablaPrincipal[[#This Row],[AGUAJE ]],Tabla4[#All],15,0)</f>
        <v>WA PS 23</v>
      </c>
      <c r="M315" s="184">
        <f>VLOOKUP(TablaPrincipal[[#This Row],[CODIGO]]&amp;TablaPrincipal[[#This Row],[AGUAJE ]],Tabla4[#All],14,0)</f>
        <v>0.71</v>
      </c>
      <c r="N315" s="183">
        <v>26</v>
      </c>
      <c r="O315" s="170">
        <f>VLOOKUP(TablaPrincipal[[#This Row],[CODIGO]]&amp;TablaPrincipal[[#This Row],[AGUAJE ]],Tabla4[#All],5,0)</f>
        <v>782000</v>
      </c>
      <c r="P315" s="221">
        <f>IFERROR(TablaPrincipal[[#This Row],[ANIM SEMBRADOS]]/TablaPrincipal[[#This Row],[HAS]],"-")</f>
        <v>170000</v>
      </c>
      <c r="Q315" s="222">
        <f>IFERROR(TablaPrincipal[[#This Row],[DENSIDAD]]/10000,"-")</f>
        <v>17</v>
      </c>
      <c r="R315" s="183" t="str">
        <f>VLOOKUP(TablaPrincipal[[#This Row],[CODIGO]]&amp;TablaPrincipal[[#This Row],[AGUAJE ]],Tabla4[#All],8,0)</f>
        <v>BIOLACAM</v>
      </c>
      <c r="S315" s="183" t="str">
        <f>VLOOKUP(TablaPrincipal[[#This Row],[CODIGO]]&amp;TablaPrincipal[[#This Row],[AGUAJE ]],Tabla4[#All],7,0)</f>
        <v>TEXCUMAR</v>
      </c>
      <c r="T315" s="183" t="str">
        <f>IF(ISNUMBER(FIND("/",TablaPrincipal[[#This Row],[LABORATORIO]])),"COMBINADO","UNICO")</f>
        <v>UNICO</v>
      </c>
      <c r="U3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15550</v>
      </c>
      <c r="V31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16245.099999999999</v>
      </c>
      <c r="W31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1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20.72</v>
      </c>
      <c r="Y315" s="185">
        <f>IFERROR(TablaPrincipal[[#This Row],[LIBRAS RALEO PLANTA]]/TablaPrincipal[[#This Row],[HAS]],"-")</f>
        <v>3531.5434782608695</v>
      </c>
      <c r="Z31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357128.81661420863</v>
      </c>
      <c r="AA3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12600</v>
      </c>
      <c r="AB3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13348.13</v>
      </c>
      <c r="AC315" s="186">
        <f>SUMIFS(COSECHAS!F:F,COSECHAS!A:A,'BASE 2026'!AW:AW,COSECHAS!G:G,"="&amp;A:A)</f>
        <v>33</v>
      </c>
      <c r="AD315" s="186">
        <f>SUMIFS(COSECHAS!M:M,COSECHAS!A:A,'BASE 2026'!AW:AW,COSECHAS!G:G,"="&amp;A:A)</f>
        <v>35.799999999999997</v>
      </c>
      <c r="AE315" s="185">
        <f>IFERROR(TablaPrincipal[[#This Row],[LIBRAS PLANTA]]/TablaPrincipal[[#This Row],[HAS]],"-")</f>
        <v>2901.7673913043477</v>
      </c>
      <c r="AF315" s="185">
        <f>IFERROR(TablaPrincipal[[#This Row],[LIBRAS PLANTA]]*454/TablaPrincipal[[#This Row],[GRAMOS PLANTA]],"-")</f>
        <v>169275.1681564246</v>
      </c>
      <c r="AG315" s="185">
        <f>TablaPrincipal[[#This Row],[LIBRAS RALEO PLANTA]]+TablaPrincipal[[#This Row],[LIBRAS PLANTA]]</f>
        <v>29593.229999999996</v>
      </c>
      <c r="AH315" s="185">
        <f>IFERROR(TablaPrincipal[[#This Row],[CAM COSECHADOS RALEO]]+TablaPrincipal[[#This Row],[CAM COSECHADOS]],"-")</f>
        <v>526403.98477063328</v>
      </c>
      <c r="AI315" s="185">
        <f>IFERROR((TablaPrincipal[[#This Row],[LIBRAS RALEO PLANTA]]+TablaPrincipal[[#This Row],[LIBRAS PLANTA]])/TablaPrincipal[[#This Row],[HAS]],"0")</f>
        <v>6433.3108695652172</v>
      </c>
      <c r="AJ315" s="186">
        <f t="shared" si="4"/>
        <v>2.6378947368421053</v>
      </c>
      <c r="AK315" s="186">
        <f>IFERROR(TablaPrincipal[[#This Row],[LBS/HA]]/TablaPrincipal[[#This Row],[DIAS]],"-")</f>
        <v>67.719061784897022</v>
      </c>
      <c r="AL315" s="186">
        <f>IFERROR(TablaPrincipal[[#This Row],[CAM COSECHADOS TOTALES]]/TablaPrincipal[[#This Row],[ANIM SEMBRADOS]]*100,"-")</f>
        <v>67.315087566577148</v>
      </c>
      <c r="AM315" s="185">
        <v>47484.88</v>
      </c>
      <c r="AN315" s="187">
        <f>IFERROR(((TablaPrincipal[[#This Row],[BALANCEADO ACUMULADO (LBS)]]/2.2046)/TablaPrincipal[[#This Row],[HAS]])/TablaPrincipal[[#This Row],[DIAS]],"-")</f>
        <v>49.288330142238479</v>
      </c>
      <c r="AO315" s="184">
        <f>IFERROR(TablaPrincipal[[#This Row],[BALANCEADO ACUMULADO (LBS)]]/TablaPrincipal[[#This Row],[LIBRAS TOTALES]],"-")</f>
        <v>1.604585913737703</v>
      </c>
      <c r="AP315" s="184"/>
      <c r="AQ315" s="184"/>
      <c r="AR315" s="185">
        <f>TablaPrincipal[[#This Row],[LIBRAS RALEO PLANTA]]-TablaPrincipal[[#This Row],[LIBRAS RALEO CAMARONERA]]</f>
        <v>695.09999999999854</v>
      </c>
      <c r="AS315" s="185">
        <f>TablaPrincipal[[#This Row],[LIBRAS PLANTA]]-TablaPrincipal[[#This Row],[LIBRAS CAMARONERA]]</f>
        <v>748.1299999999992</v>
      </c>
      <c r="AT315" s="187">
        <f>TablaPrincipal[[#This Row],[GRAMAJE RALEO PLANTA]]-TablaPrincipal[[#This Row],[GRAMAJE RALEO CAMARONERA]]</f>
        <v>0.21999999999999886</v>
      </c>
      <c r="AU315" s="187">
        <f>TablaPrincipal[[#This Row],[GRAMOS PLANTA]]-TablaPrincipal[[#This Row],[GRAMAJE CAMARONERA]]</f>
        <v>2.7999999999999972</v>
      </c>
      <c r="AV315" s="183" t="str">
        <f>+VLOOKUP(TablaPrincipal[[#This Row],[CODIGO]],TablaCosechas[#All],10,0)</f>
        <v>JUNIOR ESQUIVEL</v>
      </c>
      <c r="AW315" s="183" t="s">
        <v>342</v>
      </c>
      <c r="AX315" s="188" t="str">
        <f>+VLOOKUP(TablaPrincipal[[#This Row],[CODIGO]],TablaCosechas[#All],10,0)</f>
        <v>JUNIOR ESQUIVEL</v>
      </c>
    </row>
    <row r="316" spans="1:50" hidden="1" x14ac:dyDescent="0.25">
      <c r="A316" s="196">
        <v>46134</v>
      </c>
      <c r="B316" s="242">
        <f>ROW() - ROW(TablaPrincipal[[#Headers],[ID]])</f>
        <v>314</v>
      </c>
      <c r="C316" s="183">
        <f>YEAR(TablaPrincipal[[#This Row],[FECHA]])</f>
        <v>2026</v>
      </c>
      <c r="D316" s="183" t="s">
        <v>334</v>
      </c>
      <c r="E316" s="183" t="str">
        <f>UPPER(TEXT(TablaPrincipal[[#This Row],[FECHA]],"MMMM"))</f>
        <v>ABRIL</v>
      </c>
      <c r="F316" s="183" t="str">
        <f>IFERROR(VLOOKUP(TablaPrincipal[[#This Row],[CODIGO]],COSECHAS!A:J,9,0),"-")</f>
        <v>08</v>
      </c>
      <c r="G316" s="183" t="str">
        <f>IFERROR(VLOOKUP(TablaPrincipal[[#This Row],[CODIGO]],COSECHAS!A:I,8,0),"-")</f>
        <v>CHERNA</v>
      </c>
      <c r="H316" s="184">
        <f>IFERROR(VLOOKUP(TablaPrincipal[[#This Row],[CODIGO]],DATOS!A:B,2,0),"-")</f>
        <v>2.4</v>
      </c>
      <c r="I316" s="183" t="str">
        <f>IFERROR(VLOOKUP(TablaPrincipal[[#This Row],[CODIGO]],Tabla8[[#Headers],[#Data]],3,0),"-")</f>
        <v>ASC</v>
      </c>
      <c r="J316" s="183">
        <f>IFERROR(TablaPrincipal[[#This Row],[FECHA]]-TablaPrincipal[[#This Row],[FECHA DE SIEMBRA]],"-")</f>
        <v>74</v>
      </c>
      <c r="K316" s="196">
        <f>VLOOKUP(TablaPrincipal[[#This Row],[CODIGO]]&amp;TablaPrincipal[[#This Row],[AGUAJE ]],Tabla4[#All],4,0)</f>
        <v>46060</v>
      </c>
      <c r="L316" s="183" t="str">
        <f>VLOOKUP(TablaPrincipal[[#This Row],[CODIGO]]&amp;TablaPrincipal[[#This Row],[AGUAJE ]],Tabla4[#All],15,0)</f>
        <v>CH PC 5</v>
      </c>
      <c r="M316" s="184">
        <f>VLOOKUP(TablaPrincipal[[#This Row],[CODIGO]]&amp;TablaPrincipal[[#This Row],[AGUAJE ]],Tabla4[#All],14,0)</f>
        <v>0.7</v>
      </c>
      <c r="N316" s="183">
        <v>8</v>
      </c>
      <c r="O316" s="170">
        <f>VLOOKUP(TablaPrincipal[[#This Row],[CODIGO]]&amp;TablaPrincipal[[#This Row],[AGUAJE ]],Tabla4[#All],5,0)</f>
        <v>432000</v>
      </c>
      <c r="P316" s="221">
        <f>IFERROR(TablaPrincipal[[#This Row],[ANIM SEMBRADOS]]/TablaPrincipal[[#This Row],[HAS]],"-")</f>
        <v>180000</v>
      </c>
      <c r="Q316" s="222">
        <f>IFERROR(TablaPrincipal[[#This Row],[DENSIDAD]]/10000,"-")</f>
        <v>18</v>
      </c>
      <c r="R316" s="183" t="str">
        <f>VLOOKUP(TablaPrincipal[[#This Row],[CODIGO]]&amp;TablaPrincipal[[#This Row],[AGUAJE ]],Tabla4[#All],8,0)</f>
        <v>PRICMARSA</v>
      </c>
      <c r="S316" s="183" t="str">
        <f>VLOOKUP(TablaPrincipal[[#This Row],[CODIGO]]&amp;TablaPrincipal[[#This Row],[AGUAJE ]],Tabla4[#All],7,0)</f>
        <v>TEXCUMAR</v>
      </c>
      <c r="T316" s="183" t="str">
        <f>IF(ISNUMBER(FIND("/",TablaPrincipal[[#This Row],[LABORATORIO]])),"COMBINADO","UNICO")</f>
        <v>UNICO</v>
      </c>
      <c r="U3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6700</v>
      </c>
      <c r="V31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7114.17</v>
      </c>
      <c r="W31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22.28</v>
      </c>
      <c r="Y316" s="185">
        <f>IFERROR(TablaPrincipal[[#This Row],[LIBRAS RALEO PLANTA]]/TablaPrincipal[[#This Row],[HAS]],"-")</f>
        <v>2964.2375000000002</v>
      </c>
      <c r="Z31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145403.16586380772</v>
      </c>
      <c r="AA3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10600</v>
      </c>
      <c r="AB3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11101.82</v>
      </c>
      <c r="AC316" s="186">
        <f>SUMIFS(COSECHAS!F:F,COSECHAS!A:A,'BASE 2026'!AW:AW,COSECHAS!G:G,"="&amp;A:A)</f>
        <v>31</v>
      </c>
      <c r="AD316" s="186">
        <f>SUMIFS(COSECHAS!M:M,COSECHAS!A:A,'BASE 2026'!AW:AW,COSECHAS!G:G,"="&amp;A:A)</f>
        <v>29.11</v>
      </c>
      <c r="AE316" s="185">
        <f>IFERROR(TablaPrincipal[[#This Row],[LIBRAS PLANTA]]/TablaPrincipal[[#This Row],[HAS]],"-")</f>
        <v>4625.7583333333332</v>
      </c>
      <c r="AF316" s="185">
        <f>IFERROR(TablaPrincipal[[#This Row],[LIBRAS PLANTA]]*454/TablaPrincipal[[#This Row],[GRAMOS PLANTA]],"-")</f>
        <v>173144.15252490554</v>
      </c>
      <c r="AG316" s="185">
        <f>TablaPrincipal[[#This Row],[LIBRAS RALEO PLANTA]]+TablaPrincipal[[#This Row],[LIBRAS PLANTA]]</f>
        <v>18215.989999999998</v>
      </c>
      <c r="AH316" s="185">
        <f>IFERROR(TablaPrincipal[[#This Row],[CAM COSECHADOS RALEO]]+TablaPrincipal[[#This Row],[CAM COSECHADOS]],"-")</f>
        <v>318547.31838871329</v>
      </c>
      <c r="AI316" s="185">
        <f>IFERROR((TablaPrincipal[[#This Row],[LIBRAS RALEO PLANTA]]+TablaPrincipal[[#This Row],[LIBRAS PLANTA]])/TablaPrincipal[[#This Row],[HAS]],"0")</f>
        <v>7589.9958333333325</v>
      </c>
      <c r="AJ316" s="186">
        <f t="shared" si="4"/>
        <v>2.7536486486486487</v>
      </c>
      <c r="AK316" s="186">
        <f>IFERROR(TablaPrincipal[[#This Row],[LBS/HA]]/TablaPrincipal[[#This Row],[DIAS]],"-")</f>
        <v>102.56751126126125</v>
      </c>
      <c r="AL316" s="186">
        <f>IFERROR(TablaPrincipal[[#This Row],[CAM COSECHADOS TOTALES]]/TablaPrincipal[[#This Row],[ANIM SEMBRADOS]]*100,"-")</f>
        <v>73.737805182572529</v>
      </c>
      <c r="AM316" s="185">
        <v>26344.97</v>
      </c>
      <c r="AN316" s="187">
        <f>IFERROR(((TablaPrincipal[[#This Row],[BALANCEADO ACUMULADO (LBS)]]/2.2046)/TablaPrincipal[[#This Row],[HAS]])/TablaPrincipal[[#This Row],[DIAS]],"-")</f>
        <v>67.286036036036037</v>
      </c>
      <c r="AO316" s="184">
        <f>IFERROR(TablaPrincipal[[#This Row],[BALANCEADO ACUMULADO (LBS)]]/TablaPrincipal[[#This Row],[LIBRAS TOTALES]],"-")</f>
        <v>1.4462551856912529</v>
      </c>
      <c r="AP316" s="184"/>
      <c r="AQ316" s="184"/>
      <c r="AR316" s="185">
        <f>TablaPrincipal[[#This Row],[LIBRAS RALEO PLANTA]]-TablaPrincipal[[#This Row],[LIBRAS RALEO CAMARONERA]]</f>
        <v>414.17000000000007</v>
      </c>
      <c r="AS316" s="185">
        <f>TablaPrincipal[[#This Row],[LIBRAS PLANTA]]-TablaPrincipal[[#This Row],[LIBRAS CAMARONERA]]</f>
        <v>501.81999999999971</v>
      </c>
      <c r="AT316" s="187">
        <f>TablaPrincipal[[#This Row],[GRAMAJE RALEO PLANTA]]-TablaPrincipal[[#This Row],[GRAMAJE RALEO CAMARONERA]]</f>
        <v>-0.21999999999999886</v>
      </c>
      <c r="AU316" s="187">
        <f>TablaPrincipal[[#This Row],[GRAMOS PLANTA]]-TablaPrincipal[[#This Row],[GRAMAJE CAMARONERA]]</f>
        <v>-1.8900000000000006</v>
      </c>
      <c r="AV316" s="183" t="str">
        <f>+VLOOKUP(TablaPrincipal[[#This Row],[CODIGO]],TablaCosechas[#All],10,0)</f>
        <v>SANTIAGO OBRIEN</v>
      </c>
      <c r="AW316" s="183" t="s">
        <v>14</v>
      </c>
      <c r="AX316" s="241" t="str">
        <f>+VLOOKUP(TablaPrincipal[[#This Row],[CODIGO]],TablaCosechas[#All],10,0)</f>
        <v>SANTIAGO OBRIEN</v>
      </c>
    </row>
    <row r="317" spans="1:50" hidden="1" x14ac:dyDescent="0.25">
      <c r="A317" s="196">
        <v>46134</v>
      </c>
      <c r="B317" s="242">
        <f>ROW() - ROW(TablaPrincipal[[#Headers],[ID]])</f>
        <v>315</v>
      </c>
      <c r="C317" s="183">
        <f>YEAR(TablaPrincipal[[#This Row],[FECHA]])</f>
        <v>2026</v>
      </c>
      <c r="D317" s="183" t="s">
        <v>334</v>
      </c>
      <c r="E317" s="183" t="str">
        <f>UPPER(TEXT(TablaPrincipal[[#This Row],[FECHA]],"MMMM"))</f>
        <v>ABRIL</v>
      </c>
      <c r="F317" s="183" t="str">
        <f>IFERROR(VLOOKUP(TablaPrincipal[[#This Row],[CODIGO]],COSECHAS!A:J,9,0),"-")</f>
        <v>08</v>
      </c>
      <c r="G317" s="183" t="str">
        <f>IFERROR(VLOOKUP(TablaPrincipal[[#This Row],[CODIGO]],COSECHAS!A:I,8,0),"-")</f>
        <v>WAHOO</v>
      </c>
      <c r="H317" s="184">
        <f>IFERROR(VLOOKUP(TablaPrincipal[[#This Row],[CODIGO]],DATOS!A:B,2,0),"-")</f>
        <v>4.7</v>
      </c>
      <c r="I317" s="183" t="str">
        <f>IFERROR(VLOOKUP(TablaPrincipal[[#This Row],[CODIGO]],Tabla8[[#Headers],[#Data]],3,0),"-")</f>
        <v>CONVENCIONAL</v>
      </c>
      <c r="J317" s="183">
        <f>IFERROR(TablaPrincipal[[#This Row],[FECHA]]-TablaPrincipal[[#This Row],[FECHA DE SIEMBRA]],"-")</f>
        <v>93</v>
      </c>
      <c r="K317" s="196">
        <f>VLOOKUP(TablaPrincipal[[#This Row],[CODIGO]]&amp;TablaPrincipal[[#This Row],[AGUAJE ]],Tabla4[#All],4,0)</f>
        <v>46041</v>
      </c>
      <c r="L317" s="183" t="str">
        <f>VLOOKUP(TablaPrincipal[[#This Row],[CODIGO]]&amp;TablaPrincipal[[#This Row],[AGUAJE ]],Tabla4[#All],15,0)</f>
        <v>WA PS 18</v>
      </c>
      <c r="M317" s="184">
        <f>VLOOKUP(TablaPrincipal[[#This Row],[CODIGO]]&amp;TablaPrincipal[[#This Row],[AGUAJE ]],Tabla4[#All],14,0)</f>
        <v>1.1299999999999999</v>
      </c>
      <c r="N317" s="183">
        <v>32</v>
      </c>
      <c r="O317" s="170">
        <f>VLOOKUP(TablaPrincipal[[#This Row],[CODIGO]]&amp;TablaPrincipal[[#This Row],[AGUAJE ]],Tabla4[#All],5,0)</f>
        <v>752000</v>
      </c>
      <c r="P317" s="221">
        <f>IFERROR(TablaPrincipal[[#This Row],[ANIM SEMBRADOS]]/TablaPrincipal[[#This Row],[HAS]],"-")</f>
        <v>160000</v>
      </c>
      <c r="Q317" s="222">
        <f>IFERROR(TablaPrincipal[[#This Row],[DENSIDAD]]/10000,"-")</f>
        <v>16</v>
      </c>
      <c r="R317" s="183" t="str">
        <f>VLOOKUP(TablaPrincipal[[#This Row],[CODIGO]]&amp;TablaPrincipal[[#This Row],[AGUAJE ]],Tabla4[#All],8,0)</f>
        <v>TECSERV</v>
      </c>
      <c r="S317" s="183" t="str">
        <f>VLOOKUP(TablaPrincipal[[#This Row],[CODIGO]]&amp;TablaPrincipal[[#This Row],[AGUAJE ]],Tabla4[#All],7,0)</f>
        <v>SEMACUA</v>
      </c>
      <c r="T317" s="183" t="str">
        <f>IF(ISNUMBER(FIND("/",TablaPrincipal[[#This Row],[LABORATORIO]])),"COMBINADO","UNICO")</f>
        <v>UNICO</v>
      </c>
      <c r="U3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13700</v>
      </c>
      <c r="V31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14506.76</v>
      </c>
      <c r="W31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1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</v>
      </c>
      <c r="Y317" s="185">
        <f>IFERROR(TablaPrincipal[[#This Row],[LIBRAS RALEO PLANTA]]/TablaPrincipal[[#This Row],[HAS]],"-")</f>
        <v>3086.5446808510637</v>
      </c>
      <c r="Z31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279357.03431271389</v>
      </c>
      <c r="AA3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B3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11754.1</v>
      </c>
      <c r="AC317" s="186">
        <f>SUMIFS(COSECHAS!F:F,COSECHAS!A:A,'BASE 2026'!AW:AW,COSECHAS!G:G,"="&amp;A:A)</f>
        <v>35</v>
      </c>
      <c r="AD317" s="186">
        <f>SUMIFS(COSECHAS!M:M,COSECHAS!A:A,'BASE 2026'!AW:AW,COSECHAS!G:G,"="&amp;A:A)</f>
        <v>35.18</v>
      </c>
      <c r="AE317" s="185">
        <f>IFERROR(TablaPrincipal[[#This Row],[LIBRAS PLANTA]]/TablaPrincipal[[#This Row],[HAS]],"-")</f>
        <v>2500.872340425532</v>
      </c>
      <c r="AF317" s="185">
        <f>IFERROR(TablaPrincipal[[#This Row],[LIBRAS PLANTA]]*454/TablaPrincipal[[#This Row],[GRAMOS PLANTA]],"-")</f>
        <v>151687.36213757819</v>
      </c>
      <c r="AG317" s="185">
        <f>TablaPrincipal[[#This Row],[LIBRAS RALEO PLANTA]]+TablaPrincipal[[#This Row],[LIBRAS PLANTA]]</f>
        <v>26260.86</v>
      </c>
      <c r="AH317" s="185">
        <f>IFERROR(TablaPrincipal[[#This Row],[CAM COSECHADOS RALEO]]+TablaPrincipal[[#This Row],[CAM COSECHADOS]],"-")</f>
        <v>431044.39645029209</v>
      </c>
      <c r="AI317" s="185">
        <f>IFERROR((TablaPrincipal[[#This Row],[LIBRAS RALEO PLANTA]]+TablaPrincipal[[#This Row],[LIBRAS PLANTA]])/TablaPrincipal[[#This Row],[HAS]],"0")</f>
        <v>5587.4170212765957</v>
      </c>
      <c r="AJ317" s="186">
        <f t="shared" si="4"/>
        <v>2.6479569892473118</v>
      </c>
      <c r="AK317" s="186">
        <f>IFERROR(TablaPrincipal[[#This Row],[LBS/HA]]/TablaPrincipal[[#This Row],[DIAS]],"-")</f>
        <v>60.079752916952643</v>
      </c>
      <c r="AL317" s="186">
        <f>IFERROR(TablaPrincipal[[#This Row],[CAM COSECHADOS TOTALES]]/TablaPrincipal[[#This Row],[ANIM SEMBRADOS]]*100,"-")</f>
        <v>57.319733570517563</v>
      </c>
      <c r="AM317" s="185">
        <v>37063.74</v>
      </c>
      <c r="AN317" s="187">
        <f>IFERROR(((TablaPrincipal[[#This Row],[BALANCEADO ACUMULADO (LBS)]]/2.2046)/TablaPrincipal[[#This Row],[HAS]])/TablaPrincipal[[#This Row],[DIAS]],"-")</f>
        <v>38.462599353158808</v>
      </c>
      <c r="AO317" s="184">
        <f>IFERROR(TablaPrincipal[[#This Row],[BALANCEADO ACUMULADO (LBS)]]/TablaPrincipal[[#This Row],[LIBRAS TOTALES]],"-")</f>
        <v>1.4113680968559292</v>
      </c>
      <c r="AP317" s="184"/>
      <c r="AQ317" s="184"/>
      <c r="AR317" s="185">
        <f>TablaPrincipal[[#This Row],[LIBRAS RALEO PLANTA]]-TablaPrincipal[[#This Row],[LIBRAS RALEO CAMARONERA]]</f>
        <v>806.76000000000022</v>
      </c>
      <c r="AS317" s="185">
        <f>TablaPrincipal[[#This Row],[LIBRAS PLANTA]]-TablaPrincipal[[#This Row],[LIBRAS CAMARONERA]]</f>
        <v>1604.1000000000004</v>
      </c>
      <c r="AT317" s="187">
        <f>TablaPrincipal[[#This Row],[GRAMAJE RALEO PLANTA]]-TablaPrincipal[[#This Row],[GRAMAJE RALEO CAMARONERA]]</f>
        <v>-0.30000000000000071</v>
      </c>
      <c r="AU317" s="187">
        <f>TablaPrincipal[[#This Row],[GRAMOS PLANTA]]-TablaPrincipal[[#This Row],[GRAMAJE CAMARONERA]]</f>
        <v>0.17999999999999972</v>
      </c>
      <c r="AV317" s="183" t="str">
        <f>+VLOOKUP(TablaPrincipal[[#This Row],[CODIGO]],TablaCosechas[#All],10,0)</f>
        <v>JUNIOR ESQUIVEL</v>
      </c>
      <c r="AW317" s="183" t="s">
        <v>343</v>
      </c>
      <c r="AX317" s="241" t="str">
        <f>+VLOOKUP(TablaPrincipal[[#This Row],[CODIGO]],TablaCosechas[#All],10,0)</f>
        <v>JUNIOR ESQUIVEL</v>
      </c>
    </row>
    <row r="318" spans="1:50" hidden="1" x14ac:dyDescent="0.25">
      <c r="A318" s="196">
        <v>46134</v>
      </c>
      <c r="B318" s="242">
        <f>ROW() - ROW(TablaPrincipal[[#Headers],[ID]])</f>
        <v>316</v>
      </c>
      <c r="C318" s="183">
        <f>YEAR(TablaPrincipal[[#This Row],[FECHA]])</f>
        <v>2026</v>
      </c>
      <c r="D318" s="183" t="s">
        <v>334</v>
      </c>
      <c r="E318" s="183" t="str">
        <f>UPPER(TEXT(TablaPrincipal[[#This Row],[FECHA]],"MMMM"))</f>
        <v>ABRIL</v>
      </c>
      <c r="F318" s="183" t="str">
        <f>IFERROR(VLOOKUP(TablaPrincipal[[#This Row],[CODIGO]],COSECHAS!A:J,9,0),"-")</f>
        <v>06</v>
      </c>
      <c r="G318" s="183" t="str">
        <f>IFERROR(VLOOKUP(TablaPrincipal[[#This Row],[CODIGO]],COSECHAS!A:I,8,0),"-")</f>
        <v>TIBURON</v>
      </c>
      <c r="H318" s="184">
        <f>IFERROR(VLOOKUP(TablaPrincipal[[#This Row],[CODIGO]],DATOS!A:B,2,0),"-")</f>
        <v>6.08</v>
      </c>
      <c r="I318" s="183" t="str">
        <f>IFERROR(VLOOKUP(TablaPrincipal[[#This Row],[CODIGO]],Tabla8[[#Headers],[#Data]],3,0),"-")</f>
        <v>ASC-BAP</v>
      </c>
      <c r="J318" s="183">
        <f>IFERROR(TablaPrincipal[[#This Row],[FECHA]]-TablaPrincipal[[#This Row],[FECHA DE SIEMBRA]],"-")</f>
        <v>98</v>
      </c>
      <c r="K318" s="196">
        <f>VLOOKUP(TablaPrincipal[[#This Row],[CODIGO]]&amp;TablaPrincipal[[#This Row],[AGUAJE ]],Tabla4[#All],4,0)</f>
        <v>46036</v>
      </c>
      <c r="L318" s="183" t="str">
        <f>VLOOKUP(TablaPrincipal[[#This Row],[CODIGO]]&amp;TablaPrincipal[[#This Row],[AGUAJE ]],Tabla4[#All],15,0)</f>
        <v>TI 33 - 34</v>
      </c>
      <c r="M318" s="184">
        <f>VLOOKUP(TablaPrincipal[[#This Row],[CODIGO]]&amp;TablaPrincipal[[#This Row],[AGUAJE ]],Tabla4[#All],14,0)</f>
        <v>0.55000000000000004</v>
      </c>
      <c r="N318" s="183">
        <v>8</v>
      </c>
      <c r="O318" s="170">
        <f>VLOOKUP(TablaPrincipal[[#This Row],[CODIGO]]&amp;TablaPrincipal[[#This Row],[AGUAJE ]],Tabla4[#All],5,0)</f>
        <v>1124800</v>
      </c>
      <c r="P318" s="221">
        <f>IFERROR(TablaPrincipal[[#This Row],[ANIM SEMBRADOS]]/TablaPrincipal[[#This Row],[HAS]],"-")</f>
        <v>185000</v>
      </c>
      <c r="Q318" s="222">
        <f>IFERROR(TablaPrincipal[[#This Row],[DENSIDAD]]/10000,"-")</f>
        <v>18.5</v>
      </c>
      <c r="R318" s="183" t="str">
        <f>VLOOKUP(TablaPrincipal[[#This Row],[CODIGO]]&amp;TablaPrincipal[[#This Row],[AGUAJE ]],Tabla4[#All],8,0)</f>
        <v>TECSERV</v>
      </c>
      <c r="S318" s="183" t="str">
        <f>VLOOKUP(TablaPrincipal[[#This Row],[CODIGO]]&amp;TablaPrincipal[[#This Row],[AGUAJE ]],Tabla4[#All],7,0)</f>
        <v>EMPAGRAN</v>
      </c>
      <c r="T318" s="183" t="str">
        <f>IF(ISNUMBER(FIND("/",TablaPrincipal[[#This Row],[LABORATORIO]])),"COMBINADO","UNICO")</f>
        <v>UNICO</v>
      </c>
      <c r="U3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25550</v>
      </c>
      <c r="V31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26672.14</v>
      </c>
      <c r="W31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31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26.38</v>
      </c>
      <c r="Y318" s="185">
        <f>IFERROR(TablaPrincipal[[#This Row],[LIBRAS RALEO PLANTA]]/TablaPrincipal[[#This Row],[HAS]],"-")</f>
        <v>4386.8651315789475</v>
      </c>
      <c r="Z31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474047.57895973529</v>
      </c>
      <c r="AA3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30400</v>
      </c>
      <c r="AB3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31032.31</v>
      </c>
      <c r="AC318" s="186">
        <f>SUMIFS(COSECHAS!F:F,COSECHAS!A:A,'BASE 2026'!AW:AW,COSECHAS!G:G,"="&amp;A:A)</f>
        <v>40</v>
      </c>
      <c r="AD318" s="186">
        <f>SUMIFS(COSECHAS!M:M,COSECHAS!A:A,'BASE 2026'!AW:AW,COSECHAS!G:G,"="&amp;A:A)</f>
        <v>37.200000000000003</v>
      </c>
      <c r="AE318" s="185">
        <f>IFERROR(TablaPrincipal[[#This Row],[LIBRAS PLANTA]]/TablaPrincipal[[#This Row],[HAS]],"-")</f>
        <v>5103.9983552631584</v>
      </c>
      <c r="AF318" s="185">
        <f>IFERROR(TablaPrincipal[[#This Row],[LIBRAS PLANTA]]*454/TablaPrincipal[[#This Row],[GRAMOS PLANTA]],"-")</f>
        <v>378727.65430107526</v>
      </c>
      <c r="AG318" s="185">
        <f>TablaPrincipal[[#This Row],[LIBRAS RALEO PLANTA]]+TablaPrincipal[[#This Row],[LIBRAS PLANTA]]</f>
        <v>57704.45</v>
      </c>
      <c r="AH318" s="185">
        <f>IFERROR(TablaPrincipal[[#This Row],[CAM COSECHADOS RALEO]]+TablaPrincipal[[#This Row],[CAM COSECHADOS]],"-")</f>
        <v>852775.23326081061</v>
      </c>
      <c r="AI318" s="185">
        <f>IFERROR((TablaPrincipal[[#This Row],[LIBRAS RALEO PLANTA]]+TablaPrincipal[[#This Row],[LIBRAS PLANTA]])/TablaPrincipal[[#This Row],[HAS]],"0")</f>
        <v>9490.863486842105</v>
      </c>
      <c r="AJ318" s="186">
        <f t="shared" si="4"/>
        <v>2.6571428571428575</v>
      </c>
      <c r="AK318" s="186">
        <f>IFERROR(TablaPrincipal[[#This Row],[LBS/HA]]/TablaPrincipal[[#This Row],[DIAS]],"-")</f>
        <v>96.845545784103109</v>
      </c>
      <c r="AL318" s="186">
        <f>IFERROR(TablaPrincipal[[#This Row],[CAM COSECHADOS TOTALES]]/TablaPrincipal[[#This Row],[ANIM SEMBRADOS]]*100,"-")</f>
        <v>75.815721306971071</v>
      </c>
      <c r="AM318" s="185">
        <v>94246.650000000009</v>
      </c>
      <c r="AN318" s="187">
        <f>IFERROR(((TablaPrincipal[[#This Row],[BALANCEADO ACUMULADO (LBS)]]/2.2046)/TablaPrincipal[[#This Row],[HAS]])/TablaPrincipal[[#This Row],[DIAS]],"-")</f>
        <v>71.747448979591837</v>
      </c>
      <c r="AO318" s="184">
        <f>IFERROR(TablaPrincipal[[#This Row],[BALANCEADO ACUMULADO (LBS)]]/TablaPrincipal[[#This Row],[LIBRAS TOTALES]],"-")</f>
        <v>1.6332648521907758</v>
      </c>
      <c r="AP318" s="184"/>
      <c r="AQ318" s="184"/>
      <c r="AR318" s="185">
        <f>TablaPrincipal[[#This Row],[LIBRAS RALEO PLANTA]]-TablaPrincipal[[#This Row],[LIBRAS RALEO CAMARONERA]]</f>
        <v>1122.1399999999994</v>
      </c>
      <c r="AS318" s="185">
        <f>TablaPrincipal[[#This Row],[LIBRAS PLANTA]]-TablaPrincipal[[#This Row],[LIBRAS CAMARONERA]]</f>
        <v>632.31000000000131</v>
      </c>
      <c r="AT318" s="187">
        <f>TablaPrincipal[[#This Row],[GRAMAJE RALEO PLANTA]]-TablaPrincipal[[#This Row],[GRAMAJE RALEO CAMARONERA]]</f>
        <v>0.37999999999999901</v>
      </c>
      <c r="AU318" s="187">
        <f>TablaPrincipal[[#This Row],[GRAMOS PLANTA]]-TablaPrincipal[[#This Row],[GRAMAJE CAMARONERA]]</f>
        <v>-2.7999999999999972</v>
      </c>
      <c r="AV318" s="183" t="str">
        <f>+VLOOKUP(TablaPrincipal[[#This Row],[CODIGO]],TablaCosechas[#All],10,0)</f>
        <v>ALFONSO GRUNAUER</v>
      </c>
      <c r="AW318" s="183" t="s">
        <v>118</v>
      </c>
      <c r="AX318" s="188" t="str">
        <f>+VLOOKUP(TablaPrincipal[[#This Row],[CODIGO]],TablaCosechas[#All],10,0)</f>
        <v>ALFONSO GRUNAUER</v>
      </c>
    </row>
    <row r="319" spans="1:50" hidden="1" x14ac:dyDescent="0.25">
      <c r="A319" s="196">
        <v>46135</v>
      </c>
      <c r="B319" s="242">
        <f>ROW() - ROW(TablaPrincipal[[#Headers],[ID]])</f>
        <v>317</v>
      </c>
      <c r="C319" s="183">
        <f>YEAR(TablaPrincipal[[#This Row],[FECHA]])</f>
        <v>2026</v>
      </c>
      <c r="D319" s="183" t="s">
        <v>334</v>
      </c>
      <c r="E319" s="183" t="str">
        <f>UPPER(TEXT(TablaPrincipal[[#This Row],[FECHA]],"MMMM"))</f>
        <v>ABRIL</v>
      </c>
      <c r="F319" s="183" t="str">
        <f>IFERROR(VLOOKUP(TablaPrincipal[[#This Row],[CODIGO]],COSECHAS!A:J,9,0),"-")</f>
        <v>03</v>
      </c>
      <c r="G319" s="183" t="str">
        <f>IFERROR(VLOOKUP(TablaPrincipal[[#This Row],[CODIGO]],COSECHAS!A:I,8,0),"-")</f>
        <v>TIBURON</v>
      </c>
      <c r="H319" s="184">
        <f>IFERROR(VLOOKUP(TablaPrincipal[[#This Row],[CODIGO]],DATOS!A:B,2,0),"-")</f>
        <v>6.55</v>
      </c>
      <c r="I319" s="183" t="str">
        <f>IFERROR(VLOOKUP(TablaPrincipal[[#This Row],[CODIGO]],Tabla8[[#Headers],[#Data]],3,0),"-")</f>
        <v>ASC-BAP</v>
      </c>
      <c r="J319" s="183">
        <f>IFERROR(TablaPrincipal[[#This Row],[FECHA]]-TablaPrincipal[[#This Row],[FECHA DE SIEMBRA]],"-")</f>
        <v>77</v>
      </c>
      <c r="K319" s="196">
        <f>VLOOKUP(TablaPrincipal[[#This Row],[CODIGO]]&amp;TablaPrincipal[[#This Row],[AGUAJE ]],Tabla4[#All],4,0)</f>
        <v>46058</v>
      </c>
      <c r="L319" s="183" t="str">
        <f>VLOOKUP(TablaPrincipal[[#This Row],[CODIGO]]&amp;TablaPrincipal[[#This Row],[AGUAJE ]],Tabla4[#All],15,0)</f>
        <v>TI 33 - 34</v>
      </c>
      <c r="M319" s="184">
        <f>VLOOKUP(TablaPrincipal[[#This Row],[CODIGO]]&amp;TablaPrincipal[[#This Row],[AGUAJE ]],Tabla4[#All],14,0)</f>
        <v>0.25</v>
      </c>
      <c r="N319" s="183">
        <v>7</v>
      </c>
      <c r="O319" s="170">
        <f>VLOOKUP(TablaPrincipal[[#This Row],[CODIGO]]&amp;TablaPrincipal[[#This Row],[AGUAJE ]],Tabla4[#All],5,0)</f>
        <v>1146250</v>
      </c>
      <c r="P319" s="221">
        <f>IFERROR(TablaPrincipal[[#This Row],[ANIM SEMBRADOS]]/TablaPrincipal[[#This Row],[HAS]],"-")</f>
        <v>175000</v>
      </c>
      <c r="Q319" s="222">
        <f>IFERROR(TablaPrincipal[[#This Row],[DENSIDAD]]/10000,"-")</f>
        <v>17.5</v>
      </c>
      <c r="R319" s="183" t="str">
        <f>VLOOKUP(TablaPrincipal[[#This Row],[CODIGO]]&amp;TablaPrincipal[[#This Row],[AGUAJE ]],Tabla4[#All],8,0)</f>
        <v>NARIHUALA</v>
      </c>
      <c r="S319" s="183" t="str">
        <f>VLOOKUP(TablaPrincipal[[#This Row],[CODIGO]]&amp;TablaPrincipal[[#This Row],[AGUAJE ]],Tabla4[#All],7,0)</f>
        <v>TEXCUMAR</v>
      </c>
      <c r="T319" s="183" t="str">
        <f>IF(ISNUMBER(FIND("/",TablaPrincipal[[#This Row],[LABORATORIO]])),"COMBINADO","UNICO")</f>
        <v>UNICO</v>
      </c>
      <c r="U3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18950</v>
      </c>
      <c r="V31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20259.370000000003</v>
      </c>
      <c r="W31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1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23.34</v>
      </c>
      <c r="Y319" s="185">
        <f>IFERROR(TablaPrincipal[[#This Row],[LIBRAS RALEO PLANTA]]/TablaPrincipal[[#This Row],[HAS]],"-")</f>
        <v>3093.0335877862599</v>
      </c>
      <c r="Z31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413102.72281072591</v>
      </c>
      <c r="AA3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28300</v>
      </c>
      <c r="AB3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28519.7</v>
      </c>
      <c r="AC319" s="186">
        <f>SUMIFS(COSECHAS!F:F,COSECHAS!A:A,'BASE 2026'!AW:AW,COSECHAS!G:G,"="&amp;A:A)</f>
        <v>31</v>
      </c>
      <c r="AD319" s="186">
        <f>SUMIFS(COSECHAS!M:M,COSECHAS!A:A,'BASE 2026'!AW:AW,COSECHAS!G:G,"="&amp;A:A)</f>
        <v>31.72</v>
      </c>
      <c r="AE319" s="185">
        <f>IFERROR(TablaPrincipal[[#This Row],[LIBRAS PLANTA]]/TablaPrincipal[[#This Row],[HAS]],"-")</f>
        <v>4354.1526717557254</v>
      </c>
      <c r="AF319" s="185">
        <f>IFERROR(TablaPrincipal[[#This Row],[LIBRAS PLANTA]]*454/TablaPrincipal[[#This Row],[GRAMOS PLANTA]],"-")</f>
        <v>408194.94955863809</v>
      </c>
      <c r="AG319" s="185">
        <f>TablaPrincipal[[#This Row],[LIBRAS RALEO PLANTA]]+TablaPrincipal[[#This Row],[LIBRAS PLANTA]]</f>
        <v>48779.070000000007</v>
      </c>
      <c r="AH319" s="185">
        <f>IFERROR(TablaPrincipal[[#This Row],[CAM COSECHADOS RALEO]]+TablaPrincipal[[#This Row],[CAM COSECHADOS]],"-")</f>
        <v>821297.67236936395</v>
      </c>
      <c r="AI319" s="185">
        <f>IFERROR((TablaPrincipal[[#This Row],[LIBRAS RALEO PLANTA]]+TablaPrincipal[[#This Row],[LIBRAS PLANTA]])/TablaPrincipal[[#This Row],[HAS]],"0")</f>
        <v>7447.1862595419861</v>
      </c>
      <c r="AJ319" s="186">
        <f t="shared" si="4"/>
        <v>2.8836363636363633</v>
      </c>
      <c r="AK319" s="186">
        <f>IFERROR(TablaPrincipal[[#This Row],[LBS/HA]]/TablaPrincipal[[#This Row],[DIAS]],"-")</f>
        <v>96.716704669376441</v>
      </c>
      <c r="AL319" s="186">
        <f>IFERROR(TablaPrincipal[[#This Row],[CAM COSECHADOS TOTALES]]/TablaPrincipal[[#This Row],[ANIM SEMBRADOS]]*100,"-")</f>
        <v>71.650832922081918</v>
      </c>
      <c r="AM319" s="185">
        <v>68474.876000000004</v>
      </c>
      <c r="AN319" s="187">
        <f>IFERROR(((TablaPrincipal[[#This Row],[BALANCEADO ACUMULADO (LBS)]]/2.2046)/TablaPrincipal[[#This Row],[HAS]])/TablaPrincipal[[#This Row],[DIAS]],"-")</f>
        <v>61.584217309408153</v>
      </c>
      <c r="AO319" s="184">
        <f>IFERROR(TablaPrincipal[[#This Row],[BALANCEADO ACUMULADO (LBS)]]/TablaPrincipal[[#This Row],[LIBRAS TOTALES]],"-")</f>
        <v>1.4037757587424278</v>
      </c>
      <c r="AP319" s="184"/>
      <c r="AQ319" s="184"/>
      <c r="AR319" s="185">
        <f>TablaPrincipal[[#This Row],[LIBRAS RALEO PLANTA]]-TablaPrincipal[[#This Row],[LIBRAS RALEO CAMARONERA]]</f>
        <v>1309.3700000000026</v>
      </c>
      <c r="AS319" s="185">
        <f>TablaPrincipal[[#This Row],[LIBRAS PLANTA]]-TablaPrincipal[[#This Row],[LIBRAS CAMARONERA]]</f>
        <v>219.70000000000073</v>
      </c>
      <c r="AT319" s="187">
        <f>TablaPrincipal[[#This Row],[GRAMAJE RALEO PLANTA]]-TablaPrincipal[[#This Row],[GRAMAJE RALEO CAMARONERA]]</f>
        <v>0.83999999999999986</v>
      </c>
      <c r="AU319" s="187">
        <f>TablaPrincipal[[#This Row],[GRAMOS PLANTA]]-TablaPrincipal[[#This Row],[GRAMAJE CAMARONERA]]</f>
        <v>0.71999999999999886</v>
      </c>
      <c r="AV319" s="183" t="str">
        <f>+VLOOKUP(TablaPrincipal[[#This Row],[CODIGO]],TablaCosechas[#All],10,0)</f>
        <v>ALFONSO GRUNAUER</v>
      </c>
      <c r="AW319" s="183" t="s">
        <v>188</v>
      </c>
      <c r="AX319" s="241" t="str">
        <f>+VLOOKUP(TablaPrincipal[[#This Row],[CODIGO]],TablaCosechas[#All],10,0)</f>
        <v>ALFONSO GRUNAUER</v>
      </c>
    </row>
    <row r="320" spans="1:50" hidden="1" x14ac:dyDescent="0.25">
      <c r="A320" s="196">
        <v>46135</v>
      </c>
      <c r="B320" s="242">
        <f>ROW() - ROW(TablaPrincipal[[#Headers],[ID]])</f>
        <v>318</v>
      </c>
      <c r="C320" s="183">
        <f>YEAR(TablaPrincipal[[#This Row],[FECHA]])</f>
        <v>2026</v>
      </c>
      <c r="D320" s="183" t="s">
        <v>334</v>
      </c>
      <c r="E320" s="183" t="str">
        <f>UPPER(TEXT(TablaPrincipal[[#This Row],[FECHA]],"MMMM"))</f>
        <v>ABRIL</v>
      </c>
      <c r="F320" s="183" t="str">
        <f>IFERROR(VLOOKUP(TablaPrincipal[[#This Row],[CODIGO]],COSECHAS!A:J,9,0),"-")</f>
        <v>07</v>
      </c>
      <c r="G320" s="183" t="str">
        <f>IFERROR(VLOOKUP(TablaPrincipal[[#This Row],[CODIGO]],COSECHAS!A:I,8,0),"-")</f>
        <v>TIBURON</v>
      </c>
      <c r="H320" s="184">
        <f>IFERROR(VLOOKUP(TablaPrincipal[[#This Row],[CODIGO]],DATOS!A:B,2,0),"-")</f>
        <v>2.72</v>
      </c>
      <c r="I320" s="183" t="str">
        <f>IFERROR(VLOOKUP(TablaPrincipal[[#This Row],[CODIGO]],Tabla8[[#Headers],[#Data]],3,0),"-")</f>
        <v>ASC-BAP</v>
      </c>
      <c r="J320" s="183">
        <f>IFERROR(TablaPrincipal[[#This Row],[FECHA]]-TablaPrincipal[[#This Row],[FECHA DE SIEMBRA]],"-")</f>
        <v>99</v>
      </c>
      <c r="K320" s="196">
        <f>VLOOKUP(TablaPrincipal[[#This Row],[CODIGO]]&amp;TablaPrincipal[[#This Row],[AGUAJE ]],Tabla4[#All],4,0)</f>
        <v>46036</v>
      </c>
      <c r="L320" s="183" t="str">
        <f>VLOOKUP(TablaPrincipal[[#This Row],[CODIGO]]&amp;TablaPrincipal[[#This Row],[AGUAJE ]],Tabla4[#All],15,0)</f>
        <v>TI 34</v>
      </c>
      <c r="M320" s="184">
        <f>VLOOKUP(TablaPrincipal[[#This Row],[CODIGO]]&amp;TablaPrincipal[[#This Row],[AGUAJE ]],Tabla4[#All],14,0)</f>
        <v>0.55000000000000004</v>
      </c>
      <c r="N320" s="183">
        <v>7</v>
      </c>
      <c r="O320" s="170">
        <f>VLOOKUP(TablaPrincipal[[#This Row],[CODIGO]]&amp;TablaPrincipal[[#This Row],[AGUAJE ]],Tabla4[#All],5,0)</f>
        <v>489600</v>
      </c>
      <c r="P320" s="221">
        <f>IFERROR(TablaPrincipal[[#This Row],[ANIM SEMBRADOS]]/TablaPrincipal[[#This Row],[HAS]],"-")</f>
        <v>180000</v>
      </c>
      <c r="Q320" s="222">
        <f>IFERROR(TablaPrincipal[[#This Row],[DENSIDAD]]/10000,"-")</f>
        <v>18</v>
      </c>
      <c r="R320" s="183" t="str">
        <f>VLOOKUP(TablaPrincipal[[#This Row],[CODIGO]]&amp;TablaPrincipal[[#This Row],[AGUAJE ]],Tabla4[#All],8,0)</f>
        <v>TECSERV</v>
      </c>
      <c r="S320" s="183" t="str">
        <f>VLOOKUP(TablaPrincipal[[#This Row],[CODIGO]]&amp;TablaPrincipal[[#This Row],[AGUAJE ]],Tabla4[#All],7,0)</f>
        <v>EMPAGRAN</v>
      </c>
      <c r="T320" s="183" t="str">
        <f>IF(ISNUMBER(FIND("/",TablaPrincipal[[#This Row],[LABORATORIO]])),"COMBINADO","UNICO")</f>
        <v>UNICO</v>
      </c>
      <c r="U3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8100</v>
      </c>
      <c r="V32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9195.66</v>
      </c>
      <c r="W32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2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22.939999999999998</v>
      </c>
      <c r="Y320" s="185">
        <f>IFERROR(TablaPrincipal[[#This Row],[LIBRAS RALEO PLANTA]]/TablaPrincipal[[#This Row],[HAS]],"-")</f>
        <v>3380.7573529411761</v>
      </c>
      <c r="Z32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177250.99484624702</v>
      </c>
      <c r="AA3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B3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15481.12</v>
      </c>
      <c r="AC320" s="186">
        <f>SUMIFS(COSECHAS!F:F,COSECHAS!A:A,'BASE 2026'!AW:AW,COSECHAS!G:G,"="&amp;A:A)</f>
        <v>41</v>
      </c>
      <c r="AD320" s="186">
        <f>SUMIFS(COSECHAS!M:M,COSECHAS!A:A,'BASE 2026'!AW:AW,COSECHAS!G:G,"="&amp;A:A)</f>
        <v>40.1</v>
      </c>
      <c r="AE320" s="185">
        <f>IFERROR(TablaPrincipal[[#This Row],[LIBRAS PLANTA]]/TablaPrincipal[[#This Row],[HAS]],"-")</f>
        <v>5691.5882352941171</v>
      </c>
      <c r="AF320" s="185">
        <f>IFERROR(TablaPrincipal[[#This Row],[LIBRAS PLANTA]]*454/TablaPrincipal[[#This Row],[GRAMOS PLANTA]],"-")</f>
        <v>175272.53067331671</v>
      </c>
      <c r="AG320" s="185">
        <f>TablaPrincipal[[#This Row],[LIBRAS RALEO PLANTA]]+TablaPrincipal[[#This Row],[LIBRAS PLANTA]]</f>
        <v>24676.78</v>
      </c>
      <c r="AH320" s="185">
        <f>IFERROR(TablaPrincipal[[#This Row],[CAM COSECHADOS RALEO]]+TablaPrincipal[[#This Row],[CAM COSECHADOS]],"-")</f>
        <v>352523.5255195637</v>
      </c>
      <c r="AI320" s="185">
        <f>IFERROR((TablaPrincipal[[#This Row],[LIBRAS RALEO PLANTA]]+TablaPrincipal[[#This Row],[LIBRAS PLANTA]])/TablaPrincipal[[#This Row],[HAS]],"0")</f>
        <v>9072.3455882352937</v>
      </c>
      <c r="AJ320" s="186">
        <f t="shared" si="4"/>
        <v>2.8353535353535357</v>
      </c>
      <c r="AK320" s="186">
        <f>IFERROR(TablaPrincipal[[#This Row],[LBS/HA]]/TablaPrincipal[[#This Row],[DIAS]],"-")</f>
        <v>91.639854426619124</v>
      </c>
      <c r="AL320" s="186">
        <f>IFERROR(TablaPrincipal[[#This Row],[CAM COSECHADOS TOTALES]]/TablaPrincipal[[#This Row],[ANIM SEMBRADOS]]*100,"-")</f>
        <v>72.002354068538338</v>
      </c>
      <c r="AM320" s="185">
        <v>37037.279999999999</v>
      </c>
      <c r="AN320" s="187">
        <f>IFERROR(((TablaPrincipal[[#This Row],[BALANCEADO ACUMULADO (LBS)]]/2.2046)/TablaPrincipal[[#This Row],[HAS]])/TablaPrincipal[[#This Row],[DIAS]],"-")</f>
        <v>62.388591800356501</v>
      </c>
      <c r="AO320" s="184">
        <f>IFERROR(TablaPrincipal[[#This Row],[BALANCEADO ACUMULADO (LBS)]]/TablaPrincipal[[#This Row],[LIBRAS TOTALES]],"-")</f>
        <v>1.5008959839979121</v>
      </c>
      <c r="AP320" s="184"/>
      <c r="AQ320" s="184"/>
      <c r="AR320" s="185">
        <f>TablaPrincipal[[#This Row],[LIBRAS RALEO PLANTA]]-TablaPrincipal[[#This Row],[LIBRAS RALEO CAMARONERA]]</f>
        <v>1095.6599999999999</v>
      </c>
      <c r="AS320" s="185">
        <f>TablaPrincipal[[#This Row],[LIBRAS PLANTA]]-TablaPrincipal[[#This Row],[LIBRAS CAMARONERA]]</f>
        <v>981.1200000000008</v>
      </c>
      <c r="AT320" s="187">
        <f>TablaPrincipal[[#This Row],[GRAMAJE RALEO PLANTA]]-TablaPrincipal[[#This Row],[GRAMAJE RALEO CAMARONERA]]</f>
        <v>0.93999999999999773</v>
      </c>
      <c r="AU320" s="187">
        <f>TablaPrincipal[[#This Row],[GRAMOS PLANTA]]-TablaPrincipal[[#This Row],[GRAMAJE CAMARONERA]]</f>
        <v>-0.89999999999999858</v>
      </c>
      <c r="AV320" s="183" t="str">
        <f>+VLOOKUP(TablaPrincipal[[#This Row],[CODIGO]],TablaCosechas[#All],10,0)</f>
        <v>ALFONSO GRUNAUER</v>
      </c>
      <c r="AW320" s="183" t="s">
        <v>122</v>
      </c>
      <c r="AX320" s="241" t="str">
        <f>+VLOOKUP(TablaPrincipal[[#This Row],[CODIGO]],TablaCosechas[#All],10,0)</f>
        <v>ALFONSO GRUNAUER</v>
      </c>
    </row>
    <row r="321" spans="1:50" hidden="1" x14ac:dyDescent="0.25">
      <c r="A321" s="196">
        <v>46135</v>
      </c>
      <c r="B321" s="242">
        <f>ROW() - ROW(TablaPrincipal[[#Headers],[ID]])</f>
        <v>319</v>
      </c>
      <c r="C321" s="183">
        <f>YEAR(TablaPrincipal[[#This Row],[FECHA]])</f>
        <v>2026</v>
      </c>
      <c r="D321" s="183" t="s">
        <v>334</v>
      </c>
      <c r="E321" s="183" t="str">
        <f>UPPER(TEXT(TablaPrincipal[[#This Row],[FECHA]],"MMMM"))</f>
        <v>ABRIL</v>
      </c>
      <c r="F321" s="183" t="str">
        <f>IFERROR(VLOOKUP(TablaPrincipal[[#This Row],[CODIGO]],COSECHAS!A:J,9,0),"-")</f>
        <v>13</v>
      </c>
      <c r="G321" s="183" t="str">
        <f>IFERROR(VLOOKUP(TablaPrincipal[[#This Row],[CODIGO]],COSECHAS!A:I,8,0),"-")</f>
        <v>TAMBULERO</v>
      </c>
      <c r="H321" s="184">
        <f>IFERROR(VLOOKUP(TablaPrincipal[[#This Row],[CODIGO]],DATOS!A:B,2,0),"-")</f>
        <v>4.0999999999999996</v>
      </c>
      <c r="I321" s="183" t="str">
        <f>IFERROR(VLOOKUP(TablaPrincipal[[#This Row],[CODIGO]],Tabla8[[#Headers],[#Data]],3,0),"-")</f>
        <v>ASC-BAP</v>
      </c>
      <c r="J321" s="183">
        <f>IFERROR(TablaPrincipal[[#This Row],[FECHA]]-TablaPrincipal[[#This Row],[FECHA DE SIEMBRA]],"-")</f>
        <v>79</v>
      </c>
      <c r="K321" s="196">
        <f>VLOOKUP(TablaPrincipal[[#This Row],[CODIGO]]&amp;TablaPrincipal[[#This Row],[AGUAJE ]],Tabla4[#All],4,0)</f>
        <v>46056</v>
      </c>
      <c r="L321" s="183" t="str">
        <f>VLOOKUP(TablaPrincipal[[#This Row],[CODIGO]]&amp;TablaPrincipal[[#This Row],[AGUAJE ]],Tabla4[#All],15,0)</f>
        <v>TA 4</v>
      </c>
      <c r="M321" s="184">
        <f>VLOOKUP(TablaPrincipal[[#This Row],[CODIGO]]&amp;TablaPrincipal[[#This Row],[AGUAJE ]],Tabla4[#All],14,0)</f>
        <v>0.33</v>
      </c>
      <c r="N321" s="183">
        <v>13</v>
      </c>
      <c r="O321" s="170">
        <f>VLOOKUP(TablaPrincipal[[#This Row],[CODIGO]]&amp;TablaPrincipal[[#This Row],[AGUAJE ]],Tabla4[#All],5,0)</f>
        <v>672000</v>
      </c>
      <c r="P321" s="221">
        <f>IFERROR(TablaPrincipal[[#This Row],[ANIM SEMBRADOS]]/TablaPrincipal[[#This Row],[HAS]],"-")</f>
        <v>163902.43902439025</v>
      </c>
      <c r="Q321" s="222">
        <f>IFERROR(TablaPrincipal[[#This Row],[DENSIDAD]]/10000,"-")</f>
        <v>16.390243902439025</v>
      </c>
      <c r="R321" s="183" t="str">
        <f>VLOOKUP(TablaPrincipal[[#This Row],[CODIGO]]&amp;TablaPrincipal[[#This Row],[AGUAJE ]],Tabla4[#All],8,0)</f>
        <v>ACUATECSA</v>
      </c>
      <c r="S321" s="183" t="str">
        <f>VLOOKUP(TablaPrincipal[[#This Row],[CODIGO]]&amp;TablaPrincipal[[#This Row],[AGUAJE ]],Tabla4[#All],7,0)</f>
        <v>TEXCUMAR</v>
      </c>
      <c r="T321" s="183" t="str">
        <f>IF(ISNUMBER(FIND("/",TablaPrincipal[[#This Row],[LABORATORIO]])),"COMBINADO","UNICO")</f>
        <v>UNICO</v>
      </c>
      <c r="U3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20450</v>
      </c>
      <c r="V32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22771.200000000001</v>
      </c>
      <c r="W32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26.833333333333332</v>
      </c>
      <c r="X32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28.073333333333334</v>
      </c>
      <c r="Y321" s="185">
        <f>IFERROR(TablaPrincipal[[#This Row],[LIBRAS RALEO PLANTA]]/TablaPrincipal[[#This Row],[HAS]],"-")</f>
        <v>5553.9512195121961</v>
      </c>
      <c r="Z32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368813.61381345795</v>
      </c>
      <c r="AA3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1900</v>
      </c>
      <c r="AB3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2034.71</v>
      </c>
      <c r="AC321" s="186">
        <f>SUMIFS(COSECHAS!F:F,COSECHAS!A:A,'BASE 2026'!AW:AW,COSECHAS!G:G,"="&amp;A:A)</f>
        <v>33</v>
      </c>
      <c r="AD321" s="186">
        <f>SUMIFS(COSECHAS!M:M,COSECHAS!A:A,'BASE 2026'!AW:AW,COSECHAS!G:G,"="&amp;A:A)</f>
        <v>32.700000000000003</v>
      </c>
      <c r="AE321" s="185">
        <f>IFERROR(TablaPrincipal[[#This Row],[LIBRAS PLANTA]]/TablaPrincipal[[#This Row],[HAS]],"-")</f>
        <v>496.27073170731711</v>
      </c>
      <c r="AF321" s="185">
        <f>IFERROR(TablaPrincipal[[#This Row],[LIBRAS PLANTA]]*454/TablaPrincipal[[#This Row],[GRAMOS PLANTA]],"-")</f>
        <v>28249.490519877672</v>
      </c>
      <c r="AG321" s="185">
        <f>TablaPrincipal[[#This Row],[LIBRAS RALEO PLANTA]]+TablaPrincipal[[#This Row],[LIBRAS PLANTA]]</f>
        <v>24805.91</v>
      </c>
      <c r="AH321" s="185">
        <f>IFERROR(TablaPrincipal[[#This Row],[CAM COSECHADOS RALEO]]+TablaPrincipal[[#This Row],[CAM COSECHADOS]],"-")</f>
        <v>397063.10433333565</v>
      </c>
      <c r="AI321" s="185">
        <f>IFERROR((TablaPrincipal[[#This Row],[LIBRAS RALEO PLANTA]]+TablaPrincipal[[#This Row],[LIBRAS PLANTA]])/TablaPrincipal[[#This Row],[HAS]],"0")</f>
        <v>6050.2219512195124</v>
      </c>
      <c r="AJ321" s="186">
        <f t="shared" si="4"/>
        <v>2.8974683544303796</v>
      </c>
      <c r="AK321" s="186">
        <f>IFERROR(TablaPrincipal[[#This Row],[LBS/HA]]/TablaPrincipal[[#This Row],[DIAS]],"-")</f>
        <v>76.585087990120414</v>
      </c>
      <c r="AL321" s="186">
        <f>IFERROR(TablaPrincipal[[#This Row],[CAM COSECHADOS TOTALES]]/TablaPrincipal[[#This Row],[ANIM SEMBRADOS]]*100,"-")</f>
        <v>59.086771478174946</v>
      </c>
      <c r="AM321" s="185">
        <v>39627.685000000005</v>
      </c>
      <c r="AN321" s="187">
        <f>IFERROR(((TablaPrincipal[[#This Row],[BALANCEADO ACUMULADO (LBS)]]/2.2046)/TablaPrincipal[[#This Row],[HAS]])/TablaPrincipal[[#This Row],[DIAS]],"-")</f>
        <v>55.495523309663483</v>
      </c>
      <c r="AO321" s="184">
        <f>IFERROR(TablaPrincipal[[#This Row],[BALANCEADO ACUMULADO (LBS)]]/TablaPrincipal[[#This Row],[LIBRAS TOTALES]],"-")</f>
        <v>1.5975098272951891</v>
      </c>
      <c r="AP321" s="184"/>
      <c r="AQ321" s="184"/>
      <c r="AR321" s="185">
        <f>TablaPrincipal[[#This Row],[LIBRAS RALEO PLANTA]]-TablaPrincipal[[#This Row],[LIBRAS RALEO CAMARONERA]]</f>
        <v>2321.2000000000007</v>
      </c>
      <c r="AS321" s="185">
        <f>TablaPrincipal[[#This Row],[LIBRAS PLANTA]]-TablaPrincipal[[#This Row],[LIBRAS CAMARONERA]]</f>
        <v>134.71000000000004</v>
      </c>
      <c r="AT321" s="187">
        <f>TablaPrincipal[[#This Row],[GRAMAJE RALEO PLANTA]]-TablaPrincipal[[#This Row],[GRAMAJE RALEO CAMARONERA]]</f>
        <v>1.240000000000002</v>
      </c>
      <c r="AU321" s="187">
        <f>TablaPrincipal[[#This Row],[GRAMOS PLANTA]]-TablaPrincipal[[#This Row],[GRAMAJE CAMARONERA]]</f>
        <v>-0.29999999999999716</v>
      </c>
      <c r="AV321" s="183" t="str">
        <f>+VLOOKUP(TablaPrincipal[[#This Row],[CODIGO]],TablaCosechas[#All],10,0)</f>
        <v>ALFONSO GRUNAUER</v>
      </c>
      <c r="AW321" s="183" t="s">
        <v>171</v>
      </c>
      <c r="AX321" s="241" t="str">
        <f>+VLOOKUP(TablaPrincipal[[#This Row],[CODIGO]],TablaCosechas[#All],10,0)</f>
        <v>ALFONSO GRUNAUER</v>
      </c>
    </row>
    <row r="322" spans="1:50" hidden="1" x14ac:dyDescent="0.25">
      <c r="A322" s="196">
        <v>46135</v>
      </c>
      <c r="B322" s="242">
        <f>ROW() - ROW(TablaPrincipal[[#Headers],[ID]])</f>
        <v>320</v>
      </c>
      <c r="C322" s="183">
        <f>YEAR(TablaPrincipal[[#This Row],[FECHA]])</f>
        <v>2026</v>
      </c>
      <c r="D322" s="183" t="s">
        <v>334</v>
      </c>
      <c r="E322" s="183" t="str">
        <f>UPPER(TEXT(TablaPrincipal[[#This Row],[FECHA]],"MMMM"))</f>
        <v>ABRIL</v>
      </c>
      <c r="F322" s="183" t="str">
        <f>IFERROR(VLOOKUP(TablaPrincipal[[#This Row],[CODIGO]],COSECHAS!A:J,9,0),"-")</f>
        <v>16</v>
      </c>
      <c r="G322" s="183" t="str">
        <f>IFERROR(VLOOKUP(TablaPrincipal[[#This Row],[CODIGO]],COSECHAS!A:I,8,0),"-")</f>
        <v>CHERNA</v>
      </c>
      <c r="H322" s="184">
        <f>IFERROR(VLOOKUP(TablaPrincipal[[#This Row],[CODIGO]],DATOS!A:B,2,0),"-")</f>
        <v>7</v>
      </c>
      <c r="I322" s="183" t="str">
        <f>IFERROR(VLOOKUP(TablaPrincipal[[#This Row],[CODIGO]],Tabla8[[#Headers],[#Data]],3,0),"-")</f>
        <v>ASC</v>
      </c>
      <c r="J322" s="183">
        <f>IFERROR(TablaPrincipal[[#This Row],[FECHA]]-TablaPrincipal[[#This Row],[FECHA DE SIEMBRA]],"-")</f>
        <v>83</v>
      </c>
      <c r="K322" s="196">
        <f>VLOOKUP(TablaPrincipal[[#This Row],[CODIGO]]&amp;TablaPrincipal[[#This Row],[AGUAJE ]],Tabla4[#All],4,0)</f>
        <v>46052</v>
      </c>
      <c r="L322" s="183" t="str">
        <f>VLOOKUP(TablaPrincipal[[#This Row],[CODIGO]]&amp;TablaPrincipal[[#This Row],[AGUAJE ]],Tabla4[#All],15,0)</f>
        <v>CH PC 6</v>
      </c>
      <c r="M322" s="184">
        <f>VLOOKUP(TablaPrincipal[[#This Row],[CODIGO]]&amp;TablaPrincipal[[#This Row],[AGUAJE ]],Tabla4[#All],14,0)</f>
        <v>0.7</v>
      </c>
      <c r="N322" s="183">
        <v>6</v>
      </c>
      <c r="O322" s="170">
        <f>VLOOKUP(TablaPrincipal[[#This Row],[CODIGO]]&amp;TablaPrincipal[[#This Row],[AGUAJE ]],Tabla4[#All],5,0)</f>
        <v>1260000</v>
      </c>
      <c r="P322" s="221">
        <f>IFERROR(TablaPrincipal[[#This Row],[ANIM SEMBRADOS]]/TablaPrincipal[[#This Row],[HAS]],"-")</f>
        <v>180000</v>
      </c>
      <c r="Q322" s="222">
        <f>IFERROR(TablaPrincipal[[#This Row],[DENSIDAD]]/10000,"-")</f>
        <v>18</v>
      </c>
      <c r="R322" s="183" t="str">
        <f>VLOOKUP(TablaPrincipal[[#This Row],[CODIGO]]&amp;TablaPrincipal[[#This Row],[AGUAJE ]],Tabla4[#All],8,0)</f>
        <v>NEMEN</v>
      </c>
      <c r="S322" s="183" t="str">
        <f>VLOOKUP(TablaPrincipal[[#This Row],[CODIGO]]&amp;TablaPrincipal[[#This Row],[AGUAJE ]],Tabla4[#All],7,0)</f>
        <v>TEXCUMAR</v>
      </c>
      <c r="T322" s="183" t="str">
        <f>IF(ISNUMBER(FIND("/",TablaPrincipal[[#This Row],[LABORATORIO]])),"COMBINADO","UNICO")</f>
        <v>UNICO</v>
      </c>
      <c r="U3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16150</v>
      </c>
      <c r="V32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17471.3</v>
      </c>
      <c r="W32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2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19.439999999999998</v>
      </c>
      <c r="Y322" s="185">
        <f>IFERROR(TablaPrincipal[[#This Row],[LIBRAS RALEO PLANTA]]/TablaPrincipal[[#This Row],[HAS]],"-")</f>
        <v>2495.9</v>
      </c>
      <c r="Z32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414136.63798018813</v>
      </c>
      <c r="AA3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31800</v>
      </c>
      <c r="AB3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34837.29</v>
      </c>
      <c r="AC322" s="186">
        <f>SUMIFS(COSECHAS!F:F,COSECHAS!A:A,'BASE 2026'!AW:AW,COSECHAS!G:G,"="&amp;A:A)</f>
        <v>31</v>
      </c>
      <c r="AD322" s="186">
        <f>SUMIFS(COSECHAS!M:M,COSECHAS!A:A,'BASE 2026'!AW:AW,COSECHAS!G:G,"="&amp;A:A)</f>
        <v>30.38</v>
      </c>
      <c r="AE322" s="185">
        <f>IFERROR(TablaPrincipal[[#This Row],[LIBRAS PLANTA]]/TablaPrincipal[[#This Row],[HAS]],"-")</f>
        <v>4976.755714285714</v>
      </c>
      <c r="AF322" s="185">
        <f>IFERROR(TablaPrincipal[[#This Row],[LIBRAS PLANTA]]*454/TablaPrincipal[[#This Row],[GRAMOS PLANTA]],"-")</f>
        <v>520609.92955892038</v>
      </c>
      <c r="AG322" s="185">
        <f>TablaPrincipal[[#This Row],[LIBRAS RALEO PLANTA]]+TablaPrincipal[[#This Row],[LIBRAS PLANTA]]</f>
        <v>52308.59</v>
      </c>
      <c r="AH322" s="185">
        <f>IFERROR(TablaPrincipal[[#This Row],[CAM COSECHADOS RALEO]]+TablaPrincipal[[#This Row],[CAM COSECHADOS]],"-")</f>
        <v>934746.56753910845</v>
      </c>
      <c r="AI322" s="185">
        <f>IFERROR((TablaPrincipal[[#This Row],[LIBRAS RALEO PLANTA]]+TablaPrincipal[[#This Row],[LIBRAS PLANTA]])/TablaPrincipal[[#This Row],[HAS]],"0")</f>
        <v>7472.6557142857137</v>
      </c>
      <c r="AJ322" s="186">
        <f t="shared" ref="AJ322:AJ337" si="5">IFERROR(AD322/(J322/7),"-")</f>
        <v>2.5621686746987948</v>
      </c>
      <c r="AK322" s="186">
        <f>IFERROR(TablaPrincipal[[#This Row],[LBS/HA]]/TablaPrincipal[[#This Row],[DIAS]],"-")</f>
        <v>90.031996557659198</v>
      </c>
      <c r="AL322" s="186">
        <f>IFERROR(TablaPrincipal[[#This Row],[CAM COSECHADOS TOTALES]]/TablaPrincipal[[#This Row],[ANIM SEMBRADOS]]*100,"-")</f>
        <v>74.186235518976858</v>
      </c>
      <c r="AM322" s="185">
        <v>81239.510000000009</v>
      </c>
      <c r="AN322" s="187">
        <f>IFERROR(((TablaPrincipal[[#This Row],[BALANCEADO ACUMULADO (LBS)]]/2.2046)/TablaPrincipal[[#This Row],[HAS]])/TablaPrincipal[[#This Row],[DIAS]],"-")</f>
        <v>63.425129087779695</v>
      </c>
      <c r="AO322" s="184">
        <f>IFERROR(TablaPrincipal[[#This Row],[BALANCEADO ACUMULADO (LBS)]]/TablaPrincipal[[#This Row],[LIBRAS TOTALES]],"-")</f>
        <v>1.5530816257903342</v>
      </c>
      <c r="AP322" s="184"/>
      <c r="AQ322" s="184"/>
      <c r="AR322" s="185">
        <f>TablaPrincipal[[#This Row],[LIBRAS RALEO PLANTA]]-TablaPrincipal[[#This Row],[LIBRAS RALEO CAMARONERA]]</f>
        <v>1321.2999999999993</v>
      </c>
      <c r="AS322" s="185">
        <f>TablaPrincipal[[#This Row],[LIBRAS PLANTA]]-TablaPrincipal[[#This Row],[LIBRAS CAMARONERA]]</f>
        <v>3037.2900000000009</v>
      </c>
      <c r="AT322" s="187">
        <f>TablaPrincipal[[#This Row],[GRAMAJE RALEO PLANTA]]-TablaPrincipal[[#This Row],[GRAMAJE RALEO CAMARONERA]]</f>
        <v>-1.5600000000000023</v>
      </c>
      <c r="AU322" s="187">
        <f>TablaPrincipal[[#This Row],[GRAMOS PLANTA]]-TablaPrincipal[[#This Row],[GRAMAJE CAMARONERA]]</f>
        <v>-0.62000000000000099</v>
      </c>
      <c r="AV322" s="183" t="str">
        <f>+VLOOKUP(TablaPrincipal[[#This Row],[CODIGO]],TablaCosechas[#All],10,0)</f>
        <v>SANTIAGO OBRIEN</v>
      </c>
      <c r="AW322" s="183" t="s">
        <v>22</v>
      </c>
      <c r="AX322" s="241" t="str">
        <f>+VLOOKUP(TablaPrincipal[[#This Row],[CODIGO]],TablaCosechas[#All],10,0)</f>
        <v>SANTIAGO OBRIEN</v>
      </c>
    </row>
    <row r="323" spans="1:50" hidden="1" x14ac:dyDescent="0.25">
      <c r="A323" s="196">
        <v>46135</v>
      </c>
      <c r="B323" s="242">
        <f>ROW() - ROW(TablaPrincipal[[#Headers],[ID]])</f>
        <v>321</v>
      </c>
      <c r="C323" s="183">
        <f>YEAR(TablaPrincipal[[#This Row],[FECHA]])</f>
        <v>2026</v>
      </c>
      <c r="D323" s="183" t="s">
        <v>334</v>
      </c>
      <c r="E323" s="183" t="str">
        <f>UPPER(TEXT(TablaPrincipal[[#This Row],[FECHA]],"MMMM"))</f>
        <v>ABRIL</v>
      </c>
      <c r="F323" s="183" t="str">
        <f>IFERROR(VLOOKUP(TablaPrincipal[[#This Row],[CODIGO]],COSECHAS!A:J,9,0),"-")</f>
        <v>20</v>
      </c>
      <c r="G323" s="183" t="str">
        <f>IFERROR(VLOOKUP(TablaPrincipal[[#This Row],[CODIGO]],COSECHAS!A:I,8,0),"-")</f>
        <v>DORADO</v>
      </c>
      <c r="H323" s="184">
        <f>IFERROR(VLOOKUP(TablaPrincipal[[#This Row],[CODIGO]],DATOS!A:B,2,0),"-")</f>
        <v>9.18</v>
      </c>
      <c r="I323" s="183" t="str">
        <f>IFERROR(VLOOKUP(TablaPrincipal[[#This Row],[CODIGO]],Tabla8[[#Headers],[#Data]],3,0),"-")</f>
        <v>ASC-BAP</v>
      </c>
      <c r="J323" s="183">
        <f>IFERROR(TablaPrincipal[[#This Row],[FECHA]]-TablaPrincipal[[#This Row],[FECHA DE SIEMBRA]],"-")</f>
        <v>95</v>
      </c>
      <c r="K323" s="196">
        <f>VLOOKUP(TablaPrincipal[[#This Row],[CODIGO]]&amp;TablaPrincipal[[#This Row],[AGUAJE ]],Tabla4[#All],4,0)</f>
        <v>46040</v>
      </c>
      <c r="L323" s="183" t="str">
        <f>VLOOKUP(TablaPrincipal[[#This Row],[CODIGO]]&amp;TablaPrincipal[[#This Row],[AGUAJE ]],Tabla4[#All],15,0)</f>
        <v>DO 03</v>
      </c>
      <c r="M323" s="184">
        <f>VLOOKUP(TablaPrincipal[[#This Row],[CODIGO]]&amp;TablaPrincipal[[#This Row],[AGUAJE ]],Tabla4[#All],14,0)</f>
        <v>0.77</v>
      </c>
      <c r="N323" s="183">
        <v>7</v>
      </c>
      <c r="O323" s="170">
        <f>VLOOKUP(TablaPrincipal[[#This Row],[CODIGO]]&amp;TablaPrincipal[[#This Row],[AGUAJE ]],Tabla4[#All],5,0)</f>
        <v>1572073</v>
      </c>
      <c r="P323" s="221">
        <f>IFERROR(TablaPrincipal[[#This Row],[ANIM SEMBRADOS]]/TablaPrincipal[[#This Row],[HAS]],"-")</f>
        <v>171249.78213507627</v>
      </c>
      <c r="Q323" s="222">
        <f>IFERROR(TablaPrincipal[[#This Row],[DENSIDAD]]/10000,"-")</f>
        <v>17.124978213507628</v>
      </c>
      <c r="R323" s="183" t="str">
        <f>VLOOKUP(TablaPrincipal[[#This Row],[CODIGO]]&amp;TablaPrincipal[[#This Row],[AGUAJE ]],Tabla4[#All],8,0)</f>
        <v>EMPAGRAN</v>
      </c>
      <c r="S323" s="183" t="str">
        <f>VLOOKUP(TablaPrincipal[[#This Row],[CODIGO]]&amp;TablaPrincipal[[#This Row],[AGUAJE ]],Tabla4[#All],7,0)</f>
        <v>EMPAGRAN</v>
      </c>
      <c r="T323" s="183" t="str">
        <f>IF(ISNUMBER(FIND("/",TablaPrincipal[[#This Row],[LABORATORIO]])),"COMBINADO","UNICO")</f>
        <v>UNICO</v>
      </c>
      <c r="U3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56100</v>
      </c>
      <c r="V32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54614.8</v>
      </c>
      <c r="W32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28.666666666666668</v>
      </c>
      <c r="X32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29.600000000000005</v>
      </c>
      <c r="Y323" s="185">
        <f>IFERROR(TablaPrincipal[[#This Row],[LIBRAS RALEO PLANTA]]/TablaPrincipal[[#This Row],[HAS]],"-")</f>
        <v>5949.3246187363839</v>
      </c>
      <c r="Z32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829415.2747249417</v>
      </c>
      <c r="AA3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21750</v>
      </c>
      <c r="AB3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22553.439999999999</v>
      </c>
      <c r="AC323" s="186">
        <f>SUMIFS(COSECHAS!F:F,COSECHAS!A:A,'BASE 2026'!AW:AW,COSECHAS!G:G,"="&amp;A:A)</f>
        <v>38</v>
      </c>
      <c r="AD323" s="186">
        <f>SUMIFS(COSECHAS!M:M,COSECHAS!A:A,'BASE 2026'!AW:AW,COSECHAS!G:G,"="&amp;A:A)</f>
        <v>37.04</v>
      </c>
      <c r="AE323" s="185">
        <f>IFERROR(TablaPrincipal[[#This Row],[LIBRAS PLANTA]]/TablaPrincipal[[#This Row],[HAS]],"-")</f>
        <v>2456.8017429193901</v>
      </c>
      <c r="AF323" s="185">
        <f>IFERROR(TablaPrincipal[[#This Row],[LIBRAS PLANTA]]*454/TablaPrincipal[[#This Row],[GRAMOS PLANTA]],"-")</f>
        <v>276437.95248380129</v>
      </c>
      <c r="AG323" s="185">
        <f>TablaPrincipal[[#This Row],[LIBRAS RALEO PLANTA]]+TablaPrincipal[[#This Row],[LIBRAS PLANTA]]</f>
        <v>77168.240000000005</v>
      </c>
      <c r="AH323" s="185">
        <f>IFERROR(TablaPrincipal[[#This Row],[CAM COSECHADOS RALEO]]+TablaPrincipal[[#This Row],[CAM COSECHADOS]],"-")</f>
        <v>1105853.2272087429</v>
      </c>
      <c r="AI323" s="185">
        <f>IFERROR((TablaPrincipal[[#This Row],[LIBRAS RALEO PLANTA]]+TablaPrincipal[[#This Row],[LIBRAS PLANTA]])/TablaPrincipal[[#This Row],[HAS]],"0")</f>
        <v>8406.1263616557735</v>
      </c>
      <c r="AJ323" s="186">
        <f t="shared" si="5"/>
        <v>2.7292631578947368</v>
      </c>
      <c r="AK323" s="186">
        <f>IFERROR(TablaPrincipal[[#This Row],[LBS/HA]]/TablaPrincipal[[#This Row],[DIAS]],"-")</f>
        <v>88.485540649008144</v>
      </c>
      <c r="AL323" s="186">
        <f>IFERROR(TablaPrincipal[[#This Row],[CAM COSECHADOS TOTALES]]/TablaPrincipal[[#This Row],[ANIM SEMBRADOS]]*100,"-")</f>
        <v>70.343630811593542</v>
      </c>
      <c r="AM323" s="185">
        <v>121032.54000000001</v>
      </c>
      <c r="AN323" s="187">
        <f>IFERROR(((TablaPrincipal[[#This Row],[BALANCEADO ACUMULADO (LBS)]]/2.2046)/TablaPrincipal[[#This Row],[HAS]])/TablaPrincipal[[#This Row],[DIAS]],"-")</f>
        <v>62.9514963880289</v>
      </c>
      <c r="AO323" s="184">
        <f>IFERROR(TablaPrincipal[[#This Row],[BALANCEADO ACUMULADO (LBS)]]/TablaPrincipal[[#This Row],[LIBRAS TOTALES]],"-")</f>
        <v>1.5684242636608015</v>
      </c>
      <c r="AP323" s="184"/>
      <c r="AQ323" s="184"/>
      <c r="AR323" s="185">
        <f>TablaPrincipal[[#This Row],[LIBRAS RALEO PLANTA]]-TablaPrincipal[[#This Row],[LIBRAS RALEO CAMARONERA]]</f>
        <v>-1485.1999999999971</v>
      </c>
      <c r="AS323" s="185">
        <f>TablaPrincipal[[#This Row],[LIBRAS PLANTA]]-TablaPrincipal[[#This Row],[LIBRAS CAMARONERA]]</f>
        <v>803.43999999999869</v>
      </c>
      <c r="AT323" s="187">
        <f>TablaPrincipal[[#This Row],[GRAMAJE RALEO PLANTA]]-TablaPrincipal[[#This Row],[GRAMAJE RALEO CAMARONERA]]</f>
        <v>0.93333333333333712</v>
      </c>
      <c r="AU323" s="187">
        <f>TablaPrincipal[[#This Row],[GRAMOS PLANTA]]-TablaPrincipal[[#This Row],[GRAMAJE CAMARONERA]]</f>
        <v>-0.96000000000000085</v>
      </c>
      <c r="AV323" s="183" t="str">
        <f>+VLOOKUP(TablaPrincipal[[#This Row],[CODIGO]],TablaCosechas[#All],10,0)</f>
        <v>JOSE CEDEÑO</v>
      </c>
      <c r="AW323" s="183" t="s">
        <v>137</v>
      </c>
      <c r="AX323" s="241" t="str">
        <f>+VLOOKUP(TablaPrincipal[[#This Row],[CODIGO]],TablaCosechas[#All],10,0)</f>
        <v>JOSE CEDEÑO</v>
      </c>
    </row>
    <row r="324" spans="1:50" hidden="1" x14ac:dyDescent="0.25">
      <c r="A324" s="196">
        <v>46135</v>
      </c>
      <c r="B324" s="242">
        <v>322</v>
      </c>
      <c r="C324" s="183">
        <f>YEAR(TablaPrincipal[[#This Row],[FECHA]])</f>
        <v>2026</v>
      </c>
      <c r="D324" s="183" t="s">
        <v>334</v>
      </c>
      <c r="E324" s="183" t="str">
        <f>UPPER(TEXT(TablaPrincipal[[#This Row],[FECHA]],"MMMM"))</f>
        <v>ABRIL</v>
      </c>
      <c r="F324" s="183" t="str">
        <f>IFERROR(VLOOKUP(TablaPrincipal[[#This Row],[CODIGO]],COSECHAS!A:J,9,0),"-")</f>
        <v>08</v>
      </c>
      <c r="G324" s="183" t="str">
        <f>IFERROR(VLOOKUP(TablaPrincipal[[#This Row],[CODIGO]],COSECHAS!A:I,8,0),"-")</f>
        <v>DORADO</v>
      </c>
      <c r="H324" s="184">
        <f>IFERROR(VLOOKUP(TablaPrincipal[[#This Row],[CODIGO]],DATOS!A:B,2,0),"-")</f>
        <v>7.95</v>
      </c>
      <c r="I324" s="183" t="str">
        <f>IFERROR(VLOOKUP(TablaPrincipal[[#This Row],[CODIGO]],Tabla8[[#Headers],[#Data]],3,0),"-")</f>
        <v>ASC-BAP</v>
      </c>
      <c r="J324" s="183">
        <f>IFERROR(TablaPrincipal[[#This Row],[FECHA]]-TablaPrincipal[[#This Row],[FECHA DE SIEMBRA]],"-")</f>
        <v>91</v>
      </c>
      <c r="K324" s="196">
        <f>VLOOKUP(TablaPrincipal[[#This Row],[CODIGO]]&amp;TablaPrincipal[[#This Row],[AGUAJE ]],Tabla4[#All],4,0)</f>
        <v>46044</v>
      </c>
      <c r="L324" s="183" t="str">
        <f>VLOOKUP(TablaPrincipal[[#This Row],[CODIGO]]&amp;TablaPrincipal[[#This Row],[AGUAJE ]],Tabla4[#All],15,0)</f>
        <v>DO PC 02</v>
      </c>
      <c r="M324" s="184">
        <f>VLOOKUP(TablaPrincipal[[#This Row],[CODIGO]]&amp;TablaPrincipal[[#This Row],[AGUAJE ]],Tabla4[#All],14,0)</f>
        <v>1.1499999999999999</v>
      </c>
      <c r="N324" s="183">
        <v>8</v>
      </c>
      <c r="O324" s="170">
        <f>VLOOKUP(TablaPrincipal[[#This Row],[CODIGO]]&amp;TablaPrincipal[[#This Row],[AGUAJE ]],Tabla4[#All],5,0)</f>
        <v>1321409</v>
      </c>
      <c r="P324" s="221">
        <f>IFERROR(TablaPrincipal[[#This Row],[ANIM SEMBRADOS]]/TablaPrincipal[[#This Row],[HAS]],"-")</f>
        <v>166214.96855345913</v>
      </c>
      <c r="Q324" s="222">
        <f>IFERROR(TablaPrincipal[[#This Row],[DENSIDAD]]/10000,"-")</f>
        <v>16.621496855345914</v>
      </c>
      <c r="R324" s="183" t="str">
        <f>VLOOKUP(TablaPrincipal[[#This Row],[CODIGO]]&amp;TablaPrincipal[[#This Row],[AGUAJE ]],Tabla4[#All],8,0)</f>
        <v>GABSO</v>
      </c>
      <c r="S324" s="183" t="str">
        <f>VLOOKUP(TablaPrincipal[[#This Row],[CODIGO]]&amp;TablaPrincipal[[#This Row],[AGUAJE ]],Tabla4[#All],7,0)</f>
        <v>TEXCUMAR</v>
      </c>
      <c r="T324" s="183" t="str">
        <f>IF(ISNUMBER(FIND("/",TablaPrincipal[[#This Row],[LABORATORIO]])),"COMBINADO","UNICO")</f>
        <v>UNICO</v>
      </c>
      <c r="U3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33400</v>
      </c>
      <c r="V32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35948.29</v>
      </c>
      <c r="W32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2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31.106666666666666</v>
      </c>
      <c r="Y324" s="185">
        <f>IFERROR(TablaPrincipal[[#This Row],[LIBRAS RALEO PLANTA]]/TablaPrincipal[[#This Row],[HAS]],"-")</f>
        <v>4521.7974842767298</v>
      </c>
      <c r="Z32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541289.33755121753</v>
      </c>
      <c r="AA3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28000</v>
      </c>
      <c r="AB3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28801.43</v>
      </c>
      <c r="AC324" s="186">
        <f>SUMIFS(COSECHAS!F:F,COSECHAS!A:A,'BASE 2026'!AW:AW,COSECHAS!G:G,"="&amp;A:A)</f>
        <v>35</v>
      </c>
      <c r="AD324" s="186">
        <f>SUMIFS(COSECHAS!M:M,COSECHAS!A:A,'BASE 2026'!AW:AW,COSECHAS!G:G,"="&amp;A:A)</f>
        <v>35.79</v>
      </c>
      <c r="AE324" s="185">
        <f>IFERROR(TablaPrincipal[[#This Row],[LIBRAS PLANTA]]/TablaPrincipal[[#This Row],[HAS]],"-")</f>
        <v>3622.8213836477985</v>
      </c>
      <c r="AF324" s="185">
        <f>IFERROR(TablaPrincipal[[#This Row],[LIBRAS PLANTA]]*454/TablaPrincipal[[#This Row],[GRAMOS PLANTA]],"-")</f>
        <v>365349.23777591507</v>
      </c>
      <c r="AG324" s="185">
        <f>TablaPrincipal[[#This Row],[LIBRAS RALEO PLANTA]]+TablaPrincipal[[#This Row],[LIBRAS PLANTA]]</f>
        <v>64749.72</v>
      </c>
      <c r="AH324" s="185">
        <f>IFERROR(TablaPrincipal[[#This Row],[CAM COSECHADOS RALEO]]+TablaPrincipal[[#This Row],[CAM COSECHADOS]],"-")</f>
        <v>906638.5753271326</v>
      </c>
      <c r="AI324" s="185">
        <f>IFERROR((TablaPrincipal[[#This Row],[LIBRAS RALEO PLANTA]]+TablaPrincipal[[#This Row],[LIBRAS PLANTA]])/TablaPrincipal[[#This Row],[HAS]],"0")</f>
        <v>8144.6188679245279</v>
      </c>
      <c r="AJ324" s="186">
        <f>IFERROR(AD324/(J324/7),"-")</f>
        <v>2.753076923076923</v>
      </c>
      <c r="AK324" s="186">
        <f>IFERROR(TablaPrincipal[[#This Row],[LBS/HA]]/TablaPrincipal[[#This Row],[DIAS]],"-")</f>
        <v>89.501306240928884</v>
      </c>
      <c r="AL324" s="186">
        <f>IFERROR(TablaPrincipal[[#This Row],[CAM COSECHADOS TOTALES]]/TablaPrincipal[[#This Row],[ANIM SEMBRADOS]]*100,"-")</f>
        <v>68.611502973502724</v>
      </c>
      <c r="AM324" s="185">
        <v>105049.19</v>
      </c>
      <c r="AN324" s="187">
        <f>IFERROR(((TablaPrincipal[[#This Row],[BALANCEADO ACUMULADO (LBS)]]/2.2046)/TablaPrincipal[[#This Row],[HAS]])/TablaPrincipal[[#This Row],[DIAS]],"-")</f>
        <v>65.864952657405496</v>
      </c>
      <c r="AO324" s="184">
        <f>IFERROR(TablaPrincipal[[#This Row],[BALANCEADO ACUMULADO (LBS)]]/TablaPrincipal[[#This Row],[LIBRAS TOTALES]],"-")</f>
        <v>1.622388328474625</v>
      </c>
      <c r="AP324" s="184"/>
      <c r="AQ324" s="184"/>
      <c r="AR324" s="185">
        <f>TablaPrincipal[[#This Row],[LIBRAS RALEO PLANTA]]-TablaPrincipal[[#This Row],[LIBRAS RALEO CAMARONERA]]</f>
        <v>2548.2900000000009</v>
      </c>
      <c r="AS324" s="185">
        <f>TablaPrincipal[[#This Row],[LIBRAS PLANTA]]-TablaPrincipal[[#This Row],[LIBRAS CAMARONERA]]</f>
        <v>801.43000000000029</v>
      </c>
      <c r="AT324" s="187">
        <f>TablaPrincipal[[#This Row],[GRAMAJE RALEO PLANTA]]-TablaPrincipal[[#This Row],[GRAMAJE RALEO CAMARONERA]]</f>
        <v>4.1066666666666656</v>
      </c>
      <c r="AU324" s="187">
        <f>TablaPrincipal[[#This Row],[GRAMOS PLANTA]]-TablaPrincipal[[#This Row],[GRAMAJE CAMARONERA]]</f>
        <v>0.78999999999999915</v>
      </c>
      <c r="AV324" s="183" t="str">
        <f>+VLOOKUP(TablaPrincipal[[#This Row],[CODIGO]],TablaCosechas[#All],10,0)</f>
        <v>JOSE CEDEÑO</v>
      </c>
      <c r="AW324" s="183" t="s">
        <v>147</v>
      </c>
      <c r="AX324" s="241" t="str">
        <f>+VLOOKUP(TablaPrincipal[[#This Row],[CODIGO]],TablaCosechas[#All],10,0)</f>
        <v>JOSE CEDEÑO</v>
      </c>
    </row>
    <row r="325" spans="1:50" hidden="1" x14ac:dyDescent="0.25">
      <c r="A325" s="196">
        <v>46135</v>
      </c>
      <c r="B325" s="242">
        <v>323</v>
      </c>
      <c r="C325" s="183">
        <f>YEAR(TablaPrincipal[[#This Row],[FECHA]])</f>
        <v>2026</v>
      </c>
      <c r="D325" s="183" t="s">
        <v>334</v>
      </c>
      <c r="E325" s="183" t="str">
        <f>UPPER(TEXT(TablaPrincipal[[#This Row],[FECHA]],"MMMM"))</f>
        <v>ABRIL</v>
      </c>
      <c r="F325" s="183" t="str">
        <f>IFERROR(VLOOKUP(TablaPrincipal[[#This Row],[CODIGO]],COSECHAS!A:J,9,0),"-")</f>
        <v>20</v>
      </c>
      <c r="G325" s="183" t="str">
        <f>IFERROR(VLOOKUP(TablaPrincipal[[#This Row],[CODIGO]],COSECHAS!A:I,8,0),"-")</f>
        <v>WAHOO</v>
      </c>
      <c r="H325" s="184">
        <f>IFERROR(VLOOKUP(TablaPrincipal[[#This Row],[CODIGO]],DATOS!A:B,2,0),"-")</f>
        <v>3.6</v>
      </c>
      <c r="I325" s="183" t="str">
        <f>IFERROR(VLOOKUP(TablaPrincipal[[#This Row],[CODIGO]],Tabla8[[#Headers],[#Data]],3,0),"-")</f>
        <v>CONVENCIONAL</v>
      </c>
      <c r="J325" s="183">
        <f>IFERROR(TablaPrincipal[[#This Row],[FECHA]]-TablaPrincipal[[#This Row],[FECHA DE SIEMBRA]],"-")</f>
        <v>97</v>
      </c>
      <c r="K325" s="196">
        <f>VLOOKUP(TablaPrincipal[[#This Row],[CODIGO]]&amp;TablaPrincipal[[#This Row],[AGUAJE ]],Tabla4[#All],4,0)</f>
        <v>46038</v>
      </c>
      <c r="L325" s="183" t="str">
        <f>VLOOKUP(TablaPrincipal[[#This Row],[CODIGO]]&amp;TablaPrincipal[[#This Row],[AGUAJE ]],Tabla4[#All],15,0)</f>
        <v>WA PS 23</v>
      </c>
      <c r="M325" s="184">
        <f>VLOOKUP(TablaPrincipal[[#This Row],[CODIGO]]&amp;TablaPrincipal[[#This Row],[AGUAJE ]],Tabla4[#All],14,0)</f>
        <v>0.71</v>
      </c>
      <c r="N325" s="183" t="s">
        <v>116</v>
      </c>
      <c r="O325" s="170">
        <f>VLOOKUP(TablaPrincipal[[#This Row],[CODIGO]]&amp;TablaPrincipal[[#This Row],[AGUAJE ]],Tabla4[#All],5,0)</f>
        <v>612000</v>
      </c>
      <c r="P325" s="221">
        <f>IFERROR(TablaPrincipal[[#This Row],[ANIM SEMBRADOS]]/TablaPrincipal[[#This Row],[HAS]],"-")</f>
        <v>170000</v>
      </c>
      <c r="Q325" s="222">
        <f>IFERROR(TablaPrincipal[[#This Row],[DENSIDAD]]/10000,"-")</f>
        <v>17</v>
      </c>
      <c r="R325" s="183" t="str">
        <f>VLOOKUP(TablaPrincipal[[#This Row],[CODIGO]]&amp;TablaPrincipal[[#This Row],[AGUAJE ]],Tabla4[#All],8,0)</f>
        <v>BIOLACAM</v>
      </c>
      <c r="S325" s="183" t="str">
        <f>VLOOKUP(TablaPrincipal[[#This Row],[CODIGO]]&amp;TablaPrincipal[[#This Row],[AGUAJE ]],Tabla4[#All],7,0)</f>
        <v>TEXCUMAR</v>
      </c>
      <c r="T325" s="183" t="str">
        <f>IF(ISNUMBER(FIND("/",TablaPrincipal[[#This Row],[LABORATORIO]])),"COMBINADO","UNICO")</f>
        <v>UNICO</v>
      </c>
      <c r="U3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12000</v>
      </c>
      <c r="V32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13934.91</v>
      </c>
      <c r="W32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32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24.39</v>
      </c>
      <c r="Y325" s="185">
        <f>IFERROR(TablaPrincipal[[#This Row],[LIBRAS RALEO PLANTA]]/TablaPrincipal[[#This Row],[HAS]],"-")</f>
        <v>3870.8083333333334</v>
      </c>
      <c r="Z32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260238.88420660337</v>
      </c>
      <c r="AA3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11000</v>
      </c>
      <c r="AB3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11685.25</v>
      </c>
      <c r="AC325" s="186">
        <f>SUMIFS(COSECHAS!F:F,COSECHAS!A:A,'BASE 2026'!AW:AW,COSECHAS!G:G,"="&amp;A:A)</f>
        <v>33</v>
      </c>
      <c r="AD325" s="186">
        <f>SUMIFS(COSECHAS!M:M,COSECHAS!A:A,'BASE 2026'!AW:AW,COSECHAS!G:G,"="&amp;A:A)</f>
        <v>32.880000000000003</v>
      </c>
      <c r="AE325" s="185">
        <f>IFERROR(TablaPrincipal[[#This Row],[LIBRAS PLANTA]]/TablaPrincipal[[#This Row],[HAS]],"-")</f>
        <v>3245.9027777777778</v>
      </c>
      <c r="AF325" s="185">
        <f>IFERROR(TablaPrincipal[[#This Row],[LIBRAS PLANTA]]*454/TablaPrincipal[[#This Row],[GRAMOS PLANTA]],"-")</f>
        <v>161347.4300486618</v>
      </c>
      <c r="AG325" s="185">
        <f>TablaPrincipal[[#This Row],[LIBRAS RALEO PLANTA]]+TablaPrincipal[[#This Row],[LIBRAS PLANTA]]</f>
        <v>25620.16</v>
      </c>
      <c r="AH325" s="185">
        <f>IFERROR(TablaPrincipal[[#This Row],[CAM COSECHADOS RALEO]]+TablaPrincipal[[#This Row],[CAM COSECHADOS]],"-")</f>
        <v>421586.31425526517</v>
      </c>
      <c r="AI325" s="185">
        <f>IFERROR((TablaPrincipal[[#This Row],[LIBRAS RALEO PLANTA]]+TablaPrincipal[[#This Row],[LIBRAS PLANTA]])/TablaPrincipal[[#This Row],[HAS]],"0")</f>
        <v>7116.7111111111108</v>
      </c>
      <c r="AJ325" s="186">
        <f>IFERROR(AD325/(J325/7),"-")</f>
        <v>2.3727835051546391</v>
      </c>
      <c r="AK325" s="186">
        <f>IFERROR(TablaPrincipal[[#This Row],[LBS/HA]]/TablaPrincipal[[#This Row],[DIAS]],"-")</f>
        <v>73.368155784650625</v>
      </c>
      <c r="AL325" s="186">
        <f>IFERROR(TablaPrincipal[[#This Row],[CAM COSECHADOS TOTALES]]/TablaPrincipal[[#This Row],[ANIM SEMBRADOS]]*100,"-")</f>
        <v>68.886652656089069</v>
      </c>
      <c r="AM325" s="185">
        <v>40154.58</v>
      </c>
      <c r="AN325" s="187">
        <f>IFERROR(((TablaPrincipal[[#This Row],[BALANCEADO ACUMULADO (LBS)]]/2.2046)/TablaPrincipal[[#This Row],[HAS]])/TablaPrincipal[[#This Row],[DIAS]],"-")</f>
        <v>52.15921536132042</v>
      </c>
      <c r="AO325" s="184">
        <f>IFERROR(TablaPrincipal[[#This Row],[BALANCEADO ACUMULADO (LBS)]]/TablaPrincipal[[#This Row],[LIBRAS TOTALES]],"-")</f>
        <v>1.5673040293269052</v>
      </c>
      <c r="AP325" s="184"/>
      <c r="AQ325" s="184"/>
      <c r="AR325" s="185">
        <f>TablaPrincipal[[#This Row],[LIBRAS RALEO PLANTA]]-TablaPrincipal[[#This Row],[LIBRAS RALEO CAMARONERA]]</f>
        <v>1934.9099999999999</v>
      </c>
      <c r="AS325" s="185">
        <f>TablaPrincipal[[#This Row],[LIBRAS PLANTA]]-TablaPrincipal[[#This Row],[LIBRAS CAMARONERA]]</f>
        <v>685.25</v>
      </c>
      <c r="AT325" s="187">
        <f>TablaPrincipal[[#This Row],[GRAMAJE RALEO PLANTA]]-TablaPrincipal[[#This Row],[GRAMAJE RALEO CAMARONERA]]</f>
        <v>0.89000000000000057</v>
      </c>
      <c r="AU325" s="187">
        <f>TablaPrincipal[[#This Row],[GRAMOS PLANTA]]-TablaPrincipal[[#This Row],[GRAMAJE CAMARONERA]]</f>
        <v>-0.11999999999999744</v>
      </c>
      <c r="AV325" s="183" t="str">
        <f>+VLOOKUP(TablaPrincipal[[#This Row],[CODIGO]],TablaCosechas[#All],10,0)</f>
        <v>JUNIOR ESQUIVEL</v>
      </c>
      <c r="AW325" s="183" t="s">
        <v>344</v>
      </c>
      <c r="AX325" s="241" t="str">
        <f>+VLOOKUP(TablaPrincipal[[#This Row],[CODIGO]],TablaCosechas[#All],10,0)</f>
        <v>JUNIOR ESQUIVEL</v>
      </c>
    </row>
    <row r="326" spans="1:50" hidden="1" x14ac:dyDescent="0.25">
      <c r="A326" s="196">
        <v>46136</v>
      </c>
      <c r="B326" s="242">
        <v>324</v>
      </c>
      <c r="C326" s="183">
        <f>YEAR(TablaPrincipal[[#This Row],[FECHA]])</f>
        <v>2026</v>
      </c>
      <c r="D326" s="183" t="s">
        <v>334</v>
      </c>
      <c r="E326" s="183" t="str">
        <f>UPPER(TEXT(TablaPrincipal[[#This Row],[FECHA]],"MMMM"))</f>
        <v>ABRIL</v>
      </c>
      <c r="F326" s="183" t="str">
        <f>IFERROR(VLOOKUP(TablaPrincipal[[#This Row],[CODIGO]],COSECHAS!A:J,9,0),"-")</f>
        <v>04</v>
      </c>
      <c r="G326" s="183" t="str">
        <f>IFERROR(VLOOKUP(TablaPrincipal[[#This Row],[CODIGO]],COSECHAS!A:I,8,0),"-")</f>
        <v>CATANUDA</v>
      </c>
      <c r="H326" s="184">
        <f>IFERROR(VLOOKUP(TablaPrincipal[[#This Row],[CODIGO]],DATOS!A:B,2,0),"-")</f>
        <v>10.3</v>
      </c>
      <c r="I326" s="183" t="str">
        <f>IFERROR(VLOOKUP(TablaPrincipal[[#This Row],[CODIGO]],Tabla8[[#Headers],[#Data]],3,0),"-")</f>
        <v>ASC-BAP</v>
      </c>
      <c r="J326" s="183">
        <f>IFERROR(TablaPrincipal[[#This Row],[FECHA]]-TablaPrincipal[[#This Row],[FECHA DE SIEMBRA]],"-")</f>
        <v>68</v>
      </c>
      <c r="K326" s="196">
        <f>VLOOKUP(TablaPrincipal[[#This Row],[CODIGO]]&amp;TablaPrincipal[[#This Row],[AGUAJE ]],Tabla4[#All],4,0)</f>
        <v>46068</v>
      </c>
      <c r="L326" s="183" t="str">
        <f>VLOOKUP(TablaPrincipal[[#This Row],[CODIGO]]&amp;TablaPrincipal[[#This Row],[AGUAJE ]],Tabla4[#All],15,0)</f>
        <v>CA PC06 - 1A</v>
      </c>
      <c r="M326" s="184">
        <f>VLOOKUP(TablaPrincipal[[#This Row],[CODIGO]]&amp;TablaPrincipal[[#This Row],[AGUAJE ]],Tabla4[#All],14,0)</f>
        <v>0.48</v>
      </c>
      <c r="N326" s="183">
        <v>9</v>
      </c>
      <c r="O326" s="170">
        <f>VLOOKUP(TablaPrincipal[[#This Row],[CODIGO]]&amp;TablaPrincipal[[#This Row],[AGUAJE ]],Tabla4[#All],5,0)</f>
        <v>1806000</v>
      </c>
      <c r="P326" s="221">
        <f>IFERROR(TablaPrincipal[[#This Row],[ANIM SEMBRADOS]]/TablaPrincipal[[#This Row],[HAS]],"-")</f>
        <v>175339.80582524271</v>
      </c>
      <c r="Q326" s="222">
        <f>IFERROR(TablaPrincipal[[#This Row],[DENSIDAD]]/10000,"-")</f>
        <v>17.533980582524272</v>
      </c>
      <c r="R326" s="183" t="str">
        <f>VLOOKUP(TablaPrincipal[[#This Row],[CODIGO]]&amp;TablaPrincipal[[#This Row],[AGUAJE ]],Tabla4[#All],8,0)</f>
        <v>EMPAGRAN</v>
      </c>
      <c r="S326" s="183" t="str">
        <f>VLOOKUP(TablaPrincipal[[#This Row],[CODIGO]]&amp;TablaPrincipal[[#This Row],[AGUAJE ]],Tabla4[#All],7,0)</f>
        <v>EMPAGRAN</v>
      </c>
      <c r="T326" s="183" t="str">
        <f>IF(ISNUMBER(FIND("/",TablaPrincipal[[#This Row],[LABORATORIO]])),"COMBINADO","UNICO")</f>
        <v>UNICO</v>
      </c>
      <c r="U3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9250</v>
      </c>
      <c r="V32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9775.77</v>
      </c>
      <c r="W32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2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24.96</v>
      </c>
      <c r="Y326" s="185">
        <f>IFERROR(TablaPrincipal[[#This Row],[LIBRAS RALEO PLANTA]]/TablaPrincipal[[#This Row],[HAS]],"-")</f>
        <v>949.10388349514562</v>
      </c>
      <c r="Z32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177812.48317307691</v>
      </c>
      <c r="AA3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44200</v>
      </c>
      <c r="AB3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46853.11</v>
      </c>
      <c r="AC326" s="186">
        <f>SUMIFS(COSECHAS!F:F,COSECHAS!A:A,'BASE 2026'!AW:AW,COSECHAS!G:G,"="&amp;A:A)</f>
        <v>28</v>
      </c>
      <c r="AD326" s="186">
        <f>SUMIFS(COSECHAS!M:M,COSECHAS!A:A,'BASE 2026'!AW:AW,COSECHAS!G:G,"="&amp;A:A)</f>
        <v>26.24</v>
      </c>
      <c r="AE326" s="185">
        <f>IFERROR(TablaPrincipal[[#This Row],[LIBRAS PLANTA]]/TablaPrincipal[[#This Row],[HAS]],"-")</f>
        <v>4548.8456310679612</v>
      </c>
      <c r="AF326" s="185">
        <f>IFERROR(TablaPrincipal[[#This Row],[LIBRAS PLANTA]]*454/TablaPrincipal[[#This Row],[GRAMOS PLANTA]],"-")</f>
        <v>810644.50990853668</v>
      </c>
      <c r="AG326" s="185">
        <f>TablaPrincipal[[#This Row],[LIBRAS RALEO PLANTA]]+TablaPrincipal[[#This Row],[LIBRAS PLANTA]]</f>
        <v>56628.880000000005</v>
      </c>
      <c r="AH326" s="185">
        <f>IFERROR(TablaPrincipal[[#This Row],[CAM COSECHADOS RALEO]]+TablaPrincipal[[#This Row],[CAM COSECHADOS]],"-")</f>
        <v>988456.99308161356</v>
      </c>
      <c r="AI326" s="185">
        <f>IFERROR((TablaPrincipal[[#This Row],[LIBRAS RALEO PLANTA]]+TablaPrincipal[[#This Row],[LIBRAS PLANTA]])/TablaPrincipal[[#This Row],[HAS]],"0")</f>
        <v>5497.9495145631072</v>
      </c>
      <c r="AJ326" s="186">
        <f>IFERROR(AD326/(J326/7),"-")</f>
        <v>2.7011764705882353</v>
      </c>
      <c r="AK326" s="186">
        <f>IFERROR(TablaPrincipal[[#This Row],[LBS/HA]]/TablaPrincipal[[#This Row],[DIAS]],"-")</f>
        <v>80.852198743575102</v>
      </c>
      <c r="AL326" s="186">
        <f>IFERROR(TablaPrincipal[[#This Row],[CAM COSECHADOS TOTALES]]/TablaPrincipal[[#This Row],[ANIM SEMBRADOS]]*100,"-")</f>
        <v>54.731837933644158</v>
      </c>
      <c r="AM326" s="185">
        <v>81499.649999999994</v>
      </c>
      <c r="AN326" s="187">
        <f>IFERROR(((TablaPrincipal[[#This Row],[BALANCEADO ACUMULADO (LBS)]]/2.2046)/TablaPrincipal[[#This Row],[HAS]])/TablaPrincipal[[#This Row],[DIAS]],"-")</f>
        <v>52.781266033592694</v>
      </c>
      <c r="AO326" s="184">
        <f>IFERROR(TablaPrincipal[[#This Row],[BALANCEADO ACUMULADO (LBS)]]/TablaPrincipal[[#This Row],[LIBRAS TOTALES]],"-")</f>
        <v>1.4391888026039008</v>
      </c>
      <c r="AP326" s="184"/>
      <c r="AQ326" s="184"/>
      <c r="AR326" s="185">
        <f>TablaPrincipal[[#This Row],[LIBRAS RALEO PLANTA]]-TablaPrincipal[[#This Row],[LIBRAS RALEO CAMARONERA]]</f>
        <v>525.77000000000044</v>
      </c>
      <c r="AS326" s="185">
        <f>TablaPrincipal[[#This Row],[LIBRAS PLANTA]]-TablaPrincipal[[#This Row],[LIBRAS CAMARONERA]]</f>
        <v>2653.1100000000006</v>
      </c>
      <c r="AT326" s="187">
        <f>TablaPrincipal[[#This Row],[GRAMAJE RALEO PLANTA]]-TablaPrincipal[[#This Row],[GRAMAJE RALEO CAMARONERA]]</f>
        <v>2.9600000000000009</v>
      </c>
      <c r="AU326" s="187">
        <f>TablaPrincipal[[#This Row],[GRAMOS PLANTA]]-TablaPrincipal[[#This Row],[GRAMAJE CAMARONERA]]</f>
        <v>-1.7600000000000016</v>
      </c>
      <c r="AV326" s="183" t="str">
        <f>+VLOOKUP(TablaPrincipal[[#This Row],[CODIGO]],TablaCosechas[#All],10,0)</f>
        <v>VICTOR QUINTANA</v>
      </c>
      <c r="AW326" s="183" t="s">
        <v>203</v>
      </c>
      <c r="AX326" s="241" t="str">
        <f>+VLOOKUP(TablaPrincipal[[#This Row],[CODIGO]],TablaCosechas[#All],10,0)</f>
        <v>VICTOR QUINTANA</v>
      </c>
    </row>
    <row r="327" spans="1:50" hidden="1" x14ac:dyDescent="0.25">
      <c r="A327" s="196">
        <v>46136</v>
      </c>
      <c r="B327" s="242">
        <v>325</v>
      </c>
      <c r="C327" s="183">
        <f>YEAR(TablaPrincipal[[#This Row],[FECHA]])</f>
        <v>2026</v>
      </c>
      <c r="D327" s="183" t="s">
        <v>334</v>
      </c>
      <c r="E327" s="183" t="str">
        <f>UPPER(TEXT(TablaPrincipal[[#This Row],[FECHA]],"MMMM"))</f>
        <v>ABRIL</v>
      </c>
      <c r="F327" s="183" t="str">
        <f>IFERROR(VLOOKUP(TablaPrincipal[[#This Row],[CODIGO]],COSECHAS!A:J,9,0),"-")</f>
        <v>35</v>
      </c>
      <c r="G327" s="183" t="str">
        <f>IFERROR(VLOOKUP(TablaPrincipal[[#This Row],[CODIGO]],COSECHAS!A:I,8,0),"-")</f>
        <v>WAHOO</v>
      </c>
      <c r="H327" s="184">
        <f>IFERROR(VLOOKUP(TablaPrincipal[[#This Row],[CODIGO]],DATOS!A:B,2,0),"-")</f>
        <v>6.5</v>
      </c>
      <c r="I327" s="183" t="str">
        <f>IFERROR(VLOOKUP(TablaPrincipal[[#This Row],[CODIGO]],Tabla8[[#Headers],[#Data]],3,0),"-")</f>
        <v>CONVENCIONAL</v>
      </c>
      <c r="J327" s="183">
        <f>IFERROR(TablaPrincipal[[#This Row],[FECHA]]-TablaPrincipal[[#This Row],[FECHA DE SIEMBRA]],"-")</f>
        <v>94</v>
      </c>
      <c r="K327" s="196">
        <f>VLOOKUP(TablaPrincipal[[#This Row],[CODIGO]]&amp;TablaPrincipal[[#This Row],[AGUAJE ]],Tabla4[#All],4,0)</f>
        <v>46042</v>
      </c>
      <c r="L327" s="183" t="str">
        <f>VLOOKUP(TablaPrincipal[[#This Row],[CODIGO]]&amp;TablaPrincipal[[#This Row],[AGUAJE ]],Tabla4[#All],15,0)</f>
        <v>WA 14 - 13</v>
      </c>
      <c r="M327" s="184">
        <f>VLOOKUP(TablaPrincipal[[#This Row],[CODIGO]]&amp;TablaPrincipal[[#This Row],[AGUAJE ]],Tabla4[#All],14,0)</f>
        <v>1.105</v>
      </c>
      <c r="N327" s="183" t="s">
        <v>116</v>
      </c>
      <c r="O327" s="170">
        <f>VLOOKUP(TablaPrincipal[[#This Row],[CODIGO]]&amp;TablaPrincipal[[#This Row],[AGUAJE ]],Tabla4[#All],5,0)</f>
        <v>1007500</v>
      </c>
      <c r="P327" s="221">
        <f>IFERROR(TablaPrincipal[[#This Row],[ANIM SEMBRADOS]]/TablaPrincipal[[#This Row],[HAS]],"-")</f>
        <v>155000</v>
      </c>
      <c r="Q327" s="222">
        <f>IFERROR(TablaPrincipal[[#This Row],[DENSIDAD]]/10000,"-")</f>
        <v>15.5</v>
      </c>
      <c r="R327" s="183" t="str">
        <f>VLOOKUP(TablaPrincipal[[#This Row],[CODIGO]]&amp;TablaPrincipal[[#This Row],[AGUAJE ]],Tabla4[#All],8,0)</f>
        <v>TECSERV</v>
      </c>
      <c r="S327" s="183" t="str">
        <f>VLOOKUP(TablaPrincipal[[#This Row],[CODIGO]]&amp;TablaPrincipal[[#This Row],[AGUAJE ]],Tabla4[#All],7,0)</f>
        <v>SEMACUA</v>
      </c>
      <c r="T327" s="183" t="str">
        <f>IF(ISNUMBER(FIND("/",TablaPrincipal[[#This Row],[LABORATORIO]])),"COMBINADO","UNICO")</f>
        <v>UNICO</v>
      </c>
      <c r="U3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19250</v>
      </c>
      <c r="V32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20337.2</v>
      </c>
      <c r="W32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32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26.05</v>
      </c>
      <c r="Y327" s="185">
        <f>IFERROR(TablaPrincipal[[#This Row],[LIBRAS RALEO PLANTA]]/TablaPrincipal[[#This Row],[HAS]],"-")</f>
        <v>3128.8</v>
      </c>
      <c r="Z32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350462.10528377234</v>
      </c>
      <c r="AA3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15750</v>
      </c>
      <c r="AB3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16740.919999999998</v>
      </c>
      <c r="AC327" s="186">
        <f>SUMIFS(COSECHAS!F:F,COSECHAS!A:A,'BASE 2026'!AW:AW,COSECHAS!G:G,"="&amp;A:A)</f>
        <v>42</v>
      </c>
      <c r="AD327" s="186">
        <f>SUMIFS(COSECHAS!M:M,COSECHAS!A:A,'BASE 2026'!AW:AW,COSECHAS!G:G,"="&amp;A:A)</f>
        <v>42.98</v>
      </c>
      <c r="AE327" s="185">
        <f>IFERROR(TablaPrincipal[[#This Row],[LIBRAS PLANTA]]/TablaPrincipal[[#This Row],[HAS]],"-")</f>
        <v>2575.5261538461536</v>
      </c>
      <c r="AF327" s="185">
        <f>IFERROR(TablaPrincipal[[#This Row],[LIBRAS PLANTA]]*454/TablaPrincipal[[#This Row],[GRAMOS PLANTA]],"-")</f>
        <v>176835.21824104234</v>
      </c>
      <c r="AG327" s="185">
        <f>TablaPrincipal[[#This Row],[LIBRAS RALEO PLANTA]]+TablaPrincipal[[#This Row],[LIBRAS PLANTA]]</f>
        <v>37078.119999999995</v>
      </c>
      <c r="AH327" s="185">
        <f>IFERROR(TablaPrincipal[[#This Row],[CAM COSECHADOS RALEO]]+TablaPrincipal[[#This Row],[CAM COSECHADOS]],"-")</f>
        <v>527297.32352481468</v>
      </c>
      <c r="AI327" s="185">
        <f>IFERROR((TablaPrincipal[[#This Row],[LIBRAS RALEO PLANTA]]+TablaPrincipal[[#This Row],[LIBRAS PLANTA]])/TablaPrincipal[[#This Row],[HAS]],"0")</f>
        <v>5704.3261538461529</v>
      </c>
      <c r="AJ327" s="186">
        <f>IFERROR(AD327/(J327/7),"-")</f>
        <v>3.2006382978723402</v>
      </c>
      <c r="AK327" s="186">
        <f>IFERROR(TablaPrincipal[[#This Row],[LBS/HA]]/TablaPrincipal[[#This Row],[DIAS]],"-")</f>
        <v>60.684320785597372</v>
      </c>
      <c r="AL327" s="186">
        <f>IFERROR(TablaPrincipal[[#This Row],[CAM COSECHADOS TOTALES]]/TablaPrincipal[[#This Row],[ANIM SEMBRADOS]]*100,"-")</f>
        <v>52.337203327525032</v>
      </c>
      <c r="AM327" s="185">
        <v>57279.92</v>
      </c>
      <c r="AN327" s="187">
        <f>IFERROR(((TablaPrincipal[[#This Row],[BALANCEADO ACUMULADO (LBS)]]/2.2046)/TablaPrincipal[[#This Row],[HAS]])/TablaPrincipal[[#This Row],[DIAS]],"-")</f>
        <v>42.523733666238407</v>
      </c>
      <c r="AO327" s="184">
        <f>IFERROR(TablaPrincipal[[#This Row],[BALANCEADO ACUMULADO (LBS)]]/TablaPrincipal[[#This Row],[LIBRAS TOTALES]],"-")</f>
        <v>1.544844236978574</v>
      </c>
      <c r="AP327" s="184"/>
      <c r="AQ327" s="184"/>
      <c r="AR327" s="185">
        <f>TablaPrincipal[[#This Row],[LIBRAS RALEO PLANTA]]-TablaPrincipal[[#This Row],[LIBRAS RALEO CAMARONERA]]</f>
        <v>1087.2000000000007</v>
      </c>
      <c r="AS327" s="185">
        <f>TablaPrincipal[[#This Row],[LIBRAS PLANTA]]-TablaPrincipal[[#This Row],[LIBRAS CAMARONERA]]</f>
        <v>990.91999999999825</v>
      </c>
      <c r="AT327" s="187">
        <f>TablaPrincipal[[#This Row],[GRAMAJE RALEO PLANTA]]-TablaPrincipal[[#This Row],[GRAMAJE RALEO CAMARONERA]]</f>
        <v>5.0000000000000711E-2</v>
      </c>
      <c r="AU327" s="187">
        <f>TablaPrincipal[[#This Row],[GRAMOS PLANTA]]-TablaPrincipal[[#This Row],[GRAMAJE CAMARONERA]]</f>
        <v>0.97999999999999687</v>
      </c>
      <c r="AV327" s="183" t="str">
        <f>+VLOOKUP(TablaPrincipal[[#This Row],[CODIGO]],TablaCosechas[#All],10,0)</f>
        <v>JUNIOR ESQUIVEL</v>
      </c>
      <c r="AW327" s="183" t="s">
        <v>345</v>
      </c>
      <c r="AX327" s="241" t="str">
        <f>+VLOOKUP(TablaPrincipal[[#This Row],[CODIGO]],TablaCosechas[#All],10,0)</f>
        <v>JUNIOR ESQUIVEL</v>
      </c>
    </row>
    <row r="328" spans="1:50" hidden="1" x14ac:dyDescent="0.25">
      <c r="A328" s="196">
        <v>46136</v>
      </c>
      <c r="B328" s="242">
        <v>326</v>
      </c>
      <c r="C328" s="183">
        <f>YEAR(TablaPrincipal[[#This Row],[FECHA]])</f>
        <v>2026</v>
      </c>
      <c r="D328" s="183" t="s">
        <v>334</v>
      </c>
      <c r="E328" s="183" t="str">
        <f>UPPER(TEXT(TablaPrincipal[[#This Row],[FECHA]],"MMMM"))</f>
        <v>ABRIL</v>
      </c>
      <c r="F328" s="183" t="str">
        <f>IFERROR(VLOOKUP(TablaPrincipal[[#This Row],[CODIGO]],COSECHAS!A:J,9,0),"-")</f>
        <v>27</v>
      </c>
      <c r="G328" s="183" t="str">
        <f>IFERROR(VLOOKUP(TablaPrincipal[[#This Row],[CODIGO]],COSECHAS!A:I,8,0),"-")</f>
        <v>TAMBULERO</v>
      </c>
      <c r="H328" s="184">
        <f>IFERROR(VLOOKUP(TablaPrincipal[[#This Row],[CODIGO]],DATOS!A:B,2,0),"-")</f>
        <v>5.75</v>
      </c>
      <c r="I328" s="183" t="str">
        <f>IFERROR(VLOOKUP(TablaPrincipal[[#This Row],[CODIGO]],Tabla8[[#Headers],[#Data]],3,0),"-")</f>
        <v>ASC-BAP</v>
      </c>
      <c r="J328" s="183">
        <f>IFERROR(TablaPrincipal[[#This Row],[FECHA]]-TablaPrincipal[[#This Row],[FECHA DE SIEMBRA]],"-")</f>
        <v>83</v>
      </c>
      <c r="K328" s="196">
        <f>VLOOKUP(TablaPrincipal[[#This Row],[CODIGO]]&amp;TablaPrincipal[[#This Row],[AGUAJE ]],Tabla4[#All],4,0)</f>
        <v>46053</v>
      </c>
      <c r="L328" s="183" t="str">
        <f>VLOOKUP(TablaPrincipal[[#This Row],[CODIGO]]&amp;TablaPrincipal[[#This Row],[AGUAJE ]],Tabla4[#All],15,0)</f>
        <v>TA 1</v>
      </c>
      <c r="M328" s="184">
        <f>VLOOKUP(TablaPrincipal[[#This Row],[CODIGO]]&amp;TablaPrincipal[[#This Row],[AGUAJE ]],Tabla4[#All],14,0)</f>
        <v>0.2</v>
      </c>
      <c r="N328" s="183">
        <v>11</v>
      </c>
      <c r="O328" s="170">
        <f>VLOOKUP(TablaPrincipal[[#This Row],[CODIGO]]&amp;TablaPrincipal[[#This Row],[AGUAJE ]],Tabla4[#All],5,0)</f>
        <v>977500</v>
      </c>
      <c r="P328" s="221">
        <f>IFERROR(TablaPrincipal[[#This Row],[ANIM SEMBRADOS]]/TablaPrincipal[[#This Row],[HAS]],"-")</f>
        <v>170000</v>
      </c>
      <c r="Q328" s="222">
        <f>IFERROR(TablaPrincipal[[#This Row],[DENSIDAD]]/10000,"-")</f>
        <v>17</v>
      </c>
      <c r="R328" s="183" t="str">
        <f>VLOOKUP(TablaPrincipal[[#This Row],[CODIGO]]&amp;TablaPrincipal[[#This Row],[AGUAJE ]],Tabla4[#All],8,0)</f>
        <v>ACUATECSA</v>
      </c>
      <c r="S328" s="183" t="str">
        <f>VLOOKUP(TablaPrincipal[[#This Row],[CODIGO]]&amp;TablaPrincipal[[#This Row],[AGUAJE ]],Tabla4[#All],7,0)</f>
        <v>TEXCUMAR</v>
      </c>
      <c r="T328" s="183" t="str">
        <f>IF(ISNUMBER(FIND("/",TablaPrincipal[[#This Row],[LABORATORIO]])),"COMBINADO","UNICO")</f>
        <v>UNICO</v>
      </c>
      <c r="U3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14000</v>
      </c>
      <c r="V32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14077.79</v>
      </c>
      <c r="W32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2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19.994999999999997</v>
      </c>
      <c r="Y328" s="185">
        <f>IFERROR(TablaPrincipal[[#This Row],[LIBRAS RALEO PLANTA]]/TablaPrincipal[[#This Row],[HAS]],"-")</f>
        <v>2448.3113043478261</v>
      </c>
      <c r="Z32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320087.23719696491</v>
      </c>
      <c r="AA32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26350</v>
      </c>
      <c r="AB32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26267.35</v>
      </c>
      <c r="AC328" s="186">
        <f>SUMIFS(COSECHAS!F:F,COSECHAS!A:A,'BASE 2026'!AW:AW,COSECHAS!G:G,"="&amp;A:A)</f>
        <v>31</v>
      </c>
      <c r="AD328" s="186">
        <f>SUMIFS(COSECHAS!M:M,COSECHAS!A:A,'BASE 2026'!AW:AW,COSECHAS!G:G,"="&amp;A:A)</f>
        <v>30.36</v>
      </c>
      <c r="AE328" s="185">
        <f>IFERROR(TablaPrincipal[[#This Row],[LIBRAS PLANTA]]/TablaPrincipal[[#This Row],[HAS]],"-")</f>
        <v>4568.2347826086952</v>
      </c>
      <c r="AF328" s="185">
        <f>IFERROR(TablaPrincipal[[#This Row],[LIBRAS PLANTA]]*454/TablaPrincipal[[#This Row],[GRAMOS PLANTA]],"-")</f>
        <v>392798.97562582343</v>
      </c>
      <c r="AG328" s="185">
        <f>TablaPrincipal[[#This Row],[LIBRAS RALEO PLANTA]]+TablaPrincipal[[#This Row],[LIBRAS PLANTA]]</f>
        <v>40345.14</v>
      </c>
      <c r="AH328" s="185">
        <f>IFERROR(TablaPrincipal[[#This Row],[CAM COSECHADOS RALEO]]+TablaPrincipal[[#This Row],[CAM COSECHADOS]],"-")</f>
        <v>712886.21282278839</v>
      </c>
      <c r="AI328" s="185">
        <f>IFERROR((TablaPrincipal[[#This Row],[LIBRAS RALEO PLANTA]]+TablaPrincipal[[#This Row],[LIBRAS PLANTA]])/TablaPrincipal[[#This Row],[HAS]],"0")</f>
        <v>7016.5460869565213</v>
      </c>
      <c r="AJ328" s="186">
        <f t="shared" ref="AJ328:AJ329" si="6">IFERROR(AD328/(J328/7),"-")</f>
        <v>2.560481927710843</v>
      </c>
      <c r="AK328" s="186">
        <f>IFERROR(TablaPrincipal[[#This Row],[LBS/HA]]/TablaPrincipal[[#This Row],[DIAS]],"-")</f>
        <v>84.536699842849657</v>
      </c>
      <c r="AL328" s="186">
        <f>IFERROR(TablaPrincipal[[#This Row],[CAM COSECHADOS TOTALES]]/TablaPrincipal[[#This Row],[ANIM SEMBRADOS]]*100,"-")</f>
        <v>72.929535838648434</v>
      </c>
      <c r="AM328" s="185">
        <v>69720.47</v>
      </c>
      <c r="AN328" s="187">
        <f>IFERROR(((TablaPrincipal[[#This Row],[BALANCEADO ACUMULADO (LBS)]]/2.2046)/TablaPrincipal[[#This Row],[HAS]])/TablaPrincipal[[#This Row],[DIAS]],"-")</f>
        <v>66.265055488768738</v>
      </c>
      <c r="AO328" s="184">
        <f>IFERROR(TablaPrincipal[[#This Row],[BALANCEADO ACUMULADO (LBS)]]/TablaPrincipal[[#This Row],[LIBRAS TOTALES]],"-")</f>
        <v>1.7281008319713353</v>
      </c>
      <c r="AP328" s="184"/>
      <c r="AQ328" s="184"/>
      <c r="AR328" s="185">
        <f>TablaPrincipal[[#This Row],[LIBRAS RALEO PLANTA]]-TablaPrincipal[[#This Row],[LIBRAS RALEO CAMARONERA]]</f>
        <v>77.790000000000873</v>
      </c>
      <c r="AS328" s="185">
        <f>TablaPrincipal[[#This Row],[LIBRAS PLANTA]]-TablaPrincipal[[#This Row],[LIBRAS CAMARONERA]]</f>
        <v>-82.650000000001455</v>
      </c>
      <c r="AT328" s="187">
        <f>TablaPrincipal[[#This Row],[GRAMAJE RALEO PLANTA]]-TablaPrincipal[[#This Row],[GRAMAJE RALEO CAMARONERA]]</f>
        <v>0.99499999999999744</v>
      </c>
      <c r="AU328" s="187">
        <f>TablaPrincipal[[#This Row],[GRAMOS PLANTA]]-TablaPrincipal[[#This Row],[GRAMAJE CAMARONERA]]</f>
        <v>-0.64000000000000057</v>
      </c>
      <c r="AV328" s="183" t="str">
        <f>+VLOOKUP(TablaPrincipal[[#This Row],[CODIGO]],TablaCosechas[#All],10,0)</f>
        <v>ALFONSO GRUNAUER</v>
      </c>
      <c r="AW328" s="183" t="s">
        <v>168</v>
      </c>
      <c r="AX328" s="241" t="str">
        <f>+VLOOKUP(TablaPrincipal[[#This Row],[CODIGO]],TablaCosechas[#All],10,0)</f>
        <v>ALFONSO GRUNAUER</v>
      </c>
    </row>
    <row r="329" spans="1:50" hidden="1" x14ac:dyDescent="0.25">
      <c r="A329" s="196">
        <v>46136</v>
      </c>
      <c r="B329" s="242">
        <f>ROW() - ROW(TablaPrincipal[[#Headers],[ID]])</f>
        <v>327</v>
      </c>
      <c r="C329" s="183">
        <f>YEAR(TablaPrincipal[[#This Row],[FECHA]])</f>
        <v>2026</v>
      </c>
      <c r="D329" s="183" t="s">
        <v>334</v>
      </c>
      <c r="E329" s="183" t="str">
        <f>UPPER(TEXT(TablaPrincipal[[#This Row],[FECHA]],"MMMM"))</f>
        <v>ABRIL</v>
      </c>
      <c r="F329" s="183" t="str">
        <f>IFERROR(VLOOKUP(TablaPrincipal[[#This Row],[CODIGO]],COSECHAS!A:J,9,0),"-")</f>
        <v>13</v>
      </c>
      <c r="G329" s="183" t="str">
        <f>IFERROR(VLOOKUP(TablaPrincipal[[#This Row],[CODIGO]],COSECHAS!A:I,8,0),"-")</f>
        <v>DELFIN</v>
      </c>
      <c r="H329" s="184">
        <f>IFERROR(VLOOKUP(TablaPrincipal[[#This Row],[CODIGO]],DATOS!A:B,2,0),"-")</f>
        <v>9.18</v>
      </c>
      <c r="I329" s="183" t="str">
        <f>IFERROR(VLOOKUP(TablaPrincipal[[#This Row],[CODIGO]],Tabla8[[#Headers],[#Data]],3,0),"-")</f>
        <v>CONVENCIONAL</v>
      </c>
      <c r="J329" s="183">
        <f>IFERROR(TablaPrincipal[[#This Row],[FECHA]]-TablaPrincipal[[#This Row],[FECHA DE SIEMBRA]],"-")</f>
        <v>55</v>
      </c>
      <c r="K329" s="196">
        <f>VLOOKUP(TablaPrincipal[[#This Row],[CODIGO]]&amp;TablaPrincipal[[#This Row],[AGUAJE ]],Tabla4[#All],4,0)</f>
        <v>46081</v>
      </c>
      <c r="L329" s="183" t="str">
        <f>VLOOKUP(TablaPrincipal[[#This Row],[CODIGO]]&amp;TablaPrincipal[[#This Row],[AGUAJE ]],Tabla4[#All],15,0)</f>
        <v>DE 14</v>
      </c>
      <c r="M329" s="184">
        <f>VLOOKUP(TablaPrincipal[[#This Row],[CODIGO]]&amp;TablaPrincipal[[#This Row],[AGUAJE ]],Tabla4[#All],14,0)</f>
        <v>6</v>
      </c>
      <c r="N329" s="183">
        <v>5</v>
      </c>
      <c r="O329" s="170">
        <f>VLOOKUP(TablaPrincipal[[#This Row],[CODIGO]]&amp;TablaPrincipal[[#This Row],[AGUAJE ]],Tabla4[#All],5,0)</f>
        <v>1000000</v>
      </c>
      <c r="P329" s="221">
        <f>IFERROR(TablaPrincipal[[#This Row],[ANIM SEMBRADOS]]/TablaPrincipal[[#This Row],[HAS]],"-")</f>
        <v>108932.46187363834</v>
      </c>
      <c r="Q329" s="222">
        <f>IFERROR(TablaPrincipal[[#This Row],[DENSIDAD]]/10000,"-")</f>
        <v>10.893246187363834</v>
      </c>
      <c r="R329" s="183" t="str">
        <f>VLOOKUP(TablaPrincipal[[#This Row],[CODIGO]]&amp;TablaPrincipal[[#This Row],[AGUAJE ]],Tabla4[#All],8,0)</f>
        <v>TECSERV</v>
      </c>
      <c r="S329" s="183" t="str">
        <f>VLOOKUP(TablaPrincipal[[#This Row],[CODIGO]]&amp;TablaPrincipal[[#This Row],[AGUAJE ]],Tabla4[#All],7,0)</f>
        <v>TEXCUMAR</v>
      </c>
      <c r="T329" s="183" t="str">
        <f>IF(ISNUMBER(FIND("/",TablaPrincipal[[#This Row],[LABORATORIO]])),"COMBINADO","UNICO")</f>
        <v>UNICO</v>
      </c>
      <c r="U3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32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2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2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29" s="185">
        <f>IFERROR(TablaPrincipal[[#This Row],[LIBRAS RALEO PLANTA]]/TablaPrincipal[[#This Row],[HAS]],"-")</f>
        <v>0</v>
      </c>
      <c r="Z32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2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32800</v>
      </c>
      <c r="AB32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35841.03</v>
      </c>
      <c r="AC329" s="186">
        <f>SUMIFS(COSECHAS!F:F,COSECHAS!A:A,'BASE 2026'!AW:AW,COSECHAS!G:G,"="&amp;A:A)</f>
        <v>35</v>
      </c>
      <c r="AD329" s="186">
        <f>SUMIFS(COSECHAS!M:M,COSECHAS!A:A,'BASE 2026'!AW:AW,COSECHAS!G:G,"="&amp;A:A)</f>
        <v>32.380000000000003</v>
      </c>
      <c r="AE329" s="185">
        <f>IFERROR(TablaPrincipal[[#This Row],[LIBRAS PLANTA]]/TablaPrincipal[[#This Row],[HAS]],"-")</f>
        <v>3904.251633986928</v>
      </c>
      <c r="AF329" s="185">
        <f>IFERROR(TablaPrincipal[[#This Row],[LIBRAS PLANTA]]*454/TablaPrincipal[[#This Row],[GRAMOS PLANTA]],"-")</f>
        <v>502527.10376775783</v>
      </c>
      <c r="AG329" s="185">
        <f>TablaPrincipal[[#This Row],[LIBRAS RALEO PLANTA]]+TablaPrincipal[[#This Row],[LIBRAS PLANTA]]</f>
        <v>35841.03</v>
      </c>
      <c r="AH329" s="185">
        <f>IFERROR(TablaPrincipal[[#This Row],[CAM COSECHADOS RALEO]]+TablaPrincipal[[#This Row],[CAM COSECHADOS]],"-")</f>
        <v>502527.10376775783</v>
      </c>
      <c r="AI329" s="185">
        <f>IFERROR((TablaPrincipal[[#This Row],[LIBRAS RALEO PLANTA]]+TablaPrincipal[[#This Row],[LIBRAS PLANTA]])/TablaPrincipal[[#This Row],[HAS]],"0")</f>
        <v>3904.251633986928</v>
      </c>
      <c r="AJ329" s="186">
        <f t="shared" si="6"/>
        <v>4.1210909090909098</v>
      </c>
      <c r="AK329" s="186">
        <f>IFERROR(TablaPrincipal[[#This Row],[LBS/HA]]/TablaPrincipal[[#This Row],[DIAS]],"-")</f>
        <v>70.986393345216868</v>
      </c>
      <c r="AL329" s="186">
        <f>IFERROR(TablaPrincipal[[#This Row],[CAM COSECHADOS TOTALES]]/TablaPrincipal[[#This Row],[ANIM SEMBRADOS]]*100,"-")</f>
        <v>50.252710376775781</v>
      </c>
      <c r="AM329" s="185">
        <v>52469.48</v>
      </c>
      <c r="AN329" s="187">
        <f>IFERROR(((TablaPrincipal[[#This Row],[BALANCEADO ACUMULADO (LBS)]]/2.2046)/TablaPrincipal[[#This Row],[HAS]])/TablaPrincipal[[#This Row],[DIAS]],"-")</f>
        <v>47.138047138047135</v>
      </c>
      <c r="AO329" s="184">
        <f>IFERROR(TablaPrincipal[[#This Row],[BALANCEADO ACUMULADO (LBS)]]/TablaPrincipal[[#This Row],[LIBRAS TOTALES]],"-")</f>
        <v>1.4639501152729151</v>
      </c>
      <c r="AP329" s="184"/>
      <c r="AQ329" s="184"/>
      <c r="AR329" s="185">
        <f>TablaPrincipal[[#This Row],[LIBRAS RALEO PLANTA]]-TablaPrincipal[[#This Row],[LIBRAS RALEO CAMARONERA]]</f>
        <v>0</v>
      </c>
      <c r="AS329" s="185">
        <f>TablaPrincipal[[#This Row],[LIBRAS PLANTA]]-TablaPrincipal[[#This Row],[LIBRAS CAMARONERA]]</f>
        <v>3041.0299999999988</v>
      </c>
      <c r="AT329" s="187">
        <f>TablaPrincipal[[#This Row],[GRAMAJE RALEO PLANTA]]-TablaPrincipal[[#This Row],[GRAMAJE RALEO CAMARONERA]]</f>
        <v>0</v>
      </c>
      <c r="AU329" s="187">
        <f>TablaPrincipal[[#This Row],[GRAMOS PLANTA]]-TablaPrincipal[[#This Row],[GRAMAJE CAMARONERA]]</f>
        <v>-2.6199999999999974</v>
      </c>
      <c r="AV329" s="183" t="str">
        <f>+VLOOKUP(TablaPrincipal[[#This Row],[CODIGO]],TablaCosechas[#All],10,0)</f>
        <v>CARLOS FLORES</v>
      </c>
      <c r="AW329" s="183" t="s">
        <v>252</v>
      </c>
      <c r="AX329" s="241" t="str">
        <f>+VLOOKUP(TablaPrincipal[[#This Row],[CODIGO]],TablaCosechas[#All],10,0)</f>
        <v>CARLOS FLORES</v>
      </c>
    </row>
    <row r="330" spans="1:50" hidden="1" x14ac:dyDescent="0.25">
      <c r="A330" s="196">
        <v>46136</v>
      </c>
      <c r="B330" s="242">
        <f>ROW() - ROW(TablaPrincipal[[#Headers],[ID]])</f>
        <v>328</v>
      </c>
      <c r="C330" s="183">
        <f>YEAR(TablaPrincipal[[#This Row],[FECHA]])</f>
        <v>2026</v>
      </c>
      <c r="D330" s="183" t="s">
        <v>334</v>
      </c>
      <c r="E330" s="183" t="str">
        <f>UPPER(TEXT(TablaPrincipal[[#This Row],[FECHA]],"MMMM"))</f>
        <v>ABRIL</v>
      </c>
      <c r="F330" s="183" t="str">
        <f>IFERROR(VLOOKUP(TablaPrincipal[[#This Row],[CODIGO]],COSECHAS!A:J,9,0),"-")</f>
        <v>04</v>
      </c>
      <c r="G330" s="183" t="str">
        <f>IFERROR(VLOOKUP(TablaPrincipal[[#This Row],[CODIGO]],COSECHAS!A:I,8,0),"-")</f>
        <v>DORADO</v>
      </c>
      <c r="H330" s="184">
        <f>IFERROR(VLOOKUP(TablaPrincipal[[#This Row],[CODIGO]],DATOS!A:B,2,0),"-")</f>
        <v>9.81</v>
      </c>
      <c r="I330" s="183" t="str">
        <f>IFERROR(VLOOKUP(TablaPrincipal[[#This Row],[CODIGO]],Tabla8[[#Headers],[#Data]],3,0),"-")</f>
        <v>ASC-BAP</v>
      </c>
      <c r="J330" s="183">
        <f>IFERROR(TablaPrincipal[[#This Row],[FECHA]]-TablaPrincipal[[#This Row],[FECHA DE SIEMBRA]],"-")</f>
        <v>72</v>
      </c>
      <c r="K330" s="196">
        <f>VLOOKUP(TablaPrincipal[[#This Row],[CODIGO]]&amp;TablaPrincipal[[#This Row],[AGUAJE ]],Tabla4[#All],4,0)</f>
        <v>46064</v>
      </c>
      <c r="L330" s="183" t="str">
        <f>VLOOKUP(TablaPrincipal[[#This Row],[CODIGO]]&amp;TablaPrincipal[[#This Row],[AGUAJE ]],Tabla4[#All],15,0)</f>
        <v>PS 2</v>
      </c>
      <c r="M330" s="184">
        <f>VLOOKUP(TablaPrincipal[[#This Row],[CODIGO]]&amp;TablaPrincipal[[#This Row],[AGUAJE ]],Tabla4[#All],14,0)</f>
        <v>2.37</v>
      </c>
      <c r="N330" s="183">
        <v>4</v>
      </c>
      <c r="O330" s="170">
        <f>VLOOKUP(TablaPrincipal[[#This Row],[CODIGO]]&amp;TablaPrincipal[[#This Row],[AGUAJE ]],Tabla4[#All],5,0)</f>
        <v>1765823</v>
      </c>
      <c r="P330" s="221">
        <f>IFERROR(TablaPrincipal[[#This Row],[ANIM SEMBRADOS]]/TablaPrincipal[[#This Row],[HAS]],"-")</f>
        <v>180002.34454638124</v>
      </c>
      <c r="Q330" s="222">
        <f>IFERROR(TablaPrincipal[[#This Row],[DENSIDAD]]/10000,"-")</f>
        <v>18.000234454638125</v>
      </c>
      <c r="R330" s="183" t="str">
        <f>VLOOKUP(TablaPrincipal[[#This Row],[CODIGO]]&amp;TablaPrincipal[[#This Row],[AGUAJE ]],Tabla4[#All],8,0)</f>
        <v>EMPAGRAN</v>
      </c>
      <c r="S330" s="183" t="str">
        <f>VLOOKUP(TablaPrincipal[[#This Row],[CODIGO]]&amp;TablaPrincipal[[#This Row],[AGUAJE ]],Tabla4[#All],7,0)</f>
        <v>EMPAGRAN</v>
      </c>
      <c r="T330" s="183" t="str">
        <f>IF(ISNUMBER(FIND("/",TablaPrincipal[[#This Row],[LABORATORIO]])),"COMBINADO","UNICO")</f>
        <v>UNICO</v>
      </c>
      <c r="U3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61850</v>
      </c>
      <c r="V33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65193.899999999994</v>
      </c>
      <c r="W33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26.75</v>
      </c>
      <c r="X33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27.364999999999998</v>
      </c>
      <c r="Y330" s="185">
        <f>IFERROR(TablaPrincipal[[#This Row],[LIBRAS RALEO PLANTA]]/TablaPrincipal[[#This Row],[HAS]],"-")</f>
        <v>6645.6574923547387</v>
      </c>
      <c r="Z33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1109602.1598299069</v>
      </c>
      <c r="AA33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600</v>
      </c>
      <c r="AB33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672.87</v>
      </c>
      <c r="AC330" s="186">
        <f>SUMIFS(COSECHAS!F:F,COSECHAS!A:A,'BASE 2026'!AW:AW,COSECHAS!G:G,"="&amp;A:A)</f>
        <v>30</v>
      </c>
      <c r="AD330" s="186">
        <f>SUMIFS(COSECHAS!M:M,COSECHAS!A:A,'BASE 2026'!AW:AW,COSECHAS!G:G,"="&amp;A:A)</f>
        <v>29.32</v>
      </c>
      <c r="AE330" s="185">
        <f>IFERROR(TablaPrincipal[[#This Row],[LIBRAS PLANTA]]/TablaPrincipal[[#This Row],[HAS]],"-")</f>
        <v>68.590214067278282</v>
      </c>
      <c r="AF330" s="185">
        <f>IFERROR(TablaPrincipal[[#This Row],[LIBRAS PLANTA]]*454/TablaPrincipal[[#This Row],[GRAMOS PLANTA]],"-")</f>
        <v>10418.928376534788</v>
      </c>
      <c r="AG330" s="185">
        <f>TablaPrincipal[[#This Row],[LIBRAS RALEO PLANTA]]+TablaPrincipal[[#This Row],[LIBRAS PLANTA]]</f>
        <v>65866.76999999999</v>
      </c>
      <c r="AH330" s="185">
        <f>IFERROR(TablaPrincipal[[#This Row],[CAM COSECHADOS RALEO]]+TablaPrincipal[[#This Row],[CAM COSECHADOS]],"-")</f>
        <v>1120021.0882064416</v>
      </c>
      <c r="AI330" s="185">
        <f>IFERROR((TablaPrincipal[[#This Row],[LIBRAS RALEO PLANTA]]+TablaPrincipal[[#This Row],[LIBRAS PLANTA]])/TablaPrincipal[[#This Row],[HAS]],"0")</f>
        <v>6714.2477064220166</v>
      </c>
      <c r="AJ330" s="186">
        <f t="shared" si="5"/>
        <v>2.8505555555555553</v>
      </c>
      <c r="AK330" s="186">
        <f>IFERROR(TablaPrincipal[[#This Row],[LBS/HA]]/TablaPrincipal[[#This Row],[DIAS]],"-")</f>
        <v>93.253440366972455</v>
      </c>
      <c r="AL330" s="186">
        <f>IFERROR(TablaPrincipal[[#This Row],[CAM COSECHADOS TOTALES]]/TablaPrincipal[[#This Row],[ANIM SEMBRADOS]]*100,"-")</f>
        <v>63.42770981046467</v>
      </c>
      <c r="AM330" s="185">
        <v>95293.835000000006</v>
      </c>
      <c r="AN330" s="187">
        <f>IFERROR(((TablaPrincipal[[#This Row],[BALANCEADO ACUMULADO (LBS)]]/2.2046)/TablaPrincipal[[#This Row],[HAS]])/TablaPrincipal[[#This Row],[DIAS]],"-")</f>
        <v>61.197474232642421</v>
      </c>
      <c r="AO330" s="184">
        <f>IFERROR(TablaPrincipal[[#This Row],[BALANCEADO ACUMULADO (LBS)]]/TablaPrincipal[[#This Row],[LIBRAS TOTALES]],"-")</f>
        <v>1.4467664802752591</v>
      </c>
      <c r="AP330" s="184"/>
      <c r="AQ330" s="184"/>
      <c r="AR330" s="185">
        <f>TablaPrincipal[[#This Row],[LIBRAS RALEO PLANTA]]-TablaPrincipal[[#This Row],[LIBRAS RALEO CAMARONERA]]</f>
        <v>3343.8999999999942</v>
      </c>
      <c r="AS330" s="185">
        <f>TablaPrincipal[[#This Row],[LIBRAS PLANTA]]-TablaPrincipal[[#This Row],[LIBRAS CAMARONERA]]</f>
        <v>72.87</v>
      </c>
      <c r="AT330" s="187">
        <f>TablaPrincipal[[#This Row],[GRAMAJE RALEO PLANTA]]-TablaPrincipal[[#This Row],[GRAMAJE RALEO CAMARONERA]]</f>
        <v>0.61499999999999844</v>
      </c>
      <c r="AU330" s="187">
        <f>TablaPrincipal[[#This Row],[GRAMOS PLANTA]]-TablaPrincipal[[#This Row],[GRAMAJE CAMARONERA]]</f>
        <v>-0.67999999999999972</v>
      </c>
      <c r="AV330" s="183" t="str">
        <f>+VLOOKUP(TablaPrincipal[[#This Row],[CODIGO]],TablaCosechas[#All],10,0)</f>
        <v>JOSE CEDEÑO</v>
      </c>
      <c r="AW330" s="183" t="s">
        <v>208</v>
      </c>
      <c r="AX330" s="188" t="str">
        <f>+VLOOKUP(TablaPrincipal[[#This Row],[CODIGO]],TablaCosechas[#All],10,0)</f>
        <v>JOSE CEDEÑO</v>
      </c>
    </row>
    <row r="331" spans="1:50" hidden="1" x14ac:dyDescent="0.25">
      <c r="A331" s="196">
        <v>46136</v>
      </c>
      <c r="B331" s="242">
        <f>ROW() - ROW(TablaPrincipal[[#Headers],[ID]])</f>
        <v>329</v>
      </c>
      <c r="C331" s="183">
        <f>YEAR(TablaPrincipal[[#This Row],[FECHA]])</f>
        <v>2026</v>
      </c>
      <c r="D331" s="183" t="s">
        <v>334</v>
      </c>
      <c r="E331" s="183" t="str">
        <f>UPPER(TEXT(TablaPrincipal[[#This Row],[FECHA]],"MMMM"))</f>
        <v>ABRIL</v>
      </c>
      <c r="F331" s="183" t="str">
        <f>IFERROR(VLOOKUP(TablaPrincipal[[#This Row],[CODIGO]],COSECHAS!A:J,9,0),"-")</f>
        <v>14</v>
      </c>
      <c r="G331" s="183" t="str">
        <f>IFERROR(VLOOKUP(TablaPrincipal[[#This Row],[CODIGO]],COSECHAS!A:I,8,0),"-")</f>
        <v>TIBURON</v>
      </c>
      <c r="H331" s="184">
        <f>IFERROR(VLOOKUP(TablaPrincipal[[#This Row],[CODIGO]],DATOS!A:B,2,0),"-")</f>
        <v>4.7</v>
      </c>
      <c r="I331" s="183" t="str">
        <f>IFERROR(VLOOKUP(TablaPrincipal[[#This Row],[CODIGO]],Tabla8[[#Headers],[#Data]],3,0),"-")</f>
        <v>ASC-BAP</v>
      </c>
      <c r="J331" s="183">
        <f>IFERROR(TablaPrincipal[[#This Row],[FECHA]]-TablaPrincipal[[#This Row],[FECHA DE SIEMBRA]],"-")</f>
        <v>89</v>
      </c>
      <c r="K331" s="196">
        <f>VLOOKUP(TablaPrincipal[[#This Row],[CODIGO]]&amp;TablaPrincipal[[#This Row],[AGUAJE ]],Tabla4[#All],4,0)</f>
        <v>46047</v>
      </c>
      <c r="L331" s="183" t="str">
        <f>VLOOKUP(TablaPrincipal[[#This Row],[CODIGO]]&amp;TablaPrincipal[[#This Row],[AGUAJE ]],Tabla4[#All],15,0)</f>
        <v>TI 30</v>
      </c>
      <c r="M331" s="184">
        <f>VLOOKUP(TablaPrincipal[[#This Row],[CODIGO]]&amp;TablaPrincipal[[#This Row],[AGUAJE ]],Tabla4[#All],14,0)</f>
        <v>0.36</v>
      </c>
      <c r="N331" s="183">
        <v>8</v>
      </c>
      <c r="O331" s="170">
        <f>VLOOKUP(TablaPrincipal[[#This Row],[CODIGO]]&amp;TablaPrincipal[[#This Row],[AGUAJE ]],Tabla4[#All],5,0)</f>
        <v>799000</v>
      </c>
      <c r="P331" s="221">
        <f>IFERROR(TablaPrincipal[[#This Row],[ANIM SEMBRADOS]]/TablaPrincipal[[#This Row],[HAS]],"-")</f>
        <v>170000</v>
      </c>
      <c r="Q331" s="222">
        <f>IFERROR(TablaPrincipal[[#This Row],[DENSIDAD]]/10000,"-")</f>
        <v>17</v>
      </c>
      <c r="R331" s="183" t="str">
        <f>VLOOKUP(TablaPrincipal[[#This Row],[CODIGO]]&amp;TablaPrincipal[[#This Row],[AGUAJE ]],Tabla4[#All],8,0)</f>
        <v>NEMEN</v>
      </c>
      <c r="S331" s="183" t="str">
        <f>VLOOKUP(TablaPrincipal[[#This Row],[CODIGO]]&amp;TablaPrincipal[[#This Row],[AGUAJE ]],Tabla4[#All],7,0)</f>
        <v>TEXCUMAR</v>
      </c>
      <c r="T331" s="183" t="str">
        <f>IF(ISNUMBER(FIND("/",TablaPrincipal[[#This Row],[LABORATORIO]])),"COMBINADO","UNICO")</f>
        <v>UNICO</v>
      </c>
      <c r="U3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13050</v>
      </c>
      <c r="V33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13687.44</v>
      </c>
      <c r="W33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20.75</v>
      </c>
      <c r="X33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20.27</v>
      </c>
      <c r="Y331" s="185">
        <f>IFERROR(TablaPrincipal[[#This Row],[LIBRAS RALEO PLANTA]]/TablaPrincipal[[#This Row],[HAS]],"-")</f>
        <v>2912.2212765957447</v>
      </c>
      <c r="Z33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309292.67707027117</v>
      </c>
      <c r="AA33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23700</v>
      </c>
      <c r="AB33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24879.59</v>
      </c>
      <c r="AC331" s="186">
        <f>SUMIFS(COSECHAS!F:F,COSECHAS!A:A,'BASE 2026'!AW:AW,COSECHAS!G:G,"="&amp;A:A)</f>
        <v>32</v>
      </c>
      <c r="AD331" s="186">
        <f>SUMIFS(COSECHAS!M:M,COSECHAS!A:A,'BASE 2026'!AW:AW,COSECHAS!G:G,"="&amp;A:A)</f>
        <v>30.7</v>
      </c>
      <c r="AE331" s="185">
        <f>IFERROR(TablaPrincipal[[#This Row],[LIBRAS PLANTA]]/TablaPrincipal[[#This Row],[HAS]],"-")</f>
        <v>5293.5297872340425</v>
      </c>
      <c r="AF331" s="185">
        <f>IFERROR(TablaPrincipal[[#This Row],[LIBRAS PLANTA]]*454/TablaPrincipal[[#This Row],[GRAMOS PLANTA]],"-")</f>
        <v>367926.18436482083</v>
      </c>
      <c r="AG331" s="185">
        <f>TablaPrincipal[[#This Row],[LIBRAS RALEO PLANTA]]+TablaPrincipal[[#This Row],[LIBRAS PLANTA]]</f>
        <v>38567.03</v>
      </c>
      <c r="AH331" s="185">
        <f>IFERROR(TablaPrincipal[[#This Row],[CAM COSECHADOS RALEO]]+TablaPrincipal[[#This Row],[CAM COSECHADOS]],"-")</f>
        <v>677218.86143509205</v>
      </c>
      <c r="AI331" s="185">
        <f>IFERROR((TablaPrincipal[[#This Row],[LIBRAS RALEO PLANTA]]+TablaPrincipal[[#This Row],[LIBRAS PLANTA]])/TablaPrincipal[[#This Row],[HAS]],"0")</f>
        <v>8205.7510638297863</v>
      </c>
      <c r="AJ331" s="186">
        <f t="shared" si="5"/>
        <v>2.4146067415730337</v>
      </c>
      <c r="AK331" s="186">
        <f>IFERROR(TablaPrincipal[[#This Row],[LBS/HA]]/TablaPrincipal[[#This Row],[DIAS]],"-")</f>
        <v>92.199450155390863</v>
      </c>
      <c r="AL331" s="186">
        <f>IFERROR(TablaPrincipal[[#This Row],[CAM COSECHADOS TOTALES]]/TablaPrincipal[[#This Row],[ANIM SEMBRADOS]]*100,"-")</f>
        <v>84.758305561338176</v>
      </c>
      <c r="AM331" s="185">
        <v>56713.34</v>
      </c>
      <c r="AN331" s="187">
        <f>IFERROR(((TablaPrincipal[[#This Row],[BALANCEADO ACUMULADO (LBS)]]/2.2046)/TablaPrincipal[[#This Row],[HAS]])/TablaPrincipal[[#This Row],[DIAS]],"-")</f>
        <v>61.49892963897949</v>
      </c>
      <c r="AO331" s="184">
        <f>IFERROR(TablaPrincipal[[#This Row],[BALANCEADO ACUMULADO (LBS)]]/TablaPrincipal[[#This Row],[LIBRAS TOTALES]],"-")</f>
        <v>1.4705135448594304</v>
      </c>
      <c r="AP331" s="184"/>
      <c r="AQ331" s="184"/>
      <c r="AR331" s="185">
        <f>TablaPrincipal[[#This Row],[LIBRAS RALEO PLANTA]]-TablaPrincipal[[#This Row],[LIBRAS RALEO CAMARONERA]]</f>
        <v>637.44000000000051</v>
      </c>
      <c r="AS331" s="185">
        <f>TablaPrincipal[[#This Row],[LIBRAS PLANTA]]-TablaPrincipal[[#This Row],[LIBRAS CAMARONERA]]</f>
        <v>1179.5900000000001</v>
      </c>
      <c r="AT331" s="187">
        <f>TablaPrincipal[[#This Row],[GRAMAJE RALEO PLANTA]]-TablaPrincipal[[#This Row],[GRAMAJE RALEO CAMARONERA]]</f>
        <v>-0.48000000000000043</v>
      </c>
      <c r="AU331" s="187">
        <f>TablaPrincipal[[#This Row],[GRAMOS PLANTA]]-TablaPrincipal[[#This Row],[GRAMAJE CAMARONERA]]</f>
        <v>-1.3000000000000007</v>
      </c>
      <c r="AV331" s="183" t="str">
        <f>+VLOOKUP(TablaPrincipal[[#This Row],[CODIGO]],TablaCosechas[#All],10,0)</f>
        <v>ALFONSO GRUNAUER</v>
      </c>
      <c r="AW331" s="183" t="s">
        <v>160</v>
      </c>
      <c r="AX331" s="241" t="str">
        <f>+VLOOKUP(TablaPrincipal[[#This Row],[CODIGO]],TablaCosechas[#All],10,0)</f>
        <v>ALFONSO GRUNAUER</v>
      </c>
    </row>
    <row r="332" spans="1:50" hidden="1" x14ac:dyDescent="0.25">
      <c r="A332" s="196">
        <v>46137</v>
      </c>
      <c r="B332" s="242">
        <f>ROW() - ROW(TablaPrincipal[[#Headers],[ID]])</f>
        <v>330</v>
      </c>
      <c r="C332" s="183">
        <f>YEAR(TablaPrincipal[[#This Row],[FECHA]])</f>
        <v>2026</v>
      </c>
      <c r="D332" s="183" t="s">
        <v>334</v>
      </c>
      <c r="E332" s="183" t="str">
        <f>UPPER(TEXT(TablaPrincipal[[#This Row],[FECHA]],"MMMM"))</f>
        <v>ABRIL</v>
      </c>
      <c r="F332" s="183" t="str">
        <f>IFERROR(VLOOKUP(TablaPrincipal[[#This Row],[CODIGO]],COSECHAS!A:J,9,0),"-")</f>
        <v>24</v>
      </c>
      <c r="G332" s="183" t="str">
        <f>IFERROR(VLOOKUP(TablaPrincipal[[#This Row],[CODIGO]],COSECHAS!A:I,8,0),"-")</f>
        <v>TAMBULERO</v>
      </c>
      <c r="H332" s="184">
        <f>IFERROR(VLOOKUP(TablaPrincipal[[#This Row],[CODIGO]],DATOS!A:B,2,0),"-")</f>
        <v>7.15</v>
      </c>
      <c r="I332" s="183" t="str">
        <f>IFERROR(VLOOKUP(TablaPrincipal[[#This Row],[CODIGO]],Tabla8[[#Headers],[#Data]],3,0),"-")</f>
        <v>ASC-BAP</v>
      </c>
      <c r="J332" s="183">
        <f>IFERROR(TablaPrincipal[[#This Row],[FECHA]]-TablaPrincipal[[#This Row],[FECHA DE SIEMBRA]],"-")</f>
        <v>81</v>
      </c>
      <c r="K332" s="196">
        <f>VLOOKUP(TablaPrincipal[[#This Row],[CODIGO]]&amp;TablaPrincipal[[#This Row],[AGUAJE ]],Tabla4[#All],4,0)</f>
        <v>46056</v>
      </c>
      <c r="L332" s="183" t="str">
        <f>VLOOKUP(TablaPrincipal[[#This Row],[CODIGO]]&amp;TablaPrincipal[[#This Row],[AGUAJE ]],Tabla4[#All],15,0)</f>
        <v>TA 4</v>
      </c>
      <c r="M332" s="184">
        <f>VLOOKUP(TablaPrincipal[[#This Row],[CODIGO]]&amp;TablaPrincipal[[#This Row],[AGUAJE ]],Tabla4[#All],14,0)</f>
        <v>0.35</v>
      </c>
      <c r="N332" s="183">
        <v>12</v>
      </c>
      <c r="O332" s="170">
        <f>VLOOKUP(TablaPrincipal[[#This Row],[CODIGO]]&amp;TablaPrincipal[[#This Row],[AGUAJE ]],Tabla4[#All],5,0)</f>
        <v>1208205</v>
      </c>
      <c r="P332" s="221">
        <f>IFERROR(TablaPrincipal[[#This Row],[ANIM SEMBRADOS]]/TablaPrincipal[[#This Row],[HAS]],"-")</f>
        <v>168979.72027972026</v>
      </c>
      <c r="Q332" s="222">
        <f>IFERROR(TablaPrincipal[[#This Row],[DENSIDAD]]/10000,"-")</f>
        <v>16.897972027972028</v>
      </c>
      <c r="R332" s="183" t="str">
        <f>VLOOKUP(TablaPrincipal[[#This Row],[CODIGO]]&amp;TablaPrincipal[[#This Row],[AGUAJE ]],Tabla4[#All],8,0)</f>
        <v>ACUATECSA</v>
      </c>
      <c r="S332" s="183" t="str">
        <f>VLOOKUP(TablaPrincipal[[#This Row],[CODIGO]]&amp;TablaPrincipal[[#This Row],[AGUAJE ]],Tabla4[#All],7,0)</f>
        <v>TEXCUMAR</v>
      </c>
      <c r="T332" s="183" t="str">
        <f>IF(ISNUMBER(FIND("/",TablaPrincipal[[#This Row],[LABORATORIO]])),"COMBINADO","UNICO")</f>
        <v>UNICO</v>
      </c>
      <c r="U3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18400</v>
      </c>
      <c r="V33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18875.599999999999</v>
      </c>
      <c r="W33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33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Y332" s="185">
        <f>IFERROR(TablaPrincipal[[#This Row],[LIBRAS RALEO PLANTA]]/TablaPrincipal[[#This Row],[HAS]],"-")</f>
        <v>2639.9440559440554</v>
      </c>
      <c r="Z33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380655.58486583835</v>
      </c>
      <c r="AA33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29350</v>
      </c>
      <c r="AB33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31474.959999999999</v>
      </c>
      <c r="AC332" s="186">
        <f>SUMIFS(COSECHAS!F:F,COSECHAS!A:A,'BASE 2026'!AW:AW,COSECHAS!G:G,"="&amp;A:A)</f>
        <v>32</v>
      </c>
      <c r="AD332" s="186">
        <f>SUMIFS(COSECHAS!M:M,COSECHAS!A:A,'BASE 2026'!AW:AW,COSECHAS!G:G,"="&amp;A:A)</f>
        <v>32.299999999999997</v>
      </c>
      <c r="AE332" s="185">
        <f>IFERROR(TablaPrincipal[[#This Row],[LIBRAS PLANTA]]/TablaPrincipal[[#This Row],[HAS]],"-")</f>
        <v>4402.0923076923073</v>
      </c>
      <c r="AF332" s="185">
        <f>IFERROR(TablaPrincipal[[#This Row],[LIBRAS PLANTA]]*454/TablaPrincipal[[#This Row],[GRAMOS PLANTA]],"-")</f>
        <v>442403.46253869974</v>
      </c>
      <c r="AG332" s="185">
        <f>TablaPrincipal[[#This Row],[LIBRAS RALEO PLANTA]]+TablaPrincipal[[#This Row],[LIBRAS PLANTA]]</f>
        <v>50350.559999999998</v>
      </c>
      <c r="AH332" s="185">
        <f>IFERROR(TablaPrincipal[[#This Row],[CAM COSECHADOS RALEO]]+TablaPrincipal[[#This Row],[CAM COSECHADOS]],"-")</f>
        <v>823059.04740453814</v>
      </c>
      <c r="AI332" s="185">
        <f>IFERROR((TablaPrincipal[[#This Row],[LIBRAS RALEO PLANTA]]+TablaPrincipal[[#This Row],[LIBRAS PLANTA]])/TablaPrincipal[[#This Row],[HAS]],"0")</f>
        <v>7042.0363636363627</v>
      </c>
      <c r="AJ332" s="186">
        <f t="shared" si="5"/>
        <v>2.7913580246913576</v>
      </c>
      <c r="AK332" s="186">
        <f>IFERROR(TablaPrincipal[[#This Row],[LBS/HA]]/TablaPrincipal[[#This Row],[DIAS]],"-")</f>
        <v>86.938720538720531</v>
      </c>
      <c r="AL332" s="186">
        <f>IFERROR(TablaPrincipal[[#This Row],[CAM COSECHADOS TOTALES]]/TablaPrincipal[[#This Row],[ANIM SEMBRADOS]]*100,"-")</f>
        <v>68.122466585102543</v>
      </c>
      <c r="AM332" s="185">
        <v>79310.485000000001</v>
      </c>
      <c r="AN332" s="187">
        <f>IFERROR(((TablaPrincipal[[#This Row],[BALANCEADO ACUMULADO (LBS)]]/2.2046)/TablaPrincipal[[#This Row],[HAS]])/TablaPrincipal[[#This Row],[DIAS]],"-")</f>
        <v>62.116895450228782</v>
      </c>
      <c r="AO332" s="184">
        <f>IFERROR(TablaPrincipal[[#This Row],[BALANCEADO ACUMULADO (LBS)]]/TablaPrincipal[[#This Row],[LIBRAS TOTALES]],"-")</f>
        <v>1.575165896863908</v>
      </c>
      <c r="AP332" s="184"/>
      <c r="AQ332" s="184"/>
      <c r="AR332" s="185">
        <f>TablaPrincipal[[#This Row],[LIBRAS RALEO PLANTA]]-TablaPrincipal[[#This Row],[LIBRAS RALEO CAMARONERA]]</f>
        <v>475.59999999999854</v>
      </c>
      <c r="AS332" s="185">
        <f>TablaPrincipal[[#This Row],[LIBRAS PLANTA]]-TablaPrincipal[[#This Row],[LIBRAS CAMARONERA]]</f>
        <v>2124.9599999999991</v>
      </c>
      <c r="AT332" s="187">
        <f>TablaPrincipal[[#This Row],[GRAMAJE RALEO PLANTA]]-TablaPrincipal[[#This Row],[GRAMAJE RALEO CAMARONERA]]</f>
        <v>0.75</v>
      </c>
      <c r="AU332" s="187">
        <f>TablaPrincipal[[#This Row],[GRAMOS PLANTA]]-TablaPrincipal[[#This Row],[GRAMAJE CAMARONERA]]</f>
        <v>0.29999999999999716</v>
      </c>
      <c r="AV332" s="183" t="str">
        <f>+VLOOKUP(TablaPrincipal[[#This Row],[CODIGO]],TablaCosechas[#All],10,0)</f>
        <v>ALFONSO GRUNAUER</v>
      </c>
      <c r="AW332" s="183" t="s">
        <v>172</v>
      </c>
      <c r="AX332" s="241" t="str">
        <f>+VLOOKUP(TablaPrincipal[[#This Row],[CODIGO]],TablaCosechas[#All],10,0)</f>
        <v>ALFONSO GRUNAUER</v>
      </c>
    </row>
    <row r="333" spans="1:50" hidden="1" x14ac:dyDescent="0.25">
      <c r="A333" s="196">
        <v>46137</v>
      </c>
      <c r="B333" s="242">
        <f>ROW() - ROW(TablaPrincipal[[#Headers],[ID]])</f>
        <v>331</v>
      </c>
      <c r="C333" s="183">
        <f>YEAR(TablaPrincipal[[#This Row],[FECHA]])</f>
        <v>2026</v>
      </c>
      <c r="D333" s="183" t="s">
        <v>334</v>
      </c>
      <c r="E333" s="183" t="str">
        <f>UPPER(TEXT(TablaPrincipal[[#This Row],[FECHA]],"MMMM"))</f>
        <v>ABRIL</v>
      </c>
      <c r="F333" s="183" t="str">
        <f>IFERROR(VLOOKUP(TablaPrincipal[[#This Row],[CODIGO]],COSECHAS!A:J,9,0),"-")</f>
        <v>07</v>
      </c>
      <c r="G333" s="183" t="str">
        <f>IFERROR(VLOOKUP(TablaPrincipal[[#This Row],[CODIGO]],COSECHAS!A:I,8,0),"-")</f>
        <v>DORADO</v>
      </c>
      <c r="H333" s="184">
        <f>IFERROR(VLOOKUP(TablaPrincipal[[#This Row],[CODIGO]],DATOS!A:B,2,0),"-")</f>
        <v>6.31</v>
      </c>
      <c r="I333" s="183" t="str">
        <f>IFERROR(VLOOKUP(TablaPrincipal[[#This Row],[CODIGO]],Tabla8[[#Headers],[#Data]],3,0),"-")</f>
        <v>ASC-BAP</v>
      </c>
      <c r="J333" s="183">
        <f>IFERROR(TablaPrincipal[[#This Row],[FECHA]]-TablaPrincipal[[#This Row],[FECHA DE SIEMBRA]],"-")</f>
        <v>93</v>
      </c>
      <c r="K333" s="196">
        <f>VLOOKUP(TablaPrincipal[[#This Row],[CODIGO]]&amp;TablaPrincipal[[#This Row],[AGUAJE ]],Tabla4[#All],4,0)</f>
        <v>46044</v>
      </c>
      <c r="L333" s="183" t="str">
        <f>VLOOKUP(TablaPrincipal[[#This Row],[CODIGO]]&amp;TablaPrincipal[[#This Row],[AGUAJE ]],Tabla4[#All],15,0)</f>
        <v>DO PC 1</v>
      </c>
      <c r="M333" s="184">
        <f>VLOOKUP(TablaPrincipal[[#This Row],[CODIGO]]&amp;TablaPrincipal[[#This Row],[AGUAJE ]],Tabla4[#All],14,0)</f>
        <v>1.06</v>
      </c>
      <c r="N333" s="183">
        <v>8</v>
      </c>
      <c r="O333" s="170">
        <f>VLOOKUP(TablaPrincipal[[#This Row],[CODIGO]]&amp;TablaPrincipal[[#This Row],[AGUAJE ]],Tabla4[#All],5,0)</f>
        <v>866415</v>
      </c>
      <c r="P333" s="221">
        <f>IFERROR(TablaPrincipal[[#This Row],[ANIM SEMBRADOS]]/TablaPrincipal[[#This Row],[HAS]],"-")</f>
        <v>137308.24088748021</v>
      </c>
      <c r="Q333" s="222">
        <f>IFERROR(TablaPrincipal[[#This Row],[DENSIDAD]]/10000,"-")</f>
        <v>13.730824088748021</v>
      </c>
      <c r="R333" s="183" t="str">
        <f>VLOOKUP(TablaPrincipal[[#This Row],[CODIGO]]&amp;TablaPrincipal[[#This Row],[AGUAJE ]],Tabla4[#All],8,0)</f>
        <v>BIOLACAM</v>
      </c>
      <c r="S333" s="183" t="str">
        <f>VLOOKUP(TablaPrincipal[[#This Row],[CODIGO]]&amp;TablaPrincipal[[#This Row],[AGUAJE ]],Tabla4[#All],7,0)</f>
        <v>TEXCUMAR</v>
      </c>
      <c r="T333" s="183" t="str">
        <f>IF(ISNUMBER(FIND("/",TablaPrincipal[[#This Row],[LABORATORIO]])),"COMBINADO","UNICO")</f>
        <v>UNICO</v>
      </c>
      <c r="U3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33050</v>
      </c>
      <c r="V33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31876.95</v>
      </c>
      <c r="W33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40.5</v>
      </c>
      <c r="X33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38.76</v>
      </c>
      <c r="Y333" s="185">
        <f>IFERROR(TablaPrincipal[[#This Row],[LIBRAS RALEO PLANTA]]/TablaPrincipal[[#This Row],[HAS]],"-")</f>
        <v>5051.8145800316961</v>
      </c>
      <c r="Z33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388930.96308426815</v>
      </c>
      <c r="AA33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6400</v>
      </c>
      <c r="AB33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6622.54</v>
      </c>
      <c r="AC333" s="186">
        <f>SUMIFS(COSECHAS!F:F,COSECHAS!A:A,'BASE 2026'!AW:AW,COSECHAS!G:G,"="&amp;A:A)</f>
        <v>50</v>
      </c>
      <c r="AD333" s="186">
        <f>SUMIFS(COSECHAS!M:M,COSECHAS!A:A,'BASE 2026'!AW:AW,COSECHAS!G:G,"="&amp;A:A)</f>
        <v>48.4</v>
      </c>
      <c r="AE333" s="185">
        <f>IFERROR(TablaPrincipal[[#This Row],[LIBRAS PLANTA]]/TablaPrincipal[[#This Row],[HAS]],"-")</f>
        <v>1049.5309033280507</v>
      </c>
      <c r="AF333" s="185">
        <f>IFERROR(TablaPrincipal[[#This Row],[LIBRAS PLANTA]]*454/TablaPrincipal[[#This Row],[GRAMOS PLANTA]],"-")</f>
        <v>62120.519834710751</v>
      </c>
      <c r="AG333" s="185">
        <f>TablaPrincipal[[#This Row],[LIBRAS RALEO PLANTA]]+TablaPrincipal[[#This Row],[LIBRAS PLANTA]]</f>
        <v>38499.49</v>
      </c>
      <c r="AH333" s="185">
        <f>IFERROR(TablaPrincipal[[#This Row],[CAM COSECHADOS RALEO]]+TablaPrincipal[[#This Row],[CAM COSECHADOS]],"-")</f>
        <v>451051.4829189789</v>
      </c>
      <c r="AI333" s="185">
        <f>IFERROR((TablaPrincipal[[#This Row],[LIBRAS RALEO PLANTA]]+TablaPrincipal[[#This Row],[LIBRAS PLANTA]])/TablaPrincipal[[#This Row],[HAS]],"0")</f>
        <v>6101.3454833597461</v>
      </c>
      <c r="AJ333" s="186">
        <f t="shared" si="5"/>
        <v>3.6430107526881716</v>
      </c>
      <c r="AK333" s="186">
        <f>IFERROR(TablaPrincipal[[#This Row],[LBS/HA]]/TablaPrincipal[[#This Row],[DIAS]],"-")</f>
        <v>65.605865412470393</v>
      </c>
      <c r="AL333" s="186">
        <f>IFERROR(TablaPrincipal[[#This Row],[CAM COSECHADOS TOTALES]]/TablaPrincipal[[#This Row],[ANIM SEMBRADOS]]*100,"-")</f>
        <v>52.059519158714807</v>
      </c>
      <c r="AM333" s="185">
        <v>55611.035000000003</v>
      </c>
      <c r="AN333" s="187">
        <f>IFERROR(((TablaPrincipal[[#This Row],[BALANCEADO ACUMULADO (LBS)]]/2.2046)/TablaPrincipal[[#This Row],[HAS]])/TablaPrincipal[[#This Row],[DIAS]],"-")</f>
        <v>42.985191622786843</v>
      </c>
      <c r="AO333" s="184">
        <f>IFERROR(TablaPrincipal[[#This Row],[BALANCEADO ACUMULADO (LBS)]]/TablaPrincipal[[#This Row],[LIBRAS TOTALES]],"-")</f>
        <v>1.4444616019588832</v>
      </c>
      <c r="AP333" s="184"/>
      <c r="AQ333" s="184"/>
      <c r="AR333" s="185">
        <f>TablaPrincipal[[#This Row],[LIBRAS RALEO PLANTA]]-TablaPrincipal[[#This Row],[LIBRAS RALEO CAMARONERA]]</f>
        <v>-1173.0499999999993</v>
      </c>
      <c r="AS333" s="185">
        <f>TablaPrincipal[[#This Row],[LIBRAS PLANTA]]-TablaPrincipal[[#This Row],[LIBRAS CAMARONERA]]</f>
        <v>222.53999999999996</v>
      </c>
      <c r="AT333" s="187">
        <f>TablaPrincipal[[#This Row],[GRAMAJE RALEO PLANTA]]-TablaPrincipal[[#This Row],[GRAMAJE RALEO CAMARONERA]]</f>
        <v>-1.740000000000002</v>
      </c>
      <c r="AU333" s="187">
        <f>TablaPrincipal[[#This Row],[GRAMOS PLANTA]]-TablaPrincipal[[#This Row],[GRAMAJE CAMARONERA]]</f>
        <v>-1.6000000000000014</v>
      </c>
      <c r="AV333" s="183" t="str">
        <f>+VLOOKUP(TablaPrincipal[[#This Row],[CODIGO]],TablaCosechas[#All],10,0)</f>
        <v>JOSE CEDEÑO</v>
      </c>
      <c r="AW333" s="183" t="s">
        <v>127</v>
      </c>
      <c r="AX333" s="188" t="str">
        <f>+VLOOKUP(TablaPrincipal[[#This Row],[CODIGO]],TablaCosechas[#All],10,0)</f>
        <v>JOSE CEDEÑO</v>
      </c>
    </row>
    <row r="334" spans="1:50" hidden="1" x14ac:dyDescent="0.25">
      <c r="A334" s="196">
        <v>46138</v>
      </c>
      <c r="B334" s="242">
        <f>ROW() - ROW(TablaPrincipal[[#Headers],[ID]])</f>
        <v>332</v>
      </c>
      <c r="C334" s="183">
        <f>YEAR(TablaPrincipal[[#This Row],[FECHA]])</f>
        <v>2026</v>
      </c>
      <c r="D334" s="183" t="s">
        <v>334</v>
      </c>
      <c r="E334" s="183" t="str">
        <f>UPPER(TEXT(TablaPrincipal[[#This Row],[FECHA]],"MMMM"))</f>
        <v>ABRIL</v>
      </c>
      <c r="F334" s="183" t="str">
        <f>IFERROR(VLOOKUP(TablaPrincipal[[#This Row],[CODIGO]],COSECHAS!A:J,9,0),"-")</f>
        <v>04</v>
      </c>
      <c r="G334" s="183" t="str">
        <f>IFERROR(VLOOKUP(TablaPrincipal[[#This Row],[CODIGO]],COSECHAS!A:I,8,0),"-")</f>
        <v>CHERNA</v>
      </c>
      <c r="H334" s="184">
        <f>IFERROR(VLOOKUP(TablaPrincipal[[#This Row],[CODIGO]],DATOS!A:B,2,0),"-")</f>
        <v>4.82</v>
      </c>
      <c r="I334" s="183" t="str">
        <f>IFERROR(VLOOKUP(TablaPrincipal[[#This Row],[CODIGO]],Tabla8[[#Headers],[#Data]],3,0),"-")</f>
        <v>ASC</v>
      </c>
      <c r="J334" s="183">
        <f>IFERROR(TablaPrincipal[[#This Row],[FECHA]]-TablaPrincipal[[#This Row],[FECHA DE SIEMBRA]],"-")</f>
        <v>76</v>
      </c>
      <c r="K334" s="196">
        <f>VLOOKUP(TablaPrincipal[[#This Row],[CODIGO]]&amp;TablaPrincipal[[#This Row],[AGUAJE ]],Tabla4[#All],4,0)</f>
        <v>46062</v>
      </c>
      <c r="L334" s="183" t="str">
        <f>VLOOKUP(TablaPrincipal[[#This Row],[CODIGO]]&amp;TablaPrincipal[[#This Row],[AGUAJE ]],Tabla4[#All],15,0)</f>
        <v>CH PC 2</v>
      </c>
      <c r="M334" s="184">
        <f>VLOOKUP(TablaPrincipal[[#This Row],[CODIGO]]&amp;TablaPrincipal[[#This Row],[AGUAJE ]],Tabla4[#All],14,0)</f>
        <v>0.56000000000000005</v>
      </c>
      <c r="N334" s="183">
        <v>10</v>
      </c>
      <c r="O334" s="170">
        <f>VLOOKUP(TablaPrincipal[[#This Row],[CODIGO]]&amp;TablaPrincipal[[#This Row],[AGUAJE ]],Tabla4[#All],5,0)</f>
        <v>867600</v>
      </c>
      <c r="P334" s="221">
        <f>IFERROR(TablaPrincipal[[#This Row],[ANIM SEMBRADOS]]/TablaPrincipal[[#This Row],[HAS]],"-")</f>
        <v>180000</v>
      </c>
      <c r="Q334" s="222">
        <f>IFERROR(TablaPrincipal[[#This Row],[DENSIDAD]]/10000,"-")</f>
        <v>18</v>
      </c>
      <c r="R334" s="183" t="str">
        <f>VLOOKUP(TablaPrincipal[[#This Row],[CODIGO]]&amp;TablaPrincipal[[#This Row],[AGUAJE ]],Tabla4[#All],8,0)</f>
        <v>BIOLACAM</v>
      </c>
      <c r="S334" s="183" t="str">
        <f>VLOOKUP(TablaPrincipal[[#This Row],[CODIGO]]&amp;TablaPrincipal[[#This Row],[AGUAJE ]],Tabla4[#All],7,0)</f>
        <v>TEXCUMAR</v>
      </c>
      <c r="T334" s="183" t="str">
        <f>IF(ISNUMBER(FIND("/",TablaPrincipal[[#This Row],[LABORATORIO]])),"COMBINADO","UNICO")</f>
        <v>UNICO</v>
      </c>
      <c r="U3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5600</v>
      </c>
      <c r="V33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6083.61</v>
      </c>
      <c r="W33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3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20.58</v>
      </c>
      <c r="Y334" s="185">
        <f>IFERROR(TablaPrincipal[[#This Row],[LIBRAS RALEO PLANTA]]/TablaPrincipal[[#This Row],[HAS]],"-")</f>
        <v>1262.1597510373442</v>
      </c>
      <c r="Z33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134205.97376093295</v>
      </c>
      <c r="AA33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21400</v>
      </c>
      <c r="AB33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21537.7</v>
      </c>
      <c r="AC334" s="186">
        <f>SUMIFS(COSECHAS!F:F,COSECHAS!A:A,'BASE 2026'!AW:AW,COSECHAS!G:G,"="&amp;A:A)</f>
        <v>23.5</v>
      </c>
      <c r="AD334" s="186">
        <f>SUMIFS(COSECHAS!M:M,COSECHAS!A:A,'BASE 2026'!AW:AW,COSECHAS!G:G,"="&amp;A:A)</f>
        <v>23.08</v>
      </c>
      <c r="AE334" s="185">
        <f>IFERROR(TablaPrincipal[[#This Row],[LIBRAS PLANTA]]/TablaPrincipal[[#This Row],[HAS]],"-")</f>
        <v>4468.4024896265555</v>
      </c>
      <c r="AF334" s="185">
        <f>IFERROR(TablaPrincipal[[#This Row],[LIBRAS PLANTA]]*454/TablaPrincipal[[#This Row],[GRAMOS PLANTA]],"-")</f>
        <v>423661.86308492208</v>
      </c>
      <c r="AG334" s="185">
        <f>TablaPrincipal[[#This Row],[LIBRAS RALEO PLANTA]]+TablaPrincipal[[#This Row],[LIBRAS PLANTA]]</f>
        <v>27621.31</v>
      </c>
      <c r="AH334" s="185">
        <f>IFERROR(TablaPrincipal[[#This Row],[CAM COSECHADOS RALEO]]+TablaPrincipal[[#This Row],[CAM COSECHADOS]],"-")</f>
        <v>557867.836845855</v>
      </c>
      <c r="AI334" s="185">
        <f>IFERROR((TablaPrincipal[[#This Row],[LIBRAS RALEO PLANTA]]+TablaPrincipal[[#This Row],[LIBRAS PLANTA]])/TablaPrincipal[[#This Row],[HAS]],"0")</f>
        <v>5730.5622406639004</v>
      </c>
      <c r="AJ334" s="186">
        <f t="shared" si="5"/>
        <v>2.1257894736842102</v>
      </c>
      <c r="AK334" s="186">
        <f>IFERROR(TablaPrincipal[[#This Row],[LBS/HA]]/TablaPrincipal[[#This Row],[DIAS]],"-")</f>
        <v>75.402134745577641</v>
      </c>
      <c r="AL334" s="186">
        <f>IFERROR(TablaPrincipal[[#This Row],[CAM COSECHADOS TOTALES]]/TablaPrincipal[[#This Row],[ANIM SEMBRADOS]]*100,"-")</f>
        <v>64.300119507359952</v>
      </c>
      <c r="AM334" s="185">
        <v>54067.815000000002</v>
      </c>
      <c r="AN334" s="187">
        <f>IFERROR(((TablaPrincipal[[#This Row],[BALANCEADO ACUMULADO (LBS)]]/2.2046)/TablaPrincipal[[#This Row],[HAS]])/TablaPrincipal[[#This Row],[DIAS]],"-")</f>
        <v>66.949661498143698</v>
      </c>
      <c r="AO334" s="184">
        <f>IFERROR(TablaPrincipal[[#This Row],[BALANCEADO ACUMULADO (LBS)]]/TablaPrincipal[[#This Row],[LIBRAS TOTALES]],"-")</f>
        <v>1.9574674408997981</v>
      </c>
      <c r="AP334" s="184"/>
      <c r="AQ334" s="184"/>
      <c r="AR334" s="185">
        <f>TablaPrincipal[[#This Row],[LIBRAS RALEO PLANTA]]-TablaPrincipal[[#This Row],[LIBRAS RALEO CAMARONERA]]</f>
        <v>483.60999999999967</v>
      </c>
      <c r="AS334" s="185">
        <f>TablaPrincipal[[#This Row],[LIBRAS PLANTA]]-TablaPrincipal[[#This Row],[LIBRAS CAMARONERA]]</f>
        <v>137.70000000000073</v>
      </c>
      <c r="AT334" s="187">
        <f>TablaPrincipal[[#This Row],[GRAMAJE RALEO PLANTA]]-TablaPrincipal[[#This Row],[GRAMAJE RALEO CAMARONERA]]</f>
        <v>0.57999999999999829</v>
      </c>
      <c r="AU334" s="187">
        <f>TablaPrincipal[[#This Row],[GRAMOS PLANTA]]-TablaPrincipal[[#This Row],[GRAMAJE CAMARONERA]]</f>
        <v>-0.42000000000000171</v>
      </c>
      <c r="AV334" s="183" t="str">
        <f>+VLOOKUP(TablaPrincipal[[#This Row],[CODIGO]],TablaCosechas[#All],10,0)</f>
        <v>SANTIAGO OBRIEN</v>
      </c>
      <c r="AW334" s="183" t="s">
        <v>10</v>
      </c>
      <c r="AX334" s="241" t="str">
        <f>+VLOOKUP(TablaPrincipal[[#This Row],[CODIGO]],TablaCosechas[#All],10,0)</f>
        <v>SANTIAGO OBRIEN</v>
      </c>
    </row>
    <row r="335" spans="1:50" hidden="1" x14ac:dyDescent="0.25">
      <c r="A335" s="196">
        <v>46138</v>
      </c>
      <c r="B335" s="242">
        <f>ROW() - ROW(TablaPrincipal[[#Headers],[ID]])</f>
        <v>333</v>
      </c>
      <c r="C335" s="183">
        <f>YEAR(TablaPrincipal[[#This Row],[FECHA]])</f>
        <v>2026</v>
      </c>
      <c r="D335" s="183" t="s">
        <v>334</v>
      </c>
      <c r="E335" s="183" t="str">
        <f>UPPER(TEXT(TablaPrincipal[[#This Row],[FECHA]],"MMMM"))</f>
        <v>ABRIL</v>
      </c>
      <c r="F335" s="183" t="str">
        <f>IFERROR(VLOOKUP(TablaPrincipal[[#This Row],[CODIGO]],COSECHAS!A:J,9,0),"-")</f>
        <v>03</v>
      </c>
      <c r="G335" s="183" t="str">
        <f>IFERROR(VLOOKUP(TablaPrincipal[[#This Row],[CODIGO]],COSECHAS!A:I,8,0),"-")</f>
        <v>ROBALO</v>
      </c>
      <c r="H335" s="184">
        <f>IFERROR(VLOOKUP(TablaPrincipal[[#This Row],[CODIGO]],DATOS!A:B,2,0),"-")</f>
        <v>9.89</v>
      </c>
      <c r="I335" s="183" t="str">
        <f>IFERROR(VLOOKUP(TablaPrincipal[[#This Row],[CODIGO]],Tabla8[[#Headers],[#Data]],3,0),"-")</f>
        <v>ASC-BAP</v>
      </c>
      <c r="J335" s="183">
        <f>IFERROR(TablaPrincipal[[#This Row],[FECHA]]-TablaPrincipal[[#This Row],[FECHA DE SIEMBRA]],"-")</f>
        <v>71</v>
      </c>
      <c r="K335" s="196">
        <f>VLOOKUP(TablaPrincipal[[#This Row],[CODIGO]]&amp;TablaPrincipal[[#This Row],[AGUAJE ]],Tabla4[#All],4,0)</f>
        <v>46067</v>
      </c>
      <c r="L335" s="183" t="str">
        <f>VLOOKUP(TablaPrincipal[[#This Row],[CODIGO]]&amp;TablaPrincipal[[#This Row],[AGUAJE ]],Tabla4[#All],15,0)</f>
        <v>RO PC02</v>
      </c>
      <c r="M335" s="184">
        <f>VLOOKUP(TablaPrincipal[[#This Row],[CODIGO]]&amp;TablaPrincipal[[#This Row],[AGUAJE ]],Tabla4[#All],14,0)</f>
        <v>0.5</v>
      </c>
      <c r="N335" s="183">
        <v>4</v>
      </c>
      <c r="O335" s="170">
        <f>VLOOKUP(TablaPrincipal[[#This Row],[CODIGO]]&amp;TablaPrincipal[[#This Row],[AGUAJE ]],Tabla4[#All],5,0)</f>
        <v>1824000</v>
      </c>
      <c r="P335" s="221">
        <f>IFERROR(TablaPrincipal[[#This Row],[ANIM SEMBRADOS]]/TablaPrincipal[[#This Row],[HAS]],"-")</f>
        <v>184428.71587462083</v>
      </c>
      <c r="Q335" s="222">
        <f>IFERROR(TablaPrincipal[[#This Row],[DENSIDAD]]/10000,"-")</f>
        <v>18.442871587462083</v>
      </c>
      <c r="R335" s="183" t="str">
        <f>VLOOKUP(TablaPrincipal[[#This Row],[CODIGO]]&amp;TablaPrincipal[[#This Row],[AGUAJE ]],Tabla4[#All],8,0)</f>
        <v>BIOLACAM</v>
      </c>
      <c r="S335" s="183" t="str">
        <f>VLOOKUP(TablaPrincipal[[#This Row],[CODIGO]]&amp;TablaPrincipal[[#This Row],[AGUAJE ]],Tabla4[#All],7,0)</f>
        <v>TEXCUMAR</v>
      </c>
      <c r="T335" s="183" t="str">
        <f>IF(ISNUMBER(FIND("/",TablaPrincipal[[#This Row],[LABORATORIO]])),"COMBINADO","UNICO")</f>
        <v>UNICO</v>
      </c>
      <c r="U3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32200</v>
      </c>
      <c r="V33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31284.67</v>
      </c>
      <c r="W33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3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24.44</v>
      </c>
      <c r="Y335" s="185">
        <f>IFERROR(TablaPrincipal[[#This Row],[LIBRAS RALEO PLANTA]]/TablaPrincipal[[#This Row],[HAS]],"-")</f>
        <v>3163.2628918099085</v>
      </c>
      <c r="Z33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564024.37088881305</v>
      </c>
      <c r="AA33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34200</v>
      </c>
      <c r="AB33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38555.58</v>
      </c>
      <c r="AC335" s="186">
        <f>SUMIFS(COSECHAS!F:F,COSECHAS!A:A,'BASE 2026'!AW:AW,COSECHAS!G:G,"="&amp;A:A)</f>
        <v>28</v>
      </c>
      <c r="AD335" s="186">
        <f>SUMIFS(COSECHAS!M:M,COSECHAS!A:A,'BASE 2026'!AW:AW,COSECHAS!G:G,"="&amp;A:A)</f>
        <v>27.36</v>
      </c>
      <c r="AE335" s="185">
        <f>IFERROR(TablaPrincipal[[#This Row],[LIBRAS PLANTA]]/TablaPrincipal[[#This Row],[HAS]],"-")</f>
        <v>3898.4408493427704</v>
      </c>
      <c r="AF335" s="185">
        <f>IFERROR(TablaPrincipal[[#This Row],[LIBRAS PLANTA]]*454/TablaPrincipal[[#This Row],[GRAMOS PLANTA]],"-")</f>
        <v>639774.60964912281</v>
      </c>
      <c r="AG335" s="185">
        <f>TablaPrincipal[[#This Row],[LIBRAS RALEO PLANTA]]+TablaPrincipal[[#This Row],[LIBRAS PLANTA]]</f>
        <v>69840.25</v>
      </c>
      <c r="AH335" s="185">
        <f>IFERROR(TablaPrincipal[[#This Row],[CAM COSECHADOS RALEO]]+TablaPrincipal[[#This Row],[CAM COSECHADOS]],"-")</f>
        <v>1203798.9805379359</v>
      </c>
      <c r="AI335" s="185">
        <f>IFERROR((TablaPrincipal[[#This Row],[LIBRAS RALEO PLANTA]]+TablaPrincipal[[#This Row],[LIBRAS PLANTA]])/TablaPrincipal[[#This Row],[HAS]],"0")</f>
        <v>7061.703741152679</v>
      </c>
      <c r="AJ335" s="186">
        <f t="shared" si="5"/>
        <v>2.6974647887323946</v>
      </c>
      <c r="AK335" s="186">
        <f>IFERROR(TablaPrincipal[[#This Row],[LBS/HA]]/TablaPrincipal[[#This Row],[DIAS]],"-")</f>
        <v>99.460616072572947</v>
      </c>
      <c r="AL335" s="186">
        <f>IFERROR(TablaPrincipal[[#This Row],[CAM COSECHADOS TOTALES]]/TablaPrincipal[[#This Row],[ANIM SEMBRADOS]]*100,"-")</f>
        <v>65.997751125983328</v>
      </c>
      <c r="AM335" s="185">
        <v>100695.10500000001</v>
      </c>
      <c r="AN335" s="187">
        <f>IFERROR(((TablaPrincipal[[#This Row],[BALANCEADO ACUMULADO (LBS)]]/2.2046)/TablaPrincipal[[#This Row],[HAS]])/TablaPrincipal[[#This Row],[DIAS]],"-")</f>
        <v>65.046497386747177</v>
      </c>
      <c r="AO335" s="184">
        <f>IFERROR(TablaPrincipal[[#This Row],[BALANCEADO ACUMULADO (LBS)]]/TablaPrincipal[[#This Row],[LIBRAS TOTALES]],"-")</f>
        <v>1.4417918750290843</v>
      </c>
      <c r="AP335" s="184"/>
      <c r="AQ335" s="184"/>
      <c r="AR335" s="185">
        <f>TablaPrincipal[[#This Row],[LIBRAS RALEO PLANTA]]-TablaPrincipal[[#This Row],[LIBRAS RALEO CAMARONERA]]</f>
        <v>-915.33000000000175</v>
      </c>
      <c r="AS335" s="185">
        <f>TablaPrincipal[[#This Row],[LIBRAS PLANTA]]-TablaPrincipal[[#This Row],[LIBRAS CAMARONERA]]</f>
        <v>4355.5800000000017</v>
      </c>
      <c r="AT335" s="187">
        <f>TablaPrincipal[[#This Row],[GRAMAJE RALEO PLANTA]]-TablaPrincipal[[#This Row],[GRAMAJE RALEO CAMARONERA]]</f>
        <v>1.1900000000000013</v>
      </c>
      <c r="AU335" s="187">
        <f>TablaPrincipal[[#This Row],[GRAMOS PLANTA]]-TablaPrincipal[[#This Row],[GRAMAJE CAMARONERA]]</f>
        <v>-0.64000000000000057</v>
      </c>
      <c r="AV335" s="183" t="str">
        <f>+VLOOKUP(TablaPrincipal[[#This Row],[CODIGO]],TablaCosechas[#All],10,0)</f>
        <v>VICTOR QUINTANA</v>
      </c>
      <c r="AW335" s="183" t="s">
        <v>215</v>
      </c>
      <c r="AX335" s="241" t="str">
        <f>+VLOOKUP(TablaPrincipal[[#This Row],[CODIGO]],TablaCosechas[#All],10,0)</f>
        <v>VICTOR QUINTANA</v>
      </c>
    </row>
    <row r="336" spans="1:50" hidden="1" x14ac:dyDescent="0.25">
      <c r="A336" s="196">
        <v>46138</v>
      </c>
      <c r="B336" s="242">
        <f>ROW() - ROW(TablaPrincipal[[#Headers],[ID]])</f>
        <v>334</v>
      </c>
      <c r="C336" s="183">
        <f>YEAR(TablaPrincipal[[#This Row],[FECHA]])</f>
        <v>2026</v>
      </c>
      <c r="D336" s="183" t="s">
        <v>334</v>
      </c>
      <c r="E336" s="183" t="str">
        <f>UPPER(TEXT(TablaPrincipal[[#This Row],[FECHA]],"MMMM"))</f>
        <v>ABRIL</v>
      </c>
      <c r="F336" s="183" t="str">
        <f>IFERROR(VLOOKUP(TablaPrincipal[[#This Row],[CODIGO]],COSECHAS!A:J,9,0),"-")</f>
        <v>03</v>
      </c>
      <c r="G336" s="183" t="str">
        <f>IFERROR(VLOOKUP(TablaPrincipal[[#This Row],[CODIGO]],COSECHAS!A:I,8,0),"-")</f>
        <v>TAMBULERO</v>
      </c>
      <c r="H336" s="184">
        <f>IFERROR(VLOOKUP(TablaPrincipal[[#This Row],[CODIGO]],DATOS!A:B,2,0),"-")</f>
        <v>4.5</v>
      </c>
      <c r="I336" s="183" t="str">
        <f>IFERROR(VLOOKUP(TablaPrincipal[[#This Row],[CODIGO]],Tabla8[[#Headers],[#Data]],3,0),"-")</f>
        <v>ASC-BAP</v>
      </c>
      <c r="J336" s="183">
        <f>IFERROR(TablaPrincipal[[#This Row],[FECHA]]-TablaPrincipal[[#This Row],[FECHA DE SIEMBRA]],"-")</f>
        <v>82</v>
      </c>
      <c r="K336" s="196">
        <f>VLOOKUP(TablaPrincipal[[#This Row],[CODIGO]]&amp;TablaPrincipal[[#This Row],[AGUAJE ]],Tabla4[#All],4,0)</f>
        <v>46056</v>
      </c>
      <c r="L336" s="183" t="str">
        <f>VLOOKUP(TablaPrincipal[[#This Row],[CODIGO]]&amp;TablaPrincipal[[#This Row],[AGUAJE ]],Tabla4[#All],15,0)</f>
        <v>TA 2</v>
      </c>
      <c r="M336" s="184">
        <f>VLOOKUP(TablaPrincipal[[#This Row],[CODIGO]]&amp;TablaPrincipal[[#This Row],[AGUAJE ]],Tabla4[#All],14,0)</f>
        <v>0.4</v>
      </c>
      <c r="N336" s="183">
        <v>7</v>
      </c>
      <c r="O336" s="170">
        <f>VLOOKUP(TablaPrincipal[[#This Row],[CODIGO]]&amp;TablaPrincipal[[#This Row],[AGUAJE ]],Tabla4[#All],5,0)</f>
        <v>675000</v>
      </c>
      <c r="P336" s="221">
        <f>IFERROR(TablaPrincipal[[#This Row],[ANIM SEMBRADOS]]/TablaPrincipal[[#This Row],[HAS]],"-")</f>
        <v>150000</v>
      </c>
      <c r="Q336" s="222">
        <f>IFERROR(TablaPrincipal[[#This Row],[DENSIDAD]]/10000,"-")</f>
        <v>15</v>
      </c>
      <c r="R336" s="183" t="str">
        <f>VLOOKUP(TablaPrincipal[[#This Row],[CODIGO]]&amp;TablaPrincipal[[#This Row],[AGUAJE ]],Tabla4[#All],8,0)</f>
        <v>ACUATECSA</v>
      </c>
      <c r="S336" s="183" t="str">
        <f>VLOOKUP(TablaPrincipal[[#This Row],[CODIGO]]&amp;TablaPrincipal[[#This Row],[AGUAJE ]],Tabla4[#All],7,0)</f>
        <v>TEXCUMAR</v>
      </c>
      <c r="T336" s="183" t="str">
        <f>IF(ISNUMBER(FIND("/",TablaPrincipal[[#This Row],[LABORATORIO]])),"COMBINADO","UNICO")</f>
        <v>UNICO</v>
      </c>
      <c r="U3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12200</v>
      </c>
      <c r="V33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12848.92</v>
      </c>
      <c r="W33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3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23.204999999999998</v>
      </c>
      <c r="Y336" s="185">
        <f>IFERROR(TablaPrincipal[[#This Row],[LIBRAS RALEO PLANTA]]/TablaPrincipal[[#This Row],[HAS]],"-")</f>
        <v>2855.3155555555554</v>
      </c>
      <c r="Z33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251775.06136789738</v>
      </c>
      <c r="AA33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16950</v>
      </c>
      <c r="AB33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18117.95</v>
      </c>
      <c r="AC336" s="186">
        <f>SUMIFS(COSECHAS!F:F,COSECHAS!A:A,'BASE 2026'!AW:AW,COSECHAS!G:G,"="&amp;A:A)</f>
        <v>31</v>
      </c>
      <c r="AD336" s="186">
        <f>SUMIFS(COSECHAS!M:M,COSECHAS!A:A,'BASE 2026'!AW:AW,COSECHAS!G:G,"="&amp;A:A)</f>
        <v>32.200000000000003</v>
      </c>
      <c r="AE336" s="185">
        <f>IFERROR(TablaPrincipal[[#This Row],[LIBRAS PLANTA]]/TablaPrincipal[[#This Row],[HAS]],"-")</f>
        <v>4026.2111111111112</v>
      </c>
      <c r="AF336" s="185">
        <f>IFERROR(TablaPrincipal[[#This Row],[LIBRAS PLANTA]]*454/TablaPrincipal[[#This Row],[GRAMOS PLANTA]],"-")</f>
        <v>255451.84161490682</v>
      </c>
      <c r="AG336" s="185">
        <f>TablaPrincipal[[#This Row],[LIBRAS RALEO PLANTA]]+TablaPrincipal[[#This Row],[LIBRAS PLANTA]]</f>
        <v>30966.870000000003</v>
      </c>
      <c r="AH336" s="185">
        <f>IFERROR(TablaPrincipal[[#This Row],[CAM COSECHADOS RALEO]]+TablaPrincipal[[#This Row],[CAM COSECHADOS]],"-")</f>
        <v>507226.90298280423</v>
      </c>
      <c r="AI336" s="185">
        <f>IFERROR((TablaPrincipal[[#This Row],[LIBRAS RALEO PLANTA]]+TablaPrincipal[[#This Row],[LIBRAS PLANTA]])/TablaPrincipal[[#This Row],[HAS]],"0")</f>
        <v>6881.5266666666676</v>
      </c>
      <c r="AJ336" s="186">
        <f t="shared" si="5"/>
        <v>2.7487804878048783</v>
      </c>
      <c r="AK336" s="186">
        <f>IFERROR(TablaPrincipal[[#This Row],[LBS/HA]]/TablaPrincipal[[#This Row],[DIAS]],"-")</f>
        <v>83.921056910569121</v>
      </c>
      <c r="AL336" s="186">
        <f>IFERROR(TablaPrincipal[[#This Row],[CAM COSECHADOS TOTALES]]/TablaPrincipal[[#This Row],[ANIM SEMBRADOS]]*100,"-")</f>
        <v>75.144726367822841</v>
      </c>
      <c r="AM336" s="185">
        <v>49383.040000000001</v>
      </c>
      <c r="AN336" s="187">
        <f>IFERROR(((TablaPrincipal[[#This Row],[BALANCEADO ACUMULADO (LBS)]]/2.2046)/TablaPrincipal[[#This Row],[HAS]])/TablaPrincipal[[#This Row],[DIAS]],"-")</f>
        <v>60.704607046070457</v>
      </c>
      <c r="AO336" s="184">
        <f>IFERROR(TablaPrincipal[[#This Row],[BALANCEADO ACUMULADO (LBS)]]/TablaPrincipal[[#This Row],[LIBRAS TOTALES]],"-")</f>
        <v>1.5947055675953041</v>
      </c>
      <c r="AP336" s="184"/>
      <c r="AQ336" s="184"/>
      <c r="AR336" s="185">
        <f>TablaPrincipal[[#This Row],[LIBRAS RALEO PLANTA]]-TablaPrincipal[[#This Row],[LIBRAS RALEO CAMARONERA]]</f>
        <v>648.92000000000007</v>
      </c>
      <c r="AS336" s="185">
        <f>TablaPrincipal[[#This Row],[LIBRAS PLANTA]]-TablaPrincipal[[#This Row],[LIBRAS CAMARONERA]]</f>
        <v>1167.9500000000007</v>
      </c>
      <c r="AT336" s="187">
        <f>TablaPrincipal[[#This Row],[GRAMAJE RALEO PLANTA]]-TablaPrincipal[[#This Row],[GRAMAJE RALEO CAMARONERA]]</f>
        <v>1.2049999999999983</v>
      </c>
      <c r="AU336" s="187">
        <f>TablaPrincipal[[#This Row],[GRAMOS PLANTA]]-TablaPrincipal[[#This Row],[GRAMAJE CAMARONERA]]</f>
        <v>1.2000000000000028</v>
      </c>
      <c r="AV336" s="183" t="str">
        <f>+VLOOKUP(TablaPrincipal[[#This Row],[CODIGO]],TablaCosechas[#All],10,0)</f>
        <v>ALFONSO GRUNAUER</v>
      </c>
      <c r="AW336" s="183" t="s">
        <v>180</v>
      </c>
      <c r="AX336" s="241" t="str">
        <f>+VLOOKUP(TablaPrincipal[[#This Row],[CODIGO]],TablaCosechas[#All],10,0)</f>
        <v>ALFONSO GRUNAUER</v>
      </c>
    </row>
    <row r="337" spans="1:50" hidden="1" x14ac:dyDescent="0.25">
      <c r="A337" s="196">
        <v>46138</v>
      </c>
      <c r="B337" s="242">
        <v>335</v>
      </c>
      <c r="C337" s="183">
        <f>YEAR(TablaPrincipal[[#This Row],[FECHA]])</f>
        <v>2026</v>
      </c>
      <c r="D337" s="183" t="s">
        <v>334</v>
      </c>
      <c r="E337" s="183" t="str">
        <f>UPPER(TEXT(TablaPrincipal[[#This Row],[FECHA]],"MMMM"))</f>
        <v>ABRIL</v>
      </c>
      <c r="F337" s="183" t="str">
        <f>IFERROR(VLOOKUP(TablaPrincipal[[#This Row],[CODIGO]],COSECHAS!A:J,9,0),"-")</f>
        <v>11</v>
      </c>
      <c r="G337" s="183" t="str">
        <f>IFERROR(VLOOKUP(TablaPrincipal[[#This Row],[CODIGO]],COSECHAS!A:I,8,0),"-")</f>
        <v>TIBURON</v>
      </c>
      <c r="H337" s="184">
        <f>IFERROR(VLOOKUP(TablaPrincipal[[#This Row],[CODIGO]],DATOS!A:B,2,0),"-")</f>
        <v>7</v>
      </c>
      <c r="I337" s="183" t="str">
        <f>IFERROR(VLOOKUP(TablaPrincipal[[#This Row],[CODIGO]],Tabla8[[#Headers],[#Data]],3,0),"-")</f>
        <v>ASC-BAP</v>
      </c>
      <c r="J337" s="183">
        <f>IFERROR(TablaPrincipal[[#This Row],[FECHA]]-TablaPrincipal[[#This Row],[FECHA DE SIEMBRA]],"-")</f>
        <v>91</v>
      </c>
      <c r="K337" s="196">
        <f>VLOOKUP(TablaPrincipal[[#This Row],[CODIGO]]&amp;TablaPrincipal[[#This Row],[AGUAJE ]],Tabla4[#All],4,0)</f>
        <v>46047</v>
      </c>
      <c r="L337" s="183" t="str">
        <f>VLOOKUP(TablaPrincipal[[#This Row],[CODIGO]]&amp;TablaPrincipal[[#This Row],[AGUAJE ]],Tabla4[#All],15,0)</f>
        <v>TI PC 31- 32</v>
      </c>
      <c r="M337" s="184">
        <f>VLOOKUP(TablaPrincipal[[#This Row],[CODIGO]]&amp;TablaPrincipal[[#This Row],[AGUAJE ]],Tabla4[#All],14,0)</f>
        <v>0.34</v>
      </c>
      <c r="N337" s="183">
        <v>9</v>
      </c>
      <c r="O337" s="170">
        <f>VLOOKUP(TablaPrincipal[[#This Row],[CODIGO]]&amp;TablaPrincipal[[#This Row],[AGUAJE ]],Tabla4[#All],5,0)</f>
        <v>1260000</v>
      </c>
      <c r="P337" s="221">
        <f>IFERROR(TablaPrincipal[[#This Row],[ANIM SEMBRADOS]]/TablaPrincipal[[#This Row],[HAS]],"-")</f>
        <v>180000</v>
      </c>
      <c r="Q337" s="222">
        <f>IFERROR(TablaPrincipal[[#This Row],[DENSIDAD]]/10000,"-")</f>
        <v>18</v>
      </c>
      <c r="R337" s="183" t="str">
        <f>VLOOKUP(TablaPrincipal[[#This Row],[CODIGO]]&amp;TablaPrincipal[[#This Row],[AGUAJE ]],Tabla4[#All],8,0)</f>
        <v>EMPAGRAN</v>
      </c>
      <c r="S337" s="183" t="str">
        <f>VLOOKUP(TablaPrincipal[[#This Row],[CODIGO]]&amp;TablaPrincipal[[#This Row],[AGUAJE ]],Tabla4[#All],7,0)</f>
        <v>EMPAGRAN</v>
      </c>
      <c r="T337" s="183" t="str">
        <f>IF(ISNUMBER(FIND("/",TablaPrincipal[[#This Row],[LABORATORIO]])),"COMBINADO","UNICO")</f>
        <v>UNICO</v>
      </c>
      <c r="U3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15800</v>
      </c>
      <c r="V33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16716.29</v>
      </c>
      <c r="W33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3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23.93</v>
      </c>
      <c r="Y337" s="185">
        <f>IFERROR(TablaPrincipal[[#This Row],[LIBRAS RALEO PLANTA]]/TablaPrincipal[[#This Row],[HAS]],"-")</f>
        <v>2388.0414285714287</v>
      </c>
      <c r="Z33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322557.17045746127</v>
      </c>
      <c r="AA33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44350</v>
      </c>
      <c r="AB33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46016.38</v>
      </c>
      <c r="AC337" s="186">
        <f>SUMIFS(COSECHAS!F:F,COSECHAS!A:A,'BASE 2026'!AW:AW,COSECHAS!G:G,"="&amp;A:A)</f>
        <v>33</v>
      </c>
      <c r="AD337" s="186">
        <f>SUMIFS(COSECHAS!M:M,COSECHAS!A:A,'BASE 2026'!AW:AW,COSECHAS!G:G,"="&amp;A:A)</f>
        <v>33.78</v>
      </c>
      <c r="AE337" s="185">
        <f>IFERROR(TablaPrincipal[[#This Row],[LIBRAS PLANTA]]/TablaPrincipal[[#This Row],[HAS]],"-")</f>
        <v>6573.7685714285708</v>
      </c>
      <c r="AF337" s="185">
        <f>IFERROR(TablaPrincipal[[#This Row],[LIBRAS PLANTA]]*454/TablaPrincipal[[#This Row],[GRAMOS PLANTA]],"-")</f>
        <v>618455.78804026044</v>
      </c>
      <c r="AG337" s="185">
        <f>TablaPrincipal[[#This Row],[LIBRAS RALEO PLANTA]]+TablaPrincipal[[#This Row],[LIBRAS PLANTA]]</f>
        <v>62732.67</v>
      </c>
      <c r="AH337" s="185">
        <f>IFERROR(TablaPrincipal[[#This Row],[CAM COSECHADOS RALEO]]+TablaPrincipal[[#This Row],[CAM COSECHADOS]],"-")</f>
        <v>941012.9584977217</v>
      </c>
      <c r="AI337" s="185">
        <f>IFERROR((TablaPrincipal[[#This Row],[LIBRAS RALEO PLANTA]]+TablaPrincipal[[#This Row],[LIBRAS PLANTA]])/TablaPrincipal[[#This Row],[HAS]],"0")</f>
        <v>8961.81</v>
      </c>
      <c r="AJ337" s="186">
        <f t="shared" si="5"/>
        <v>2.5984615384615384</v>
      </c>
      <c r="AK337" s="186">
        <f>IFERROR(TablaPrincipal[[#This Row],[LBS/HA]]/TablaPrincipal[[#This Row],[DIAS]],"-")</f>
        <v>98.481428571428566</v>
      </c>
      <c r="AL337" s="186">
        <f>IFERROR(TablaPrincipal[[#This Row],[CAM COSECHADOS TOTALES]]/TablaPrincipal[[#This Row],[ANIM SEMBRADOS]]*100,"-")</f>
        <v>74.683568134739815</v>
      </c>
      <c r="AM337" s="185">
        <v>95459.180000000008</v>
      </c>
      <c r="AN337" s="187">
        <f>IFERROR(((TablaPrincipal[[#This Row],[BALANCEADO ACUMULADO (LBS)]]/2.2046)/TablaPrincipal[[#This Row],[HAS]])/TablaPrincipal[[#This Row],[DIAS]],"-")</f>
        <v>67.974882260596544</v>
      </c>
      <c r="AO337" s="184">
        <f>IFERROR(TablaPrincipal[[#This Row],[BALANCEADO ACUMULADO (LBS)]]/TablaPrincipal[[#This Row],[LIBRAS TOTALES]],"-")</f>
        <v>1.5216820836734672</v>
      </c>
      <c r="AP337" s="184"/>
      <c r="AQ337" s="184"/>
      <c r="AR337" s="185">
        <f>TablaPrincipal[[#This Row],[LIBRAS RALEO PLANTA]]-TablaPrincipal[[#This Row],[LIBRAS RALEO CAMARONERA]]</f>
        <v>916.29000000000087</v>
      </c>
      <c r="AS337" s="185">
        <f>TablaPrincipal[[#This Row],[LIBRAS PLANTA]]-TablaPrincipal[[#This Row],[LIBRAS CAMARONERA]]</f>
        <v>1666.3799999999974</v>
      </c>
      <c r="AT337" s="187">
        <f>TablaPrincipal[[#This Row],[GRAMAJE RALEO PLANTA]]-TablaPrincipal[[#This Row],[GRAMAJE RALEO CAMARONERA]]</f>
        <v>-7.0000000000000284E-2</v>
      </c>
      <c r="AU337" s="187">
        <f>TablaPrincipal[[#This Row],[GRAMOS PLANTA]]-TablaPrincipal[[#This Row],[GRAMAJE CAMARONERA]]</f>
        <v>0.78000000000000114</v>
      </c>
      <c r="AV337" s="183" t="str">
        <f>+VLOOKUP(TablaPrincipal[[#This Row],[CODIGO]],TablaCosechas[#All],10,0)</f>
        <v>ALFONSO GRUNAUER</v>
      </c>
      <c r="AW337" s="183" t="s">
        <v>156</v>
      </c>
      <c r="AX337" s="241" t="str">
        <f>+VLOOKUP(TablaPrincipal[[#This Row],[CODIGO]],TablaCosechas[#All],10,0)</f>
        <v>ALFONSO GRUNAUER</v>
      </c>
    </row>
    <row r="338" spans="1:50" hidden="1" x14ac:dyDescent="0.25">
      <c r="A338" s="196">
        <v>46139</v>
      </c>
      <c r="B338" s="242">
        <v>336</v>
      </c>
      <c r="C338" s="183">
        <f>YEAR(TablaPrincipal[[#This Row],[FECHA]])</f>
        <v>2026</v>
      </c>
      <c r="D338" s="183" t="s">
        <v>334</v>
      </c>
      <c r="E338" s="183" t="str">
        <f>UPPER(TEXT(TablaPrincipal[[#This Row],[FECHA]],"MMMM"))</f>
        <v>ABRIL</v>
      </c>
      <c r="F338" s="183" t="str">
        <f>IFERROR(VLOOKUP(TablaPrincipal[[#This Row],[CODIGO]],COSECHAS!A:J,9,0),"-")</f>
        <v>11</v>
      </c>
      <c r="G338" s="183" t="str">
        <f>IFERROR(VLOOKUP(TablaPrincipal[[#This Row],[CODIGO]],COSECHAS!A:I,8,0),"-")</f>
        <v>TAMBULERO</v>
      </c>
      <c r="H338" s="184">
        <f>IFERROR(VLOOKUP(TablaPrincipal[[#This Row],[CODIGO]],DATOS!A:B,2,0),"-")</f>
        <v>1.7</v>
      </c>
      <c r="I338" s="183" t="str">
        <f>IFERROR(VLOOKUP(TablaPrincipal[[#This Row],[CODIGO]],Tabla8[[#Headers],[#Data]],3,0),"-")</f>
        <v>ASC-BAP</v>
      </c>
      <c r="J338" s="183">
        <f>IFERROR(TablaPrincipal[[#This Row],[FECHA]]-TablaPrincipal[[#This Row],[FECHA DE SIEMBRA]],"-")</f>
        <v>76</v>
      </c>
      <c r="K338" s="196">
        <f>VLOOKUP(TablaPrincipal[[#This Row],[CODIGO]]&amp;TablaPrincipal[[#This Row],[AGUAJE ]],Tabla4[#All],4,0)</f>
        <v>46063</v>
      </c>
      <c r="L338" s="183" t="str">
        <f>VLOOKUP(TablaPrincipal[[#This Row],[CODIGO]]&amp;TablaPrincipal[[#This Row],[AGUAJE ]],Tabla4[#All],15,0)</f>
        <v>TI PC 39</v>
      </c>
      <c r="M338" s="184">
        <f>VLOOKUP(TablaPrincipal[[#This Row],[CODIGO]]&amp;TablaPrincipal[[#This Row],[AGUAJE ]],Tabla4[#All],14,0)</f>
        <v>0.32</v>
      </c>
      <c r="N338" s="183">
        <v>5</v>
      </c>
      <c r="O338" s="170">
        <f>VLOOKUP(TablaPrincipal[[#This Row],[CODIGO]]&amp;TablaPrincipal[[#This Row],[AGUAJE ]],Tabla4[#All],5,0)</f>
        <v>255000</v>
      </c>
      <c r="P338" s="221">
        <f>IFERROR(TablaPrincipal[[#This Row],[ANIM SEMBRADOS]]/TablaPrincipal[[#This Row],[HAS]],"-")</f>
        <v>150000</v>
      </c>
      <c r="Q338" s="222">
        <f>IFERROR(TablaPrincipal[[#This Row],[DENSIDAD]]/10000,"-")</f>
        <v>15</v>
      </c>
      <c r="R338" s="183" t="str">
        <f>VLOOKUP(TablaPrincipal[[#This Row],[CODIGO]]&amp;TablaPrincipal[[#This Row],[AGUAJE ]],Tabla4[#All],8,0)</f>
        <v>BIOLACAM</v>
      </c>
      <c r="S338" s="183" t="str">
        <f>VLOOKUP(TablaPrincipal[[#This Row],[CODIGO]]&amp;TablaPrincipal[[#This Row],[AGUAJE ]],Tabla4[#All],7,0)</f>
        <v>TEXCUMAR</v>
      </c>
      <c r="T338" s="183" t="str">
        <f>IF(ISNUMBER(FIND("/",TablaPrincipal[[#This Row],[LABORATORIO]])),"COMBINADO","UNICO")</f>
        <v>UNICO</v>
      </c>
      <c r="U3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5050</v>
      </c>
      <c r="V33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6113.99</v>
      </c>
      <c r="W33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3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23.619999999999997</v>
      </c>
      <c r="Y338" s="185">
        <f>IFERROR(TablaPrincipal[[#This Row],[LIBRAS RALEO PLANTA]]/TablaPrincipal[[#This Row],[HAS]],"-")</f>
        <v>3596.464705882353</v>
      </c>
      <c r="Z33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114595.23041910357</v>
      </c>
      <c r="AA33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4900</v>
      </c>
      <c r="AB33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5776.95</v>
      </c>
      <c r="AC338" s="186">
        <f>SUMIFS(COSECHAS!F:F,COSECHAS!A:A,'BASE 2026'!AW:AW,COSECHAS!G:G,"="&amp;A:A)</f>
        <v>33.5</v>
      </c>
      <c r="AD338" s="186">
        <f>SUMIFS(COSECHAS!M:M,COSECHAS!A:A,'BASE 2026'!AW:AW,COSECHAS!G:G,"="&amp;A:A)</f>
        <v>34.119999999999997</v>
      </c>
      <c r="AE338" s="185">
        <f>IFERROR(TablaPrincipal[[#This Row],[LIBRAS PLANTA]]/TablaPrincipal[[#This Row],[HAS]],"-")</f>
        <v>3398.205882352941</v>
      </c>
      <c r="AF338" s="185">
        <f>IFERROR(TablaPrincipal[[#This Row],[LIBRAS PLANTA]]*454/TablaPrincipal[[#This Row],[GRAMOS PLANTA]],"-")</f>
        <v>76867.974794841735</v>
      </c>
      <c r="AG338" s="185">
        <f>TablaPrincipal[[#This Row],[LIBRAS RALEO PLANTA]]+TablaPrincipal[[#This Row],[LIBRAS PLANTA]]</f>
        <v>11890.939999999999</v>
      </c>
      <c r="AH338" s="185">
        <f>IFERROR(TablaPrincipal[[#This Row],[CAM COSECHADOS RALEO]]+TablaPrincipal[[#This Row],[CAM COSECHADOS]],"-")</f>
        <v>191463.2052139453</v>
      </c>
      <c r="AI338" s="185">
        <f>IFERROR((TablaPrincipal[[#This Row],[LIBRAS RALEO PLANTA]]+TablaPrincipal[[#This Row],[LIBRAS PLANTA]])/TablaPrincipal[[#This Row],[HAS]],"0")</f>
        <v>6994.6705882352935</v>
      </c>
      <c r="AJ338" s="186">
        <f t="shared" ref="AJ338:AJ356" si="7">IFERROR(AD338/(J338/7),"-")</f>
        <v>3.142631578947368</v>
      </c>
      <c r="AK338" s="186">
        <f>IFERROR(TablaPrincipal[[#This Row],[LBS/HA]]/TablaPrincipal[[#This Row],[DIAS]],"-")</f>
        <v>92.035139318885442</v>
      </c>
      <c r="AL338" s="186">
        <f>IFERROR(TablaPrincipal[[#This Row],[CAM COSECHADOS TOTALES]]/TablaPrincipal[[#This Row],[ANIM SEMBRADOS]]*100,"-")</f>
        <v>75.083609887821694</v>
      </c>
      <c r="AM338" s="185">
        <v>15553.45</v>
      </c>
      <c r="AN338" s="187">
        <f>IFERROR(((TablaPrincipal[[#This Row],[BALANCEADO ACUMULADO (LBS)]]/2.2046)/TablaPrincipal[[#This Row],[HAS]])/TablaPrincipal[[#This Row],[DIAS]],"-")</f>
        <v>54.605252625456089</v>
      </c>
      <c r="AO338" s="184">
        <f>IFERROR(TablaPrincipal[[#This Row],[BALANCEADO ACUMULADO (LBS)]]/TablaPrincipal[[#This Row],[LIBRAS TOTALES]],"-")</f>
        <v>1.3080084501309401</v>
      </c>
      <c r="AP338" s="184"/>
      <c r="AQ338" s="184"/>
      <c r="AR338" s="185">
        <f>TablaPrincipal[[#This Row],[LIBRAS RALEO PLANTA]]-TablaPrincipal[[#This Row],[LIBRAS RALEO CAMARONERA]]</f>
        <v>1063.9899999999998</v>
      </c>
      <c r="AS338" s="185">
        <f>TablaPrincipal[[#This Row],[LIBRAS PLANTA]]-TablaPrincipal[[#This Row],[LIBRAS CAMARONERA]]</f>
        <v>876.94999999999982</v>
      </c>
      <c r="AT338" s="187">
        <f>TablaPrincipal[[#This Row],[GRAMAJE RALEO PLANTA]]-TablaPrincipal[[#This Row],[GRAMAJE RALEO CAMARONERA]]</f>
        <v>-1.3800000000000026</v>
      </c>
      <c r="AU338" s="187">
        <f>TablaPrincipal[[#This Row],[GRAMOS PLANTA]]-TablaPrincipal[[#This Row],[GRAMAJE CAMARONERA]]</f>
        <v>0.61999999999999744</v>
      </c>
      <c r="AV338" s="183" t="str">
        <f>+VLOOKUP(TablaPrincipal[[#This Row],[CODIGO]],TablaCosechas[#All],10,0)</f>
        <v>ALFONSO GRUNAUER</v>
      </c>
      <c r="AW338" s="183" t="s">
        <v>201</v>
      </c>
      <c r="AX338" s="241" t="str">
        <f>+VLOOKUP(TablaPrincipal[[#This Row],[CODIGO]],TablaCosechas[#All],10,0)</f>
        <v>ALFONSO GRUNAUER</v>
      </c>
    </row>
    <row r="339" spans="1:50" x14ac:dyDescent="0.25">
      <c r="A339" s="196">
        <v>46140</v>
      </c>
      <c r="B339" s="242">
        <v>337</v>
      </c>
      <c r="C339" s="183">
        <f>YEAR(TablaPrincipal[[#This Row],[FECHA]])</f>
        <v>2026</v>
      </c>
      <c r="D339" s="183" t="s">
        <v>346</v>
      </c>
      <c r="E339" s="183" t="str">
        <f>UPPER(TEXT(TablaPrincipal[[#This Row],[FECHA]],"MMMM"))</f>
        <v>ABRIL</v>
      </c>
      <c r="F339" s="183" t="str">
        <f>IFERROR(VLOOKUP(TablaPrincipal[[#This Row],[CODIGO]],COSECHAS!A:J,9,0),"-")</f>
        <v>19</v>
      </c>
      <c r="G339" s="183" t="str">
        <f>IFERROR(VLOOKUP(TablaPrincipal[[#This Row],[CODIGO]],COSECHAS!A:I,8,0),"-")</f>
        <v>DORADO</v>
      </c>
      <c r="H339" s="184">
        <f>IFERROR(VLOOKUP(TablaPrincipal[[#This Row],[CODIGO]],DATOS!A:B,2,0),"-")</f>
        <v>8.8699999999999992</v>
      </c>
      <c r="I339" s="183" t="str">
        <f>IFERROR(VLOOKUP(TablaPrincipal[[#This Row],[CODIGO]],Tabla8[[#Headers],[#Data]],3,0),"-")</f>
        <v>ASC-BAP</v>
      </c>
      <c r="J339" s="183">
        <f>IFERROR(TablaPrincipal[[#This Row],[FECHA]]-TablaPrincipal[[#This Row],[FECHA DE SIEMBRA]],"-")</f>
        <v>87</v>
      </c>
      <c r="K339" s="196">
        <f>VLOOKUP(TablaPrincipal[[#This Row],[CODIGO]]&amp;TablaPrincipal[[#This Row],[AGUAJE ]],Tabla4[#All],4,0)</f>
        <v>46053</v>
      </c>
      <c r="L339" s="183" t="str">
        <f>VLOOKUP(TablaPrincipal[[#This Row],[CODIGO]]&amp;TablaPrincipal[[#This Row],[AGUAJE ]],Tabla4[#All],15,0)</f>
        <v>DO PC 4</v>
      </c>
      <c r="M339" s="184">
        <f>VLOOKUP(TablaPrincipal[[#This Row],[CODIGO]]&amp;TablaPrincipal[[#This Row],[AGUAJE ]],Tabla4[#All],14,0)</f>
        <v>1.2</v>
      </c>
      <c r="N339" s="183">
        <v>3</v>
      </c>
      <c r="O339" s="170">
        <f>VLOOKUP(TablaPrincipal[[#This Row],[CODIGO]]&amp;TablaPrincipal[[#This Row],[AGUAJE ]],Tabla4[#All],5,0)</f>
        <v>1552250</v>
      </c>
      <c r="P339" s="221">
        <f>IFERROR(TablaPrincipal[[#This Row],[ANIM SEMBRADOS]]/TablaPrincipal[[#This Row],[HAS]],"-")</f>
        <v>175000.00000000003</v>
      </c>
      <c r="Q339" s="222">
        <f>IFERROR(TablaPrincipal[[#This Row],[DENSIDAD]]/10000,"-")</f>
        <v>17.500000000000004</v>
      </c>
      <c r="R339" s="183" t="str">
        <f>VLOOKUP(TablaPrincipal[[#This Row],[CODIGO]]&amp;TablaPrincipal[[#This Row],[AGUAJE ]],Tabla4[#All],8,0)</f>
        <v>LARVASLAB</v>
      </c>
      <c r="S339" s="183" t="str">
        <f>VLOOKUP(TablaPrincipal[[#This Row],[CODIGO]]&amp;TablaPrincipal[[#This Row],[AGUAJE ]],Tabla4[#All],7,0)</f>
        <v>TEXCUMAR</v>
      </c>
      <c r="T339" s="183" t="str">
        <f>IF(ISNUMBER(FIND("/",TablaPrincipal[[#This Row],[LABORATORIO]])),"COMBINADO","UNICO")</f>
        <v>UNICO</v>
      </c>
      <c r="U3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61400</v>
      </c>
      <c r="V33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60589.630000000005</v>
      </c>
      <c r="W33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33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30.096666666666664</v>
      </c>
      <c r="Y339" s="185">
        <f>IFERROR(TablaPrincipal[[#This Row],[LIBRAS RALEO PLANTA]]/TablaPrincipal[[#This Row],[HAS]],"-")</f>
        <v>6830.848928974071</v>
      </c>
      <c r="Z33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867124.93573031761</v>
      </c>
      <c r="AA33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5000</v>
      </c>
      <c r="AB33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5425.98</v>
      </c>
      <c r="AC339" s="186">
        <f>SUMIFS(COSECHAS!F:F,COSECHAS!A:A,'BASE 2026'!AW:AW,COSECHAS!G:G,"="&amp;A:A)</f>
        <v>38</v>
      </c>
      <c r="AD339" s="186">
        <f>SUMIFS(COSECHAS!M:M,COSECHAS!A:A,'BASE 2026'!AW:AW,COSECHAS!G:G,"="&amp;A:A)</f>
        <v>36.78</v>
      </c>
      <c r="AE339" s="185">
        <f>IFERROR(TablaPrincipal[[#This Row],[LIBRAS PLANTA]]/TablaPrincipal[[#This Row],[HAS]],"-")</f>
        <v>611.72266065388953</v>
      </c>
      <c r="AF339" s="185">
        <f>IFERROR(TablaPrincipal[[#This Row],[LIBRAS PLANTA]]*454/TablaPrincipal[[#This Row],[GRAMOS PLANTA]],"-")</f>
        <v>66976.47960848287</v>
      </c>
      <c r="AG339" s="185">
        <f>TablaPrincipal[[#This Row],[LIBRAS RALEO PLANTA]]+TablaPrincipal[[#This Row],[LIBRAS PLANTA]]</f>
        <v>66015.61</v>
      </c>
      <c r="AH339" s="185">
        <f>IFERROR(TablaPrincipal[[#This Row],[CAM COSECHADOS RALEO]]+TablaPrincipal[[#This Row],[CAM COSECHADOS]],"-")</f>
        <v>934101.41533880052</v>
      </c>
      <c r="AI339" s="185">
        <f>IFERROR((TablaPrincipal[[#This Row],[LIBRAS RALEO PLANTA]]+TablaPrincipal[[#This Row],[LIBRAS PLANTA]])/TablaPrincipal[[#This Row],[HAS]],"0")</f>
        <v>7442.5715896279598</v>
      </c>
      <c r="AJ339" s="186">
        <f t="shared" si="7"/>
        <v>2.9593103448275864</v>
      </c>
      <c r="AK339" s="186">
        <f>IFERROR(TablaPrincipal[[#This Row],[LBS/HA]]/TablaPrincipal[[#This Row],[DIAS]],"-")</f>
        <v>85.546799880781151</v>
      </c>
      <c r="AL339" s="186">
        <f>IFERROR(TablaPrincipal[[#This Row],[CAM COSECHADOS TOTALES]]/TablaPrincipal[[#This Row],[ANIM SEMBRADOS]]*100,"-")</f>
        <v>60.177253363749429</v>
      </c>
      <c r="AM339" s="185">
        <v>100419.53</v>
      </c>
      <c r="AN339" s="187">
        <f>IFERROR(((TablaPrincipal[[#This Row],[BALANCEADO ACUMULADO (LBS)]]/2.2046)/TablaPrincipal[[#This Row],[HAS]])/TablaPrincipal[[#This Row],[DIAS]],"-")</f>
        <v>59.026292941466131</v>
      </c>
      <c r="AO339" s="184">
        <f>IFERROR(TablaPrincipal[[#This Row],[BALANCEADO ACUMULADO (LBS)]]/TablaPrincipal[[#This Row],[LIBRAS TOTALES]],"-")</f>
        <v>1.5211482556928582</v>
      </c>
      <c r="AP339" s="184"/>
      <c r="AQ339" s="184"/>
      <c r="AR339" s="185">
        <f>TablaPrincipal[[#This Row],[LIBRAS RALEO PLANTA]]-TablaPrincipal[[#This Row],[LIBRAS RALEO CAMARONERA]]</f>
        <v>-810.36999999999534</v>
      </c>
      <c r="AS339" s="185">
        <f>TablaPrincipal[[#This Row],[LIBRAS PLANTA]]-TablaPrincipal[[#This Row],[LIBRAS CAMARONERA]]</f>
        <v>425.97999999999956</v>
      </c>
      <c r="AT339" s="187">
        <f>TablaPrincipal[[#This Row],[GRAMAJE RALEO PLANTA]]-TablaPrincipal[[#This Row],[GRAMAJE RALEO CAMARONERA]]</f>
        <v>1.096666666666664</v>
      </c>
      <c r="AU339" s="187">
        <f>TablaPrincipal[[#This Row],[GRAMOS PLANTA]]-TablaPrincipal[[#This Row],[GRAMAJE CAMARONERA]]</f>
        <v>-1.2199999999999989</v>
      </c>
      <c r="AV339" s="183" t="str">
        <f>+VLOOKUP(TablaPrincipal[[#This Row],[CODIGO]],TablaCosechas[#All],10,0)</f>
        <v>JOSE CEDEÑO</v>
      </c>
      <c r="AW339" s="183" t="s">
        <v>184</v>
      </c>
      <c r="AX339" s="188" t="str">
        <f>+VLOOKUP(TablaPrincipal[[#This Row],[CODIGO]],TablaCosechas[#All],10,0)</f>
        <v>JOSE CEDEÑO</v>
      </c>
    </row>
    <row r="340" spans="1:50" x14ac:dyDescent="0.25">
      <c r="A340" s="196">
        <v>46140</v>
      </c>
      <c r="B340" s="242">
        <v>338</v>
      </c>
      <c r="C340" s="183">
        <f>YEAR(TablaPrincipal[[#This Row],[FECHA]])</f>
        <v>2026</v>
      </c>
      <c r="D340" s="183" t="s">
        <v>346</v>
      </c>
      <c r="E340" s="183" t="str">
        <f>UPPER(TEXT(TablaPrincipal[[#This Row],[FECHA]],"MMMM"))</f>
        <v>ABRIL</v>
      </c>
      <c r="F340" s="183" t="str">
        <f>IFERROR(VLOOKUP(TablaPrincipal[[#This Row],[CODIGO]],COSECHAS!A:J,9,0),"-")</f>
        <v>20</v>
      </c>
      <c r="G340" s="183" t="str">
        <f>IFERROR(VLOOKUP(TablaPrincipal[[#This Row],[CODIGO]],COSECHAS!A:I,8,0),"-")</f>
        <v>DELFIN</v>
      </c>
      <c r="H340" s="184">
        <f>IFERROR(VLOOKUP(TablaPrincipal[[#This Row],[CODIGO]],DATOS!A:B,2,0),"-")</f>
        <v>3.8</v>
      </c>
      <c r="I340" s="183" t="str">
        <f>IFERROR(VLOOKUP(TablaPrincipal[[#This Row],[CODIGO]],Tabla8[[#Headers],[#Data]],3,0),"-")</f>
        <v>CONVENCIONAL</v>
      </c>
      <c r="J340" s="183">
        <f>IFERROR(TablaPrincipal[[#This Row],[FECHA]]-TablaPrincipal[[#This Row],[FECHA DE SIEMBRA]],"-")</f>
        <v>77</v>
      </c>
      <c r="K340" s="196">
        <f>VLOOKUP(TablaPrincipal[[#This Row],[CODIGO]]&amp;TablaPrincipal[[#This Row],[AGUAJE ]],Tabla4[#All],4,0)</f>
        <v>46063</v>
      </c>
      <c r="L340" s="183" t="str">
        <f>VLOOKUP(TablaPrincipal[[#This Row],[CODIGO]]&amp;TablaPrincipal[[#This Row],[AGUAJE ]],Tabla4[#All],15,0)</f>
        <v>DE 2</v>
      </c>
      <c r="M340" s="184">
        <f>VLOOKUP(TablaPrincipal[[#This Row],[CODIGO]]&amp;TablaPrincipal[[#This Row],[AGUAJE ]],Tabla4[#All],14,0)</f>
        <v>0.55000000000000004</v>
      </c>
      <c r="N340" s="183">
        <v>10</v>
      </c>
      <c r="O340" s="170">
        <f>VLOOKUP(TablaPrincipal[[#This Row],[CODIGO]]&amp;TablaPrincipal[[#This Row],[AGUAJE ]],Tabla4[#All],5,0)</f>
        <v>494000</v>
      </c>
      <c r="P340" s="221">
        <f>IFERROR(TablaPrincipal[[#This Row],[ANIM SEMBRADOS]]/TablaPrincipal[[#This Row],[HAS]],"-")</f>
        <v>130000</v>
      </c>
      <c r="Q340" s="222">
        <f>IFERROR(TablaPrincipal[[#This Row],[DENSIDAD]]/10000,"-")</f>
        <v>13</v>
      </c>
      <c r="R340" s="183" t="str">
        <f>VLOOKUP(TablaPrincipal[[#This Row],[CODIGO]]&amp;TablaPrincipal[[#This Row],[AGUAJE ]],Tabla4[#All],8,0)</f>
        <v>NARIHUALA</v>
      </c>
      <c r="S340" s="183" t="str">
        <f>VLOOKUP(TablaPrincipal[[#This Row],[CODIGO]]&amp;TablaPrincipal[[#This Row],[AGUAJE ]],Tabla4[#All],7,0)</f>
        <v>TEXCUMAR</v>
      </c>
      <c r="T340" s="183" t="str">
        <f>IF(ISNUMBER(FIND("/",TablaPrincipal[[#This Row],[LABORATORIO]])),"COMBINADO","UNICO")</f>
        <v>UNICO</v>
      </c>
      <c r="U3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3650</v>
      </c>
      <c r="V34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3410.56</v>
      </c>
      <c r="W34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4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19.739999999999998</v>
      </c>
      <c r="Y340" s="185">
        <f>IFERROR(TablaPrincipal[[#This Row],[LIBRAS RALEO PLANTA]]/TablaPrincipal[[#This Row],[HAS]],"-")</f>
        <v>897.51578947368421</v>
      </c>
      <c r="Z34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78439.424518743675</v>
      </c>
      <c r="AA34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10150</v>
      </c>
      <c r="AB34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10618.12</v>
      </c>
      <c r="AC340" s="186">
        <f>SUMIFS(COSECHAS!F:F,COSECHAS!A:A,'BASE 2026'!AW:AW,COSECHAS!G:G,"="&amp;A:A)</f>
        <v>38</v>
      </c>
      <c r="AD340" s="186">
        <f>SUMIFS(COSECHAS!M:M,COSECHAS!A:A,'BASE 2026'!AW:AW,COSECHAS!G:G,"="&amp;A:A)</f>
        <v>37.78</v>
      </c>
      <c r="AE340" s="185">
        <f>IFERROR(TablaPrincipal[[#This Row],[LIBRAS PLANTA]]/TablaPrincipal[[#This Row],[HAS]],"-")</f>
        <v>2794.242105263158</v>
      </c>
      <c r="AF340" s="185">
        <f>IFERROR(TablaPrincipal[[#This Row],[LIBRAS PLANTA]]*454/TablaPrincipal[[#This Row],[GRAMOS PLANTA]],"-")</f>
        <v>127597.31286394919</v>
      </c>
      <c r="AG340" s="185">
        <f>TablaPrincipal[[#This Row],[LIBRAS RALEO PLANTA]]+TablaPrincipal[[#This Row],[LIBRAS PLANTA]]</f>
        <v>14028.68</v>
      </c>
      <c r="AH340" s="185">
        <f>IFERROR(TablaPrincipal[[#This Row],[CAM COSECHADOS RALEO]]+TablaPrincipal[[#This Row],[CAM COSECHADOS]],"-")</f>
        <v>206036.73738269287</v>
      </c>
      <c r="AI340" s="185">
        <f>IFERROR((TablaPrincipal[[#This Row],[LIBRAS RALEO PLANTA]]+TablaPrincipal[[#This Row],[LIBRAS PLANTA]])/TablaPrincipal[[#This Row],[HAS]],"0")</f>
        <v>3691.7578947368424</v>
      </c>
      <c r="AJ340" s="186">
        <f t="shared" si="7"/>
        <v>3.4345454545454546</v>
      </c>
      <c r="AK340" s="186">
        <f>IFERROR(TablaPrincipal[[#This Row],[LBS/HA]]/TablaPrincipal[[#This Row],[DIAS]],"-")</f>
        <v>47.944907723855096</v>
      </c>
      <c r="AL340" s="186">
        <f>IFERROR(TablaPrincipal[[#This Row],[CAM COSECHADOS TOTALES]]/TablaPrincipal[[#This Row],[ANIM SEMBRADOS]]*100,"-")</f>
        <v>41.707841575443901</v>
      </c>
      <c r="AM340" s="185">
        <v>34832.68</v>
      </c>
      <c r="AN340" s="187">
        <f>IFERROR(((TablaPrincipal[[#This Row],[BALANCEADO ACUMULADO (LBS)]]/2.2046)/TablaPrincipal[[#This Row],[HAS]])/TablaPrincipal[[#This Row],[DIAS]],"-")</f>
        <v>53.998632946001372</v>
      </c>
      <c r="AO340" s="184">
        <f>IFERROR(TablaPrincipal[[#This Row],[BALANCEADO ACUMULADO (LBS)]]/TablaPrincipal[[#This Row],[LIBRAS TOTALES]],"-")</f>
        <v>2.4829620463222484</v>
      </c>
      <c r="AP340" s="184"/>
      <c r="AQ340" s="184"/>
      <c r="AR340" s="185">
        <f>TablaPrincipal[[#This Row],[LIBRAS RALEO PLANTA]]-TablaPrincipal[[#This Row],[LIBRAS RALEO CAMARONERA]]</f>
        <v>-239.44000000000005</v>
      </c>
      <c r="AS340" s="185">
        <f>TablaPrincipal[[#This Row],[LIBRAS PLANTA]]-TablaPrincipal[[#This Row],[LIBRAS CAMARONERA]]</f>
        <v>468.1200000000008</v>
      </c>
      <c r="AT340" s="187">
        <f>TablaPrincipal[[#This Row],[GRAMAJE RALEO PLANTA]]-TablaPrincipal[[#This Row],[GRAMAJE RALEO CAMARONERA]]</f>
        <v>1.7399999999999984</v>
      </c>
      <c r="AU340" s="187">
        <f>TablaPrincipal[[#This Row],[GRAMOS PLANTA]]-TablaPrincipal[[#This Row],[GRAMAJE CAMARONERA]]</f>
        <v>-0.21999999999999886</v>
      </c>
      <c r="AV340" s="183" t="str">
        <f>+VLOOKUP(TablaPrincipal[[#This Row],[CODIGO]],TablaCosechas[#All],10,0)</f>
        <v>CARLOS FLORES</v>
      </c>
      <c r="AW340" s="183" t="s">
        <v>194</v>
      </c>
      <c r="AX340" s="188" t="str">
        <f>+VLOOKUP(TablaPrincipal[[#This Row],[CODIGO]],TablaCosechas[#All],10,0)</f>
        <v>CARLOS FLORES</v>
      </c>
    </row>
    <row r="341" spans="1:50" x14ac:dyDescent="0.25">
      <c r="A341" s="196">
        <v>46141</v>
      </c>
      <c r="B341" s="242">
        <v>339</v>
      </c>
      <c r="C341" s="183">
        <f>YEAR(TablaPrincipal[[#This Row],[FECHA]])</f>
        <v>2026</v>
      </c>
      <c r="D341" s="183" t="s">
        <v>346</v>
      </c>
      <c r="E341" s="183" t="str">
        <f>UPPER(TEXT(TablaPrincipal[[#This Row],[FECHA]],"MMMM"))</f>
        <v>ABRIL</v>
      </c>
      <c r="F341" s="183" t="str">
        <f>IFERROR(VLOOKUP(TablaPrincipal[[#This Row],[CODIGO]],COSECHAS!A:J,9,0),"-")</f>
        <v>05</v>
      </c>
      <c r="G341" s="183" t="str">
        <f>IFERROR(VLOOKUP(TablaPrincipal[[#This Row],[CODIGO]],COSECHAS!A:I,8,0),"-")</f>
        <v>DORADO</v>
      </c>
      <c r="H341" s="184">
        <f>IFERROR(VLOOKUP(TablaPrincipal[[#This Row],[CODIGO]],DATOS!A:B,2,0),"-")</f>
        <v>3.84</v>
      </c>
      <c r="I341" s="183" t="str">
        <f>IFERROR(VLOOKUP(TablaPrincipal[[#This Row],[CODIGO]],Tabla8[[#Headers],[#Data]],3,0),"-")</f>
        <v>ASC-BAP</v>
      </c>
      <c r="J341" s="183">
        <f>IFERROR(TablaPrincipal[[#This Row],[FECHA]]-TablaPrincipal[[#This Row],[FECHA DE SIEMBRA]],"-")</f>
        <v>86</v>
      </c>
      <c r="K341" s="196">
        <f>VLOOKUP(TablaPrincipal[[#This Row],[CODIGO]]&amp;TablaPrincipal[[#This Row],[AGUAJE ]],Tabla4[#All],4,0)</f>
        <v>46055</v>
      </c>
      <c r="L341" s="183" t="str">
        <f>VLOOKUP(TablaPrincipal[[#This Row],[CODIGO]]&amp;TablaPrincipal[[#This Row],[AGUAJE ]],Tabla4[#All],15,0)</f>
        <v>TU PC 7</v>
      </c>
      <c r="M341" s="184">
        <f>VLOOKUP(TablaPrincipal[[#This Row],[CODIGO]]&amp;TablaPrincipal[[#This Row],[AGUAJE ]],Tabla4[#All],14,0)</f>
        <v>0.7</v>
      </c>
      <c r="N341" s="183">
        <v>5</v>
      </c>
      <c r="O341" s="170">
        <f>VLOOKUP(TablaPrincipal[[#This Row],[CODIGO]]&amp;TablaPrincipal[[#This Row],[AGUAJE ]],Tabla4[#All],5,0)</f>
        <v>691200</v>
      </c>
      <c r="P341" s="221">
        <f>IFERROR(TablaPrincipal[[#This Row],[ANIM SEMBRADOS]]/TablaPrincipal[[#This Row],[HAS]],"-")</f>
        <v>180000</v>
      </c>
      <c r="Q341" s="222">
        <f>IFERROR(TablaPrincipal[[#This Row],[DENSIDAD]]/10000,"-")</f>
        <v>18</v>
      </c>
      <c r="R341" s="183" t="str">
        <f>VLOOKUP(TablaPrincipal[[#This Row],[CODIGO]]&amp;TablaPrincipal[[#This Row],[AGUAJE ]],Tabla4[#All],8,0)</f>
        <v>NARIHUALA</v>
      </c>
      <c r="S341" s="183" t="str">
        <f>VLOOKUP(TablaPrincipal[[#This Row],[CODIGO]]&amp;TablaPrincipal[[#This Row],[AGUAJE ]],Tabla4[#All],7,0)</f>
        <v>TEXCUMAR</v>
      </c>
      <c r="T341" s="183" t="str">
        <f>IF(ISNUMBER(FIND("/",TablaPrincipal[[#This Row],[LABORATORIO]])),"COMBINADO","UNICO")</f>
        <v>UNICO</v>
      </c>
      <c r="U3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25300</v>
      </c>
      <c r="V34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27109.9</v>
      </c>
      <c r="W34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28.666666666666668</v>
      </c>
      <c r="X34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29.613333333333333</v>
      </c>
      <c r="Y341" s="185">
        <f>IFERROR(TablaPrincipal[[#This Row],[LIBRAS RALEO PLANTA]]/TablaPrincipal[[#This Row],[HAS]],"-")</f>
        <v>7059.869791666667</v>
      </c>
      <c r="Z34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427652.33983405575</v>
      </c>
      <c r="AA34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3550</v>
      </c>
      <c r="AB34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3420.89</v>
      </c>
      <c r="AC341" s="186">
        <f>SUMIFS(COSECHAS!F:F,COSECHAS!A:A,'BASE 2026'!AW:AW,COSECHAS!G:G,"="&amp;A:A)</f>
        <v>38</v>
      </c>
      <c r="AD341" s="186">
        <f>SUMIFS(COSECHAS!M:M,COSECHAS!A:A,'BASE 2026'!AW:AW,COSECHAS!G:G,"="&amp;A:A)</f>
        <v>35.6</v>
      </c>
      <c r="AE341" s="185">
        <f>IFERROR(TablaPrincipal[[#This Row],[LIBRAS PLANTA]]/TablaPrincipal[[#This Row],[HAS]],"-")</f>
        <v>890.85677083333337</v>
      </c>
      <c r="AF341" s="185">
        <f>IFERROR(TablaPrincipal[[#This Row],[LIBRAS PLANTA]]*454/TablaPrincipal[[#This Row],[GRAMOS PLANTA]],"-")</f>
        <v>43625.956741573034</v>
      </c>
      <c r="AG341" s="185">
        <f>TablaPrincipal[[#This Row],[LIBRAS RALEO PLANTA]]+TablaPrincipal[[#This Row],[LIBRAS PLANTA]]</f>
        <v>30530.79</v>
      </c>
      <c r="AH341" s="185">
        <f>IFERROR(TablaPrincipal[[#This Row],[CAM COSECHADOS RALEO]]+TablaPrincipal[[#This Row],[CAM COSECHADOS]],"-")</f>
        <v>471278.2965756288</v>
      </c>
      <c r="AI341" s="185">
        <f>IFERROR((TablaPrincipal[[#This Row],[LIBRAS RALEO PLANTA]]+TablaPrincipal[[#This Row],[LIBRAS PLANTA]])/TablaPrincipal[[#This Row],[HAS]],"0")</f>
        <v>7950.7265625000009</v>
      </c>
      <c r="AJ341" s="186">
        <f t="shared" si="7"/>
        <v>2.8976744186046512</v>
      </c>
      <c r="AK341" s="186">
        <f>IFERROR(TablaPrincipal[[#This Row],[LBS/HA]]/TablaPrincipal[[#This Row],[DIAS]],"-")</f>
        <v>92.450308866279087</v>
      </c>
      <c r="AL341" s="186">
        <f>IFERROR(TablaPrincipal[[#This Row],[CAM COSECHADOS TOTALES]]/TablaPrincipal[[#This Row],[ANIM SEMBRADOS]]*100,"-")</f>
        <v>68.182623925872221</v>
      </c>
      <c r="AM341" s="185">
        <v>48831.89</v>
      </c>
      <c r="AN341" s="187">
        <f>IFERROR(((TablaPrincipal[[#This Row],[BALANCEADO ACUMULADO (LBS)]]/2.2046)/TablaPrincipal[[#This Row],[HAS]])/TablaPrincipal[[#This Row],[DIAS]],"-")</f>
        <v>67.072432170542641</v>
      </c>
      <c r="AO341" s="184">
        <f>IFERROR(TablaPrincipal[[#This Row],[BALANCEADO ACUMULADO (LBS)]]/TablaPrincipal[[#This Row],[LIBRAS TOTALES]],"-")</f>
        <v>1.5994309351313869</v>
      </c>
      <c r="AP341" s="184"/>
      <c r="AQ341" s="184"/>
      <c r="AR341" s="185">
        <f>TablaPrincipal[[#This Row],[LIBRAS RALEO PLANTA]]-TablaPrincipal[[#This Row],[LIBRAS RALEO CAMARONERA]]</f>
        <v>1809.9000000000015</v>
      </c>
      <c r="AS341" s="185">
        <f>TablaPrincipal[[#This Row],[LIBRAS PLANTA]]-TablaPrincipal[[#This Row],[LIBRAS CAMARONERA]]</f>
        <v>-129.11000000000013</v>
      </c>
      <c r="AT341" s="187">
        <f>TablaPrincipal[[#This Row],[GRAMAJE RALEO PLANTA]]-TablaPrincipal[[#This Row],[GRAMAJE RALEO CAMARONERA]]</f>
        <v>0.94666666666666544</v>
      </c>
      <c r="AU341" s="187">
        <f>TablaPrincipal[[#This Row],[GRAMOS PLANTA]]-TablaPrincipal[[#This Row],[GRAMAJE CAMARONERA]]</f>
        <v>-2.3999999999999986</v>
      </c>
      <c r="AV341" s="183" t="str">
        <f>+VLOOKUP(TablaPrincipal[[#This Row],[CODIGO]],TablaCosechas[#All],10,0)</f>
        <v>JOSE CEDEÑO</v>
      </c>
      <c r="AW341" s="183" t="s">
        <v>183</v>
      </c>
      <c r="AX341" s="188" t="str">
        <f>+VLOOKUP(TablaPrincipal[[#This Row],[CODIGO]],TablaCosechas[#All],10,0)</f>
        <v>JOSE CEDEÑO</v>
      </c>
    </row>
    <row r="342" spans="1:50" x14ac:dyDescent="0.25">
      <c r="A342" s="196">
        <v>46141</v>
      </c>
      <c r="B342" s="242">
        <v>340</v>
      </c>
      <c r="C342" s="183">
        <f>YEAR(TablaPrincipal[[#This Row],[FECHA]])</f>
        <v>2026</v>
      </c>
      <c r="D342" s="183" t="s">
        <v>346</v>
      </c>
      <c r="E342" s="183" t="str">
        <f>UPPER(TEXT(TablaPrincipal[[#This Row],[FECHA]],"MMMM"))</f>
        <v>ABRIL</v>
      </c>
      <c r="F342" s="183" t="str">
        <f>IFERROR(VLOOKUP(TablaPrincipal[[#This Row],[CODIGO]],COSECHAS!A:J,9,0),"-")</f>
        <v>17</v>
      </c>
      <c r="G342" s="183" t="str">
        <f>IFERROR(VLOOKUP(TablaPrincipal[[#This Row],[CODIGO]],COSECHAS!A:I,8,0),"-")</f>
        <v>TAMBULERO</v>
      </c>
      <c r="H342" s="184">
        <f>IFERROR(VLOOKUP(TablaPrincipal[[#This Row],[CODIGO]],DATOS!A:B,2,0),"-")</f>
        <v>1.5</v>
      </c>
      <c r="I342" s="183" t="str">
        <f>IFERROR(VLOOKUP(TablaPrincipal[[#This Row],[CODIGO]],Tabla8[[#Headers],[#Data]],3,0),"-")</f>
        <v>ASC-BAP</v>
      </c>
      <c r="J342" s="183">
        <f>IFERROR(TablaPrincipal[[#This Row],[FECHA]]-TablaPrincipal[[#This Row],[FECHA DE SIEMBRA]],"-")</f>
        <v>78</v>
      </c>
      <c r="K342" s="196">
        <f>VLOOKUP(TablaPrincipal[[#This Row],[CODIGO]]&amp;TablaPrincipal[[#This Row],[AGUAJE ]],Tabla4[#All],4,0)</f>
        <v>46063</v>
      </c>
      <c r="L342" s="183" t="str">
        <f>VLOOKUP(TablaPrincipal[[#This Row],[CODIGO]]&amp;TablaPrincipal[[#This Row],[AGUAJE ]],Tabla4[#All],15,0)</f>
        <v>TI PC 09</v>
      </c>
      <c r="M342" s="184">
        <f>VLOOKUP(TablaPrincipal[[#This Row],[CODIGO]]&amp;TablaPrincipal[[#This Row],[AGUAJE ]],Tabla4[#All],14,0)</f>
        <v>0.32</v>
      </c>
      <c r="N342" s="183">
        <v>5</v>
      </c>
      <c r="O342" s="170">
        <f>VLOOKUP(TablaPrincipal[[#This Row],[CODIGO]]&amp;TablaPrincipal[[#This Row],[AGUAJE ]],Tabla4[#All],5,0)</f>
        <v>225000</v>
      </c>
      <c r="P342" s="221">
        <f>IFERROR(TablaPrincipal[[#This Row],[ANIM SEMBRADOS]]/TablaPrincipal[[#This Row],[HAS]],"-")</f>
        <v>150000</v>
      </c>
      <c r="Q342" s="222">
        <f>IFERROR(TablaPrincipal[[#This Row],[DENSIDAD]]/10000,"-")</f>
        <v>15</v>
      </c>
      <c r="R342" s="183" t="str">
        <f>VLOOKUP(TablaPrincipal[[#This Row],[CODIGO]]&amp;TablaPrincipal[[#This Row],[AGUAJE ]],Tabla4[#All],8,0)</f>
        <v>TECSERV</v>
      </c>
      <c r="S342" s="183" t="str">
        <f>VLOOKUP(TablaPrincipal[[#This Row],[CODIGO]]&amp;TablaPrincipal[[#This Row],[AGUAJE ]],Tabla4[#All],7,0)</f>
        <v>TEXCUMAR</v>
      </c>
      <c r="T342" s="183" t="str">
        <f>IF(ISNUMBER(FIND("/",TablaPrincipal[[#This Row],[LABORATORIO]])),"COMBINADO","UNICO")</f>
        <v>UNICO</v>
      </c>
      <c r="U3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34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34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34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342" s="185">
        <f>IFERROR(TablaPrincipal[[#This Row],[LIBRAS RALEO PLANTA]]/TablaPrincipal[[#This Row],[HAS]],"-")</f>
        <v>0</v>
      </c>
      <c r="Z34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34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9950</v>
      </c>
      <c r="AB34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10646.87</v>
      </c>
      <c r="AC342" s="186">
        <f>SUMIFS(COSECHAS!F:F,COSECHAS!A:A,'BASE 2026'!AW:AW,COSECHAS!G:G,"="&amp;A:A)</f>
        <v>34.5</v>
      </c>
      <c r="AD342" s="186">
        <f>SUMIFS(COSECHAS!M:M,COSECHAS!A:A,'BASE 2026'!AW:AW,COSECHAS!G:G,"="&amp;A:A)</f>
        <v>34.36</v>
      </c>
      <c r="AE342" s="185">
        <f>IFERROR(TablaPrincipal[[#This Row],[LIBRAS PLANTA]]/TablaPrincipal[[#This Row],[HAS]],"-")</f>
        <v>7097.9133333333339</v>
      </c>
      <c r="AF342" s="185">
        <f>IFERROR(TablaPrincipal[[#This Row],[LIBRAS PLANTA]]*454/TablaPrincipal[[#This Row],[GRAMOS PLANTA]],"-")</f>
        <v>140677.50232828871</v>
      </c>
      <c r="AG342" s="185">
        <f>TablaPrincipal[[#This Row],[LIBRAS RALEO PLANTA]]+TablaPrincipal[[#This Row],[LIBRAS PLANTA]]</f>
        <v>10646.87</v>
      </c>
      <c r="AH342" s="185">
        <f>IFERROR(TablaPrincipal[[#This Row],[CAM COSECHADOS RALEO]]+TablaPrincipal[[#This Row],[CAM COSECHADOS]],"-")</f>
        <v>140677.50232828871</v>
      </c>
      <c r="AI342" s="185">
        <f>IFERROR((TablaPrincipal[[#This Row],[LIBRAS RALEO PLANTA]]+TablaPrincipal[[#This Row],[LIBRAS PLANTA]])/TablaPrincipal[[#This Row],[HAS]],"0")</f>
        <v>7097.9133333333339</v>
      </c>
      <c r="AJ342" s="186">
        <f t="shared" si="7"/>
        <v>3.0835897435897435</v>
      </c>
      <c r="AK342" s="186">
        <f>IFERROR(TablaPrincipal[[#This Row],[LBS/HA]]/TablaPrincipal[[#This Row],[DIAS]],"-")</f>
        <v>90.998888888888899</v>
      </c>
      <c r="AL342" s="186">
        <f>IFERROR(TablaPrincipal[[#This Row],[CAM COSECHADOS TOTALES]]/TablaPrincipal[[#This Row],[ANIM SEMBRADOS]]*100,"-")</f>
        <v>62.523334368128317</v>
      </c>
      <c r="AM342" s="185">
        <v>16997.47</v>
      </c>
      <c r="AN342" s="187">
        <f>IFERROR(((TablaPrincipal[[#This Row],[BALANCEADO ACUMULADO (LBS)]]/2.2046)/TablaPrincipal[[#This Row],[HAS]])/TablaPrincipal[[#This Row],[DIAS]],"-")</f>
        <v>65.897451405026487</v>
      </c>
      <c r="AO342" s="184">
        <f>IFERROR(TablaPrincipal[[#This Row],[BALANCEADO ACUMULADO (LBS)]]/TablaPrincipal[[#This Row],[LIBRAS TOTALES]],"-")</f>
        <v>1.5964757717526372</v>
      </c>
      <c r="AP342" s="184"/>
      <c r="AQ342" s="184"/>
      <c r="AR342" s="185">
        <f>TablaPrincipal[[#This Row],[LIBRAS RALEO PLANTA]]-TablaPrincipal[[#This Row],[LIBRAS RALEO CAMARONERA]]</f>
        <v>0</v>
      </c>
      <c r="AS342" s="185">
        <f>TablaPrincipal[[#This Row],[LIBRAS PLANTA]]-TablaPrincipal[[#This Row],[LIBRAS CAMARONERA]]</f>
        <v>696.8700000000008</v>
      </c>
      <c r="AT342" s="187">
        <f>TablaPrincipal[[#This Row],[GRAMAJE RALEO PLANTA]]-TablaPrincipal[[#This Row],[GRAMAJE RALEO CAMARONERA]]</f>
        <v>0</v>
      </c>
      <c r="AU342" s="187">
        <f>TablaPrincipal[[#This Row],[GRAMOS PLANTA]]-TablaPrincipal[[#This Row],[GRAMAJE CAMARONERA]]</f>
        <v>-0.14000000000000057</v>
      </c>
      <c r="AV342" s="183" t="str">
        <f>+VLOOKUP(TablaPrincipal[[#This Row],[CODIGO]],TablaCosechas[#All],10,0)</f>
        <v>ALFONSO GRUNAUER</v>
      </c>
      <c r="AW342" s="183" t="s">
        <v>204</v>
      </c>
      <c r="AX342" s="188" t="str">
        <f>+VLOOKUP(TablaPrincipal[[#This Row],[CODIGO]],TablaCosechas[#All],10,0)</f>
        <v>ALFONSO GRUNAUER</v>
      </c>
    </row>
    <row r="343" spans="1:50" x14ac:dyDescent="0.25">
      <c r="A343" s="196">
        <v>46142</v>
      </c>
      <c r="B343" s="242">
        <v>341</v>
      </c>
      <c r="C343" s="183">
        <f>YEAR(TablaPrincipal[[#This Row],[FECHA]])</f>
        <v>2026</v>
      </c>
      <c r="D343" s="183" t="s">
        <v>346</v>
      </c>
      <c r="E343" s="183" t="str">
        <f>UPPER(TEXT(TablaPrincipal[[#This Row],[FECHA]],"MMMM"))</f>
        <v>ABRIL</v>
      </c>
      <c r="F343" s="183" t="str">
        <f>IFERROR(VLOOKUP(TablaPrincipal[[#This Row],[CODIGO]],COSECHAS!A:J,9,0),"-")</f>
        <v>23</v>
      </c>
      <c r="G343" s="183" t="str">
        <f>IFERROR(VLOOKUP(TablaPrincipal[[#This Row],[CODIGO]],COSECHAS!A:I,8,0),"-")</f>
        <v>DORADO</v>
      </c>
      <c r="H343" s="184">
        <f>IFERROR(VLOOKUP(TablaPrincipal[[#This Row],[CODIGO]],DATOS!A:B,2,0),"-")</f>
        <v>13.72</v>
      </c>
      <c r="I343" s="183" t="str">
        <f>IFERROR(VLOOKUP(TablaPrincipal[[#This Row],[CODIGO]],Tabla8[[#Headers],[#Data]],3,0),"-")</f>
        <v>ASC-BAP</v>
      </c>
      <c r="J343" s="183">
        <f>IFERROR(TablaPrincipal[[#This Row],[FECHA]]-TablaPrincipal[[#This Row],[FECHA DE SIEMBRA]],"-")</f>
        <v>100</v>
      </c>
      <c r="K343" s="196">
        <f>VLOOKUP(TablaPrincipal[[#This Row],[CODIGO]]&amp;TablaPrincipal[[#This Row],[AGUAJE ]],Tabla4[#All],4,0)</f>
        <v>46042</v>
      </c>
      <c r="L343" s="183" t="str">
        <f>VLOOKUP(TablaPrincipal[[#This Row],[CODIGO]]&amp;TablaPrincipal[[#This Row],[AGUAJE ]],Tabla4[#All],15,0)</f>
        <v>DO PC 6</v>
      </c>
      <c r="M343" s="184">
        <f>VLOOKUP(TablaPrincipal[[#This Row],[CODIGO]]&amp;TablaPrincipal[[#This Row],[AGUAJE ]],Tabla4[#All],14,0)</f>
        <v>0.6</v>
      </c>
      <c r="N343" s="183">
        <v>3</v>
      </c>
      <c r="O343" s="170">
        <f>VLOOKUP(TablaPrincipal[[#This Row],[CODIGO]]&amp;TablaPrincipal[[#This Row],[AGUAJE ]],Tabla4[#All],5,0)</f>
        <v>2480108</v>
      </c>
      <c r="P343" s="221">
        <f>IFERROR(TablaPrincipal[[#This Row],[ANIM SEMBRADOS]]/TablaPrincipal[[#This Row],[HAS]],"-")</f>
        <v>180765.88921282798</v>
      </c>
      <c r="Q343" s="222">
        <f>IFERROR(TablaPrincipal[[#This Row],[DENSIDAD]]/10000,"-")</f>
        <v>18.076588921282799</v>
      </c>
      <c r="R343" s="183" t="str">
        <f>VLOOKUP(TablaPrincipal[[#This Row],[CODIGO]]&amp;TablaPrincipal[[#This Row],[AGUAJE ]],Tabla4[#All],8,0)</f>
        <v>PRONAUPLIO</v>
      </c>
      <c r="S343" s="183" t="str">
        <f>VLOOKUP(TablaPrincipal[[#This Row],[CODIGO]]&amp;TablaPrincipal[[#This Row],[AGUAJE ]],Tabla4[#All],7,0)</f>
        <v>EMPAGRAN</v>
      </c>
      <c r="T343" s="183" t="str">
        <f>IF(ISNUMBER(FIND("/",TablaPrincipal[[#This Row],[LABORATORIO]])),"COMBINADO","UNICO")</f>
        <v>UNICO</v>
      </c>
      <c r="U3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109200</v>
      </c>
      <c r="V34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106074.93000000001</v>
      </c>
      <c r="W34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28.4</v>
      </c>
      <c r="X34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28.196000000000005</v>
      </c>
      <c r="Y343" s="185">
        <f>IFERROR(TablaPrincipal[[#This Row],[LIBRAS RALEO PLANTA]]/TablaPrincipal[[#This Row],[HAS]],"-")</f>
        <v>7731.4088921282801</v>
      </c>
      <c r="Z34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1740838.2200640738</v>
      </c>
      <c r="AA34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8400</v>
      </c>
      <c r="AB34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7981.58</v>
      </c>
      <c r="AC343" s="186">
        <f>SUMIFS(COSECHAS!F:F,COSECHAS!A:A,'BASE 2026'!AW:AW,COSECHAS!G:G,"="&amp;A:A)</f>
        <v>38</v>
      </c>
      <c r="AD343" s="186">
        <f>SUMIFS(COSECHAS!M:M,COSECHAS!A:A,'BASE 2026'!AW:AW,COSECHAS!G:G,"="&amp;A:A)</f>
        <v>33.74</v>
      </c>
      <c r="AE343" s="185">
        <f>IFERROR(TablaPrincipal[[#This Row],[LIBRAS PLANTA]]/TablaPrincipal[[#This Row],[HAS]],"-")</f>
        <v>581.74781341107871</v>
      </c>
      <c r="AF343" s="185">
        <f>IFERROR(TablaPrincipal[[#This Row],[LIBRAS PLANTA]]*454/TablaPrincipal[[#This Row],[GRAMOS PLANTA]],"-")</f>
        <v>107398.85358624777</v>
      </c>
      <c r="AG343" s="185">
        <f>TablaPrincipal[[#This Row],[LIBRAS RALEO PLANTA]]+TablaPrincipal[[#This Row],[LIBRAS PLANTA]]</f>
        <v>114056.51000000001</v>
      </c>
      <c r="AH343" s="185">
        <f>IFERROR(TablaPrincipal[[#This Row],[CAM COSECHADOS RALEO]]+TablaPrincipal[[#This Row],[CAM COSECHADOS]],"-")</f>
        <v>1848237.0736503215</v>
      </c>
      <c r="AI343" s="185">
        <f>IFERROR((TablaPrincipal[[#This Row],[LIBRAS RALEO PLANTA]]+TablaPrincipal[[#This Row],[LIBRAS PLANTA]])/TablaPrincipal[[#This Row],[HAS]],"0")</f>
        <v>8313.1567055393589</v>
      </c>
      <c r="AJ343" s="186">
        <f t="shared" si="7"/>
        <v>2.3618000000000001</v>
      </c>
      <c r="AK343" s="186">
        <f>IFERROR(TablaPrincipal[[#This Row],[LBS/HA]]/TablaPrincipal[[#This Row],[DIAS]],"-")</f>
        <v>83.131567055393589</v>
      </c>
      <c r="AL343" s="186">
        <f>IFERROR(TablaPrincipal[[#This Row],[CAM COSECHADOS TOTALES]]/TablaPrincipal[[#This Row],[ANIM SEMBRADOS]]*100,"-")</f>
        <v>74.52244312144154</v>
      </c>
      <c r="AM343" s="185">
        <v>169147.94</v>
      </c>
      <c r="AN343" s="187">
        <f>IFERROR(((TablaPrincipal[[#This Row],[BALANCEADO ACUMULADO (LBS)]]/2.2046)/TablaPrincipal[[#This Row],[HAS]])/TablaPrincipal[[#This Row],[DIAS]],"-")</f>
        <v>55.922013314857956</v>
      </c>
      <c r="AO343" s="184">
        <f>IFERROR(TablaPrincipal[[#This Row],[BALANCEADO ACUMULADO (LBS)]]/TablaPrincipal[[#This Row],[LIBRAS TOTALES]],"-")</f>
        <v>1.4830187246655189</v>
      </c>
      <c r="AP343" s="184"/>
      <c r="AQ343" s="184"/>
      <c r="AR343" s="185">
        <f>TablaPrincipal[[#This Row],[LIBRAS RALEO PLANTA]]-TablaPrincipal[[#This Row],[LIBRAS RALEO CAMARONERA]]</f>
        <v>-3125.0699999999924</v>
      </c>
      <c r="AS343" s="185">
        <f>TablaPrincipal[[#This Row],[LIBRAS PLANTA]]-TablaPrincipal[[#This Row],[LIBRAS CAMARONERA]]</f>
        <v>-418.42000000000007</v>
      </c>
      <c r="AT343" s="187">
        <f>TablaPrincipal[[#This Row],[GRAMAJE RALEO PLANTA]]-TablaPrincipal[[#This Row],[GRAMAJE RALEO CAMARONERA]]</f>
        <v>-0.20399999999999352</v>
      </c>
      <c r="AU343" s="187">
        <f>TablaPrincipal[[#This Row],[GRAMOS PLANTA]]-TablaPrincipal[[#This Row],[GRAMAJE CAMARONERA]]</f>
        <v>-4.259999999999998</v>
      </c>
      <c r="AV343" s="183" t="str">
        <f>+VLOOKUP(TablaPrincipal[[#This Row],[CODIGO]],TablaCosechas[#All],10,0)</f>
        <v>JOSE CEDEÑO</v>
      </c>
      <c r="AW343" s="183" t="s">
        <v>159</v>
      </c>
      <c r="AX343" s="188" t="str">
        <f>+VLOOKUP(TablaPrincipal[[#This Row],[CODIGO]],TablaCosechas[#All],10,0)</f>
        <v>JOSE CEDEÑO</v>
      </c>
    </row>
    <row r="344" spans="1:50" x14ac:dyDescent="0.25">
      <c r="A344" s="196">
        <v>46142</v>
      </c>
      <c r="B344" s="242">
        <v>342</v>
      </c>
      <c r="C344" s="242">
        <f>YEAR(TablaPrincipal[[#This Row],[FECHA]])</f>
        <v>2026</v>
      </c>
      <c r="D344" s="183" t="s">
        <v>346</v>
      </c>
      <c r="E344" s="183" t="str">
        <f>UPPER(TEXT(TablaPrincipal[[#This Row],[FECHA]],"MMMM"))</f>
        <v>ABRIL</v>
      </c>
      <c r="F344" s="183" t="str">
        <f>IFERROR(VLOOKUP(TablaPrincipal[[#This Row],[CODIGO]],COSECHAS!A:J,9,0),"-")</f>
        <v>03</v>
      </c>
      <c r="G344" s="183" t="str">
        <f>IFERROR(VLOOKUP(TablaPrincipal[[#This Row],[CODIGO]],COSECHAS!A:I,8,0),"-")</f>
        <v>CATANUDA</v>
      </c>
      <c r="H344" s="184">
        <f>IFERROR(VLOOKUP(TablaPrincipal[[#This Row],[CODIGO]],DATOS!A:B,2,0),"-")</f>
        <v>9.2200000000000006</v>
      </c>
      <c r="I344" s="183" t="str">
        <f>IFERROR(VLOOKUP(TablaPrincipal[[#This Row],[CODIGO]],Tabla8[[#Headers],[#Data]],3,0),"-")</f>
        <v>ASC-BAP</v>
      </c>
      <c r="J344" s="183">
        <f>IFERROR(TablaPrincipal[[#This Row],[FECHA]]-TablaPrincipal[[#This Row],[FECHA DE SIEMBRA]],"-")</f>
        <v>77</v>
      </c>
      <c r="K344" s="196">
        <f>VLOOKUP(TablaPrincipal[[#This Row],[CODIGO]]&amp;TablaPrincipal[[#This Row],[AGUAJE ]],Tabla4[#All],4,0)</f>
        <v>46065</v>
      </c>
      <c r="L344" s="183" t="str">
        <f>VLOOKUP(TablaPrincipal[[#This Row],[CODIGO]]&amp;TablaPrincipal[[#This Row],[AGUAJE ]],Tabla4[#All],15,0)</f>
        <v>CA 15 - 1B</v>
      </c>
      <c r="M344" s="184">
        <f>VLOOKUP(TablaPrincipal[[#This Row],[CODIGO]]&amp;TablaPrincipal[[#This Row],[AGUAJE ]],Tabla4[#All],14,0)</f>
        <v>0.52</v>
      </c>
      <c r="N344" s="183">
        <v>8</v>
      </c>
      <c r="O344" s="170">
        <f>VLOOKUP(TablaPrincipal[[#This Row],[CODIGO]]&amp;TablaPrincipal[[#This Row],[AGUAJE ]],Tabla4[#All],5,0)</f>
        <v>1844000</v>
      </c>
      <c r="P344" s="221">
        <f>IFERROR(TablaPrincipal[[#This Row],[ANIM SEMBRADOS]]/TablaPrincipal[[#This Row],[HAS]],"-")</f>
        <v>200000</v>
      </c>
      <c r="Q344" s="222">
        <f>IFERROR(TablaPrincipal[[#This Row],[DENSIDAD]]/10000,"-")</f>
        <v>20</v>
      </c>
      <c r="R344" s="183" t="str">
        <f>VLOOKUP(TablaPrincipal[[#This Row],[CODIGO]]&amp;TablaPrincipal[[#This Row],[AGUAJE ]],Tabla4[#All],8,0)</f>
        <v>BIOLACAM</v>
      </c>
      <c r="S344" s="183" t="str">
        <f>VLOOKUP(TablaPrincipal[[#This Row],[CODIGO]]&amp;TablaPrincipal[[#This Row],[AGUAJE ]],Tabla4[#All],7,0)</f>
        <v>TEXCUMAR</v>
      </c>
      <c r="T344" s="183" t="str">
        <f>IF(ISNUMBER(FIND("/",TablaPrincipal[[#This Row],[LABORATORIO]])),"COMBINADO","UNICO")</f>
        <v>UNICO</v>
      </c>
      <c r="U3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29950</v>
      </c>
      <c r="V34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33195.15</v>
      </c>
      <c r="W34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4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24.71</v>
      </c>
      <c r="Y344" s="185">
        <f>IFERROR(TablaPrincipal[[#This Row],[LIBRAS RALEO PLANTA]]/TablaPrincipal[[#This Row],[HAS]],"-")</f>
        <v>3600.3416485900216</v>
      </c>
      <c r="Z34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588214.34254106821</v>
      </c>
      <c r="AA34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16450</v>
      </c>
      <c r="AB34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21045.11</v>
      </c>
      <c r="AC344" s="186">
        <f>SUMIFS(COSECHAS!F:F,COSECHAS!A:A,'BASE 2026'!AW:AW,COSECHAS!G:G,"="&amp;A:A)</f>
        <v>30</v>
      </c>
      <c r="AD344" s="186">
        <f>SUMIFS(COSECHAS!M:M,COSECHAS!A:A,'BASE 2026'!AW:AW,COSECHAS!G:G,"="&amp;A:A)</f>
        <v>28.76</v>
      </c>
      <c r="AE344" s="185">
        <f>IFERROR(TablaPrincipal[[#This Row],[LIBRAS PLANTA]]/TablaPrincipal[[#This Row],[HAS]],"-")</f>
        <v>2282.5498915401299</v>
      </c>
      <c r="AF344" s="185">
        <f>IFERROR(TablaPrincipal[[#This Row],[LIBRAS PLANTA]]*454/TablaPrincipal[[#This Row],[GRAMOS PLANTA]],"-")</f>
        <v>332214.18428372737</v>
      </c>
      <c r="AG344" s="185">
        <f>TablaPrincipal[[#This Row],[LIBRAS RALEO PLANTA]]+TablaPrincipal[[#This Row],[LIBRAS PLANTA]]</f>
        <v>54240.26</v>
      </c>
      <c r="AH344" s="185">
        <f>IFERROR(TablaPrincipal[[#This Row],[CAM COSECHADOS RALEO]]+TablaPrincipal[[#This Row],[CAM COSECHADOS]],"-")</f>
        <v>920428.52682479564</v>
      </c>
      <c r="AI344" s="185">
        <f>IFERROR((TablaPrincipal[[#This Row],[LIBRAS RALEO PLANTA]]+TablaPrincipal[[#This Row],[LIBRAS PLANTA]])/TablaPrincipal[[#This Row],[HAS]],"0")</f>
        <v>5882.891540130152</v>
      </c>
      <c r="AJ344" s="186">
        <f t="shared" si="7"/>
        <v>2.6145454545454547</v>
      </c>
      <c r="AK344" s="186">
        <f>IFERROR(TablaPrincipal[[#This Row],[LBS/HA]]/TablaPrincipal[[#This Row],[DIAS]],"-")</f>
        <v>76.40118883285912</v>
      </c>
      <c r="AL344" s="186">
        <f>IFERROR(TablaPrincipal[[#This Row],[CAM COSECHADOS TOTALES]]/TablaPrincipal[[#This Row],[ANIM SEMBRADOS]]*100,"-")</f>
        <v>49.914779111973736</v>
      </c>
      <c r="AM344" s="185">
        <v>96561.48</v>
      </c>
      <c r="AN344" s="187">
        <f>IFERROR(((TablaPrincipal[[#This Row],[BALANCEADO ACUMULADO (LBS)]]/2.2046)/TablaPrincipal[[#This Row],[HAS]])/TablaPrincipal[[#This Row],[DIAS]],"-")</f>
        <v>61.695354537003105</v>
      </c>
      <c r="AO344" s="184">
        <f>IFERROR(TablaPrincipal[[#This Row],[BALANCEADO ACUMULADO (LBS)]]/TablaPrincipal[[#This Row],[LIBRAS TOTALES]],"-")</f>
        <v>1.7802547406668034</v>
      </c>
      <c r="AP344" s="184"/>
      <c r="AQ344" s="184"/>
      <c r="AR344" s="185">
        <f>TablaPrincipal[[#This Row],[LIBRAS RALEO PLANTA]]-TablaPrincipal[[#This Row],[LIBRAS RALEO CAMARONERA]]</f>
        <v>3245.1500000000015</v>
      </c>
      <c r="AS344" s="185">
        <f>TablaPrincipal[[#This Row],[LIBRAS PLANTA]]-TablaPrincipal[[#This Row],[LIBRAS CAMARONERA]]</f>
        <v>4595.1100000000006</v>
      </c>
      <c r="AT344" s="187">
        <f>TablaPrincipal[[#This Row],[GRAMAJE RALEO PLANTA]]-TablaPrincipal[[#This Row],[GRAMAJE RALEO CAMARONERA]]</f>
        <v>-0.28999999999999915</v>
      </c>
      <c r="AU344" s="187">
        <f>TablaPrincipal[[#This Row],[GRAMOS PLANTA]]-TablaPrincipal[[#This Row],[GRAMAJE CAMARONERA]]</f>
        <v>-1.2399999999999984</v>
      </c>
      <c r="AV344" s="183" t="str">
        <f>+VLOOKUP(TablaPrincipal[[#This Row],[CODIGO]],TablaCosechas[#All],10,0)</f>
        <v>VICTOR QUINTANA</v>
      </c>
      <c r="AW344" s="183" t="s">
        <v>200</v>
      </c>
      <c r="AX344" s="188" t="str">
        <f>+VLOOKUP(TablaPrincipal[[#This Row],[CODIGO]],TablaCosechas[#All],10,0)</f>
        <v>VICTOR QUINTANA</v>
      </c>
    </row>
    <row r="345" spans="1:50" x14ac:dyDescent="0.25">
      <c r="A345" s="196">
        <v>46143</v>
      </c>
      <c r="B345" s="242">
        <v>343</v>
      </c>
      <c r="C345" s="242">
        <f>YEAR(TablaPrincipal[[#This Row],[FECHA]])</f>
        <v>2026</v>
      </c>
      <c r="D345" s="183" t="s">
        <v>346</v>
      </c>
      <c r="E345" s="183" t="str">
        <f>UPPER(TEXT(TablaPrincipal[[#This Row],[FECHA]],"MMMM"))</f>
        <v>MAYO</v>
      </c>
      <c r="F345" s="183" t="str">
        <f>IFERROR(VLOOKUP(TablaPrincipal[[#This Row],[CODIGO]],COSECHAS!A:J,9,0),"-")</f>
        <v>21</v>
      </c>
      <c r="G345" s="183" t="str">
        <f>IFERROR(VLOOKUP(TablaPrincipal[[#This Row],[CODIGO]],COSECHAS!A:I,8,0),"-")</f>
        <v>DELFIN</v>
      </c>
      <c r="H345" s="184">
        <f>IFERROR(VLOOKUP(TablaPrincipal[[#This Row],[CODIGO]],DATOS!A:B,2,0),"-")</f>
        <v>5.4</v>
      </c>
      <c r="I345" s="183" t="str">
        <f>IFERROR(VLOOKUP(TablaPrincipal[[#This Row],[CODIGO]],Tabla8[[#Headers],[#Data]],3,0),"-")</f>
        <v>CONVENCIONAL</v>
      </c>
      <c r="J345" s="183">
        <f>IFERROR(TablaPrincipal[[#This Row],[FECHA]]-TablaPrincipal[[#This Row],[FECHA DE SIEMBRA]],"-")</f>
        <v>82</v>
      </c>
      <c r="K345" s="196">
        <f>VLOOKUP(TablaPrincipal[[#This Row],[CODIGO]]&amp;TablaPrincipal[[#This Row],[AGUAJE ]],Tabla4[#All],4,0)</f>
        <v>46061</v>
      </c>
      <c r="L345" s="183" t="str">
        <f>VLOOKUP(TablaPrincipal[[#This Row],[CODIGO]]&amp;TablaPrincipal[[#This Row],[AGUAJE ]],Tabla4[#All],15,0)</f>
        <v>DE 25</v>
      </c>
      <c r="M345" s="184">
        <f>VLOOKUP(TablaPrincipal[[#This Row],[CODIGO]]&amp;TablaPrincipal[[#This Row],[AGUAJE ]],Tabla4[#All],14,0)</f>
        <v>0.65</v>
      </c>
      <c r="N345" s="183">
        <v>9</v>
      </c>
      <c r="O345" s="170">
        <f>VLOOKUP(TablaPrincipal[[#This Row],[CODIGO]]&amp;TablaPrincipal[[#This Row],[AGUAJE ]],Tabla4[#All],5,0)</f>
        <v>648000</v>
      </c>
      <c r="P345" s="221">
        <f>IFERROR(TablaPrincipal[[#This Row],[ANIM SEMBRADOS]]/TablaPrincipal[[#This Row],[HAS]],"-")</f>
        <v>119999.99999999999</v>
      </c>
      <c r="Q345" s="222">
        <f>IFERROR(TablaPrincipal[[#This Row],[DENSIDAD]]/10000,"-")</f>
        <v>11.999999999999998</v>
      </c>
      <c r="R345" s="183" t="str">
        <f>VLOOKUP(TablaPrincipal[[#This Row],[CODIGO]]&amp;TablaPrincipal[[#This Row],[AGUAJE ]],Tabla4[#All],8,0)</f>
        <v>PRICMARSA</v>
      </c>
      <c r="S345" s="183" t="str">
        <f>VLOOKUP(TablaPrincipal[[#This Row],[CODIGO]]&amp;TablaPrincipal[[#This Row],[AGUAJE ]],Tabla4[#All],7,0)</f>
        <v>TEXCUMAR</v>
      </c>
      <c r="T345" s="183" t="str">
        <f>IF(ISNUMBER(FIND("/",TablaPrincipal[[#This Row],[LABORATORIO]])),"COMBINADO","UNICO")</f>
        <v>UNICO</v>
      </c>
      <c r="U3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22450</v>
      </c>
      <c r="V34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23949.73</v>
      </c>
      <c r="W34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24.666666666666668</v>
      </c>
      <c r="X34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24.873333333333335</v>
      </c>
      <c r="Y345" s="185">
        <f>IFERROR(TablaPrincipal[[#This Row],[LIBRAS RALEO PLANTA]]/TablaPrincipal[[#This Row],[HAS]],"-")</f>
        <v>4435.135185185185</v>
      </c>
      <c r="Z34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414584.38514286472</v>
      </c>
      <c r="AA34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3200</v>
      </c>
      <c r="AB34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3419.37</v>
      </c>
      <c r="AC345" s="186">
        <f>SUMIFS(COSECHAS!F:F,COSECHAS!A:A,'BASE 2026'!AW:AW,COSECHAS!G:G,"="&amp;A:A)</f>
        <v>34</v>
      </c>
      <c r="AD345" s="186">
        <f>SUMIFS(COSECHAS!M:M,COSECHAS!A:A,'BASE 2026'!AW:AW,COSECHAS!G:G,"="&amp;A:A)</f>
        <v>32.56</v>
      </c>
      <c r="AE345" s="185">
        <f>IFERROR(TablaPrincipal[[#This Row],[LIBRAS PLANTA]]/TablaPrincipal[[#This Row],[HAS]],"-")</f>
        <v>633.21666666666658</v>
      </c>
      <c r="AF345" s="185">
        <f>IFERROR(TablaPrincipal[[#This Row],[LIBRAS PLANTA]]*454/TablaPrincipal[[#This Row],[GRAMOS PLANTA]],"-")</f>
        <v>47677.947788697784</v>
      </c>
      <c r="AG345" s="185">
        <f>TablaPrincipal[[#This Row],[LIBRAS RALEO PLANTA]]+TablaPrincipal[[#This Row],[LIBRAS PLANTA]]</f>
        <v>27369.1</v>
      </c>
      <c r="AH345" s="185">
        <f>IFERROR(TablaPrincipal[[#This Row],[CAM COSECHADOS RALEO]]+TablaPrincipal[[#This Row],[CAM COSECHADOS]],"-")</f>
        <v>462262.3329315625</v>
      </c>
      <c r="AI345" s="185">
        <f>IFERROR((TablaPrincipal[[#This Row],[LIBRAS RALEO PLANTA]]+TablaPrincipal[[#This Row],[LIBRAS PLANTA]])/TablaPrincipal[[#This Row],[HAS]],"0")</f>
        <v>5068.3518518518513</v>
      </c>
      <c r="AJ345" s="186">
        <f t="shared" si="7"/>
        <v>2.7795121951219515</v>
      </c>
      <c r="AK345" s="186">
        <f>IFERROR(TablaPrincipal[[#This Row],[LBS/HA]]/TablaPrincipal[[#This Row],[DIAS]],"-")</f>
        <v>61.809168925022576</v>
      </c>
      <c r="AL345" s="186">
        <f>IFERROR(TablaPrincipal[[#This Row],[CAM COSECHADOS TOTALES]]/TablaPrincipal[[#This Row],[ANIM SEMBRADOS]]*100,"-")</f>
        <v>71.336779773389267</v>
      </c>
      <c r="AM345" s="185">
        <v>49603.5</v>
      </c>
      <c r="AN345" s="187">
        <f>IFERROR(((TablaPrincipal[[#This Row],[BALANCEADO ACUMULADO (LBS)]]/2.2046)/TablaPrincipal[[#This Row],[HAS]])/TablaPrincipal[[#This Row],[DIAS]],"-")</f>
        <v>50.813008130081293</v>
      </c>
      <c r="AO345" s="184">
        <f>IFERROR(TablaPrincipal[[#This Row],[BALANCEADO ACUMULADO (LBS)]]/TablaPrincipal[[#This Row],[LIBRAS TOTALES]],"-")</f>
        <v>1.8123906156943415</v>
      </c>
      <c r="AP345" s="184"/>
      <c r="AQ345" s="184"/>
      <c r="AR345" s="185">
        <f>TablaPrincipal[[#This Row],[LIBRAS RALEO PLANTA]]-TablaPrincipal[[#This Row],[LIBRAS RALEO CAMARONERA]]</f>
        <v>1499.7299999999996</v>
      </c>
      <c r="AS345" s="185">
        <f>TablaPrincipal[[#This Row],[LIBRAS PLANTA]]-TablaPrincipal[[#This Row],[LIBRAS CAMARONERA]]</f>
        <v>219.36999999999989</v>
      </c>
      <c r="AT345" s="187">
        <f>TablaPrincipal[[#This Row],[GRAMAJE RALEO PLANTA]]-TablaPrincipal[[#This Row],[GRAMAJE RALEO CAMARONERA]]</f>
        <v>0.206666666666667</v>
      </c>
      <c r="AU345" s="187">
        <f>TablaPrincipal[[#This Row],[GRAMOS PLANTA]]-TablaPrincipal[[#This Row],[GRAMAJE CAMARONERA]]</f>
        <v>-1.4399999999999977</v>
      </c>
      <c r="AV345" s="183" t="str">
        <f>+VLOOKUP(TablaPrincipal[[#This Row],[CODIGO]],TablaCosechas[#All],10,0)</f>
        <v>CARLOS FLORES</v>
      </c>
      <c r="AW345" s="183" t="s">
        <v>193</v>
      </c>
      <c r="AX345" s="188" t="str">
        <f>+VLOOKUP(TablaPrincipal[[#This Row],[CODIGO]],TablaCosechas[#All],10,0)</f>
        <v>CARLOS FLORES</v>
      </c>
    </row>
    <row r="346" spans="1:50" x14ac:dyDescent="0.25">
      <c r="A346" s="196">
        <v>46144</v>
      </c>
      <c r="B346" s="242">
        <v>344</v>
      </c>
      <c r="C346" s="242">
        <f>YEAR(TablaPrincipal[[#This Row],[FECHA]])</f>
        <v>2026</v>
      </c>
      <c r="D346" s="183" t="s">
        <v>346</v>
      </c>
      <c r="E346" s="183" t="str">
        <f>UPPER(TEXT(TablaPrincipal[[#This Row],[FECHA]],"MMMM"))</f>
        <v>MAYO</v>
      </c>
      <c r="F346" s="183" t="str">
        <f>IFERROR(VLOOKUP(TablaPrincipal[[#This Row],[CODIGO]],COSECHAS!A:J,9,0),"-")</f>
        <v>02</v>
      </c>
      <c r="G346" s="183" t="str">
        <f>IFERROR(VLOOKUP(TablaPrincipal[[#This Row],[CODIGO]],COSECHAS!A:I,8,0),"-")</f>
        <v>TUNA</v>
      </c>
      <c r="H346" s="184">
        <f>IFERROR(VLOOKUP(TablaPrincipal[[#This Row],[CODIGO]],DATOS!A:B,2,0),"-")</f>
        <v>4.3</v>
      </c>
      <c r="I346" s="183" t="str">
        <f>IFERROR(VLOOKUP(TablaPrincipal[[#This Row],[CODIGO]],Tabla8[[#Headers],[#Data]],3,0),"-")</f>
        <v>ASC-BAP</v>
      </c>
      <c r="J346" s="183">
        <f>IFERROR(TablaPrincipal[[#This Row],[FECHA]]-TablaPrincipal[[#This Row],[FECHA DE SIEMBRA]],"-")</f>
        <v>80</v>
      </c>
      <c r="K346" s="196">
        <f>VLOOKUP(TablaPrincipal[[#This Row],[CODIGO]]&amp;TablaPrincipal[[#This Row],[AGUAJE ]],Tabla4[#All],4,0)</f>
        <v>46064</v>
      </c>
      <c r="L346" s="183" t="str">
        <f>VLOOKUP(TablaPrincipal[[#This Row],[CODIGO]]&amp;TablaPrincipal[[#This Row],[AGUAJE ]],Tabla4[#All],15,0)</f>
        <v>PA 16</v>
      </c>
      <c r="M346" s="184">
        <f>VLOOKUP(TablaPrincipal[[#This Row],[CODIGO]]&amp;TablaPrincipal[[#This Row],[AGUAJE ]],Tabla4[#All],14,0)</f>
        <v>0.5</v>
      </c>
      <c r="N346" s="183">
        <v>13</v>
      </c>
      <c r="O346" s="170">
        <f>VLOOKUP(TablaPrincipal[[#This Row],[CODIGO]]&amp;TablaPrincipal[[#This Row],[AGUAJE ]],Tabla4[#All],5,0)</f>
        <v>792000</v>
      </c>
      <c r="P346" s="221">
        <f>IFERROR(TablaPrincipal[[#This Row],[ANIM SEMBRADOS]]/TablaPrincipal[[#This Row],[HAS]],"-")</f>
        <v>184186.04651162791</v>
      </c>
      <c r="Q346" s="222">
        <f>IFERROR(TablaPrincipal[[#This Row],[DENSIDAD]]/10000,"-")</f>
        <v>18.418604651162791</v>
      </c>
      <c r="R346" s="183" t="str">
        <f>VLOOKUP(TablaPrincipal[[#This Row],[CODIGO]]&amp;TablaPrincipal[[#This Row],[AGUAJE ]],Tabla4[#All],8,0)</f>
        <v>BIOLACAM</v>
      </c>
      <c r="S346" s="183" t="str">
        <f>VLOOKUP(TablaPrincipal[[#This Row],[CODIGO]]&amp;TablaPrincipal[[#This Row],[AGUAJE ]],Tabla4[#All],7,0)</f>
        <v>TEXCUMAR</v>
      </c>
      <c r="T346" s="183" t="str">
        <f>IF(ISNUMBER(FIND("/",TablaPrincipal[[#This Row],[LABORATORIO]])),"COMBINADO","UNICO")</f>
        <v>UNICO</v>
      </c>
      <c r="U3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17250</v>
      </c>
      <c r="V34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17982.77</v>
      </c>
      <c r="W34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4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21.58666666666667</v>
      </c>
      <c r="Y346" s="185">
        <f>IFERROR(TablaPrincipal[[#This Row],[LIBRAS RALEO PLANTA]]/TablaPrincipal[[#This Row],[HAS]],"-")</f>
        <v>4182.039534883721</v>
      </c>
      <c r="Z34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381470.80000230693</v>
      </c>
      <c r="AA34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18300</v>
      </c>
      <c r="AB34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20583.75</v>
      </c>
      <c r="AC346" s="186">
        <f>SUMIFS(COSECHAS!F:F,COSECHAS!A:A,'BASE 2026'!AW:AW,COSECHAS!G:G,"="&amp;A:A)</f>
        <v>32</v>
      </c>
      <c r="AD346" s="186">
        <f>SUMIFS(COSECHAS!M:M,COSECHAS!A:A,'BASE 2026'!AW:AW,COSECHAS!G:G,"="&amp;A:A)</f>
        <v>32.49</v>
      </c>
      <c r="AE346" s="185">
        <f>IFERROR(TablaPrincipal[[#This Row],[LIBRAS PLANTA]]/TablaPrincipal[[#This Row],[HAS]],"-")</f>
        <v>4786.9186046511632</v>
      </c>
      <c r="AF346" s="185">
        <f>IFERROR(TablaPrincipal[[#This Row],[LIBRAS PLANTA]]*454/TablaPrincipal[[#This Row],[GRAMOS PLANTA]],"-")</f>
        <v>287627.65466297319</v>
      </c>
      <c r="AG346" s="185">
        <f>TablaPrincipal[[#This Row],[LIBRAS RALEO PLANTA]]+TablaPrincipal[[#This Row],[LIBRAS PLANTA]]</f>
        <v>38566.520000000004</v>
      </c>
      <c r="AH346" s="185">
        <f>IFERROR(TablaPrincipal[[#This Row],[CAM COSECHADOS RALEO]]+TablaPrincipal[[#This Row],[CAM COSECHADOS]],"-")</f>
        <v>669098.45466528018</v>
      </c>
      <c r="AI346" s="185">
        <f>IFERROR((TablaPrincipal[[#This Row],[LIBRAS RALEO PLANTA]]+TablaPrincipal[[#This Row],[LIBRAS PLANTA]])/TablaPrincipal[[#This Row],[HAS]],"0")</f>
        <v>8968.958139534885</v>
      </c>
      <c r="AJ346" s="186">
        <f t="shared" si="7"/>
        <v>2.8428750000000003</v>
      </c>
      <c r="AK346" s="186">
        <f>IFERROR(TablaPrincipal[[#This Row],[LBS/HA]]/TablaPrincipal[[#This Row],[DIAS]],"-")</f>
        <v>112.11197674418607</v>
      </c>
      <c r="AL346" s="186">
        <f>IFERROR(TablaPrincipal[[#This Row],[CAM COSECHADOS TOTALES]]/TablaPrincipal[[#This Row],[ANIM SEMBRADOS]]*100,"-")</f>
        <v>84.482128114303052</v>
      </c>
      <c r="AM346" s="185">
        <v>48611.43</v>
      </c>
      <c r="AN346" s="187">
        <f>IFERROR(((TablaPrincipal[[#This Row],[BALANCEADO ACUMULADO (LBS)]]/2.2046)/TablaPrincipal[[#This Row],[HAS]])/TablaPrincipal[[#This Row],[DIAS]],"-")</f>
        <v>64.098837209302332</v>
      </c>
      <c r="AO346" s="184">
        <f>IFERROR(TablaPrincipal[[#This Row],[BALANCEADO ACUMULADO (LBS)]]/TablaPrincipal[[#This Row],[LIBRAS TOTALES]],"-")</f>
        <v>1.2604567381241552</v>
      </c>
      <c r="AP346" s="184"/>
      <c r="AQ346" s="184"/>
      <c r="AR346" s="185">
        <f>TablaPrincipal[[#This Row],[LIBRAS RALEO PLANTA]]-TablaPrincipal[[#This Row],[LIBRAS RALEO CAMARONERA]]</f>
        <v>732.77000000000044</v>
      </c>
      <c r="AS346" s="185">
        <f>TablaPrincipal[[#This Row],[LIBRAS PLANTA]]-TablaPrincipal[[#This Row],[LIBRAS CAMARONERA]]</f>
        <v>2283.75</v>
      </c>
      <c r="AT346" s="187">
        <f>TablaPrincipal[[#This Row],[GRAMAJE RALEO PLANTA]]-TablaPrincipal[[#This Row],[GRAMAJE RALEO CAMARONERA]]</f>
        <v>1.5866666666666696</v>
      </c>
      <c r="AU346" s="187">
        <f>TablaPrincipal[[#This Row],[GRAMOS PLANTA]]-TablaPrincipal[[#This Row],[GRAMAJE CAMARONERA]]</f>
        <v>0.49000000000000199</v>
      </c>
      <c r="AV346" s="183" t="str">
        <f>+VLOOKUP(TablaPrincipal[[#This Row],[CODIGO]],TablaCosechas[#All],10,0)</f>
        <v>GUSTAVO CARRASCO</v>
      </c>
      <c r="AW346" s="183" t="s">
        <v>192</v>
      </c>
      <c r="AX346" s="188" t="str">
        <f>+VLOOKUP(TablaPrincipal[[#This Row],[CODIGO]],TablaCosechas[#All],10,0)</f>
        <v>GUSTAVO CARRASCO</v>
      </c>
    </row>
    <row r="347" spans="1:50" x14ac:dyDescent="0.25">
      <c r="A347" s="196">
        <v>46144</v>
      </c>
      <c r="B347" s="242">
        <v>345</v>
      </c>
      <c r="C347" s="242">
        <f>YEAR(TablaPrincipal[[#This Row],[FECHA]])</f>
        <v>2026</v>
      </c>
      <c r="D347" s="183" t="s">
        <v>346</v>
      </c>
      <c r="E347" s="183" t="str">
        <f>UPPER(TEXT(TablaPrincipal[[#This Row],[FECHA]],"MMMM"))</f>
        <v>MAYO</v>
      </c>
      <c r="F347" s="183" t="str">
        <f>IFERROR(VLOOKUP(TablaPrincipal[[#This Row],[CODIGO]],COSECHAS!A:J,9,0),"-")</f>
        <v>09</v>
      </c>
      <c r="G347" s="183" t="str">
        <f>IFERROR(VLOOKUP(TablaPrincipal[[#This Row],[CODIGO]],COSECHAS!A:I,8,0),"-")</f>
        <v>DELFIN</v>
      </c>
      <c r="H347" s="184">
        <f>IFERROR(VLOOKUP(TablaPrincipal[[#This Row],[CODIGO]],DATOS!A:B,2,0),"-")</f>
        <v>7.45</v>
      </c>
      <c r="I347" s="183" t="str">
        <f>IFERROR(VLOOKUP(TablaPrincipal[[#This Row],[CODIGO]],Tabla8[[#Headers],[#Data]],3,0),"-")</f>
        <v>CONVENCIONAL</v>
      </c>
      <c r="J347" s="183">
        <f>IFERROR(TablaPrincipal[[#This Row],[FECHA]]-TablaPrincipal[[#This Row],[FECHA DE SIEMBRA]],"-")</f>
        <v>87</v>
      </c>
      <c r="K347" s="196">
        <f>VLOOKUP(TablaPrincipal[[#This Row],[CODIGO]]&amp;TablaPrincipal[[#This Row],[AGUAJE ]],Tabla4[#All],4,0)</f>
        <v>46057</v>
      </c>
      <c r="L347" s="183" t="str">
        <f>VLOOKUP(TablaPrincipal[[#This Row],[CODIGO]]&amp;TablaPrincipal[[#This Row],[AGUAJE ]],Tabla4[#All],15,0)</f>
        <v>DE 4</v>
      </c>
      <c r="M347" s="184">
        <f>VLOOKUP(TablaPrincipal[[#This Row],[CODIGO]]&amp;TablaPrincipal[[#This Row],[AGUAJE ]],Tabla4[#All],14,0)</f>
        <v>0.5</v>
      </c>
      <c r="N347" s="183">
        <v>11</v>
      </c>
      <c r="O347" s="170">
        <f>VLOOKUP(TablaPrincipal[[#This Row],[CODIGO]]&amp;TablaPrincipal[[#This Row],[AGUAJE ]],Tabla4[#All],5,0)</f>
        <v>1043000</v>
      </c>
      <c r="P347" s="221">
        <f>IFERROR(TablaPrincipal[[#This Row],[ANIM SEMBRADOS]]/TablaPrincipal[[#This Row],[HAS]],"-")</f>
        <v>140000</v>
      </c>
      <c r="Q347" s="222">
        <f>IFERROR(TablaPrincipal[[#This Row],[DENSIDAD]]/10000,"-")</f>
        <v>14</v>
      </c>
      <c r="R347" s="183" t="str">
        <f>VLOOKUP(TablaPrincipal[[#This Row],[CODIGO]]&amp;TablaPrincipal[[#This Row],[AGUAJE ]],Tabla4[#All],8,0)</f>
        <v>EMPAGRAN</v>
      </c>
      <c r="S347" s="183" t="str">
        <f>VLOOKUP(TablaPrincipal[[#This Row],[CODIGO]]&amp;TablaPrincipal[[#This Row],[AGUAJE ]],Tabla4[#All],7,0)</f>
        <v>EMPAGRAN</v>
      </c>
      <c r="T347" s="183" t="str">
        <f>IF(ISNUMBER(FIND("/",TablaPrincipal[[#This Row],[LABORATORIO]])),"COMBINADO","UNICO")</f>
        <v>UNICO</v>
      </c>
      <c r="U3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15200</v>
      </c>
      <c r="V34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14982.939999999999</v>
      </c>
      <c r="W34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23.666666666666668</v>
      </c>
      <c r="X34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25.033333333333331</v>
      </c>
      <c r="Y347" s="185">
        <f>IFERROR(TablaPrincipal[[#This Row],[LIBRAS RALEO PLANTA]]/TablaPrincipal[[#This Row],[HAS]],"-")</f>
        <v>2011.13288590604</v>
      </c>
      <c r="Z34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312423.51422764227</v>
      </c>
      <c r="AA34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34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16193.800000000001</v>
      </c>
      <c r="AC347" s="186">
        <f>SUMIFS(COSECHAS!F:F,COSECHAS!A:A,'BASE 2026'!AW:AW,COSECHAS!G:G,"="&amp;A:A)</f>
        <v>31</v>
      </c>
      <c r="AD347" s="186">
        <f>SUMIFS(COSECHAS!M:M,COSECHAS!A:A,'BASE 2026'!AW:AW,COSECHAS!G:G,"="&amp;A:A)</f>
        <v>32.880000000000003</v>
      </c>
      <c r="AE347" s="185">
        <f>IFERROR(TablaPrincipal[[#This Row],[LIBRAS PLANTA]]/TablaPrincipal[[#This Row],[HAS]],"-")</f>
        <v>2173.6644295302012</v>
      </c>
      <c r="AF347" s="185">
        <f>IFERROR(TablaPrincipal[[#This Row],[LIBRAS PLANTA]]*454/TablaPrincipal[[#This Row],[GRAMOS PLANTA]],"-")</f>
        <v>223600.52311435522</v>
      </c>
      <c r="AG347" s="185">
        <f>TablaPrincipal[[#This Row],[LIBRAS RALEO PLANTA]]+TablaPrincipal[[#This Row],[LIBRAS PLANTA]]</f>
        <v>31176.739999999998</v>
      </c>
      <c r="AH347" s="185">
        <f>IFERROR(TablaPrincipal[[#This Row],[CAM COSECHADOS RALEO]]+TablaPrincipal[[#This Row],[CAM COSECHADOS]],"-")</f>
        <v>536024.03734199749</v>
      </c>
      <c r="AI347" s="185">
        <f>IFERROR((TablaPrincipal[[#This Row],[LIBRAS RALEO PLANTA]]+TablaPrincipal[[#This Row],[LIBRAS PLANTA]])/TablaPrincipal[[#This Row],[HAS]],"0")</f>
        <v>4184.7973154362417</v>
      </c>
      <c r="AJ347" s="186">
        <f t="shared" si="7"/>
        <v>2.6455172413793107</v>
      </c>
      <c r="AK347" s="186">
        <f>IFERROR(TablaPrincipal[[#This Row],[LBS/HA]]/TablaPrincipal[[#This Row],[DIAS]],"-")</f>
        <v>48.101118568232664</v>
      </c>
      <c r="AL347" s="186">
        <f>IFERROR(TablaPrincipal[[#This Row],[CAM COSECHADOS TOTALES]]/TablaPrincipal[[#This Row],[ANIM SEMBRADOS]]*100,"-")</f>
        <v>51.392525152636381</v>
      </c>
      <c r="AM347" s="185">
        <v>74019.45</v>
      </c>
      <c r="AN347" s="187">
        <f>IFERROR(((TablaPrincipal[[#This Row],[BALANCEADO ACUMULADO (LBS)]]/2.2046)/TablaPrincipal[[#This Row],[HAS]])/TablaPrincipal[[#This Row],[DIAS]],"-")</f>
        <v>51.801284066936844</v>
      </c>
      <c r="AO347" s="184">
        <f>IFERROR(TablaPrincipal[[#This Row],[BALANCEADO ACUMULADO (LBS)]]/TablaPrincipal[[#This Row],[LIBRAS TOTALES]],"-")</f>
        <v>2.3741882570146848</v>
      </c>
      <c r="AP347" s="184"/>
      <c r="AQ347" s="184"/>
      <c r="AR347" s="185">
        <f>TablaPrincipal[[#This Row],[LIBRAS RALEO PLANTA]]-TablaPrincipal[[#This Row],[LIBRAS RALEO CAMARONERA]]</f>
        <v>-217.06000000000131</v>
      </c>
      <c r="AS347" s="185">
        <f>TablaPrincipal[[#This Row],[LIBRAS PLANTA]]-TablaPrincipal[[#This Row],[LIBRAS CAMARONERA]]</f>
        <v>193.80000000000109</v>
      </c>
      <c r="AT347" s="187">
        <f>TablaPrincipal[[#This Row],[GRAMAJE RALEO PLANTA]]-TablaPrincipal[[#This Row],[GRAMAJE RALEO CAMARONERA]]</f>
        <v>1.3666666666666636</v>
      </c>
      <c r="AU347" s="187">
        <f>TablaPrincipal[[#This Row],[GRAMOS PLANTA]]-TablaPrincipal[[#This Row],[GRAMAJE CAMARONERA]]</f>
        <v>1.8800000000000026</v>
      </c>
      <c r="AV347" s="183" t="str">
        <f>+VLOOKUP(TablaPrincipal[[#This Row],[CODIGO]],TablaCosechas[#All],10,0)</f>
        <v>CARLOS FLORES</v>
      </c>
      <c r="AW347" s="183" t="s">
        <v>177</v>
      </c>
      <c r="AX347" s="241" t="str">
        <f>+VLOOKUP(TablaPrincipal[[#This Row],[CODIGO]],TablaCosechas[#All],10,0)</f>
        <v>CARLOS FLORES</v>
      </c>
    </row>
    <row r="348" spans="1:50" x14ac:dyDescent="0.25">
      <c r="A348" s="196">
        <v>46145</v>
      </c>
      <c r="B348" s="242">
        <v>346</v>
      </c>
      <c r="C348" s="183">
        <f>YEAR(TablaPrincipal[[#This Row],[FECHA]])</f>
        <v>2026</v>
      </c>
      <c r="D348" s="183" t="s">
        <v>346</v>
      </c>
      <c r="E348" s="183" t="str">
        <f>UPPER(TEXT(TablaPrincipal[[#This Row],[FECHA]],"MMMM"))</f>
        <v>MAYO</v>
      </c>
      <c r="F348" s="183" t="str">
        <f>IFERROR(VLOOKUP(TablaPrincipal[[#This Row],[CODIGO]],COSECHAS!A:J,9,0),"-")</f>
        <v>05</v>
      </c>
      <c r="G348" s="183" t="str">
        <f>IFERROR(VLOOKUP(TablaPrincipal[[#This Row],[CODIGO]],COSECHAS!A:I,8,0),"-")</f>
        <v>PAMPANO</v>
      </c>
      <c r="H348" s="184">
        <f>IFERROR(VLOOKUP(TablaPrincipal[[#This Row],[CODIGO]],DATOS!A:B,2,0),"-")</f>
        <v>3.3</v>
      </c>
      <c r="I348" s="183" t="str">
        <f>IFERROR(VLOOKUP(TablaPrincipal[[#This Row],[CODIGO]],Tabla8[[#Headers],[#Data]],3,0),"-")</f>
        <v>ASC-BAP</v>
      </c>
      <c r="J348" s="183">
        <f>IFERROR(TablaPrincipal[[#This Row],[FECHA]]-TablaPrincipal[[#This Row],[FECHA DE SIEMBRA]],"-")</f>
        <v>80</v>
      </c>
      <c r="K348" s="196">
        <f>VLOOKUP(TablaPrincipal[[#This Row],[CODIGO]]&amp;TablaPrincipal[[#This Row],[AGUAJE ]],Tabla4[#All],4,0)</f>
        <v>46065</v>
      </c>
      <c r="L348" s="183" t="str">
        <f>VLOOKUP(TablaPrincipal[[#This Row],[CODIGO]]&amp;TablaPrincipal[[#This Row],[AGUAJE ]],Tabla4[#All],15,0)</f>
        <v>PA PC 4</v>
      </c>
      <c r="M348" s="184">
        <f>VLOOKUP(TablaPrincipal[[#This Row],[CODIGO]]&amp;TablaPrincipal[[#This Row],[AGUAJE ]],Tabla4[#All],14,0)</f>
        <v>0.75</v>
      </c>
      <c r="N348" s="183">
        <v>9</v>
      </c>
      <c r="O348" s="170">
        <f>VLOOKUP(TablaPrincipal[[#This Row],[CODIGO]]&amp;TablaPrincipal[[#This Row],[AGUAJE ]],Tabla4[#All],5,0)</f>
        <v>618390</v>
      </c>
      <c r="P348" s="221">
        <f>IFERROR(TablaPrincipal[[#This Row],[ANIM SEMBRADOS]]/TablaPrincipal[[#This Row],[HAS]],"-")</f>
        <v>187390.90909090909</v>
      </c>
      <c r="Q348" s="222">
        <f>IFERROR(TablaPrincipal[[#This Row],[DENSIDAD]]/10000,"-")</f>
        <v>18.739090909090908</v>
      </c>
      <c r="R348" s="183" t="str">
        <f>VLOOKUP(TablaPrincipal[[#This Row],[CODIGO]]&amp;TablaPrincipal[[#This Row],[AGUAJE ]],Tabla4[#All],8,0)</f>
        <v>BIOLACAM</v>
      </c>
      <c r="S348" s="183" t="str">
        <f>VLOOKUP(TablaPrincipal[[#This Row],[CODIGO]]&amp;TablaPrincipal[[#This Row],[AGUAJE ]],Tabla4[#All],7,0)</f>
        <v>TEXCUMAR</v>
      </c>
      <c r="T348" s="183" t="str">
        <f>IF(ISNUMBER(FIND("/",TablaPrincipal[[#This Row],[LABORATORIO]])),"COMBINADO","UNICO")</f>
        <v>UNICO</v>
      </c>
      <c r="U3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11200</v>
      </c>
      <c r="V34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11967.41</v>
      </c>
      <c r="W34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21.666666666666668</v>
      </c>
      <c r="X34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21.846666666666668</v>
      </c>
      <c r="Y348" s="185">
        <f>IFERROR(TablaPrincipal[[#This Row],[LIBRAS RALEO PLANTA]]/TablaPrincipal[[#This Row],[HAS]],"-")</f>
        <v>3626.4878787878788</v>
      </c>
      <c r="Z34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262193.03645509738</v>
      </c>
      <c r="AA34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11100</v>
      </c>
      <c r="AB34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11680.57</v>
      </c>
      <c r="AC348" s="186">
        <f>SUMIFS(COSECHAS!F:F,COSECHAS!A:A,'BASE 2026'!AW:AW,COSECHAS!G:G,"="&amp;A:A)</f>
        <v>30</v>
      </c>
      <c r="AD348" s="186">
        <f>SUMIFS(COSECHAS!M:M,COSECHAS!A:A,'BASE 2026'!AW:AW,COSECHAS!G:G,"="&amp;A:A)</f>
        <v>31.84</v>
      </c>
      <c r="AE348" s="185">
        <f>IFERROR(TablaPrincipal[[#This Row],[LIBRAS PLANTA]]/TablaPrincipal[[#This Row],[HAS]],"-")</f>
        <v>3539.5666666666666</v>
      </c>
      <c r="AF348" s="185">
        <f>IFERROR(TablaPrincipal[[#This Row],[LIBRAS PLANTA]]*454/TablaPrincipal[[#This Row],[GRAMOS PLANTA]],"-")</f>
        <v>166550.84108040202</v>
      </c>
      <c r="AG348" s="185">
        <f>TablaPrincipal[[#This Row],[LIBRAS RALEO PLANTA]]+TablaPrincipal[[#This Row],[LIBRAS PLANTA]]</f>
        <v>23647.98</v>
      </c>
      <c r="AH348" s="185">
        <f>IFERROR(TablaPrincipal[[#This Row],[CAM COSECHADOS RALEO]]+TablaPrincipal[[#This Row],[CAM COSECHADOS]],"-")</f>
        <v>428743.8775354994</v>
      </c>
      <c r="AI348" s="185">
        <f>IFERROR((TablaPrincipal[[#This Row],[LIBRAS RALEO PLANTA]]+TablaPrincipal[[#This Row],[LIBRAS PLANTA]])/TablaPrincipal[[#This Row],[HAS]],"0")</f>
        <v>7166.0545454545454</v>
      </c>
      <c r="AJ348" s="186">
        <f t="shared" si="7"/>
        <v>2.786</v>
      </c>
      <c r="AK348" s="186">
        <f>IFERROR(TablaPrincipal[[#This Row],[LBS/HA]]/TablaPrincipal[[#This Row],[DIAS]],"-")</f>
        <v>89.57568181818182</v>
      </c>
      <c r="AL348" s="186">
        <f>IFERROR(TablaPrincipal[[#This Row],[CAM COSECHADOS TOTALES]]/TablaPrincipal[[#This Row],[ANIM SEMBRADOS]]*100,"-")</f>
        <v>69.33227858398412</v>
      </c>
      <c r="AM348" s="185">
        <v>32903.660000000003</v>
      </c>
      <c r="AN348" s="187">
        <f>IFERROR(((TablaPrincipal[[#This Row],[BALANCEADO ACUMULADO (LBS)]]/2.2046)/TablaPrincipal[[#This Row],[HAS]])/TablaPrincipal[[#This Row],[DIAS]],"-")</f>
        <v>56.53409949994365</v>
      </c>
      <c r="AO348" s="184">
        <f>IFERROR(TablaPrincipal[[#This Row],[BALANCEADO ACUMULADO (LBS)]]/TablaPrincipal[[#This Row],[LIBRAS TOTALES]],"-")</f>
        <v>1.3913941063887911</v>
      </c>
      <c r="AP348" s="184"/>
      <c r="AQ348" s="184"/>
      <c r="AR348" s="185">
        <f>TablaPrincipal[[#This Row],[LIBRAS RALEO PLANTA]]-TablaPrincipal[[#This Row],[LIBRAS RALEO CAMARONERA]]</f>
        <v>767.40999999999985</v>
      </c>
      <c r="AS348" s="185">
        <f>TablaPrincipal[[#This Row],[LIBRAS PLANTA]]-TablaPrincipal[[#This Row],[LIBRAS CAMARONERA]]</f>
        <v>580.56999999999971</v>
      </c>
      <c r="AT348" s="187">
        <f>TablaPrincipal[[#This Row],[GRAMAJE RALEO PLANTA]]-TablaPrincipal[[#This Row],[GRAMAJE RALEO CAMARONERA]]</f>
        <v>0.17999999999999972</v>
      </c>
      <c r="AU348" s="187">
        <f>TablaPrincipal[[#This Row],[GRAMOS PLANTA]]-TablaPrincipal[[#This Row],[GRAMAJE CAMARONERA]]</f>
        <v>1.8399999999999999</v>
      </c>
      <c r="AV348" s="183" t="str">
        <f>+VLOOKUP(TablaPrincipal[[#This Row],[CODIGO]],TablaCosechas[#All],10,0)</f>
        <v>GUSTAVO CARRASCO</v>
      </c>
      <c r="AW348" s="183" t="s">
        <v>197</v>
      </c>
      <c r="AX348" s="188" t="str">
        <f>+VLOOKUP(TablaPrincipal[[#This Row],[CODIGO]],TablaCosechas[#All],10,0)</f>
        <v>GUSTAVO CARRASCO</v>
      </c>
    </row>
    <row r="349" spans="1:50" x14ac:dyDescent="0.25">
      <c r="A349" s="196">
        <v>46145</v>
      </c>
      <c r="B349" s="242">
        <v>347</v>
      </c>
      <c r="C349" s="183">
        <f>YEAR(TablaPrincipal[[#This Row],[FECHA]])</f>
        <v>2026</v>
      </c>
      <c r="D349" s="183" t="s">
        <v>346</v>
      </c>
      <c r="E349" s="183" t="str">
        <f>UPPER(TEXT(TablaPrincipal[[#This Row],[FECHA]],"MMMM"))</f>
        <v>MAYO</v>
      </c>
      <c r="F349" s="183" t="str">
        <f>IFERROR(VLOOKUP(TablaPrincipal[[#This Row],[CODIGO]],COSECHAS!A:J,9,0),"-")</f>
        <v>01</v>
      </c>
      <c r="G349" s="183" t="str">
        <f>IFERROR(VLOOKUP(TablaPrincipal[[#This Row],[CODIGO]],COSECHAS!A:I,8,0),"-")</f>
        <v>TUNA</v>
      </c>
      <c r="H349" s="184">
        <f>IFERROR(VLOOKUP(TablaPrincipal[[#This Row],[CODIGO]],DATOS!A:B,2,0),"-")</f>
        <v>7.4</v>
      </c>
      <c r="I349" s="183" t="str">
        <f>IFERROR(VLOOKUP(TablaPrincipal[[#This Row],[CODIGO]],Tabla8[[#Headers],[#Data]],3,0),"-")</f>
        <v>ASC-BAP</v>
      </c>
      <c r="J349" s="183">
        <f>IFERROR(TablaPrincipal[[#This Row],[FECHA]]-TablaPrincipal[[#This Row],[FECHA DE SIEMBRA]],"-")</f>
        <v>81</v>
      </c>
      <c r="K349" s="196">
        <f>VLOOKUP(TablaPrincipal[[#This Row],[CODIGO]]&amp;TablaPrincipal[[#This Row],[AGUAJE ]],Tabla4[#All],4,0)</f>
        <v>46064</v>
      </c>
      <c r="L349" s="183" t="str">
        <f>VLOOKUP(TablaPrincipal[[#This Row],[CODIGO]]&amp;TablaPrincipal[[#This Row],[AGUAJE ]],Tabla4[#All],15,0)</f>
        <v>PA 16</v>
      </c>
      <c r="M349" s="184">
        <f>VLOOKUP(TablaPrincipal[[#This Row],[CODIGO]]&amp;TablaPrincipal[[#This Row],[AGUAJE ]],Tabla4[#All],14,0)</f>
        <v>0.5</v>
      </c>
      <c r="N349" s="183">
        <v>11</v>
      </c>
      <c r="O349" s="170">
        <f>VLOOKUP(TablaPrincipal[[#This Row],[CODIGO]]&amp;TablaPrincipal[[#This Row],[AGUAJE ]],Tabla4[#All],5,0)</f>
        <v>1355000</v>
      </c>
      <c r="P349" s="221">
        <f>IFERROR(TablaPrincipal[[#This Row],[ANIM SEMBRADOS]]/TablaPrincipal[[#This Row],[HAS]],"-")</f>
        <v>183108.10810810811</v>
      </c>
      <c r="Q349" s="222">
        <f>IFERROR(TablaPrincipal[[#This Row],[DENSIDAD]]/10000,"-")</f>
        <v>18.310810810810811</v>
      </c>
      <c r="R349" s="183" t="str">
        <f>VLOOKUP(TablaPrincipal[[#This Row],[CODIGO]]&amp;TablaPrincipal[[#This Row],[AGUAJE ]],Tabla4[#All],8,0)</f>
        <v>BIOLACAM</v>
      </c>
      <c r="S349" s="183" t="str">
        <f>VLOOKUP(TablaPrincipal[[#This Row],[CODIGO]]&amp;TablaPrincipal[[#This Row],[AGUAJE ]],Tabla4[#All],7,0)</f>
        <v>TEXCUMAR</v>
      </c>
      <c r="T349" s="183" t="str">
        <f>IF(ISNUMBER(FIND("/",TablaPrincipal[[#This Row],[LABORATORIO]])),"COMBINADO","UNICO")</f>
        <v>UNICO</v>
      </c>
      <c r="U3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30600</v>
      </c>
      <c r="V34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32704.080000000002</v>
      </c>
      <c r="W34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23.25</v>
      </c>
      <c r="X34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24.935000000000002</v>
      </c>
      <c r="Y349" s="185">
        <f>IFERROR(TablaPrincipal[[#This Row],[LIBRAS RALEO PLANTA]]/TablaPrincipal[[#This Row],[HAS]],"-")</f>
        <v>4419.4702702702707</v>
      </c>
      <c r="Z34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707757.60827766475</v>
      </c>
      <c r="AA34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27700</v>
      </c>
      <c r="AB34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25446.120000000003</v>
      </c>
      <c r="AC349" s="186">
        <f>SUMIFS(COSECHAS!F:F,COSECHAS!A:A,'BASE 2026'!AW:AW,COSECHAS!G:G,"="&amp;A:A)</f>
        <v>33</v>
      </c>
      <c r="AD349" s="186">
        <f>SUMIFS(COSECHAS!M:M,COSECHAS!A:A,'BASE 2026'!AW:AW,COSECHAS!G:G,"="&amp;A:A)</f>
        <v>34.18</v>
      </c>
      <c r="AE349" s="185">
        <f>IFERROR(TablaPrincipal[[#This Row],[LIBRAS PLANTA]]/TablaPrincipal[[#This Row],[HAS]],"-")</f>
        <v>3438.6648648648652</v>
      </c>
      <c r="AF349" s="185">
        <f>IFERROR(TablaPrincipal[[#This Row],[LIBRAS PLANTA]]*454/TablaPrincipal[[#This Row],[GRAMOS PLANTA]],"-")</f>
        <v>337991.17846693977</v>
      </c>
      <c r="AG349" s="185">
        <f>TablaPrincipal[[#This Row],[LIBRAS RALEO PLANTA]]+TablaPrincipal[[#This Row],[LIBRAS PLANTA]]</f>
        <v>58150.200000000004</v>
      </c>
      <c r="AH349" s="185">
        <f>IFERROR(TablaPrincipal[[#This Row],[CAM COSECHADOS RALEO]]+TablaPrincipal[[#This Row],[CAM COSECHADOS]],"-")</f>
        <v>1045748.7867446046</v>
      </c>
      <c r="AI349" s="185">
        <f>IFERROR((TablaPrincipal[[#This Row],[LIBRAS RALEO PLANTA]]+TablaPrincipal[[#This Row],[LIBRAS PLANTA]])/TablaPrincipal[[#This Row],[HAS]],"0")</f>
        <v>7858.135135135135</v>
      </c>
      <c r="AJ349" s="186">
        <f t="shared" si="7"/>
        <v>2.9538271604938271</v>
      </c>
      <c r="AK349" s="186">
        <f>IFERROR(TablaPrincipal[[#This Row],[LBS/HA]]/TablaPrincipal[[#This Row],[DIAS]],"-")</f>
        <v>97.014014014014009</v>
      </c>
      <c r="AL349" s="186">
        <f>IFERROR(TablaPrincipal[[#This Row],[CAM COSECHADOS TOTALES]]/TablaPrincipal[[#This Row],[ANIM SEMBRADOS]]*100,"-")</f>
        <v>77.17703223207414</v>
      </c>
      <c r="AM349" s="185">
        <v>79586.06</v>
      </c>
      <c r="AN349" s="187">
        <f>IFERROR(((TablaPrincipal[[#This Row],[BALANCEADO ACUMULADO (LBS)]]/2.2046)/TablaPrincipal[[#This Row],[HAS]])/TablaPrincipal[[#This Row],[DIAS]],"-")</f>
        <v>60.226893560226891</v>
      </c>
      <c r="AO349" s="184">
        <f>IFERROR(TablaPrincipal[[#This Row],[BALANCEADO ACUMULADO (LBS)]]/TablaPrincipal[[#This Row],[LIBRAS TOTALES]],"-")</f>
        <v>1.3686291706649332</v>
      </c>
      <c r="AP349" s="184"/>
      <c r="AQ349" s="184"/>
      <c r="AR349" s="185">
        <f>TablaPrincipal[[#This Row],[LIBRAS RALEO PLANTA]]-TablaPrincipal[[#This Row],[LIBRAS RALEO CAMARONERA]]</f>
        <v>2104.0800000000017</v>
      </c>
      <c r="AS349" s="185">
        <f>TablaPrincipal[[#This Row],[LIBRAS PLANTA]]-TablaPrincipal[[#This Row],[LIBRAS CAMARONERA]]</f>
        <v>-2253.8799999999974</v>
      </c>
      <c r="AT349" s="187">
        <f>TablaPrincipal[[#This Row],[GRAMAJE RALEO PLANTA]]-TablaPrincipal[[#This Row],[GRAMAJE RALEO CAMARONERA]]</f>
        <v>1.6850000000000023</v>
      </c>
      <c r="AU349" s="187">
        <f>TablaPrincipal[[#This Row],[GRAMOS PLANTA]]-TablaPrincipal[[#This Row],[GRAMAJE CAMARONERA]]</f>
        <v>1.1799999999999997</v>
      </c>
      <c r="AV349" s="183" t="str">
        <f>+VLOOKUP(TablaPrincipal[[#This Row],[CODIGO]],TablaCosechas[#All],10,0)</f>
        <v>GUSTAVO CARRASCO</v>
      </c>
      <c r="AW349" s="183" t="s">
        <v>195</v>
      </c>
      <c r="AX349" s="188" t="str">
        <f>+VLOOKUP(TablaPrincipal[[#This Row],[CODIGO]],TablaCosechas[#All],10,0)</f>
        <v>GUSTAVO CARRASCO</v>
      </c>
    </row>
    <row r="350" spans="1:50" x14ac:dyDescent="0.25">
      <c r="A350" s="196">
        <v>46145</v>
      </c>
      <c r="B350" s="242">
        <v>348</v>
      </c>
      <c r="C350" s="183">
        <f>YEAR(TablaPrincipal[[#This Row],[FECHA]])</f>
        <v>2026</v>
      </c>
      <c r="D350" s="183" t="s">
        <v>346</v>
      </c>
      <c r="E350" s="183" t="str">
        <f>UPPER(TEXT(TablaPrincipal[[#This Row],[FECHA]],"MMMM"))</f>
        <v>MAYO</v>
      </c>
      <c r="F350" s="183" t="str">
        <f>IFERROR(VLOOKUP(TablaPrincipal[[#This Row],[CODIGO]],COSECHAS!A:J,9,0),"-")</f>
        <v>12</v>
      </c>
      <c r="G350" s="183" t="str">
        <f>IFERROR(VLOOKUP(TablaPrincipal[[#This Row],[CODIGO]],COSECHAS!A:I,8,0),"-")</f>
        <v>DELFIN</v>
      </c>
      <c r="H350" s="184">
        <f>IFERROR(VLOOKUP(TablaPrincipal[[#This Row],[CODIGO]],DATOS!A:B,2,0),"-")</f>
        <v>8.77</v>
      </c>
      <c r="I350" s="183" t="str">
        <f>IFERROR(VLOOKUP(TablaPrincipal[[#This Row],[CODIGO]],Tabla8[[#Headers],[#Data]],3,0),"-")</f>
        <v>CONVENCIONAL</v>
      </c>
      <c r="J350" s="183">
        <f>IFERROR(TablaPrincipal[[#This Row],[FECHA]]-TablaPrincipal[[#This Row],[FECHA DE SIEMBRA]],"-")</f>
        <v>63</v>
      </c>
      <c r="K350" s="196">
        <f>VLOOKUP(TablaPrincipal[[#This Row],[CODIGO]]&amp;TablaPrincipal[[#This Row],[AGUAJE ]],Tabla4[#All],4,0)</f>
        <v>46082</v>
      </c>
      <c r="L350" s="183" t="str">
        <f>VLOOKUP(TablaPrincipal[[#This Row],[CODIGO]]&amp;TablaPrincipal[[#This Row],[AGUAJE ]],Tabla4[#All],15,0)</f>
        <v>DE PS 11</v>
      </c>
      <c r="M350" s="184">
        <f>VLOOKUP(TablaPrincipal[[#This Row],[CODIGO]]&amp;TablaPrincipal[[#This Row],[AGUAJE ]],Tabla4[#All],14,0)</f>
        <v>6</v>
      </c>
      <c r="N350" s="183">
        <v>4</v>
      </c>
      <c r="O350" s="170">
        <f>VLOOKUP(TablaPrincipal[[#This Row],[CODIGO]]&amp;TablaPrincipal[[#This Row],[AGUAJE ]],Tabla4[#All],5,0)</f>
        <v>1052400</v>
      </c>
      <c r="P350" s="221">
        <f>IFERROR(TablaPrincipal[[#This Row],[ANIM SEMBRADOS]]/TablaPrincipal[[#This Row],[HAS]],"-")</f>
        <v>120000</v>
      </c>
      <c r="Q350" s="222">
        <f>IFERROR(TablaPrincipal[[#This Row],[DENSIDAD]]/10000,"-")</f>
        <v>12</v>
      </c>
      <c r="R350" s="183" t="str">
        <f>VLOOKUP(TablaPrincipal[[#This Row],[CODIGO]]&amp;TablaPrincipal[[#This Row],[AGUAJE ]],Tabla4[#All],8,0)</f>
        <v>TECSERV</v>
      </c>
      <c r="S350" s="183" t="str">
        <f>VLOOKUP(TablaPrincipal[[#This Row],[CODIGO]]&amp;TablaPrincipal[[#This Row],[AGUAJE ]],Tabla4[#All],7,0)</f>
        <v>SEMACUA</v>
      </c>
      <c r="T350" s="183" t="str">
        <f>IF(ISNUMBER(FIND("/",TablaPrincipal[[#This Row],[LABORATORIO]])),"COMBINADO","UNICO")</f>
        <v>UNICO</v>
      </c>
      <c r="U3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8400</v>
      </c>
      <c r="V35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8639.7099999999991</v>
      </c>
      <c r="W35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5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27.655000000000001</v>
      </c>
      <c r="Y350" s="185">
        <f>IFERROR(TablaPrincipal[[#This Row],[LIBRAS RALEO PLANTA]]/TablaPrincipal[[#This Row],[HAS]],"-")</f>
        <v>985.14367160775362</v>
      </c>
      <c r="Z35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184065.14969497887</v>
      </c>
      <c r="AA35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44200</v>
      </c>
      <c r="AB35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43782.45</v>
      </c>
      <c r="AC350" s="186">
        <f>SUMIFS(COSECHAS!F:F,COSECHAS!A:A,'BASE 2026'!AW:AW,COSECHAS!G:G,"="&amp;A:A)</f>
        <v>31</v>
      </c>
      <c r="AD350" s="186">
        <f>SUMIFS(COSECHAS!M:M,COSECHAS!A:A,'BASE 2026'!AW:AW,COSECHAS!G:G,"="&amp;A:A)</f>
        <v>33.54</v>
      </c>
      <c r="AE350" s="185">
        <f>IFERROR(TablaPrincipal[[#This Row],[LIBRAS PLANTA]]/TablaPrincipal[[#This Row],[HAS]],"-")</f>
        <v>4992.2976054732044</v>
      </c>
      <c r="AF350" s="185">
        <f>IFERROR(TablaPrincipal[[#This Row],[LIBRAS PLANTA]]*454/TablaPrincipal[[#This Row],[GRAMOS PLANTA]],"-")</f>
        <v>592642.58497316635</v>
      </c>
      <c r="AG350" s="185">
        <f>TablaPrincipal[[#This Row],[LIBRAS RALEO PLANTA]]+TablaPrincipal[[#This Row],[LIBRAS PLANTA]]</f>
        <v>52422.159999999996</v>
      </c>
      <c r="AH350" s="185">
        <f>IFERROR(TablaPrincipal[[#This Row],[CAM COSECHADOS RALEO]]+TablaPrincipal[[#This Row],[CAM COSECHADOS]],"-")</f>
        <v>776707.73466814519</v>
      </c>
      <c r="AI350" s="185">
        <f>IFERROR((TablaPrincipal[[#This Row],[LIBRAS RALEO PLANTA]]+TablaPrincipal[[#This Row],[LIBRAS PLANTA]])/TablaPrincipal[[#This Row],[HAS]],"0")</f>
        <v>5977.4412770809577</v>
      </c>
      <c r="AJ350" s="186">
        <f t="shared" si="7"/>
        <v>3.7266666666666666</v>
      </c>
      <c r="AK350" s="186">
        <f>IFERROR(TablaPrincipal[[#This Row],[LBS/HA]]/TablaPrincipal[[#This Row],[DIAS]],"-")</f>
        <v>94.880020271126313</v>
      </c>
      <c r="AL350" s="186">
        <f>IFERROR(TablaPrincipal[[#This Row],[CAM COSECHADOS TOTALES]]/TablaPrincipal[[#This Row],[ANIM SEMBRADOS]]*100,"-")</f>
        <v>73.803471557216383</v>
      </c>
      <c r="AM350" s="185">
        <v>68893.75</v>
      </c>
      <c r="AN350" s="187">
        <f>IFERROR(((TablaPrincipal[[#This Row],[BALANCEADO ACUMULADO (LBS)]]/2.2046)/TablaPrincipal[[#This Row],[HAS]])/TablaPrincipal[[#This Row],[DIAS]],"-")</f>
        <v>56.560062261316538</v>
      </c>
      <c r="AO350" s="184">
        <f>IFERROR(TablaPrincipal[[#This Row],[BALANCEADO ACUMULADO (LBS)]]/TablaPrincipal[[#This Row],[LIBRAS TOTALES]],"-")</f>
        <v>1.3142104407754278</v>
      </c>
      <c r="AP350" s="184"/>
      <c r="AQ350" s="184"/>
      <c r="AR350" s="185">
        <f>TablaPrincipal[[#This Row],[LIBRAS RALEO PLANTA]]-TablaPrincipal[[#This Row],[LIBRAS RALEO CAMARONERA]]</f>
        <v>239.70999999999913</v>
      </c>
      <c r="AS350" s="185">
        <f>TablaPrincipal[[#This Row],[LIBRAS PLANTA]]-TablaPrincipal[[#This Row],[LIBRAS CAMARONERA]]</f>
        <v>-417.55000000000291</v>
      </c>
      <c r="AT350" s="187">
        <f>TablaPrincipal[[#This Row],[GRAMAJE RALEO PLANTA]]-TablaPrincipal[[#This Row],[GRAMAJE RALEO CAMARONERA]]</f>
        <v>2.6550000000000011</v>
      </c>
      <c r="AU350" s="187">
        <f>TablaPrincipal[[#This Row],[GRAMOS PLANTA]]-TablaPrincipal[[#This Row],[GRAMAJE CAMARONERA]]</f>
        <v>2.5399999999999991</v>
      </c>
      <c r="AV350" s="183" t="str">
        <f>+VLOOKUP(TablaPrincipal[[#This Row],[CODIGO]],TablaCosechas[#All],10,0)</f>
        <v>CARLOS FLORES</v>
      </c>
      <c r="AW350" s="183" t="s">
        <v>254</v>
      </c>
      <c r="AX350" s="188" t="str">
        <f>+VLOOKUP(TablaPrincipal[[#This Row],[CODIGO]],TablaCosechas[#All],10,0)</f>
        <v>CARLOS FLORES</v>
      </c>
    </row>
    <row r="351" spans="1:50" x14ac:dyDescent="0.25">
      <c r="A351" s="196">
        <v>46146</v>
      </c>
      <c r="B351" s="242">
        <v>349</v>
      </c>
      <c r="C351" s="183">
        <f>YEAR(TablaPrincipal[[#This Row],[FECHA]])</f>
        <v>2026</v>
      </c>
      <c r="D351" s="183" t="s">
        <v>346</v>
      </c>
      <c r="E351" s="183" t="str">
        <f>UPPER(TEXT(TablaPrincipal[[#This Row],[FECHA]],"MMMM"))</f>
        <v>MAYO</v>
      </c>
      <c r="F351" s="183" t="str">
        <f>IFERROR(VLOOKUP(TablaPrincipal[[#This Row],[CODIGO]],COSECHAS!A:J,9,0),"-")</f>
        <v>03</v>
      </c>
      <c r="G351" s="183" t="str">
        <f>IFERROR(VLOOKUP(TablaPrincipal[[#This Row],[CODIGO]],COSECHAS!A:I,8,0),"-")</f>
        <v>TUNA</v>
      </c>
      <c r="H351" s="184">
        <f>IFERROR(VLOOKUP(TablaPrincipal[[#This Row],[CODIGO]],DATOS!A:B,2,0),"-")</f>
        <v>3.43</v>
      </c>
      <c r="I351" s="183" t="str">
        <f>IFERROR(VLOOKUP(TablaPrincipal[[#This Row],[CODIGO]],Tabla8[[#Headers],[#Data]],3,0),"-")</f>
        <v>ASC-BAP</v>
      </c>
      <c r="J351" s="183">
        <f>IFERROR(TablaPrincipal[[#This Row],[FECHA]]-TablaPrincipal[[#This Row],[FECHA DE SIEMBRA]],"-")</f>
        <v>87</v>
      </c>
      <c r="K351" s="196">
        <f>VLOOKUP(TablaPrincipal[[#This Row],[CODIGO]]&amp;TablaPrincipal[[#This Row],[AGUAJE ]],Tabla4[#All],4,0)</f>
        <v>46059</v>
      </c>
      <c r="L351" s="183" t="str">
        <f>VLOOKUP(TablaPrincipal[[#This Row],[CODIGO]]&amp;TablaPrincipal[[#This Row],[AGUAJE ]],Tabla4[#All],15,0)</f>
        <v>MA 8</v>
      </c>
      <c r="M351" s="184">
        <f>VLOOKUP(TablaPrincipal[[#This Row],[CODIGO]]&amp;TablaPrincipal[[#This Row],[AGUAJE ]],Tabla4[#All],14,0)</f>
        <v>0.35</v>
      </c>
      <c r="N351" s="183">
        <v>7</v>
      </c>
      <c r="O351" s="170">
        <f>VLOOKUP(TablaPrincipal[[#This Row],[CODIGO]]&amp;TablaPrincipal[[#This Row],[AGUAJE ]],Tabla4[#All],5,0)</f>
        <v>605714</v>
      </c>
      <c r="P351" s="221">
        <f>IFERROR(TablaPrincipal[[#This Row],[ANIM SEMBRADOS]]/TablaPrincipal[[#This Row],[HAS]],"-")</f>
        <v>176593.00291545189</v>
      </c>
      <c r="Q351" s="222">
        <f>IFERROR(TablaPrincipal[[#This Row],[DENSIDAD]]/10000,"-")</f>
        <v>17.65930029154519</v>
      </c>
      <c r="R351" s="183" t="str">
        <f>VLOOKUP(TablaPrincipal[[#This Row],[CODIGO]]&amp;TablaPrincipal[[#This Row],[AGUAJE ]],Tabla4[#All],8,0)</f>
        <v>NARIHUALA</v>
      </c>
      <c r="S351" s="183" t="str">
        <f>VLOOKUP(TablaPrincipal[[#This Row],[CODIGO]]&amp;TablaPrincipal[[#This Row],[AGUAJE ]],Tabla4[#All],7,0)</f>
        <v>TEXCUMAR</v>
      </c>
      <c r="T351" s="183" t="str">
        <f>IF(ISNUMBER(FIND("/",TablaPrincipal[[#This Row],[LABORATORIO]])),"COMBINADO","UNICO")</f>
        <v>UNICO</v>
      </c>
      <c r="U3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12350</v>
      </c>
      <c r="V35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12707.71</v>
      </c>
      <c r="W35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17.666666666666668</v>
      </c>
      <c r="X35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18.146666666666668</v>
      </c>
      <c r="Y351" s="185">
        <f>IFERROR(TablaPrincipal[[#This Row],[LIBRAS RALEO PLANTA]]/TablaPrincipal[[#This Row],[HAS]],"-")</f>
        <v>3704.8717201166178</v>
      </c>
      <c r="Z35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322004.88218188268</v>
      </c>
      <c r="AA35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15900</v>
      </c>
      <c r="AB35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16250.79</v>
      </c>
      <c r="AC351" s="186">
        <f>SUMIFS(COSECHAS!F:F,COSECHAS!A:A,'BASE 2026'!AW:AW,COSECHAS!G:G,"="&amp;A:A)</f>
        <v>30</v>
      </c>
      <c r="AD351" s="186">
        <f>SUMIFS(COSECHAS!M:M,COSECHAS!A:A,'BASE 2026'!AW:AW,COSECHAS!G:G,"="&amp;A:A)</f>
        <v>29.38</v>
      </c>
      <c r="AE351" s="185">
        <f>IFERROR(TablaPrincipal[[#This Row],[LIBRAS PLANTA]]/TablaPrincipal[[#This Row],[HAS]],"-")</f>
        <v>4737.8396501457728</v>
      </c>
      <c r="AF351" s="185">
        <f>IFERROR(TablaPrincipal[[#This Row],[LIBRAS PLANTA]]*454/TablaPrincipal[[#This Row],[GRAMOS PLANTA]],"-")</f>
        <v>251118.40231449966</v>
      </c>
      <c r="AG351" s="185">
        <f>TablaPrincipal[[#This Row],[LIBRAS RALEO PLANTA]]+TablaPrincipal[[#This Row],[LIBRAS PLANTA]]</f>
        <v>28958.5</v>
      </c>
      <c r="AH351" s="185">
        <f>IFERROR(TablaPrincipal[[#This Row],[CAM COSECHADOS RALEO]]+TablaPrincipal[[#This Row],[CAM COSECHADOS]],"-")</f>
        <v>573123.28449638234</v>
      </c>
      <c r="AI351" s="185">
        <f>IFERROR((TablaPrincipal[[#This Row],[LIBRAS RALEO PLANTA]]+TablaPrincipal[[#This Row],[LIBRAS PLANTA]])/TablaPrincipal[[#This Row],[HAS]],"0")</f>
        <v>8442.7113702623901</v>
      </c>
      <c r="AJ351" s="186">
        <f t="shared" si="7"/>
        <v>2.3639080459770114</v>
      </c>
      <c r="AK351" s="186">
        <f>IFERROR(TablaPrincipal[[#This Row],[LBS/HA]]/TablaPrincipal[[#This Row],[DIAS]],"-")</f>
        <v>97.042659428303338</v>
      </c>
      <c r="AL351" s="186">
        <f>IFERROR(TablaPrincipal[[#This Row],[CAM COSECHADOS TOTALES]]/TablaPrincipal[[#This Row],[ANIM SEMBRADOS]]*100,"-")</f>
        <v>94.619454808107832</v>
      </c>
      <c r="AM351" s="185">
        <v>39947.35</v>
      </c>
      <c r="AN351" s="187">
        <f>IFERROR(((TablaPrincipal[[#This Row],[BALANCEADO ACUMULADO (LBS)]]/2.2046)/TablaPrincipal[[#This Row],[HAS]])/TablaPrincipal[[#This Row],[DIAS]],"-")</f>
        <v>60.721822635990577</v>
      </c>
      <c r="AO351" s="184">
        <f>IFERROR(TablaPrincipal[[#This Row],[BALANCEADO ACUMULADO (LBS)]]/TablaPrincipal[[#This Row],[LIBRAS TOTALES]],"-")</f>
        <v>1.3794688951430494</v>
      </c>
      <c r="AP351" s="184"/>
      <c r="AQ351" s="184"/>
      <c r="AR351" s="185">
        <f>TablaPrincipal[[#This Row],[LIBRAS RALEO PLANTA]]-TablaPrincipal[[#This Row],[LIBRAS RALEO CAMARONERA]]</f>
        <v>357.70999999999913</v>
      </c>
      <c r="AS351" s="185">
        <f>TablaPrincipal[[#This Row],[LIBRAS PLANTA]]-TablaPrincipal[[#This Row],[LIBRAS CAMARONERA]]</f>
        <v>350.79000000000087</v>
      </c>
      <c r="AT351" s="187">
        <f>TablaPrincipal[[#This Row],[GRAMAJE RALEO PLANTA]]-TablaPrincipal[[#This Row],[GRAMAJE RALEO CAMARONERA]]</f>
        <v>0.48000000000000043</v>
      </c>
      <c r="AU351" s="187">
        <f>TablaPrincipal[[#This Row],[GRAMOS PLANTA]]-TablaPrincipal[[#This Row],[GRAMAJE CAMARONERA]]</f>
        <v>-0.62000000000000099</v>
      </c>
      <c r="AV351" s="183" t="str">
        <f>+VLOOKUP(TablaPrincipal[[#This Row],[CODIGO]],TablaCosechas[#All],10,0)</f>
        <v>GUSTAVO CARRASCO</v>
      </c>
      <c r="AW351" s="183" t="s">
        <v>189</v>
      </c>
      <c r="AX351" s="188" t="str">
        <f>+VLOOKUP(TablaPrincipal[[#This Row],[CODIGO]],TablaCosechas[#All],10,0)</f>
        <v>GUSTAVO CARRASCO</v>
      </c>
    </row>
    <row r="352" spans="1:50" x14ac:dyDescent="0.25">
      <c r="A352" s="196">
        <v>46146</v>
      </c>
      <c r="B352" s="242">
        <v>350</v>
      </c>
      <c r="C352" s="183">
        <f>YEAR(TablaPrincipal[[#This Row],[FECHA]])</f>
        <v>2026</v>
      </c>
      <c r="D352" s="183" t="s">
        <v>346</v>
      </c>
      <c r="E352" s="183" t="str">
        <f>UPPER(TEXT(TablaPrincipal[[#This Row],[FECHA]],"MMMM"))</f>
        <v>MAYO</v>
      </c>
      <c r="F352" s="183" t="str">
        <f>IFERROR(VLOOKUP(TablaPrincipal[[#This Row],[CODIGO]],COSECHAS!A:J,9,0),"-")</f>
        <v>22</v>
      </c>
      <c r="G352" s="183" t="str">
        <f>IFERROR(VLOOKUP(TablaPrincipal[[#This Row],[CODIGO]],COSECHAS!A:I,8,0),"-")</f>
        <v>DELFIN</v>
      </c>
      <c r="H352" s="184">
        <f>IFERROR(VLOOKUP(TablaPrincipal[[#This Row],[CODIGO]],DATOS!A:B,2,0),"-")</f>
        <v>5.7</v>
      </c>
      <c r="I352" s="183" t="str">
        <f>IFERROR(VLOOKUP(TablaPrincipal[[#This Row],[CODIGO]],Tabla8[[#Headers],[#Data]],3,0),"-")</f>
        <v>CONVENCIONAL</v>
      </c>
      <c r="J352" s="183">
        <f>IFERROR(TablaPrincipal[[#This Row],[FECHA]]-TablaPrincipal[[#This Row],[FECHA DE SIEMBRA]],"-")</f>
        <v>85</v>
      </c>
      <c r="K352" s="196">
        <f>VLOOKUP(TablaPrincipal[[#This Row],[CODIGO]]&amp;TablaPrincipal[[#This Row],[AGUAJE ]],Tabla4[#All],4,0)</f>
        <v>46061</v>
      </c>
      <c r="L352" s="183" t="str">
        <f>VLOOKUP(TablaPrincipal[[#This Row],[CODIGO]]&amp;TablaPrincipal[[#This Row],[AGUAJE ]],Tabla4[#All],15,0)</f>
        <v>DE 25</v>
      </c>
      <c r="M352" s="184">
        <f>VLOOKUP(TablaPrincipal[[#This Row],[CODIGO]]&amp;TablaPrincipal[[#This Row],[AGUAJE ]],Tabla4[#All],14,0)</f>
        <v>0.65</v>
      </c>
      <c r="N352" s="183">
        <v>9</v>
      </c>
      <c r="O352" s="170">
        <f>VLOOKUP(TablaPrincipal[[#This Row],[CODIGO]]&amp;TablaPrincipal[[#This Row],[AGUAJE ]],Tabla4[#All],5,0)</f>
        <v>798000</v>
      </c>
      <c r="P352" s="221">
        <f>IFERROR(TablaPrincipal[[#This Row],[ANIM SEMBRADOS]]/TablaPrincipal[[#This Row],[HAS]],"-")</f>
        <v>140000</v>
      </c>
      <c r="Q352" s="222">
        <f>IFERROR(TablaPrincipal[[#This Row],[DENSIDAD]]/10000,"-")</f>
        <v>14</v>
      </c>
      <c r="R352" s="183" t="str">
        <f>VLOOKUP(TablaPrincipal[[#This Row],[CODIGO]]&amp;TablaPrincipal[[#This Row],[AGUAJE ]],Tabla4[#All],8,0)</f>
        <v>PRICMARSA</v>
      </c>
      <c r="S352" s="183" t="str">
        <f>VLOOKUP(TablaPrincipal[[#This Row],[CODIGO]]&amp;TablaPrincipal[[#This Row],[AGUAJE ]],Tabla4[#All],7,0)</f>
        <v>TEXCUMAR</v>
      </c>
      <c r="T352" s="183" t="str">
        <f>IF(ISNUMBER(FIND("/",TablaPrincipal[[#This Row],[LABORATORIO]])),"COMBINADO","UNICO")</f>
        <v>UNICO</v>
      </c>
      <c r="U3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11400</v>
      </c>
      <c r="V35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11440.09</v>
      </c>
      <c r="W35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5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21.17</v>
      </c>
      <c r="Y352" s="185">
        <f>IFERROR(TablaPrincipal[[#This Row],[LIBRAS RALEO PLANTA]]/TablaPrincipal[[#This Row],[HAS]],"-")</f>
        <v>2007.0333333333333</v>
      </c>
      <c r="Z35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245183.77129390815</v>
      </c>
      <c r="AA35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14100</v>
      </c>
      <c r="AB35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15123.18</v>
      </c>
      <c r="AC352" s="186">
        <f>SUMIFS(COSECHAS!F:F,COSECHAS!A:A,'BASE 2026'!AW:AW,COSECHAS!G:G,"="&amp;A:A)</f>
        <v>35</v>
      </c>
      <c r="AD352" s="186">
        <f>SUMIFS(COSECHAS!M:M,COSECHAS!A:A,'BASE 2026'!AW:AW,COSECHAS!G:G,"="&amp;A:A)</f>
        <v>31.5</v>
      </c>
      <c r="AE352" s="185">
        <f>IFERROR(TablaPrincipal[[#This Row],[LIBRAS PLANTA]]/TablaPrincipal[[#This Row],[HAS]],"-")</f>
        <v>2653.1894736842105</v>
      </c>
      <c r="AF352" s="185">
        <f>IFERROR(TablaPrincipal[[#This Row],[LIBRAS PLANTA]]*454/TablaPrincipal[[#This Row],[GRAMOS PLANTA]],"-")</f>
        <v>217965.83238095237</v>
      </c>
      <c r="AG352" s="185">
        <f>TablaPrincipal[[#This Row],[LIBRAS RALEO PLANTA]]+TablaPrincipal[[#This Row],[LIBRAS PLANTA]]</f>
        <v>26563.27</v>
      </c>
      <c r="AH352" s="185">
        <f>IFERROR(TablaPrincipal[[#This Row],[CAM COSECHADOS RALEO]]+TablaPrincipal[[#This Row],[CAM COSECHADOS]],"-")</f>
        <v>463149.60367486055</v>
      </c>
      <c r="AI352" s="185">
        <f>IFERROR((TablaPrincipal[[#This Row],[LIBRAS RALEO PLANTA]]+TablaPrincipal[[#This Row],[LIBRAS PLANTA]])/TablaPrincipal[[#This Row],[HAS]],"0")</f>
        <v>4660.2228070175433</v>
      </c>
      <c r="AJ352" s="186">
        <f t="shared" si="7"/>
        <v>2.5941176470588236</v>
      </c>
      <c r="AK352" s="186">
        <f>IFERROR(TablaPrincipal[[#This Row],[LBS/HA]]/TablaPrincipal[[#This Row],[DIAS]],"-")</f>
        <v>54.826150670794625</v>
      </c>
      <c r="AL352" s="186">
        <f>IFERROR(TablaPrincipal[[#This Row],[CAM COSECHADOS TOTALES]]/TablaPrincipal[[#This Row],[ANIM SEMBRADOS]]*100,"-")</f>
        <v>58.038797452990046</v>
      </c>
      <c r="AM352" s="185">
        <v>52745.06</v>
      </c>
      <c r="AN352" s="187">
        <f>IFERROR(((TablaPrincipal[[#This Row],[BALANCEADO ACUMULADO (LBS)]]/2.2046)/TablaPrincipal[[#This Row],[HAS]])/TablaPrincipal[[#This Row],[DIAS]],"-")</f>
        <v>49.380809634644208</v>
      </c>
      <c r="AO352" s="184">
        <f>IFERROR(TablaPrincipal[[#This Row],[BALANCEADO ACUMULADO (LBS)]]/TablaPrincipal[[#This Row],[LIBRAS TOTALES]],"-")</f>
        <v>1.985638816305372</v>
      </c>
      <c r="AP352" s="184"/>
      <c r="AQ352" s="184"/>
      <c r="AR352" s="185">
        <f>TablaPrincipal[[#This Row],[LIBRAS RALEO PLANTA]]-TablaPrincipal[[#This Row],[LIBRAS RALEO CAMARONERA]]</f>
        <v>40.090000000000146</v>
      </c>
      <c r="AS352" s="185">
        <f>TablaPrincipal[[#This Row],[LIBRAS PLANTA]]-TablaPrincipal[[#This Row],[LIBRAS CAMARONERA]]</f>
        <v>1023.1800000000003</v>
      </c>
      <c r="AT352" s="187">
        <f>TablaPrincipal[[#This Row],[GRAMAJE RALEO PLANTA]]-TablaPrincipal[[#This Row],[GRAMAJE RALEO CAMARONERA]]</f>
        <v>2.1700000000000017</v>
      </c>
      <c r="AU352" s="187">
        <f>TablaPrincipal[[#This Row],[GRAMOS PLANTA]]-TablaPrincipal[[#This Row],[GRAMAJE CAMARONERA]]</f>
        <v>-3.5</v>
      </c>
      <c r="AV352" s="183" t="str">
        <f>+VLOOKUP(TablaPrincipal[[#This Row],[CODIGO]],TablaCosechas[#All],10,0)</f>
        <v>CARLOS FLORES</v>
      </c>
      <c r="AW352" s="183" t="s">
        <v>187</v>
      </c>
      <c r="AX352" s="188" t="str">
        <f>+VLOOKUP(TablaPrincipal[[#This Row],[CODIGO]],TablaCosechas[#All],10,0)</f>
        <v>CARLOS FLORES</v>
      </c>
    </row>
    <row r="353" spans="1:50" x14ac:dyDescent="0.25">
      <c r="A353" s="196">
        <v>46146</v>
      </c>
      <c r="B353" s="242">
        <v>351</v>
      </c>
      <c r="C353" s="183">
        <f>YEAR(TablaPrincipal[[#This Row],[FECHA]])</f>
        <v>2026</v>
      </c>
      <c r="D353" s="183" t="s">
        <v>346</v>
      </c>
      <c r="E353" s="183" t="str">
        <f>UPPER(TEXT(TablaPrincipal[[#This Row],[FECHA]],"MMMM"))</f>
        <v>MAYO</v>
      </c>
      <c r="F353" s="183" t="str">
        <f>IFERROR(VLOOKUP(TablaPrincipal[[#This Row],[CODIGO]],COSECHAS!A:J,9,0),"-")</f>
        <v>07</v>
      </c>
      <c r="G353" s="183" t="str">
        <f>IFERROR(VLOOKUP(TablaPrincipal[[#This Row],[CODIGO]],COSECHAS!A:I,8,0),"-")</f>
        <v>DELFIN</v>
      </c>
      <c r="H353" s="184">
        <f>IFERROR(VLOOKUP(TablaPrincipal[[#This Row],[CODIGO]],DATOS!A:B,2,0),"-")</f>
        <v>10.23</v>
      </c>
      <c r="I353" s="183" t="str">
        <f>IFERROR(VLOOKUP(TablaPrincipal[[#This Row],[CODIGO]],Tabla8[[#Headers],[#Data]],3,0),"-")</f>
        <v>CONVENCIONAL</v>
      </c>
      <c r="J353" s="183">
        <f>IFERROR(TablaPrincipal[[#This Row],[FECHA]]-TablaPrincipal[[#This Row],[FECHA DE SIEMBRA]],"-")</f>
        <v>89</v>
      </c>
      <c r="K353" s="196">
        <f>VLOOKUP(TablaPrincipal[[#This Row],[CODIGO]]&amp;TablaPrincipal[[#This Row],[AGUAJE ]],Tabla4[#All],4,0)</f>
        <v>46057</v>
      </c>
      <c r="L353" s="183" t="str">
        <f>VLOOKUP(TablaPrincipal[[#This Row],[CODIGO]]&amp;TablaPrincipal[[#This Row],[AGUAJE ]],Tabla4[#All],15,0)</f>
        <v>DE  4</v>
      </c>
      <c r="M353" s="184">
        <f>VLOOKUP(TablaPrincipal[[#This Row],[CODIGO]]&amp;TablaPrincipal[[#This Row],[AGUAJE ]],Tabla4[#All],14,0)</f>
        <v>0.5</v>
      </c>
      <c r="N353" s="183">
        <v>18</v>
      </c>
      <c r="O353" s="170">
        <f>VLOOKUP(TablaPrincipal[[#This Row],[CODIGO]]&amp;TablaPrincipal[[#This Row],[AGUAJE ]],Tabla4[#All],5,0)</f>
        <v>1329900</v>
      </c>
      <c r="P353" s="221">
        <f>IFERROR(TablaPrincipal[[#This Row],[ANIM SEMBRADOS]]/TablaPrincipal[[#This Row],[HAS]],"-")</f>
        <v>130000</v>
      </c>
      <c r="Q353" s="222">
        <f>IFERROR(TablaPrincipal[[#This Row],[DENSIDAD]]/10000,"-")</f>
        <v>13</v>
      </c>
      <c r="R353" s="183" t="str">
        <f>VLOOKUP(TablaPrincipal[[#This Row],[CODIGO]]&amp;TablaPrincipal[[#This Row],[AGUAJE ]],Tabla4[#All],8,0)</f>
        <v>EMPAGRAN</v>
      </c>
      <c r="S353" s="183" t="str">
        <f>VLOOKUP(TablaPrincipal[[#This Row],[CODIGO]]&amp;TablaPrincipal[[#This Row],[AGUAJE ]],Tabla4[#All],7,0)</f>
        <v>EMPAGRAN</v>
      </c>
      <c r="T353" s="183" t="str">
        <f>IF(ISNUMBER(FIND("/",TablaPrincipal[[#This Row],[LABORATORIO]])),"COMBINADO","UNICO")</f>
        <v>UNICO</v>
      </c>
      <c r="U3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28600</v>
      </c>
      <c r="V35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29667.29</v>
      </c>
      <c r="W35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21.666666666666668</v>
      </c>
      <c r="X35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21.686666666666667</v>
      </c>
      <c r="Y353" s="185">
        <f>IFERROR(TablaPrincipal[[#This Row],[LIBRAS RALEO PLANTA]]/TablaPrincipal[[#This Row],[HAS]],"-")</f>
        <v>2900.0283479960899</v>
      </c>
      <c r="Z35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667248.27509464312</v>
      </c>
      <c r="AA35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35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18180.46</v>
      </c>
      <c r="AC353" s="186">
        <f>SUMIFS(COSECHAS!F:F,COSECHAS!A:A,'BASE 2026'!AW:AW,COSECHAS!G:G,"="&amp;A:A)</f>
        <v>31</v>
      </c>
      <c r="AD353" s="186">
        <f>SUMIFS(COSECHAS!M:M,COSECHAS!A:A,'BASE 2026'!AW:AW,COSECHAS!G:G,"="&amp;A:A)</f>
        <v>31.6</v>
      </c>
      <c r="AE353" s="185">
        <f>IFERROR(TablaPrincipal[[#This Row],[LIBRAS PLANTA]]/TablaPrincipal[[#This Row],[HAS]],"-")</f>
        <v>1777.171065493646</v>
      </c>
      <c r="AF353" s="185">
        <f>IFERROR(TablaPrincipal[[#This Row],[LIBRAS PLANTA]]*454/TablaPrincipal[[#This Row],[GRAMOS PLANTA]],"-")</f>
        <v>261200.27974683544</v>
      </c>
      <c r="AG353" s="185">
        <f>TablaPrincipal[[#This Row],[LIBRAS RALEO PLANTA]]+TablaPrincipal[[#This Row],[LIBRAS PLANTA]]</f>
        <v>47847.75</v>
      </c>
      <c r="AH353" s="185">
        <f>IFERROR(TablaPrincipal[[#This Row],[CAM COSECHADOS RALEO]]+TablaPrincipal[[#This Row],[CAM COSECHADOS]],"-")</f>
        <v>928448.55484147859</v>
      </c>
      <c r="AI353" s="185">
        <f>IFERROR((TablaPrincipal[[#This Row],[LIBRAS RALEO PLANTA]]+TablaPrincipal[[#This Row],[LIBRAS PLANTA]])/TablaPrincipal[[#This Row],[HAS]],"0")</f>
        <v>4677.1994134897359</v>
      </c>
      <c r="AJ353" s="186">
        <f t="shared" si="7"/>
        <v>2.4853932584269667</v>
      </c>
      <c r="AK353" s="186">
        <f>IFERROR(TablaPrincipal[[#This Row],[LBS/HA]]/TablaPrincipal[[#This Row],[DIAS]],"-")</f>
        <v>52.552802398761081</v>
      </c>
      <c r="AL353" s="186">
        <f>IFERROR(TablaPrincipal[[#This Row],[CAM COSECHADOS TOTALES]]/TablaPrincipal[[#This Row],[ANIM SEMBRADOS]]*100,"-")</f>
        <v>69.813411146813948</v>
      </c>
      <c r="AM353" s="185">
        <v>97663.78</v>
      </c>
      <c r="AN353" s="187">
        <f>IFERROR(((TablaPrincipal[[#This Row],[BALANCEADO ACUMULADO (LBS)]]/2.2046)/TablaPrincipal[[#This Row],[HAS]])/TablaPrincipal[[#This Row],[DIAS]],"-")</f>
        <v>48.656188561951517</v>
      </c>
      <c r="AO353" s="184">
        <f>IFERROR(TablaPrincipal[[#This Row],[BALANCEADO ACUMULADO (LBS)]]/TablaPrincipal[[#This Row],[LIBRAS TOTALES]],"-")</f>
        <v>2.0411363125747815</v>
      </c>
      <c r="AP353" s="184"/>
      <c r="AQ353" s="184"/>
      <c r="AR353" s="185">
        <f>TablaPrincipal[[#This Row],[LIBRAS RALEO PLANTA]]-TablaPrincipal[[#This Row],[LIBRAS RALEO CAMARONERA]]</f>
        <v>1067.2900000000009</v>
      </c>
      <c r="AS353" s="185">
        <f>TablaPrincipal[[#This Row],[LIBRAS PLANTA]]-TablaPrincipal[[#This Row],[LIBRAS CAMARONERA]]</f>
        <v>280.45999999999913</v>
      </c>
      <c r="AT353" s="187">
        <f>TablaPrincipal[[#This Row],[GRAMAJE RALEO PLANTA]]-TablaPrincipal[[#This Row],[GRAMAJE RALEO CAMARONERA]]</f>
        <v>1.9999999999999574E-2</v>
      </c>
      <c r="AU353" s="187">
        <f>TablaPrincipal[[#This Row],[GRAMOS PLANTA]]-TablaPrincipal[[#This Row],[GRAMAJE CAMARONERA]]</f>
        <v>0.60000000000000142</v>
      </c>
      <c r="AV353" s="183" t="str">
        <f>+VLOOKUP(TablaPrincipal[[#This Row],[CODIGO]],TablaCosechas[#All],10,0)</f>
        <v>CARLOS FLORES</v>
      </c>
      <c r="AW353" s="183" t="s">
        <v>174</v>
      </c>
      <c r="AX353" s="188" t="str">
        <f>+VLOOKUP(TablaPrincipal[[#This Row],[CODIGO]],TablaCosechas[#All],10,0)</f>
        <v>CARLOS FLORES</v>
      </c>
    </row>
    <row r="354" spans="1:50" x14ac:dyDescent="0.25">
      <c r="A354" s="196">
        <v>46147</v>
      </c>
      <c r="B354" s="242">
        <v>352</v>
      </c>
      <c r="C354" s="183">
        <f>YEAR(TablaPrincipal[[#This Row],[FECHA]])</f>
        <v>2026</v>
      </c>
      <c r="D354" s="183" t="s">
        <v>346</v>
      </c>
      <c r="E354" s="183" t="str">
        <f>UPPER(TEXT(TablaPrincipal[[#This Row],[FECHA]],"MMMM"))</f>
        <v>MAYO</v>
      </c>
      <c r="F354" s="183" t="str">
        <f>IFERROR(VLOOKUP(TablaPrincipal[[#This Row],[CODIGO]],COSECHAS!A:J,9,0),"-")</f>
        <v>08</v>
      </c>
      <c r="G354" s="183" t="str">
        <f>IFERROR(VLOOKUP(TablaPrincipal[[#This Row],[CODIGO]],COSECHAS!A:I,8,0),"-")</f>
        <v>ROBALO</v>
      </c>
      <c r="H354" s="184">
        <f>IFERROR(VLOOKUP(TablaPrincipal[[#This Row],[CODIGO]],DATOS!A:B,2,0),"-")</f>
        <v>12.79</v>
      </c>
      <c r="I354" s="183" t="str">
        <f>IFERROR(VLOOKUP(TablaPrincipal[[#This Row],[CODIGO]],Tabla8[[#Headers],[#Data]],3,0),"-")</f>
        <v>ASC-BAP</v>
      </c>
      <c r="J354" s="183">
        <f>IFERROR(TablaPrincipal[[#This Row],[FECHA]]-TablaPrincipal[[#This Row],[FECHA DE SIEMBRA]],"-")</f>
        <v>77</v>
      </c>
      <c r="K354" s="196">
        <f>VLOOKUP(TablaPrincipal[[#This Row],[CODIGO]]&amp;TablaPrincipal[[#This Row],[AGUAJE ]],Tabla4[#All],4,0)</f>
        <v>46070</v>
      </c>
      <c r="L354" s="183" t="str">
        <f>VLOOKUP(TablaPrincipal[[#This Row],[CODIGO]]&amp;TablaPrincipal[[#This Row],[AGUAJE ]],Tabla4[#All],15,0)</f>
        <v>RO PC 16</v>
      </c>
      <c r="M354" s="184">
        <f>VLOOKUP(TablaPrincipal[[#This Row],[CODIGO]]&amp;TablaPrincipal[[#This Row],[AGUAJE ]],Tabla4[#All],14,0)</f>
        <v>0.6</v>
      </c>
      <c r="N354" s="183">
        <v>8</v>
      </c>
      <c r="O354" s="170">
        <f>VLOOKUP(TablaPrincipal[[#This Row],[CODIGO]]&amp;TablaPrincipal[[#This Row],[AGUAJE ]],Tabla4[#All],5,0)</f>
        <v>2000000</v>
      </c>
      <c r="P354" s="221">
        <f>IFERROR(TablaPrincipal[[#This Row],[ANIM SEMBRADOS]]/TablaPrincipal[[#This Row],[HAS]],"-")</f>
        <v>156372.16575449571</v>
      </c>
      <c r="Q354" s="222">
        <f>IFERROR(TablaPrincipal[[#This Row],[DENSIDAD]]/10000,"-")</f>
        <v>15.637216575449571</v>
      </c>
      <c r="R354" s="183" t="str">
        <f>VLOOKUP(TablaPrincipal[[#This Row],[CODIGO]]&amp;TablaPrincipal[[#This Row],[AGUAJE ]],Tabla4[#All],8,0)</f>
        <v>AMBARTEK</v>
      </c>
      <c r="S354" s="183" t="str">
        <f>VLOOKUP(TablaPrincipal[[#This Row],[CODIGO]]&amp;TablaPrincipal[[#This Row],[AGUAJE ]],Tabla4[#All],7,0)</f>
        <v>PRONAUPLIO</v>
      </c>
      <c r="T354" s="183" t="str">
        <f>IF(ISNUMBER(FIND("/",TablaPrincipal[[#This Row],[LABORATORIO]])),"COMBINADO","UNICO")</f>
        <v>UNICO</v>
      </c>
      <c r="U3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22300</v>
      </c>
      <c r="V35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23619.56</v>
      </c>
      <c r="W35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35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23.66</v>
      </c>
      <c r="Y354" s="185">
        <f>IFERROR(TablaPrincipal[[#This Row],[LIBRAS RALEO PLANTA]]/TablaPrincipal[[#This Row],[HAS]],"-")</f>
        <v>1846.7208756841285</v>
      </c>
      <c r="Z35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451525.92900075024</v>
      </c>
      <c r="AA35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58600</v>
      </c>
      <c r="AB35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57651.01</v>
      </c>
      <c r="AC354" s="186">
        <f>SUMIFS(COSECHAS!F:F,COSECHAS!A:A,'BASE 2026'!AW:AW,COSECHAS!G:G,"="&amp;A:A)</f>
        <v>30</v>
      </c>
      <c r="AD354" s="186">
        <f>SUMIFS(COSECHAS!M:M,COSECHAS!A:A,'BASE 2026'!AW:AW,COSECHAS!G:G,"="&amp;A:A)</f>
        <v>32.54</v>
      </c>
      <c r="AE354" s="185">
        <f>IFERROR(TablaPrincipal[[#This Row],[LIBRAS PLANTA]]/TablaPrincipal[[#This Row],[HAS]],"-")</f>
        <v>4507.506645817045</v>
      </c>
      <c r="AF354" s="185">
        <f>IFERROR(TablaPrincipal[[#This Row],[LIBRAS PLANTA]]*454/TablaPrincipal[[#This Row],[GRAMOS PLANTA]],"-")</f>
        <v>804350.29317762749</v>
      </c>
      <c r="AG354" s="185">
        <f>TablaPrincipal[[#This Row],[LIBRAS RALEO PLANTA]]+TablaPrincipal[[#This Row],[LIBRAS PLANTA]]</f>
        <v>81270.570000000007</v>
      </c>
      <c r="AH354" s="185">
        <f>IFERROR(TablaPrincipal[[#This Row],[CAM COSECHADOS RALEO]]+TablaPrincipal[[#This Row],[CAM COSECHADOS]],"-")</f>
        <v>1255876.2221783777</v>
      </c>
      <c r="AI354" s="185">
        <f>IFERROR((TablaPrincipal[[#This Row],[LIBRAS RALEO PLANTA]]+TablaPrincipal[[#This Row],[LIBRAS PLANTA]])/TablaPrincipal[[#This Row],[HAS]],"0")</f>
        <v>6354.2275215011741</v>
      </c>
      <c r="AJ354" s="186">
        <f t="shared" si="7"/>
        <v>2.958181818181818</v>
      </c>
      <c r="AK354" s="186">
        <f>IFERROR(TablaPrincipal[[#This Row],[LBS/HA]]/TablaPrincipal[[#This Row],[DIAS]],"-")</f>
        <v>82.522435344171086</v>
      </c>
      <c r="AL354" s="186">
        <f>IFERROR(TablaPrincipal[[#This Row],[CAM COSECHADOS TOTALES]]/TablaPrincipal[[#This Row],[ANIM SEMBRADOS]]*100,"-")</f>
        <v>62.793811108918888</v>
      </c>
      <c r="AM354" s="185">
        <v>118056.33</v>
      </c>
      <c r="AN354" s="187">
        <f>IFERROR(((TablaPrincipal[[#This Row],[BALANCEADO ACUMULADO (LBS)]]/2.2046)/TablaPrincipal[[#This Row],[HAS]])/TablaPrincipal[[#This Row],[DIAS]],"-")</f>
        <v>54.374866728267826</v>
      </c>
      <c r="AO354" s="184">
        <f>IFERROR(TablaPrincipal[[#This Row],[BALANCEADO ACUMULADO (LBS)]]/TablaPrincipal[[#This Row],[LIBRAS TOTALES]],"-")</f>
        <v>1.4526332225798342</v>
      </c>
      <c r="AP354" s="184"/>
      <c r="AQ354" s="184"/>
      <c r="AR354" s="185">
        <f>TablaPrincipal[[#This Row],[LIBRAS RALEO PLANTA]]-TablaPrincipal[[#This Row],[LIBRAS RALEO CAMARONERA]]</f>
        <v>1319.5600000000013</v>
      </c>
      <c r="AS354" s="185">
        <f>TablaPrincipal[[#This Row],[LIBRAS PLANTA]]-TablaPrincipal[[#This Row],[LIBRAS CAMARONERA]]</f>
        <v>-948.98999999999796</v>
      </c>
      <c r="AT354" s="187">
        <f>TablaPrincipal[[#This Row],[GRAMAJE RALEO PLANTA]]-TablaPrincipal[[#This Row],[GRAMAJE RALEO CAMARONERA]]</f>
        <v>1.1600000000000001</v>
      </c>
      <c r="AU354" s="187">
        <f>TablaPrincipal[[#This Row],[GRAMOS PLANTA]]-TablaPrincipal[[#This Row],[GRAMAJE CAMARONERA]]</f>
        <v>2.5399999999999991</v>
      </c>
      <c r="AV354" s="183" t="str">
        <f>+VLOOKUP(TablaPrincipal[[#This Row],[CODIGO]],TablaCosechas[#All],10,0)</f>
        <v>VICTOR QUINTANA</v>
      </c>
      <c r="AW354" s="183" t="s">
        <v>199</v>
      </c>
      <c r="AX354" s="188" t="str">
        <f>+VLOOKUP(TablaPrincipal[[#This Row],[CODIGO]],TablaCosechas[#All],10,0)</f>
        <v>VICTOR QUINTANA</v>
      </c>
    </row>
    <row r="355" spans="1:50" x14ac:dyDescent="0.25">
      <c r="A355" s="196">
        <v>46147</v>
      </c>
      <c r="B355" s="242">
        <v>353</v>
      </c>
      <c r="C355" s="183">
        <f>YEAR(TablaPrincipal[[#This Row],[FECHA]])</f>
        <v>2026</v>
      </c>
      <c r="D355" s="183" t="s">
        <v>346</v>
      </c>
      <c r="E355" s="183" t="str">
        <f>UPPER(TEXT(TablaPrincipal[[#This Row],[FECHA]],"MMMM"))</f>
        <v>MAYO</v>
      </c>
      <c r="F355" s="183" t="str">
        <f>IFERROR(VLOOKUP(TablaPrincipal[[#This Row],[CODIGO]],COSECHAS!A:J,9,0),"-")</f>
        <v>4A</v>
      </c>
      <c r="G355" s="183" t="str">
        <f>IFERROR(VLOOKUP(TablaPrincipal[[#This Row],[CODIGO]],COSECHAS!A:I,8,0),"-")</f>
        <v>TUNA</v>
      </c>
      <c r="H355" s="184">
        <f>IFERROR(VLOOKUP(TablaPrincipal[[#This Row],[CODIGO]],DATOS!A:B,2,0),"-")</f>
        <v>6.17</v>
      </c>
      <c r="I355" s="183" t="str">
        <f>IFERROR(VLOOKUP(TablaPrincipal[[#This Row],[CODIGO]],Tabla8[[#Headers],[#Data]],3,0),"-")</f>
        <v>ASC-BAP</v>
      </c>
      <c r="J355" s="183">
        <f>IFERROR(TablaPrincipal[[#This Row],[FECHA]]-TablaPrincipal[[#This Row],[FECHA DE SIEMBRA]],"-")</f>
        <v>88</v>
      </c>
      <c r="K355" s="196">
        <f>VLOOKUP(TablaPrincipal[[#This Row],[CODIGO]]&amp;TablaPrincipal[[#This Row],[AGUAJE ]],Tabla4[#All],4,0)</f>
        <v>46059</v>
      </c>
      <c r="L355" s="183" t="str">
        <f>VLOOKUP(TablaPrincipal[[#This Row],[CODIGO]]&amp;TablaPrincipal[[#This Row],[AGUAJE ]],Tabla4[#All],15,0)</f>
        <v>MA 8</v>
      </c>
      <c r="M355" s="184">
        <f>VLOOKUP(TablaPrincipal[[#This Row],[CODIGO]]&amp;TablaPrincipal[[#This Row],[AGUAJE ]],Tabla4[#All],14,0)</f>
        <v>0.35</v>
      </c>
      <c r="N355" s="183">
        <v>8</v>
      </c>
      <c r="O355" s="170">
        <f>VLOOKUP(TablaPrincipal[[#This Row],[CODIGO]]&amp;TablaPrincipal[[#This Row],[AGUAJE ]],Tabla4[#All],5,0)</f>
        <v>1178571</v>
      </c>
      <c r="P355" s="221">
        <f>IFERROR(TablaPrincipal[[#This Row],[ANIM SEMBRADOS]]/TablaPrincipal[[#This Row],[HAS]],"-")</f>
        <v>191016.36952998379</v>
      </c>
      <c r="Q355" s="222">
        <f>IFERROR(TablaPrincipal[[#This Row],[DENSIDAD]]/10000,"-")</f>
        <v>19.10163695299838</v>
      </c>
      <c r="R355" s="183" t="str">
        <f>VLOOKUP(TablaPrincipal[[#This Row],[CODIGO]]&amp;TablaPrincipal[[#This Row],[AGUAJE ]],Tabla4[#All],8,0)</f>
        <v>NARIHUALA</v>
      </c>
      <c r="S355" s="183" t="str">
        <f>VLOOKUP(TablaPrincipal[[#This Row],[CODIGO]]&amp;TablaPrincipal[[#This Row],[AGUAJE ]],Tabla4[#All],7,0)</f>
        <v>TEXCUMAR</v>
      </c>
      <c r="T355" s="183" t="str">
        <f>IF(ISNUMBER(FIND("/",TablaPrincipal[[#This Row],[LABORATORIO]])),"COMBINADO","UNICO")</f>
        <v>UNICO</v>
      </c>
      <c r="U3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34900</v>
      </c>
      <c r="V35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36077.379999999997</v>
      </c>
      <c r="W35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35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24.130000000000003</v>
      </c>
      <c r="Y355" s="185">
        <f>IFERROR(TablaPrincipal[[#This Row],[LIBRAS RALEO PLANTA]]/TablaPrincipal[[#This Row],[HAS]],"-")</f>
        <v>5847.2252836304697</v>
      </c>
      <c r="Z35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686099.61023325648</v>
      </c>
      <c r="AA35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16300</v>
      </c>
      <c r="AB35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17638.95</v>
      </c>
      <c r="AC355" s="186">
        <f>SUMIFS(COSECHAS!F:F,COSECHAS!A:A,'BASE 2026'!AW:AW,COSECHAS!G:G,"="&amp;A:A)</f>
        <v>33</v>
      </c>
      <c r="AD355" s="186">
        <f>SUMIFS(COSECHAS!M:M,COSECHAS!A:A,'BASE 2026'!AW:AW,COSECHAS!G:G,"="&amp;A:A)</f>
        <v>33.89</v>
      </c>
      <c r="AE355" s="185">
        <f>IFERROR(TablaPrincipal[[#This Row],[LIBRAS PLANTA]]/TablaPrincipal[[#This Row],[HAS]],"-")</f>
        <v>2858.8249594813615</v>
      </c>
      <c r="AF355" s="185">
        <f>IFERROR(TablaPrincipal[[#This Row],[LIBRAS PLANTA]]*454/TablaPrincipal[[#This Row],[GRAMOS PLANTA]],"-")</f>
        <v>236296.34995573916</v>
      </c>
      <c r="AG355" s="185">
        <f>TablaPrincipal[[#This Row],[LIBRAS RALEO PLANTA]]+TablaPrincipal[[#This Row],[LIBRAS PLANTA]]</f>
        <v>53716.33</v>
      </c>
      <c r="AH355" s="185">
        <f>IFERROR(TablaPrincipal[[#This Row],[CAM COSECHADOS RALEO]]+TablaPrincipal[[#This Row],[CAM COSECHADOS]],"-")</f>
        <v>922395.96018899558</v>
      </c>
      <c r="AI355" s="185">
        <f>IFERROR((TablaPrincipal[[#This Row],[LIBRAS RALEO PLANTA]]+TablaPrincipal[[#This Row],[LIBRAS PLANTA]])/TablaPrincipal[[#This Row],[HAS]],"0")</f>
        <v>8706.0502431118312</v>
      </c>
      <c r="AJ355" s="186">
        <f t="shared" si="7"/>
        <v>2.6957954545454546</v>
      </c>
      <c r="AK355" s="186">
        <f>IFERROR(TablaPrincipal[[#This Row],[LBS/HA]]/TablaPrincipal[[#This Row],[DIAS]],"-")</f>
        <v>98.932389126270806</v>
      </c>
      <c r="AL355" s="186">
        <f>IFERROR(TablaPrincipal[[#This Row],[CAM COSECHADOS TOTALES]]/TablaPrincipal[[#This Row],[ANIM SEMBRADOS]]*100,"-")</f>
        <v>78.26392811200985</v>
      </c>
      <c r="AM355" s="185">
        <v>69059.09</v>
      </c>
      <c r="AN355" s="187">
        <f>IFERROR(((TablaPrincipal[[#This Row],[BALANCEADO ACUMULADO (LBS)]]/2.2046)/TablaPrincipal[[#This Row],[HAS]])/TablaPrincipal[[#This Row],[DIAS]],"-")</f>
        <v>57.693011883039041</v>
      </c>
      <c r="AO355" s="184">
        <f>IFERROR(TablaPrincipal[[#This Row],[BALANCEADO ACUMULADO (LBS)]]/TablaPrincipal[[#This Row],[LIBRAS TOTALES]],"-")</f>
        <v>1.2856256188760475</v>
      </c>
      <c r="AP355" s="184"/>
      <c r="AQ355" s="184"/>
      <c r="AR355" s="185">
        <f>TablaPrincipal[[#This Row],[LIBRAS RALEO PLANTA]]-TablaPrincipal[[#This Row],[LIBRAS RALEO CAMARONERA]]</f>
        <v>1177.3799999999974</v>
      </c>
      <c r="AS355" s="185">
        <f>TablaPrincipal[[#This Row],[LIBRAS PLANTA]]-TablaPrincipal[[#This Row],[LIBRAS CAMARONERA]]</f>
        <v>1338.9500000000007</v>
      </c>
      <c r="AT355" s="187">
        <f>TablaPrincipal[[#This Row],[GRAMAJE RALEO PLANTA]]-TablaPrincipal[[#This Row],[GRAMAJE RALEO CAMARONERA]]</f>
        <v>2.1300000000000026</v>
      </c>
      <c r="AU355" s="187">
        <f>TablaPrincipal[[#This Row],[GRAMOS PLANTA]]-TablaPrincipal[[#This Row],[GRAMAJE CAMARONERA]]</f>
        <v>0.89000000000000057</v>
      </c>
      <c r="AV355" s="183" t="str">
        <f>+VLOOKUP(TablaPrincipal[[#This Row],[CODIGO]],TablaCosechas[#All],10,0)</f>
        <v>GUSTAVO CARRASCO</v>
      </c>
      <c r="AW355" s="183" t="s">
        <v>185</v>
      </c>
      <c r="AX355" s="188" t="str">
        <f>+VLOOKUP(TablaPrincipal[[#This Row],[CODIGO]],TablaCosechas[#All],10,0)</f>
        <v>GUSTAVO CARRASCO</v>
      </c>
    </row>
    <row r="356" spans="1:50" x14ac:dyDescent="0.25">
      <c r="A356" s="196">
        <v>46147</v>
      </c>
      <c r="B356" s="242">
        <v>354</v>
      </c>
      <c r="C356" s="183">
        <f>YEAR(TablaPrincipal[[#This Row],[FECHA]])</f>
        <v>2026</v>
      </c>
      <c r="D356" s="183" t="s">
        <v>346</v>
      </c>
      <c r="E356" s="183" t="str">
        <f>UPPER(TEXT(TablaPrincipal[[#This Row],[FECHA]],"MMMM"))</f>
        <v>MAYO</v>
      </c>
      <c r="F356" s="183" t="str">
        <f>IFERROR(VLOOKUP(TablaPrincipal[[#This Row],[CODIGO]],COSECHAS!A:J,9,0),"-")</f>
        <v>03</v>
      </c>
      <c r="G356" s="183" t="str">
        <f>IFERROR(VLOOKUP(TablaPrincipal[[#This Row],[CODIGO]],COSECHAS!A:I,8,0),"-")</f>
        <v>DELFIN</v>
      </c>
      <c r="H356" s="184">
        <f>IFERROR(VLOOKUP(TablaPrincipal[[#This Row],[CODIGO]],DATOS!A:B,2,0),"-")</f>
        <v>5.7</v>
      </c>
      <c r="I356" s="183" t="str">
        <f>IFERROR(VLOOKUP(TablaPrincipal[[#This Row],[CODIGO]],Tabla8[[#Headers],[#Data]],3,0),"-")</f>
        <v>CONVENCIONAL</v>
      </c>
      <c r="J356" s="183">
        <f>IFERROR(TablaPrincipal[[#This Row],[FECHA]]-TablaPrincipal[[#This Row],[FECHA DE SIEMBRA]],"-")</f>
        <v>84</v>
      </c>
      <c r="K356" s="196">
        <f>VLOOKUP(TablaPrincipal[[#This Row],[CODIGO]]&amp;TablaPrincipal[[#This Row],[AGUAJE ]],Tabla4[#All],4,0)</f>
        <v>46063</v>
      </c>
      <c r="L356" s="183" t="str">
        <f>VLOOKUP(TablaPrincipal[[#This Row],[CODIGO]]&amp;TablaPrincipal[[#This Row],[AGUAJE ]],Tabla4[#All],15,0)</f>
        <v>DE 2</v>
      </c>
      <c r="M356" s="184">
        <f>VLOOKUP(TablaPrincipal[[#This Row],[CODIGO]]&amp;TablaPrincipal[[#This Row],[AGUAJE ]],Tabla4[#All],14,0)</f>
        <v>0.55000000000000004</v>
      </c>
      <c r="N356" s="183">
        <v>9</v>
      </c>
      <c r="O356" s="170">
        <f>VLOOKUP(TablaPrincipal[[#This Row],[CODIGO]]&amp;TablaPrincipal[[#This Row],[AGUAJE ]],Tabla4[#All],5,0)</f>
        <v>798000</v>
      </c>
      <c r="P356" s="221">
        <f>IFERROR(TablaPrincipal[[#This Row],[ANIM SEMBRADOS]]/TablaPrincipal[[#This Row],[HAS]],"-")</f>
        <v>140000</v>
      </c>
      <c r="Q356" s="222">
        <f>IFERROR(TablaPrincipal[[#This Row],[DENSIDAD]]/10000,"-")</f>
        <v>14</v>
      </c>
      <c r="R356" s="183" t="str">
        <f>VLOOKUP(TablaPrincipal[[#This Row],[CODIGO]]&amp;TablaPrincipal[[#This Row],[AGUAJE ]],Tabla4[#All],8,0)</f>
        <v>NARIHUALA</v>
      </c>
      <c r="S356" s="183" t="str">
        <f>VLOOKUP(TablaPrincipal[[#This Row],[CODIGO]]&amp;TablaPrincipal[[#This Row],[AGUAJE ]],Tabla4[#All],7,0)</f>
        <v>TEXCUMAR</v>
      </c>
      <c r="T356" s="183" t="str">
        <f>IF(ISNUMBER(FIND("/",TablaPrincipal[[#This Row],[LABORATORIO]])),"COMBINADO","UNICO")</f>
        <v>UNICO</v>
      </c>
      <c r="U3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12500</v>
      </c>
      <c r="V35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12626.86</v>
      </c>
      <c r="W35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19.234999999999999</v>
      </c>
      <c r="Y356" s="185">
        <f>IFERROR(TablaPrincipal[[#This Row],[LIBRAS RALEO PLANTA]]/TablaPrincipal[[#This Row],[HAS]],"-")</f>
        <v>2215.2385964912282</v>
      </c>
      <c r="Z35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298993.86026563367</v>
      </c>
      <c r="AA35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13300</v>
      </c>
      <c r="AB35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14806.6</v>
      </c>
      <c r="AC356" s="186">
        <f>SUMIFS(COSECHAS!F:F,COSECHAS!A:A,'BASE 2026'!AW:AW,COSECHAS!G:G,"="&amp;A:A)</f>
        <v>33</v>
      </c>
      <c r="AD356" s="186">
        <f>SUMIFS(COSECHAS!M:M,COSECHAS!A:A,'BASE 2026'!AW:AW,COSECHAS!G:G,"="&amp;A:A)</f>
        <v>34.520000000000003</v>
      </c>
      <c r="AE356" s="185">
        <f>IFERROR(TablaPrincipal[[#This Row],[LIBRAS PLANTA]]/TablaPrincipal[[#This Row],[HAS]],"-")</f>
        <v>2597.6491228070176</v>
      </c>
      <c r="AF356" s="185">
        <f>IFERROR(TablaPrincipal[[#This Row],[LIBRAS PLANTA]]*454/TablaPrincipal[[#This Row],[GRAMOS PLANTA]],"-")</f>
        <v>194733.38354577057</v>
      </c>
      <c r="AG356" s="185">
        <f>TablaPrincipal[[#This Row],[LIBRAS RALEO PLANTA]]+TablaPrincipal[[#This Row],[LIBRAS PLANTA]]</f>
        <v>27433.46</v>
      </c>
      <c r="AH356" s="185">
        <f>IFERROR(TablaPrincipal[[#This Row],[CAM COSECHADOS RALEO]]+TablaPrincipal[[#This Row],[CAM COSECHADOS]],"-")</f>
        <v>493727.24381140422</v>
      </c>
      <c r="AI356" s="185">
        <f>IFERROR((TablaPrincipal[[#This Row],[LIBRAS RALEO PLANTA]]+TablaPrincipal[[#This Row],[LIBRAS PLANTA]])/TablaPrincipal[[#This Row],[HAS]],"0")</f>
        <v>4812.8877192982454</v>
      </c>
      <c r="AJ356" s="186">
        <f t="shared" si="7"/>
        <v>2.8766666666666669</v>
      </c>
      <c r="AK356" s="186">
        <f>IFERROR(TablaPrincipal[[#This Row],[LBS/HA]]/TablaPrincipal[[#This Row],[DIAS]],"-")</f>
        <v>57.296282372598156</v>
      </c>
      <c r="AL356" s="186">
        <f>IFERROR(TablaPrincipal[[#This Row],[CAM COSECHADOS TOTALES]]/TablaPrincipal[[#This Row],[ANIM SEMBRADOS]]*100,"-")</f>
        <v>61.870581931253668</v>
      </c>
      <c r="AM356" s="185">
        <v>59910.01</v>
      </c>
      <c r="AN356" s="187">
        <f>IFERROR(((TablaPrincipal[[#This Row],[BALANCEADO ACUMULADO (LBS)]]/2.2046)/TablaPrincipal[[#This Row],[HAS]])/TablaPrincipal[[#This Row],[DIAS]],"-")</f>
        <v>56.756479256443441</v>
      </c>
      <c r="AO356" s="184">
        <f>IFERROR(TablaPrincipal[[#This Row],[BALANCEADO ACUMULADO (LBS)]]/TablaPrincipal[[#This Row],[LIBRAS TOTALES]],"-")</f>
        <v>2.183829892401469</v>
      </c>
      <c r="AP356" s="184"/>
      <c r="AQ356" s="184"/>
      <c r="AR356" s="185">
        <f>TablaPrincipal[[#This Row],[LIBRAS RALEO PLANTA]]-TablaPrincipal[[#This Row],[LIBRAS RALEO CAMARONERA]]</f>
        <v>126.86000000000058</v>
      </c>
      <c r="AS356" s="185">
        <f>TablaPrincipal[[#This Row],[LIBRAS PLANTA]]-TablaPrincipal[[#This Row],[LIBRAS CAMARONERA]]</f>
        <v>1506.6000000000004</v>
      </c>
      <c r="AT356" s="187">
        <f>TablaPrincipal[[#This Row],[GRAMAJE RALEO PLANTA]]-TablaPrincipal[[#This Row],[GRAMAJE RALEO CAMARONERA]]</f>
        <v>-0.76500000000000057</v>
      </c>
      <c r="AU356" s="187">
        <f>TablaPrincipal[[#This Row],[GRAMOS PLANTA]]-TablaPrincipal[[#This Row],[GRAMAJE CAMARONERA]]</f>
        <v>1.5200000000000031</v>
      </c>
      <c r="AV356" s="183" t="str">
        <f>+VLOOKUP(TablaPrincipal[[#This Row],[CODIGO]],TablaCosechas[#All],10,0)</f>
        <v>CARLOS FLORES</v>
      </c>
      <c r="AW356" s="183" t="s">
        <v>196</v>
      </c>
      <c r="AX356" s="188" t="str">
        <f>+VLOOKUP(TablaPrincipal[[#This Row],[CODIGO]],TablaCosechas[#All],10,0)</f>
        <v>CARLOS FLORES</v>
      </c>
    </row>
    <row r="357" spans="1:50" x14ac:dyDescent="0.25">
      <c r="A357" s="196">
        <v>46148</v>
      </c>
      <c r="B357" s="242">
        <v>355</v>
      </c>
      <c r="C357" s="183">
        <f>YEAR(TablaPrincipal[[#This Row],[FECHA]])</f>
        <v>2026</v>
      </c>
      <c r="D357" s="183" t="s">
        <v>346</v>
      </c>
      <c r="E357" s="183" t="str">
        <f>UPPER(TEXT(TablaPrincipal[[#This Row],[FECHA]],"MMMM"))</f>
        <v>MAYO</v>
      </c>
      <c r="F357" s="183" t="str">
        <f>IFERROR(VLOOKUP(TablaPrincipal[[#This Row],[CODIGO]],COSECHAS!A:J,9,0),"-")</f>
        <v>13</v>
      </c>
      <c r="G357" s="183" t="str">
        <f>IFERROR(VLOOKUP(TablaPrincipal[[#This Row],[CODIGO]],COSECHAS!A:I,8,0),"-")</f>
        <v>DORADO</v>
      </c>
      <c r="H357" s="184">
        <f>IFERROR(VLOOKUP(TablaPrincipal[[#This Row],[CODIGO]],DATOS!A:B,2,0),"-")</f>
        <v>5.7</v>
      </c>
      <c r="I357" s="183" t="str">
        <f>IFERROR(VLOOKUP(TablaPrincipal[[#This Row],[CODIGO]],Tabla8[[#Headers],[#Data]],3,0),"-")</f>
        <v>ASC-BAP</v>
      </c>
      <c r="J357" s="183">
        <f>IFERROR(TablaPrincipal[[#This Row],[FECHA]]-TablaPrincipal[[#This Row],[FECHA DE SIEMBRA]],"-")</f>
        <v>72</v>
      </c>
      <c r="K357" s="196">
        <f>VLOOKUP(TablaPrincipal[[#This Row],[CODIGO]]&amp;TablaPrincipal[[#This Row],[AGUAJE ]],Tabla4[#All],4,0)</f>
        <v>46076</v>
      </c>
      <c r="L357" s="183" t="str">
        <f>VLOOKUP(TablaPrincipal[[#This Row],[CODIGO]]&amp;TablaPrincipal[[#This Row],[AGUAJE ]],Tabla4[#All],15,0)</f>
        <v>DO PS 15</v>
      </c>
      <c r="M357" s="184">
        <f>VLOOKUP(TablaPrincipal[[#This Row],[CODIGO]]&amp;TablaPrincipal[[#This Row],[AGUAJE ]],Tabla4[#All],14,0)</f>
        <v>1</v>
      </c>
      <c r="N357" s="183">
        <v>11</v>
      </c>
      <c r="O357" s="170">
        <f>VLOOKUP(TablaPrincipal[[#This Row],[CODIGO]]&amp;TablaPrincipal[[#This Row],[AGUAJE ]],Tabla4[#All],5,0)</f>
        <v>1026000</v>
      </c>
      <c r="P357" s="221">
        <f>IFERROR(TablaPrincipal[[#This Row],[ANIM SEMBRADOS]]/TablaPrincipal[[#This Row],[HAS]],"-")</f>
        <v>180000</v>
      </c>
      <c r="Q357" s="222">
        <f>IFERROR(TablaPrincipal[[#This Row],[DENSIDAD]]/10000,"-")</f>
        <v>18</v>
      </c>
      <c r="R357" s="183" t="str">
        <f>VLOOKUP(TablaPrincipal[[#This Row],[CODIGO]]&amp;TablaPrincipal[[#This Row],[AGUAJE ]],Tabla4[#All],8,0)</f>
        <v>GENESIS</v>
      </c>
      <c r="S357" s="183" t="str">
        <f>VLOOKUP(TablaPrincipal[[#This Row],[CODIGO]]&amp;TablaPrincipal[[#This Row],[AGUAJE ]],Tabla4[#All],7,0)</f>
        <v>TEXCUMAR</v>
      </c>
      <c r="T357" s="183" t="str">
        <f>IF(ISNUMBER(FIND("/",TablaPrincipal[[#This Row],[LABORATORIO]])),"COMBINADO","UNICO")</f>
        <v>UNICO</v>
      </c>
      <c r="U3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7000</v>
      </c>
      <c r="V35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6762.71</v>
      </c>
      <c r="W35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357" s="185">
        <f>IFERROR(TablaPrincipal[[#This Row],[LIBRAS RALEO PLANTA]]/TablaPrincipal[[#This Row],[HAS]],"-")</f>
        <v>1186.4403508771929</v>
      </c>
      <c r="Z35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128141.49999999999</v>
      </c>
      <c r="AA35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38000</v>
      </c>
      <c r="AB35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39893.089999999997</v>
      </c>
      <c r="AC357" s="186">
        <f>SUMIFS(COSECHAS!F:F,COSECHAS!A:A,'BASE 2026'!AW:AW,COSECHAS!G:G,"="&amp;A:A)</f>
        <v>33</v>
      </c>
      <c r="AD357" s="186">
        <f>SUMIFS(COSECHAS!M:M,COSECHAS!A:A,'BASE 2026'!AW:AW,COSECHAS!G:G,"="&amp;A:A)</f>
        <v>33.869999999999997</v>
      </c>
      <c r="AE357" s="185">
        <f>IFERROR(TablaPrincipal[[#This Row],[LIBRAS PLANTA]]/TablaPrincipal[[#This Row],[HAS]],"-")</f>
        <v>6998.7877192982451</v>
      </c>
      <c r="AF357" s="185">
        <f>IFERROR(TablaPrincipal[[#This Row],[LIBRAS PLANTA]]*454/TablaPrincipal[[#This Row],[GRAMOS PLANTA]],"-")</f>
        <v>534734.65780927078</v>
      </c>
      <c r="AG357" s="185">
        <f>TablaPrincipal[[#This Row],[LIBRAS RALEO PLANTA]]+TablaPrincipal[[#This Row],[LIBRAS PLANTA]]</f>
        <v>46655.799999999996</v>
      </c>
      <c r="AH357" s="185">
        <f>IFERROR(TablaPrincipal[[#This Row],[CAM COSECHADOS RALEO]]+TablaPrincipal[[#This Row],[CAM COSECHADOS]],"-")</f>
        <v>662876.15780927078</v>
      </c>
      <c r="AI357" s="185">
        <f>IFERROR((TablaPrincipal[[#This Row],[LIBRAS RALEO PLANTA]]+TablaPrincipal[[#This Row],[LIBRAS PLANTA]])/TablaPrincipal[[#This Row],[HAS]],"0")</f>
        <v>8185.228070175438</v>
      </c>
      <c r="AJ357" s="186">
        <f>IFERROR(AD357/(J357/7),"-")</f>
        <v>3.2929166666666663</v>
      </c>
      <c r="AK357" s="186">
        <f>IFERROR(TablaPrincipal[[#This Row],[LBS/HA]]/TablaPrincipal[[#This Row],[DIAS]],"-")</f>
        <v>113.68372319688109</v>
      </c>
      <c r="AL357" s="186">
        <f>IFERROR(TablaPrincipal[[#This Row],[CAM COSECHADOS TOTALES]]/TablaPrincipal[[#This Row],[ANIM SEMBRADOS]]*100,"-")</f>
        <v>64.607812651975706</v>
      </c>
      <c r="AM357" s="185">
        <v>71153.464999999997</v>
      </c>
      <c r="AN357" s="187">
        <f>IFERROR(((TablaPrincipal[[#This Row],[BALANCEADO ACUMULADO (LBS)]]/2.2046)/TablaPrincipal[[#This Row],[HAS]])/TablaPrincipal[[#This Row],[DIAS]],"-")</f>
        <v>78.642787524366469</v>
      </c>
      <c r="AO357" s="184">
        <f>IFERROR(TablaPrincipal[[#This Row],[BALANCEADO ACUMULADO (LBS)]]/TablaPrincipal[[#This Row],[LIBRAS TOTALES]],"-")</f>
        <v>1.5250722311052431</v>
      </c>
      <c r="AP357" s="184"/>
      <c r="AQ357" s="184"/>
      <c r="AR357" s="185">
        <f>TablaPrincipal[[#This Row],[LIBRAS RALEO PLANTA]]-TablaPrincipal[[#This Row],[LIBRAS RALEO CAMARONERA]]</f>
        <v>-237.28999999999996</v>
      </c>
      <c r="AS357" s="185">
        <f>TablaPrincipal[[#This Row],[LIBRAS PLANTA]]-TablaPrincipal[[#This Row],[LIBRAS CAMARONERA]]</f>
        <v>1893.0899999999965</v>
      </c>
      <c r="AT357" s="187">
        <f>TablaPrincipal[[#This Row],[GRAMAJE RALEO PLANTA]]-TablaPrincipal[[#This Row],[GRAMAJE RALEO CAMARONERA]]</f>
        <v>3.9600000000000009</v>
      </c>
      <c r="AU357" s="187">
        <f>TablaPrincipal[[#This Row],[GRAMOS PLANTA]]-TablaPrincipal[[#This Row],[GRAMAJE CAMARONERA]]</f>
        <v>0.86999999999999744</v>
      </c>
      <c r="AV357" s="183" t="str">
        <f>+VLOOKUP(TablaPrincipal[[#This Row],[CODIGO]],TablaCosechas[#All],10,0)</f>
        <v>JOSE CEDEÑO</v>
      </c>
      <c r="AW357" s="183" t="s">
        <v>220</v>
      </c>
      <c r="AX357" s="241" t="str">
        <f>+VLOOKUP(TablaPrincipal[[#This Row],[CODIGO]],TablaCosechas[#All],10,0)</f>
        <v>JOSE CEDEÑO</v>
      </c>
    </row>
    <row r="358" spans="1:50" x14ac:dyDescent="0.25">
      <c r="A358" s="196">
        <v>46148</v>
      </c>
      <c r="B358" s="242">
        <v>356</v>
      </c>
      <c r="C358" s="183">
        <f>YEAR(TablaPrincipal[[#This Row],[FECHA]])</f>
        <v>2026</v>
      </c>
      <c r="D358" s="183" t="s">
        <v>346</v>
      </c>
      <c r="E358" s="183" t="str">
        <f>UPPER(TEXT(TablaPrincipal[[#This Row],[FECHA]],"MMMM"))</f>
        <v>MAYO</v>
      </c>
      <c r="F358" s="183" t="str">
        <f>IFERROR(VLOOKUP(TablaPrincipal[[#This Row],[CODIGO]],COSECHAS!A:J,9,0),"-")</f>
        <v>14</v>
      </c>
      <c r="G358" s="183" t="str">
        <f>IFERROR(VLOOKUP(TablaPrincipal[[#This Row],[CODIGO]],COSECHAS!A:I,8,0),"-")</f>
        <v>DORADO</v>
      </c>
      <c r="H358" s="184">
        <f>IFERROR(VLOOKUP(TablaPrincipal[[#This Row],[CODIGO]],DATOS!A:B,2,0),"-")</f>
        <v>8.61</v>
      </c>
      <c r="I358" s="183" t="str">
        <f>IFERROR(VLOOKUP(TablaPrincipal[[#This Row],[CODIGO]],Tabla8[[#Headers],[#Data]],3,0),"-")</f>
        <v>ASC-BAP</v>
      </c>
      <c r="J358" s="183">
        <f>IFERROR(TablaPrincipal[[#This Row],[FECHA]]-TablaPrincipal[[#This Row],[FECHA DE SIEMBRA]],"-")</f>
        <v>70</v>
      </c>
      <c r="K358" s="196">
        <f>VLOOKUP(TablaPrincipal[[#This Row],[CODIGO]]&amp;TablaPrincipal[[#This Row],[AGUAJE ]],Tabla4[#All],4,0)</f>
        <v>46078</v>
      </c>
      <c r="L358" s="183" t="str">
        <f>VLOOKUP(TablaPrincipal[[#This Row],[CODIGO]]&amp;TablaPrincipal[[#This Row],[AGUAJE ]],Tabla4[#All],15,0)</f>
        <v>DO PS 15</v>
      </c>
      <c r="M358" s="184">
        <f>VLOOKUP(TablaPrincipal[[#This Row],[CODIGO]]&amp;TablaPrincipal[[#This Row],[AGUAJE ]],Tabla4[#All],14,0)</f>
        <v>1.03</v>
      </c>
      <c r="N358" s="183">
        <v>2</v>
      </c>
      <c r="O358" s="170">
        <f>VLOOKUP(TablaPrincipal[[#This Row],[CODIGO]]&amp;TablaPrincipal[[#This Row],[AGUAJE ]],Tabla4[#All],5,0)</f>
        <v>1549800</v>
      </c>
      <c r="P358" s="221">
        <f>IFERROR(TablaPrincipal[[#This Row],[ANIM SEMBRADOS]]/TablaPrincipal[[#This Row],[HAS]],"-")</f>
        <v>180000</v>
      </c>
      <c r="Q358" s="222">
        <f>IFERROR(TablaPrincipal[[#This Row],[DENSIDAD]]/10000,"-")</f>
        <v>18</v>
      </c>
      <c r="R358" s="183" t="str">
        <f>VLOOKUP(TablaPrincipal[[#This Row],[CODIGO]]&amp;TablaPrincipal[[#This Row],[AGUAJE ]],Tabla4[#All],8,0)</f>
        <v>GENESIS</v>
      </c>
      <c r="S358" s="183" t="str">
        <f>VLOOKUP(TablaPrincipal[[#This Row],[CODIGO]]&amp;TablaPrincipal[[#This Row],[AGUAJE ]],Tabla4[#All],7,0)</f>
        <v>TEXCUMAR</v>
      </c>
      <c r="T358" s="183" t="str">
        <f>IF(ISNUMBER(FIND("/",TablaPrincipal[[#This Row],[LABORATORIO]])),"COMBINADO","UNICO")</f>
        <v>UNICO</v>
      </c>
      <c r="U3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12000</v>
      </c>
      <c r="V35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11439.39</v>
      </c>
      <c r="W35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5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21.72</v>
      </c>
      <c r="Y358" s="185">
        <f>IFERROR(TablaPrincipal[[#This Row],[LIBRAS RALEO PLANTA]]/TablaPrincipal[[#This Row],[HAS]],"-")</f>
        <v>1328.6167247386759</v>
      </c>
      <c r="Z35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239110.63812154694</v>
      </c>
      <c r="AA35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21000</v>
      </c>
      <c r="AB35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22990.06</v>
      </c>
      <c r="AC358" s="186">
        <f>SUMIFS(COSECHAS!F:F,COSECHAS!A:A,'BASE 2026'!AW:AW,COSECHAS!G:G,"="&amp;A:A)</f>
        <v>34</v>
      </c>
      <c r="AD358" s="186">
        <f>SUMIFS(COSECHAS!M:M,COSECHAS!A:A,'BASE 2026'!AW:AW,COSECHAS!G:G,"="&amp;A:A)</f>
        <v>39.6</v>
      </c>
      <c r="AE358" s="185">
        <f>IFERROR(TablaPrincipal[[#This Row],[LIBRAS PLANTA]]/TablaPrincipal[[#This Row],[HAS]],"-")</f>
        <v>2670.1579558652734</v>
      </c>
      <c r="AF358" s="185">
        <f>IFERROR(TablaPrincipal[[#This Row],[LIBRAS PLANTA]]*454/TablaPrincipal[[#This Row],[GRAMOS PLANTA]],"-")</f>
        <v>263572.91010101011</v>
      </c>
      <c r="AG358" s="185">
        <f>TablaPrincipal[[#This Row],[LIBRAS RALEO PLANTA]]+TablaPrincipal[[#This Row],[LIBRAS PLANTA]]</f>
        <v>34429.449999999997</v>
      </c>
      <c r="AH358" s="185">
        <f>IFERROR(TablaPrincipal[[#This Row],[CAM COSECHADOS RALEO]]+TablaPrincipal[[#This Row],[CAM COSECHADOS]],"-")</f>
        <v>502683.54822255706</v>
      </c>
      <c r="AI358" s="185">
        <f>IFERROR((TablaPrincipal[[#This Row],[LIBRAS RALEO PLANTA]]+TablaPrincipal[[#This Row],[LIBRAS PLANTA]])/TablaPrincipal[[#This Row],[HAS]],"0")</f>
        <v>3998.774680603949</v>
      </c>
      <c r="AJ358" s="186">
        <f t="shared" ref="AJ358:AJ366" si="8">IFERROR(AD358/(J358/7),"-")</f>
        <v>3.96</v>
      </c>
      <c r="AK358" s="186">
        <f>IFERROR(TablaPrincipal[[#This Row],[LBS/HA]]/TablaPrincipal[[#This Row],[DIAS]],"-")</f>
        <v>57.125352580056415</v>
      </c>
      <c r="AL358" s="186">
        <f>IFERROR(TablaPrincipal[[#This Row],[CAM COSECHADOS TOTALES]]/TablaPrincipal[[#This Row],[ANIM SEMBRADOS]]*100,"-")</f>
        <v>32.435381870083688</v>
      </c>
      <c r="AM358" s="185">
        <v>56492.87</v>
      </c>
      <c r="AN358" s="187">
        <f>IFERROR(((TablaPrincipal[[#This Row],[BALANCEADO ACUMULADO (LBS)]]/2.2046)/TablaPrincipal[[#This Row],[HAS]])/TablaPrincipal[[#This Row],[DIAS]],"-")</f>
        <v>42.517003039679572</v>
      </c>
      <c r="AO358" s="184">
        <f>IFERROR(TablaPrincipal[[#This Row],[BALANCEADO ACUMULADO (LBS)]]/TablaPrincipal[[#This Row],[LIBRAS TOTALES]],"-")</f>
        <v>1.6408298709389784</v>
      </c>
      <c r="AP358" s="184"/>
      <c r="AQ358" s="184"/>
      <c r="AR358" s="185">
        <f>TablaPrincipal[[#This Row],[LIBRAS RALEO PLANTA]]-TablaPrincipal[[#This Row],[LIBRAS RALEO CAMARONERA]]</f>
        <v>-560.61000000000058</v>
      </c>
      <c r="AS358" s="185">
        <f>TablaPrincipal[[#This Row],[LIBRAS PLANTA]]-TablaPrincipal[[#This Row],[LIBRAS CAMARONERA]]</f>
        <v>1990.0600000000013</v>
      </c>
      <c r="AT358" s="187">
        <f>TablaPrincipal[[#This Row],[GRAMAJE RALEO PLANTA]]-TablaPrincipal[[#This Row],[GRAMAJE RALEO CAMARONERA]]</f>
        <v>1.7199999999999989</v>
      </c>
      <c r="AU358" s="187">
        <f>TablaPrincipal[[#This Row],[GRAMOS PLANTA]]-TablaPrincipal[[#This Row],[GRAMAJE CAMARONERA]]</f>
        <v>5.6000000000000014</v>
      </c>
      <c r="AV358" s="183" t="str">
        <f>+VLOOKUP(TablaPrincipal[[#This Row],[CODIGO]],TablaCosechas[#All],10,0)</f>
        <v>JOSE CEDEÑO</v>
      </c>
      <c r="AW358" s="183" t="s">
        <v>249</v>
      </c>
      <c r="AX358" s="188" t="str">
        <f>+VLOOKUP(TablaPrincipal[[#This Row],[CODIGO]],TablaCosechas[#All],10,0)</f>
        <v>JOSE CEDEÑO</v>
      </c>
    </row>
    <row r="359" spans="1:50" x14ac:dyDescent="0.25">
      <c r="A359" s="196">
        <v>46148</v>
      </c>
      <c r="B359" s="242">
        <v>357</v>
      </c>
      <c r="C359" s="183">
        <f>YEAR(TablaPrincipal[[#This Row],[FECHA]])</f>
        <v>2026</v>
      </c>
      <c r="D359" s="183" t="s">
        <v>346</v>
      </c>
      <c r="E359" s="183" t="str">
        <f>UPPER(TEXT(TablaPrincipal[[#This Row],[FECHA]],"MMMM"))</f>
        <v>MAYO</v>
      </c>
      <c r="F359" s="183" t="str">
        <f>IFERROR(VLOOKUP(TablaPrincipal[[#This Row],[CODIGO]],COSECHAS!A:J,9,0),"-")</f>
        <v>11</v>
      </c>
      <c r="G359" s="183" t="str">
        <f>IFERROR(VLOOKUP(TablaPrincipal[[#This Row],[CODIGO]],COSECHAS!A:I,8,0),"-")</f>
        <v>CHERNA</v>
      </c>
      <c r="H359" s="184">
        <f>IFERROR(VLOOKUP(TablaPrincipal[[#This Row],[CODIGO]],DATOS!A:B,2,0),"-")</f>
        <v>6.38</v>
      </c>
      <c r="I359" s="183" t="str">
        <f>IFERROR(VLOOKUP(TablaPrincipal[[#This Row],[CODIGO]],Tabla8[[#Headers],[#Data]],3,0),"-")</f>
        <v>ASC</v>
      </c>
      <c r="J359" s="183">
        <f>IFERROR(TablaPrincipal[[#This Row],[FECHA]]-TablaPrincipal[[#This Row],[FECHA DE SIEMBRA]],"-")</f>
        <v>76</v>
      </c>
      <c r="K359" s="196">
        <f>VLOOKUP(TablaPrincipal[[#This Row],[CODIGO]]&amp;TablaPrincipal[[#This Row],[AGUAJE ]],Tabla4[#All],4,0)</f>
        <v>46072</v>
      </c>
      <c r="L359" s="183" t="str">
        <f>VLOOKUP(TablaPrincipal[[#This Row],[CODIGO]]&amp;TablaPrincipal[[#This Row],[AGUAJE ]],Tabla4[#All],15,0)</f>
        <v>CH PC 6</v>
      </c>
      <c r="M359" s="184">
        <f>VLOOKUP(TablaPrincipal[[#This Row],[CODIGO]]&amp;TablaPrincipal[[#This Row],[AGUAJE ]],Tabla4[#All],14,0)</f>
        <v>0.35</v>
      </c>
      <c r="N359" s="183">
        <v>9</v>
      </c>
      <c r="O359" s="170">
        <f>VLOOKUP(TablaPrincipal[[#This Row],[CODIGO]]&amp;TablaPrincipal[[#This Row],[AGUAJE ]],Tabla4[#All],5,0)</f>
        <v>1148400</v>
      </c>
      <c r="P359" s="221">
        <f>IFERROR(TablaPrincipal[[#This Row],[ANIM SEMBRADOS]]/TablaPrincipal[[#This Row],[HAS]],"-")</f>
        <v>180000</v>
      </c>
      <c r="Q359" s="222">
        <f>IFERROR(TablaPrincipal[[#This Row],[DENSIDAD]]/10000,"-")</f>
        <v>18</v>
      </c>
      <c r="R359" s="183" t="str">
        <f>VLOOKUP(TablaPrincipal[[#This Row],[CODIGO]]&amp;TablaPrincipal[[#This Row],[AGUAJE ]],Tabla4[#All],8,0)</f>
        <v>TECSERV</v>
      </c>
      <c r="S359" s="183" t="str">
        <f>VLOOKUP(TablaPrincipal[[#This Row],[CODIGO]]&amp;TablaPrincipal[[#This Row],[AGUAJE ]],Tabla4[#All],7,0)</f>
        <v>SEMACUA</v>
      </c>
      <c r="T359" s="183" t="str">
        <f>IF(ISNUMBER(FIND("/",TablaPrincipal[[#This Row],[LABORATORIO]])),"COMBINADO","UNICO")</f>
        <v>UNICO</v>
      </c>
      <c r="U3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13600</v>
      </c>
      <c r="V35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14787.31</v>
      </c>
      <c r="W35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5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19.880000000000003</v>
      </c>
      <c r="Y359" s="185">
        <f>IFERROR(TablaPrincipal[[#This Row],[LIBRAS RALEO PLANTA]]/TablaPrincipal[[#This Row],[HAS]],"-")</f>
        <v>2317.7601880877742</v>
      </c>
      <c r="Z35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344202.61001553782</v>
      </c>
      <c r="AA35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26300</v>
      </c>
      <c r="AB35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27547.5</v>
      </c>
      <c r="AC359" s="186">
        <f>SUMIFS(COSECHAS!F:F,COSECHAS!A:A,'BASE 2026'!AW:AW,COSECHAS!G:G,"="&amp;A:A)</f>
        <v>23</v>
      </c>
      <c r="AD359" s="186">
        <f>SUMIFS(COSECHAS!M:M,COSECHAS!A:A,'BASE 2026'!AW:AW,COSECHAS!G:G,"="&amp;A:A)</f>
        <v>23.77</v>
      </c>
      <c r="AE359" s="185">
        <f>IFERROR(TablaPrincipal[[#This Row],[LIBRAS PLANTA]]/TablaPrincipal[[#This Row],[HAS]],"-")</f>
        <v>4317.7899686520377</v>
      </c>
      <c r="AF359" s="185">
        <f>IFERROR(TablaPrincipal[[#This Row],[LIBRAS PLANTA]]*454/TablaPrincipal[[#This Row],[GRAMOS PLANTA]],"-")</f>
        <v>526149.13756836345</v>
      </c>
      <c r="AG359" s="185">
        <f>TablaPrincipal[[#This Row],[LIBRAS RALEO PLANTA]]+TablaPrincipal[[#This Row],[LIBRAS PLANTA]]</f>
        <v>42334.81</v>
      </c>
      <c r="AH359" s="185">
        <f>IFERROR(TablaPrincipal[[#This Row],[CAM COSECHADOS RALEO]]+TablaPrincipal[[#This Row],[CAM COSECHADOS]],"-")</f>
        <v>870351.74758390128</v>
      </c>
      <c r="AI359" s="185">
        <f>IFERROR((TablaPrincipal[[#This Row],[LIBRAS RALEO PLANTA]]+TablaPrincipal[[#This Row],[LIBRAS PLANTA]])/TablaPrincipal[[#This Row],[HAS]],"0")</f>
        <v>6635.5501567398114</v>
      </c>
      <c r="AJ359" s="186">
        <f t="shared" si="8"/>
        <v>2.1893421052631576</v>
      </c>
      <c r="AK359" s="186">
        <f>IFERROR(TablaPrincipal[[#This Row],[LBS/HA]]/TablaPrincipal[[#This Row],[DIAS]],"-")</f>
        <v>87.309870483418578</v>
      </c>
      <c r="AL359" s="186">
        <f>IFERROR(TablaPrincipal[[#This Row],[CAM COSECHADOS TOTALES]]/TablaPrincipal[[#This Row],[ANIM SEMBRADOS]]*100,"-")</f>
        <v>75.788205118765347</v>
      </c>
      <c r="AM359" s="185">
        <v>63988.52</v>
      </c>
      <c r="AN359" s="187">
        <f>IFERROR(((TablaPrincipal[[#This Row],[BALANCEADO ACUMULADO (LBS)]]/2.2046)/TablaPrincipal[[#This Row],[HAS]])/TablaPrincipal[[#This Row],[DIAS]],"-")</f>
        <v>59.860176266262009</v>
      </c>
      <c r="AO359" s="184">
        <f>IFERROR(TablaPrincipal[[#This Row],[BALANCEADO ACUMULADO (LBS)]]/TablaPrincipal[[#This Row],[LIBRAS TOTALES]],"-")</f>
        <v>1.5114871189926209</v>
      </c>
      <c r="AP359" s="184"/>
      <c r="AQ359" s="184"/>
      <c r="AR359" s="185">
        <f>TablaPrincipal[[#This Row],[LIBRAS RALEO PLANTA]]-TablaPrincipal[[#This Row],[LIBRAS RALEO CAMARONERA]]</f>
        <v>1187.3099999999995</v>
      </c>
      <c r="AS359" s="185">
        <f>TablaPrincipal[[#This Row],[LIBRAS PLANTA]]-TablaPrincipal[[#This Row],[LIBRAS CAMARONERA]]</f>
        <v>1247.5</v>
      </c>
      <c r="AT359" s="187">
        <f>TablaPrincipal[[#This Row],[GRAMAJE RALEO PLANTA]]-TablaPrincipal[[#This Row],[GRAMAJE RALEO CAMARONERA]]</f>
        <v>0.88000000000000256</v>
      </c>
      <c r="AU359" s="187">
        <f>TablaPrincipal[[#This Row],[GRAMOS PLANTA]]-TablaPrincipal[[#This Row],[GRAMAJE CAMARONERA]]</f>
        <v>0.76999999999999957</v>
      </c>
      <c r="AV359" s="183" t="str">
        <f>+VLOOKUP(TablaPrincipal[[#This Row],[CODIGO]],TablaCosechas[#All],10,0)</f>
        <v>SANTIAGO OBRIEN</v>
      </c>
      <c r="AW359" s="183" t="s">
        <v>17</v>
      </c>
      <c r="AX359" s="188" t="str">
        <f>+VLOOKUP(TablaPrincipal[[#This Row],[CODIGO]],TablaCosechas[#All],10,0)</f>
        <v>SANTIAGO OBRIEN</v>
      </c>
    </row>
    <row r="360" spans="1:50" x14ac:dyDescent="0.25">
      <c r="A360" s="196">
        <v>46148</v>
      </c>
      <c r="B360" s="242">
        <v>358</v>
      </c>
      <c r="C360" s="183">
        <f>YEAR(TablaPrincipal[[#This Row],[FECHA]])</f>
        <v>2026</v>
      </c>
      <c r="D360" s="183" t="s">
        <v>346</v>
      </c>
      <c r="E360" s="183" t="str">
        <f>UPPER(TEXT(TablaPrincipal[[#This Row],[FECHA]],"MMMM"))</f>
        <v>MAYO</v>
      </c>
      <c r="F360" s="183" t="str">
        <f>IFERROR(VLOOKUP(TablaPrincipal[[#This Row],[CODIGO]],COSECHAS!A:J,9,0),"-")</f>
        <v>06</v>
      </c>
      <c r="G360" s="183" t="str">
        <f>IFERROR(VLOOKUP(TablaPrincipal[[#This Row],[CODIGO]],COSECHAS!A:I,8,0),"-")</f>
        <v>DELFIN</v>
      </c>
      <c r="H360" s="184">
        <f>IFERROR(VLOOKUP(TablaPrincipal[[#This Row],[CODIGO]],DATOS!A:B,2,0),"-")</f>
        <v>8.69</v>
      </c>
      <c r="I360" s="183" t="str">
        <f>IFERROR(VLOOKUP(TablaPrincipal[[#This Row],[CODIGO]],Tabla8[[#Headers],[#Data]],3,0),"-")</f>
        <v>CONVENCIONAL</v>
      </c>
      <c r="J360" s="183">
        <f>IFERROR(TablaPrincipal[[#This Row],[FECHA]]-TablaPrincipal[[#This Row],[FECHA DE SIEMBRA]],"-")</f>
        <v>72</v>
      </c>
      <c r="K360" s="196">
        <f>VLOOKUP(TablaPrincipal[[#This Row],[CODIGO]]&amp;TablaPrincipal[[#This Row],[AGUAJE ]],Tabla4[#All],4,0)</f>
        <v>46076</v>
      </c>
      <c r="L360" s="183" t="str">
        <f>VLOOKUP(TablaPrincipal[[#This Row],[CODIGO]]&amp;TablaPrincipal[[#This Row],[AGUAJE ]],Tabla4[#All],15,0)</f>
        <v>DE PC 3</v>
      </c>
      <c r="M360" s="184">
        <f>VLOOKUP(TablaPrincipal[[#This Row],[CODIGO]]&amp;TablaPrincipal[[#This Row],[AGUAJE ]],Tabla4[#All],14,0)</f>
        <v>0.8</v>
      </c>
      <c r="N360" s="183">
        <v>18</v>
      </c>
      <c r="O360" s="170">
        <f>VLOOKUP(TablaPrincipal[[#This Row],[CODIGO]]&amp;TablaPrincipal[[#This Row],[AGUAJE ]],Tabla4[#All],5,0)</f>
        <v>1390000</v>
      </c>
      <c r="P360" s="221">
        <f>IFERROR(TablaPrincipal[[#This Row],[ANIM SEMBRADOS]]/TablaPrincipal[[#This Row],[HAS]],"-")</f>
        <v>159953.97008055236</v>
      </c>
      <c r="Q360" s="222">
        <f>IFERROR(TablaPrincipal[[#This Row],[DENSIDAD]]/10000,"-")</f>
        <v>15.995397008055235</v>
      </c>
      <c r="R360" s="183" t="str">
        <f>VLOOKUP(TablaPrincipal[[#This Row],[CODIGO]]&amp;TablaPrincipal[[#This Row],[AGUAJE ]],Tabla4[#All],8,0)</f>
        <v>LARVASLAB</v>
      </c>
      <c r="S360" s="183" t="str">
        <f>VLOOKUP(TablaPrincipal[[#This Row],[CODIGO]]&amp;TablaPrincipal[[#This Row],[AGUAJE ]],Tabla4[#All],7,0)</f>
        <v>TEXCUMAR</v>
      </c>
      <c r="T360" s="183" t="str">
        <f>IF(ISNUMBER(FIND("/",TablaPrincipal[[#This Row],[LABORATORIO]])),"COMBINADO","UNICO")</f>
        <v>UNICO</v>
      </c>
      <c r="U3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36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8031.31</v>
      </c>
      <c r="W36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</v>
      </c>
      <c r="X36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18.559999999999999</v>
      </c>
      <c r="Y360" s="185">
        <f>IFERROR(TablaPrincipal[[#This Row],[LIBRAS RALEO PLANTA]]/TablaPrincipal[[#This Row],[HAS]],"-")</f>
        <v>924.20138089758348</v>
      </c>
      <c r="Z36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196455.53556034484</v>
      </c>
      <c r="AA36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36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23609.360000000001</v>
      </c>
      <c r="AC360" s="186">
        <f>SUMIFS(COSECHAS!F:F,COSECHAS!A:A,'BASE 2026'!AW:AW,COSECHAS!G:G,"="&amp;A:A)</f>
        <v>28</v>
      </c>
      <c r="AD360" s="186">
        <f>SUMIFS(COSECHAS!M:M,COSECHAS!A:A,'BASE 2026'!AW:AW,COSECHAS!G:G,"="&amp;A:A)</f>
        <v>30.06</v>
      </c>
      <c r="AE360" s="185">
        <f>IFERROR(TablaPrincipal[[#This Row],[LIBRAS PLANTA]]/TablaPrincipal[[#This Row],[HAS]],"-")</f>
        <v>2716.8423475258919</v>
      </c>
      <c r="AF360" s="185">
        <f>IFERROR(TablaPrincipal[[#This Row],[LIBRAS PLANTA]]*454/TablaPrincipal[[#This Row],[GRAMOS PLANTA]],"-")</f>
        <v>356575.16433799069</v>
      </c>
      <c r="AG360" s="185">
        <f>TablaPrincipal[[#This Row],[LIBRAS RALEO PLANTA]]+TablaPrincipal[[#This Row],[LIBRAS PLANTA]]</f>
        <v>31640.670000000002</v>
      </c>
      <c r="AH360" s="185">
        <f>IFERROR(TablaPrincipal[[#This Row],[CAM COSECHADOS RALEO]]+TablaPrincipal[[#This Row],[CAM COSECHADOS]],"-")</f>
        <v>553030.6998983355</v>
      </c>
      <c r="AI360" s="185">
        <f>IFERROR((TablaPrincipal[[#This Row],[LIBRAS RALEO PLANTA]]+TablaPrincipal[[#This Row],[LIBRAS PLANTA]])/TablaPrincipal[[#This Row],[HAS]],"0")</f>
        <v>3641.0437284234758</v>
      </c>
      <c r="AJ360" s="186">
        <f t="shared" si="8"/>
        <v>2.9224999999999999</v>
      </c>
      <c r="AK360" s="186">
        <f>IFERROR(TablaPrincipal[[#This Row],[LBS/HA]]/TablaPrincipal[[#This Row],[DIAS]],"-")</f>
        <v>50.570051783659387</v>
      </c>
      <c r="AL360" s="186">
        <f>IFERROR(TablaPrincipal[[#This Row],[CAM COSECHADOS TOTALES]]/TablaPrincipal[[#This Row],[ANIM SEMBRADOS]]*100,"-")</f>
        <v>39.786381287650038</v>
      </c>
      <c r="AM360" s="185">
        <v>72476.22</v>
      </c>
      <c r="AN360" s="187">
        <f>IFERROR(((TablaPrincipal[[#This Row],[BALANCEADO ACUMULADO (LBS)]]/2.2046)/TablaPrincipal[[#This Row],[HAS]])/TablaPrincipal[[#This Row],[DIAS]],"-")</f>
        <v>52.542829772431396</v>
      </c>
      <c r="AO360" s="184">
        <f>IFERROR(TablaPrincipal[[#This Row],[BALANCEADO ACUMULADO (LBS)]]/TablaPrincipal[[#This Row],[LIBRAS TOTALES]],"-")</f>
        <v>2.2906032015124835</v>
      </c>
      <c r="AP360" s="184"/>
      <c r="AQ360" s="184"/>
      <c r="AR360" s="185">
        <f>TablaPrincipal[[#This Row],[LIBRAS RALEO PLANTA]]-TablaPrincipal[[#This Row],[LIBRAS RALEO CAMARONERA]]</f>
        <v>31.3100000000004</v>
      </c>
      <c r="AS360" s="185">
        <f>TablaPrincipal[[#This Row],[LIBRAS PLANTA]]-TablaPrincipal[[#This Row],[LIBRAS CAMARONERA]]</f>
        <v>3409.3600000000006</v>
      </c>
      <c r="AT360" s="187">
        <f>TablaPrincipal[[#This Row],[GRAMAJE RALEO PLANTA]]-TablaPrincipal[[#This Row],[GRAMAJE RALEO CAMARONERA]]</f>
        <v>1.5599999999999987</v>
      </c>
      <c r="AU360" s="187">
        <f>TablaPrincipal[[#This Row],[GRAMOS PLANTA]]-TablaPrincipal[[#This Row],[GRAMAJE CAMARONERA]]</f>
        <v>2.0599999999999987</v>
      </c>
      <c r="AV360" s="183" t="str">
        <f>+VLOOKUP(TablaPrincipal[[#This Row],[CODIGO]],TablaCosechas[#All],10,0)</f>
        <v>CARLOS FLORES</v>
      </c>
      <c r="AW360" s="183" t="s">
        <v>242</v>
      </c>
      <c r="AX360" s="188" t="str">
        <f>+VLOOKUP(TablaPrincipal[[#This Row],[CODIGO]],TablaCosechas[#All],10,0)</f>
        <v>CARLOS FLORES</v>
      </c>
    </row>
    <row r="361" spans="1:50" x14ac:dyDescent="0.25">
      <c r="A361" s="196">
        <v>46148</v>
      </c>
      <c r="B361" s="242">
        <v>359</v>
      </c>
      <c r="C361" s="183">
        <f>YEAR(TablaPrincipal[[#This Row],[FECHA]])</f>
        <v>2026</v>
      </c>
      <c r="D361" s="183" t="s">
        <v>346</v>
      </c>
      <c r="E361" s="183" t="str">
        <f>UPPER(TEXT(TablaPrincipal[[#This Row],[FECHA]],"MMMM"))</f>
        <v>MAYO</v>
      </c>
      <c r="F361" s="183" t="str">
        <f>IFERROR(VLOOKUP(TablaPrincipal[[#This Row],[CODIGO]],COSECHAS!A:J,9,0),"-")</f>
        <v>09</v>
      </c>
      <c r="G361" s="183" t="str">
        <f>IFERROR(VLOOKUP(TablaPrincipal[[#This Row],[CODIGO]],COSECHAS!A:I,8,0),"-")</f>
        <v>PARGO ROJO</v>
      </c>
      <c r="H361" s="184">
        <f>IFERROR(VLOOKUP(TablaPrincipal[[#This Row],[CODIGO]],DATOS!A:B,2,0),"-")</f>
        <v>9</v>
      </c>
      <c r="I361" s="183" t="str">
        <f>IFERROR(VLOOKUP(TablaPrincipal[[#This Row],[CODIGO]],Tabla8[[#Headers],[#Data]],3,0),"-")</f>
        <v>CONVENCIONAL</v>
      </c>
      <c r="J361" s="183">
        <f>IFERROR(TablaPrincipal[[#This Row],[FECHA]]-TablaPrincipal[[#This Row],[FECHA DE SIEMBRA]],"-")</f>
        <v>86</v>
      </c>
      <c r="K361" s="196">
        <f>VLOOKUP(TablaPrincipal[[#This Row],[CODIGO]]&amp;TablaPrincipal[[#This Row],[AGUAJE ]],Tabla4[#All],4,0)</f>
        <v>46062</v>
      </c>
      <c r="L361" s="183" t="str">
        <f>VLOOKUP(TablaPrincipal[[#This Row],[CODIGO]]&amp;TablaPrincipal[[#This Row],[AGUAJE ]],Tabla4[#All],15,0)</f>
        <v>PR PC 8</v>
      </c>
      <c r="M361" s="184">
        <f>VLOOKUP(TablaPrincipal[[#This Row],[CODIGO]]&amp;TablaPrincipal[[#This Row],[AGUAJE ]],Tabla4[#All],14,0)</f>
        <v>0.4</v>
      </c>
      <c r="N361" s="183">
        <v>16</v>
      </c>
      <c r="O361" s="170">
        <f>VLOOKUP(TablaPrincipal[[#This Row],[CODIGO]]&amp;TablaPrincipal[[#This Row],[AGUAJE ]],Tabla4[#All],5,0)</f>
        <v>1530000</v>
      </c>
      <c r="P361" s="221">
        <f>IFERROR(TablaPrincipal[[#This Row],[ANIM SEMBRADOS]]/TablaPrincipal[[#This Row],[HAS]],"-")</f>
        <v>170000</v>
      </c>
      <c r="Q361" s="222">
        <f>IFERROR(TablaPrincipal[[#This Row],[DENSIDAD]]/10000,"-")</f>
        <v>17</v>
      </c>
      <c r="R361" s="183" t="str">
        <f>VLOOKUP(TablaPrincipal[[#This Row],[CODIGO]]&amp;TablaPrincipal[[#This Row],[AGUAJE ]],Tabla4[#All],8,0)</f>
        <v>EMPAGRAN</v>
      </c>
      <c r="S361" s="183" t="str">
        <f>VLOOKUP(TablaPrincipal[[#This Row],[CODIGO]]&amp;TablaPrincipal[[#This Row],[AGUAJE ]],Tabla4[#All],7,0)</f>
        <v>EMPAGRAN</v>
      </c>
      <c r="T361" s="183" t="str">
        <f>IF(ISNUMBER(FIND("/",TablaPrincipal[[#This Row],[LABORATORIO]])),"COMBINADO","UNICO")</f>
        <v>UNICO</v>
      </c>
      <c r="U3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5250</v>
      </c>
      <c r="V36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6085.26</v>
      </c>
      <c r="W36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14</v>
      </c>
      <c r="X36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21.46</v>
      </c>
      <c r="Y361" s="185">
        <f>IFERROR(TablaPrincipal[[#This Row],[LIBRAS RALEO PLANTA]]/TablaPrincipal[[#This Row],[HAS]],"-")</f>
        <v>676.14</v>
      </c>
      <c r="Z36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128737.56011183598</v>
      </c>
      <c r="AA36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27200</v>
      </c>
      <c r="AB36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33672.44</v>
      </c>
      <c r="AC361" s="186">
        <f>SUMIFS(COSECHAS!F:F,COSECHAS!A:A,'BASE 2026'!AW:AW,COSECHAS!G:G,"="&amp;A:A)</f>
        <v>30</v>
      </c>
      <c r="AD361" s="186">
        <f>SUMIFS(COSECHAS!M:M,COSECHAS!A:A,'BASE 2026'!AW:AW,COSECHAS!G:G,"="&amp;A:A)</f>
        <v>32.06</v>
      </c>
      <c r="AE361" s="185">
        <f>IFERROR(TablaPrincipal[[#This Row],[LIBRAS PLANTA]]/TablaPrincipal[[#This Row],[HAS]],"-")</f>
        <v>3741.3822222222225</v>
      </c>
      <c r="AF361" s="185">
        <f>IFERROR(TablaPrincipal[[#This Row],[LIBRAS PLANTA]]*454/TablaPrincipal[[#This Row],[GRAMOS PLANTA]],"-")</f>
        <v>476833.67935121647</v>
      </c>
      <c r="AG361" s="185">
        <f>TablaPrincipal[[#This Row],[LIBRAS RALEO PLANTA]]+TablaPrincipal[[#This Row],[LIBRAS PLANTA]]</f>
        <v>39757.700000000004</v>
      </c>
      <c r="AH361" s="185">
        <f>IFERROR(TablaPrincipal[[#This Row],[CAM COSECHADOS RALEO]]+TablaPrincipal[[#This Row],[CAM COSECHADOS]],"-")</f>
        <v>605571.23946305248</v>
      </c>
      <c r="AI361" s="185">
        <f>IFERROR((TablaPrincipal[[#This Row],[LIBRAS RALEO PLANTA]]+TablaPrincipal[[#This Row],[LIBRAS PLANTA]])/TablaPrincipal[[#This Row],[HAS]],"0")</f>
        <v>4417.5222222222228</v>
      </c>
      <c r="AJ361" s="186">
        <f t="shared" si="8"/>
        <v>2.6095348837209302</v>
      </c>
      <c r="AK361" s="186">
        <f>IFERROR(TablaPrincipal[[#This Row],[LBS/HA]]/TablaPrincipal[[#This Row],[DIAS]],"-")</f>
        <v>51.366537467700262</v>
      </c>
      <c r="AL361" s="186">
        <f>IFERROR(TablaPrincipal[[#This Row],[CAM COSECHADOS TOTALES]]/TablaPrincipal[[#This Row],[ANIM SEMBRADOS]]*100,"-")</f>
        <v>39.579819572748526</v>
      </c>
      <c r="AM361" s="185">
        <v>74901.289999999994</v>
      </c>
      <c r="AN361" s="187">
        <f>IFERROR(((TablaPrincipal[[#This Row],[BALANCEADO ACUMULADO (LBS)]]/2.2046)/TablaPrincipal[[#This Row],[HAS]])/TablaPrincipal[[#This Row],[DIAS]],"-")</f>
        <v>43.895351767422632</v>
      </c>
      <c r="AO361" s="184">
        <f>IFERROR(TablaPrincipal[[#This Row],[BALANCEADO ACUMULADO (LBS)]]/TablaPrincipal[[#This Row],[LIBRAS TOTALES]],"-")</f>
        <v>1.8839442422474133</v>
      </c>
      <c r="AP361" s="184"/>
      <c r="AQ361" s="184"/>
      <c r="AR361" s="185">
        <f>TablaPrincipal[[#This Row],[LIBRAS RALEO PLANTA]]-TablaPrincipal[[#This Row],[LIBRAS RALEO CAMARONERA]]</f>
        <v>835.26000000000022</v>
      </c>
      <c r="AS361" s="185">
        <f>TablaPrincipal[[#This Row],[LIBRAS PLANTA]]-TablaPrincipal[[#This Row],[LIBRAS CAMARONERA]]</f>
        <v>6472.4400000000023</v>
      </c>
      <c r="AT361" s="187">
        <f>TablaPrincipal[[#This Row],[GRAMAJE RALEO PLANTA]]-TablaPrincipal[[#This Row],[GRAMAJE RALEO CAMARONERA]]</f>
        <v>7.4600000000000009</v>
      </c>
      <c r="AU361" s="187">
        <f>TablaPrincipal[[#This Row],[GRAMOS PLANTA]]-TablaPrincipal[[#This Row],[GRAMAJE CAMARONERA]]</f>
        <v>2.0600000000000023</v>
      </c>
      <c r="AV361" s="183" t="str">
        <f>+VLOOKUP(TablaPrincipal[[#This Row],[CODIGO]],TablaCosechas[#All],10,0)</f>
        <v>WILMER TORRES</v>
      </c>
      <c r="AW361" s="183" t="s">
        <v>178</v>
      </c>
      <c r="AX361" s="188" t="str">
        <f>+VLOOKUP(TablaPrincipal[[#This Row],[CODIGO]],TablaCosechas[#All],10,0)</f>
        <v>WILMER TORRES</v>
      </c>
    </row>
    <row r="362" spans="1:50" x14ac:dyDescent="0.25">
      <c r="A362" s="196">
        <v>46149</v>
      </c>
      <c r="B362" s="242">
        <v>360</v>
      </c>
      <c r="C362" s="183">
        <f>YEAR(TablaPrincipal[[#This Row],[FECHA]])</f>
        <v>2026</v>
      </c>
      <c r="D362" s="183" t="s">
        <v>346</v>
      </c>
      <c r="E362" s="183" t="str">
        <f>UPPER(TEXT(TablaPrincipal[[#This Row],[FECHA]],"MMMM"))</f>
        <v>MAYO</v>
      </c>
      <c r="F362" s="183" t="str">
        <f>IFERROR(VLOOKUP(TablaPrincipal[[#This Row],[CODIGO]],COSECHAS!A:J,9,0),"-")</f>
        <v>09</v>
      </c>
      <c r="G362" s="183" t="str">
        <f>IFERROR(VLOOKUP(TablaPrincipal[[#This Row],[CODIGO]],COSECHAS!A:I,8,0),"-")</f>
        <v>CHERNA</v>
      </c>
      <c r="H362" s="184">
        <f>IFERROR(VLOOKUP(TablaPrincipal[[#This Row],[CODIGO]],DATOS!A:B,2,0),"-")</f>
        <v>9.4</v>
      </c>
      <c r="I362" s="183" t="str">
        <f>IFERROR(VLOOKUP(TablaPrincipal[[#This Row],[CODIGO]],Tabla8[[#Headers],[#Data]],3,0),"-")</f>
        <v>ASC</v>
      </c>
      <c r="J362" s="183">
        <f>IFERROR(TablaPrincipal[[#This Row],[FECHA]]-TablaPrincipal[[#This Row],[FECHA DE SIEMBRA]],"-")</f>
        <v>78</v>
      </c>
      <c r="K362" s="196">
        <f>VLOOKUP(TablaPrincipal[[#This Row],[CODIGO]]&amp;TablaPrincipal[[#This Row],[AGUAJE ]],Tabla4[#All],4,0)</f>
        <v>46071</v>
      </c>
      <c r="L362" s="183" t="str">
        <f>VLOOKUP(TablaPrincipal[[#This Row],[CODIGO]]&amp;TablaPrincipal[[#This Row],[AGUAJE ]],Tabla4[#All],15,0)</f>
        <v>CH 4</v>
      </c>
      <c r="M362" s="184">
        <f>VLOOKUP(TablaPrincipal[[#This Row],[CODIGO]]&amp;TablaPrincipal[[#This Row],[AGUAJE ]],Tabla4[#All],14,0)</f>
        <v>0.35</v>
      </c>
      <c r="N362" s="183">
        <v>7</v>
      </c>
      <c r="O362" s="170">
        <f>VLOOKUP(TablaPrincipal[[#This Row],[CODIGO]]&amp;TablaPrincipal[[#This Row],[AGUAJE ]],Tabla4[#All],5,0)</f>
        <v>1692000</v>
      </c>
      <c r="P362" s="221">
        <f>IFERROR(TablaPrincipal[[#This Row],[ANIM SEMBRADOS]]/TablaPrincipal[[#This Row],[HAS]],"-")</f>
        <v>180000</v>
      </c>
      <c r="Q362" s="222">
        <f>IFERROR(TablaPrincipal[[#This Row],[DENSIDAD]]/10000,"-")</f>
        <v>18</v>
      </c>
      <c r="R362" s="183" t="str">
        <f>VLOOKUP(TablaPrincipal[[#This Row],[CODIGO]]&amp;TablaPrincipal[[#This Row],[AGUAJE ]],Tabla4[#All],8,0)</f>
        <v>LARDEMA</v>
      </c>
      <c r="S362" s="183" t="str">
        <f>VLOOKUP(TablaPrincipal[[#This Row],[CODIGO]]&amp;TablaPrincipal[[#This Row],[AGUAJE ]],Tabla4[#All],7,0)</f>
        <v>PRONAUPLIO</v>
      </c>
      <c r="T362" s="183" t="str">
        <f>IF(ISNUMBER(FIND("/",TablaPrincipal[[#This Row],[LABORATORIO]])),"COMBINADO","UNICO")</f>
        <v>UNICO</v>
      </c>
      <c r="U3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10500</v>
      </c>
      <c r="V36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10496.18</v>
      </c>
      <c r="W36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16.5</v>
      </c>
      <c r="X36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16.34</v>
      </c>
      <c r="Y362" s="185">
        <f>IFERROR(TablaPrincipal[[#This Row],[LIBRAS RALEO PLANTA]]/TablaPrincipal[[#This Row],[HAS]],"-")</f>
        <v>1116.6148936170212</v>
      </c>
      <c r="Z36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291631.92900856794</v>
      </c>
      <c r="AA36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43600</v>
      </c>
      <c r="AB36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44814.75</v>
      </c>
      <c r="AC362" s="186">
        <f>SUMIFS(COSECHAS!F:F,COSECHAS!A:A,'BASE 2026'!AW:AW,COSECHAS!G:G,"="&amp;A:A)</f>
        <v>25</v>
      </c>
      <c r="AD362" s="186">
        <f>SUMIFS(COSECHAS!M:M,COSECHAS!A:A,'BASE 2026'!AW:AW,COSECHAS!G:G,"="&amp;A:A)</f>
        <v>25.12</v>
      </c>
      <c r="AE362" s="185">
        <f>IFERROR(TablaPrincipal[[#This Row],[LIBRAS PLANTA]]/TablaPrincipal[[#This Row],[HAS]],"-")</f>
        <v>4767.5265957446809</v>
      </c>
      <c r="AF362" s="185">
        <f>IFERROR(TablaPrincipal[[#This Row],[LIBRAS PLANTA]]*454/TablaPrincipal[[#This Row],[GRAMOS PLANTA]],"-")</f>
        <v>809948.10907643312</v>
      </c>
      <c r="AG362" s="185">
        <f>TablaPrincipal[[#This Row],[LIBRAS RALEO PLANTA]]+TablaPrincipal[[#This Row],[LIBRAS PLANTA]]</f>
        <v>55310.93</v>
      </c>
      <c r="AH362" s="185">
        <f>IFERROR(TablaPrincipal[[#This Row],[CAM COSECHADOS RALEO]]+TablaPrincipal[[#This Row],[CAM COSECHADOS]],"-")</f>
        <v>1101580.0380850011</v>
      </c>
      <c r="AI362" s="185">
        <f>IFERROR((TablaPrincipal[[#This Row],[LIBRAS RALEO PLANTA]]+TablaPrincipal[[#This Row],[LIBRAS PLANTA]])/TablaPrincipal[[#This Row],[HAS]],"0")</f>
        <v>5884.141489361702</v>
      </c>
      <c r="AJ362" s="186">
        <f t="shared" si="8"/>
        <v>2.2543589743589747</v>
      </c>
      <c r="AK362" s="186">
        <f>IFERROR(TablaPrincipal[[#This Row],[LBS/HA]]/TablaPrincipal[[#This Row],[DIAS]],"-")</f>
        <v>75.437711402073106</v>
      </c>
      <c r="AL362" s="186">
        <f>IFERROR(TablaPrincipal[[#This Row],[CAM COSECHADOS TOTALES]]/TablaPrincipal[[#This Row],[ANIM SEMBRADOS]]*100,"-")</f>
        <v>65.10520319651306</v>
      </c>
      <c r="AM362" s="185">
        <v>96781.94</v>
      </c>
      <c r="AN362" s="187">
        <f>IFERROR(((TablaPrincipal[[#This Row],[BALANCEADO ACUMULADO (LBS)]]/2.2046)/TablaPrincipal[[#This Row],[HAS]])/TablaPrincipal[[#This Row],[DIAS]],"-")</f>
        <v>59.87452264048008</v>
      </c>
      <c r="AO362" s="184">
        <f>IFERROR(TablaPrincipal[[#This Row],[BALANCEADO ACUMULADO (LBS)]]/TablaPrincipal[[#This Row],[LIBRAS TOTALES]],"-")</f>
        <v>1.7497796547626301</v>
      </c>
      <c r="AP362" s="184"/>
      <c r="AQ362" s="184"/>
      <c r="AR362" s="185">
        <f>TablaPrincipal[[#This Row],[LIBRAS RALEO PLANTA]]-TablaPrincipal[[#This Row],[LIBRAS RALEO CAMARONERA]]</f>
        <v>-3.819999999999709</v>
      </c>
      <c r="AS362" s="185">
        <f>TablaPrincipal[[#This Row],[LIBRAS PLANTA]]-TablaPrincipal[[#This Row],[LIBRAS CAMARONERA]]</f>
        <v>1214.75</v>
      </c>
      <c r="AT362" s="187">
        <f>TablaPrincipal[[#This Row],[GRAMAJE RALEO PLANTA]]-TablaPrincipal[[#This Row],[GRAMAJE RALEO CAMARONERA]]</f>
        <v>-0.16000000000000014</v>
      </c>
      <c r="AU362" s="187">
        <f>TablaPrincipal[[#This Row],[GRAMOS PLANTA]]-TablaPrincipal[[#This Row],[GRAMAJE CAMARONERA]]</f>
        <v>0.12000000000000099</v>
      </c>
      <c r="AV362" s="183" t="str">
        <f>+VLOOKUP(TablaPrincipal[[#This Row],[CODIGO]],TablaCosechas[#All],10,0)</f>
        <v>SANTIAGO OBRIEN</v>
      </c>
      <c r="AW362" s="183" t="s">
        <v>15</v>
      </c>
      <c r="AX362" s="188" t="str">
        <f>+VLOOKUP(TablaPrincipal[[#This Row],[CODIGO]],TablaCosechas[#All],10,0)</f>
        <v>SANTIAGO OBRIEN</v>
      </c>
    </row>
    <row r="363" spans="1:50" x14ac:dyDescent="0.25">
      <c r="A363" s="196">
        <v>46149</v>
      </c>
      <c r="B363" s="242">
        <v>361</v>
      </c>
      <c r="C363" s="183">
        <f>YEAR(TablaPrincipal[[#This Row],[FECHA]])</f>
        <v>2026</v>
      </c>
      <c r="D363" s="183" t="s">
        <v>346</v>
      </c>
      <c r="E363" s="183" t="str">
        <f>UPPER(TEXT(TablaPrincipal[[#This Row],[FECHA]],"MMMM"))</f>
        <v>MAYO</v>
      </c>
      <c r="F363" s="183" t="str">
        <f>IFERROR(VLOOKUP(TablaPrincipal[[#This Row],[CODIGO]],COSECHAS!A:J,9,0),"-")</f>
        <v>16</v>
      </c>
      <c r="G363" s="183" t="str">
        <f>IFERROR(VLOOKUP(TablaPrincipal[[#This Row],[CODIGO]],COSECHAS!A:I,8,0),"-")</f>
        <v>DORADO</v>
      </c>
      <c r="H363" s="184">
        <f>IFERROR(VLOOKUP(TablaPrincipal[[#This Row],[CODIGO]],DATOS!A:B,2,0),"-")</f>
        <v>4.74</v>
      </c>
      <c r="I363" s="183" t="str">
        <f>IFERROR(VLOOKUP(TablaPrincipal[[#This Row],[CODIGO]],Tabla8[[#Headers],[#Data]],3,0),"-")</f>
        <v>ASC-BAP</v>
      </c>
      <c r="J363" s="183">
        <f>IFERROR(TablaPrincipal[[#This Row],[FECHA]]-TablaPrincipal[[#This Row],[FECHA DE SIEMBRA]],"-")</f>
        <v>60</v>
      </c>
      <c r="K363" s="196">
        <f>VLOOKUP(TablaPrincipal[[#This Row],[CODIGO]]&amp;TablaPrincipal[[#This Row],[AGUAJE ]],Tabla4[#All],4,0)</f>
        <v>46089</v>
      </c>
      <c r="L363" s="183" t="str">
        <f>VLOOKUP(TablaPrincipal[[#This Row],[CODIGO]]&amp;TablaPrincipal[[#This Row],[AGUAJE ]],Tabla4[#All],15,0)</f>
        <v>DO PS 15</v>
      </c>
      <c r="M363" s="184">
        <f>VLOOKUP(TablaPrincipal[[#This Row],[CODIGO]]&amp;TablaPrincipal[[#This Row],[AGUAJE ]],Tabla4[#All],14,0)</f>
        <v>0.72</v>
      </c>
      <c r="N363" s="183">
        <v>12</v>
      </c>
      <c r="O363" s="170">
        <f>VLOOKUP(TablaPrincipal[[#This Row],[CODIGO]]&amp;TablaPrincipal[[#This Row],[AGUAJE ]],Tabla4[#All],5,0)</f>
        <v>1054035</v>
      </c>
      <c r="P363" s="221">
        <f>IFERROR(TablaPrincipal[[#This Row],[ANIM SEMBRADOS]]/TablaPrincipal[[#This Row],[HAS]],"-")</f>
        <v>222370.25316455695</v>
      </c>
      <c r="Q363" s="222">
        <f>IFERROR(TablaPrincipal[[#This Row],[DENSIDAD]]/10000,"-")</f>
        <v>22.237025316455696</v>
      </c>
      <c r="R363" s="183" t="str">
        <f>VLOOKUP(TablaPrincipal[[#This Row],[CODIGO]]&amp;TablaPrincipal[[#This Row],[AGUAJE ]],Tabla4[#All],8,0)</f>
        <v>GENESIS</v>
      </c>
      <c r="S363" s="183" t="str">
        <f>VLOOKUP(TablaPrincipal[[#This Row],[CODIGO]]&amp;TablaPrincipal[[#This Row],[AGUAJE ]],Tabla4[#All],7,0)</f>
        <v>TEXCUMAR</v>
      </c>
      <c r="T363" s="183" t="str">
        <f>IF(ISNUMBER(FIND("/",TablaPrincipal[[#This Row],[LABORATORIO]])),"COMBINADO","UNICO")</f>
        <v>UNICO</v>
      </c>
      <c r="U3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5700</v>
      </c>
      <c r="V36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4904.92</v>
      </c>
      <c r="W36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6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22.24</v>
      </c>
      <c r="Y363" s="185">
        <f>IFERROR(TablaPrincipal[[#This Row],[LIBRAS RALEO PLANTA]]/TablaPrincipal[[#This Row],[HAS]],"-")</f>
        <v>1034.7932489451478</v>
      </c>
      <c r="Z36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100127.41366906476</v>
      </c>
      <c r="AA36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19500</v>
      </c>
      <c r="AB36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21676.31</v>
      </c>
      <c r="AC363" s="186">
        <f>SUMIFS(COSECHAS!F:F,COSECHAS!A:A,'BASE 2026'!AW:AW,COSECHAS!G:G,"="&amp;A:A)</f>
        <v>34</v>
      </c>
      <c r="AD363" s="186">
        <f>SUMIFS(COSECHAS!M:M,COSECHAS!A:A,'BASE 2026'!AW:AW,COSECHAS!G:G,"="&amp;A:A)</f>
        <v>32.74</v>
      </c>
      <c r="AE363" s="185">
        <f>IFERROR(TablaPrincipal[[#This Row],[LIBRAS PLANTA]]/TablaPrincipal[[#This Row],[HAS]],"-")</f>
        <v>4573.0611814345993</v>
      </c>
      <c r="AF363" s="185">
        <f>IFERROR(TablaPrincipal[[#This Row],[LIBRAS PLANTA]]*454/TablaPrincipal[[#This Row],[GRAMOS PLANTA]],"-")</f>
        <v>300581.69639584603</v>
      </c>
      <c r="AG363" s="185">
        <f>TablaPrincipal[[#This Row],[LIBRAS RALEO PLANTA]]+TablaPrincipal[[#This Row],[LIBRAS PLANTA]]</f>
        <v>26581.230000000003</v>
      </c>
      <c r="AH363" s="185">
        <f>IFERROR(TablaPrincipal[[#This Row],[CAM COSECHADOS RALEO]]+TablaPrincipal[[#This Row],[CAM COSECHADOS]],"-")</f>
        <v>400709.11006491078</v>
      </c>
      <c r="AI363" s="185">
        <f>IFERROR((TablaPrincipal[[#This Row],[LIBRAS RALEO PLANTA]]+TablaPrincipal[[#This Row],[LIBRAS PLANTA]])/TablaPrincipal[[#This Row],[HAS]],"0")</f>
        <v>5607.8544303797471</v>
      </c>
      <c r="AJ363" s="186">
        <f t="shared" si="8"/>
        <v>3.819666666666667</v>
      </c>
      <c r="AK363" s="186">
        <f>IFERROR(TablaPrincipal[[#This Row],[LBS/HA]]/TablaPrincipal[[#This Row],[DIAS]],"-")</f>
        <v>93.464240506329119</v>
      </c>
      <c r="AL363" s="186">
        <f>IFERROR(TablaPrincipal[[#This Row],[CAM COSECHADOS TOTALES]]/TablaPrincipal[[#This Row],[ANIM SEMBRADOS]]*100,"-")</f>
        <v>38.01667971793259</v>
      </c>
      <c r="AM363" s="185">
        <v>42989.700000000004</v>
      </c>
      <c r="AN363" s="187">
        <f>IFERROR(((TablaPrincipal[[#This Row],[BALANCEADO ACUMULADO (LBS)]]/2.2046)/TablaPrincipal[[#This Row],[HAS]])/TablaPrincipal[[#This Row],[DIAS]],"-")</f>
        <v>68.565400843881861</v>
      </c>
      <c r="AO363" s="184">
        <f>IFERROR(TablaPrincipal[[#This Row],[BALANCEADO ACUMULADO (LBS)]]/TablaPrincipal[[#This Row],[LIBRAS TOTALES]],"-")</f>
        <v>1.6172953621784996</v>
      </c>
      <c r="AP363" s="184"/>
      <c r="AQ363" s="184"/>
      <c r="AR363" s="185">
        <f>TablaPrincipal[[#This Row],[LIBRAS RALEO PLANTA]]-TablaPrincipal[[#This Row],[LIBRAS RALEO CAMARONERA]]</f>
        <v>-795.07999999999993</v>
      </c>
      <c r="AS363" s="185">
        <f>TablaPrincipal[[#This Row],[LIBRAS PLANTA]]-TablaPrincipal[[#This Row],[LIBRAS CAMARONERA]]</f>
        <v>2176.3100000000013</v>
      </c>
      <c r="AT363" s="187">
        <f>TablaPrincipal[[#This Row],[GRAMAJE RALEO PLANTA]]-TablaPrincipal[[#This Row],[GRAMAJE RALEO CAMARONERA]]</f>
        <v>3.2399999999999984</v>
      </c>
      <c r="AU363" s="187">
        <f>TablaPrincipal[[#This Row],[GRAMOS PLANTA]]-TablaPrincipal[[#This Row],[GRAMAJE CAMARONERA]]</f>
        <v>-1.259999999999998</v>
      </c>
      <c r="AV363" s="183" t="str">
        <f>+VLOOKUP(TablaPrincipal[[#This Row],[CODIGO]],TablaCosechas[#All],10,0)</f>
        <v>JOSE CEDEÑO</v>
      </c>
      <c r="AW363" s="183" t="s">
        <v>253</v>
      </c>
      <c r="AX363" s="188" t="str">
        <f>+VLOOKUP(TablaPrincipal[[#This Row],[CODIGO]],TablaCosechas[#All],10,0)</f>
        <v>JOSE CEDEÑO</v>
      </c>
    </row>
    <row r="364" spans="1:50" x14ac:dyDescent="0.25">
      <c r="A364" s="196">
        <v>46149</v>
      </c>
      <c r="B364" s="242">
        <v>362</v>
      </c>
      <c r="C364" s="183">
        <f>YEAR(TablaPrincipal[[#This Row],[FECHA]])</f>
        <v>2026</v>
      </c>
      <c r="D364" s="183" t="s">
        <v>346</v>
      </c>
      <c r="E364" s="183" t="str">
        <f>UPPER(TEXT(TablaPrincipal[[#This Row],[FECHA]],"MMMM"))</f>
        <v>MAYO</v>
      </c>
      <c r="F364" s="183" t="str">
        <f>IFERROR(VLOOKUP(TablaPrincipal[[#This Row],[CODIGO]],COSECHAS!A:J,9,0),"-")</f>
        <v>02</v>
      </c>
      <c r="G364" s="183" t="str">
        <f>IFERROR(VLOOKUP(TablaPrincipal[[#This Row],[CODIGO]],COSECHAS!A:I,8,0),"-")</f>
        <v>BARRACUDA</v>
      </c>
      <c r="H364" s="184">
        <f>IFERROR(VLOOKUP(TablaPrincipal[[#This Row],[CODIGO]],DATOS!A:B,2,0),"-")</f>
        <v>4.2</v>
      </c>
      <c r="I364" s="183" t="str">
        <f>IFERROR(VLOOKUP(TablaPrincipal[[#This Row],[CODIGO]],Tabla8[[#Headers],[#Data]],3,0),"-")</f>
        <v>CONVENCIONAL</v>
      </c>
      <c r="J364" s="183">
        <f>IFERROR(TablaPrincipal[[#This Row],[FECHA]]-TablaPrincipal[[#This Row],[FECHA DE SIEMBRA]],"-")</f>
        <v>73</v>
      </c>
      <c r="K364" s="196">
        <f>VLOOKUP(TablaPrincipal[[#This Row],[CODIGO]]&amp;TablaPrincipal[[#This Row],[AGUAJE ]],Tabla4[#All],4,0)</f>
        <v>46076</v>
      </c>
      <c r="L364" s="183" t="str">
        <f>VLOOKUP(TablaPrincipal[[#This Row],[CODIGO]]&amp;TablaPrincipal[[#This Row],[AGUAJE ]],Tabla4[#All],15,0)</f>
        <v>PA PS 9</v>
      </c>
      <c r="M364" s="184">
        <f>VLOOKUP(TablaPrincipal[[#This Row],[CODIGO]]&amp;TablaPrincipal[[#This Row],[AGUAJE ]],Tabla4[#All],14,0)</f>
        <v>0.6</v>
      </c>
      <c r="N364" s="183">
        <v>16</v>
      </c>
      <c r="O364" s="170">
        <f>VLOOKUP(TablaPrincipal[[#This Row],[CODIGO]]&amp;TablaPrincipal[[#This Row],[AGUAJE ]],Tabla4[#All],5,0)</f>
        <v>673333</v>
      </c>
      <c r="P364" s="221">
        <f>IFERROR(TablaPrincipal[[#This Row],[ANIM SEMBRADOS]]/TablaPrincipal[[#This Row],[HAS]],"-")</f>
        <v>160317.38095238095</v>
      </c>
      <c r="Q364" s="222">
        <f>IFERROR(TablaPrincipal[[#This Row],[DENSIDAD]]/10000,"-")</f>
        <v>16.031738095238094</v>
      </c>
      <c r="R364" s="183" t="str">
        <f>VLOOKUP(TablaPrincipal[[#This Row],[CODIGO]]&amp;TablaPrincipal[[#This Row],[AGUAJE ]],Tabla4[#All],8,0)</f>
        <v>LARDEMA</v>
      </c>
      <c r="S364" s="183" t="str">
        <f>VLOOKUP(TablaPrincipal[[#This Row],[CODIGO]]&amp;TablaPrincipal[[#This Row],[AGUAJE ]],Tabla4[#All],7,0)</f>
        <v>PRONAUPLIO</v>
      </c>
      <c r="T364" s="183" t="str">
        <f>IF(ISNUMBER(FIND("/",TablaPrincipal[[#This Row],[LABORATORIO]])),"COMBINADO","UNICO")</f>
        <v>UNICO</v>
      </c>
      <c r="U3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7700</v>
      </c>
      <c r="V36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8268.4500000000007</v>
      </c>
      <c r="W36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6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Y364" s="185">
        <f>IFERROR(TablaPrincipal[[#This Row],[LIBRAS RALEO PLANTA]]/TablaPrincipal[[#This Row],[HAS]],"-")</f>
        <v>1968.6785714285716</v>
      </c>
      <c r="Z36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175143.17061753361</v>
      </c>
      <c r="AA36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16750</v>
      </c>
      <c r="AB36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18882.32</v>
      </c>
      <c r="AC364" s="186">
        <f>SUMIFS(COSECHAS!F:F,COSECHAS!A:A,'BASE 2026'!AW:AW,COSECHAS!G:G,"="&amp;A:A)</f>
        <v>29</v>
      </c>
      <c r="AD364" s="186">
        <f>SUMIFS(COSECHAS!M:M,COSECHAS!A:A,'BASE 2026'!AW:AW,COSECHAS!G:G,"="&amp;A:A)</f>
        <v>30.43</v>
      </c>
      <c r="AE364" s="185">
        <f>IFERROR(TablaPrincipal[[#This Row],[LIBRAS PLANTA]]/TablaPrincipal[[#This Row],[HAS]],"-")</f>
        <v>4495.7904761904756</v>
      </c>
      <c r="AF364" s="185">
        <f>IFERROR(TablaPrincipal[[#This Row],[LIBRAS PLANTA]]*454/TablaPrincipal[[#This Row],[GRAMOS PLANTA]],"-")</f>
        <v>281714.53434111073</v>
      </c>
      <c r="AG364" s="185">
        <f>TablaPrincipal[[#This Row],[LIBRAS RALEO PLANTA]]+TablaPrincipal[[#This Row],[LIBRAS PLANTA]]</f>
        <v>27150.77</v>
      </c>
      <c r="AH364" s="185">
        <f>IFERROR(TablaPrincipal[[#This Row],[CAM COSECHADOS RALEO]]+TablaPrincipal[[#This Row],[CAM COSECHADOS]],"-")</f>
        <v>456857.70495864435</v>
      </c>
      <c r="AI364" s="185">
        <f>IFERROR((TablaPrincipal[[#This Row],[LIBRAS RALEO PLANTA]]+TablaPrincipal[[#This Row],[LIBRAS PLANTA]])/TablaPrincipal[[#This Row],[HAS]],"0")</f>
        <v>6464.4690476190472</v>
      </c>
      <c r="AJ364" s="186">
        <f t="shared" si="8"/>
        <v>2.9179452054794521</v>
      </c>
      <c r="AK364" s="186">
        <f>IFERROR(TablaPrincipal[[#This Row],[LBS/HA]]/TablaPrincipal[[#This Row],[DIAS]],"-")</f>
        <v>88.55437051532941</v>
      </c>
      <c r="AL364" s="186">
        <f>IFERROR(TablaPrincipal[[#This Row],[CAM COSECHADOS TOTALES]]/TablaPrincipal[[#This Row],[ANIM SEMBRADOS]]*100,"-")</f>
        <v>67.85018779098074</v>
      </c>
      <c r="AM364" s="185">
        <v>36375.9</v>
      </c>
      <c r="AN364" s="187">
        <f>IFERROR(((TablaPrincipal[[#This Row],[BALANCEADO ACUMULADO (LBS)]]/2.2046)/TablaPrincipal[[#This Row],[HAS]])/TablaPrincipal[[#This Row],[DIAS]],"-")</f>
        <v>53.816046966731896</v>
      </c>
      <c r="AO364" s="184">
        <f>IFERROR(TablaPrincipal[[#This Row],[BALANCEADO ACUMULADO (LBS)]]/TablaPrincipal[[#This Row],[LIBRAS TOTALES]],"-")</f>
        <v>1.3397741574180033</v>
      </c>
      <c r="AP364" s="184"/>
      <c r="AQ364" s="184"/>
      <c r="AR364" s="185">
        <f>TablaPrincipal[[#This Row],[LIBRAS RALEO PLANTA]]-TablaPrincipal[[#This Row],[LIBRAS RALEO CAMARONERA]]</f>
        <v>568.45000000000073</v>
      </c>
      <c r="AS364" s="185">
        <f>TablaPrincipal[[#This Row],[LIBRAS PLANTA]]-TablaPrincipal[[#This Row],[LIBRAS CAMARONERA]]</f>
        <v>2132.3199999999997</v>
      </c>
      <c r="AT364" s="187">
        <f>TablaPrincipal[[#This Row],[GRAMAJE RALEO PLANTA]]-TablaPrincipal[[#This Row],[GRAMAJE RALEO CAMARONERA]]</f>
        <v>1.5</v>
      </c>
      <c r="AU364" s="187">
        <f>TablaPrincipal[[#This Row],[GRAMOS PLANTA]]-TablaPrincipal[[#This Row],[GRAMAJE CAMARONERA]]</f>
        <v>1.4299999999999997</v>
      </c>
      <c r="AV364" s="183" t="str">
        <f>+VLOOKUP(TablaPrincipal[[#This Row],[CODIGO]],TablaCosechas[#All],10,0)</f>
        <v>GUSTAVO CARRASCO</v>
      </c>
      <c r="AW364" s="183" t="s">
        <v>207</v>
      </c>
      <c r="AX364" s="188" t="str">
        <f>+VLOOKUP(TablaPrincipal[[#This Row],[CODIGO]],TablaCosechas[#All],10,0)</f>
        <v>GUSTAVO CARRASCO</v>
      </c>
    </row>
    <row r="365" spans="1:50" x14ac:dyDescent="0.25">
      <c r="A365" s="196">
        <v>46149</v>
      </c>
      <c r="B365" s="242">
        <v>363</v>
      </c>
      <c r="C365" s="183">
        <f>YEAR(TablaPrincipal[[#This Row],[FECHA]])</f>
        <v>2026</v>
      </c>
      <c r="D365" s="183" t="s">
        <v>346</v>
      </c>
      <c r="E365" s="183" t="str">
        <f>UPPER(TEXT(TablaPrincipal[[#This Row],[FECHA]],"MMMM"))</f>
        <v>MAYO</v>
      </c>
      <c r="F365" s="183" t="str">
        <f>IFERROR(VLOOKUP(TablaPrincipal[[#This Row],[CODIGO]],COSECHAS!A:J,9,0),"-")</f>
        <v>03</v>
      </c>
      <c r="G365" s="183" t="str">
        <f>IFERROR(VLOOKUP(TablaPrincipal[[#This Row],[CODIGO]],COSECHAS!A:I,8,0),"-")</f>
        <v>BARRACUDA</v>
      </c>
      <c r="H365" s="184">
        <f>IFERROR(VLOOKUP(TablaPrincipal[[#This Row],[CODIGO]],DATOS!A:B,2,0),"-")</f>
        <v>3</v>
      </c>
      <c r="I365" s="183" t="str">
        <f>IFERROR(VLOOKUP(TablaPrincipal[[#This Row],[CODIGO]],Tabla8[[#Headers],[#Data]],3,0),"-")</f>
        <v>CONVENCIONAL</v>
      </c>
      <c r="J365" s="183">
        <f>IFERROR(TablaPrincipal[[#This Row],[FECHA]]-TablaPrincipal[[#This Row],[FECHA DE SIEMBRA]],"-")</f>
        <v>73</v>
      </c>
      <c r="K365" s="196">
        <f>VLOOKUP(TablaPrincipal[[#This Row],[CODIGO]]&amp;TablaPrincipal[[#This Row],[AGUAJE ]],Tabla4[#All],4,0)</f>
        <v>46076</v>
      </c>
      <c r="L365" s="183" t="str">
        <f>VLOOKUP(TablaPrincipal[[#This Row],[CODIGO]]&amp;TablaPrincipal[[#This Row],[AGUAJE ]],Tabla4[#All],15,0)</f>
        <v>PA PS 9</v>
      </c>
      <c r="M365" s="184">
        <f>VLOOKUP(TablaPrincipal[[#This Row],[CODIGO]]&amp;TablaPrincipal[[#This Row],[AGUAJE ]],Tabla4[#All],14,0)</f>
        <v>0.6</v>
      </c>
      <c r="N365" s="183">
        <v>17</v>
      </c>
      <c r="O365" s="170">
        <f>VLOOKUP(TablaPrincipal[[#This Row],[CODIGO]]&amp;TablaPrincipal[[#This Row],[AGUAJE ]],Tabla4[#All],5,0)</f>
        <v>480000</v>
      </c>
      <c r="P365" s="221">
        <f>IFERROR(TablaPrincipal[[#This Row],[ANIM SEMBRADOS]]/TablaPrincipal[[#This Row],[HAS]],"-")</f>
        <v>160000</v>
      </c>
      <c r="Q365" s="222">
        <f>IFERROR(TablaPrincipal[[#This Row],[DENSIDAD]]/10000,"-")</f>
        <v>16</v>
      </c>
      <c r="R365" s="183" t="str">
        <f>VLOOKUP(TablaPrincipal[[#This Row],[CODIGO]]&amp;TablaPrincipal[[#This Row],[AGUAJE ]],Tabla4[#All],8,0)</f>
        <v>LARDEMA</v>
      </c>
      <c r="S365" s="183" t="str">
        <f>VLOOKUP(TablaPrincipal[[#This Row],[CODIGO]]&amp;TablaPrincipal[[#This Row],[AGUAJE ]],Tabla4[#All],7,0)</f>
        <v>PRONAUPLIO</v>
      </c>
      <c r="T365" s="183" t="str">
        <f>IF(ISNUMBER(FIND("/",TablaPrincipal[[#This Row],[LABORATORIO]])),"COMBINADO","UNICO")</f>
        <v>UNICO</v>
      </c>
      <c r="U3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4300</v>
      </c>
      <c r="V36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4654.3099999999995</v>
      </c>
      <c r="W36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6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21.869999999999997</v>
      </c>
      <c r="Y365" s="185">
        <f>IFERROR(TablaPrincipal[[#This Row],[LIBRAS RALEO PLANTA]]/TablaPrincipal[[#This Row],[HAS]],"-")</f>
        <v>1551.4366666666665</v>
      </c>
      <c r="Z36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97305.463256820396</v>
      </c>
      <c r="AA36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11700</v>
      </c>
      <c r="AB36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12254.21</v>
      </c>
      <c r="AC365" s="186">
        <f>SUMIFS(COSECHAS!F:F,COSECHAS!A:A,'BASE 2026'!AW:AW,COSECHAS!G:G,"="&amp;A:A)</f>
        <v>26</v>
      </c>
      <c r="AD365" s="186">
        <f>SUMIFS(COSECHAS!M:M,COSECHAS!A:A,'BASE 2026'!AW:AW,COSECHAS!G:G,"="&amp;A:A)</f>
        <v>29.36</v>
      </c>
      <c r="AE365" s="185">
        <f>IFERROR(TablaPrincipal[[#This Row],[LIBRAS PLANTA]]/TablaPrincipal[[#This Row],[HAS]],"-")</f>
        <v>4084.7366666666662</v>
      </c>
      <c r="AF365" s="185">
        <f>IFERROR(TablaPrincipal[[#This Row],[LIBRAS PLANTA]]*454/TablaPrincipal[[#This Row],[GRAMOS PLANTA]],"-")</f>
        <v>189489.48705722071</v>
      </c>
      <c r="AG365" s="185">
        <f>TablaPrincipal[[#This Row],[LIBRAS RALEO PLANTA]]+TablaPrincipal[[#This Row],[LIBRAS PLANTA]]</f>
        <v>16908.519999999997</v>
      </c>
      <c r="AH365" s="185">
        <f>IFERROR(TablaPrincipal[[#This Row],[CAM COSECHADOS RALEO]]+TablaPrincipal[[#This Row],[CAM COSECHADOS]],"-")</f>
        <v>286794.95031404111</v>
      </c>
      <c r="AI365" s="185">
        <f>IFERROR((TablaPrincipal[[#This Row],[LIBRAS RALEO PLANTA]]+TablaPrincipal[[#This Row],[LIBRAS PLANTA]])/TablaPrincipal[[#This Row],[HAS]],"0")</f>
        <v>5636.1733333333323</v>
      </c>
      <c r="AJ365" s="186">
        <f t="shared" si="8"/>
        <v>2.8153424657534245</v>
      </c>
      <c r="AK365" s="186">
        <f>IFERROR(TablaPrincipal[[#This Row],[LBS/HA]]/TablaPrincipal[[#This Row],[DIAS]],"-")</f>
        <v>77.207853881278524</v>
      </c>
      <c r="AL365" s="186">
        <f>IFERROR(TablaPrincipal[[#This Row],[CAM COSECHADOS TOTALES]]/TablaPrincipal[[#This Row],[ANIM SEMBRADOS]]*100,"-")</f>
        <v>59.748947982091892</v>
      </c>
      <c r="AM365" s="185">
        <v>27006.350000000002</v>
      </c>
      <c r="AN365" s="187">
        <f>IFERROR(((TablaPrincipal[[#This Row],[BALANCEADO ACUMULADO (LBS)]]/2.2046)/TablaPrincipal[[#This Row],[HAS]])/TablaPrincipal[[#This Row],[DIAS]],"-")</f>
        <v>55.93607305936073</v>
      </c>
      <c r="AO365" s="184">
        <f>IFERROR(TablaPrincipal[[#This Row],[BALANCEADO ACUMULADO (LBS)]]/TablaPrincipal[[#This Row],[LIBRAS TOTALES]],"-")</f>
        <v>1.5972036582740541</v>
      </c>
      <c r="AP365" s="184"/>
      <c r="AQ365" s="184"/>
      <c r="AR365" s="185">
        <f>TablaPrincipal[[#This Row],[LIBRAS RALEO PLANTA]]-TablaPrincipal[[#This Row],[LIBRAS RALEO CAMARONERA]]</f>
        <v>354.30999999999949</v>
      </c>
      <c r="AS365" s="185">
        <f>TablaPrincipal[[#This Row],[LIBRAS PLANTA]]-TablaPrincipal[[#This Row],[LIBRAS CAMARONERA]]</f>
        <v>554.20999999999913</v>
      </c>
      <c r="AT365" s="187">
        <f>TablaPrincipal[[#This Row],[GRAMAJE RALEO PLANTA]]-TablaPrincipal[[#This Row],[GRAMAJE RALEO CAMARONERA]]</f>
        <v>1.3699999999999974</v>
      </c>
      <c r="AU365" s="187">
        <f>TablaPrincipal[[#This Row],[GRAMOS PLANTA]]-TablaPrincipal[[#This Row],[GRAMAJE CAMARONERA]]</f>
        <v>3.3599999999999994</v>
      </c>
      <c r="AV365" s="183" t="str">
        <f>+VLOOKUP(TablaPrincipal[[#This Row],[CODIGO]],TablaCosechas[#All],10,0)</f>
        <v>GUSTAVO CARRASCO</v>
      </c>
      <c r="AW365" s="183" t="s">
        <v>205</v>
      </c>
      <c r="AX365" s="188" t="str">
        <f>+VLOOKUP(TablaPrincipal[[#This Row],[CODIGO]],TablaCosechas[#All],10,0)</f>
        <v>GUSTAVO CARRASCO</v>
      </c>
    </row>
    <row r="366" spans="1:50" x14ac:dyDescent="0.25">
      <c r="A366" s="196">
        <v>46149</v>
      </c>
      <c r="B366" s="242">
        <v>364</v>
      </c>
      <c r="C366" s="183">
        <f>YEAR(TablaPrincipal[[#This Row],[FECHA]])</f>
        <v>2026</v>
      </c>
      <c r="D366" s="183" t="s">
        <v>346</v>
      </c>
      <c r="E366" s="183" t="str">
        <f>UPPER(TEXT(TablaPrincipal[[#This Row],[FECHA]],"MMMM"))</f>
        <v>MAYO</v>
      </c>
      <c r="F366" s="183" t="str">
        <f>IFERROR(VLOOKUP(TablaPrincipal[[#This Row],[CODIGO]],COSECHAS!A:J,9,0),"-")</f>
        <v>06</v>
      </c>
      <c r="G366" s="183" t="str">
        <f>IFERROR(VLOOKUP(TablaPrincipal[[#This Row],[CODIGO]],COSECHAS!A:I,8,0),"-")</f>
        <v>PARGO ROJO</v>
      </c>
      <c r="H366" s="184">
        <f>IFERROR(VLOOKUP(TablaPrincipal[[#This Row],[CODIGO]],DATOS!A:B,2,0),"-")</f>
        <v>7.5</v>
      </c>
      <c r="I366" s="183" t="str">
        <f>IFERROR(VLOOKUP(TablaPrincipal[[#This Row],[CODIGO]],Tabla8[[#Headers],[#Data]],3,0),"-")</f>
        <v>CONVENCIONAL</v>
      </c>
      <c r="J366" s="183">
        <f>IFERROR(TablaPrincipal[[#This Row],[FECHA]]-TablaPrincipal[[#This Row],[FECHA DE SIEMBRA]],"-")</f>
        <v>80</v>
      </c>
      <c r="K366" s="196">
        <f>VLOOKUP(TablaPrincipal[[#This Row],[CODIGO]]&amp;TablaPrincipal[[#This Row],[AGUAJE ]],Tabla4[#All],4,0)</f>
        <v>46069</v>
      </c>
      <c r="L366" s="183" t="str">
        <f>VLOOKUP(TablaPrincipal[[#This Row],[CODIGO]]&amp;TablaPrincipal[[#This Row],[AGUAJE ]],Tabla4[#All],15,0)</f>
        <v>PR PC 01</v>
      </c>
      <c r="M366" s="184">
        <f>VLOOKUP(TablaPrincipal[[#This Row],[CODIGO]]&amp;TablaPrincipal[[#This Row],[AGUAJE ]],Tabla4[#All],14,0)</f>
        <v>0.4</v>
      </c>
      <c r="N366" s="183">
        <v>5</v>
      </c>
      <c r="O366" s="170">
        <f>VLOOKUP(TablaPrincipal[[#This Row],[CODIGO]]&amp;TablaPrincipal[[#This Row],[AGUAJE ]],Tabla4[#All],5,0)</f>
        <v>1500000</v>
      </c>
      <c r="P366" s="221">
        <f>IFERROR(TablaPrincipal[[#This Row],[ANIM SEMBRADOS]]/TablaPrincipal[[#This Row],[HAS]],"-")</f>
        <v>200000</v>
      </c>
      <c r="Q366" s="222">
        <f>IFERROR(TablaPrincipal[[#This Row],[DENSIDAD]]/10000,"-")</f>
        <v>20</v>
      </c>
      <c r="R366" s="183" t="str">
        <f>VLOOKUP(TablaPrincipal[[#This Row],[CODIGO]]&amp;TablaPrincipal[[#This Row],[AGUAJE ]],Tabla4[#All],8,0)</f>
        <v>GRILSAN</v>
      </c>
      <c r="S366" s="183" t="str">
        <f>VLOOKUP(TablaPrincipal[[#This Row],[CODIGO]]&amp;TablaPrincipal[[#This Row],[AGUAJE ]],Tabla4[#All],7,0)</f>
        <v>TEXCUMAR</v>
      </c>
      <c r="T366" s="183" t="str">
        <f>IF(ISNUMBER(FIND("/",TablaPrincipal[[#This Row],[LABORATORIO]])),"COMBINADO","UNICO")</f>
        <v>UNICO</v>
      </c>
      <c r="U3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5000</v>
      </c>
      <c r="V36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5507.18</v>
      </c>
      <c r="W36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36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20.14</v>
      </c>
      <c r="Y366" s="185">
        <f>IFERROR(TablaPrincipal[[#This Row],[LIBRAS RALEO PLANTA]]/TablaPrincipal[[#This Row],[HAS]],"-")</f>
        <v>734.29066666666665</v>
      </c>
      <c r="Z36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124143.9781529295</v>
      </c>
      <c r="AA36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29900</v>
      </c>
      <c r="AB36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32112.07</v>
      </c>
      <c r="AC366" s="186">
        <f>SUMIFS(COSECHAS!F:F,COSECHAS!A:A,'BASE 2026'!AW:AW,COSECHAS!G:G,"="&amp;A:A)</f>
        <v>30</v>
      </c>
      <c r="AD366" s="186">
        <f>SUMIFS(COSECHAS!M:M,COSECHAS!A:A,'BASE 2026'!AW:AW,COSECHAS!G:G,"="&amp;A:A)</f>
        <v>31.4</v>
      </c>
      <c r="AE366" s="185">
        <f>IFERROR(TablaPrincipal[[#This Row],[LIBRAS PLANTA]]/TablaPrincipal[[#This Row],[HAS]],"-")</f>
        <v>4281.6093333333329</v>
      </c>
      <c r="AF366" s="185">
        <f>IFERROR(TablaPrincipal[[#This Row],[LIBRAS PLANTA]]*454/TablaPrincipal[[#This Row],[GRAMOS PLANTA]],"-")</f>
        <v>464295.53439490445</v>
      </c>
      <c r="AG366" s="185">
        <f>TablaPrincipal[[#This Row],[LIBRAS RALEO PLANTA]]+TablaPrincipal[[#This Row],[LIBRAS PLANTA]]</f>
        <v>37619.25</v>
      </c>
      <c r="AH366" s="185">
        <f>IFERROR(TablaPrincipal[[#This Row],[CAM COSECHADOS RALEO]]+TablaPrincipal[[#This Row],[CAM COSECHADOS]],"-")</f>
        <v>588439.51254783396</v>
      </c>
      <c r="AI366" s="185">
        <f>IFERROR((TablaPrincipal[[#This Row],[LIBRAS RALEO PLANTA]]+TablaPrincipal[[#This Row],[LIBRAS PLANTA]])/TablaPrincipal[[#This Row],[HAS]],"0")</f>
        <v>5015.8999999999996</v>
      </c>
      <c r="AJ366" s="186">
        <f t="shared" si="8"/>
        <v>2.7474999999999996</v>
      </c>
      <c r="AK366" s="186">
        <f>IFERROR(TablaPrincipal[[#This Row],[LBS/HA]]/TablaPrincipal[[#This Row],[DIAS]],"-")</f>
        <v>62.698749999999997</v>
      </c>
      <c r="AL366" s="186">
        <f>IFERROR(TablaPrincipal[[#This Row],[CAM COSECHADOS TOTALES]]/TablaPrincipal[[#This Row],[ANIM SEMBRADOS]]*100,"-")</f>
        <v>39.229300836522263</v>
      </c>
      <c r="AM366" s="185">
        <v>62886.215000000004</v>
      </c>
      <c r="AN366" s="187">
        <f>IFERROR(((TablaPrincipal[[#This Row],[BALANCEADO ACUMULADO (LBS)]]/2.2046)/TablaPrincipal[[#This Row],[HAS]])/TablaPrincipal[[#This Row],[DIAS]],"-")</f>
        <v>47.541666666666671</v>
      </c>
      <c r="AO366" s="184">
        <f>IFERROR(TablaPrincipal[[#This Row],[BALANCEADO ACUMULADO (LBS)]]/TablaPrincipal[[#This Row],[LIBRAS TOTALES]],"-")</f>
        <v>1.6716498866936476</v>
      </c>
      <c r="AP366" s="184"/>
      <c r="AQ366" s="184"/>
      <c r="AR366" s="185">
        <f>TablaPrincipal[[#This Row],[LIBRAS RALEO PLANTA]]-TablaPrincipal[[#This Row],[LIBRAS RALEO CAMARONERA]]</f>
        <v>507.18000000000029</v>
      </c>
      <c r="AS366" s="185">
        <f>TablaPrincipal[[#This Row],[LIBRAS PLANTA]]-TablaPrincipal[[#This Row],[LIBRAS CAMARONERA]]</f>
        <v>2212.0699999999997</v>
      </c>
      <c r="AT366" s="187">
        <f>TablaPrincipal[[#This Row],[GRAMAJE RALEO PLANTA]]-TablaPrincipal[[#This Row],[GRAMAJE RALEO CAMARONERA]]</f>
        <v>4.1400000000000006</v>
      </c>
      <c r="AU366" s="187">
        <f>TablaPrincipal[[#This Row],[GRAMOS PLANTA]]-TablaPrincipal[[#This Row],[GRAMAJE CAMARONERA]]</f>
        <v>1.3999999999999986</v>
      </c>
      <c r="AV366" s="183" t="str">
        <f>+VLOOKUP(TablaPrincipal[[#This Row],[CODIGO]],TablaCosechas[#All],10,0)</f>
        <v>WILMER TORRES</v>
      </c>
      <c r="AW366" s="183" t="s">
        <v>217</v>
      </c>
      <c r="AX366" s="188" t="str">
        <f>+VLOOKUP(TablaPrincipal[[#This Row],[CODIGO]],TablaCosechas[#All],10,0)</f>
        <v>WILMER TORRES</v>
      </c>
    </row>
    <row r="367" spans="1:50" x14ac:dyDescent="0.25">
      <c r="A367" s="196">
        <v>46150</v>
      </c>
      <c r="B367" s="242">
        <v>365</v>
      </c>
      <c r="C367" s="183">
        <f>YEAR(TablaPrincipal[[#This Row],[FECHA]])</f>
        <v>2026</v>
      </c>
      <c r="D367" s="183" t="s">
        <v>346</v>
      </c>
      <c r="E367" s="183" t="str">
        <f>UPPER(TEXT(TablaPrincipal[[#This Row],[FECHA]],"MMMM"))</f>
        <v>MAYO</v>
      </c>
      <c r="F367" s="183" t="str">
        <f>IFERROR(VLOOKUP(TablaPrincipal[[#This Row],[CODIGO]],COSECHAS!A:J,9,0),"-")</f>
        <v>07</v>
      </c>
      <c r="G367" s="183" t="str">
        <f>IFERROR(VLOOKUP(TablaPrincipal[[#This Row],[CODIGO]],COSECHAS!A:I,8,0),"-")</f>
        <v>CATANUDA</v>
      </c>
      <c r="H367" s="184">
        <f>IFERROR(VLOOKUP(TablaPrincipal[[#This Row],[CODIGO]],DATOS!A:B,2,0),"-")</f>
        <v>7.72</v>
      </c>
      <c r="I367" s="183" t="str">
        <f>IFERROR(VLOOKUP(TablaPrincipal[[#This Row],[CODIGO]],Tabla8[[#Headers],[#Data]],3,0),"-")</f>
        <v>ASC-BAP</v>
      </c>
      <c r="J367" s="183">
        <f>IFERROR(TablaPrincipal[[#This Row],[FECHA]]-TablaPrincipal[[#This Row],[FECHA DE SIEMBRA]],"-")</f>
        <v>77</v>
      </c>
      <c r="K367" s="196">
        <f>VLOOKUP(TablaPrincipal[[#This Row],[CODIGO]]&amp;TablaPrincipal[[#This Row],[AGUAJE ]],Tabla4[#All],4,0)</f>
        <v>46073</v>
      </c>
      <c r="L367" s="183" t="str">
        <f>VLOOKUP(TablaPrincipal[[#This Row],[CODIGO]]&amp;TablaPrincipal[[#This Row],[AGUAJE ]],Tabla4[#All],15,0)</f>
        <v>RO PC01 - CA PC 08</v>
      </c>
      <c r="M367" s="184">
        <f>VLOOKUP(TablaPrincipal[[#This Row],[CODIGO]]&amp;TablaPrincipal[[#This Row],[AGUAJE ]],Tabla4[#All],14,0)</f>
        <v>0.6</v>
      </c>
      <c r="N367" s="183">
        <v>11</v>
      </c>
      <c r="O367" s="170">
        <f>VLOOKUP(TablaPrincipal[[#This Row],[CODIGO]]&amp;TablaPrincipal[[#This Row],[AGUAJE ]],Tabla4[#All],5,0)</f>
        <v>1312400</v>
      </c>
      <c r="P367" s="221">
        <f>IFERROR(TablaPrincipal[[#This Row],[ANIM SEMBRADOS]]/TablaPrincipal[[#This Row],[HAS]],"-")</f>
        <v>170000</v>
      </c>
      <c r="Q367" s="222">
        <f>IFERROR(TablaPrincipal[[#This Row],[DENSIDAD]]/10000,"-")</f>
        <v>17</v>
      </c>
      <c r="R367" s="183" t="str">
        <f>VLOOKUP(TablaPrincipal[[#This Row],[CODIGO]]&amp;TablaPrincipal[[#This Row],[AGUAJE ]],Tabla4[#All],8,0)</f>
        <v>PRONAUPLIO</v>
      </c>
      <c r="S367" s="183" t="str">
        <f>VLOOKUP(TablaPrincipal[[#This Row],[CODIGO]]&amp;TablaPrincipal[[#This Row],[AGUAJE ]],Tabla4[#All],7,0)</f>
        <v>SEMACUA</v>
      </c>
      <c r="T367" s="183" t="str">
        <f>IF(ISNUMBER(FIND("/",TablaPrincipal[[#This Row],[LABORATORIO]])),"COMBINADO","UNICO")</f>
        <v>UNICO</v>
      </c>
      <c r="U3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12900</v>
      </c>
      <c r="V36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13929.470000000001</v>
      </c>
      <c r="W36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6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21.78</v>
      </c>
      <c r="Y367" s="185">
        <f>IFERROR(TablaPrincipal[[#This Row],[LIBRAS RALEO PLANTA]]/TablaPrincipal[[#This Row],[HAS]],"-")</f>
        <v>1804.3354922279796</v>
      </c>
      <c r="Z36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295101.48109660909</v>
      </c>
      <c r="AA36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37000</v>
      </c>
      <c r="AB36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41797.57</v>
      </c>
      <c r="AC367" s="186">
        <f>SUMIFS(COSECHAS!F:F,COSECHAS!A:A,'BASE 2026'!AW:AW,COSECHAS!G:G,"="&amp;A:A)</f>
        <v>30</v>
      </c>
      <c r="AD367" s="186">
        <f>SUMIFS(COSECHAS!M:M,COSECHAS!A:A,'BASE 2026'!AW:AW,COSECHAS!G:G,"="&amp;A:A)</f>
        <v>31.5</v>
      </c>
      <c r="AE367" s="185">
        <f>IFERROR(TablaPrincipal[[#This Row],[LIBRAS PLANTA]]/TablaPrincipal[[#This Row],[HAS]],"-")</f>
        <v>5414.193005181347</v>
      </c>
      <c r="AF367" s="185">
        <f>IFERROR(TablaPrincipal[[#This Row],[LIBRAS PLANTA]]*454/TablaPrincipal[[#This Row],[GRAMOS PLANTA]],"-")</f>
        <v>602415.77079365088</v>
      </c>
      <c r="AG367" s="185">
        <f>TablaPrincipal[[#This Row],[LIBRAS RALEO PLANTA]]+TablaPrincipal[[#This Row],[LIBRAS PLANTA]]</f>
        <v>55727.040000000001</v>
      </c>
      <c r="AH367" s="185">
        <f>IFERROR(TablaPrincipal[[#This Row],[CAM COSECHADOS RALEO]]+TablaPrincipal[[#This Row],[CAM COSECHADOS]],"-")</f>
        <v>897517.25189026003</v>
      </c>
      <c r="AI367" s="185">
        <f>IFERROR((TablaPrincipal[[#This Row],[LIBRAS RALEO PLANTA]]+TablaPrincipal[[#This Row],[LIBRAS PLANTA]])/TablaPrincipal[[#This Row],[HAS]],"0")</f>
        <v>7218.5284974093265</v>
      </c>
      <c r="AJ367" s="186">
        <f t="shared" ref="AJ367" si="9">IFERROR(AD367/(J367/7),"-")</f>
        <v>2.8636363636363638</v>
      </c>
      <c r="AK367" s="186">
        <f>IFERROR(TablaPrincipal[[#This Row],[LBS/HA]]/TablaPrincipal[[#This Row],[DIAS]],"-")</f>
        <v>93.74712334297827</v>
      </c>
      <c r="AL367" s="186">
        <f>IFERROR(TablaPrincipal[[#This Row],[CAM COSECHADOS TOTALES]]/TablaPrincipal[[#This Row],[ANIM SEMBRADOS]]*100,"-")</f>
        <v>68.387477285146304</v>
      </c>
      <c r="AM367" s="185">
        <v>73633.64</v>
      </c>
      <c r="AN367" s="187">
        <f>IFERROR(((TablaPrincipal[[#This Row],[BALANCEADO ACUMULADO (LBS)]]/2.2046)/TablaPrincipal[[#This Row],[HAS]])/TablaPrincipal[[#This Row],[DIAS]],"-")</f>
        <v>56.187335980082096</v>
      </c>
      <c r="AO367" s="184">
        <f>IFERROR(TablaPrincipal[[#This Row],[BALANCEADO ACUMULADO (LBS)]]/TablaPrincipal[[#This Row],[LIBRAS TOTALES]],"-")</f>
        <v>1.3213269536655814</v>
      </c>
      <c r="AP367" s="184"/>
      <c r="AQ367" s="184"/>
      <c r="AR367" s="185">
        <f>TablaPrincipal[[#This Row],[LIBRAS RALEO PLANTA]]-TablaPrincipal[[#This Row],[LIBRAS RALEO CAMARONERA]]</f>
        <v>1029.4700000000012</v>
      </c>
      <c r="AS367" s="185">
        <f>TablaPrincipal[[#This Row],[LIBRAS PLANTA]]-TablaPrincipal[[#This Row],[LIBRAS CAMARONERA]]</f>
        <v>4797.57</v>
      </c>
      <c r="AT367" s="187">
        <f>TablaPrincipal[[#This Row],[GRAMAJE RALEO PLANTA]]-TablaPrincipal[[#This Row],[GRAMAJE RALEO CAMARONERA]]</f>
        <v>1.2800000000000011</v>
      </c>
      <c r="AU367" s="187">
        <f>TablaPrincipal[[#This Row],[GRAMOS PLANTA]]-TablaPrincipal[[#This Row],[GRAMAJE CAMARONERA]]</f>
        <v>1.5</v>
      </c>
      <c r="AV367" s="183" t="str">
        <f>+VLOOKUP(TablaPrincipal[[#This Row],[CODIGO]],TablaCosechas[#All],10,0)</f>
        <v>VICTOR QUINTANA</v>
      </c>
      <c r="AW367" s="183" t="s">
        <v>213</v>
      </c>
      <c r="AX367" s="241" t="str">
        <f>+VLOOKUP(TablaPrincipal[[#This Row],[CODIGO]],TablaCosechas[#All],10,0)</f>
        <v>VICTOR QUINTANA</v>
      </c>
    </row>
    <row r="368" spans="1:50" x14ac:dyDescent="0.25">
      <c r="A368" s="196">
        <v>46150</v>
      </c>
      <c r="B368" s="242">
        <v>366</v>
      </c>
      <c r="C368" s="183">
        <f>YEAR(TablaPrincipal[[#This Row],[FECHA]])</f>
        <v>2026</v>
      </c>
      <c r="D368" s="183" t="s">
        <v>346</v>
      </c>
      <c r="E368" s="183" t="str">
        <f>UPPER(TEXT(TablaPrincipal[[#This Row],[FECHA]],"MMMM"))</f>
        <v>MAYO</v>
      </c>
      <c r="F368" s="183" t="str">
        <f>IFERROR(VLOOKUP(TablaPrincipal[[#This Row],[CODIGO]],COSECHAS!A:J,9,0),"-")</f>
        <v>05</v>
      </c>
      <c r="G368" s="183" t="str">
        <f>IFERROR(VLOOKUP(TablaPrincipal[[#This Row],[CODIGO]],COSECHAS!A:I,8,0),"-")</f>
        <v>BARRACUDA</v>
      </c>
      <c r="H368" s="184">
        <f>IFERROR(VLOOKUP(TablaPrincipal[[#This Row],[CODIGO]],DATOS!A:B,2,0),"-")</f>
        <v>4</v>
      </c>
      <c r="I368" s="183" t="str">
        <f>IFERROR(VLOOKUP(TablaPrincipal[[#This Row],[CODIGO]],Tabla8[[#Headers],[#Data]],3,0),"-")</f>
        <v>CONVENCIONAL</v>
      </c>
      <c r="J368" s="183">
        <f>IFERROR(TablaPrincipal[[#This Row],[FECHA]]-TablaPrincipal[[#This Row],[FECHA DE SIEMBRA]],"-")</f>
        <v>74</v>
      </c>
      <c r="K368" s="196">
        <f>VLOOKUP(TablaPrincipal[[#This Row],[CODIGO]]&amp;TablaPrincipal[[#This Row],[AGUAJE ]],Tabla4[#All],4,0)</f>
        <v>46076</v>
      </c>
      <c r="L368" s="183" t="str">
        <f>VLOOKUP(TablaPrincipal[[#This Row],[CODIGO]]&amp;TablaPrincipal[[#This Row],[AGUAJE ]],Tabla4[#All],15,0)</f>
        <v>PA PS 9</v>
      </c>
      <c r="M368" s="184">
        <f>VLOOKUP(TablaPrincipal[[#This Row],[CODIGO]]&amp;TablaPrincipal[[#This Row],[AGUAJE ]],Tabla4[#All],14,0)</f>
        <v>0.6</v>
      </c>
      <c r="N368" s="183">
        <v>15</v>
      </c>
      <c r="O368" s="170">
        <f>VLOOKUP(TablaPrincipal[[#This Row],[CODIGO]]&amp;TablaPrincipal[[#This Row],[AGUAJE ]],Tabla4[#All],5,0)</f>
        <v>690909</v>
      </c>
      <c r="P368" s="221">
        <f>IFERROR(TablaPrincipal[[#This Row],[ANIM SEMBRADOS]]/TablaPrincipal[[#This Row],[HAS]],"-")</f>
        <v>172727.25</v>
      </c>
      <c r="Q368" s="222">
        <f>IFERROR(TablaPrincipal[[#This Row],[DENSIDAD]]/10000,"-")</f>
        <v>17.272725000000001</v>
      </c>
      <c r="R368" s="183" t="str">
        <f>VLOOKUP(TablaPrincipal[[#This Row],[CODIGO]]&amp;TablaPrincipal[[#This Row],[AGUAJE ]],Tabla4[#All],8,0)</f>
        <v>LARDEMA</v>
      </c>
      <c r="S368" s="183" t="str">
        <f>VLOOKUP(TablaPrincipal[[#This Row],[CODIGO]]&amp;TablaPrincipal[[#This Row],[AGUAJE ]],Tabla4[#All],7,0)</f>
        <v>PRONAUPLIO</v>
      </c>
      <c r="T368" s="183" t="str">
        <f>IF(ISNUMBER(FIND("/",TablaPrincipal[[#This Row],[LABORATORIO]])),"COMBINADO","UNICO")</f>
        <v>UNICO</v>
      </c>
      <c r="U3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7400</v>
      </c>
      <c r="V36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8147.57</v>
      </c>
      <c r="W36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6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20.91</v>
      </c>
      <c r="Y368" s="185">
        <f>IFERROR(TablaPrincipal[[#This Row],[LIBRAS RALEO PLANTA]]/TablaPrincipal[[#This Row],[HAS]],"-")</f>
        <v>2036.8924999999999</v>
      </c>
      <c r="Z36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176888.302781643</v>
      </c>
      <c r="AA36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19100</v>
      </c>
      <c r="AB36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19696.78</v>
      </c>
      <c r="AC368" s="186">
        <f>SUMIFS(COSECHAS!F:F,COSECHAS!A:A,'BASE 2026'!AW:AW,COSECHAS!G:G,"="&amp;A:A)</f>
        <v>28</v>
      </c>
      <c r="AD368" s="186">
        <f>SUMIFS(COSECHAS!M:M,COSECHAS!A:A,'BASE 2026'!AW:AW,COSECHAS!G:G,"="&amp;A:A)</f>
        <v>28.45</v>
      </c>
      <c r="AE368" s="185">
        <f>IFERROR(TablaPrincipal[[#This Row],[LIBRAS PLANTA]]/TablaPrincipal[[#This Row],[HAS]],"-")</f>
        <v>4924.1949999999997</v>
      </c>
      <c r="AF368" s="185">
        <f>IFERROR(TablaPrincipal[[#This Row],[LIBRAS PLANTA]]*454/TablaPrincipal[[#This Row],[GRAMOS PLANTA]],"-")</f>
        <v>314317.68435852369</v>
      </c>
      <c r="AG368" s="185">
        <f>TablaPrincipal[[#This Row],[LIBRAS RALEO PLANTA]]+TablaPrincipal[[#This Row],[LIBRAS PLANTA]]</f>
        <v>27844.35</v>
      </c>
      <c r="AH368" s="185">
        <f>IFERROR(TablaPrincipal[[#This Row],[CAM COSECHADOS RALEO]]+TablaPrincipal[[#This Row],[CAM COSECHADOS]],"-")</f>
        <v>491205.98714016669</v>
      </c>
      <c r="AI368" s="185">
        <f>IFERROR((TablaPrincipal[[#This Row],[LIBRAS RALEO PLANTA]]+TablaPrincipal[[#This Row],[LIBRAS PLANTA]])/TablaPrincipal[[#This Row],[HAS]],"0")</f>
        <v>6961.0874999999996</v>
      </c>
      <c r="AJ368" s="186">
        <f>IFERROR(AD368/(J368/7),"-")</f>
        <v>2.6912162162162163</v>
      </c>
      <c r="AK368" s="186">
        <f>IFERROR(TablaPrincipal[[#This Row],[LBS/HA]]/TablaPrincipal[[#This Row],[DIAS]],"-")</f>
        <v>94.068749999999994</v>
      </c>
      <c r="AL368" s="186">
        <f>IFERROR(TablaPrincipal[[#This Row],[CAM COSECHADOS TOTALES]]/TablaPrincipal[[#This Row],[ANIM SEMBRADOS]]*100,"-")</f>
        <v>71.095612756552114</v>
      </c>
      <c r="AM368" s="185">
        <v>37367.97</v>
      </c>
      <c r="AN368" s="187">
        <f>IFERROR(((TablaPrincipal[[#This Row],[BALANCEADO ACUMULADO (LBS)]]/2.2046)/TablaPrincipal[[#This Row],[HAS]])/TablaPrincipal[[#This Row],[DIAS]],"-")</f>
        <v>57.263513513513516</v>
      </c>
      <c r="AO368" s="184">
        <f>IFERROR(TablaPrincipal[[#This Row],[BALANCEADO ACUMULADO (LBS)]]/TablaPrincipal[[#This Row],[LIBRAS TOTALES]],"-")</f>
        <v>1.3420306094414127</v>
      </c>
      <c r="AP368" s="184"/>
      <c r="AQ368" s="184"/>
      <c r="AR368" s="185">
        <f>TablaPrincipal[[#This Row],[LIBRAS RALEO PLANTA]]-TablaPrincipal[[#This Row],[LIBRAS RALEO CAMARONERA]]</f>
        <v>747.56999999999971</v>
      </c>
      <c r="AS368" s="185">
        <f>TablaPrincipal[[#This Row],[LIBRAS PLANTA]]-TablaPrincipal[[#This Row],[LIBRAS CAMARONERA]]</f>
        <v>596.77999999999884</v>
      </c>
      <c r="AT368" s="187">
        <f>TablaPrincipal[[#This Row],[GRAMAJE RALEO PLANTA]]-TablaPrincipal[[#This Row],[GRAMAJE RALEO CAMARONERA]]</f>
        <v>2.91</v>
      </c>
      <c r="AU368" s="187">
        <f>TablaPrincipal[[#This Row],[GRAMOS PLANTA]]-TablaPrincipal[[#This Row],[GRAMAJE CAMARONERA]]</f>
        <v>0.44999999999999929</v>
      </c>
      <c r="AV368" s="183" t="str">
        <f>+VLOOKUP(TablaPrincipal[[#This Row],[CODIGO]],TablaCosechas[#All],10,0)</f>
        <v>GUSTAVO CARRASCO</v>
      </c>
      <c r="AW368" s="183" t="s">
        <v>209</v>
      </c>
      <c r="AX368" s="188" t="str">
        <f>+VLOOKUP(TablaPrincipal[[#This Row],[CODIGO]],TablaCosechas[#All],10,0)</f>
        <v>GUSTAVO CARRASCO</v>
      </c>
    </row>
    <row r="369" spans="1:50" x14ac:dyDescent="0.25">
      <c r="A369" s="196">
        <v>46153</v>
      </c>
      <c r="B369" s="242">
        <v>367</v>
      </c>
      <c r="C369" s="183">
        <f>YEAR(TablaPrincipal[[#This Row],[FECHA]])</f>
        <v>2026</v>
      </c>
      <c r="D369" s="183" t="s">
        <v>346</v>
      </c>
      <c r="E369" s="183" t="str">
        <f>UPPER(TEXT(TablaPrincipal[[#This Row],[FECHA]],"MMMM"))</f>
        <v>MAYO</v>
      </c>
      <c r="F369" s="183" t="str">
        <f>IFERROR(VLOOKUP(TablaPrincipal[[#This Row],[CODIGO]],COSECHAS!A:J,9,0),"-")</f>
        <v>17</v>
      </c>
      <c r="G369" s="183" t="str">
        <f>IFERROR(VLOOKUP(TablaPrincipal[[#This Row],[CODIGO]],COSECHAS!A:I,8,0),"-")</f>
        <v>DORADO</v>
      </c>
      <c r="H369" s="184">
        <f>IFERROR(VLOOKUP(TablaPrincipal[[#This Row],[CODIGO]],DATOS!A:B,2,0),"-")</f>
        <v>5.01</v>
      </c>
      <c r="I369" s="183" t="str">
        <f>IFERROR(VLOOKUP(TablaPrincipal[[#This Row],[CODIGO]],Tabla8[[#Headers],[#Data]],3,0),"-")</f>
        <v>ASC-BAP</v>
      </c>
      <c r="J369" s="183">
        <f>IFERROR(TablaPrincipal[[#This Row],[FECHA]]-TablaPrincipal[[#This Row],[FECHA DE SIEMBRA]],"-")</f>
        <v>59</v>
      </c>
      <c r="K369" s="196">
        <f>VLOOKUP(TablaPrincipal[[#This Row],[CODIGO]]&amp;TablaPrincipal[[#This Row],[AGUAJE ]],Tabla4[#All],4,0)</f>
        <v>46094</v>
      </c>
      <c r="L369" s="183" t="str">
        <f>VLOOKUP(TablaPrincipal[[#This Row],[CODIGO]]&amp;TablaPrincipal[[#This Row],[AGUAJE ]],Tabla4[#All],15,0)</f>
        <v>DO PS 15</v>
      </c>
      <c r="M369" s="184">
        <f>VLOOKUP(TablaPrincipal[[#This Row],[CODIGO]]&amp;TablaPrincipal[[#This Row],[AGUAJE ]],Tabla4[#All],14,0)</f>
        <v>2.5</v>
      </c>
      <c r="N369" s="183">
        <v>7</v>
      </c>
      <c r="O369" s="170">
        <f>VLOOKUP(TablaPrincipal[[#This Row],[CODIGO]]&amp;TablaPrincipal[[#This Row],[AGUAJE ]],Tabla4[#All],5,0)</f>
        <v>1002000</v>
      </c>
      <c r="P369" s="221">
        <f>IFERROR(TablaPrincipal[[#This Row],[ANIM SEMBRADOS]]/TablaPrincipal[[#This Row],[HAS]],"-")</f>
        <v>200000</v>
      </c>
      <c r="Q369" s="222">
        <f>IFERROR(TablaPrincipal[[#This Row],[DENSIDAD]]/10000,"-")</f>
        <v>20</v>
      </c>
      <c r="R369" s="183" t="str">
        <f>VLOOKUP(TablaPrincipal[[#This Row],[CODIGO]]&amp;TablaPrincipal[[#This Row],[AGUAJE ]],Tabla4[#All],8,0)</f>
        <v>GENESIS</v>
      </c>
      <c r="S369" s="183" t="str">
        <f>VLOOKUP(TablaPrincipal[[#This Row],[CODIGO]]&amp;TablaPrincipal[[#This Row],[AGUAJE ]],Tabla4[#All],7,0)</f>
        <v>TEXCUMAR</v>
      </c>
      <c r="T369" s="183" t="str">
        <f>IF(ISNUMBER(FIND("/",TablaPrincipal[[#This Row],[LABORATORIO]])),"COMBINADO","UNICO")</f>
        <v>UNICO</v>
      </c>
      <c r="U3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10800</v>
      </c>
      <c r="V36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10268.379999999999</v>
      </c>
      <c r="W36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19.25</v>
      </c>
      <c r="X36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21.84</v>
      </c>
      <c r="Y369" s="185">
        <f>IFERROR(TablaPrincipal[[#This Row],[LIBRAS RALEO PLANTA]]/TablaPrincipal[[#This Row],[HAS]],"-")</f>
        <v>2049.576846307385</v>
      </c>
      <c r="Z36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212756.74561403506</v>
      </c>
      <c r="AA36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18250</v>
      </c>
      <c r="AB36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20504.330000000002</v>
      </c>
      <c r="AC369" s="186">
        <f>SUMIFS(COSECHAS!F:F,COSECHAS!A:A,'BASE 2026'!AW:AW,COSECHAS!G:G,"="&amp;A:A)</f>
        <v>30</v>
      </c>
      <c r="AD369" s="186">
        <f>SUMIFS(COSECHAS!M:M,COSECHAS!A:A,'BASE 2026'!AW:AW,COSECHAS!G:G,"="&amp;A:A)</f>
        <v>29.46</v>
      </c>
      <c r="AE369" s="185">
        <f>IFERROR(TablaPrincipal[[#This Row],[LIBRAS PLANTA]]/TablaPrincipal[[#This Row],[HAS]],"-")</f>
        <v>4092.6806387225556</v>
      </c>
      <c r="AF369" s="185">
        <f>IFERROR(TablaPrincipal[[#This Row],[LIBRAS PLANTA]]*454/TablaPrincipal[[#This Row],[GRAMOS PLANTA]],"-")</f>
        <v>315986.61982348945</v>
      </c>
      <c r="AG369" s="185">
        <f>TablaPrincipal[[#This Row],[LIBRAS RALEO PLANTA]]+TablaPrincipal[[#This Row],[LIBRAS PLANTA]]</f>
        <v>30772.71</v>
      </c>
      <c r="AH369" s="185">
        <f>IFERROR(TablaPrincipal[[#This Row],[CAM COSECHADOS RALEO]]+TablaPrincipal[[#This Row],[CAM COSECHADOS]],"-")</f>
        <v>528743.36543752451</v>
      </c>
      <c r="AI369" s="185">
        <f>IFERROR((TablaPrincipal[[#This Row],[LIBRAS RALEO PLANTA]]+TablaPrincipal[[#This Row],[LIBRAS PLANTA]])/TablaPrincipal[[#This Row],[HAS]],"0")</f>
        <v>6142.2574850299407</v>
      </c>
      <c r="AJ369" s="186">
        <f t="shared" ref="AJ369:AJ370" si="10">IFERROR(AD369/(J369/7),"-")</f>
        <v>3.4952542372881354</v>
      </c>
      <c r="AK369" s="186">
        <f>IFERROR(TablaPrincipal[[#This Row],[LBS/HA]]/TablaPrincipal[[#This Row],[DIAS]],"-")</f>
        <v>104.10605906830408</v>
      </c>
      <c r="AL369" s="186">
        <f>IFERROR(TablaPrincipal[[#This Row],[CAM COSECHADOS TOTALES]]/TablaPrincipal[[#This Row],[ANIM SEMBRADOS]]*100,"-")</f>
        <v>52.76879894586073</v>
      </c>
      <c r="AM369" s="185">
        <v>44312.46</v>
      </c>
      <c r="AN369" s="187">
        <f>IFERROR(((TablaPrincipal[[#This Row],[BALANCEADO ACUMULADO (LBS)]]/2.2046)/TablaPrincipal[[#This Row],[HAS]])/TablaPrincipal[[#This Row],[DIAS]],"-")</f>
        <v>67.999594032274445</v>
      </c>
      <c r="AO369" s="184">
        <f>IFERROR(TablaPrincipal[[#This Row],[BALANCEADO ACUMULADO (LBS)]]/TablaPrincipal[[#This Row],[LIBRAS TOTALES]],"-")</f>
        <v>1.4399921228907042</v>
      </c>
      <c r="AP369" s="184"/>
      <c r="AQ369" s="184"/>
      <c r="AR369" s="185">
        <f>TablaPrincipal[[#This Row],[LIBRAS RALEO PLANTA]]-TablaPrincipal[[#This Row],[LIBRAS RALEO CAMARONERA]]</f>
        <v>-531.6200000000008</v>
      </c>
      <c r="AS369" s="185">
        <f>TablaPrincipal[[#This Row],[LIBRAS PLANTA]]-TablaPrincipal[[#This Row],[LIBRAS CAMARONERA]]</f>
        <v>2254.3300000000017</v>
      </c>
      <c r="AT369" s="187">
        <f>TablaPrincipal[[#This Row],[GRAMAJE RALEO PLANTA]]-TablaPrincipal[[#This Row],[GRAMAJE RALEO CAMARONERA]]</f>
        <v>2.59</v>
      </c>
      <c r="AU369" s="187">
        <f>TablaPrincipal[[#This Row],[GRAMOS PLANTA]]-TablaPrincipal[[#This Row],[GRAMAJE CAMARONERA]]</f>
        <v>-0.53999999999999915</v>
      </c>
      <c r="AV369" s="183" t="str">
        <f>+VLOOKUP(TablaPrincipal[[#This Row],[CODIGO]],TablaCosechas[#All],10,0)</f>
        <v>JOSE CEDEÑO</v>
      </c>
      <c r="AW369" s="183" t="s">
        <v>267</v>
      </c>
      <c r="AX369" s="241" t="str">
        <f>+VLOOKUP(TablaPrincipal[[#This Row],[CODIGO]],TablaCosechas[#All],10,0)</f>
        <v>JOSE CEDEÑO</v>
      </c>
    </row>
    <row r="370" spans="1:50" x14ac:dyDescent="0.25">
      <c r="A370" s="196">
        <v>46153</v>
      </c>
      <c r="B370" s="242">
        <v>368</v>
      </c>
      <c r="C370" s="183">
        <f>YEAR(TablaPrincipal[[#This Row],[FECHA]])</f>
        <v>2026</v>
      </c>
      <c r="D370" s="183" t="s">
        <v>346</v>
      </c>
      <c r="E370" s="183" t="str">
        <f>UPPER(TEXT(TablaPrincipal[[#This Row],[FECHA]],"MMMM"))</f>
        <v>MAYO</v>
      </c>
      <c r="F370" s="183" t="str">
        <f>IFERROR(VLOOKUP(TablaPrincipal[[#This Row],[CODIGO]],COSECHAS!A:J,9,0),"-")</f>
        <v>08</v>
      </c>
      <c r="G370" s="183" t="str">
        <f>IFERROR(VLOOKUP(TablaPrincipal[[#This Row],[CODIGO]],COSECHAS!A:I,8,0),"-")</f>
        <v>TIBURON</v>
      </c>
      <c r="H370" s="184">
        <f>IFERROR(VLOOKUP(TablaPrincipal[[#This Row],[CODIGO]],DATOS!A:B,2,0),"-")</f>
        <v>6.2</v>
      </c>
      <c r="I370" s="183" t="str">
        <f>IFERROR(VLOOKUP(TablaPrincipal[[#This Row],[CODIGO]],Tabla8[[#Headers],[#Data]],3,0),"-")</f>
        <v>ASC-BAP</v>
      </c>
      <c r="J370" s="183">
        <f>IFERROR(TablaPrincipal[[#This Row],[FECHA]]-TablaPrincipal[[#This Row],[FECHA DE SIEMBRA]],"-")</f>
        <v>78</v>
      </c>
      <c r="K370" s="196">
        <f>VLOOKUP(TablaPrincipal[[#This Row],[CODIGO]]&amp;TablaPrincipal[[#This Row],[AGUAJE ]],Tabla4[#All],4,0)</f>
        <v>46075</v>
      </c>
      <c r="L370" s="183" t="str">
        <f>VLOOKUP(TablaPrincipal[[#This Row],[CODIGO]]&amp;TablaPrincipal[[#This Row],[AGUAJE ]],Tabla4[#All],15,0)</f>
        <v>TI PC 31-32</v>
      </c>
      <c r="M370" s="184">
        <f>VLOOKUP(TablaPrincipal[[#This Row],[CODIGO]]&amp;TablaPrincipal[[#This Row],[AGUAJE ]],Tabla4[#All],14,0)</f>
        <v>0.9</v>
      </c>
      <c r="N370" s="183">
        <v>7</v>
      </c>
      <c r="O370" s="170">
        <f>VLOOKUP(TablaPrincipal[[#This Row],[CODIGO]]&amp;TablaPrincipal[[#This Row],[AGUAJE ]],Tabla4[#All],5,0)</f>
        <v>1116000</v>
      </c>
      <c r="P370" s="221">
        <f>IFERROR(TablaPrincipal[[#This Row],[ANIM SEMBRADOS]]/TablaPrincipal[[#This Row],[HAS]],"-")</f>
        <v>180000</v>
      </c>
      <c r="Q370" s="222">
        <f>IFERROR(TablaPrincipal[[#This Row],[DENSIDAD]]/10000,"-")</f>
        <v>18</v>
      </c>
      <c r="R370" s="183" t="str">
        <f>VLOOKUP(TablaPrincipal[[#This Row],[CODIGO]]&amp;TablaPrincipal[[#This Row],[AGUAJE ]],Tabla4[#All],8,0)</f>
        <v>TECSERV</v>
      </c>
      <c r="S370" s="183" t="str">
        <f>VLOOKUP(TablaPrincipal[[#This Row],[CODIGO]]&amp;TablaPrincipal[[#This Row],[AGUAJE ]],Tabla4[#All],7,0)</f>
        <v>SEMACUA</v>
      </c>
      <c r="T370" s="183" t="str">
        <f>IF(ISNUMBER(FIND("/",TablaPrincipal[[#This Row],[LABORATORIO]])),"COMBINADO","UNICO")</f>
        <v>UNICO</v>
      </c>
      <c r="U3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27200</v>
      </c>
      <c r="V37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27204.079999999998</v>
      </c>
      <c r="W37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26.333333333333332</v>
      </c>
      <c r="X37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27.599999999999998</v>
      </c>
      <c r="Y370" s="185">
        <f>IFERROR(TablaPrincipal[[#This Row],[LIBRAS RALEO PLANTA]]/TablaPrincipal[[#This Row],[HAS]],"-")</f>
        <v>4387.7548387096767</v>
      </c>
      <c r="Z37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454059.75657543191</v>
      </c>
      <c r="AA37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13700</v>
      </c>
      <c r="AB37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15554.3</v>
      </c>
      <c r="AC370" s="186">
        <f>SUMIFS(COSECHAS!F:F,COSECHAS!A:A,'BASE 2026'!AW:AW,COSECHAS!G:G,"="&amp;A:A)</f>
        <v>35</v>
      </c>
      <c r="AD370" s="186">
        <f>SUMIFS(COSECHAS!M:M,COSECHAS!A:A,'BASE 2026'!AW:AW,COSECHAS!G:G,"="&amp;A:A)</f>
        <v>36.11</v>
      </c>
      <c r="AE370" s="185">
        <f>IFERROR(TablaPrincipal[[#This Row],[LIBRAS PLANTA]]/TablaPrincipal[[#This Row],[HAS]],"-")</f>
        <v>2508.7580645161288</v>
      </c>
      <c r="AF370" s="185">
        <f>IFERROR(TablaPrincipal[[#This Row],[LIBRAS PLANTA]]*454/TablaPrincipal[[#This Row],[GRAMOS PLANTA]],"-")</f>
        <v>195559.46275270006</v>
      </c>
      <c r="AG370" s="185">
        <f>TablaPrincipal[[#This Row],[LIBRAS RALEO PLANTA]]+TablaPrincipal[[#This Row],[LIBRAS PLANTA]]</f>
        <v>42758.38</v>
      </c>
      <c r="AH370" s="185">
        <f>IFERROR(TablaPrincipal[[#This Row],[CAM COSECHADOS RALEO]]+TablaPrincipal[[#This Row],[CAM COSECHADOS]],"-")</f>
        <v>649619.21932813199</v>
      </c>
      <c r="AI370" s="185">
        <f>IFERROR((TablaPrincipal[[#This Row],[LIBRAS RALEO PLANTA]]+TablaPrincipal[[#This Row],[LIBRAS PLANTA]])/TablaPrincipal[[#This Row],[HAS]],"0")</f>
        <v>6896.5129032258055</v>
      </c>
      <c r="AJ370" s="186">
        <f t="shared" si="10"/>
        <v>3.2406410256410259</v>
      </c>
      <c r="AK370" s="186">
        <f>IFERROR(TablaPrincipal[[#This Row],[LBS/HA]]/TablaPrincipal[[#This Row],[DIAS]],"-")</f>
        <v>88.416832092638529</v>
      </c>
      <c r="AL370" s="186">
        <f>IFERROR(TablaPrincipal[[#This Row],[CAM COSECHADOS TOTALES]]/TablaPrincipal[[#This Row],[ANIM SEMBRADOS]]*100,"-")</f>
        <v>58.209607466678492</v>
      </c>
      <c r="AM370" s="185">
        <v>64815.240000000005</v>
      </c>
      <c r="AN370" s="187">
        <f>IFERROR(((TablaPrincipal[[#This Row],[BALANCEADO ACUMULADO (LBS)]]/2.2046)/TablaPrincipal[[#This Row],[HAS]])/TablaPrincipal[[#This Row],[DIAS]],"-")</f>
        <v>60.794044665012407</v>
      </c>
      <c r="AO370" s="184">
        <f>IFERROR(TablaPrincipal[[#This Row],[BALANCEADO ACUMULADO (LBS)]]/TablaPrincipal[[#This Row],[LIBRAS TOTALES]],"-")</f>
        <v>1.5158488230845044</v>
      </c>
      <c r="AP370" s="184"/>
      <c r="AQ370" s="184"/>
      <c r="AR370" s="185">
        <f>TablaPrincipal[[#This Row],[LIBRAS RALEO PLANTA]]-TablaPrincipal[[#This Row],[LIBRAS RALEO CAMARONERA]]</f>
        <v>4.0799999999981083</v>
      </c>
      <c r="AS370" s="185">
        <f>TablaPrincipal[[#This Row],[LIBRAS PLANTA]]-TablaPrincipal[[#This Row],[LIBRAS CAMARONERA]]</f>
        <v>1854.2999999999993</v>
      </c>
      <c r="AT370" s="187">
        <f>TablaPrincipal[[#This Row],[GRAMAJE RALEO PLANTA]]-TablaPrincipal[[#This Row],[GRAMAJE RALEO CAMARONERA]]</f>
        <v>1.2666666666666657</v>
      </c>
      <c r="AU370" s="187">
        <f>TablaPrincipal[[#This Row],[GRAMOS PLANTA]]-TablaPrincipal[[#This Row],[GRAMAJE CAMARONERA]]</f>
        <v>1.1099999999999994</v>
      </c>
      <c r="AV370" s="183" t="str">
        <f>+VLOOKUP(TablaPrincipal[[#This Row],[CODIGO]],TablaCosechas[#All],10,0)</f>
        <v>ALFONSO GRUNAUER</v>
      </c>
      <c r="AW370" s="183" t="s">
        <v>237</v>
      </c>
      <c r="AX370" s="188" t="str">
        <f>+VLOOKUP(TablaPrincipal[[#This Row],[CODIGO]],TablaCosechas[#All],10,0)</f>
        <v>ALFONSO GRUNAUER</v>
      </c>
    </row>
    <row r="371" spans="1:50" x14ac:dyDescent="0.25">
      <c r="A371" s="196">
        <v>46154</v>
      </c>
      <c r="B371" s="242">
        <v>369</v>
      </c>
      <c r="C371" s="183">
        <f>YEAR(TablaPrincipal[[#This Row],[FECHA]])</f>
        <v>2026</v>
      </c>
      <c r="D371" s="183" t="s">
        <v>346</v>
      </c>
      <c r="E371" s="183" t="str">
        <f>UPPER(TEXT(TablaPrincipal[[#This Row],[FECHA]],"MMMM"))</f>
        <v>MAYO</v>
      </c>
      <c r="F371" s="183" t="str">
        <f>IFERROR(VLOOKUP(TablaPrincipal[[#This Row],[CODIGO]],COSECHAS!A:J,9,0),"-")</f>
        <v>04</v>
      </c>
      <c r="G371" s="183" t="str">
        <f>IFERROR(VLOOKUP(TablaPrincipal[[#This Row],[CODIGO]],COSECHAS!A:I,8,0),"-")</f>
        <v>BARRACUDA</v>
      </c>
      <c r="H371" s="184">
        <f>IFERROR(VLOOKUP(TablaPrincipal[[#This Row],[CODIGO]],DATOS!A:B,2,0),"-")</f>
        <v>10</v>
      </c>
      <c r="I371" s="183" t="str">
        <f>IFERROR(VLOOKUP(TablaPrincipal[[#This Row],[CODIGO]],Tabla8[[#Headers],[#Data]],3,0),"-")</f>
        <v>CONVENCIONAL</v>
      </c>
      <c r="J371" s="183">
        <f>IFERROR(TablaPrincipal[[#This Row],[FECHA]]-TablaPrincipal[[#This Row],[FECHA DE SIEMBRA]],"-")</f>
        <v>78</v>
      </c>
      <c r="K371" s="196">
        <f>VLOOKUP(TablaPrincipal[[#This Row],[CODIGO]]&amp;TablaPrincipal[[#This Row],[AGUAJE ]],Tabla4[#All],4,0)</f>
        <v>46076</v>
      </c>
      <c r="L371" s="183" t="str">
        <f>VLOOKUP(TablaPrincipal[[#This Row],[CODIGO]]&amp;TablaPrincipal[[#This Row],[AGUAJE ]],Tabla4[#All],15,0)</f>
        <v>PA PS 09</v>
      </c>
      <c r="M371" s="184">
        <f>VLOOKUP(TablaPrincipal[[#This Row],[CODIGO]]&amp;TablaPrincipal[[#This Row],[AGUAJE ]],Tabla4[#All],14,0)</f>
        <v>0.6</v>
      </c>
      <c r="N371" s="183">
        <v>18</v>
      </c>
      <c r="O371" s="170">
        <f>VLOOKUP(TablaPrincipal[[#This Row],[CODIGO]]&amp;TablaPrincipal[[#This Row],[AGUAJE ]],Tabla4[#All],5,0)</f>
        <v>1718666</v>
      </c>
      <c r="P371" s="221">
        <f>IFERROR(TablaPrincipal[[#This Row],[ANIM SEMBRADOS]]/TablaPrincipal[[#This Row],[HAS]],"-")</f>
        <v>171866.6</v>
      </c>
      <c r="Q371" s="222">
        <f>IFERROR(TablaPrincipal[[#This Row],[DENSIDAD]]/10000,"-")</f>
        <v>17.18666</v>
      </c>
      <c r="R371" s="183" t="str">
        <f>VLOOKUP(TablaPrincipal[[#This Row],[CODIGO]]&amp;TablaPrincipal[[#This Row],[AGUAJE ]],Tabla4[#All],8,0)</f>
        <v>TEXCUMAR</v>
      </c>
      <c r="S371" s="183" t="str">
        <f>VLOOKUP(TablaPrincipal[[#This Row],[CODIGO]]&amp;TablaPrincipal[[#This Row],[AGUAJE ]],Tabla4[#All],7,0)</f>
        <v>PRONAUPLIO</v>
      </c>
      <c r="T371" s="183" t="str">
        <f>IF(ISNUMBER(FIND("/",TablaPrincipal[[#This Row],[LABORATORIO]])),"COMBINADO","UNICO")</f>
        <v>UNICO</v>
      </c>
      <c r="U3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16650</v>
      </c>
      <c r="V37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16779.739999999998</v>
      </c>
      <c r="W37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7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19.71</v>
      </c>
      <c r="Y371" s="185">
        <f>IFERROR(TablaPrincipal[[#This Row],[LIBRAS RALEO PLANTA]]/TablaPrincipal[[#This Row],[HAS]],"-")</f>
        <v>1677.9739999999997</v>
      </c>
      <c r="Z37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382564.40277116175</v>
      </c>
      <c r="AA37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39800</v>
      </c>
      <c r="AB37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42860.84</v>
      </c>
      <c r="AC371" s="186">
        <f>SUMIFS(COSECHAS!F:F,COSECHAS!A:A,'BASE 2026'!AW:AW,COSECHAS!G:G,"="&amp;A:A)</f>
        <v>28</v>
      </c>
      <c r="AD371" s="186">
        <f>SUMIFS(COSECHAS!M:M,COSECHAS!A:A,'BASE 2026'!AW:AW,COSECHAS!G:G,"="&amp;A:A)</f>
        <v>26.76</v>
      </c>
      <c r="AE371" s="185">
        <f>IFERROR(TablaPrincipal[[#This Row],[LIBRAS PLANTA]]/TablaPrincipal[[#This Row],[HAS]],"-")</f>
        <v>4286.0839999999998</v>
      </c>
      <c r="AF371" s="185">
        <f>IFERROR(TablaPrincipal[[#This Row],[LIBRAS PLANTA]]*454/TablaPrincipal[[#This Row],[GRAMOS PLANTA]],"-")</f>
        <v>727160.73841554555</v>
      </c>
      <c r="AG371" s="185">
        <f>TablaPrincipal[[#This Row],[LIBRAS RALEO PLANTA]]+TablaPrincipal[[#This Row],[LIBRAS PLANTA]]</f>
        <v>59640.579999999994</v>
      </c>
      <c r="AH371" s="185">
        <f>IFERROR(TablaPrincipal[[#This Row],[CAM COSECHADOS RALEO]]+TablaPrincipal[[#This Row],[CAM COSECHADOS]],"-")</f>
        <v>1109725.1411867072</v>
      </c>
      <c r="AI371" s="185">
        <f>IFERROR((TablaPrincipal[[#This Row],[LIBRAS RALEO PLANTA]]+TablaPrincipal[[#This Row],[LIBRAS PLANTA]])/TablaPrincipal[[#This Row],[HAS]],"0")</f>
        <v>5964.0579999999991</v>
      </c>
      <c r="AJ371" s="186">
        <f t="shared" ref="AJ371:AJ375" si="11">IFERROR(AD371/(J371/7),"-")</f>
        <v>2.4015384615384616</v>
      </c>
      <c r="AK371" s="186">
        <f>IFERROR(TablaPrincipal[[#This Row],[LBS/HA]]/TablaPrincipal[[#This Row],[DIAS]],"-")</f>
        <v>76.462282051282045</v>
      </c>
      <c r="AL371" s="186">
        <f>IFERROR(TablaPrincipal[[#This Row],[CAM COSECHADOS TOTALES]]/TablaPrincipal[[#This Row],[ANIM SEMBRADOS]]*100,"-")</f>
        <v>64.56898205856794</v>
      </c>
      <c r="AM371" s="185">
        <v>88349.345000000001</v>
      </c>
      <c r="AN371" s="187">
        <f>IFERROR(((TablaPrincipal[[#This Row],[BALANCEADO ACUMULADO (LBS)]]/2.2046)/TablaPrincipal[[#This Row],[HAS]])/TablaPrincipal[[#This Row],[DIAS]],"-")</f>
        <v>51.378205128205131</v>
      </c>
      <c r="AO371" s="184">
        <f>IFERROR(TablaPrincipal[[#This Row],[BALANCEADO ACUMULADO (LBS)]]/TablaPrincipal[[#This Row],[LIBRAS TOTALES]],"-")</f>
        <v>1.4813629411383995</v>
      </c>
      <c r="AP371" s="184"/>
      <c r="AQ371" s="184"/>
      <c r="AR371" s="185">
        <f>TablaPrincipal[[#This Row],[LIBRAS RALEO PLANTA]]-TablaPrincipal[[#This Row],[LIBRAS RALEO CAMARONERA]]</f>
        <v>129.73999999999796</v>
      </c>
      <c r="AS371" s="185">
        <f>TablaPrincipal[[#This Row],[LIBRAS PLANTA]]-TablaPrincipal[[#This Row],[LIBRAS CAMARONERA]]</f>
        <v>3060.8399999999965</v>
      </c>
      <c r="AT371" s="187">
        <f>TablaPrincipal[[#This Row],[GRAMAJE RALEO PLANTA]]-TablaPrincipal[[#This Row],[GRAMAJE RALEO CAMARONERA]]</f>
        <v>1.7100000000000009</v>
      </c>
      <c r="AU371" s="187">
        <f>TablaPrincipal[[#This Row],[GRAMOS PLANTA]]-TablaPrincipal[[#This Row],[GRAMAJE CAMARONERA]]</f>
        <v>-1.2399999999999984</v>
      </c>
      <c r="AV371" s="183" t="str">
        <f>+VLOOKUP(TablaPrincipal[[#This Row],[CODIGO]],TablaCosechas[#All],10,0)</f>
        <v>GUSTAVO CARRASCO</v>
      </c>
      <c r="AW371" s="183" t="s">
        <v>202</v>
      </c>
      <c r="AX371" s="241" t="str">
        <f>+VLOOKUP(TablaPrincipal[[#This Row],[CODIGO]],TablaCosechas[#All],10,0)</f>
        <v>GUSTAVO CARRASCO</v>
      </c>
    </row>
    <row r="372" spans="1:50" x14ac:dyDescent="0.25">
      <c r="A372" s="196">
        <v>46154</v>
      </c>
      <c r="B372" s="242">
        <v>370</v>
      </c>
      <c r="C372" s="183">
        <f>YEAR(TablaPrincipal[[#This Row],[FECHA]])</f>
        <v>2026</v>
      </c>
      <c r="D372" s="183" t="s">
        <v>346</v>
      </c>
      <c r="E372" s="183" t="str">
        <f>UPPER(TEXT(TablaPrincipal[[#This Row],[FECHA]],"MMMM"))</f>
        <v>MAYO</v>
      </c>
      <c r="F372" s="183" t="str">
        <f>IFERROR(VLOOKUP(TablaPrincipal[[#This Row],[CODIGO]],COSECHAS!A:J,9,0),"-")</f>
        <v>09</v>
      </c>
      <c r="G372" s="183" t="str">
        <f>IFERROR(VLOOKUP(TablaPrincipal[[#This Row],[CODIGO]],COSECHAS!A:I,8,0),"-")</f>
        <v>CATANUDA</v>
      </c>
      <c r="H372" s="184">
        <f>IFERROR(VLOOKUP(TablaPrincipal[[#This Row],[CODIGO]],DATOS!A:B,2,0),"-")</f>
        <v>11.4</v>
      </c>
      <c r="I372" s="183" t="str">
        <f>IFERROR(VLOOKUP(TablaPrincipal[[#This Row],[CODIGO]],Tabla8[[#Headers],[#Data]],3,0),"-")</f>
        <v>ASC-BAP</v>
      </c>
      <c r="J372" s="183">
        <f>IFERROR(TablaPrincipal[[#This Row],[FECHA]]-TablaPrincipal[[#This Row],[FECHA DE SIEMBRA]],"-")</f>
        <v>82</v>
      </c>
      <c r="K372" s="196">
        <f>VLOOKUP(TablaPrincipal[[#This Row],[CODIGO]]&amp;TablaPrincipal[[#This Row],[AGUAJE ]],Tabla4[#All],4,0)</f>
        <v>46072</v>
      </c>
      <c r="L372" s="183" t="str">
        <f>VLOOKUP(TablaPrincipal[[#This Row],[CODIGO]]&amp;TablaPrincipal[[#This Row],[AGUAJE ]],Tabla4[#All],15,0)</f>
        <v>CA PC 20</v>
      </c>
      <c r="M372" s="184">
        <f>VLOOKUP(TablaPrincipal[[#This Row],[CODIGO]]&amp;TablaPrincipal[[#This Row],[AGUAJE ]],Tabla4[#All],14,0)</f>
        <v>0.5</v>
      </c>
      <c r="N372" s="183">
        <v>11</v>
      </c>
      <c r="O372" s="170">
        <f>VLOOKUP(TablaPrincipal[[#This Row],[CODIGO]]&amp;TablaPrincipal[[#This Row],[AGUAJE ]],Tabla4[#All],5,0)</f>
        <v>2166000</v>
      </c>
      <c r="P372" s="221">
        <f>IFERROR(TablaPrincipal[[#This Row],[ANIM SEMBRADOS]]/TablaPrincipal[[#This Row],[HAS]],"-")</f>
        <v>190000</v>
      </c>
      <c r="Q372" s="222">
        <f>IFERROR(TablaPrincipal[[#This Row],[DENSIDAD]]/10000,"-")</f>
        <v>19</v>
      </c>
      <c r="R372" s="183" t="str">
        <f>VLOOKUP(TablaPrincipal[[#This Row],[CODIGO]]&amp;TablaPrincipal[[#This Row],[AGUAJE ]],Tabla4[#All],8,0)</f>
        <v>GRILSAN</v>
      </c>
      <c r="S372" s="183" t="str">
        <f>VLOOKUP(TablaPrincipal[[#This Row],[CODIGO]]&amp;TablaPrincipal[[#This Row],[AGUAJE ]],Tabla4[#All],7,0)</f>
        <v>TEXCUMAR</v>
      </c>
      <c r="T372" s="183" t="str">
        <f>IF(ISNUMBER(FIND("/",TablaPrincipal[[#This Row],[LABORATORIO]])),"COMBINADO","UNICO")</f>
        <v>UNICO</v>
      </c>
      <c r="U3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18300</v>
      </c>
      <c r="V37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20176.77</v>
      </c>
      <c r="W37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7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23.96</v>
      </c>
      <c r="Y372" s="185">
        <f>IFERROR(TablaPrincipal[[#This Row],[LIBRAS RALEO PLANTA]]/TablaPrincipal[[#This Row],[HAS]],"-")</f>
        <v>1769.8921052631579</v>
      </c>
      <c r="Z37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385991.66071901715</v>
      </c>
      <c r="AA37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36300</v>
      </c>
      <c r="AB37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40056.29</v>
      </c>
      <c r="AC372" s="186">
        <f>SUMIFS(COSECHAS!F:F,COSECHAS!A:A,'BASE 2026'!AW:AW,COSECHAS!G:G,"="&amp;A:A)</f>
        <v>30</v>
      </c>
      <c r="AD372" s="186">
        <f>SUMIFS(COSECHAS!M:M,COSECHAS!A:A,'BASE 2026'!AW:AW,COSECHAS!G:G,"="&amp;A:A)</f>
        <v>35.06</v>
      </c>
      <c r="AE372" s="185">
        <f>IFERROR(TablaPrincipal[[#This Row],[LIBRAS PLANTA]]/TablaPrincipal[[#This Row],[HAS]],"-")</f>
        <v>3513.7096491228071</v>
      </c>
      <c r="AF372" s="185">
        <f>IFERROR(TablaPrincipal[[#This Row],[LIBRAS PLANTA]]*454/TablaPrincipal[[#This Row],[GRAMOS PLANTA]],"-")</f>
        <v>518698.10781517398</v>
      </c>
      <c r="AG372" s="185">
        <f>TablaPrincipal[[#This Row],[LIBRAS RALEO PLANTA]]+TablaPrincipal[[#This Row],[LIBRAS PLANTA]]</f>
        <v>60233.06</v>
      </c>
      <c r="AH372" s="185">
        <f>IFERROR(TablaPrincipal[[#This Row],[CAM COSECHADOS RALEO]]+TablaPrincipal[[#This Row],[CAM COSECHADOS]],"-")</f>
        <v>904689.76853419119</v>
      </c>
      <c r="AI372" s="185">
        <f>IFERROR((TablaPrincipal[[#This Row],[LIBRAS RALEO PLANTA]]+TablaPrincipal[[#This Row],[LIBRAS PLANTA]])/TablaPrincipal[[#This Row],[HAS]],"0")</f>
        <v>5283.6017543859643</v>
      </c>
      <c r="AJ372" s="186">
        <f t="shared" si="11"/>
        <v>2.9929268292682929</v>
      </c>
      <c r="AK372" s="186">
        <f>IFERROR(TablaPrincipal[[#This Row],[LBS/HA]]/TablaPrincipal[[#This Row],[DIAS]],"-")</f>
        <v>64.434167736414196</v>
      </c>
      <c r="AL372" s="186">
        <f>IFERROR(TablaPrincipal[[#This Row],[CAM COSECHADOS TOTALES]]/TablaPrincipal[[#This Row],[ANIM SEMBRADOS]]*100,"-")</f>
        <v>41.76776401358223</v>
      </c>
      <c r="AM372" s="185">
        <v>110560.69</v>
      </c>
      <c r="AN372" s="187">
        <f>IFERROR(((TablaPrincipal[[#This Row],[BALANCEADO ACUMULADO (LBS)]]/2.2046)/TablaPrincipal[[#This Row],[HAS]])/TablaPrincipal[[#This Row],[DIAS]],"-")</f>
        <v>53.64783910997005</v>
      </c>
      <c r="AO372" s="184">
        <f>IFERROR(TablaPrincipal[[#This Row],[BALANCEADO ACUMULADO (LBS)]]/TablaPrincipal[[#This Row],[LIBRAS TOTALES]],"-")</f>
        <v>1.8355482852772216</v>
      </c>
      <c r="AP372" s="184"/>
      <c r="AQ372" s="184"/>
      <c r="AR372" s="185">
        <f>TablaPrincipal[[#This Row],[LIBRAS RALEO PLANTA]]-TablaPrincipal[[#This Row],[LIBRAS RALEO CAMARONERA]]</f>
        <v>1876.7700000000004</v>
      </c>
      <c r="AS372" s="185">
        <f>TablaPrincipal[[#This Row],[LIBRAS PLANTA]]-TablaPrincipal[[#This Row],[LIBRAS CAMARONERA]]</f>
        <v>3756.2900000000009</v>
      </c>
      <c r="AT372" s="187">
        <f>TablaPrincipal[[#This Row],[GRAMAJE RALEO PLANTA]]-TablaPrincipal[[#This Row],[GRAMAJE RALEO CAMARONERA]]</f>
        <v>2.9600000000000009</v>
      </c>
      <c r="AU372" s="187">
        <f>TablaPrincipal[[#This Row],[GRAMOS PLANTA]]-TablaPrincipal[[#This Row],[GRAMAJE CAMARONERA]]</f>
        <v>5.0600000000000023</v>
      </c>
      <c r="AV372" s="183" t="str">
        <f>+VLOOKUP(TablaPrincipal[[#This Row],[CODIGO]],TablaCosechas[#All],10,0)</f>
        <v>VICTOR QUINTANA</v>
      </c>
      <c r="AW372" s="183" t="s">
        <v>212</v>
      </c>
      <c r="AX372" s="241" t="str">
        <f>+VLOOKUP(TablaPrincipal[[#This Row],[CODIGO]],TablaCosechas[#All],10,0)</f>
        <v>VICTOR QUINTANA</v>
      </c>
    </row>
    <row r="373" spans="1:50" x14ac:dyDescent="0.25">
      <c r="A373" s="196">
        <v>46154</v>
      </c>
      <c r="B373" s="242">
        <v>371</v>
      </c>
      <c r="C373" s="183">
        <f>YEAR(TablaPrincipal[[#This Row],[FECHA]])</f>
        <v>2026</v>
      </c>
      <c r="D373" s="183" t="s">
        <v>346</v>
      </c>
      <c r="E373" s="183" t="str">
        <f>UPPER(TEXT(TablaPrincipal[[#This Row],[FECHA]],"MMMM"))</f>
        <v>MAYO</v>
      </c>
      <c r="F373" s="183" t="str">
        <f>IFERROR(VLOOKUP(TablaPrincipal[[#This Row],[CODIGO]],COSECHAS!A:J,9,0),"-")</f>
        <v>01</v>
      </c>
      <c r="G373" s="183" t="str">
        <f>IFERROR(VLOOKUP(TablaPrincipal[[#This Row],[CODIGO]],COSECHAS!A:I,8,0),"-")</f>
        <v>CHERNA</v>
      </c>
      <c r="H373" s="184">
        <f>IFERROR(VLOOKUP(TablaPrincipal[[#This Row],[CODIGO]],DATOS!A:B,2,0),"-")</f>
        <v>7.54</v>
      </c>
      <c r="I373" s="183" t="str">
        <f>IFERROR(VLOOKUP(TablaPrincipal[[#This Row],[CODIGO]],Tabla8[[#Headers],[#Data]],3,0),"-")</f>
        <v>ASC</v>
      </c>
      <c r="J373" s="183">
        <f>IFERROR(TablaPrincipal[[#This Row],[FECHA]]-TablaPrincipal[[#This Row],[FECHA DE SIEMBRA]],"-")</f>
        <v>84</v>
      </c>
      <c r="K373" s="196">
        <f>VLOOKUP(TablaPrincipal[[#This Row],[CODIGO]]&amp;TablaPrincipal[[#This Row],[AGUAJE ]],Tabla4[#All],4,0)</f>
        <v>46070</v>
      </c>
      <c r="L373" s="183" t="str">
        <f>VLOOKUP(TablaPrincipal[[#This Row],[CODIGO]]&amp;TablaPrincipal[[#This Row],[AGUAJE ]],Tabla4[#All],15,0)</f>
        <v>CH PC 1</v>
      </c>
      <c r="M373" s="184">
        <f>VLOOKUP(TablaPrincipal[[#This Row],[CODIGO]]&amp;TablaPrincipal[[#This Row],[AGUAJE ]],Tabla4[#All],14,0)</f>
        <v>0.43</v>
      </c>
      <c r="N373" s="183">
        <v>8</v>
      </c>
      <c r="O373" s="170">
        <f>VLOOKUP(TablaPrincipal[[#This Row],[CODIGO]]&amp;TablaPrincipal[[#This Row],[AGUAJE ]],Tabla4[#All],5,0)</f>
        <v>1357200</v>
      </c>
      <c r="P373" s="221">
        <f>IFERROR(TablaPrincipal[[#This Row],[ANIM SEMBRADOS]]/TablaPrincipal[[#This Row],[HAS]],"-")</f>
        <v>180000</v>
      </c>
      <c r="Q373" s="222">
        <f>IFERROR(TablaPrincipal[[#This Row],[DENSIDAD]]/10000,"-")</f>
        <v>18</v>
      </c>
      <c r="R373" s="183" t="str">
        <f>VLOOKUP(TablaPrincipal[[#This Row],[CODIGO]]&amp;TablaPrincipal[[#This Row],[AGUAJE ]],Tabla4[#All],8,0)</f>
        <v>LARVASLAB</v>
      </c>
      <c r="S373" s="183" t="str">
        <f>VLOOKUP(TablaPrincipal[[#This Row],[CODIGO]]&amp;TablaPrincipal[[#This Row],[AGUAJE ]],Tabla4[#All],7,0)</f>
        <v>TEXCUMAR</v>
      </c>
      <c r="T373" s="183" t="str">
        <f>IF(ISNUMBER(FIND("/",TablaPrincipal[[#This Row],[LABORATORIO]])),"COMBINADO","UNICO")</f>
        <v>UNICO</v>
      </c>
      <c r="U3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13500</v>
      </c>
      <c r="V37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14321.58</v>
      </c>
      <c r="W37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20.25</v>
      </c>
      <c r="X37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20.75</v>
      </c>
      <c r="Y373" s="185">
        <f>IFERROR(TablaPrincipal[[#This Row],[LIBRAS RALEO PLANTA]]/TablaPrincipal[[#This Row],[HAS]],"-")</f>
        <v>1899.4137931034484</v>
      </c>
      <c r="Z37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331706.7069030733</v>
      </c>
      <c r="AA37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28500</v>
      </c>
      <c r="AB37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30582.639999999999</v>
      </c>
      <c r="AC373" s="186">
        <f>SUMIFS(COSECHAS!F:F,COSECHAS!A:A,'BASE 2026'!AW:AW,COSECHAS!G:G,"="&amp;A:A)</f>
        <v>26</v>
      </c>
      <c r="AD373" s="186">
        <f>SUMIFS(COSECHAS!M:M,COSECHAS!A:A,'BASE 2026'!AW:AW,COSECHAS!G:G,"="&amp;A:A)</f>
        <v>25.42</v>
      </c>
      <c r="AE373" s="185">
        <f>IFERROR(TablaPrincipal[[#This Row],[LIBRAS PLANTA]]/TablaPrincipal[[#This Row],[HAS]],"-")</f>
        <v>4056.053050397878</v>
      </c>
      <c r="AF373" s="185">
        <f>IFERROR(TablaPrincipal[[#This Row],[LIBRAS PLANTA]]*454/TablaPrincipal[[#This Row],[GRAMOS PLANTA]],"-")</f>
        <v>546204.50668764755</v>
      </c>
      <c r="AG373" s="185">
        <f>TablaPrincipal[[#This Row],[LIBRAS RALEO PLANTA]]+TablaPrincipal[[#This Row],[LIBRAS PLANTA]]</f>
        <v>44904.22</v>
      </c>
      <c r="AH373" s="185">
        <f>IFERROR(TablaPrincipal[[#This Row],[CAM COSECHADOS RALEO]]+TablaPrincipal[[#This Row],[CAM COSECHADOS]],"-")</f>
        <v>877911.2135907209</v>
      </c>
      <c r="AI373" s="185">
        <f>IFERROR((TablaPrincipal[[#This Row],[LIBRAS RALEO PLANTA]]+TablaPrincipal[[#This Row],[LIBRAS PLANTA]])/TablaPrincipal[[#This Row],[HAS]],"0")</f>
        <v>5955.4668435013264</v>
      </c>
      <c r="AJ373" s="186">
        <f t="shared" si="11"/>
        <v>2.1183333333333336</v>
      </c>
      <c r="AK373" s="186">
        <f>IFERROR(TablaPrincipal[[#This Row],[LBS/HA]]/TablaPrincipal[[#This Row],[DIAS]],"-")</f>
        <v>70.898414803587215</v>
      </c>
      <c r="AL373" s="186">
        <f>IFERROR(TablaPrincipal[[#This Row],[CAM COSECHADOS TOTALES]]/TablaPrincipal[[#This Row],[ANIM SEMBRADOS]]*100,"-")</f>
        <v>64.685471086849461</v>
      </c>
      <c r="AM373" s="185">
        <v>82948.074999999997</v>
      </c>
      <c r="AN373" s="187">
        <f>IFERROR(((TablaPrincipal[[#This Row],[BALANCEADO ACUMULADO (LBS)]]/2.2046)/TablaPrincipal[[#This Row],[HAS]])/TablaPrincipal[[#This Row],[DIAS]],"-")</f>
        <v>59.405393457117597</v>
      </c>
      <c r="AO373" s="184">
        <f>IFERROR(TablaPrincipal[[#This Row],[BALANCEADO ACUMULADO (LBS)]]/TablaPrincipal[[#This Row],[LIBRAS TOTALES]],"-")</f>
        <v>1.8472222655242647</v>
      </c>
      <c r="AP373" s="184"/>
      <c r="AQ373" s="184"/>
      <c r="AR373" s="185">
        <f>TablaPrincipal[[#This Row],[LIBRAS RALEO PLANTA]]-TablaPrincipal[[#This Row],[LIBRAS RALEO CAMARONERA]]</f>
        <v>821.57999999999993</v>
      </c>
      <c r="AS373" s="185">
        <f>TablaPrincipal[[#This Row],[LIBRAS PLANTA]]-TablaPrincipal[[#This Row],[LIBRAS CAMARONERA]]</f>
        <v>2082.6399999999994</v>
      </c>
      <c r="AT373" s="187">
        <f>TablaPrincipal[[#This Row],[GRAMAJE RALEO PLANTA]]-TablaPrincipal[[#This Row],[GRAMAJE RALEO CAMARONERA]]</f>
        <v>0.5</v>
      </c>
      <c r="AU373" s="187">
        <f>TablaPrincipal[[#This Row],[GRAMOS PLANTA]]-TablaPrincipal[[#This Row],[GRAMAJE CAMARONERA]]</f>
        <v>-0.57999999999999829</v>
      </c>
      <c r="AV373" s="183" t="str">
        <f>+VLOOKUP(TablaPrincipal[[#This Row],[CODIGO]],TablaCosechas[#All],10,0)</f>
        <v>SANTIAGO OBRIEN</v>
      </c>
      <c r="AW373" s="183" t="s">
        <v>7</v>
      </c>
      <c r="AX373" s="241" t="str">
        <f>+VLOOKUP(TablaPrincipal[[#This Row],[CODIGO]],TablaCosechas[#All],10,0)</f>
        <v>SANTIAGO OBRIEN</v>
      </c>
    </row>
    <row r="374" spans="1:50" x14ac:dyDescent="0.25">
      <c r="A374" s="196">
        <v>46154</v>
      </c>
      <c r="B374" s="242">
        <v>372</v>
      </c>
      <c r="C374" s="183">
        <f>YEAR(TablaPrincipal[[#This Row],[FECHA]])</f>
        <v>2026</v>
      </c>
      <c r="D374" s="183" t="s">
        <v>346</v>
      </c>
      <c r="E374" s="183" t="str">
        <f>UPPER(TEXT(TablaPrincipal[[#This Row],[FECHA]],"MMMM"))</f>
        <v>MAYO</v>
      </c>
      <c r="F374" s="183" t="str">
        <f>IFERROR(VLOOKUP(TablaPrincipal[[#This Row],[CODIGO]],COSECHAS!A:J,9,0),"-")</f>
        <v>14</v>
      </c>
      <c r="G374" s="183" t="str">
        <f>IFERROR(VLOOKUP(TablaPrincipal[[#This Row],[CODIGO]],COSECHAS!A:I,8,0),"-")</f>
        <v>MERO</v>
      </c>
      <c r="H374" s="184">
        <f>IFERROR(VLOOKUP(TablaPrincipal[[#This Row],[CODIGO]],DATOS!A:B,2,0),"-")</f>
        <v>1.4</v>
      </c>
      <c r="I374" s="183" t="str">
        <f>IFERROR(VLOOKUP(TablaPrincipal[[#This Row],[CODIGO]],Tabla8[[#Headers],[#Data]],3,0),"-")</f>
        <v>CONVENCIONAL</v>
      </c>
      <c r="J374" s="183">
        <f>IFERROR(TablaPrincipal[[#This Row],[FECHA]]-TablaPrincipal[[#This Row],[FECHA DE SIEMBRA]],"-")</f>
        <v>74</v>
      </c>
      <c r="K374" s="196">
        <f>VLOOKUP(TablaPrincipal[[#This Row],[CODIGO]]&amp;TablaPrincipal[[#This Row],[AGUAJE ]],Tabla4[#All],4,0)</f>
        <v>46080</v>
      </c>
      <c r="L374" s="183" t="str">
        <f>VLOOKUP(TablaPrincipal[[#This Row],[CODIGO]]&amp;TablaPrincipal[[#This Row],[AGUAJE ]],Tabla4[#All],15,0)</f>
        <v>ME PC 12</v>
      </c>
      <c r="M374" s="184">
        <f>VLOOKUP(TablaPrincipal[[#This Row],[CODIGO]]&amp;TablaPrincipal[[#This Row],[AGUAJE ]],Tabla4[#All],14,0)</f>
        <v>0.57499999999999996</v>
      </c>
      <c r="N374" s="183">
        <v>13</v>
      </c>
      <c r="O374" s="170">
        <f>VLOOKUP(TablaPrincipal[[#This Row],[CODIGO]]&amp;TablaPrincipal[[#This Row],[AGUAJE ]],Tabla4[#All],5,0)</f>
        <v>406000</v>
      </c>
      <c r="P374" s="221">
        <f>IFERROR(TablaPrincipal[[#This Row],[ANIM SEMBRADOS]]/TablaPrincipal[[#This Row],[HAS]],"-")</f>
        <v>290000</v>
      </c>
      <c r="Q374" s="222">
        <f>IFERROR(TablaPrincipal[[#This Row],[DENSIDAD]]/10000,"-")</f>
        <v>29</v>
      </c>
      <c r="R374" s="183" t="str">
        <f>VLOOKUP(TablaPrincipal[[#This Row],[CODIGO]]&amp;TablaPrincipal[[#This Row],[AGUAJE ]],Tabla4[#All],8,0)</f>
        <v>genesis /DEONES</v>
      </c>
      <c r="S374" s="183" t="str">
        <f>VLOOKUP(TablaPrincipal[[#This Row],[CODIGO]]&amp;TablaPrincipal[[#This Row],[AGUAJE ]],Tabla4[#All],7,0)</f>
        <v>TEXCUMAR</v>
      </c>
      <c r="T374" s="183" t="str">
        <f>IF(ISNUMBER(FIND("/",TablaPrincipal[[#This Row],[LABORATORIO]])),"COMBINADO","UNICO")</f>
        <v>COMBINADO</v>
      </c>
      <c r="U3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3300</v>
      </c>
      <c r="V37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3296.65</v>
      </c>
      <c r="W37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23.5</v>
      </c>
      <c r="X37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24.310000000000002</v>
      </c>
      <c r="Y374" s="185">
        <f>IFERROR(TablaPrincipal[[#This Row],[LIBRAS RALEO PLANTA]]/TablaPrincipal[[#This Row],[HAS]],"-")</f>
        <v>2354.75</v>
      </c>
      <c r="Z37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62927.066743359421</v>
      </c>
      <c r="AA37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6200</v>
      </c>
      <c r="AB37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6008.3</v>
      </c>
      <c r="AC374" s="186">
        <f>SUMIFS(COSECHAS!F:F,COSECHAS!A:A,'BASE 2026'!AW:AW,COSECHAS!G:G,"="&amp;A:A)</f>
        <v>28.5</v>
      </c>
      <c r="AD374" s="186">
        <f>SUMIFS(COSECHAS!M:M,COSECHAS!A:A,'BASE 2026'!AW:AW,COSECHAS!G:G,"="&amp;A:A)</f>
        <v>30.34</v>
      </c>
      <c r="AE374" s="185">
        <f>IFERROR(TablaPrincipal[[#This Row],[LIBRAS PLANTA]]/TablaPrincipal[[#This Row],[HAS]],"-")</f>
        <v>4291.6428571428578</v>
      </c>
      <c r="AF374" s="185">
        <f>IFERROR(TablaPrincipal[[#This Row],[LIBRAS PLANTA]]*454/TablaPrincipal[[#This Row],[GRAMOS PLANTA]],"-")</f>
        <v>89906.664469347408</v>
      </c>
      <c r="AG374" s="185">
        <f>TablaPrincipal[[#This Row],[LIBRAS RALEO PLANTA]]+TablaPrincipal[[#This Row],[LIBRAS PLANTA]]</f>
        <v>9304.9500000000007</v>
      </c>
      <c r="AH374" s="185">
        <f>IFERROR(TablaPrincipal[[#This Row],[CAM COSECHADOS RALEO]]+TablaPrincipal[[#This Row],[CAM COSECHADOS]],"-")</f>
        <v>152833.73121270683</v>
      </c>
      <c r="AI374" s="185">
        <f>IFERROR((TablaPrincipal[[#This Row],[LIBRAS RALEO PLANTA]]+TablaPrincipal[[#This Row],[LIBRAS PLANTA]])/TablaPrincipal[[#This Row],[HAS]],"0")</f>
        <v>6646.3928571428578</v>
      </c>
      <c r="AJ374" s="186">
        <f t="shared" si="11"/>
        <v>2.87</v>
      </c>
      <c r="AK374" s="186">
        <f>IFERROR(TablaPrincipal[[#This Row],[LBS/HA]]/TablaPrincipal[[#This Row],[DIAS]],"-")</f>
        <v>89.816119691119695</v>
      </c>
      <c r="AL374" s="186">
        <f>IFERROR(TablaPrincipal[[#This Row],[CAM COSECHADOS TOTALES]]/TablaPrincipal[[#This Row],[ANIM SEMBRADOS]]*100,"-")</f>
        <v>37.643776160765228</v>
      </c>
      <c r="AM374" s="185">
        <v>13888.980000000001</v>
      </c>
      <c r="AN374" s="187">
        <f>IFERROR(((TablaPrincipal[[#This Row],[BALANCEADO ACUMULADO (LBS)]]/2.2046)/TablaPrincipal[[#This Row],[HAS]])/TablaPrincipal[[#This Row],[DIAS]],"-")</f>
        <v>60.810810810810814</v>
      </c>
      <c r="AO374" s="184">
        <f>IFERROR(TablaPrincipal[[#This Row],[BALANCEADO ACUMULADO (LBS)]]/TablaPrincipal[[#This Row],[LIBRAS TOTALES]],"-")</f>
        <v>1.4926442377444264</v>
      </c>
      <c r="AP374" s="184"/>
      <c r="AQ374" s="184"/>
      <c r="AR374" s="185">
        <f>TablaPrincipal[[#This Row],[LIBRAS RALEO PLANTA]]-TablaPrincipal[[#This Row],[LIBRAS RALEO CAMARONERA]]</f>
        <v>-3.3499999999999091</v>
      </c>
      <c r="AS374" s="185">
        <f>TablaPrincipal[[#This Row],[LIBRAS PLANTA]]-TablaPrincipal[[#This Row],[LIBRAS CAMARONERA]]</f>
        <v>-191.69999999999982</v>
      </c>
      <c r="AT374" s="187">
        <f>TablaPrincipal[[#This Row],[GRAMAJE RALEO PLANTA]]-TablaPrincipal[[#This Row],[GRAMAJE RALEO CAMARONERA]]</f>
        <v>0.81000000000000227</v>
      </c>
      <c r="AU374" s="187">
        <f>TablaPrincipal[[#This Row],[GRAMOS PLANTA]]-TablaPrincipal[[#This Row],[GRAMAJE CAMARONERA]]</f>
        <v>1.8399999999999999</v>
      </c>
      <c r="AV374" s="183" t="str">
        <f>+VLOOKUP(TablaPrincipal[[#This Row],[CODIGO]],TablaCosechas[#All],10,0)</f>
        <v>NESTOR MOGOLLON</v>
      </c>
      <c r="AW374" s="183" t="s">
        <v>228</v>
      </c>
      <c r="AX374" s="241" t="str">
        <f>+VLOOKUP(TablaPrincipal[[#This Row],[CODIGO]],TablaCosechas[#All],10,0)</f>
        <v>NESTOR MOGOLLON</v>
      </c>
    </row>
    <row r="375" spans="1:50" x14ac:dyDescent="0.25">
      <c r="A375" s="196">
        <v>46154</v>
      </c>
      <c r="B375" s="242">
        <v>373</v>
      </c>
      <c r="C375" s="183">
        <f>YEAR(TablaPrincipal[[#This Row],[FECHA]])</f>
        <v>2026</v>
      </c>
      <c r="D375" s="183" t="s">
        <v>346</v>
      </c>
      <c r="E375" s="183" t="str">
        <f>UPPER(TEXT(TablaPrincipal[[#This Row],[FECHA]],"MMMM"))</f>
        <v>MAYO</v>
      </c>
      <c r="F375" s="183" t="str">
        <f>IFERROR(VLOOKUP(TablaPrincipal[[#This Row],[CODIGO]],COSECHAS!A:J,9,0),"-")</f>
        <v>02</v>
      </c>
      <c r="G375" s="183" t="str">
        <f>IFERROR(VLOOKUP(TablaPrincipal[[#This Row],[CODIGO]],COSECHAS!A:I,8,0),"-")</f>
        <v>TIBURON</v>
      </c>
      <c r="H375" s="184">
        <f>IFERROR(VLOOKUP(TablaPrincipal[[#This Row],[CODIGO]],DATOS!A:B,2,0),"-")</f>
        <v>8.36</v>
      </c>
      <c r="I375" s="183" t="str">
        <f>IFERROR(VLOOKUP(TablaPrincipal[[#This Row],[CODIGO]],Tabla8[[#Headers],[#Data]],3,0),"-")</f>
        <v>ASC-BAP</v>
      </c>
      <c r="J375" s="183">
        <f>IFERROR(TablaPrincipal[[#This Row],[FECHA]]-TablaPrincipal[[#This Row],[FECHA DE SIEMBRA]],"-")</f>
        <v>80</v>
      </c>
      <c r="K375" s="196">
        <f>VLOOKUP(TablaPrincipal[[#This Row],[CODIGO]]&amp;TablaPrincipal[[#This Row],[AGUAJE ]],Tabla4[#All],4,0)</f>
        <v>46074</v>
      </c>
      <c r="L375" s="183" t="str">
        <f>VLOOKUP(TablaPrincipal[[#This Row],[CODIGO]]&amp;TablaPrincipal[[#This Row],[AGUAJE ]],Tabla4[#All],15,0)</f>
        <v>TI 18</v>
      </c>
      <c r="M375" s="184">
        <f>VLOOKUP(TablaPrincipal[[#This Row],[CODIGO]]&amp;TablaPrincipal[[#This Row],[AGUAJE ]],Tabla4[#All],14,0)</f>
        <v>0.6</v>
      </c>
      <c r="N375" s="183">
        <v>8</v>
      </c>
      <c r="O375" s="170">
        <f>VLOOKUP(TablaPrincipal[[#This Row],[CODIGO]]&amp;TablaPrincipal[[#This Row],[AGUAJE ]],Tabla4[#All],5,0)</f>
        <v>1504800</v>
      </c>
      <c r="P375" s="221">
        <f>IFERROR(TablaPrincipal[[#This Row],[ANIM SEMBRADOS]]/TablaPrincipal[[#This Row],[HAS]],"-")</f>
        <v>180000</v>
      </c>
      <c r="Q375" s="222">
        <f>IFERROR(TablaPrincipal[[#This Row],[DENSIDAD]]/10000,"-")</f>
        <v>18</v>
      </c>
      <c r="R375" s="183" t="str">
        <f>VLOOKUP(TablaPrincipal[[#This Row],[CODIGO]]&amp;TablaPrincipal[[#This Row],[AGUAJE ]],Tabla4[#All],8,0)</f>
        <v>TECSERV</v>
      </c>
      <c r="S375" s="183" t="str">
        <f>VLOOKUP(TablaPrincipal[[#This Row],[CODIGO]]&amp;TablaPrincipal[[#This Row],[AGUAJE ]],Tabla4[#All],7,0)</f>
        <v>SEMACUA</v>
      </c>
      <c r="T375" s="183" t="str">
        <f>IF(ISNUMBER(FIND("/",TablaPrincipal[[#This Row],[LABORATORIO]])),"COMBINADO","UNICO")</f>
        <v>UNICO</v>
      </c>
      <c r="U3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31500</v>
      </c>
      <c r="V37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35950.39</v>
      </c>
      <c r="W37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20.833333333333332</v>
      </c>
      <c r="X37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</v>
      </c>
      <c r="Y375" s="185">
        <f>IFERROR(TablaPrincipal[[#This Row],[LIBRAS RALEO PLANTA]]/TablaPrincipal[[#This Row],[HAS]],"-")</f>
        <v>4300.2858851674646</v>
      </c>
      <c r="Z37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781871.75735813344</v>
      </c>
      <c r="AA37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37500</v>
      </c>
      <c r="AB37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41175.4</v>
      </c>
      <c r="AC375" s="186">
        <f>SUMIFS(COSECHAS!F:F,COSECHAS!A:A,'BASE 2026'!AW:AW,COSECHAS!G:G,"="&amp;A:A)</f>
        <v>32</v>
      </c>
      <c r="AD375" s="186">
        <f>SUMIFS(COSECHAS!M:M,COSECHAS!A:A,'BASE 2026'!AW:AW,COSECHAS!G:G,"="&amp;A:A)</f>
        <v>32.520000000000003</v>
      </c>
      <c r="AE375" s="185">
        <f>IFERROR(TablaPrincipal[[#This Row],[LIBRAS PLANTA]]/TablaPrincipal[[#This Row],[HAS]],"-")</f>
        <v>4925.287081339713</v>
      </c>
      <c r="AF375" s="185">
        <f>IFERROR(TablaPrincipal[[#This Row],[LIBRAS PLANTA]]*454/TablaPrincipal[[#This Row],[GRAMOS PLANTA]],"-")</f>
        <v>574834.92004920053</v>
      </c>
      <c r="AG375" s="185">
        <f>TablaPrincipal[[#This Row],[LIBRAS RALEO PLANTA]]+TablaPrincipal[[#This Row],[LIBRAS PLANTA]]</f>
        <v>77125.790000000008</v>
      </c>
      <c r="AH375" s="185">
        <f>IFERROR(TablaPrincipal[[#This Row],[CAM COSECHADOS RALEO]]+TablaPrincipal[[#This Row],[CAM COSECHADOS]],"-")</f>
        <v>1356706.6774073341</v>
      </c>
      <c r="AI375" s="185">
        <f>IFERROR((TablaPrincipal[[#This Row],[LIBRAS RALEO PLANTA]]+TablaPrincipal[[#This Row],[LIBRAS PLANTA]])/TablaPrincipal[[#This Row],[HAS]],"0")</f>
        <v>9225.5729665071794</v>
      </c>
      <c r="AJ375" s="186">
        <f t="shared" si="11"/>
        <v>2.8455000000000004</v>
      </c>
      <c r="AK375" s="186">
        <f>IFERROR(TablaPrincipal[[#This Row],[LBS/HA]]/TablaPrincipal[[#This Row],[DIAS]],"-")</f>
        <v>115.31966208133974</v>
      </c>
      <c r="AL375" s="186">
        <f>IFERROR(TablaPrincipal[[#This Row],[CAM COSECHADOS TOTALES]]/TablaPrincipal[[#This Row],[ANIM SEMBRADOS]]*100,"-")</f>
        <v>90.158604293416673</v>
      </c>
      <c r="AM375" s="185">
        <v>102789.47500000001</v>
      </c>
      <c r="AN375" s="187">
        <f>IFERROR(((TablaPrincipal[[#This Row],[BALANCEADO ACUMULADO (LBS)]]/2.2046)/TablaPrincipal[[#This Row],[HAS]])/TablaPrincipal[[#This Row],[DIAS]],"-")</f>
        <v>69.714413875598083</v>
      </c>
      <c r="AO375" s="184">
        <f>IFERROR(TablaPrincipal[[#This Row],[BALANCEADO ACUMULADO (LBS)]]/TablaPrincipal[[#This Row],[LIBRAS TOTALES]],"-")</f>
        <v>1.3327510162294609</v>
      </c>
      <c r="AP375" s="184"/>
      <c r="AQ375" s="184"/>
      <c r="AR375" s="185">
        <f>TablaPrincipal[[#This Row],[LIBRAS RALEO PLANTA]]-TablaPrincipal[[#This Row],[LIBRAS RALEO CAMARONERA]]</f>
        <v>4450.3899999999994</v>
      </c>
      <c r="AS375" s="185">
        <f>TablaPrincipal[[#This Row],[LIBRAS PLANTA]]-TablaPrincipal[[#This Row],[LIBRAS CAMARONERA]]</f>
        <v>3675.4000000000015</v>
      </c>
      <c r="AT375" s="187">
        <f>TablaPrincipal[[#This Row],[GRAMAJE RALEO PLANTA]]-TablaPrincipal[[#This Row],[GRAMAJE RALEO CAMARONERA]]</f>
        <v>0.66666666666666785</v>
      </c>
      <c r="AU375" s="187">
        <f>TablaPrincipal[[#This Row],[GRAMOS PLANTA]]-TablaPrincipal[[#This Row],[GRAMAJE CAMARONERA]]</f>
        <v>0.52000000000000313</v>
      </c>
      <c r="AV375" s="183" t="str">
        <f>+VLOOKUP(TablaPrincipal[[#This Row],[CODIGO]],TablaCosechas[#All],10,0)</f>
        <v>ALFONSO GRUNAUER</v>
      </c>
      <c r="AW375" s="183" t="s">
        <v>224</v>
      </c>
      <c r="AX375" s="188" t="str">
        <f>+VLOOKUP(TablaPrincipal[[#This Row],[CODIGO]],TablaCosechas[#All],10,0)</f>
        <v>ALFONSO GRUNAUER</v>
      </c>
    </row>
    <row r="376" spans="1:50" x14ac:dyDescent="0.25">
      <c r="A376" s="196">
        <v>46155</v>
      </c>
      <c r="B376" s="242">
        <v>374</v>
      </c>
      <c r="C376" s="183">
        <f>YEAR(TablaPrincipal[[#This Row],[FECHA]])</f>
        <v>2026</v>
      </c>
      <c r="D376" s="183" t="s">
        <v>347</v>
      </c>
      <c r="E376" s="183" t="str">
        <f>UPPER(TEXT(TablaPrincipal[[#This Row],[FECHA]],"MMMM"))</f>
        <v>MAYO</v>
      </c>
      <c r="F376" s="183" t="str">
        <f>IFERROR(VLOOKUP(TablaPrincipal[[#This Row],[CODIGO]],COSECHAS!A:J,9,0),"-")</f>
        <v>11</v>
      </c>
      <c r="G376" s="183" t="str">
        <f>IFERROR(VLOOKUP(TablaPrincipal[[#This Row],[CODIGO]],COSECHAS!A:I,8,0),"-")</f>
        <v>DORADO</v>
      </c>
      <c r="H376" s="184">
        <f>IFERROR(VLOOKUP(TablaPrincipal[[#This Row],[CODIGO]],DATOS!A:B,2,0),"-")</f>
        <v>13.43</v>
      </c>
      <c r="I376" s="183" t="str">
        <f>IFERROR(VLOOKUP(TablaPrincipal[[#This Row],[CODIGO]],Tabla8[[#Headers],[#Data]],3,0),"-")</f>
        <v>ASC-BAP</v>
      </c>
      <c r="J376" s="183">
        <f>IFERROR(TablaPrincipal[[#This Row],[FECHA]]-TablaPrincipal[[#This Row],[FECHA DE SIEMBRA]],"-")</f>
        <v>84</v>
      </c>
      <c r="K376" s="196">
        <f>VLOOKUP(TablaPrincipal[[#This Row],[CODIGO]]&amp;TablaPrincipal[[#This Row],[AGUAJE ]],Tabla4[#All],4,0)</f>
        <v>46071</v>
      </c>
      <c r="L376" s="183" t="str">
        <f>VLOOKUP(TablaPrincipal[[#This Row],[CODIGO]]&amp;TablaPrincipal[[#This Row],[AGUAJE ]],Tabla4[#All],15,0)</f>
        <v>DO PC2</v>
      </c>
      <c r="M376" s="184">
        <f>VLOOKUP(TablaPrincipal[[#This Row],[CODIGO]]&amp;TablaPrincipal[[#This Row],[AGUAJE ]],Tabla4[#All],14,0)</f>
        <v>0.66</v>
      </c>
      <c r="N376" s="183">
        <v>6</v>
      </c>
      <c r="O376" s="170">
        <f>VLOOKUP(TablaPrincipal[[#This Row],[CODIGO]]&amp;TablaPrincipal[[#This Row],[AGUAJE ]],Tabla4[#All],5,0)</f>
        <v>2425946</v>
      </c>
      <c r="P376" s="221">
        <f>IFERROR(TablaPrincipal[[#This Row],[ANIM SEMBRADOS]]/TablaPrincipal[[#This Row],[HAS]],"-")</f>
        <v>180636.33655994045</v>
      </c>
      <c r="Q376" s="222">
        <f>IFERROR(TablaPrincipal[[#This Row],[DENSIDAD]]/10000,"-")</f>
        <v>18.063633655994046</v>
      </c>
      <c r="R376" s="183" t="str">
        <f>VLOOKUP(TablaPrincipal[[#This Row],[CODIGO]]&amp;TablaPrincipal[[#This Row],[AGUAJE ]],Tabla4[#All],8,0)</f>
        <v>TECSERV</v>
      </c>
      <c r="S376" s="183" t="str">
        <f>VLOOKUP(TablaPrincipal[[#This Row],[CODIGO]]&amp;TablaPrincipal[[#This Row],[AGUAJE ]],Tabla4[#All],7,0)</f>
        <v>EMPAGRAN</v>
      </c>
      <c r="T376" s="183" t="str">
        <f>IF(ISNUMBER(FIND("/",TablaPrincipal[[#This Row],[LABORATORIO]])),"COMBINADO","UNICO")</f>
        <v>UNICO</v>
      </c>
      <c r="U3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30700</v>
      </c>
      <c r="V37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30708</v>
      </c>
      <c r="W37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7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30.009999999999998</v>
      </c>
      <c r="Y376" s="185">
        <f>IFERROR(TablaPrincipal[[#This Row],[LIBRAS RALEO PLANTA]]/TablaPrincipal[[#This Row],[HAS]],"-")</f>
        <v>2286.5227103499628</v>
      </c>
      <c r="Z37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464263.28984611941</v>
      </c>
      <c r="AA37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31300</v>
      </c>
      <c r="AB37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32494.25</v>
      </c>
      <c r="AC376" s="186">
        <f>SUMIFS(COSECHAS!F:F,COSECHAS!A:A,'BASE 2026'!AW:AW,COSECHAS!G:G,"="&amp;A:A)</f>
        <v>30</v>
      </c>
      <c r="AD376" s="186">
        <f>SUMIFS(COSECHAS!M:M,COSECHAS!A:A,'BASE 2026'!AW:AW,COSECHAS!G:G,"="&amp;A:A)</f>
        <v>34.76</v>
      </c>
      <c r="AE376" s="185">
        <f>IFERROR(TablaPrincipal[[#This Row],[LIBRAS PLANTA]]/TablaPrincipal[[#This Row],[HAS]],"-")</f>
        <v>2419.5271779597915</v>
      </c>
      <c r="AF376" s="185">
        <f>IFERROR(TablaPrincipal[[#This Row],[LIBRAS PLANTA]]*454/TablaPrincipal[[#This Row],[GRAMOS PLANTA]],"-")</f>
        <v>424407.06271576526</v>
      </c>
      <c r="AG376" s="185">
        <f>TablaPrincipal[[#This Row],[LIBRAS RALEO PLANTA]]+TablaPrincipal[[#This Row],[LIBRAS PLANTA]]</f>
        <v>63202.25</v>
      </c>
      <c r="AH376" s="185">
        <f>IFERROR(TablaPrincipal[[#This Row],[CAM COSECHADOS RALEO]]+TablaPrincipal[[#This Row],[CAM COSECHADOS]],"-")</f>
        <v>888670.35256188468</v>
      </c>
      <c r="AI376" s="185">
        <f>IFERROR((TablaPrincipal[[#This Row],[LIBRAS RALEO PLANTA]]+TablaPrincipal[[#This Row],[LIBRAS PLANTA]])/TablaPrincipal[[#This Row],[HAS]],"0")</f>
        <v>4706.0498883097544</v>
      </c>
      <c r="AJ376" s="186">
        <f t="shared" ref="AJ376:AJ381" si="12">IFERROR(AD376/(J376/7),"-")</f>
        <v>2.8966666666666665</v>
      </c>
      <c r="AK376" s="186">
        <f>IFERROR(TablaPrincipal[[#This Row],[LBS/HA]]/TablaPrincipal[[#This Row],[DIAS]],"-")</f>
        <v>56.024403432258978</v>
      </c>
      <c r="AL376" s="186">
        <f>IFERROR(TablaPrincipal[[#This Row],[CAM COSECHADOS TOTALES]]/TablaPrincipal[[#This Row],[ANIM SEMBRADOS]]*100,"-")</f>
        <v>36.631909884304299</v>
      </c>
      <c r="AM376" s="185">
        <v>141425.09</v>
      </c>
      <c r="AN376" s="187">
        <f>IFERROR(((TablaPrincipal[[#This Row],[BALANCEADO ACUMULADO (LBS)]]/2.2046)/TablaPrincipal[[#This Row],[HAS]])/TablaPrincipal[[#This Row],[DIAS]],"-")</f>
        <v>56.864517959082363</v>
      </c>
      <c r="AO376" s="184">
        <f>IFERROR(TablaPrincipal[[#This Row],[BALANCEADO ACUMULADO (LBS)]]/TablaPrincipal[[#This Row],[LIBRAS TOTALES]],"-")</f>
        <v>2.237659102326262</v>
      </c>
      <c r="AP376" s="184"/>
      <c r="AQ376" s="184"/>
      <c r="AR376" s="185">
        <f>TablaPrincipal[[#This Row],[LIBRAS RALEO PLANTA]]-TablaPrincipal[[#This Row],[LIBRAS RALEO CAMARONERA]]</f>
        <v>8</v>
      </c>
      <c r="AS376" s="185">
        <f>TablaPrincipal[[#This Row],[LIBRAS PLANTA]]-TablaPrincipal[[#This Row],[LIBRAS CAMARONERA]]</f>
        <v>1194.25</v>
      </c>
      <c r="AT376" s="187">
        <f>TablaPrincipal[[#This Row],[GRAMAJE RALEO PLANTA]]-TablaPrincipal[[#This Row],[GRAMAJE RALEO CAMARONERA]]</f>
        <v>3.009999999999998</v>
      </c>
      <c r="AU376" s="187">
        <f>TablaPrincipal[[#This Row],[GRAMOS PLANTA]]-TablaPrincipal[[#This Row],[GRAMAJE CAMARONERA]]</f>
        <v>4.759999999999998</v>
      </c>
      <c r="AV376" s="183" t="str">
        <f>+VLOOKUP(TablaPrincipal[[#This Row],[CODIGO]],TablaCosechas[#All],10,0)</f>
        <v>JOSE CEDEÑO</v>
      </c>
      <c r="AW376" s="183" t="s">
        <v>219</v>
      </c>
      <c r="AX376" s="241" t="str">
        <f>+VLOOKUP(TablaPrincipal[[#This Row],[CODIGO]],TablaCosechas[#All],10,0)</f>
        <v>JOSE CEDEÑO</v>
      </c>
    </row>
    <row r="377" spans="1:50" x14ac:dyDescent="0.25">
      <c r="A377" s="196">
        <v>46155</v>
      </c>
      <c r="B377" s="242">
        <v>375</v>
      </c>
      <c r="C377" s="183">
        <f>YEAR(TablaPrincipal[[#This Row],[FECHA]])</f>
        <v>2026</v>
      </c>
      <c r="D377" s="183" t="s">
        <v>347</v>
      </c>
      <c r="E377" s="183" t="str">
        <f>UPPER(TEXT(TablaPrincipal[[#This Row],[FECHA]],"MMMM"))</f>
        <v>MAYO</v>
      </c>
      <c r="F377" s="183" t="str">
        <f>IFERROR(VLOOKUP(TablaPrincipal[[#This Row],[CODIGO]],COSECHAS!A:J,9,0),"-")</f>
        <v>15</v>
      </c>
      <c r="G377" s="183" t="str">
        <f>IFERROR(VLOOKUP(TablaPrincipal[[#This Row],[CODIGO]],COSECHAS!A:I,8,0),"-")</f>
        <v>MERO</v>
      </c>
      <c r="H377" s="184">
        <f>IFERROR(VLOOKUP(TablaPrincipal[[#This Row],[CODIGO]],DATOS!A:B,2,0),"-")</f>
        <v>2.6</v>
      </c>
      <c r="I377" s="183" t="str">
        <f>IFERROR(VLOOKUP(TablaPrincipal[[#This Row],[CODIGO]],Tabla8[[#Headers],[#Data]],3,0),"-")</f>
        <v>CONVENCIONAL</v>
      </c>
      <c r="J377" s="183">
        <f>IFERROR(TablaPrincipal[[#This Row],[FECHA]]-TablaPrincipal[[#This Row],[FECHA DE SIEMBRA]],"-")</f>
        <v>75</v>
      </c>
      <c r="K377" s="196">
        <f>VLOOKUP(TablaPrincipal[[#This Row],[CODIGO]]&amp;TablaPrincipal[[#This Row],[AGUAJE ]],Tabla4[#All],4,0)</f>
        <v>46080</v>
      </c>
      <c r="L377" s="183" t="str">
        <f>VLOOKUP(TablaPrincipal[[#This Row],[CODIGO]]&amp;TablaPrincipal[[#This Row],[AGUAJE ]],Tabla4[#All],15,0)</f>
        <v>ME PC 12</v>
      </c>
      <c r="M377" s="184">
        <f>VLOOKUP(TablaPrincipal[[#This Row],[CODIGO]]&amp;TablaPrincipal[[#This Row],[AGUAJE ]],Tabla4[#All],14,0)</f>
        <v>0.65</v>
      </c>
      <c r="N377" s="183">
        <v>12</v>
      </c>
      <c r="O377" s="170">
        <f>VLOOKUP(TablaPrincipal[[#This Row],[CODIGO]]&amp;TablaPrincipal[[#This Row],[AGUAJE ]],Tabla4[#All],5,0)</f>
        <v>338000</v>
      </c>
      <c r="P377" s="221">
        <f>IFERROR(TablaPrincipal[[#This Row],[ANIM SEMBRADOS]]/TablaPrincipal[[#This Row],[HAS]],"-")</f>
        <v>130000</v>
      </c>
      <c r="Q377" s="222">
        <f>IFERROR(TablaPrincipal[[#This Row],[DENSIDAD]]/10000,"-")</f>
        <v>13</v>
      </c>
      <c r="R377" s="183" t="str">
        <f>VLOOKUP(TablaPrincipal[[#This Row],[CODIGO]]&amp;TablaPrincipal[[#This Row],[AGUAJE ]],Tabla4[#All],8,0)</f>
        <v>DEONES</v>
      </c>
      <c r="S377" s="183" t="str">
        <f>VLOOKUP(TablaPrincipal[[#This Row],[CODIGO]]&amp;TablaPrincipal[[#This Row],[AGUAJE ]],Tabla4[#All],7,0)</f>
        <v>TEXCUMAR</v>
      </c>
      <c r="T377" s="183" t="str">
        <f>IF(ISNUMBER(FIND("/",TablaPrincipal[[#This Row],[LABORATORIO]])),"COMBINADO","UNICO")</f>
        <v>UNICO</v>
      </c>
      <c r="U3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5550</v>
      </c>
      <c r="V37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5426.1</v>
      </c>
      <c r="W37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37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27.92</v>
      </c>
      <c r="Y377" s="185">
        <f>IFERROR(TablaPrincipal[[#This Row],[LIBRAS RALEO PLANTA]]/TablaPrincipal[[#This Row],[HAS]],"-")</f>
        <v>2086.9615384615386</v>
      </c>
      <c r="Z37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90737.937089155137</v>
      </c>
      <c r="AA37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10000</v>
      </c>
      <c r="AB37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10035.61</v>
      </c>
      <c r="AC377" s="186">
        <f>SUMIFS(COSECHAS!F:F,COSECHAS!A:A,'BASE 2026'!AW:AW,COSECHAS!G:G,"="&amp;A:A)</f>
        <v>30.5</v>
      </c>
      <c r="AD377" s="186">
        <f>SUMIFS(COSECHAS!M:M,COSECHAS!A:A,'BASE 2026'!AW:AW,COSECHAS!G:G,"="&amp;A:A)</f>
        <v>34.94</v>
      </c>
      <c r="AE377" s="185">
        <f>IFERROR(TablaPrincipal[[#This Row],[LIBRAS PLANTA]]/TablaPrincipal[[#This Row],[HAS]],"-")</f>
        <v>3859.85</v>
      </c>
      <c r="AF377" s="185">
        <f>IFERROR(TablaPrincipal[[#This Row],[LIBRAS PLANTA]]*454/TablaPrincipal[[#This Row],[GRAMOS PLANTA]],"-")</f>
        <v>130399.74069834003</v>
      </c>
      <c r="AG377" s="185">
        <f>TablaPrincipal[[#This Row],[LIBRAS RALEO PLANTA]]+TablaPrincipal[[#This Row],[LIBRAS PLANTA]]</f>
        <v>15461.710000000001</v>
      </c>
      <c r="AH377" s="185">
        <f>IFERROR(TablaPrincipal[[#This Row],[CAM COSECHADOS RALEO]]+TablaPrincipal[[#This Row],[CAM COSECHADOS]],"-")</f>
        <v>221137.67778749517</v>
      </c>
      <c r="AI377" s="185">
        <f>IFERROR((TablaPrincipal[[#This Row],[LIBRAS RALEO PLANTA]]+TablaPrincipal[[#This Row],[LIBRAS PLANTA]])/TablaPrincipal[[#This Row],[HAS]],"0")</f>
        <v>5946.8115384615385</v>
      </c>
      <c r="AJ377" s="186">
        <f t="shared" si="12"/>
        <v>3.2610666666666668</v>
      </c>
      <c r="AK377" s="186">
        <f>IFERROR(TablaPrincipal[[#This Row],[LBS/HA]]/TablaPrincipal[[#This Row],[DIAS]],"-")</f>
        <v>79.290820512820517</v>
      </c>
      <c r="AL377" s="186">
        <f>IFERROR(TablaPrincipal[[#This Row],[CAM COSECHADOS TOTALES]]/TablaPrincipal[[#This Row],[ANIM SEMBRADOS]]*100,"-")</f>
        <v>65.425348457838808</v>
      </c>
      <c r="AM377" s="185">
        <v>22597.15</v>
      </c>
      <c r="AN377" s="187">
        <f>IFERROR(((TablaPrincipal[[#This Row],[BALANCEADO ACUMULADO (LBS)]]/2.2046)/TablaPrincipal[[#This Row],[HAS]])/TablaPrincipal[[#This Row],[DIAS]],"-")</f>
        <v>52.564102564102562</v>
      </c>
      <c r="AO377" s="184">
        <f>IFERROR(TablaPrincipal[[#This Row],[BALANCEADO ACUMULADO (LBS)]]/TablaPrincipal[[#This Row],[LIBRAS TOTALES]],"-")</f>
        <v>1.4614909993784646</v>
      </c>
      <c r="AP377" s="184"/>
      <c r="AQ377" s="184"/>
      <c r="AR377" s="185">
        <f>TablaPrincipal[[#This Row],[LIBRAS RALEO PLANTA]]-TablaPrincipal[[#This Row],[LIBRAS RALEO CAMARONERA]]</f>
        <v>-123.89999999999964</v>
      </c>
      <c r="AS377" s="185">
        <f>TablaPrincipal[[#This Row],[LIBRAS PLANTA]]-TablaPrincipal[[#This Row],[LIBRAS CAMARONERA]]</f>
        <v>35.610000000000582</v>
      </c>
      <c r="AT377" s="187">
        <f>TablaPrincipal[[#This Row],[GRAMAJE RALEO PLANTA]]-TablaPrincipal[[#This Row],[GRAMAJE RALEO CAMARONERA]]</f>
        <v>3.9200000000000017</v>
      </c>
      <c r="AU377" s="187">
        <f>TablaPrincipal[[#This Row],[GRAMOS PLANTA]]-TablaPrincipal[[#This Row],[GRAMAJE CAMARONERA]]</f>
        <v>4.4399999999999977</v>
      </c>
      <c r="AV377" s="183" t="str">
        <f>+VLOOKUP(TablaPrincipal[[#This Row],[CODIGO]],TablaCosechas[#All],10,0)</f>
        <v>NESTOR MOGOLLON</v>
      </c>
      <c r="AW377" s="183" t="s">
        <v>234</v>
      </c>
      <c r="AX377" s="241" t="str">
        <f>+VLOOKUP(TablaPrincipal[[#This Row],[CODIGO]],TablaCosechas[#All],10,0)</f>
        <v>NESTOR MOGOLLON</v>
      </c>
    </row>
    <row r="378" spans="1:50" x14ac:dyDescent="0.25">
      <c r="A378" s="196">
        <v>46155</v>
      </c>
      <c r="B378" s="242">
        <v>376</v>
      </c>
      <c r="C378" s="183">
        <f>YEAR(TablaPrincipal[[#This Row],[FECHA]])</f>
        <v>2026</v>
      </c>
      <c r="D378" s="183" t="s">
        <v>347</v>
      </c>
      <c r="E378" s="183" t="str">
        <f>UPPER(TEXT(TablaPrincipal[[#This Row],[FECHA]],"MMMM"))</f>
        <v>MAYO</v>
      </c>
      <c r="F378" s="183" t="str">
        <f>IFERROR(VLOOKUP(TablaPrincipal[[#This Row],[CODIGO]],COSECHAS!A:J,9,0),"-")</f>
        <v>18</v>
      </c>
      <c r="G378" s="183" t="str">
        <f>IFERROR(VLOOKUP(TablaPrincipal[[#This Row],[CODIGO]],COSECHAS!A:I,8,0),"-")</f>
        <v>MERO</v>
      </c>
      <c r="H378" s="184">
        <f>IFERROR(VLOOKUP(TablaPrincipal[[#This Row],[CODIGO]],DATOS!A:B,2,0),"-")</f>
        <v>3.05</v>
      </c>
      <c r="I378" s="183" t="str">
        <f>IFERROR(VLOOKUP(TablaPrincipal[[#This Row],[CODIGO]],Tabla8[[#Headers],[#Data]],3,0),"-")</f>
        <v>CONVENCIONAL</v>
      </c>
      <c r="J378" s="183">
        <f>IFERROR(TablaPrincipal[[#This Row],[FECHA]]-TablaPrincipal[[#This Row],[FECHA DE SIEMBRA]],"-")</f>
        <v>75</v>
      </c>
      <c r="K378" s="196">
        <f>VLOOKUP(TablaPrincipal[[#This Row],[CODIGO]]&amp;TablaPrincipal[[#This Row],[AGUAJE ]],Tabla4[#All],4,0)</f>
        <v>46080</v>
      </c>
      <c r="L378" s="183" t="str">
        <f>VLOOKUP(TablaPrincipal[[#This Row],[CODIGO]]&amp;TablaPrincipal[[#This Row],[AGUAJE ]],Tabla4[#All],15,0)</f>
        <v>ME PC 12</v>
      </c>
      <c r="M378" s="184">
        <f>VLOOKUP(TablaPrincipal[[#This Row],[CODIGO]]&amp;TablaPrincipal[[#This Row],[AGUAJE ]],Tabla4[#All],14,0)</f>
        <v>0.65</v>
      </c>
      <c r="N378" s="183">
        <v>12</v>
      </c>
      <c r="O378" s="170">
        <f>VLOOKUP(TablaPrincipal[[#This Row],[CODIGO]]&amp;TablaPrincipal[[#This Row],[AGUAJE ]],Tabla4[#All],5,0)</f>
        <v>457500</v>
      </c>
      <c r="P378" s="221">
        <f>IFERROR(TablaPrincipal[[#This Row],[ANIM SEMBRADOS]]/TablaPrincipal[[#This Row],[HAS]],"-")</f>
        <v>150000</v>
      </c>
      <c r="Q378" s="222">
        <f>IFERROR(TablaPrincipal[[#This Row],[DENSIDAD]]/10000,"-")</f>
        <v>15</v>
      </c>
      <c r="R378" s="183" t="str">
        <f>VLOOKUP(TablaPrincipal[[#This Row],[CODIGO]]&amp;TablaPrincipal[[#This Row],[AGUAJE ]],Tabla4[#All],8,0)</f>
        <v>DEONES</v>
      </c>
      <c r="S378" s="183" t="str">
        <f>VLOOKUP(TablaPrincipal[[#This Row],[CODIGO]]&amp;TablaPrincipal[[#This Row],[AGUAJE ]],Tabla4[#All],7,0)</f>
        <v>TEXCUMAR</v>
      </c>
      <c r="T378" s="183" t="str">
        <f>IF(ISNUMBER(FIND("/",TablaPrincipal[[#This Row],[LABORATORIO]])),"COMBINADO","UNICO")</f>
        <v>UNICO</v>
      </c>
      <c r="U3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7750</v>
      </c>
      <c r="V37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7958.5300000000007</v>
      </c>
      <c r="W37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37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29.96</v>
      </c>
      <c r="Y378" s="185">
        <f>IFERROR(TablaPrincipal[[#This Row],[LIBRAS RALEO PLANTA]]/TablaPrincipal[[#This Row],[HAS]],"-")</f>
        <v>2609.3540983606563</v>
      </c>
      <c r="Z37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124722.32442360024</v>
      </c>
      <c r="AA37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37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9933.77</v>
      </c>
      <c r="AC378" s="186">
        <f>SUMIFS(COSECHAS!F:F,COSECHAS!A:A,'BASE 2026'!AW:AW,COSECHAS!G:G,"="&amp;A:A)</f>
        <v>30.8</v>
      </c>
      <c r="AD378" s="186">
        <f>SUMIFS(COSECHAS!M:M,COSECHAS!A:A,'BASE 2026'!AW:AW,COSECHAS!G:G,"="&amp;A:A)</f>
        <v>35.799999999999997</v>
      </c>
      <c r="AE378" s="185">
        <f>IFERROR(TablaPrincipal[[#This Row],[LIBRAS PLANTA]]/TablaPrincipal[[#This Row],[HAS]],"-")</f>
        <v>3256.9737704918034</v>
      </c>
      <c r="AF378" s="185">
        <f>IFERROR(TablaPrincipal[[#This Row],[LIBRAS PLANTA]]*454/TablaPrincipal[[#This Row],[GRAMOS PLANTA]],"-")</f>
        <v>125975.74245810058</v>
      </c>
      <c r="AG378" s="185">
        <f>TablaPrincipal[[#This Row],[LIBRAS RALEO PLANTA]]+TablaPrincipal[[#This Row],[LIBRAS PLANTA]]</f>
        <v>17892.300000000003</v>
      </c>
      <c r="AH378" s="185">
        <f>IFERROR(TablaPrincipal[[#This Row],[CAM COSECHADOS RALEO]]+TablaPrincipal[[#This Row],[CAM COSECHADOS]],"-")</f>
        <v>250698.06688170083</v>
      </c>
      <c r="AI378" s="185">
        <f>IFERROR((TablaPrincipal[[#This Row],[LIBRAS RALEO PLANTA]]+TablaPrincipal[[#This Row],[LIBRAS PLANTA]])/TablaPrincipal[[#This Row],[HAS]],"0")</f>
        <v>5866.3278688524606</v>
      </c>
      <c r="AJ378" s="186">
        <f t="shared" si="12"/>
        <v>3.3413333333333335</v>
      </c>
      <c r="AK378" s="186">
        <f>IFERROR(TablaPrincipal[[#This Row],[LBS/HA]]/TablaPrincipal[[#This Row],[DIAS]],"-")</f>
        <v>78.217704918032808</v>
      </c>
      <c r="AL378" s="186">
        <f>IFERROR(TablaPrincipal[[#This Row],[CAM COSECHADOS TOTALES]]/TablaPrincipal[[#This Row],[ANIM SEMBRADOS]]*100,"-")</f>
        <v>54.797391668131326</v>
      </c>
      <c r="AM378" s="185">
        <v>29321.18</v>
      </c>
      <c r="AN378" s="187">
        <f>IFERROR(((TablaPrincipal[[#This Row],[BALANCEADO ACUMULADO (LBS)]]/2.2046)/TablaPrincipal[[#This Row],[HAS]])/TablaPrincipal[[#This Row],[DIAS]],"-")</f>
        <v>58.142076502732245</v>
      </c>
      <c r="AO378" s="184">
        <f>IFERROR(TablaPrincipal[[#This Row],[BALANCEADO ACUMULADO (LBS)]]/TablaPrincipal[[#This Row],[LIBRAS TOTALES]],"-")</f>
        <v>1.6387596899224803</v>
      </c>
      <c r="AP378" s="184"/>
      <c r="AQ378" s="184"/>
      <c r="AR378" s="185">
        <f>TablaPrincipal[[#This Row],[LIBRAS RALEO PLANTA]]-TablaPrincipal[[#This Row],[LIBRAS RALEO CAMARONERA]]</f>
        <v>208.53000000000065</v>
      </c>
      <c r="AS378" s="185">
        <f>TablaPrincipal[[#This Row],[LIBRAS PLANTA]]-TablaPrincipal[[#This Row],[LIBRAS CAMARONERA]]</f>
        <v>-266.22999999999956</v>
      </c>
      <c r="AT378" s="187">
        <f>TablaPrincipal[[#This Row],[GRAMAJE RALEO PLANTA]]-TablaPrincipal[[#This Row],[GRAMAJE RALEO CAMARONERA]]</f>
        <v>4.9600000000000009</v>
      </c>
      <c r="AU378" s="187">
        <f>TablaPrincipal[[#This Row],[GRAMOS PLANTA]]-TablaPrincipal[[#This Row],[GRAMAJE CAMARONERA]]</f>
        <v>4.9999999999999964</v>
      </c>
      <c r="AV378" s="183" t="str">
        <f>+VLOOKUP(TablaPrincipal[[#This Row],[CODIGO]],TablaCosechas[#All],10,0)</f>
        <v>NESTOR MOGOLLON</v>
      </c>
      <c r="AW378" s="183" t="s">
        <v>235</v>
      </c>
      <c r="AX378" s="241" t="str">
        <f>+VLOOKUP(TablaPrincipal[[#This Row],[CODIGO]],TablaCosechas[#All],10,0)</f>
        <v>NESTOR MOGOLLON</v>
      </c>
    </row>
    <row r="379" spans="1:50" x14ac:dyDescent="0.25">
      <c r="A379" s="196">
        <v>46155</v>
      </c>
      <c r="B379" s="242">
        <v>377</v>
      </c>
      <c r="C379" s="183">
        <f>YEAR(TablaPrincipal[[#This Row],[FECHA]])</f>
        <v>2026</v>
      </c>
      <c r="D379" s="183" t="s">
        <v>347</v>
      </c>
      <c r="E379" s="183" t="str">
        <f>UPPER(TEXT(TablaPrincipal[[#This Row],[FECHA]],"MMMM"))</f>
        <v>MAYO</v>
      </c>
      <c r="F379" s="183" t="str">
        <f>IFERROR(VLOOKUP(TablaPrincipal[[#This Row],[CODIGO]],COSECHAS!A:J,9,0),"-")</f>
        <v>19</v>
      </c>
      <c r="G379" s="183" t="str">
        <f>IFERROR(VLOOKUP(TablaPrincipal[[#This Row],[CODIGO]],COSECHAS!A:I,8,0),"-")</f>
        <v>PAMPANO</v>
      </c>
      <c r="H379" s="184">
        <f>IFERROR(VLOOKUP(TablaPrincipal[[#This Row],[CODIGO]],DATOS!A:B,2,0),"-")</f>
        <v>5.5</v>
      </c>
      <c r="I379" s="183" t="str">
        <f>IFERROR(VLOOKUP(TablaPrincipal[[#This Row],[CODIGO]],Tabla8[[#Headers],[#Data]],3,0),"-")</f>
        <v>ASC-BAP</v>
      </c>
      <c r="J379" s="183">
        <f>IFERROR(TablaPrincipal[[#This Row],[FECHA]]-TablaPrincipal[[#This Row],[FECHA DE SIEMBRA]],"-")</f>
        <v>65</v>
      </c>
      <c r="K379" s="196">
        <f>VLOOKUP(TablaPrincipal[[#This Row],[CODIGO]]&amp;TablaPrincipal[[#This Row],[AGUAJE ]],Tabla4[#All],4,0)</f>
        <v>46090</v>
      </c>
      <c r="L379" s="183" t="str">
        <f>VLOOKUP(TablaPrincipal[[#This Row],[CODIGO]]&amp;TablaPrincipal[[#This Row],[AGUAJE ]],Tabla4[#All],15,0)</f>
        <v>PA 7</v>
      </c>
      <c r="M379" s="184">
        <f>VLOOKUP(TablaPrincipal[[#This Row],[CODIGO]]&amp;TablaPrincipal[[#This Row],[AGUAJE ]],Tabla4[#All],14,0)</f>
        <v>1.4</v>
      </c>
      <c r="N379" s="183">
        <v>6</v>
      </c>
      <c r="O379" s="170">
        <f>VLOOKUP(TablaPrincipal[[#This Row],[CODIGO]]&amp;TablaPrincipal[[#This Row],[AGUAJE ]],Tabla4[#All],5,0)</f>
        <v>892000</v>
      </c>
      <c r="P379" s="221">
        <f>IFERROR(TablaPrincipal[[#This Row],[ANIM SEMBRADOS]]/TablaPrincipal[[#This Row],[HAS]],"-")</f>
        <v>162181.81818181818</v>
      </c>
      <c r="Q379" s="222">
        <f>IFERROR(TablaPrincipal[[#This Row],[DENSIDAD]]/10000,"-")</f>
        <v>16.218181818181819</v>
      </c>
      <c r="R379" s="183" t="str">
        <f>VLOOKUP(TablaPrincipal[[#This Row],[CODIGO]]&amp;TablaPrincipal[[#This Row],[AGUAJE ]],Tabla4[#All],8,0)</f>
        <v>DEONES</v>
      </c>
      <c r="S379" s="183" t="str">
        <f>VLOOKUP(TablaPrincipal[[#This Row],[CODIGO]]&amp;TablaPrincipal[[#This Row],[AGUAJE ]],Tabla4[#All],7,0)</f>
        <v>TEXCUMAR</v>
      </c>
      <c r="T379" s="183" t="str">
        <f>IF(ISNUMBER(FIND("/",TablaPrincipal[[#This Row],[LABORATORIO]])),"COMBINADO","UNICO")</f>
        <v>UNICO</v>
      </c>
      <c r="U3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6500</v>
      </c>
      <c r="V37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7213.3200000000006</v>
      </c>
      <c r="W37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7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22.96</v>
      </c>
      <c r="Y379" s="185">
        <f>IFERROR(TablaPrincipal[[#This Row],[LIBRAS RALEO PLANTA]]/TablaPrincipal[[#This Row],[HAS]],"-")</f>
        <v>1311.5127272727275</v>
      </c>
      <c r="Z37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152286.62338549431</v>
      </c>
      <c r="AA37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11800</v>
      </c>
      <c r="AB37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13189.75</v>
      </c>
      <c r="AC379" s="186">
        <f>SUMIFS(COSECHAS!F:F,COSECHAS!A:A,'BASE 2026'!AW:AW,COSECHAS!G:G,"="&amp;A:A)</f>
        <v>29.5</v>
      </c>
      <c r="AD379" s="186">
        <f>SUMIFS(COSECHAS!M:M,COSECHAS!A:A,'BASE 2026'!AW:AW,COSECHAS!G:G,"="&amp;A:A)</f>
        <v>33.72</v>
      </c>
      <c r="AE379" s="185">
        <f>IFERROR(TablaPrincipal[[#This Row],[LIBRAS PLANTA]]/TablaPrincipal[[#This Row],[HAS]],"-")</f>
        <v>2398.1363636363635</v>
      </c>
      <c r="AF379" s="185">
        <f>IFERROR(TablaPrincipal[[#This Row],[LIBRAS PLANTA]]*454/TablaPrincipal[[#This Row],[GRAMOS PLANTA]],"-")</f>
        <v>177584.41577698695</v>
      </c>
      <c r="AG379" s="185">
        <f>TablaPrincipal[[#This Row],[LIBRAS RALEO PLANTA]]+TablaPrincipal[[#This Row],[LIBRAS PLANTA]]</f>
        <v>20403.07</v>
      </c>
      <c r="AH379" s="185">
        <f>IFERROR(TablaPrincipal[[#This Row],[CAM COSECHADOS RALEO]]+TablaPrincipal[[#This Row],[CAM COSECHADOS]],"-")</f>
        <v>329871.03916248126</v>
      </c>
      <c r="AI379" s="185">
        <f>IFERROR((TablaPrincipal[[#This Row],[LIBRAS RALEO PLANTA]]+TablaPrincipal[[#This Row],[LIBRAS PLANTA]])/TablaPrincipal[[#This Row],[HAS]],"0")</f>
        <v>3709.6490909090908</v>
      </c>
      <c r="AJ379" s="186">
        <f t="shared" si="12"/>
        <v>3.631384615384615</v>
      </c>
      <c r="AK379" s="186">
        <f>IFERROR(TablaPrincipal[[#This Row],[LBS/HA]]/TablaPrincipal[[#This Row],[DIAS]],"-")</f>
        <v>57.071524475524477</v>
      </c>
      <c r="AL379" s="186">
        <f>IFERROR(TablaPrincipal[[#This Row],[CAM COSECHADOS TOTALES]]/TablaPrincipal[[#This Row],[ANIM SEMBRADOS]]*100,"-")</f>
        <v>36.981058202071893</v>
      </c>
      <c r="AM379" s="185">
        <v>35108.255000000005</v>
      </c>
      <c r="AN379" s="187">
        <f>IFERROR(((TablaPrincipal[[#This Row],[BALANCEADO ACUMULADO (LBS)]]/2.2046)/TablaPrincipal[[#This Row],[HAS]])/TablaPrincipal[[#This Row],[DIAS]],"-")</f>
        <v>44.545454545454554</v>
      </c>
      <c r="AO379" s="184">
        <f>IFERROR(TablaPrincipal[[#This Row],[BALANCEADO ACUMULADO (LBS)]]/TablaPrincipal[[#This Row],[LIBRAS TOTALES]],"-")</f>
        <v>1.720733938569049</v>
      </c>
      <c r="AP379" s="184"/>
      <c r="AQ379" s="184"/>
      <c r="AR379" s="185">
        <f>TablaPrincipal[[#This Row],[LIBRAS RALEO PLANTA]]-TablaPrincipal[[#This Row],[LIBRAS RALEO CAMARONERA]]</f>
        <v>713.32000000000062</v>
      </c>
      <c r="AS379" s="185">
        <f>TablaPrincipal[[#This Row],[LIBRAS PLANTA]]-TablaPrincipal[[#This Row],[LIBRAS CAMARONERA]]</f>
        <v>1389.75</v>
      </c>
      <c r="AT379" s="187">
        <f>TablaPrincipal[[#This Row],[GRAMAJE RALEO PLANTA]]-TablaPrincipal[[#This Row],[GRAMAJE RALEO CAMARONERA]]</f>
        <v>3.4600000000000009</v>
      </c>
      <c r="AU379" s="187">
        <f>TablaPrincipal[[#This Row],[GRAMOS PLANTA]]-TablaPrincipal[[#This Row],[GRAMAJE CAMARONERA]]</f>
        <v>4.2199999999999989</v>
      </c>
      <c r="AV379" s="183" t="str">
        <f>+VLOOKUP(TablaPrincipal[[#This Row],[CODIGO]],TablaCosechas[#All],10,0)</f>
        <v>GUSTAVO CARRASCO</v>
      </c>
      <c r="AW379" s="183" t="s">
        <v>259</v>
      </c>
      <c r="AX379" s="241" t="str">
        <f>+VLOOKUP(TablaPrincipal[[#This Row],[CODIGO]],TablaCosechas[#All],10,0)</f>
        <v>GUSTAVO CARRASCO</v>
      </c>
    </row>
    <row r="380" spans="1:50" x14ac:dyDescent="0.25">
      <c r="A380" s="196">
        <v>46155</v>
      </c>
      <c r="B380" s="242">
        <v>378</v>
      </c>
      <c r="C380" s="183">
        <f>YEAR(TablaPrincipal[[#This Row],[FECHA]])</f>
        <v>2026</v>
      </c>
      <c r="D380" s="183" t="s">
        <v>347</v>
      </c>
      <c r="E380" s="183" t="str">
        <f>UPPER(TEXT(TablaPrincipal[[#This Row],[FECHA]],"MMMM"))</f>
        <v>MAYO</v>
      </c>
      <c r="F380" s="183" t="str">
        <f>IFERROR(VLOOKUP(TablaPrincipal[[#This Row],[CODIGO]],COSECHAS!A:J,9,0),"-")</f>
        <v>09</v>
      </c>
      <c r="G380" s="183" t="str">
        <f>IFERROR(VLOOKUP(TablaPrincipal[[#This Row],[CODIGO]],COSECHAS!A:I,8,0),"-")</f>
        <v>TIBURON</v>
      </c>
      <c r="H380" s="184">
        <f>IFERROR(VLOOKUP(TablaPrincipal[[#This Row],[CODIGO]],DATOS!A:B,2,0),"-")</f>
        <v>6.7</v>
      </c>
      <c r="I380" s="183" t="str">
        <f>IFERROR(VLOOKUP(TablaPrincipal[[#This Row],[CODIGO]],Tabla8[[#Headers],[#Data]],3,0),"-")</f>
        <v>ASC-BAP</v>
      </c>
      <c r="J380" s="183">
        <f>IFERROR(TablaPrincipal[[#This Row],[FECHA]]-TablaPrincipal[[#This Row],[FECHA DE SIEMBRA]],"-")</f>
        <v>82</v>
      </c>
      <c r="K380" s="196">
        <f>VLOOKUP(TablaPrincipal[[#This Row],[CODIGO]]&amp;TablaPrincipal[[#This Row],[AGUAJE ]],Tabla4[#All],4,0)</f>
        <v>46073</v>
      </c>
      <c r="L380" s="183" t="str">
        <f>VLOOKUP(TablaPrincipal[[#This Row],[CODIGO]]&amp;TablaPrincipal[[#This Row],[AGUAJE ]],Tabla4[#All],15,0)</f>
        <v>TI PC 30</v>
      </c>
      <c r="M380" s="184">
        <f>VLOOKUP(TablaPrincipal[[#This Row],[CODIGO]]&amp;TablaPrincipal[[#This Row],[AGUAJE ]],Tabla4[#All],14,0)</f>
        <v>0.55000000000000004</v>
      </c>
      <c r="N380" s="183">
        <v>6</v>
      </c>
      <c r="O380" s="170">
        <f>VLOOKUP(TablaPrincipal[[#This Row],[CODIGO]]&amp;TablaPrincipal[[#This Row],[AGUAJE ]],Tabla4[#All],5,0)</f>
        <v>1273000</v>
      </c>
      <c r="P380" s="221">
        <f>IFERROR(TablaPrincipal[[#This Row],[ANIM SEMBRADOS]]/TablaPrincipal[[#This Row],[HAS]],"-")</f>
        <v>190000</v>
      </c>
      <c r="Q380" s="222">
        <f>IFERROR(TablaPrincipal[[#This Row],[DENSIDAD]]/10000,"-")</f>
        <v>19</v>
      </c>
      <c r="R380" s="183" t="str">
        <f>VLOOKUP(TablaPrincipal[[#This Row],[CODIGO]]&amp;TablaPrincipal[[#This Row],[AGUAJE ]],Tabla4[#All],8,0)</f>
        <v>LARDEMA</v>
      </c>
      <c r="S380" s="183" t="str">
        <f>VLOOKUP(TablaPrincipal[[#This Row],[CODIGO]]&amp;TablaPrincipal[[#This Row],[AGUAJE ]],Tabla4[#All],7,0)</f>
        <v>PRONAUPLIO</v>
      </c>
      <c r="T380" s="183" t="str">
        <f>IF(ISNUMBER(FIND("/",TablaPrincipal[[#This Row],[LABORATORIO]])),"COMBINADO","UNICO")</f>
        <v>UNICO</v>
      </c>
      <c r="U3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16400</v>
      </c>
      <c r="V38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17743.32</v>
      </c>
      <c r="W38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19.55</v>
      </c>
      <c r="X38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20.34</v>
      </c>
      <c r="Y380" s="185">
        <f>IFERROR(TablaPrincipal[[#This Row],[LIBRAS RALEO PLANTA]]/TablaPrincipal[[#This Row],[HAS]],"-")</f>
        <v>2648.2567164179104</v>
      </c>
      <c r="Z38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393708.14707434684</v>
      </c>
      <c r="AA38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36550</v>
      </c>
      <c r="AB38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40755.9</v>
      </c>
      <c r="AC380" s="186">
        <f>SUMIFS(COSECHAS!F:F,COSECHAS!A:A,'BASE 2026'!AW:AW,COSECHAS!G:G,"="&amp;A:A)</f>
        <v>33</v>
      </c>
      <c r="AD380" s="186">
        <f>SUMIFS(COSECHAS!M:M,COSECHAS!A:A,'BASE 2026'!AW:AW,COSECHAS!G:G,"="&amp;A:A)</f>
        <v>33.54</v>
      </c>
      <c r="AE380" s="185">
        <f>IFERROR(TablaPrincipal[[#This Row],[LIBRAS PLANTA]]/TablaPrincipal[[#This Row],[HAS]],"-")</f>
        <v>6082.9701492537315</v>
      </c>
      <c r="AF380" s="185">
        <f>IFERROR(TablaPrincipal[[#This Row],[LIBRAS PLANTA]]*454/TablaPrincipal[[#This Row],[GRAMOS PLANTA]],"-")</f>
        <v>551674.97316636855</v>
      </c>
      <c r="AG380" s="185">
        <f>TablaPrincipal[[#This Row],[LIBRAS RALEO PLANTA]]+TablaPrincipal[[#This Row],[LIBRAS PLANTA]]</f>
        <v>58499.22</v>
      </c>
      <c r="AH380" s="185">
        <f>IFERROR(TablaPrincipal[[#This Row],[CAM COSECHADOS RALEO]]+TablaPrincipal[[#This Row],[CAM COSECHADOS]],"-")</f>
        <v>945383.12024071533</v>
      </c>
      <c r="AI380" s="185">
        <f>IFERROR((TablaPrincipal[[#This Row],[LIBRAS RALEO PLANTA]]+TablaPrincipal[[#This Row],[LIBRAS PLANTA]])/TablaPrincipal[[#This Row],[HAS]],"0")</f>
        <v>8731.2268656716424</v>
      </c>
      <c r="AJ380" s="186">
        <f t="shared" si="12"/>
        <v>2.8631707317073172</v>
      </c>
      <c r="AK380" s="186">
        <f>IFERROR(TablaPrincipal[[#This Row],[LBS/HA]]/TablaPrincipal[[#This Row],[DIAS]],"-")</f>
        <v>106.47837641062978</v>
      </c>
      <c r="AL380" s="186">
        <f>IFERROR(TablaPrincipal[[#This Row],[CAM COSECHADOS TOTALES]]/TablaPrincipal[[#This Row],[ANIM SEMBRADOS]]*100,"-")</f>
        <v>74.264188549938353</v>
      </c>
      <c r="AM380" s="185">
        <v>82066.235000000001</v>
      </c>
      <c r="AN380" s="187">
        <f>IFERROR(((TablaPrincipal[[#This Row],[BALANCEADO ACUMULADO (LBS)]]/2.2046)/TablaPrincipal[[#This Row],[HAS]])/TablaPrincipal[[#This Row],[DIAS]],"-")</f>
        <v>67.755733527484537</v>
      </c>
      <c r="AO380" s="184">
        <f>IFERROR(TablaPrincipal[[#This Row],[BALANCEADO ACUMULADO (LBS)]]/TablaPrincipal[[#This Row],[LIBRAS TOTALES]],"-")</f>
        <v>1.4028603287360071</v>
      </c>
      <c r="AP380" s="184"/>
      <c r="AQ380" s="184"/>
      <c r="AR380" s="185">
        <f>TablaPrincipal[[#This Row],[LIBRAS RALEO PLANTA]]-TablaPrincipal[[#This Row],[LIBRAS RALEO CAMARONERA]]</f>
        <v>1343.3199999999997</v>
      </c>
      <c r="AS380" s="185">
        <f>TablaPrincipal[[#This Row],[LIBRAS PLANTA]]-TablaPrincipal[[#This Row],[LIBRAS CAMARONERA]]</f>
        <v>4205.9000000000015</v>
      </c>
      <c r="AT380" s="187">
        <f>TablaPrincipal[[#This Row],[GRAMAJE RALEO PLANTA]]-TablaPrincipal[[#This Row],[GRAMAJE RALEO CAMARONERA]]</f>
        <v>0.78999999999999915</v>
      </c>
      <c r="AU380" s="187">
        <f>TablaPrincipal[[#This Row],[GRAMOS PLANTA]]-TablaPrincipal[[#This Row],[GRAMAJE CAMARONERA]]</f>
        <v>0.53999999999999915</v>
      </c>
      <c r="AV380" s="183" t="str">
        <f>+VLOOKUP(TablaPrincipal[[#This Row],[CODIGO]],TablaCosechas[#All],10,0)</f>
        <v>ALFONSO GRUNAUER</v>
      </c>
      <c r="AW380" s="183" t="s">
        <v>232</v>
      </c>
      <c r="AX380" s="241" t="str">
        <f>+VLOOKUP(TablaPrincipal[[#This Row],[CODIGO]],TablaCosechas[#All],10,0)</f>
        <v>ALFONSO GRUNAUER</v>
      </c>
    </row>
    <row r="381" spans="1:50" x14ac:dyDescent="0.25">
      <c r="A381" s="196">
        <v>46155</v>
      </c>
      <c r="B381" s="242">
        <v>379</v>
      </c>
      <c r="C381" s="183">
        <f>YEAR(TablaPrincipal[[#This Row],[FECHA]])</f>
        <v>2026</v>
      </c>
      <c r="D381" s="183" t="s">
        <v>347</v>
      </c>
      <c r="E381" s="183" t="str">
        <f>UPPER(TEXT(TablaPrincipal[[#This Row],[FECHA]],"MMMM"))</f>
        <v>MAYO</v>
      </c>
      <c r="F381" s="183" t="str">
        <f>IFERROR(VLOOKUP(TablaPrincipal[[#This Row],[CODIGO]],COSECHAS!A:J,9,0),"-")</f>
        <v>10</v>
      </c>
      <c r="G381" s="183" t="str">
        <f>IFERROR(VLOOKUP(TablaPrincipal[[#This Row],[CODIGO]],COSECHAS!A:I,8,0),"-")</f>
        <v>WAHOO</v>
      </c>
      <c r="H381" s="184">
        <f>IFERROR(VLOOKUP(TablaPrincipal[[#This Row],[CODIGO]],DATOS!A:B,2,0),"-")</f>
        <v>2</v>
      </c>
      <c r="I381" s="183" t="str">
        <f>IFERROR(VLOOKUP(TablaPrincipal[[#This Row],[CODIGO]],Tabla8[[#Headers],[#Data]],3,0),"-")</f>
        <v>CONVENCIONAL</v>
      </c>
      <c r="J381" s="183">
        <f>IFERROR(TablaPrincipal[[#This Row],[FECHA]]-TablaPrincipal[[#This Row],[FECHA DE SIEMBRA]],"-")</f>
        <v>88</v>
      </c>
      <c r="K381" s="196">
        <f>VLOOKUP(TablaPrincipal[[#This Row],[CODIGO]]&amp;TablaPrincipal[[#This Row],[AGUAJE ]],Tabla4[#All],4,0)</f>
        <v>46067</v>
      </c>
      <c r="L381" s="183" t="str">
        <f>VLOOKUP(TablaPrincipal[[#This Row],[CODIGO]]&amp;TablaPrincipal[[#This Row],[AGUAJE ]],Tabla4[#All],15,0)</f>
        <v>WA PC 05</v>
      </c>
      <c r="M381" s="184">
        <f>VLOOKUP(TablaPrincipal[[#This Row],[CODIGO]]&amp;TablaPrincipal[[#This Row],[AGUAJE ]],Tabla4[#All],14,0)</f>
        <v>0.77</v>
      </c>
      <c r="N381" s="183" t="s">
        <v>116</v>
      </c>
      <c r="O381" s="170">
        <f>VLOOKUP(TablaPrincipal[[#This Row],[CODIGO]]&amp;TablaPrincipal[[#This Row],[AGUAJE ]],Tabla4[#All],5,0)</f>
        <v>420000</v>
      </c>
      <c r="P381" s="221">
        <f>IFERROR(TablaPrincipal[[#This Row],[ANIM SEMBRADOS]]/TablaPrincipal[[#This Row],[HAS]],"-")</f>
        <v>210000</v>
      </c>
      <c r="Q381" s="222">
        <f>IFERROR(TablaPrincipal[[#This Row],[DENSIDAD]]/10000,"-")</f>
        <v>21</v>
      </c>
      <c r="R381" s="183" t="str">
        <f>VLOOKUP(TablaPrincipal[[#This Row],[CODIGO]]&amp;TablaPrincipal[[#This Row],[AGUAJE ]],Tabla4[#All],8,0)</f>
        <v>BIOLACAM</v>
      </c>
      <c r="S381" s="183" t="str">
        <f>VLOOKUP(TablaPrincipal[[#This Row],[CODIGO]]&amp;TablaPrincipal[[#This Row],[AGUAJE ]],Tabla4[#All],7,0)</f>
        <v>TEXCUMAR</v>
      </c>
      <c r="T381" s="183" t="str">
        <f>IF(ISNUMBER(FIND("/",TablaPrincipal[[#This Row],[LABORATORIO]])),"COMBINADO","UNICO")</f>
        <v>UNICO</v>
      </c>
      <c r="U3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3200</v>
      </c>
      <c r="V38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3498.4</v>
      </c>
      <c r="W38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8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</v>
      </c>
      <c r="Y381" s="185">
        <f>IFERROR(TablaPrincipal[[#This Row],[LIBRAS RALEO PLANTA]]/TablaPrincipal[[#This Row],[HAS]],"-")</f>
        <v>1749.2</v>
      </c>
      <c r="Z38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69968</v>
      </c>
      <c r="AA38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10200</v>
      </c>
      <c r="AB38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10958.17</v>
      </c>
      <c r="AC381" s="186">
        <f>SUMIFS(COSECHAS!F:F,COSECHAS!A:A,'BASE 2026'!AW:AW,COSECHAS!G:G,"="&amp;A:A)</f>
        <v>31</v>
      </c>
      <c r="AD381" s="186">
        <f>SUMIFS(COSECHAS!M:M,COSECHAS!A:A,'BASE 2026'!AW:AW,COSECHAS!G:G,"="&amp;A:A)</f>
        <v>31.18</v>
      </c>
      <c r="AE381" s="185">
        <f>IFERROR(TablaPrincipal[[#This Row],[LIBRAS PLANTA]]/TablaPrincipal[[#This Row],[HAS]],"-")</f>
        <v>5479.085</v>
      </c>
      <c r="AF381" s="185">
        <f>IFERROR(TablaPrincipal[[#This Row],[LIBRAS PLANTA]]*454/TablaPrincipal[[#This Row],[GRAMOS PLANTA]],"-")</f>
        <v>159557.70301475303</v>
      </c>
      <c r="AG381" s="185">
        <f>TablaPrincipal[[#This Row],[LIBRAS RALEO PLANTA]]+TablaPrincipal[[#This Row],[LIBRAS PLANTA]]</f>
        <v>14456.57</v>
      </c>
      <c r="AH381" s="185">
        <f>IFERROR(TablaPrincipal[[#This Row],[CAM COSECHADOS RALEO]]+TablaPrincipal[[#This Row],[CAM COSECHADOS]],"-")</f>
        <v>229525.70301475303</v>
      </c>
      <c r="AI381" s="185">
        <f>IFERROR((TablaPrincipal[[#This Row],[LIBRAS RALEO PLANTA]]+TablaPrincipal[[#This Row],[LIBRAS PLANTA]])/TablaPrincipal[[#This Row],[HAS]],"0")</f>
        <v>7228.2849999999999</v>
      </c>
      <c r="AJ381" s="186">
        <f t="shared" si="12"/>
        <v>2.4802272727272729</v>
      </c>
      <c r="AK381" s="186">
        <f>IFERROR(TablaPrincipal[[#This Row],[LBS/HA]]/TablaPrincipal[[#This Row],[DIAS]],"-")</f>
        <v>82.139602272727274</v>
      </c>
      <c r="AL381" s="186">
        <f>IFERROR(TablaPrincipal[[#This Row],[CAM COSECHADOS TOTALES]]/TablaPrincipal[[#This Row],[ANIM SEMBRADOS]]*100,"-")</f>
        <v>54.648976908274527</v>
      </c>
      <c r="AM381" s="185">
        <v>23337.8956</v>
      </c>
      <c r="AN381" s="187">
        <f>IFERROR(((TablaPrincipal[[#This Row],[BALANCEADO ACUMULADO (LBS)]]/2.2046)/TablaPrincipal[[#This Row],[HAS]])/TablaPrincipal[[#This Row],[DIAS]],"-")</f>
        <v>60.147727272727273</v>
      </c>
      <c r="AO381" s="184">
        <f>IFERROR(TablaPrincipal[[#This Row],[BALANCEADO ACUMULADO (LBS)]]/TablaPrincipal[[#This Row],[LIBRAS TOTALES]],"-")</f>
        <v>1.6143452838398042</v>
      </c>
      <c r="AP381" s="184"/>
      <c r="AQ381" s="184"/>
      <c r="AR381" s="185">
        <f>TablaPrincipal[[#This Row],[LIBRAS RALEO PLANTA]]-TablaPrincipal[[#This Row],[LIBRAS RALEO CAMARONERA]]</f>
        <v>298.40000000000009</v>
      </c>
      <c r="AS381" s="185">
        <f>TablaPrincipal[[#This Row],[LIBRAS PLANTA]]-TablaPrincipal[[#This Row],[LIBRAS CAMARONERA]]</f>
        <v>758.17000000000007</v>
      </c>
      <c r="AT381" s="187">
        <f>TablaPrincipal[[#This Row],[GRAMAJE RALEO PLANTA]]-TablaPrincipal[[#This Row],[GRAMAJE RALEO CAMARONERA]]</f>
        <v>1.6999999999999993</v>
      </c>
      <c r="AU381" s="187">
        <f>TablaPrincipal[[#This Row],[GRAMOS PLANTA]]-TablaPrincipal[[#This Row],[GRAMAJE CAMARONERA]]</f>
        <v>0.17999999999999972</v>
      </c>
      <c r="AV381" s="183" t="str">
        <f>+VLOOKUP(TablaPrincipal[[#This Row],[CODIGO]],TablaCosechas[#All],10,0)</f>
        <v>JUNIOR ESQUIVEL</v>
      </c>
      <c r="AW381" s="183" t="s">
        <v>348</v>
      </c>
      <c r="AX381" s="188" t="str">
        <f>+VLOOKUP(TablaPrincipal[[#This Row],[CODIGO]],TablaCosechas[#All],10,0)</f>
        <v>JUNIOR ESQUIVEL</v>
      </c>
    </row>
    <row r="382" spans="1:50" x14ac:dyDescent="0.25">
      <c r="A382" s="196">
        <v>46156</v>
      </c>
      <c r="B382" s="242">
        <v>380</v>
      </c>
      <c r="C382" s="183">
        <f>YEAR(TablaPrincipal[[#This Row],[FECHA]])</f>
        <v>2026</v>
      </c>
      <c r="D382" s="183" t="s">
        <v>347</v>
      </c>
      <c r="E382" s="183" t="str">
        <f>UPPER(TEXT(TablaPrincipal[[#This Row],[FECHA]],"MMMM"))</f>
        <v>MAYO</v>
      </c>
      <c r="F382" s="183" t="str">
        <f>IFERROR(VLOOKUP(TablaPrincipal[[#This Row],[CODIGO]],COSECHAS!A:J,9,0),"-")</f>
        <v>25</v>
      </c>
      <c r="G382" s="183" t="str">
        <f>IFERROR(VLOOKUP(TablaPrincipal[[#This Row],[CODIGO]],COSECHAS!A:I,8,0),"-")</f>
        <v>CHERNA</v>
      </c>
      <c r="H382" s="184">
        <f>IFERROR(VLOOKUP(TablaPrincipal[[#This Row],[CODIGO]],DATOS!A:B,2,0),"-")</f>
        <v>2.2000000000000002</v>
      </c>
      <c r="I382" s="183" t="str">
        <f>IFERROR(VLOOKUP(TablaPrincipal[[#This Row],[CODIGO]],Tabla8[[#Headers],[#Data]],3,0),"-")</f>
        <v>ASC</v>
      </c>
      <c r="J382" s="183">
        <f>IFERROR(TablaPrincipal[[#This Row],[FECHA]]-TablaPrincipal[[#This Row],[FECHA DE SIEMBRA]],"-")</f>
        <v>73</v>
      </c>
      <c r="K382" s="196">
        <f>VLOOKUP(TablaPrincipal[[#This Row],[CODIGO]]&amp;TablaPrincipal[[#This Row],[AGUAJE ]],Tabla4[#All],4,0)</f>
        <v>46083</v>
      </c>
      <c r="L382" s="183" t="str">
        <f>VLOOKUP(TablaPrincipal[[#This Row],[CODIGO]]&amp;TablaPrincipal[[#This Row],[AGUAJE ]],Tabla4[#All],15,0)</f>
        <v>CH 7</v>
      </c>
      <c r="M382" s="184">
        <f>VLOOKUP(TablaPrincipal[[#This Row],[CODIGO]]&amp;TablaPrincipal[[#This Row],[AGUAJE ]],Tabla4[#All],14,0)</f>
        <v>0.62</v>
      </c>
      <c r="N382" s="183">
        <v>7</v>
      </c>
      <c r="O382" s="170">
        <f>VLOOKUP(TablaPrincipal[[#This Row],[CODIGO]]&amp;TablaPrincipal[[#This Row],[AGUAJE ]],Tabla4[#All],5,0)</f>
        <v>396000</v>
      </c>
      <c r="P382" s="221">
        <f>IFERROR(TablaPrincipal[[#This Row],[ANIM SEMBRADOS]]/TablaPrincipal[[#This Row],[HAS]],"-")</f>
        <v>180000</v>
      </c>
      <c r="Q382" s="222">
        <f>IFERROR(TablaPrincipal[[#This Row],[DENSIDAD]]/10000,"-")</f>
        <v>18</v>
      </c>
      <c r="R382" s="183" t="str">
        <f>VLOOKUP(TablaPrincipal[[#This Row],[CODIGO]]&amp;TablaPrincipal[[#This Row],[AGUAJE ]],Tabla4[#All],8,0)</f>
        <v>ACUATECSA</v>
      </c>
      <c r="S382" s="183" t="str">
        <f>VLOOKUP(TablaPrincipal[[#This Row],[CODIGO]]&amp;TablaPrincipal[[#This Row],[AGUAJE ]],Tabla4[#All],7,0)</f>
        <v>TEXCUMAR</v>
      </c>
      <c r="T382" s="183" t="str">
        <f>IF(ISNUMBER(FIND("/",TablaPrincipal[[#This Row],[LABORATORIO]])),"COMBINADO","UNICO")</f>
        <v>UNICO</v>
      </c>
      <c r="U3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6200</v>
      </c>
      <c r="V38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6630.16</v>
      </c>
      <c r="W38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20.25</v>
      </c>
      <c r="X38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21.299999999999997</v>
      </c>
      <c r="Y382" s="185">
        <f>IFERROR(TablaPrincipal[[#This Row],[LIBRAS RALEO PLANTA]]/TablaPrincipal[[#This Row],[HAS]],"-")</f>
        <v>3013.7090909090907</v>
      </c>
      <c r="Z38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141209.81695544557</v>
      </c>
      <c r="AA38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8500</v>
      </c>
      <c r="AB38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9269.6299999999992</v>
      </c>
      <c r="AC382" s="186">
        <f>SUMIFS(COSECHAS!F:F,COSECHAS!A:A,'BASE 2026'!AW:AW,COSECHAS!G:G,"="&amp;A:A)</f>
        <v>33</v>
      </c>
      <c r="AD382" s="186">
        <f>SUMIFS(COSECHAS!M:M,COSECHAS!A:A,'BASE 2026'!AW:AW,COSECHAS!G:G,"="&amp;A:A)</f>
        <v>34.840000000000003</v>
      </c>
      <c r="AE382" s="185">
        <f>IFERROR(TablaPrincipal[[#This Row],[LIBRAS PLANTA]]/TablaPrincipal[[#This Row],[HAS]],"-")</f>
        <v>4213.4681818181807</v>
      </c>
      <c r="AF382" s="185">
        <f>IFERROR(TablaPrincipal[[#This Row],[LIBRAS PLANTA]]*454/TablaPrincipal[[#This Row],[GRAMOS PLANTA]],"-")</f>
        <v>120792.53788748563</v>
      </c>
      <c r="AG382" s="185">
        <f>TablaPrincipal[[#This Row],[LIBRAS RALEO PLANTA]]+TablaPrincipal[[#This Row],[LIBRAS PLANTA]]</f>
        <v>15899.789999999999</v>
      </c>
      <c r="AH382" s="185">
        <f>IFERROR(TablaPrincipal[[#This Row],[CAM COSECHADOS RALEO]]+TablaPrincipal[[#This Row],[CAM COSECHADOS]],"-")</f>
        <v>262002.35484293121</v>
      </c>
      <c r="AI382" s="185">
        <f>IFERROR((TablaPrincipal[[#This Row],[LIBRAS RALEO PLANTA]]+TablaPrincipal[[#This Row],[LIBRAS PLANTA]])/TablaPrincipal[[#This Row],[HAS]],"0")</f>
        <v>7227.1772727272719</v>
      </c>
      <c r="AJ382" s="186">
        <f>IFERROR(AD382/(J382/7),"-")</f>
        <v>3.3408219178082192</v>
      </c>
      <c r="AK382" s="186">
        <f>IFERROR(TablaPrincipal[[#This Row],[LBS/HA]]/TablaPrincipal[[#This Row],[DIAS]],"-")</f>
        <v>99.002428393524269</v>
      </c>
      <c r="AL382" s="186">
        <f>IFERROR(TablaPrincipal[[#This Row],[CAM COSECHADOS TOTALES]]/TablaPrincipal[[#This Row],[ANIM SEMBRADOS]]*100,"-")</f>
        <v>66.16221081892202</v>
      </c>
      <c r="AM382" s="185">
        <v>22431.8</v>
      </c>
      <c r="AN382" s="187">
        <f>IFERROR(((TablaPrincipal[[#This Row],[BALANCEADO ACUMULADO (LBS)]]/2.2046)/TablaPrincipal[[#This Row],[HAS]])/TablaPrincipal[[#This Row],[DIAS]],"-")</f>
        <v>63.35615026161193</v>
      </c>
      <c r="AO382" s="184">
        <f>IFERROR(TablaPrincipal[[#This Row],[BALANCEADO ACUMULADO (LBS)]]/TablaPrincipal[[#This Row],[LIBRAS TOTALES]],"-")</f>
        <v>1.4108236649666444</v>
      </c>
      <c r="AP382" s="184"/>
      <c r="AQ382" s="184"/>
      <c r="AR382" s="185">
        <f>TablaPrincipal[[#This Row],[LIBRAS RALEO PLANTA]]-TablaPrincipal[[#This Row],[LIBRAS RALEO CAMARONERA]]</f>
        <v>430.15999999999985</v>
      </c>
      <c r="AS382" s="185">
        <f>TablaPrincipal[[#This Row],[LIBRAS PLANTA]]-TablaPrincipal[[#This Row],[LIBRAS CAMARONERA]]</f>
        <v>769.6299999999992</v>
      </c>
      <c r="AT382" s="187">
        <f>TablaPrincipal[[#This Row],[GRAMAJE RALEO PLANTA]]-TablaPrincipal[[#This Row],[GRAMAJE RALEO CAMARONERA]]</f>
        <v>1.0499999999999972</v>
      </c>
      <c r="AU382" s="187">
        <f>TablaPrincipal[[#This Row],[GRAMOS PLANTA]]-TablaPrincipal[[#This Row],[GRAMAJE CAMARONERA]]</f>
        <v>1.8400000000000034</v>
      </c>
      <c r="AV382" s="183" t="str">
        <f>+VLOOKUP(TablaPrincipal[[#This Row],[CODIGO]],TablaCosechas[#All],10,0)</f>
        <v>SANTIAGO OBRIEN</v>
      </c>
      <c r="AW382" s="183" t="s">
        <v>29</v>
      </c>
      <c r="AX382" s="188" t="str">
        <f>+VLOOKUP(TablaPrincipal[[#This Row],[CODIGO]],TablaCosechas[#All],10,0)</f>
        <v>SANTIAGO OBRIEN</v>
      </c>
    </row>
    <row r="383" spans="1:50" x14ac:dyDescent="0.25">
      <c r="A383" s="196">
        <v>46156</v>
      </c>
      <c r="B383" s="242">
        <v>381</v>
      </c>
      <c r="C383" s="183">
        <f>YEAR(TablaPrincipal[[#This Row],[FECHA]])</f>
        <v>2026</v>
      </c>
      <c r="D383" s="183" t="s">
        <v>347</v>
      </c>
      <c r="E383" s="183" t="str">
        <f>UPPER(TEXT(TablaPrincipal[[#This Row],[FECHA]],"MMMM"))</f>
        <v>MAYO</v>
      </c>
      <c r="F383" s="183" t="str">
        <f>IFERROR(VLOOKUP(TablaPrincipal[[#This Row],[CODIGO]],COSECHAS!A:J,9,0),"-")</f>
        <v>03</v>
      </c>
      <c r="G383" s="183" t="str">
        <f>IFERROR(VLOOKUP(TablaPrincipal[[#This Row],[CODIGO]],COSECHAS!A:I,8,0),"-")</f>
        <v>PAMPANO</v>
      </c>
      <c r="H383" s="184">
        <f>IFERROR(VLOOKUP(TablaPrincipal[[#This Row],[CODIGO]],DATOS!A:B,2,0),"-")</f>
        <v>8.4</v>
      </c>
      <c r="I383" s="183" t="str">
        <f>IFERROR(VLOOKUP(TablaPrincipal[[#This Row],[CODIGO]],Tabla8[[#Headers],[#Data]],3,0),"-")</f>
        <v>ASC-BAP</v>
      </c>
      <c r="J383" s="183">
        <f>IFERROR(TablaPrincipal[[#This Row],[FECHA]]-TablaPrincipal[[#This Row],[FECHA DE SIEMBRA]],"-")</f>
        <v>79</v>
      </c>
      <c r="K383" s="196">
        <f>VLOOKUP(TablaPrincipal[[#This Row],[CODIGO]]&amp;TablaPrincipal[[#This Row],[AGUAJE ]],Tabla4[#All],4,0)</f>
        <v>46077</v>
      </c>
      <c r="L383" s="183" t="str">
        <f>VLOOKUP(TablaPrincipal[[#This Row],[CODIGO]]&amp;TablaPrincipal[[#This Row],[AGUAJE ]],Tabla4[#All],15,0)</f>
        <v>MA PC 3</v>
      </c>
      <c r="M383" s="184">
        <f>VLOOKUP(TablaPrincipal[[#This Row],[CODIGO]]&amp;TablaPrincipal[[#This Row],[AGUAJE ]],Tabla4[#All],14,0)</f>
        <v>0.4</v>
      </c>
      <c r="N383" s="183">
        <v>6</v>
      </c>
      <c r="O383" s="170">
        <f>VLOOKUP(TablaPrincipal[[#This Row],[CODIGO]]&amp;TablaPrincipal[[#This Row],[AGUAJE ]],Tabla4[#All],5,0)</f>
        <v>1386000</v>
      </c>
      <c r="P383" s="221">
        <f>IFERROR(TablaPrincipal[[#This Row],[ANIM SEMBRADOS]]/TablaPrincipal[[#This Row],[HAS]],"-")</f>
        <v>165000</v>
      </c>
      <c r="Q383" s="222">
        <f>IFERROR(TablaPrincipal[[#This Row],[DENSIDAD]]/10000,"-")</f>
        <v>16.5</v>
      </c>
      <c r="R383" s="183" t="str">
        <f>VLOOKUP(TablaPrincipal[[#This Row],[CODIGO]]&amp;TablaPrincipal[[#This Row],[AGUAJE ]],Tabla4[#All],8,0)</f>
        <v>DEONES</v>
      </c>
      <c r="S383" s="183" t="str">
        <f>VLOOKUP(TablaPrincipal[[#This Row],[CODIGO]]&amp;TablaPrincipal[[#This Row],[AGUAJE ]],Tabla4[#All],7,0)</f>
        <v>TEXCUMAR</v>
      </c>
      <c r="T383" s="183" t="str">
        <f>IF(ISNUMBER(FIND("/",TablaPrincipal[[#This Row],[LABORATORIO]])),"COMBINADO","UNICO")</f>
        <v>UNICO</v>
      </c>
      <c r="U3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23300</v>
      </c>
      <c r="V38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24600.690000000002</v>
      </c>
      <c r="W38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20.666666666666668</v>
      </c>
      <c r="X38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22.62</v>
      </c>
      <c r="Y383" s="185">
        <f>IFERROR(TablaPrincipal[[#This Row],[LIBRAS RALEO PLANTA]]/TablaPrincipal[[#This Row],[HAS]],"-")</f>
        <v>2928.6535714285715</v>
      </c>
      <c r="Z38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493779.37582343724</v>
      </c>
      <c r="AA38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23150</v>
      </c>
      <c r="AB38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23705.05</v>
      </c>
      <c r="AC383" s="186">
        <f>SUMIFS(COSECHAS!F:F,COSECHAS!A:A,'BASE 2026'!AW:AW,COSECHAS!G:G,"="&amp;A:A)</f>
        <v>28</v>
      </c>
      <c r="AD383" s="186">
        <f>SUMIFS(COSECHAS!M:M,COSECHAS!A:A,'BASE 2026'!AW:AW,COSECHAS!G:G,"="&amp;A:A)</f>
        <v>32.04</v>
      </c>
      <c r="AE383" s="185">
        <f>IFERROR(TablaPrincipal[[#This Row],[LIBRAS PLANTA]]/TablaPrincipal[[#This Row],[HAS]],"-")</f>
        <v>2822.0297619047615</v>
      </c>
      <c r="AF383" s="185">
        <f>IFERROR(TablaPrincipal[[#This Row],[LIBRAS PLANTA]]*454/TablaPrincipal[[#This Row],[GRAMOS PLANTA]],"-")</f>
        <v>335895.52746566792</v>
      </c>
      <c r="AG383" s="185">
        <f>TablaPrincipal[[#This Row],[LIBRAS RALEO PLANTA]]+TablaPrincipal[[#This Row],[LIBRAS PLANTA]]</f>
        <v>48305.740000000005</v>
      </c>
      <c r="AH383" s="185">
        <f>IFERROR(TablaPrincipal[[#This Row],[CAM COSECHADOS RALEO]]+TablaPrincipal[[#This Row],[CAM COSECHADOS]],"-")</f>
        <v>829674.90328910516</v>
      </c>
      <c r="AI383" s="185">
        <f>IFERROR((TablaPrincipal[[#This Row],[LIBRAS RALEO PLANTA]]+TablaPrincipal[[#This Row],[LIBRAS PLANTA]])/TablaPrincipal[[#This Row],[HAS]],"0")</f>
        <v>5750.6833333333334</v>
      </c>
      <c r="AJ383" s="186">
        <f t="shared" ref="AJ383:AJ387" si="13">IFERROR(AD383/(J383/7),"-")</f>
        <v>2.8389873417721518</v>
      </c>
      <c r="AK383" s="186">
        <f>IFERROR(TablaPrincipal[[#This Row],[LBS/HA]]/TablaPrincipal[[#This Row],[DIAS]],"-")</f>
        <v>72.79345991561182</v>
      </c>
      <c r="AL383" s="186">
        <f>IFERROR(TablaPrincipal[[#This Row],[CAM COSECHADOS TOTALES]]/TablaPrincipal[[#This Row],[ANIM SEMBRADOS]]*100,"-")</f>
        <v>59.861104133413065</v>
      </c>
      <c r="AM383" s="185">
        <v>72751.8</v>
      </c>
      <c r="AN383" s="187">
        <f>IFERROR(((TablaPrincipal[[#This Row],[BALANCEADO ACUMULADO (LBS)]]/2.2046)/TablaPrincipal[[#This Row],[HAS]])/TablaPrincipal[[#This Row],[DIAS]],"-")</f>
        <v>49.728752260397826</v>
      </c>
      <c r="AO383" s="184">
        <f>IFERROR(TablaPrincipal[[#This Row],[BALANCEADO ACUMULADO (LBS)]]/TablaPrincipal[[#This Row],[LIBRAS TOTALES]],"-")</f>
        <v>1.5060694650366602</v>
      </c>
      <c r="AP383" s="184"/>
      <c r="AQ383" s="184"/>
      <c r="AR383" s="185">
        <f>TablaPrincipal[[#This Row],[LIBRAS RALEO PLANTA]]-TablaPrincipal[[#This Row],[LIBRAS RALEO CAMARONERA]]</f>
        <v>1300.6900000000023</v>
      </c>
      <c r="AS383" s="185">
        <f>TablaPrincipal[[#This Row],[LIBRAS PLANTA]]-TablaPrincipal[[#This Row],[LIBRAS CAMARONERA]]</f>
        <v>555.04999999999927</v>
      </c>
      <c r="AT383" s="187">
        <f>TablaPrincipal[[#This Row],[GRAMAJE RALEO PLANTA]]-TablaPrincipal[[#This Row],[GRAMAJE RALEO CAMARONERA]]</f>
        <v>1.9533333333333331</v>
      </c>
      <c r="AU383" s="187">
        <f>TablaPrincipal[[#This Row],[GRAMOS PLANTA]]-TablaPrincipal[[#This Row],[GRAMAJE CAMARONERA]]</f>
        <v>4.0399999999999991</v>
      </c>
      <c r="AV383" s="183" t="str">
        <f>+VLOOKUP(TablaPrincipal[[#This Row],[CODIGO]],TablaCosechas[#All],10,0)</f>
        <v>GUSTAVO CARRASCO</v>
      </c>
      <c r="AW383" s="183" t="s">
        <v>244</v>
      </c>
      <c r="AX383" s="241" t="str">
        <f>+VLOOKUP(TablaPrincipal[[#This Row],[CODIGO]],TablaCosechas[#All],10,0)</f>
        <v>GUSTAVO CARRASCO</v>
      </c>
    </row>
    <row r="384" spans="1:50" x14ac:dyDescent="0.25">
      <c r="A384" s="196">
        <v>46156</v>
      </c>
      <c r="B384" s="242">
        <v>382</v>
      </c>
      <c r="C384" s="183">
        <f>YEAR(TablaPrincipal[[#This Row],[FECHA]])</f>
        <v>2026</v>
      </c>
      <c r="D384" s="183" t="s">
        <v>347</v>
      </c>
      <c r="E384" s="183" t="str">
        <f>UPPER(TEXT(TablaPrincipal[[#This Row],[FECHA]],"MMMM"))</f>
        <v>MAYO</v>
      </c>
      <c r="F384" s="183" t="str">
        <f>IFERROR(VLOOKUP(TablaPrincipal[[#This Row],[CODIGO]],COSECHAS!A:J,9,0),"-")</f>
        <v>26</v>
      </c>
      <c r="G384" s="183" t="str">
        <f>IFERROR(VLOOKUP(TablaPrincipal[[#This Row],[CODIGO]],COSECHAS!A:I,8,0),"-")</f>
        <v>TAMBULERO</v>
      </c>
      <c r="H384" s="184">
        <f>IFERROR(VLOOKUP(TablaPrincipal[[#This Row],[CODIGO]],DATOS!A:B,2,0),"-")</f>
        <v>4</v>
      </c>
      <c r="I384" s="183" t="str">
        <f>IFERROR(VLOOKUP(TablaPrincipal[[#This Row],[CODIGO]],Tabla8[[#Headers],[#Data]],3,0),"-")</f>
        <v>ASC-BAP</v>
      </c>
      <c r="J384" s="183">
        <f>IFERROR(TablaPrincipal[[#This Row],[FECHA]]-TablaPrincipal[[#This Row],[FECHA DE SIEMBRA]],"-")</f>
        <v>78</v>
      </c>
      <c r="K384" s="196">
        <f>VLOOKUP(TablaPrincipal[[#This Row],[CODIGO]]&amp;TablaPrincipal[[#This Row],[AGUAJE ]],Tabla4[#All],4,0)</f>
        <v>46078</v>
      </c>
      <c r="L384" s="183" t="str">
        <f>VLOOKUP(TablaPrincipal[[#This Row],[CODIGO]]&amp;TablaPrincipal[[#This Row],[AGUAJE ]],Tabla4[#All],15,0)</f>
        <v>TA PC 5</v>
      </c>
      <c r="M384" s="184">
        <f>VLOOKUP(TablaPrincipal[[#This Row],[CODIGO]]&amp;TablaPrincipal[[#This Row],[AGUAJE ]],Tabla4[#All],14,0)</f>
        <v>0.5</v>
      </c>
      <c r="N384" s="183">
        <v>11</v>
      </c>
      <c r="O384" s="170">
        <f>VLOOKUP(TablaPrincipal[[#This Row],[CODIGO]]&amp;TablaPrincipal[[#This Row],[AGUAJE ]],Tabla4[#All],5,0)</f>
        <v>640000</v>
      </c>
      <c r="P384" s="221">
        <f>IFERROR(TablaPrincipal[[#This Row],[ANIM SEMBRADOS]]/TablaPrincipal[[#This Row],[HAS]],"-")</f>
        <v>160000</v>
      </c>
      <c r="Q384" s="222">
        <f>IFERROR(TablaPrincipal[[#This Row],[DENSIDAD]]/10000,"-")</f>
        <v>16</v>
      </c>
      <c r="R384" s="183" t="str">
        <f>VLOOKUP(TablaPrincipal[[#This Row],[CODIGO]]&amp;TablaPrincipal[[#This Row],[AGUAJE ]],Tabla4[#All],8,0)</f>
        <v>EMPAGRAM</v>
      </c>
      <c r="S384" s="183" t="str">
        <f>VLOOKUP(TablaPrincipal[[#This Row],[CODIGO]]&amp;TablaPrincipal[[#This Row],[AGUAJE ]],Tabla4[#All],7,0)</f>
        <v>EMPAGRAM</v>
      </c>
      <c r="T384" s="183" t="str">
        <f>IF(ISNUMBER(FIND("/",TablaPrincipal[[#This Row],[LABORATORIO]])),"COMBINADO","UNICO")</f>
        <v>UNICO</v>
      </c>
      <c r="U3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11400</v>
      </c>
      <c r="V38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11666.25</v>
      </c>
      <c r="W38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22.15</v>
      </c>
      <c r="X38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23.65</v>
      </c>
      <c r="Y384" s="185">
        <f>IFERROR(TablaPrincipal[[#This Row],[LIBRAS RALEO PLANTA]]/TablaPrincipal[[#This Row],[HAS]],"-")</f>
        <v>2916.5625</v>
      </c>
      <c r="Z38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238095.2529210778</v>
      </c>
      <c r="AA38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15450</v>
      </c>
      <c r="AB38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16533.61</v>
      </c>
      <c r="AC384" s="186">
        <f>SUMIFS(COSECHAS!F:F,COSECHAS!A:A,'BASE 2026'!AW:AW,COSECHAS!G:G,"="&amp;A:A)</f>
        <v>31</v>
      </c>
      <c r="AD384" s="186">
        <f>SUMIFS(COSECHAS!M:M,COSECHAS!A:A,'BASE 2026'!AW:AW,COSECHAS!G:G,"="&amp;A:A)</f>
        <v>33.74</v>
      </c>
      <c r="AE384" s="185">
        <f>IFERROR(TablaPrincipal[[#This Row],[LIBRAS PLANTA]]/TablaPrincipal[[#This Row],[HAS]],"-")</f>
        <v>4133.4025000000001</v>
      </c>
      <c r="AF384" s="185">
        <f>IFERROR(TablaPrincipal[[#This Row],[LIBRAS PLANTA]]*454/TablaPrincipal[[#This Row],[GRAMOS PLANTA]],"-")</f>
        <v>222473.59039715471</v>
      </c>
      <c r="AG384" s="185">
        <f>TablaPrincipal[[#This Row],[LIBRAS RALEO PLANTA]]+TablaPrincipal[[#This Row],[LIBRAS PLANTA]]</f>
        <v>28199.86</v>
      </c>
      <c r="AH384" s="185">
        <f>IFERROR(TablaPrincipal[[#This Row],[CAM COSECHADOS RALEO]]+TablaPrincipal[[#This Row],[CAM COSECHADOS]],"-")</f>
        <v>460568.84331823251</v>
      </c>
      <c r="AI384" s="185">
        <f>IFERROR((TablaPrincipal[[#This Row],[LIBRAS RALEO PLANTA]]+TablaPrincipal[[#This Row],[LIBRAS PLANTA]])/TablaPrincipal[[#This Row],[HAS]],"0")</f>
        <v>7049.9650000000001</v>
      </c>
      <c r="AJ384" s="186">
        <f t="shared" si="13"/>
        <v>3.0279487179487181</v>
      </c>
      <c r="AK384" s="186">
        <f>IFERROR(TablaPrincipal[[#This Row],[LBS/HA]]/TablaPrincipal[[#This Row],[DIAS]],"-")</f>
        <v>90.384166666666673</v>
      </c>
      <c r="AL384" s="186">
        <f>IFERROR(TablaPrincipal[[#This Row],[CAM COSECHADOS TOTALES]]/TablaPrincipal[[#This Row],[ANIM SEMBRADOS]]*100,"-")</f>
        <v>71.963881768473826</v>
      </c>
      <c r="AM384" s="185">
        <v>41556.71</v>
      </c>
      <c r="AN384" s="187">
        <f>IFERROR(((TablaPrincipal[[#This Row],[BALANCEADO ACUMULADO (LBS)]]/2.2046)/TablaPrincipal[[#This Row],[HAS]])/TablaPrincipal[[#This Row],[DIAS]],"-")</f>
        <v>60.416666666666664</v>
      </c>
      <c r="AO384" s="184">
        <f>IFERROR(TablaPrincipal[[#This Row],[BALANCEADO ACUMULADO (LBS)]]/TablaPrincipal[[#This Row],[LIBRAS TOTALES]],"-")</f>
        <v>1.4736495145720581</v>
      </c>
      <c r="AP384" s="184"/>
      <c r="AQ384" s="184"/>
      <c r="AR384" s="185">
        <f>TablaPrincipal[[#This Row],[LIBRAS RALEO PLANTA]]-TablaPrincipal[[#This Row],[LIBRAS RALEO CAMARONERA]]</f>
        <v>266.25</v>
      </c>
      <c r="AS384" s="185">
        <f>TablaPrincipal[[#This Row],[LIBRAS PLANTA]]-TablaPrincipal[[#This Row],[LIBRAS CAMARONERA]]</f>
        <v>1083.6100000000006</v>
      </c>
      <c r="AT384" s="187">
        <f>TablaPrincipal[[#This Row],[GRAMAJE RALEO PLANTA]]-TablaPrincipal[[#This Row],[GRAMAJE RALEO CAMARONERA]]</f>
        <v>1.5</v>
      </c>
      <c r="AU384" s="187">
        <f>TablaPrincipal[[#This Row],[GRAMOS PLANTA]]-TablaPrincipal[[#This Row],[GRAMAJE CAMARONERA]]</f>
        <v>2.740000000000002</v>
      </c>
      <c r="AV384" s="183" t="str">
        <f>+VLOOKUP(TablaPrincipal[[#This Row],[CODIGO]],TablaCosechas[#All],10,0)</f>
        <v>ALFONSO GRUNAUER</v>
      </c>
      <c r="AW384" s="183" t="s">
        <v>230</v>
      </c>
      <c r="AX384" s="241" t="str">
        <f>+VLOOKUP(TablaPrincipal[[#This Row],[CODIGO]],TablaCosechas[#All],10,0)</f>
        <v>ALFONSO GRUNAUER</v>
      </c>
    </row>
    <row r="385" spans="1:50" x14ac:dyDescent="0.25">
      <c r="A385" s="196">
        <v>46156</v>
      </c>
      <c r="B385" s="242">
        <v>383</v>
      </c>
      <c r="C385" s="183">
        <f>YEAR(TablaPrincipal[[#This Row],[FECHA]])</f>
        <v>2026</v>
      </c>
      <c r="D385" s="183" t="s">
        <v>347</v>
      </c>
      <c r="E385" s="183" t="str">
        <f>UPPER(TEXT(TablaPrincipal[[#This Row],[FECHA]],"MMMM"))</f>
        <v>MAYO</v>
      </c>
      <c r="F385" s="183" t="str">
        <f>IFERROR(VLOOKUP(TablaPrincipal[[#This Row],[CODIGO]],COSECHAS!A:J,9,0),"-")</f>
        <v>7A</v>
      </c>
      <c r="G385" s="183" t="str">
        <f>IFERROR(VLOOKUP(TablaPrincipal[[#This Row],[CODIGO]],COSECHAS!A:I,8,0),"-")</f>
        <v>TAMBULERO</v>
      </c>
      <c r="H385" s="184">
        <f>IFERROR(VLOOKUP(TablaPrincipal[[#This Row],[CODIGO]],DATOS!A:B,2,0),"-")</f>
        <v>12.5</v>
      </c>
      <c r="I385" s="183" t="str">
        <f>IFERROR(VLOOKUP(TablaPrincipal[[#This Row],[CODIGO]],Tabla8[[#Headers],[#Data]],3,0),"-")</f>
        <v>ASC-BAP</v>
      </c>
      <c r="J385" s="183">
        <f>IFERROR(TablaPrincipal[[#This Row],[FECHA]]-TablaPrincipal[[#This Row],[FECHA DE SIEMBRA]],"-")</f>
        <v>78</v>
      </c>
      <c r="K385" s="196">
        <f>VLOOKUP(TablaPrincipal[[#This Row],[CODIGO]]&amp;TablaPrincipal[[#This Row],[AGUAJE ]],Tabla4[#All],4,0)</f>
        <v>46078</v>
      </c>
      <c r="L385" s="183" t="str">
        <f>VLOOKUP(TablaPrincipal[[#This Row],[CODIGO]]&amp;TablaPrincipal[[#This Row],[AGUAJE ]],Tabla4[#All],15,0)</f>
        <v>TA PC 5</v>
      </c>
      <c r="M385" s="184">
        <f>VLOOKUP(TablaPrincipal[[#This Row],[CODIGO]]&amp;TablaPrincipal[[#This Row],[AGUAJE ]],Tabla4[#All],14,0)</f>
        <v>0.5</v>
      </c>
      <c r="N385" s="183">
        <v>9</v>
      </c>
      <c r="O385" s="170">
        <f>VLOOKUP(TablaPrincipal[[#This Row],[CODIGO]]&amp;TablaPrincipal[[#This Row],[AGUAJE ]],Tabla4[#All],5,0)</f>
        <v>2125000</v>
      </c>
      <c r="P385" s="221">
        <f>IFERROR(TablaPrincipal[[#This Row],[ANIM SEMBRADOS]]/TablaPrincipal[[#This Row],[HAS]],"-")</f>
        <v>170000</v>
      </c>
      <c r="Q385" s="222">
        <f>IFERROR(TablaPrincipal[[#This Row],[DENSIDAD]]/10000,"-")</f>
        <v>17</v>
      </c>
      <c r="R385" s="183" t="str">
        <f>VLOOKUP(TablaPrincipal[[#This Row],[CODIGO]]&amp;TablaPrincipal[[#This Row],[AGUAJE ]],Tabla4[#All],8,0)</f>
        <v>EMPAGRAN</v>
      </c>
      <c r="S385" s="183" t="str">
        <f>VLOOKUP(TablaPrincipal[[#This Row],[CODIGO]]&amp;TablaPrincipal[[#This Row],[AGUAJE ]],Tabla4[#All],7,0)</f>
        <v>EMPAGRAN</v>
      </c>
      <c r="T385" s="183" t="str">
        <f>IF(ISNUMBER(FIND("/",TablaPrincipal[[#This Row],[LABORATORIO]])),"COMBINADO","UNICO")</f>
        <v>UNICO</v>
      </c>
      <c r="U3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31000</v>
      </c>
      <c r="V38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33173.94</v>
      </c>
      <c r="W38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8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21.594999999999999</v>
      </c>
      <c r="Y385" s="185">
        <f>IFERROR(TablaPrincipal[[#This Row],[LIBRAS RALEO PLANTA]]/TablaPrincipal[[#This Row],[HAS]],"-")</f>
        <v>2653.9152000000004</v>
      </c>
      <c r="Z38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717450.9137675995</v>
      </c>
      <c r="AA38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56900</v>
      </c>
      <c r="AB38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64012.72</v>
      </c>
      <c r="AC385" s="186">
        <f>SUMIFS(COSECHAS!F:F,COSECHAS!A:A,'BASE 2026'!AW:AW,COSECHAS!G:G,"="&amp;A:A)</f>
        <v>30</v>
      </c>
      <c r="AD385" s="186">
        <f>SUMIFS(COSECHAS!M:M,COSECHAS!A:A,'BASE 2026'!AW:AW,COSECHAS!G:G,"="&amp;A:A)</f>
        <v>31.59</v>
      </c>
      <c r="AE385" s="185">
        <f>IFERROR(TablaPrincipal[[#This Row],[LIBRAS PLANTA]]/TablaPrincipal[[#This Row],[HAS]],"-")</f>
        <v>5121.0176000000001</v>
      </c>
      <c r="AF385" s="185">
        <f>IFERROR(TablaPrincipal[[#This Row],[LIBRAS PLANTA]]*454/TablaPrincipal[[#This Row],[GRAMOS PLANTA]],"-")</f>
        <v>919967.54922443803</v>
      </c>
      <c r="AG385" s="185">
        <f>TablaPrincipal[[#This Row],[LIBRAS RALEO PLANTA]]+TablaPrincipal[[#This Row],[LIBRAS PLANTA]]</f>
        <v>97186.66</v>
      </c>
      <c r="AH385" s="185">
        <f>IFERROR(TablaPrincipal[[#This Row],[CAM COSECHADOS RALEO]]+TablaPrincipal[[#This Row],[CAM COSECHADOS]],"-")</f>
        <v>1637418.4629920376</v>
      </c>
      <c r="AI385" s="185">
        <f>IFERROR((TablaPrincipal[[#This Row],[LIBRAS RALEO PLANTA]]+TablaPrincipal[[#This Row],[LIBRAS PLANTA]])/TablaPrincipal[[#This Row],[HAS]],"0")</f>
        <v>7774.9328000000005</v>
      </c>
      <c r="AJ385" s="186">
        <f t="shared" si="13"/>
        <v>2.835</v>
      </c>
      <c r="AK385" s="186">
        <f>IFERROR(TablaPrincipal[[#This Row],[LBS/HA]]/TablaPrincipal[[#This Row],[DIAS]],"-")</f>
        <v>99.678625641025647</v>
      </c>
      <c r="AL385" s="186">
        <f>IFERROR(TablaPrincipal[[#This Row],[CAM COSECHADOS TOTALES]]/TablaPrincipal[[#This Row],[ANIM SEMBRADOS]]*100,"-")</f>
        <v>77.054986493742945</v>
      </c>
      <c r="AM385" s="185">
        <v>132738.97</v>
      </c>
      <c r="AN385" s="187">
        <f>IFERROR(((TablaPrincipal[[#This Row],[BALANCEADO ACUMULADO (LBS)]]/2.2046)/TablaPrincipal[[#This Row],[HAS]])/TablaPrincipal[[#This Row],[DIAS]],"-")</f>
        <v>61.753848014757018</v>
      </c>
      <c r="AO385" s="184">
        <f>IFERROR(TablaPrincipal[[#This Row],[BALANCEADO ACUMULADO (LBS)]]/TablaPrincipal[[#This Row],[LIBRAS TOTALES]],"-")</f>
        <v>1.3658147116075394</v>
      </c>
      <c r="AP385" s="184"/>
      <c r="AQ385" s="184"/>
      <c r="AR385" s="185">
        <f>TablaPrincipal[[#This Row],[LIBRAS RALEO PLANTA]]-TablaPrincipal[[#This Row],[LIBRAS RALEO CAMARONERA]]</f>
        <v>2173.9400000000023</v>
      </c>
      <c r="AS385" s="185">
        <f>TablaPrincipal[[#This Row],[LIBRAS PLANTA]]-TablaPrincipal[[#This Row],[LIBRAS CAMARONERA]]</f>
        <v>7112.7200000000012</v>
      </c>
      <c r="AT385" s="187">
        <f>TablaPrincipal[[#This Row],[GRAMAJE RALEO PLANTA]]-TablaPrincipal[[#This Row],[GRAMAJE RALEO CAMARONERA]]</f>
        <v>2.0949999999999989</v>
      </c>
      <c r="AU385" s="187">
        <f>TablaPrincipal[[#This Row],[GRAMOS PLANTA]]-TablaPrincipal[[#This Row],[GRAMAJE CAMARONERA]]</f>
        <v>1.5899999999999999</v>
      </c>
      <c r="AV385" s="183" t="str">
        <f>+VLOOKUP(TablaPrincipal[[#This Row],[CODIGO]],TablaCosechas[#All],10,0)</f>
        <v>ALFONSO GRUNAUER</v>
      </c>
      <c r="AW385" s="183" t="s">
        <v>239</v>
      </c>
      <c r="AX385" s="241" t="str">
        <f>+VLOOKUP(TablaPrincipal[[#This Row],[CODIGO]],TablaCosechas[#All],10,0)</f>
        <v>ALFONSO GRUNAUER</v>
      </c>
    </row>
    <row r="386" spans="1:50" x14ac:dyDescent="0.25">
      <c r="A386" s="196">
        <v>46156</v>
      </c>
      <c r="B386" s="242">
        <v>384</v>
      </c>
      <c r="C386" s="183">
        <f>YEAR(TablaPrincipal[[#This Row],[FECHA]])</f>
        <v>2026</v>
      </c>
      <c r="D386" s="183" t="s">
        <v>347</v>
      </c>
      <c r="E386" s="183" t="str">
        <f>UPPER(TEXT(TablaPrincipal[[#This Row],[FECHA]],"MMMM"))</f>
        <v>MAYO</v>
      </c>
      <c r="F386" s="183" t="str">
        <f>IFERROR(VLOOKUP(TablaPrincipal[[#This Row],[CODIGO]],COSECHAS!A:J,9,0),"-")</f>
        <v>21</v>
      </c>
      <c r="G386" s="183" t="str">
        <f>IFERROR(VLOOKUP(TablaPrincipal[[#This Row],[CODIGO]],COSECHAS!A:I,8,0),"-")</f>
        <v>WAHOO</v>
      </c>
      <c r="H386" s="184">
        <f>IFERROR(VLOOKUP(TablaPrincipal[[#This Row],[CODIGO]],DATOS!A:B,2,0),"-")</f>
        <v>4.5</v>
      </c>
      <c r="I386" s="183" t="str">
        <f>IFERROR(VLOOKUP(TablaPrincipal[[#This Row],[CODIGO]],Tabla8[[#Headers],[#Data]],3,0),"-")</f>
        <v>CONVENCIONAL</v>
      </c>
      <c r="J386" s="183">
        <f>IFERROR(TablaPrincipal[[#This Row],[FECHA]]-TablaPrincipal[[#This Row],[FECHA DE SIEMBRA]],"-")</f>
        <v>71</v>
      </c>
      <c r="K386" s="196">
        <f>VLOOKUP(TablaPrincipal[[#This Row],[CODIGO]]&amp;TablaPrincipal[[#This Row],[AGUAJE ]],Tabla4[#All],4,0)</f>
        <v>46085</v>
      </c>
      <c r="L386" s="183" t="str">
        <f>VLOOKUP(TablaPrincipal[[#This Row],[CODIGO]]&amp;TablaPrincipal[[#This Row],[AGUAJE ]],Tabla4[#All],15,0)</f>
        <v>WA 22</v>
      </c>
      <c r="M386" s="184">
        <f>VLOOKUP(TablaPrincipal[[#This Row],[CODIGO]]&amp;TablaPrincipal[[#This Row],[AGUAJE ]],Tabla4[#All],14,0)</f>
        <v>3.15</v>
      </c>
      <c r="N386" s="183">
        <v>37</v>
      </c>
      <c r="O386" s="170">
        <f>VLOOKUP(TablaPrincipal[[#This Row],[CODIGO]]&amp;TablaPrincipal[[#This Row],[AGUAJE ]],Tabla4[#All],5,0)</f>
        <v>675000</v>
      </c>
      <c r="P386" s="221">
        <f>IFERROR(TablaPrincipal[[#This Row],[ANIM SEMBRADOS]]/TablaPrincipal[[#This Row],[HAS]],"-")</f>
        <v>150000</v>
      </c>
      <c r="Q386" s="222">
        <f>IFERROR(TablaPrincipal[[#This Row],[DENSIDAD]]/10000,"-")</f>
        <v>15</v>
      </c>
      <c r="R386" s="183" t="str">
        <f>VLOOKUP(TablaPrincipal[[#This Row],[CODIGO]]&amp;TablaPrincipal[[#This Row],[AGUAJE ]],Tabla4[#All],8,0)</f>
        <v>TECSERV</v>
      </c>
      <c r="S386" s="183" t="str">
        <f>VLOOKUP(TablaPrincipal[[#This Row],[CODIGO]]&amp;TablaPrincipal[[#This Row],[AGUAJE ]],Tabla4[#All],7,0)</f>
        <v>EMPAGRAM</v>
      </c>
      <c r="T386" s="183" t="str">
        <f>IF(ISNUMBER(FIND("/",TablaPrincipal[[#This Row],[LABORATORIO]])),"COMBINADO","UNICO")</f>
        <v>UNICO</v>
      </c>
      <c r="U3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5600</v>
      </c>
      <c r="V38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6213.7</v>
      </c>
      <c r="W38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38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22.86</v>
      </c>
      <c r="Y386" s="185">
        <f>IFERROR(TablaPrincipal[[#This Row],[LIBRAS RALEO PLANTA]]/TablaPrincipal[[#This Row],[HAS]],"-")</f>
        <v>1380.8222222222221</v>
      </c>
      <c r="Z38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123404.19072615923</v>
      </c>
      <c r="AA38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11500</v>
      </c>
      <c r="AB38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11382.49</v>
      </c>
      <c r="AC386" s="186">
        <f>SUMIFS(COSECHAS!F:F,COSECHAS!A:A,'BASE 2026'!AW:AW,COSECHAS!G:G,"="&amp;A:A)</f>
        <v>31</v>
      </c>
      <c r="AD386" s="186">
        <f>SUMIFS(COSECHAS!M:M,COSECHAS!A:A,'BASE 2026'!AW:AW,COSECHAS!G:G,"="&amp;A:A)</f>
        <v>31.56</v>
      </c>
      <c r="AE386" s="185">
        <f>IFERROR(TablaPrincipal[[#This Row],[LIBRAS PLANTA]]/TablaPrincipal[[#This Row],[HAS]],"-")</f>
        <v>2529.442222222222</v>
      </c>
      <c r="AF386" s="185">
        <f>IFERROR(TablaPrincipal[[#This Row],[LIBRAS PLANTA]]*454/TablaPrincipal[[#This Row],[GRAMOS PLANTA]],"-")</f>
        <v>163740.50887198988</v>
      </c>
      <c r="AG386" s="185">
        <f>TablaPrincipal[[#This Row],[LIBRAS RALEO PLANTA]]+TablaPrincipal[[#This Row],[LIBRAS PLANTA]]</f>
        <v>17596.189999999999</v>
      </c>
      <c r="AH386" s="185">
        <f>IFERROR(TablaPrincipal[[#This Row],[CAM COSECHADOS RALEO]]+TablaPrincipal[[#This Row],[CAM COSECHADOS]],"-")</f>
        <v>287144.69959814911</v>
      </c>
      <c r="AI386" s="185">
        <f>IFERROR((TablaPrincipal[[#This Row],[LIBRAS RALEO PLANTA]]+TablaPrincipal[[#This Row],[LIBRAS PLANTA]])/TablaPrincipal[[#This Row],[HAS]],"0")</f>
        <v>3910.2644444444441</v>
      </c>
      <c r="AJ386" s="186">
        <f t="shared" si="13"/>
        <v>3.111549295774648</v>
      </c>
      <c r="AK386" s="186">
        <f>IFERROR(TablaPrincipal[[#This Row],[LBS/HA]]/TablaPrincipal[[#This Row],[DIAS]],"-")</f>
        <v>55.074147104851328</v>
      </c>
      <c r="AL386" s="186">
        <f>IFERROR(TablaPrincipal[[#This Row],[CAM COSECHADOS TOTALES]]/TablaPrincipal[[#This Row],[ANIM SEMBRADOS]]*100,"-")</f>
        <v>42.539955496022088</v>
      </c>
      <c r="AM386" s="185">
        <v>34428</v>
      </c>
      <c r="AN386" s="187">
        <f>IFERROR(((TablaPrincipal[[#This Row],[BALANCEADO ACUMULADO (LBS)]]/2.2046)/TablaPrincipal[[#This Row],[HAS]])/TablaPrincipal[[#This Row],[DIAS]],"-")</f>
        <v>48.877741333847837</v>
      </c>
      <c r="AO386" s="184">
        <f>IFERROR(TablaPrincipal[[#This Row],[BALANCEADO ACUMULADO (LBS)]]/TablaPrincipal[[#This Row],[LIBRAS TOTALES]],"-")</f>
        <v>1.9565599143905585</v>
      </c>
      <c r="AP386" s="184"/>
      <c r="AQ386" s="184"/>
      <c r="AR386" s="185">
        <f>TablaPrincipal[[#This Row],[LIBRAS RALEO PLANTA]]-TablaPrincipal[[#This Row],[LIBRAS RALEO CAMARONERA]]</f>
        <v>613.69999999999982</v>
      </c>
      <c r="AS386" s="185">
        <f>TablaPrincipal[[#This Row],[LIBRAS PLANTA]]-TablaPrincipal[[#This Row],[LIBRAS CAMARONERA]]</f>
        <v>-117.51000000000022</v>
      </c>
      <c r="AT386" s="187">
        <f>TablaPrincipal[[#This Row],[GRAMAJE RALEO PLANTA]]-TablaPrincipal[[#This Row],[GRAMAJE RALEO CAMARONERA]]</f>
        <v>-0.14000000000000057</v>
      </c>
      <c r="AU386" s="187">
        <f>TablaPrincipal[[#This Row],[GRAMOS PLANTA]]-TablaPrincipal[[#This Row],[GRAMAJE CAMARONERA]]</f>
        <v>0.55999999999999872</v>
      </c>
      <c r="AV386" s="183" t="str">
        <f>+VLOOKUP(TablaPrincipal[[#This Row],[CODIGO]],TablaCosechas[#All],10,0)</f>
        <v>JUNIOR ESQUIVEL</v>
      </c>
      <c r="AW386" s="183" t="s">
        <v>257</v>
      </c>
      <c r="AX386" s="241" t="str">
        <f>+VLOOKUP(TablaPrincipal[[#This Row],[CODIGO]],TablaCosechas[#All],10,0)</f>
        <v>JUNIOR ESQUIVEL</v>
      </c>
    </row>
    <row r="387" spans="1:50" x14ac:dyDescent="0.25">
      <c r="A387" s="196">
        <v>46156</v>
      </c>
      <c r="B387" s="242">
        <v>385</v>
      </c>
      <c r="C387" s="183">
        <f>YEAR(TablaPrincipal[[#This Row],[FECHA]])</f>
        <v>2026</v>
      </c>
      <c r="D387" s="183" t="s">
        <v>347</v>
      </c>
      <c r="E387" s="183" t="str">
        <f>UPPER(TEXT(TablaPrincipal[[#This Row],[FECHA]],"MMMM"))</f>
        <v>MAYO</v>
      </c>
      <c r="F387" s="183" t="str">
        <f>IFERROR(VLOOKUP(TablaPrincipal[[#This Row],[CODIGO]],COSECHAS!A:J,9,0),"-")</f>
        <v>37</v>
      </c>
      <c r="G387" s="183" t="str">
        <f>IFERROR(VLOOKUP(TablaPrincipal[[#This Row],[CODIGO]],COSECHAS!A:I,8,0),"-")</f>
        <v>WAHOO</v>
      </c>
      <c r="H387" s="184">
        <f>IFERROR(VLOOKUP(TablaPrincipal[[#This Row],[CODIGO]],DATOS!A:B,2,0),"-")</f>
        <v>12</v>
      </c>
      <c r="I387" s="183" t="str">
        <f>IFERROR(VLOOKUP(TablaPrincipal[[#This Row],[CODIGO]],Tabla8[[#Headers],[#Data]],3,0),"-")</f>
        <v>CONVENCIONAL</v>
      </c>
      <c r="J387" s="183">
        <f>IFERROR(TablaPrincipal[[#This Row],[FECHA]]-TablaPrincipal[[#This Row],[FECHA DE SIEMBRA]],"-")</f>
        <v>94</v>
      </c>
      <c r="K387" s="196">
        <f>VLOOKUP(TablaPrincipal[[#This Row],[CODIGO]]&amp;TablaPrincipal[[#This Row],[AGUAJE ]],Tabla4[#All],4,0)</f>
        <v>46062</v>
      </c>
      <c r="L387" s="183" t="str">
        <f>VLOOKUP(TablaPrincipal[[#This Row],[CODIGO]]&amp;TablaPrincipal[[#This Row],[AGUAJE ]],Tabla4[#All],15,0)</f>
        <v>WA PC 17</v>
      </c>
      <c r="M387" s="184">
        <f>VLOOKUP(TablaPrincipal[[#This Row],[CODIGO]]&amp;TablaPrincipal[[#This Row],[AGUAJE ]],Tabla4[#All],14,0)</f>
        <v>0.67</v>
      </c>
      <c r="N387" s="183">
        <v>22</v>
      </c>
      <c r="O387" s="170">
        <f>VLOOKUP(TablaPrincipal[[#This Row],[CODIGO]]&amp;TablaPrincipal[[#This Row],[AGUAJE ]],Tabla4[#All],5,0)</f>
        <v>2172000</v>
      </c>
      <c r="P387" s="221">
        <f>IFERROR(TablaPrincipal[[#This Row],[ANIM SEMBRADOS]]/TablaPrincipal[[#This Row],[HAS]],"-")</f>
        <v>181000</v>
      </c>
      <c r="Q387" s="222">
        <f>IFERROR(TablaPrincipal[[#This Row],[DENSIDAD]]/10000,"-")</f>
        <v>18.100000000000001</v>
      </c>
      <c r="R387" s="183" t="str">
        <f>VLOOKUP(TablaPrincipal[[#This Row],[CODIGO]]&amp;TablaPrincipal[[#This Row],[AGUAJE ]],Tabla4[#All],8,0)</f>
        <v>EMPAGRAN</v>
      </c>
      <c r="S387" s="183" t="str">
        <f>VLOOKUP(TablaPrincipal[[#This Row],[CODIGO]]&amp;TablaPrincipal[[#This Row],[AGUAJE ]],Tabla4[#All],7,0)</f>
        <v>EMPAGRAN</v>
      </c>
      <c r="T387" s="183" t="str">
        <f>IF(ISNUMBER(FIND("/",TablaPrincipal[[#This Row],[LABORATORIO]])),"COMBINADO","UNICO")</f>
        <v>UNICO</v>
      </c>
      <c r="U3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27850</v>
      </c>
      <c r="V38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29350.39</v>
      </c>
      <c r="W38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</v>
      </c>
      <c r="X38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23.424999999999997</v>
      </c>
      <c r="Y387" s="185">
        <f>IFERROR(TablaPrincipal[[#This Row],[LIBRAS RALEO PLANTA]]/TablaPrincipal[[#This Row],[HAS]],"-")</f>
        <v>2445.8658333333333</v>
      </c>
      <c r="Z38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569554.62422607187</v>
      </c>
      <c r="AA38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24000</v>
      </c>
      <c r="AB38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28820.17</v>
      </c>
      <c r="AC387" s="186">
        <f>SUMIFS(COSECHAS!F:F,COSECHAS!A:A,'BASE 2026'!AW:AW,COSECHAS!G:G,"="&amp;A:A)</f>
        <v>30</v>
      </c>
      <c r="AD387" s="186">
        <f>SUMIFS(COSECHAS!M:M,COSECHAS!A:A,'BASE 2026'!AW:AW,COSECHAS!G:G,"="&amp;A:A)</f>
        <v>29.12</v>
      </c>
      <c r="AE387" s="185">
        <f>IFERROR(TablaPrincipal[[#This Row],[LIBRAS PLANTA]]/TablaPrincipal[[#This Row],[HAS]],"-")</f>
        <v>2401.6808333333333</v>
      </c>
      <c r="AF387" s="185">
        <f>IFERROR(TablaPrincipal[[#This Row],[LIBRAS PLANTA]]*454/TablaPrincipal[[#This Row],[GRAMOS PLANTA]],"-")</f>
        <v>449325.45260989008</v>
      </c>
      <c r="AG387" s="185">
        <f>TablaPrincipal[[#This Row],[LIBRAS RALEO PLANTA]]+TablaPrincipal[[#This Row],[LIBRAS PLANTA]]</f>
        <v>58170.559999999998</v>
      </c>
      <c r="AH387" s="185">
        <f>IFERROR(TablaPrincipal[[#This Row],[CAM COSECHADOS RALEO]]+TablaPrincipal[[#This Row],[CAM COSECHADOS]],"-")</f>
        <v>1018880.076835962</v>
      </c>
      <c r="AI387" s="185">
        <f>IFERROR((TablaPrincipal[[#This Row],[LIBRAS RALEO PLANTA]]+TablaPrincipal[[#This Row],[LIBRAS PLANTA]])/TablaPrincipal[[#This Row],[HAS]],"0")</f>
        <v>4847.5466666666662</v>
      </c>
      <c r="AJ387" s="186">
        <f t="shared" si="13"/>
        <v>2.1685106382978723</v>
      </c>
      <c r="AK387" s="186">
        <f>IFERROR(TablaPrincipal[[#This Row],[LBS/HA]]/TablaPrincipal[[#This Row],[DIAS]],"-")</f>
        <v>51.569645390070917</v>
      </c>
      <c r="AL387" s="186">
        <f>IFERROR(TablaPrincipal[[#This Row],[CAM COSECHADOS TOTALES]]/TablaPrincipal[[#This Row],[ANIM SEMBRADOS]]*100,"-")</f>
        <v>46.909764126885911</v>
      </c>
      <c r="AM387" s="185">
        <v>110456</v>
      </c>
      <c r="AN387" s="187">
        <f>IFERROR(((TablaPrincipal[[#This Row],[BALANCEADO ACUMULADO (LBS)]]/2.2046)/TablaPrincipal[[#This Row],[HAS]])/TablaPrincipal[[#This Row],[DIAS]],"-")</f>
        <v>44.417121389641125</v>
      </c>
      <c r="AO387" s="184">
        <f>IFERROR(TablaPrincipal[[#This Row],[BALANCEADO ACUMULADO (LBS)]]/TablaPrincipal[[#This Row],[LIBRAS TOTALES]],"-")</f>
        <v>1.8988299235902149</v>
      </c>
      <c r="AP387" s="184"/>
      <c r="AQ387" s="184"/>
      <c r="AR387" s="185">
        <f>TablaPrincipal[[#This Row],[LIBRAS RALEO PLANTA]]-TablaPrincipal[[#This Row],[LIBRAS RALEO CAMARONERA]]</f>
        <v>1500.3899999999994</v>
      </c>
      <c r="AS387" s="185">
        <f>TablaPrincipal[[#This Row],[LIBRAS PLANTA]]-TablaPrincipal[[#This Row],[LIBRAS CAMARONERA]]</f>
        <v>4820.1699999999983</v>
      </c>
      <c r="AT387" s="187">
        <f>TablaPrincipal[[#This Row],[GRAMAJE RALEO PLANTA]]-TablaPrincipal[[#This Row],[GRAMAJE RALEO CAMARONERA]]</f>
        <v>-1.0750000000000028</v>
      </c>
      <c r="AU387" s="187">
        <f>TablaPrincipal[[#This Row],[GRAMOS PLANTA]]-TablaPrincipal[[#This Row],[GRAMAJE CAMARONERA]]</f>
        <v>-0.87999999999999901</v>
      </c>
      <c r="AV387" s="183" t="str">
        <f>+VLOOKUP(TablaPrincipal[[#This Row],[CODIGO]],TablaCosechas[#All],10,0)</f>
        <v>JUNIOR ESQUIVEL</v>
      </c>
      <c r="AW387" s="183" t="s">
        <v>163</v>
      </c>
      <c r="AX387" s="188" t="str">
        <f>+VLOOKUP(TablaPrincipal[[#This Row],[CODIGO]],TablaCosechas[#All],10,0)</f>
        <v>JUNIOR ESQUIVEL</v>
      </c>
    </row>
    <row r="388" spans="1:50" x14ac:dyDescent="0.25">
      <c r="A388" s="196">
        <v>46157</v>
      </c>
      <c r="B388" s="242">
        <v>386</v>
      </c>
      <c r="C388" s="183">
        <f>YEAR(TablaPrincipal[[#This Row],[FECHA]])</f>
        <v>2026</v>
      </c>
      <c r="D388" s="183" t="s">
        <v>347</v>
      </c>
      <c r="E388" s="183" t="str">
        <f>UPPER(TEXT(TablaPrincipal[[#This Row],[FECHA]],"MMMM"))</f>
        <v>MAYO</v>
      </c>
      <c r="F388" s="183" t="str">
        <f>IFERROR(VLOOKUP(TablaPrincipal[[#This Row],[CODIGO]],COSECHAS!A:J,9,0),"-")</f>
        <v>09</v>
      </c>
      <c r="G388" s="183" t="str">
        <f>IFERROR(VLOOKUP(TablaPrincipal[[#This Row],[CODIGO]],COSECHAS!A:I,8,0),"-")</f>
        <v>PAMPANO</v>
      </c>
      <c r="H388" s="184">
        <f>IFERROR(VLOOKUP(TablaPrincipal[[#This Row],[CODIGO]],DATOS!A:B,2,0),"-")</f>
        <v>4.07</v>
      </c>
      <c r="I388" s="183" t="str">
        <f>IFERROR(VLOOKUP(TablaPrincipal[[#This Row],[CODIGO]],Tabla8[[#Headers],[#Data]],3,0),"-")</f>
        <v>ASC-BAP</v>
      </c>
      <c r="J388" s="183">
        <f>IFERROR(TablaPrincipal[[#This Row],[FECHA]]-TablaPrincipal[[#This Row],[FECHA DE SIEMBRA]],"-")</f>
        <v>71</v>
      </c>
      <c r="K388" s="196">
        <f>VLOOKUP(TablaPrincipal[[#This Row],[CODIGO]]&amp;TablaPrincipal[[#This Row],[AGUAJE ]],Tabla4[#All],4,0)</f>
        <v>46086</v>
      </c>
      <c r="L388" s="183" t="str">
        <f>VLOOKUP(TablaPrincipal[[#This Row],[CODIGO]]&amp;TablaPrincipal[[#This Row],[AGUAJE ]],Tabla4[#All],15,0)</f>
        <v>PA 21</v>
      </c>
      <c r="M388" s="184">
        <f>VLOOKUP(TablaPrincipal[[#This Row],[CODIGO]]&amp;TablaPrincipal[[#This Row],[AGUAJE ]],Tabla4[#All],14,0)</f>
        <v>4.7</v>
      </c>
      <c r="N388" s="183" t="s">
        <v>116</v>
      </c>
      <c r="O388" s="170">
        <f>VLOOKUP(TablaPrincipal[[#This Row],[CODIGO]]&amp;TablaPrincipal[[#This Row],[AGUAJE ]],Tabla4[#All],5,0)</f>
        <v>488468</v>
      </c>
      <c r="P388" s="221">
        <f>IFERROR(TablaPrincipal[[#This Row],[ANIM SEMBRADOS]]/TablaPrincipal[[#This Row],[HAS]],"-")</f>
        <v>120016.7076167076</v>
      </c>
      <c r="Q388" s="222">
        <f>IFERROR(TablaPrincipal[[#This Row],[DENSIDAD]]/10000,"-")</f>
        <v>12.001670761670761</v>
      </c>
      <c r="R388" s="183" t="str">
        <f>VLOOKUP(TablaPrincipal[[#This Row],[CODIGO]]&amp;TablaPrincipal[[#This Row],[AGUAJE ]],Tabla4[#All],8,0)</f>
        <v>TECSERV</v>
      </c>
      <c r="S388" s="183" t="str">
        <f>VLOOKUP(TablaPrincipal[[#This Row],[CODIGO]]&amp;TablaPrincipal[[#This Row],[AGUAJE ]],Tabla4[#All],7,0)</f>
        <v>SEMACUA</v>
      </c>
      <c r="T388" s="183" t="str">
        <f>IF(ISNUMBER(FIND("/",TablaPrincipal[[#This Row],[LABORATORIO]])),"COMBINADO","UNICO")</f>
        <v>UNICO</v>
      </c>
      <c r="U3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5300</v>
      </c>
      <c r="V38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5577.53</v>
      </c>
      <c r="W38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31</v>
      </c>
      <c r="X38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32.28</v>
      </c>
      <c r="Y388" s="185">
        <f>IFERROR(TablaPrincipal[[#This Row],[LIBRAS RALEO PLANTA]]/TablaPrincipal[[#This Row],[HAS]],"-")</f>
        <v>1370.4004914004913</v>
      </c>
      <c r="Z38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78444.814745972733</v>
      </c>
      <c r="AA38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14500</v>
      </c>
      <c r="AB38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15345.5</v>
      </c>
      <c r="AC388" s="186">
        <f>SUMIFS(COSECHAS!F:F,COSECHAS!A:A,'BASE 2026'!AW:AW,COSECHAS!G:G,"="&amp;A:A)</f>
        <v>37</v>
      </c>
      <c r="AD388" s="186">
        <f>SUMIFS(COSECHAS!M:M,COSECHAS!A:A,'BASE 2026'!AW:AW,COSECHAS!G:G,"="&amp;A:A)</f>
        <v>38.49</v>
      </c>
      <c r="AE388" s="185">
        <f>IFERROR(TablaPrincipal[[#This Row],[LIBRAS PLANTA]]/TablaPrincipal[[#This Row],[HAS]],"-")</f>
        <v>3770.3931203931202</v>
      </c>
      <c r="AF388" s="185">
        <f>IFERROR(TablaPrincipal[[#This Row],[LIBRAS PLANTA]]*454/TablaPrincipal[[#This Row],[GRAMOS PLANTA]],"-")</f>
        <v>181004.3387892959</v>
      </c>
      <c r="AG388" s="185">
        <f>TablaPrincipal[[#This Row],[LIBRAS RALEO PLANTA]]+TablaPrincipal[[#This Row],[LIBRAS PLANTA]]</f>
        <v>20923.03</v>
      </c>
      <c r="AH388" s="185">
        <f>IFERROR(TablaPrincipal[[#This Row],[CAM COSECHADOS RALEO]]+TablaPrincipal[[#This Row],[CAM COSECHADOS]],"-")</f>
        <v>259449.15353526862</v>
      </c>
      <c r="AI388" s="185">
        <f>IFERROR((TablaPrincipal[[#This Row],[LIBRAS RALEO PLANTA]]+TablaPrincipal[[#This Row],[LIBRAS PLANTA]])/TablaPrincipal[[#This Row],[HAS]],"0")</f>
        <v>5140.7936117936115</v>
      </c>
      <c r="AJ388" s="186">
        <f t="shared" ref="AJ388:AJ393" si="14">IFERROR(AD388/(J388/7),"-")</f>
        <v>3.7947887323943665</v>
      </c>
      <c r="AK388" s="186">
        <f>IFERROR(TablaPrincipal[[#This Row],[LBS/HA]]/TablaPrincipal[[#This Row],[DIAS]],"-")</f>
        <v>72.405543828079033</v>
      </c>
      <c r="AL388" s="186">
        <f>IFERROR(TablaPrincipal[[#This Row],[CAM COSECHADOS TOTALES]]/TablaPrincipal[[#This Row],[ANIM SEMBRADOS]]*100,"-")</f>
        <v>53.114872117573441</v>
      </c>
      <c r="AM388" s="185">
        <v>29706.98</v>
      </c>
      <c r="AN388" s="187">
        <f>IFERROR(((TablaPrincipal[[#This Row],[BALANCEADO ACUMULADO (LBS)]]/2.2046)/TablaPrincipal[[#This Row],[HAS]])/TablaPrincipal[[#This Row],[DIAS]],"-")</f>
        <v>46.631130331919842</v>
      </c>
      <c r="AO388" s="184">
        <f>IFERROR(TablaPrincipal[[#This Row],[BALANCEADO ACUMULADO (LBS)]]/TablaPrincipal[[#This Row],[LIBRAS TOTALES]],"-")</f>
        <v>1.4198220812186382</v>
      </c>
      <c r="AP388" s="184"/>
      <c r="AQ388" s="184"/>
      <c r="AR388" s="185">
        <f>TablaPrincipal[[#This Row],[LIBRAS RALEO PLANTA]]-TablaPrincipal[[#This Row],[LIBRAS RALEO CAMARONERA]]</f>
        <v>277.52999999999975</v>
      </c>
      <c r="AS388" s="185">
        <f>TablaPrincipal[[#This Row],[LIBRAS PLANTA]]-TablaPrincipal[[#This Row],[LIBRAS CAMARONERA]]</f>
        <v>845.5</v>
      </c>
      <c r="AT388" s="187">
        <f>TablaPrincipal[[#This Row],[GRAMAJE RALEO PLANTA]]-TablaPrincipal[[#This Row],[GRAMAJE RALEO CAMARONERA]]</f>
        <v>1.2800000000000011</v>
      </c>
      <c r="AU388" s="187">
        <f>TablaPrincipal[[#This Row],[GRAMOS PLANTA]]-TablaPrincipal[[#This Row],[GRAMAJE CAMARONERA]]</f>
        <v>1.490000000000002</v>
      </c>
      <c r="AV388" s="183" t="str">
        <f>+VLOOKUP(TablaPrincipal[[#This Row],[CODIGO]],TablaCosechas[#All],10,0)</f>
        <v>GUSTAVO CARRASCO</v>
      </c>
      <c r="AW388" s="183" t="s">
        <v>175</v>
      </c>
      <c r="AX388" s="188" t="str">
        <f>+VLOOKUP(TablaPrincipal[[#This Row],[CODIGO]],TablaCosechas[#All],10,0)</f>
        <v>GUSTAVO CARRASCO</v>
      </c>
    </row>
    <row r="389" spans="1:50" x14ac:dyDescent="0.25">
      <c r="A389" s="196">
        <v>46157</v>
      </c>
      <c r="B389" s="242">
        <v>387</v>
      </c>
      <c r="C389" s="183">
        <f>YEAR(TablaPrincipal[[#This Row],[FECHA]])</f>
        <v>2026</v>
      </c>
      <c r="D389" s="183" t="s">
        <v>347</v>
      </c>
      <c r="E389" s="183" t="str">
        <f>UPPER(TEXT(TablaPrincipal[[#This Row],[FECHA]],"MMMM"))</f>
        <v>MAYO</v>
      </c>
      <c r="F389" s="183" t="str">
        <f>IFERROR(VLOOKUP(TablaPrincipal[[#This Row],[CODIGO]],COSECHAS!A:J,9,0),"-")</f>
        <v>16</v>
      </c>
      <c r="G389" s="183" t="str">
        <f>IFERROR(VLOOKUP(TablaPrincipal[[#This Row],[CODIGO]],COSECHAS!A:I,8,0),"-")</f>
        <v>TAMBULERO</v>
      </c>
      <c r="H389" s="184">
        <f>IFERROR(VLOOKUP(TablaPrincipal[[#This Row],[CODIGO]],DATOS!A:B,2,0),"-")</f>
        <v>11</v>
      </c>
      <c r="I389" s="183" t="str">
        <f>IFERROR(VLOOKUP(TablaPrincipal[[#This Row],[CODIGO]],Tabla8[[#Headers],[#Data]],3,0),"-")</f>
        <v>ASC-BAP</v>
      </c>
      <c r="J389" s="183">
        <f>IFERROR(TablaPrincipal[[#This Row],[FECHA]]-TablaPrincipal[[#This Row],[FECHA DE SIEMBRA]],"-")</f>
        <v>75</v>
      </c>
      <c r="K389" s="196">
        <f>VLOOKUP(TablaPrincipal[[#This Row],[CODIGO]]&amp;TablaPrincipal[[#This Row],[AGUAJE ]],Tabla4[#All],4,0)</f>
        <v>46082</v>
      </c>
      <c r="L389" s="183" t="str">
        <f>VLOOKUP(TablaPrincipal[[#This Row],[CODIGO]]&amp;TablaPrincipal[[#This Row],[AGUAJE ]],Tabla4[#All],15,0)</f>
        <v>TA PC 14</v>
      </c>
      <c r="M389" s="184">
        <f>VLOOKUP(TablaPrincipal[[#This Row],[CODIGO]]&amp;TablaPrincipal[[#This Row],[AGUAJE ]],Tabla4[#All],14,0)</f>
        <v>0.65</v>
      </c>
      <c r="N389" s="183">
        <v>6</v>
      </c>
      <c r="O389" s="170">
        <f>VLOOKUP(TablaPrincipal[[#This Row],[CODIGO]]&amp;TablaPrincipal[[#This Row],[AGUAJE ]],Tabla4[#All],5,0)</f>
        <v>1760000</v>
      </c>
      <c r="P389" s="221">
        <f>IFERROR(TablaPrincipal[[#This Row],[ANIM SEMBRADOS]]/TablaPrincipal[[#This Row],[HAS]],"-")</f>
        <v>160000</v>
      </c>
      <c r="Q389" s="222">
        <f>IFERROR(TablaPrincipal[[#This Row],[DENSIDAD]]/10000,"-")</f>
        <v>16</v>
      </c>
      <c r="R389" s="183" t="str">
        <f>VLOOKUP(TablaPrincipal[[#This Row],[CODIGO]]&amp;TablaPrincipal[[#This Row],[AGUAJE ]],Tabla4[#All],8,0)</f>
        <v>ACUATECSA</v>
      </c>
      <c r="S389" s="183" t="str">
        <f>VLOOKUP(TablaPrincipal[[#This Row],[CODIGO]]&amp;TablaPrincipal[[#This Row],[AGUAJE ]],Tabla4[#All],7,0)</f>
        <v>TEXCUMAR</v>
      </c>
      <c r="T389" s="183" t="str">
        <f>IF(ISNUMBER(FIND("/",TablaPrincipal[[#This Row],[LABORATORIO]])),"COMBINADO","UNICO")</f>
        <v>UNICO</v>
      </c>
      <c r="U3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22750</v>
      </c>
      <c r="V38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24101.17</v>
      </c>
      <c r="W38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8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20.43</v>
      </c>
      <c r="Y389" s="185">
        <f>IFERROR(TablaPrincipal[[#This Row],[LIBRAS RALEO PLANTA]]/TablaPrincipal[[#This Row],[HAS]],"-")</f>
        <v>2191.0154545454543</v>
      </c>
      <c r="Z38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534357.19898560783</v>
      </c>
      <c r="AA38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43000</v>
      </c>
      <c r="AB38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46549.73</v>
      </c>
      <c r="AC389" s="186">
        <f>SUMIFS(COSECHAS!F:F,COSECHAS!A:A,'BASE 2026'!AW:AW,COSECHAS!G:G,"="&amp;A:A)</f>
        <v>33</v>
      </c>
      <c r="AD389" s="186">
        <f>SUMIFS(COSECHAS!M:M,COSECHAS!A:A,'BASE 2026'!AW:AW,COSECHAS!G:G,"="&amp;A:A)</f>
        <v>35.020000000000003</v>
      </c>
      <c r="AE389" s="185">
        <f>IFERROR(TablaPrincipal[[#This Row],[LIBRAS PLANTA]]/TablaPrincipal[[#This Row],[HAS]],"-")</f>
        <v>4231.7936363636363</v>
      </c>
      <c r="AF389" s="185">
        <f>IFERROR(TablaPrincipal[[#This Row],[LIBRAS PLANTA]]*454/TablaPrincipal[[#This Row],[GRAMOS PLANTA]],"-")</f>
        <v>603471.65676756133</v>
      </c>
      <c r="AG389" s="185">
        <f>TablaPrincipal[[#This Row],[LIBRAS RALEO PLANTA]]+TablaPrincipal[[#This Row],[LIBRAS PLANTA]]</f>
        <v>70650.899999999994</v>
      </c>
      <c r="AH389" s="185">
        <f>IFERROR(TablaPrincipal[[#This Row],[CAM COSECHADOS RALEO]]+TablaPrincipal[[#This Row],[CAM COSECHADOS]],"-")</f>
        <v>1137828.8557531692</v>
      </c>
      <c r="AI389" s="185">
        <f>IFERROR((TablaPrincipal[[#This Row],[LIBRAS RALEO PLANTA]]+TablaPrincipal[[#This Row],[LIBRAS PLANTA]])/TablaPrincipal[[#This Row],[HAS]],"0")</f>
        <v>6422.8090909090906</v>
      </c>
      <c r="AJ389" s="186">
        <f t="shared" si="14"/>
        <v>3.268533333333334</v>
      </c>
      <c r="AK389" s="186">
        <f>IFERROR(TablaPrincipal[[#This Row],[LBS/HA]]/TablaPrincipal[[#This Row],[DIAS]],"-")</f>
        <v>85.637454545454545</v>
      </c>
      <c r="AL389" s="186">
        <f>IFERROR(TablaPrincipal[[#This Row],[CAM COSECHADOS TOTALES]]/TablaPrincipal[[#This Row],[ANIM SEMBRADOS]]*100,"-")</f>
        <v>64.649366804157339</v>
      </c>
      <c r="AM389" s="185">
        <v>104795.66</v>
      </c>
      <c r="AN389" s="187">
        <f>IFERROR(((TablaPrincipal[[#This Row],[BALANCEADO ACUMULADO (LBS)]]/2.2046)/TablaPrincipal[[#This Row],[HAS]])/TablaPrincipal[[#This Row],[DIAS]],"-")</f>
        <v>57.618181268367252</v>
      </c>
      <c r="AO389" s="184">
        <f>IFERROR(TablaPrincipal[[#This Row],[BALANCEADO ACUMULADO (LBS)]]/TablaPrincipal[[#This Row],[LIBRAS TOTALES]],"-")</f>
        <v>1.4832883940615054</v>
      </c>
      <c r="AP389" s="184"/>
      <c r="AQ389" s="184"/>
      <c r="AR389" s="185">
        <f>TablaPrincipal[[#This Row],[LIBRAS RALEO PLANTA]]-TablaPrincipal[[#This Row],[LIBRAS RALEO CAMARONERA]]</f>
        <v>1351.1699999999983</v>
      </c>
      <c r="AS389" s="185">
        <f>TablaPrincipal[[#This Row],[LIBRAS PLANTA]]-TablaPrincipal[[#This Row],[LIBRAS CAMARONERA]]</f>
        <v>3549.7300000000032</v>
      </c>
      <c r="AT389" s="187">
        <f>TablaPrincipal[[#This Row],[GRAMAJE RALEO PLANTA]]-TablaPrincipal[[#This Row],[GRAMAJE RALEO CAMARONERA]]</f>
        <v>0.92999999999999972</v>
      </c>
      <c r="AU389" s="187">
        <f>TablaPrincipal[[#This Row],[GRAMOS PLANTA]]-TablaPrincipal[[#This Row],[GRAMAJE CAMARONERA]]</f>
        <v>2.0200000000000031</v>
      </c>
      <c r="AV389" s="183" t="str">
        <f>+VLOOKUP(TablaPrincipal[[#This Row],[CODIGO]],TablaCosechas[#All],10,0)</f>
        <v>ALFONSO GRUNAUER</v>
      </c>
      <c r="AW389" s="183" t="s">
        <v>248</v>
      </c>
      <c r="AX389" s="188" t="str">
        <f>+VLOOKUP(TablaPrincipal[[#This Row],[CODIGO]],TablaCosechas[#All],10,0)</f>
        <v>ALFONSO GRUNAUER</v>
      </c>
    </row>
    <row r="390" spans="1:50" x14ac:dyDescent="0.25">
      <c r="A390" s="196">
        <v>46158</v>
      </c>
      <c r="B390" s="242">
        <v>388</v>
      </c>
      <c r="C390" s="183">
        <f>YEAR(TablaPrincipal[[#This Row],[FECHA]])</f>
        <v>2026</v>
      </c>
      <c r="D390" s="183" t="s">
        <v>347</v>
      </c>
      <c r="E390" s="183" t="str">
        <f>UPPER(TEXT(TablaPrincipal[[#This Row],[FECHA]],"MMMM"))</f>
        <v>MAYO</v>
      </c>
      <c r="F390" s="183" t="str">
        <f>IFERROR(VLOOKUP(TablaPrincipal[[#This Row],[CODIGO]],COSECHAS!A:J,9,0),"-")</f>
        <v>01</v>
      </c>
      <c r="G390" s="183" t="str">
        <f>IFERROR(VLOOKUP(TablaPrincipal[[#This Row],[CODIGO]],COSECHAS!A:I,8,0),"-")</f>
        <v>BARRACUDA</v>
      </c>
      <c r="H390" s="184">
        <f>IFERROR(VLOOKUP(TablaPrincipal[[#This Row],[CODIGO]],DATOS!A:B,2,0),"-")</f>
        <v>5</v>
      </c>
      <c r="I390" s="183" t="str">
        <f>IFERROR(VLOOKUP(TablaPrincipal[[#This Row],[CODIGO]],Tabla8[[#Headers],[#Data]],3,0),"-")</f>
        <v>CONVENCIONAL</v>
      </c>
      <c r="J390" s="183">
        <f>IFERROR(TablaPrincipal[[#This Row],[FECHA]]-TablaPrincipal[[#This Row],[FECHA DE SIEMBRA]],"-")</f>
        <v>79</v>
      </c>
      <c r="K390" s="196">
        <f>VLOOKUP(TablaPrincipal[[#This Row],[CODIGO]]&amp;TablaPrincipal[[#This Row],[AGUAJE ]],Tabla4[#All],4,0)</f>
        <v>46079</v>
      </c>
      <c r="L390" s="183" t="str">
        <f>VLOOKUP(TablaPrincipal[[#This Row],[CODIGO]]&amp;TablaPrincipal[[#This Row],[AGUAJE ]],Tabla4[#All],15,0)</f>
        <v>PA 07</v>
      </c>
      <c r="M390" s="184">
        <f>VLOOKUP(TablaPrincipal[[#This Row],[CODIGO]]&amp;TablaPrincipal[[#This Row],[AGUAJE ]],Tabla4[#All],14,0)</f>
        <v>0.5</v>
      </c>
      <c r="N390" s="183">
        <v>12</v>
      </c>
      <c r="O390" s="170">
        <f>VLOOKUP(TablaPrincipal[[#This Row],[CODIGO]]&amp;TablaPrincipal[[#This Row],[AGUAJE ]],Tabla4[#All],5,0)</f>
        <v>775000</v>
      </c>
      <c r="P390" s="221">
        <f>IFERROR(TablaPrincipal[[#This Row],[ANIM SEMBRADOS]]/TablaPrincipal[[#This Row],[HAS]],"-")</f>
        <v>155000</v>
      </c>
      <c r="Q390" s="222">
        <f>IFERROR(TablaPrincipal[[#This Row],[DENSIDAD]]/10000,"-")</f>
        <v>15.5</v>
      </c>
      <c r="R390" s="183" t="str">
        <f>VLOOKUP(TablaPrincipal[[#This Row],[CODIGO]]&amp;TablaPrincipal[[#This Row],[AGUAJE ]],Tabla4[#All],8,0)</f>
        <v>DEONES</v>
      </c>
      <c r="S390" s="183" t="str">
        <f>VLOOKUP(TablaPrincipal[[#This Row],[CODIGO]]&amp;TablaPrincipal[[#This Row],[AGUAJE ]],Tabla4[#All],7,0)</f>
        <v>TEXCUMAR</v>
      </c>
      <c r="T390" s="183" t="str">
        <f>IF(ISNUMBER(FIND("/",TablaPrincipal[[#This Row],[LABORATORIO]])),"COMBINADO","UNICO")</f>
        <v>UNICO</v>
      </c>
      <c r="U3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9450</v>
      </c>
      <c r="V39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9833.7000000000007</v>
      </c>
      <c r="W39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19.5</v>
      </c>
      <c r="X39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20.97</v>
      </c>
      <c r="Y390" s="185">
        <f>IFERROR(TablaPrincipal[[#This Row],[LIBRAS RALEO PLANTA]]/TablaPrincipal[[#This Row],[HAS]],"-")</f>
        <v>1966.7400000000002</v>
      </c>
      <c r="Z39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211605.70074074075</v>
      </c>
      <c r="AA39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19500</v>
      </c>
      <c r="AB39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21770.35</v>
      </c>
      <c r="AC390" s="186">
        <f>SUMIFS(COSECHAS!F:F,COSECHAS!A:A,'BASE 2026'!AW:AW,COSECHAS!G:G,"="&amp;A:A)</f>
        <v>35</v>
      </c>
      <c r="AD390" s="186">
        <f>SUMIFS(COSECHAS!M:M,COSECHAS!A:A,'BASE 2026'!AW:AW,COSECHAS!G:G,"="&amp;A:A)</f>
        <v>35.08</v>
      </c>
      <c r="AE390" s="185">
        <f>IFERROR(TablaPrincipal[[#This Row],[LIBRAS PLANTA]]/TablaPrincipal[[#This Row],[HAS]],"-")</f>
        <v>4354.07</v>
      </c>
      <c r="AF390" s="185">
        <f>IFERROR(TablaPrincipal[[#This Row],[LIBRAS PLANTA]]*454/TablaPrincipal[[#This Row],[GRAMOS PLANTA]],"-")</f>
        <v>281748.54332953249</v>
      </c>
      <c r="AG390" s="185">
        <f>TablaPrincipal[[#This Row],[LIBRAS RALEO PLANTA]]+TablaPrincipal[[#This Row],[LIBRAS PLANTA]]</f>
        <v>31604.05</v>
      </c>
      <c r="AH390" s="185">
        <f>IFERROR(TablaPrincipal[[#This Row],[CAM COSECHADOS RALEO]]+TablaPrincipal[[#This Row],[CAM COSECHADOS]],"-")</f>
        <v>493354.24407027324</v>
      </c>
      <c r="AI390" s="185">
        <f>IFERROR((TablaPrincipal[[#This Row],[LIBRAS RALEO PLANTA]]+TablaPrincipal[[#This Row],[LIBRAS PLANTA]])/TablaPrincipal[[#This Row],[HAS]],"0")</f>
        <v>6320.8099999999995</v>
      </c>
      <c r="AJ390" s="186">
        <f t="shared" si="14"/>
        <v>3.1083544303797463</v>
      </c>
      <c r="AK390" s="186">
        <f>IFERROR(TablaPrincipal[[#This Row],[LBS/HA]]/TablaPrincipal[[#This Row],[DIAS]],"-")</f>
        <v>80.010253164556957</v>
      </c>
      <c r="AL390" s="186">
        <f>IFERROR(TablaPrincipal[[#This Row],[CAM COSECHADOS TOTALES]]/TablaPrincipal[[#This Row],[ANIM SEMBRADOS]]*100,"-")</f>
        <v>63.65861213809977</v>
      </c>
      <c r="AM390" s="185">
        <v>43926.65</v>
      </c>
      <c r="AN390" s="187">
        <f>IFERROR(((TablaPrincipal[[#This Row],[BALANCEADO ACUMULADO (LBS)]]/2.2046)/TablaPrincipal[[#This Row],[HAS]])/TablaPrincipal[[#This Row],[DIAS]],"-")</f>
        <v>50.443032232949058</v>
      </c>
      <c r="AO390" s="184">
        <f>IFERROR(TablaPrincipal[[#This Row],[BALANCEADO ACUMULADO (LBS)]]/TablaPrincipal[[#This Row],[LIBRAS TOTALES]],"-")</f>
        <v>1.3899057241081445</v>
      </c>
      <c r="AP390" s="184"/>
      <c r="AQ390" s="184"/>
      <c r="AR390" s="185">
        <f>TablaPrincipal[[#This Row],[LIBRAS RALEO PLANTA]]-TablaPrincipal[[#This Row],[LIBRAS RALEO CAMARONERA]]</f>
        <v>383.70000000000073</v>
      </c>
      <c r="AS390" s="185">
        <f>TablaPrincipal[[#This Row],[LIBRAS PLANTA]]-TablaPrincipal[[#This Row],[LIBRAS CAMARONERA]]</f>
        <v>2270.3499999999985</v>
      </c>
      <c r="AT390" s="187">
        <f>TablaPrincipal[[#This Row],[GRAMAJE RALEO PLANTA]]-TablaPrincipal[[#This Row],[GRAMAJE RALEO CAMARONERA]]</f>
        <v>1.4699999999999989</v>
      </c>
      <c r="AU390" s="187">
        <f>TablaPrincipal[[#This Row],[GRAMOS PLANTA]]-TablaPrincipal[[#This Row],[GRAMAJE CAMARONERA]]</f>
        <v>7.9999999999998295E-2</v>
      </c>
      <c r="AV390" s="183" t="str">
        <f>+VLOOKUP(TablaPrincipal[[#This Row],[CODIGO]],TablaCosechas[#All],10,0)</f>
        <v>GUSTAVO CARRASCO</v>
      </c>
      <c r="AW390" s="183" t="s">
        <v>226</v>
      </c>
      <c r="AX390" s="188" t="str">
        <f>+VLOOKUP(TablaPrincipal[[#This Row],[CODIGO]],TablaCosechas[#All],10,0)</f>
        <v>GUSTAVO CARRASCO</v>
      </c>
    </row>
    <row r="391" spans="1:50" x14ac:dyDescent="0.25">
      <c r="A391" s="196">
        <v>46158</v>
      </c>
      <c r="B391" s="242">
        <v>389</v>
      </c>
      <c r="C391" s="183">
        <f>YEAR(TablaPrincipal[[#This Row],[FECHA]])</f>
        <v>2026</v>
      </c>
      <c r="D391" s="183" t="s">
        <v>347</v>
      </c>
      <c r="E391" s="183" t="str">
        <f>UPPER(TEXT(TablaPrincipal[[#This Row],[FECHA]],"MMMM"))</f>
        <v>MAYO</v>
      </c>
      <c r="F391" s="183" t="str">
        <f>IFERROR(VLOOKUP(TablaPrincipal[[#This Row],[CODIGO]],COSECHAS!A:J,9,0),"-")</f>
        <v>13</v>
      </c>
      <c r="G391" s="183" t="str">
        <f>IFERROR(VLOOKUP(TablaPrincipal[[#This Row],[CODIGO]],COSECHAS!A:I,8,0),"-")</f>
        <v>CHERNA</v>
      </c>
      <c r="H391" s="184">
        <f>IFERROR(VLOOKUP(TablaPrincipal[[#This Row],[CODIGO]],DATOS!A:B,2,0),"-")</f>
        <v>6.3</v>
      </c>
      <c r="I391" s="183" t="str">
        <f>IFERROR(VLOOKUP(TablaPrincipal[[#This Row],[CODIGO]],Tabla8[[#Headers],[#Data]],3,0),"-")</f>
        <v>ASC</v>
      </c>
      <c r="J391" s="183">
        <f>IFERROR(TablaPrincipal[[#This Row],[FECHA]]-TablaPrincipal[[#This Row],[FECHA DE SIEMBRA]],"-")</f>
        <v>86</v>
      </c>
      <c r="K391" s="196">
        <f>VLOOKUP(TablaPrincipal[[#This Row],[CODIGO]]&amp;TablaPrincipal[[#This Row],[AGUAJE ]],Tabla4[#All],4,0)</f>
        <v>46072</v>
      </c>
      <c r="L391" s="183" t="str">
        <f>VLOOKUP(TablaPrincipal[[#This Row],[CODIGO]]&amp;TablaPrincipal[[#This Row],[AGUAJE ]],Tabla4[#All],15,0)</f>
        <v>CH PC 6</v>
      </c>
      <c r="M391" s="184">
        <f>VLOOKUP(TablaPrincipal[[#This Row],[CODIGO]]&amp;TablaPrincipal[[#This Row],[AGUAJE ]],Tabla4[#All],14,0)</f>
        <v>0.35</v>
      </c>
      <c r="N391" s="183">
        <v>7</v>
      </c>
      <c r="O391" s="170">
        <f>VLOOKUP(TablaPrincipal[[#This Row],[CODIGO]]&amp;TablaPrincipal[[#This Row],[AGUAJE ]],Tabla4[#All],5,0)</f>
        <v>1134000</v>
      </c>
      <c r="P391" s="221">
        <f>IFERROR(TablaPrincipal[[#This Row],[ANIM SEMBRADOS]]/TablaPrincipal[[#This Row],[HAS]],"-")</f>
        <v>180000</v>
      </c>
      <c r="Q391" s="222">
        <f>IFERROR(TablaPrincipal[[#This Row],[DENSIDAD]]/10000,"-")</f>
        <v>18</v>
      </c>
      <c r="R391" s="183" t="str">
        <f>VLOOKUP(TablaPrincipal[[#This Row],[CODIGO]]&amp;TablaPrincipal[[#This Row],[AGUAJE ]],Tabla4[#All],8,0)</f>
        <v>TECSERV</v>
      </c>
      <c r="S391" s="183" t="str">
        <f>VLOOKUP(TablaPrincipal[[#This Row],[CODIGO]]&amp;TablaPrincipal[[#This Row],[AGUAJE ]],Tabla4[#All],7,0)</f>
        <v>SEMACUA</v>
      </c>
      <c r="T391" s="183" t="str">
        <f>IF(ISNUMBER(FIND("/",TablaPrincipal[[#This Row],[LABORATORIO]])),"COMBINADO","UNICO")</f>
        <v>UNICO</v>
      </c>
      <c r="U3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15300</v>
      </c>
      <c r="V39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16252.68</v>
      </c>
      <c r="W39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24.166666666666668</v>
      </c>
      <c r="X39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26.973333333333333</v>
      </c>
      <c r="Y391" s="185">
        <f>IFERROR(TablaPrincipal[[#This Row],[LIBRAS RALEO PLANTA]]/TablaPrincipal[[#This Row],[HAS]],"-")</f>
        <v>2579.7904761904765</v>
      </c>
      <c r="Z39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312606.23582636309</v>
      </c>
      <c r="AA39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30000</v>
      </c>
      <c r="AB39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32025.4</v>
      </c>
      <c r="AC391" s="186">
        <f>SUMIFS(COSECHAS!F:F,COSECHAS!A:A,'BASE 2026'!AW:AW,COSECHAS!G:G,"="&amp;A:A)</f>
        <v>32</v>
      </c>
      <c r="AD391" s="186">
        <f>SUMIFS(COSECHAS!M:M,COSECHAS!A:A,'BASE 2026'!AW:AW,COSECHAS!G:G,"="&amp;A:A)</f>
        <v>33.049999999999997</v>
      </c>
      <c r="AE391" s="185">
        <f>IFERROR(TablaPrincipal[[#This Row],[LIBRAS PLANTA]]/TablaPrincipal[[#This Row],[HAS]],"-")</f>
        <v>5083.396825396826</v>
      </c>
      <c r="AF391" s="185">
        <f>IFERROR(TablaPrincipal[[#This Row],[LIBRAS PLANTA]]*454/TablaPrincipal[[#This Row],[GRAMOS PLANTA]],"-")</f>
        <v>439925.31316187605</v>
      </c>
      <c r="AG391" s="185">
        <f>TablaPrincipal[[#This Row],[LIBRAS RALEO PLANTA]]+TablaPrincipal[[#This Row],[LIBRAS PLANTA]]</f>
        <v>48278.080000000002</v>
      </c>
      <c r="AH391" s="185">
        <f>IFERROR(TablaPrincipal[[#This Row],[CAM COSECHADOS RALEO]]+TablaPrincipal[[#This Row],[CAM COSECHADOS]],"-")</f>
        <v>752531.54898823914</v>
      </c>
      <c r="AI391" s="185">
        <f>IFERROR((TablaPrincipal[[#This Row],[LIBRAS RALEO PLANTA]]+TablaPrincipal[[#This Row],[LIBRAS PLANTA]])/TablaPrincipal[[#This Row],[HAS]],"0")</f>
        <v>7663.1873015873025</v>
      </c>
      <c r="AJ391" s="186">
        <f t="shared" si="14"/>
        <v>2.690116279069767</v>
      </c>
      <c r="AK391" s="186">
        <f>IFERROR(TablaPrincipal[[#This Row],[LBS/HA]]/TablaPrincipal[[#This Row],[DIAS]],"-")</f>
        <v>89.106829088224444</v>
      </c>
      <c r="AL391" s="186">
        <f>IFERROR(TablaPrincipal[[#This Row],[CAM COSECHADOS TOTALES]]/TablaPrincipal[[#This Row],[ANIM SEMBRADOS]]*100,"-")</f>
        <v>66.36080678908634</v>
      </c>
      <c r="AM391" s="185">
        <v>74129.679999999993</v>
      </c>
      <c r="AN391" s="187">
        <f>IFERROR(((TablaPrincipal[[#This Row],[BALANCEADO ACUMULADO (LBS)]]/2.2046)/TablaPrincipal[[#This Row],[HAS]])/TablaPrincipal[[#This Row],[DIAS]],"-")</f>
        <v>62.061650549990993</v>
      </c>
      <c r="AO391" s="184">
        <f>IFERROR(TablaPrincipal[[#This Row],[BALANCEADO ACUMULADO (LBS)]]/TablaPrincipal[[#This Row],[LIBRAS TOTALES]],"-")</f>
        <v>1.5354728274198144</v>
      </c>
      <c r="AP391" s="184"/>
      <c r="AQ391" s="184"/>
      <c r="AR391" s="185">
        <f>TablaPrincipal[[#This Row],[LIBRAS RALEO PLANTA]]-TablaPrincipal[[#This Row],[LIBRAS RALEO CAMARONERA]]</f>
        <v>952.68000000000029</v>
      </c>
      <c r="AS391" s="185">
        <f>TablaPrincipal[[#This Row],[LIBRAS PLANTA]]-TablaPrincipal[[#This Row],[LIBRAS CAMARONERA]]</f>
        <v>2025.4000000000015</v>
      </c>
      <c r="AT391" s="187">
        <f>TablaPrincipal[[#This Row],[GRAMAJE RALEO PLANTA]]-TablaPrincipal[[#This Row],[GRAMAJE RALEO CAMARONERA]]</f>
        <v>2.8066666666666649</v>
      </c>
      <c r="AU391" s="187">
        <f>TablaPrincipal[[#This Row],[GRAMOS PLANTA]]-TablaPrincipal[[#This Row],[GRAMAJE CAMARONERA]]</f>
        <v>1.0499999999999972</v>
      </c>
      <c r="AV391" s="183" t="str">
        <f>+VLOOKUP(TablaPrincipal[[#This Row],[CODIGO]],TablaCosechas[#All],10,0)</f>
        <v>SANTIAGO OBRIEN</v>
      </c>
      <c r="AW391" s="183" t="s">
        <v>19</v>
      </c>
      <c r="AX391" s="188" t="str">
        <f>+VLOOKUP(TablaPrincipal[[#This Row],[CODIGO]],TablaCosechas[#All],10,0)</f>
        <v>SANTIAGO OBRIEN</v>
      </c>
    </row>
    <row r="392" spans="1:50" x14ac:dyDescent="0.25">
      <c r="A392" s="196">
        <v>46158</v>
      </c>
      <c r="B392" s="242">
        <v>390</v>
      </c>
      <c r="C392" s="183">
        <f>YEAR(TablaPrincipal[[#This Row],[FECHA]])</f>
        <v>2026</v>
      </c>
      <c r="D392" s="183" t="s">
        <v>347</v>
      </c>
      <c r="E392" s="183" t="str">
        <f>UPPER(TEXT(TablaPrincipal[[#This Row],[FECHA]],"MMMM"))</f>
        <v>MAYO</v>
      </c>
      <c r="F392" s="183" t="str">
        <f>IFERROR(VLOOKUP(TablaPrincipal[[#This Row],[CODIGO]],COSECHAS!A:J,9,0),"-")</f>
        <v>10</v>
      </c>
      <c r="G392" s="183" t="str">
        <f>IFERROR(VLOOKUP(TablaPrincipal[[#This Row],[CODIGO]],COSECHAS!A:I,8,0),"-")</f>
        <v>ROBALO</v>
      </c>
      <c r="H392" s="184">
        <f>IFERROR(VLOOKUP(TablaPrincipal[[#This Row],[CODIGO]],DATOS!A:B,2,0),"-")</f>
        <v>3.57</v>
      </c>
      <c r="I392" s="183" t="str">
        <f>IFERROR(VLOOKUP(TablaPrincipal[[#This Row],[CODIGO]],Tabla8[[#Headers],[#Data]],3,0),"-")</f>
        <v>ASC-BAP</v>
      </c>
      <c r="J392" s="183">
        <f>IFERROR(TablaPrincipal[[#This Row],[FECHA]]-TablaPrincipal[[#This Row],[FECHA DE SIEMBRA]],"-")</f>
        <v>71</v>
      </c>
      <c r="K392" s="196">
        <f>VLOOKUP(TablaPrincipal[[#This Row],[CODIGO]]&amp;TablaPrincipal[[#This Row],[AGUAJE ]],Tabla4[#All],4,0)</f>
        <v>46087</v>
      </c>
      <c r="L392" s="183" t="str">
        <f>VLOOKUP(TablaPrincipal[[#This Row],[CODIGO]]&amp;TablaPrincipal[[#This Row],[AGUAJE ]],Tabla4[#All],15,0)</f>
        <v>CA 1B</v>
      </c>
      <c r="M392" s="184">
        <f>VLOOKUP(TablaPrincipal[[#This Row],[CODIGO]]&amp;TablaPrincipal[[#This Row],[AGUAJE ]],Tabla4[#All],14,0)</f>
        <v>0.51</v>
      </c>
      <c r="N392" s="183">
        <v>7</v>
      </c>
      <c r="O392" s="170">
        <f>VLOOKUP(TablaPrincipal[[#This Row],[CODIGO]]&amp;TablaPrincipal[[#This Row],[AGUAJE ]],Tabla4[#All],5,0)</f>
        <v>600000</v>
      </c>
      <c r="P392" s="221">
        <f>IFERROR(TablaPrincipal[[#This Row],[ANIM SEMBRADOS]]/TablaPrincipal[[#This Row],[HAS]],"-")</f>
        <v>168067.22689075631</v>
      </c>
      <c r="Q392" s="222">
        <f>IFERROR(TablaPrincipal[[#This Row],[DENSIDAD]]/10000,"-")</f>
        <v>16.806722689075631</v>
      </c>
      <c r="R392" s="183" t="str">
        <f>VLOOKUP(TablaPrincipal[[#This Row],[CODIGO]]&amp;TablaPrincipal[[#This Row],[AGUAJE ]],Tabla4[#All],8,0)</f>
        <v>EMPAGRAN</v>
      </c>
      <c r="S392" s="183" t="str">
        <f>VLOOKUP(TablaPrincipal[[#This Row],[CODIGO]]&amp;TablaPrincipal[[#This Row],[AGUAJE ]],Tabla4[#All],7,0)</f>
        <v>EMPAGRAN</v>
      </c>
      <c r="T392" s="183" t="str">
        <f>IF(ISNUMBER(FIND("/",TablaPrincipal[[#This Row],[LABORATORIO]])),"COMBINADO","UNICO")</f>
        <v>UNICO</v>
      </c>
      <c r="U3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4600</v>
      </c>
      <c r="V39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5268.55</v>
      </c>
      <c r="W39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</v>
      </c>
      <c r="X39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19.299999999999997</v>
      </c>
      <c r="Y392" s="185">
        <f>IFERROR(TablaPrincipal[[#This Row],[LIBRAS RALEO PLANTA]]/TablaPrincipal[[#This Row],[HAS]],"-")</f>
        <v>1475.7843137254904</v>
      </c>
      <c r="Z39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126941.88270761195</v>
      </c>
      <c r="AA39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15450</v>
      </c>
      <c r="AB39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15698.79</v>
      </c>
      <c r="AC392" s="186">
        <f>SUMIFS(COSECHAS!F:F,COSECHAS!A:A,'BASE 2026'!AW:AW,COSECHAS!G:G,"="&amp;A:A)</f>
        <v>32</v>
      </c>
      <c r="AD392" s="186">
        <f>SUMIFS(COSECHAS!M:M,COSECHAS!A:A,'BASE 2026'!AW:AW,COSECHAS!G:G,"="&amp;A:A)</f>
        <v>34.32</v>
      </c>
      <c r="AE392" s="185">
        <f>IFERROR(TablaPrincipal[[#This Row],[LIBRAS PLANTA]]/TablaPrincipal[[#This Row],[HAS]],"-")</f>
        <v>4397.4201680672277</v>
      </c>
      <c r="AF392" s="185">
        <f>IFERROR(TablaPrincipal[[#This Row],[LIBRAS PLANTA]]*454/TablaPrincipal[[#This Row],[GRAMOS PLANTA]],"-")</f>
        <v>207670.47377622378</v>
      </c>
      <c r="AG392" s="185">
        <f>TablaPrincipal[[#This Row],[LIBRAS RALEO PLANTA]]+TablaPrincipal[[#This Row],[LIBRAS PLANTA]]</f>
        <v>20967.34</v>
      </c>
      <c r="AH392" s="185">
        <f>IFERROR(TablaPrincipal[[#This Row],[CAM COSECHADOS RALEO]]+TablaPrincipal[[#This Row],[CAM COSECHADOS]],"-")</f>
        <v>334612.35648383573</v>
      </c>
      <c r="AI392" s="185">
        <f>IFERROR((TablaPrincipal[[#This Row],[LIBRAS RALEO PLANTA]]+TablaPrincipal[[#This Row],[LIBRAS PLANTA]])/TablaPrincipal[[#This Row],[HAS]],"0")</f>
        <v>5873.2044817927172</v>
      </c>
      <c r="AJ392" s="186">
        <f t="shared" si="14"/>
        <v>3.3836619718309859</v>
      </c>
      <c r="AK392" s="186">
        <f>IFERROR(TablaPrincipal[[#This Row],[LBS/HA]]/TablaPrincipal[[#This Row],[DIAS]],"-")</f>
        <v>82.721189884404467</v>
      </c>
      <c r="AL392" s="186">
        <f>IFERROR(TablaPrincipal[[#This Row],[CAM COSECHADOS TOTALES]]/TablaPrincipal[[#This Row],[ANIM SEMBRADOS]]*100,"-")</f>
        <v>55.768726080639283</v>
      </c>
      <c r="AM392" s="185">
        <v>33091.050000000003</v>
      </c>
      <c r="AN392" s="187">
        <f>IFERROR(((TablaPrincipal[[#This Row],[BALANCEADO ACUMULADO (LBS)]]/2.2046)/TablaPrincipal[[#This Row],[HAS]])/TablaPrincipal[[#This Row],[DIAS]],"-")</f>
        <v>59.218060576747149</v>
      </c>
      <c r="AO392" s="184">
        <f>IFERROR(TablaPrincipal[[#This Row],[BALANCEADO ACUMULADO (LBS)]]/TablaPrincipal[[#This Row],[LIBRAS TOTALES]],"-")</f>
        <v>1.5782187917017612</v>
      </c>
      <c r="AP392" s="184"/>
      <c r="AQ392" s="184"/>
      <c r="AR392" s="185">
        <f>TablaPrincipal[[#This Row],[LIBRAS RALEO PLANTA]]-TablaPrincipal[[#This Row],[LIBRAS RALEO CAMARONERA]]</f>
        <v>668.55000000000018</v>
      </c>
      <c r="AS392" s="185">
        <f>TablaPrincipal[[#This Row],[LIBRAS PLANTA]]-TablaPrincipal[[#This Row],[LIBRAS CAMARONERA]]</f>
        <v>248.79000000000087</v>
      </c>
      <c r="AT392" s="187">
        <f>TablaPrincipal[[#This Row],[GRAMAJE RALEO PLANTA]]-TablaPrincipal[[#This Row],[GRAMAJE RALEO CAMARONERA]]</f>
        <v>1.2999999999999972</v>
      </c>
      <c r="AU392" s="187">
        <f>TablaPrincipal[[#This Row],[GRAMOS PLANTA]]-TablaPrincipal[[#This Row],[GRAMAJE CAMARONERA]]</f>
        <v>2.3200000000000003</v>
      </c>
      <c r="AV392" s="183" t="str">
        <f>+VLOOKUP(TablaPrincipal[[#This Row],[CODIGO]],TablaCosechas[#All],10,0)</f>
        <v>VICTOR QUINTANA</v>
      </c>
      <c r="AW392" s="183" t="s">
        <v>255</v>
      </c>
      <c r="AX392" s="188" t="str">
        <f>+VLOOKUP(TablaPrincipal[[#This Row],[CODIGO]],TablaCosechas[#All],10,0)</f>
        <v>VICTOR QUINTANA</v>
      </c>
    </row>
    <row r="393" spans="1:50" x14ac:dyDescent="0.25">
      <c r="A393" s="196">
        <v>46158</v>
      </c>
      <c r="B393" s="242">
        <v>391</v>
      </c>
      <c r="C393" s="183">
        <f>YEAR(TablaPrincipal[[#This Row],[FECHA]])</f>
        <v>2026</v>
      </c>
      <c r="D393" s="183" t="s">
        <v>347</v>
      </c>
      <c r="E393" s="183" t="str">
        <f>UPPER(TEXT(TablaPrincipal[[#This Row],[FECHA]],"MMMM"))</f>
        <v>MAYO</v>
      </c>
      <c r="F393" s="183" t="str">
        <f>IFERROR(VLOOKUP(TablaPrincipal[[#This Row],[CODIGO]],COSECHAS!A:J,9,0),"-")</f>
        <v>28</v>
      </c>
      <c r="G393" s="183" t="str">
        <f>IFERROR(VLOOKUP(TablaPrincipal[[#This Row],[CODIGO]],COSECHAS!A:I,8,0),"-")</f>
        <v>WAHOO</v>
      </c>
      <c r="H393" s="184">
        <f>IFERROR(VLOOKUP(TablaPrincipal[[#This Row],[CODIGO]],DATOS!A:B,2,0),"-")</f>
        <v>7</v>
      </c>
      <c r="I393" s="183" t="str">
        <f>IFERROR(VLOOKUP(TablaPrincipal[[#This Row],[CODIGO]],Tabla8[[#Headers],[#Data]],3,0),"-")</f>
        <v>CONVENCIONAL</v>
      </c>
      <c r="J393" s="183">
        <f>IFERROR(TablaPrincipal[[#This Row],[FECHA]]-TablaPrincipal[[#This Row],[FECHA DE SIEMBRA]],"-")</f>
        <v>86</v>
      </c>
      <c r="K393" s="196">
        <f>VLOOKUP(TablaPrincipal[[#This Row],[CODIGO]]&amp;TablaPrincipal[[#This Row],[AGUAJE ]],Tabla4[#All],4,0)</f>
        <v>46072</v>
      </c>
      <c r="L393" s="183" t="str">
        <f>VLOOKUP(TablaPrincipal[[#This Row],[CODIGO]]&amp;TablaPrincipal[[#This Row],[AGUAJE ]],Tabla4[#All],15,0)</f>
        <v>WA PS 23 - WA PC 11</v>
      </c>
      <c r="M393" s="184">
        <f>VLOOKUP(TablaPrincipal[[#This Row],[CODIGO]]&amp;TablaPrincipal[[#This Row],[AGUAJE ]],Tabla4[#All],14,0)</f>
        <v>0.72</v>
      </c>
      <c r="N393" s="183" t="s">
        <v>116</v>
      </c>
      <c r="O393" s="170">
        <f>VLOOKUP(TablaPrincipal[[#This Row],[CODIGO]]&amp;TablaPrincipal[[#This Row],[AGUAJE ]],Tabla4[#All],5,0)</f>
        <v>1120000</v>
      </c>
      <c r="P393" s="221">
        <f>IFERROR(TablaPrincipal[[#This Row],[ANIM SEMBRADOS]]/TablaPrincipal[[#This Row],[HAS]],"-")</f>
        <v>160000</v>
      </c>
      <c r="Q393" s="222">
        <f>IFERROR(TablaPrincipal[[#This Row],[DENSIDAD]]/10000,"-")</f>
        <v>16</v>
      </c>
      <c r="R393" s="183" t="str">
        <f>VLOOKUP(TablaPrincipal[[#This Row],[CODIGO]]&amp;TablaPrincipal[[#This Row],[AGUAJE ]],Tabla4[#All],8,0)</f>
        <v>MEGALATINA/LARVASLAB</v>
      </c>
      <c r="S393" s="183" t="str">
        <f>VLOOKUP(TablaPrincipal[[#This Row],[CODIGO]]&amp;TablaPrincipal[[#This Row],[AGUAJE ]],Tabla4[#All],7,0)</f>
        <v>TEXCUMAR</v>
      </c>
      <c r="T393" s="183" t="str">
        <f>IF(ISNUMBER(FIND("/",TablaPrincipal[[#This Row],[LABORATORIO]])),"COMBINADO","UNICO")</f>
        <v>COMBINADO</v>
      </c>
      <c r="U3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9600</v>
      </c>
      <c r="V39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10673.49</v>
      </c>
      <c r="W39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</v>
      </c>
      <c r="X39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</v>
      </c>
      <c r="Y393" s="185">
        <f>IFERROR(TablaPrincipal[[#This Row],[LIBRAS RALEO PLANTA]]/TablaPrincipal[[#This Row],[HAS]],"-")</f>
        <v>1524.7842857142857</v>
      </c>
      <c r="Z39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231854.75885167465</v>
      </c>
      <c r="AA39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20650</v>
      </c>
      <c r="AB39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22366.46</v>
      </c>
      <c r="AC393" s="186">
        <f>SUMIFS(COSECHAS!F:F,COSECHAS!A:A,'BASE 2026'!AW:AW,COSECHAS!G:G,"="&amp;A:A)</f>
        <v>28</v>
      </c>
      <c r="AD393" s="186">
        <f>SUMIFS(COSECHAS!M:M,COSECHAS!A:A,'BASE 2026'!AW:AW,COSECHAS!G:G,"="&amp;A:A)</f>
        <v>29.58</v>
      </c>
      <c r="AE393" s="185">
        <f>IFERROR(TablaPrincipal[[#This Row],[LIBRAS PLANTA]]/TablaPrincipal[[#This Row],[HAS]],"-")</f>
        <v>3195.2085714285713</v>
      </c>
      <c r="AF393" s="185">
        <f>IFERROR(TablaPrincipal[[#This Row],[LIBRAS PLANTA]]*454/TablaPrincipal[[#This Row],[GRAMOS PLANTA]],"-")</f>
        <v>343285.08586883033</v>
      </c>
      <c r="AG393" s="185">
        <f>TablaPrincipal[[#This Row],[LIBRAS RALEO PLANTA]]+TablaPrincipal[[#This Row],[LIBRAS PLANTA]]</f>
        <v>33039.949999999997</v>
      </c>
      <c r="AH393" s="185">
        <f>IFERROR(TablaPrincipal[[#This Row],[CAM COSECHADOS RALEO]]+TablaPrincipal[[#This Row],[CAM COSECHADOS]],"-")</f>
        <v>575139.84472050495</v>
      </c>
      <c r="AI393" s="185">
        <f>IFERROR((TablaPrincipal[[#This Row],[LIBRAS RALEO PLANTA]]+TablaPrincipal[[#This Row],[LIBRAS PLANTA]])/TablaPrincipal[[#This Row],[HAS]],"0")</f>
        <v>4719.9928571428563</v>
      </c>
      <c r="AJ393" s="186">
        <f t="shared" si="14"/>
        <v>2.407674418604651</v>
      </c>
      <c r="AK393" s="186">
        <f>IFERROR(TablaPrincipal[[#This Row],[LBS/HA]]/TablaPrincipal[[#This Row],[DIAS]],"-")</f>
        <v>54.883637873754147</v>
      </c>
      <c r="AL393" s="186">
        <f>IFERROR(TablaPrincipal[[#This Row],[CAM COSECHADOS TOTALES]]/TablaPrincipal[[#This Row],[ANIM SEMBRADOS]]*100,"-")</f>
        <v>51.351771850045083</v>
      </c>
      <c r="AM393" s="185">
        <v>53299</v>
      </c>
      <c r="AN393" s="187">
        <f>IFERROR(((TablaPrincipal[[#This Row],[BALANCEADO ACUMULADO (LBS)]]/2.2046)/TablaPrincipal[[#This Row],[HAS]])/TablaPrincipal[[#This Row],[DIAS]],"-")</f>
        <v>40.15991329515483</v>
      </c>
      <c r="AO393" s="184">
        <f>IFERROR(TablaPrincipal[[#This Row],[BALANCEADO ACUMULADO (LBS)]]/TablaPrincipal[[#This Row],[LIBRAS TOTALES]],"-")</f>
        <v>1.6131683007994868</v>
      </c>
      <c r="AP393" s="184"/>
      <c r="AQ393" s="184"/>
      <c r="AR393" s="185">
        <f>TablaPrincipal[[#This Row],[LIBRAS RALEO PLANTA]]-TablaPrincipal[[#This Row],[LIBRAS RALEO CAMARONERA]]</f>
        <v>1073.4899999999998</v>
      </c>
      <c r="AS393" s="185">
        <f>TablaPrincipal[[#This Row],[LIBRAS PLANTA]]-TablaPrincipal[[#This Row],[LIBRAS CAMARONERA]]</f>
        <v>1716.4599999999991</v>
      </c>
      <c r="AT393" s="187">
        <f>TablaPrincipal[[#This Row],[GRAMAJE RALEO PLANTA]]-TablaPrincipal[[#This Row],[GRAMAJE RALEO CAMARONERA]]</f>
        <v>0.89999999999999858</v>
      </c>
      <c r="AU393" s="187">
        <f>TablaPrincipal[[#This Row],[GRAMOS PLANTA]]-TablaPrincipal[[#This Row],[GRAMAJE CAMARONERA]]</f>
        <v>1.5799999999999983</v>
      </c>
      <c r="AV393" s="183" t="str">
        <f>+VLOOKUP(TablaPrincipal[[#This Row],[CODIGO]],TablaCosechas[#All],10,0)</f>
        <v>JUNIOR ESQUIVEL</v>
      </c>
      <c r="AW393" s="183" t="s">
        <v>349</v>
      </c>
      <c r="AX393" s="188" t="str">
        <f>+VLOOKUP(TablaPrincipal[[#This Row],[CODIGO]],TablaCosechas[#All],10,0)</f>
        <v>JUNIOR ESQUIVEL</v>
      </c>
    </row>
    <row r="394" spans="1:50" x14ac:dyDescent="0.25">
      <c r="A394" s="196">
        <v>46159</v>
      </c>
      <c r="B394" s="242">
        <v>392</v>
      </c>
      <c r="C394" s="183">
        <f>YEAR(TablaPrincipal[[#This Row],[FECHA]])</f>
        <v>2026</v>
      </c>
      <c r="D394" s="183" t="s">
        <v>347</v>
      </c>
      <c r="E394" s="183" t="str">
        <f>UPPER(TEXT(TablaPrincipal[[#This Row],[FECHA]],"MMMM"))</f>
        <v>MAYO</v>
      </c>
      <c r="F394" s="183" t="str">
        <f>IFERROR(VLOOKUP(TablaPrincipal[[#This Row],[CODIGO]],COSECHAS!A:J,9,0),"-")</f>
        <v>11</v>
      </c>
      <c r="G394" s="183" t="str">
        <f>IFERROR(VLOOKUP(TablaPrincipal[[#This Row],[CODIGO]],COSECHAS!A:I,8,0),"-")</f>
        <v>MANTARRAYA</v>
      </c>
      <c r="H394" s="184">
        <f>IFERROR(VLOOKUP(TablaPrincipal[[#This Row],[CODIGO]],DATOS!A:B,2,0),"-")</f>
        <v>3.4</v>
      </c>
      <c r="I394" s="183" t="str">
        <f>IFERROR(VLOOKUP(TablaPrincipal[[#This Row],[CODIGO]],Tabla8[[#Headers],[#Data]],3,0),"-")</f>
        <v>ASC-BAP</v>
      </c>
      <c r="J394" s="183">
        <f>IFERROR(TablaPrincipal[[#This Row],[FECHA]]-TablaPrincipal[[#This Row],[FECHA DE SIEMBRA]],"-")</f>
        <v>84</v>
      </c>
      <c r="K394" s="196">
        <f>VLOOKUP(TablaPrincipal[[#This Row],[CODIGO]]&amp;TablaPrincipal[[#This Row],[AGUAJE ]],Tabla4[#All],4,0)</f>
        <v>46075</v>
      </c>
      <c r="L394" s="183" t="str">
        <f>VLOOKUP(TablaPrincipal[[#This Row],[CODIGO]]&amp;TablaPrincipal[[#This Row],[AGUAJE ]],Tabla4[#All],15,0)</f>
        <v>MA 12</v>
      </c>
      <c r="M394" s="184">
        <f>VLOOKUP(TablaPrincipal[[#This Row],[CODIGO]]&amp;TablaPrincipal[[#This Row],[AGUAJE ]],Tabla4[#All],14,0)</f>
        <v>0.8</v>
      </c>
      <c r="N394" s="183">
        <v>9</v>
      </c>
      <c r="O394" s="170">
        <f>VLOOKUP(TablaPrincipal[[#This Row],[CODIGO]]&amp;TablaPrincipal[[#This Row],[AGUAJE ]],Tabla4[#All],5,0)</f>
        <v>544000</v>
      </c>
      <c r="P394" s="221">
        <f>IFERROR(TablaPrincipal[[#This Row],[ANIM SEMBRADOS]]/TablaPrincipal[[#This Row],[HAS]],"-")</f>
        <v>160000</v>
      </c>
      <c r="Q394" s="222">
        <f>IFERROR(TablaPrincipal[[#This Row],[DENSIDAD]]/10000,"-")</f>
        <v>16</v>
      </c>
      <c r="R394" s="183" t="str">
        <f>VLOOKUP(TablaPrincipal[[#This Row],[CODIGO]]&amp;TablaPrincipal[[#This Row],[AGUAJE ]],Tabla4[#All],8,0)</f>
        <v>PRONAUPLIO</v>
      </c>
      <c r="S394" s="183" t="str">
        <f>VLOOKUP(TablaPrincipal[[#This Row],[CODIGO]]&amp;TablaPrincipal[[#This Row],[AGUAJE ]],Tabla4[#All],7,0)</f>
        <v>SEMACUA</v>
      </c>
      <c r="T394" s="183" t="str">
        <f>IF(ISNUMBER(FIND("/",TablaPrincipal[[#This Row],[LABORATORIO]])),"COMBINADO","UNICO")</f>
        <v>UNICO</v>
      </c>
      <c r="U3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7650</v>
      </c>
      <c r="V39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7741.76</v>
      </c>
      <c r="W39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9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19.93</v>
      </c>
      <c r="Y394" s="185">
        <f>IFERROR(TablaPrincipal[[#This Row],[LIBRAS RALEO PLANTA]]/TablaPrincipal[[#This Row],[HAS]],"-")</f>
        <v>2276.9882352941177</v>
      </c>
      <c r="Z39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177013.62546142685</v>
      </c>
      <c r="AA39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B39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20200</v>
      </c>
      <c r="AC394" s="186">
        <f>SUMIFS(COSECHAS!F:F,COSECHAS!A:A,'BASE 2026'!AW:AW,COSECHAS!G:G,"="&amp;A:A)</f>
        <v>28</v>
      </c>
      <c r="AD394" s="186">
        <f>SUMIFS(COSECHAS!M:M,COSECHAS!A:A,'BASE 2026'!AW:AW,COSECHAS!G:G,"="&amp;A:A)</f>
        <v>28</v>
      </c>
      <c r="AE394" s="185">
        <f>IFERROR(TablaPrincipal[[#This Row],[LIBRAS PLANTA]]/TablaPrincipal[[#This Row],[HAS]],"-")</f>
        <v>5941.1764705882351</v>
      </c>
      <c r="AF394" s="185">
        <f>IFERROR(TablaPrincipal[[#This Row],[LIBRAS PLANTA]]*454/TablaPrincipal[[#This Row],[GRAMOS PLANTA]],"-")</f>
        <v>327528.57142857142</v>
      </c>
      <c r="AG394" s="185">
        <f>TablaPrincipal[[#This Row],[LIBRAS RALEO PLANTA]]+TablaPrincipal[[#This Row],[LIBRAS PLANTA]]</f>
        <v>27941.760000000002</v>
      </c>
      <c r="AH394" s="185">
        <f>IFERROR(TablaPrincipal[[#This Row],[CAM COSECHADOS RALEO]]+TablaPrincipal[[#This Row],[CAM COSECHADOS]],"-")</f>
        <v>504542.19688999827</v>
      </c>
      <c r="AI394" s="185">
        <f>IFERROR((TablaPrincipal[[#This Row],[LIBRAS RALEO PLANTA]]+TablaPrincipal[[#This Row],[LIBRAS PLANTA]])/TablaPrincipal[[#This Row],[HAS]],"0")</f>
        <v>8218.1647058823546</v>
      </c>
      <c r="AJ394" s="186">
        <f>IFERROR(AD394/(J394/7),"-")</f>
        <v>2.3333333333333335</v>
      </c>
      <c r="AK394" s="186">
        <f>IFERROR(TablaPrincipal[[#This Row],[LBS/HA]]/TablaPrincipal[[#This Row],[DIAS]],"-")</f>
        <v>97.835294117647081</v>
      </c>
      <c r="AL394" s="186">
        <f>IFERROR(TablaPrincipal[[#This Row],[CAM COSECHADOS TOTALES]]/TablaPrincipal[[#This Row],[ANIM SEMBRADOS]]*100,"-")</f>
        <v>92.746727369484987</v>
      </c>
      <c r="AM394" s="185">
        <v>34937</v>
      </c>
      <c r="AN394" s="187">
        <f>IFERROR(((TablaPrincipal[[#This Row],[BALANCEADO ACUMULADO (LBS)]]/2.2046)/TablaPrincipal[[#This Row],[HAS]])/TablaPrincipal[[#This Row],[DIAS]],"-")</f>
        <v>55.487812470538422</v>
      </c>
      <c r="AO394" s="184">
        <f>IFERROR(TablaPrincipal[[#This Row],[BALANCEADO ACUMULADO (LBS)]]/TablaPrincipal[[#This Row],[LIBRAS TOTALES]],"-")</f>
        <v>1.2503507295173961</v>
      </c>
      <c r="AP394" s="184"/>
      <c r="AQ394" s="184"/>
      <c r="AR394" s="185">
        <f>TablaPrincipal[[#This Row],[LIBRAS RALEO PLANTA]]-TablaPrincipal[[#This Row],[LIBRAS RALEO CAMARONERA]]</f>
        <v>91.760000000000218</v>
      </c>
      <c r="AS394" s="185">
        <f>TablaPrincipal[[#This Row],[LIBRAS PLANTA]]-TablaPrincipal[[#This Row],[LIBRAS CAMARONERA]]</f>
        <v>0</v>
      </c>
      <c r="AT394" s="187">
        <f>TablaPrincipal[[#This Row],[GRAMAJE RALEO PLANTA]]-TablaPrincipal[[#This Row],[GRAMAJE RALEO CAMARONERA]]</f>
        <v>0.92999999999999972</v>
      </c>
      <c r="AU394" s="187">
        <f>TablaPrincipal[[#This Row],[GRAMOS PLANTA]]-TablaPrincipal[[#This Row],[GRAMAJE CAMARONERA]]</f>
        <v>0</v>
      </c>
      <c r="AV394" s="183" t="str">
        <f>+VLOOKUP(TablaPrincipal[[#This Row],[CODIGO]],TablaCosechas[#All],10,0)</f>
        <v>GUSTAVO CARRASCO</v>
      </c>
      <c r="AW394" s="183" t="s">
        <v>221</v>
      </c>
      <c r="AX394" s="188" t="str">
        <f>+VLOOKUP(TablaPrincipal[[#This Row],[CODIGO]],TablaCosechas[#All],10,0)</f>
        <v>GUSTAVO CARRASCO</v>
      </c>
    </row>
    <row r="395" spans="1:50" x14ac:dyDescent="0.25">
      <c r="A395" s="196">
        <v>46159</v>
      </c>
      <c r="B395" s="242">
        <v>393</v>
      </c>
      <c r="C395" s="183">
        <f>YEAR(TablaPrincipal[[#This Row],[FECHA]])</f>
        <v>2026</v>
      </c>
      <c r="D395" s="183" t="s">
        <v>347</v>
      </c>
      <c r="E395" s="183" t="str">
        <f>UPPER(TEXT(TablaPrincipal[[#This Row],[FECHA]],"MMMM"))</f>
        <v>MAYO</v>
      </c>
      <c r="F395" s="183" t="str">
        <f>IFERROR(VLOOKUP(TablaPrincipal[[#This Row],[CODIGO]],COSECHAS!A:J,9,0),"-")</f>
        <v>12</v>
      </c>
      <c r="G395" s="183" t="str">
        <f>IFERROR(VLOOKUP(TablaPrincipal[[#This Row],[CODIGO]],COSECHAS!A:I,8,0),"-")</f>
        <v>CHERNA</v>
      </c>
      <c r="H395" s="184">
        <f>IFERROR(VLOOKUP(TablaPrincipal[[#This Row],[CODIGO]],DATOS!A:B,2,0),"-")</f>
        <v>6.08</v>
      </c>
      <c r="I395" s="183" t="str">
        <f>IFERROR(VLOOKUP(TablaPrincipal[[#This Row],[CODIGO]],Tabla8[[#Headers],[#Data]],3,0),"-")</f>
        <v>ASC</v>
      </c>
      <c r="J395" s="183">
        <f>IFERROR(TablaPrincipal[[#This Row],[FECHA]]-TablaPrincipal[[#This Row],[FECHA DE SIEMBRA]],"-")</f>
        <v>75</v>
      </c>
      <c r="K395" s="196">
        <f>VLOOKUP(TablaPrincipal[[#This Row],[CODIGO]]&amp;TablaPrincipal[[#This Row],[AGUAJE ]],Tabla4[#All],4,0)</f>
        <v>46084</v>
      </c>
      <c r="L395" s="183" t="str">
        <f>VLOOKUP(TablaPrincipal[[#This Row],[CODIGO]]&amp;TablaPrincipal[[#This Row],[AGUAJE ]],Tabla4[#All],15,0)</f>
        <v>CH PC 5</v>
      </c>
      <c r="M395" s="184">
        <f>VLOOKUP(TablaPrincipal[[#This Row],[CODIGO]]&amp;TablaPrincipal[[#This Row],[AGUAJE ]],Tabla4[#All],14,0)</f>
        <v>0.84</v>
      </c>
      <c r="N395" s="183">
        <v>8</v>
      </c>
      <c r="O395" s="170">
        <f>VLOOKUP(TablaPrincipal[[#This Row],[CODIGO]]&amp;TablaPrincipal[[#This Row],[AGUAJE ]],Tabla4[#All],5,0)</f>
        <v>1033600</v>
      </c>
      <c r="P395" s="221">
        <f>IFERROR(TablaPrincipal[[#This Row],[ANIM SEMBRADOS]]/TablaPrincipal[[#This Row],[HAS]],"-")</f>
        <v>170000</v>
      </c>
      <c r="Q395" s="222">
        <f>IFERROR(TablaPrincipal[[#This Row],[DENSIDAD]]/10000,"-")</f>
        <v>17</v>
      </c>
      <c r="R395" s="183" t="str">
        <f>VLOOKUP(TablaPrincipal[[#This Row],[CODIGO]]&amp;TablaPrincipal[[#This Row],[AGUAJE ]],Tabla4[#All],8,0)</f>
        <v>TECSERV</v>
      </c>
      <c r="S395" s="183" t="str">
        <f>VLOOKUP(TablaPrincipal[[#This Row],[CODIGO]]&amp;TablaPrincipal[[#This Row],[AGUAJE ]],Tabla4[#All],7,0)</f>
        <v>SEMACUA</v>
      </c>
      <c r="T395" s="183" t="str">
        <f>IF(ISNUMBER(FIND("/",TablaPrincipal[[#This Row],[LABORATORIO]])),"COMBINADO","UNICO")</f>
        <v>UNICO</v>
      </c>
      <c r="U3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6100</v>
      </c>
      <c r="V39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6149.75</v>
      </c>
      <c r="W39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39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19.38</v>
      </c>
      <c r="Y395" s="185">
        <f>IFERROR(TablaPrincipal[[#This Row],[LIBRAS RALEO PLANTA]]/TablaPrincipal[[#This Row],[HAS]],"-")</f>
        <v>1011.4720394736842</v>
      </c>
      <c r="Z39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144065.35087719298</v>
      </c>
      <c r="AA39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B39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C395" s="186">
        <f>SUMIFS(COSECHAS!F:F,COSECHAS!A:A,'BASE 2026'!AW:AW,COSECHAS!G:G,"="&amp;A:A)</f>
        <v>30</v>
      </c>
      <c r="AD395" s="186">
        <f>SUMIFS(COSECHAS!M:M,COSECHAS!A:A,'BASE 2026'!AW:AW,COSECHAS!G:G,"="&amp;A:A)</f>
        <v>30</v>
      </c>
      <c r="AE395" s="185">
        <f>IFERROR(TablaPrincipal[[#This Row],[LIBRAS PLANTA]]/TablaPrincipal[[#This Row],[HAS]],"-")</f>
        <v>4720.394736842105</v>
      </c>
      <c r="AF395" s="185">
        <f>IFERROR(TablaPrincipal[[#This Row],[LIBRAS PLANTA]]*454/TablaPrincipal[[#This Row],[GRAMOS PLANTA]],"-")</f>
        <v>434326.66666666669</v>
      </c>
      <c r="AG395" s="185">
        <f>TablaPrincipal[[#This Row],[LIBRAS RALEO PLANTA]]+TablaPrincipal[[#This Row],[LIBRAS PLANTA]]</f>
        <v>34849.75</v>
      </c>
      <c r="AH395" s="185">
        <f>IFERROR(TablaPrincipal[[#This Row],[CAM COSECHADOS RALEO]]+TablaPrincipal[[#This Row],[CAM COSECHADOS]],"-")</f>
        <v>578392.01754385966</v>
      </c>
      <c r="AI395" s="185">
        <f>IFERROR((TablaPrincipal[[#This Row],[LIBRAS RALEO PLANTA]]+TablaPrincipal[[#This Row],[LIBRAS PLANTA]])/TablaPrincipal[[#This Row],[HAS]],"0")</f>
        <v>5731.8667763157891</v>
      </c>
      <c r="AJ395" s="186">
        <f>IFERROR(AD395/(J395/7),"-")</f>
        <v>2.8000000000000003</v>
      </c>
      <c r="AK395" s="186">
        <f>IFERROR(TablaPrincipal[[#This Row],[LBS/HA]]/TablaPrincipal[[#This Row],[DIAS]],"-")</f>
        <v>76.424890350877192</v>
      </c>
      <c r="AL395" s="186">
        <f>IFERROR(TablaPrincipal[[#This Row],[CAM COSECHADOS TOTALES]]/TablaPrincipal[[#This Row],[ANIM SEMBRADOS]]*100,"-")</f>
        <v>55.958980025528213</v>
      </c>
      <c r="AM395" s="185">
        <v>55666.15</v>
      </c>
      <c r="AN395" s="187">
        <f>IFERROR(((TablaPrincipal[[#This Row],[BALANCEADO ACUMULADO (LBS)]]/2.2046)/TablaPrincipal[[#This Row],[HAS]])/TablaPrincipal[[#This Row],[DIAS]],"-")</f>
        <v>55.372807017543856</v>
      </c>
      <c r="AO395" s="184">
        <f>IFERROR(TablaPrincipal[[#This Row],[BALANCEADO ACUMULADO (LBS)]]/TablaPrincipal[[#This Row],[LIBRAS TOTALES]],"-")</f>
        <v>1.5973184886548684</v>
      </c>
      <c r="AP395" s="184"/>
      <c r="AQ395" s="184"/>
      <c r="AR395" s="185">
        <f>TablaPrincipal[[#This Row],[LIBRAS RALEO PLANTA]]-TablaPrincipal[[#This Row],[LIBRAS RALEO CAMARONERA]]</f>
        <v>49.75</v>
      </c>
      <c r="AS395" s="185">
        <f>TablaPrincipal[[#This Row],[LIBRAS PLANTA]]-TablaPrincipal[[#This Row],[LIBRAS CAMARONERA]]</f>
        <v>0</v>
      </c>
      <c r="AT395" s="187">
        <f>TablaPrincipal[[#This Row],[GRAMAJE RALEO PLANTA]]-TablaPrincipal[[#This Row],[GRAMAJE RALEO CAMARONERA]]</f>
        <v>0.37999999999999901</v>
      </c>
      <c r="AU395" s="187">
        <f>TablaPrincipal[[#This Row],[GRAMOS PLANTA]]-TablaPrincipal[[#This Row],[GRAMAJE CAMARONERA]]</f>
        <v>0</v>
      </c>
      <c r="AV395" s="183" t="str">
        <f>+VLOOKUP(TablaPrincipal[[#This Row],[CODIGO]],TablaCosechas[#All],10,0)</f>
        <v>SANTIAGO OBRIEN</v>
      </c>
      <c r="AW395" s="183" t="s">
        <v>18</v>
      </c>
      <c r="AX395" s="188" t="str">
        <f>+VLOOKUP(TablaPrincipal[[#This Row],[CODIGO]],TablaCosechas[#All],10,0)</f>
        <v>SANTIAGO OBRIEN</v>
      </c>
    </row>
    <row r="396" spans="1:50" x14ac:dyDescent="0.25">
      <c r="A396" s="196">
        <v>46161</v>
      </c>
      <c r="B396" s="242">
        <v>394</v>
      </c>
      <c r="C396" s="183">
        <f>YEAR(TablaPrincipal[[#This Row],[FECHA]])</f>
        <v>2026</v>
      </c>
      <c r="D396" s="183" t="s">
        <v>347</v>
      </c>
      <c r="E396" s="183" t="str">
        <f>UPPER(TEXT(TablaPrincipal[[#This Row],[FECHA]],"MMMM"))</f>
        <v>MAYO</v>
      </c>
      <c r="F396" s="183" t="str">
        <f>IFERROR(VLOOKUP(TablaPrincipal[[#This Row],[CODIGO]],COSECHAS!A:J,9,0),"-")</f>
        <v>16</v>
      </c>
      <c r="G396" s="183" t="str">
        <f>IFERROR(VLOOKUP(TablaPrincipal[[#This Row],[CODIGO]],COSECHAS!A:I,8,0),"-")</f>
        <v>CATANUDA</v>
      </c>
      <c r="H396" s="184">
        <f>IFERROR(VLOOKUP(TablaPrincipal[[#This Row],[CODIGO]],DATOS!A:B,2,0),"-")</f>
        <v>8</v>
      </c>
      <c r="I396" s="183" t="str">
        <f>IFERROR(VLOOKUP(TablaPrincipal[[#This Row],[CODIGO]],Tabla8[[#Headers],[#Data]],3,0),"-")</f>
        <v>ASC-BAP</v>
      </c>
      <c r="J396" s="183">
        <f>IFERROR(TablaPrincipal[[#This Row],[FECHA]]-TablaPrincipal[[#This Row],[FECHA DE SIEMBRA]],"-")</f>
        <v>77</v>
      </c>
      <c r="K396" s="196">
        <f>VLOOKUP(TablaPrincipal[[#This Row],[CODIGO]]&amp;TablaPrincipal[[#This Row],[AGUAJE ]],Tabla4[#All],4,0)</f>
        <v>46084</v>
      </c>
      <c r="L396" s="183" t="str">
        <f>VLOOKUP(TablaPrincipal[[#This Row],[CODIGO]]&amp;TablaPrincipal[[#This Row],[AGUAJE ]],Tabla4[#All],15,0)</f>
        <v>CA PC 15</v>
      </c>
      <c r="M396" s="184">
        <f>VLOOKUP(TablaPrincipal[[#This Row],[CODIGO]]&amp;TablaPrincipal[[#This Row],[AGUAJE ]],Tabla4[#All],14,0)</f>
        <v>0.25</v>
      </c>
      <c r="N396" s="183">
        <v>11</v>
      </c>
      <c r="O396" s="170">
        <f>VLOOKUP(TablaPrincipal[[#This Row],[CODIGO]]&amp;TablaPrincipal[[#This Row],[AGUAJE ]],Tabla4[#All],5,0)</f>
        <v>1360000</v>
      </c>
      <c r="P396" s="221">
        <f>IFERROR(TablaPrincipal[[#This Row],[ANIM SEMBRADOS]]/TablaPrincipal[[#This Row],[HAS]],"-")</f>
        <v>170000</v>
      </c>
      <c r="Q396" s="222">
        <f>IFERROR(TablaPrincipal[[#This Row],[DENSIDAD]]/10000,"-")</f>
        <v>17</v>
      </c>
      <c r="R396" s="183" t="str">
        <f>VLOOKUP(TablaPrincipal[[#This Row],[CODIGO]]&amp;TablaPrincipal[[#This Row],[AGUAJE ]],Tabla4[#All],8,0)</f>
        <v>GENESIS</v>
      </c>
      <c r="S396" s="183" t="str">
        <f>VLOOKUP(TablaPrincipal[[#This Row],[CODIGO]]&amp;TablaPrincipal[[#This Row],[AGUAJE ]],Tabla4[#All],7,0)</f>
        <v>TEXCUMAR</v>
      </c>
      <c r="T396" s="183" t="str">
        <f>IF(ISNUMBER(FIND("/",TablaPrincipal[[#This Row],[LABORATORIO]])),"COMBINADO","UNICO")</f>
        <v>UNICO</v>
      </c>
      <c r="U3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11500</v>
      </c>
      <c r="V39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11995.05</v>
      </c>
      <c r="W39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</v>
      </c>
      <c r="X39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23.786666666666665</v>
      </c>
      <c r="Y396" s="185">
        <f>IFERROR(TablaPrincipal[[#This Row],[LIBRAS RALEO PLANTA]]/TablaPrincipal[[#This Row],[HAS]],"-")</f>
        <v>1499.3812499999999</v>
      </c>
      <c r="Z39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275885.30751573568</v>
      </c>
      <c r="AA39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B39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26600</v>
      </c>
      <c r="AC396" s="186">
        <f>SUMIFS(COSECHAS!F:F,COSECHAS!A:A,'BASE 2026'!AW:AW,COSECHAS!G:G,"="&amp;A:A)</f>
        <v>32</v>
      </c>
      <c r="AD396" s="186">
        <f>SUMIFS(COSECHAS!M:M,COSECHAS!A:A,'BASE 2026'!AW:AW,COSECHAS!G:G,"="&amp;A:A)</f>
        <v>32</v>
      </c>
      <c r="AE396" s="185">
        <f>IFERROR(TablaPrincipal[[#This Row],[LIBRAS PLANTA]]/TablaPrincipal[[#This Row],[HAS]],"-")</f>
        <v>3325</v>
      </c>
      <c r="AF396" s="185">
        <f>IFERROR(TablaPrincipal[[#This Row],[LIBRAS PLANTA]]*454/TablaPrincipal[[#This Row],[GRAMOS PLANTA]],"-")</f>
        <v>377387.5</v>
      </c>
      <c r="AG396" s="185">
        <f>TablaPrincipal[[#This Row],[LIBRAS RALEO PLANTA]]+TablaPrincipal[[#This Row],[LIBRAS PLANTA]]</f>
        <v>38595.050000000003</v>
      </c>
      <c r="AH396" s="185">
        <f>IFERROR(TablaPrincipal[[#This Row],[CAM COSECHADOS RALEO]]+TablaPrincipal[[#This Row],[CAM COSECHADOS]],"-")</f>
        <v>653272.80751573574</v>
      </c>
      <c r="AI396" s="185">
        <f>IFERROR((TablaPrincipal[[#This Row],[LIBRAS RALEO PLANTA]]+TablaPrincipal[[#This Row],[LIBRAS PLANTA]])/TablaPrincipal[[#This Row],[HAS]],"0")</f>
        <v>4824.3812500000004</v>
      </c>
      <c r="AJ396" s="186">
        <f>IFERROR(AD396/(J396/7),"-")</f>
        <v>2.9090909090909092</v>
      </c>
      <c r="AK396" s="186">
        <f>IFERROR(TablaPrincipal[[#This Row],[LBS/HA]]/TablaPrincipal[[#This Row],[DIAS]],"-")</f>
        <v>62.654301948051952</v>
      </c>
      <c r="AL396" s="186">
        <f>IFERROR(TablaPrincipal[[#This Row],[CAM COSECHADOS TOTALES]]/TablaPrincipal[[#This Row],[ANIM SEMBRADOS]]*100,"-")</f>
        <v>48.034765258509978</v>
      </c>
      <c r="AM396" s="185">
        <v>63905.84</v>
      </c>
      <c r="AN396" s="187">
        <f>IFERROR(((TablaPrincipal[[#This Row],[BALANCEADO ACUMULADO (LBS)]]/2.2046)/TablaPrincipal[[#This Row],[HAS]])/TablaPrincipal[[#This Row],[DIAS]],"-")</f>
        <v>47.057628029232845</v>
      </c>
      <c r="AO396" s="184">
        <f>IFERROR(TablaPrincipal[[#This Row],[BALANCEADO ACUMULADO (LBS)]]/TablaPrincipal[[#This Row],[LIBRAS TOTALES]],"-")</f>
        <v>1.6558040474102247</v>
      </c>
      <c r="AP396" s="184"/>
      <c r="AQ396" s="184"/>
      <c r="AR396" s="185">
        <f>TablaPrincipal[[#This Row],[LIBRAS RALEO PLANTA]]-TablaPrincipal[[#This Row],[LIBRAS RALEO CAMARONERA]]</f>
        <v>495.04999999999927</v>
      </c>
      <c r="AS396" s="185">
        <f>TablaPrincipal[[#This Row],[LIBRAS PLANTA]]-TablaPrincipal[[#This Row],[LIBRAS CAMARONERA]]</f>
        <v>0</v>
      </c>
      <c r="AT396" s="187">
        <f>TablaPrincipal[[#This Row],[GRAMAJE RALEO PLANTA]]-TablaPrincipal[[#This Row],[GRAMAJE RALEO CAMARONERA]]</f>
        <v>0.78666666666666529</v>
      </c>
      <c r="AU396" s="187">
        <f>TablaPrincipal[[#This Row],[GRAMOS PLANTA]]-TablaPrincipal[[#This Row],[GRAMAJE CAMARONERA]]</f>
        <v>0</v>
      </c>
      <c r="AV396" s="183" t="str">
        <f>+VLOOKUP(TablaPrincipal[[#This Row],[CODIGO]],TablaCosechas[#All],10,0)</f>
        <v>VICTOR QUINTANA</v>
      </c>
      <c r="AW396" s="183" t="s">
        <v>245</v>
      </c>
      <c r="AX396" s="188" t="str">
        <f>+VLOOKUP(TablaPrincipal[[#This Row],[CODIGO]],TablaCosechas[#All],10,0)</f>
        <v>VICTOR QUINTANA</v>
      </c>
    </row>
    <row r="397" spans="1:50" x14ac:dyDescent="0.25">
      <c r="A397" s="196">
        <v>46161</v>
      </c>
      <c r="B397" s="242">
        <v>395</v>
      </c>
      <c r="C397" s="183">
        <f>YEAR(TablaPrincipal[[#This Row],[FECHA]])</f>
        <v>2026</v>
      </c>
      <c r="D397" s="183" t="s">
        <v>347</v>
      </c>
      <c r="E397" s="183" t="str">
        <f>UPPER(TEXT(TablaPrincipal[[#This Row],[FECHA]],"MMMM"))</f>
        <v>MAYO</v>
      </c>
      <c r="F397" s="183" t="str">
        <f>IFERROR(VLOOKUP(TablaPrincipal[[#This Row],[CODIGO]],COSECHAS!A:J,9,0),"-")</f>
        <v>02</v>
      </c>
      <c r="G397" s="183" t="str">
        <f>IFERROR(VLOOKUP(TablaPrincipal[[#This Row],[CODIGO]],COSECHAS!A:I,8,0),"-")</f>
        <v>DORADO</v>
      </c>
      <c r="H397" s="184">
        <f>IFERROR(VLOOKUP(TablaPrincipal[[#This Row],[CODIGO]],DATOS!A:B,2,0),"-")</f>
        <v>4.72</v>
      </c>
      <c r="I397" s="183" t="str">
        <f>IFERROR(VLOOKUP(TablaPrincipal[[#This Row],[CODIGO]],Tabla8[[#Headers],[#Data]],3,0),"-")</f>
        <v>ASC-BAP</v>
      </c>
      <c r="J397" s="183">
        <f>IFERROR(TablaPrincipal[[#This Row],[FECHA]]-TablaPrincipal[[#This Row],[FECHA DE SIEMBRA]],"-")</f>
        <v>93</v>
      </c>
      <c r="K397" s="196">
        <f>VLOOKUP(TablaPrincipal[[#This Row],[CODIGO]]&amp;TablaPrincipal[[#This Row],[AGUAJE ]],Tabla4[#All],4,0)</f>
        <v>46068</v>
      </c>
      <c r="L397" s="183" t="str">
        <f>VLOOKUP(TablaPrincipal[[#This Row],[CODIGO]]&amp;TablaPrincipal[[#This Row],[AGUAJE ]],Tabla4[#All],15,0)</f>
        <v>DO PS 2</v>
      </c>
      <c r="M397" s="184">
        <f>VLOOKUP(TablaPrincipal[[#This Row],[CODIGO]]&amp;TablaPrincipal[[#This Row],[AGUAJE ]],Tabla4[#All],14,0)</f>
        <v>3.32</v>
      </c>
      <c r="N397" s="183" t="s">
        <v>116</v>
      </c>
      <c r="O397" s="170">
        <f>VLOOKUP(TablaPrincipal[[#This Row],[CODIGO]]&amp;TablaPrincipal[[#This Row],[AGUAJE ]],Tabla4[#All],5,0)</f>
        <v>850000</v>
      </c>
      <c r="P397" s="221">
        <f>IFERROR(TablaPrincipal[[#This Row],[ANIM SEMBRADOS]]/TablaPrincipal[[#This Row],[HAS]],"-")</f>
        <v>180084.74576271189</v>
      </c>
      <c r="Q397" s="222">
        <f>IFERROR(TablaPrincipal[[#This Row],[DENSIDAD]]/10000,"-")</f>
        <v>18.008474576271187</v>
      </c>
      <c r="R397" s="183" t="str">
        <f>VLOOKUP(TablaPrincipal[[#This Row],[CODIGO]]&amp;TablaPrincipal[[#This Row],[AGUAJE ]],Tabla4[#All],8,0)</f>
        <v>TECSERV</v>
      </c>
      <c r="S397" s="183" t="str">
        <f>VLOOKUP(TablaPrincipal[[#This Row],[CODIGO]]&amp;TablaPrincipal[[#This Row],[AGUAJE ]],Tabla4[#All],7,0)</f>
        <v>SEMACUA</v>
      </c>
      <c r="T397" s="183" t="str">
        <f>IF(ISNUMBER(FIND("/",TablaPrincipal[[#This Row],[LABORATORIO]])),"COMBINADO","UNICO")</f>
        <v>UNICO</v>
      </c>
      <c r="U3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17000</v>
      </c>
      <c r="V39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20159.91</v>
      </c>
      <c r="W39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20.5</v>
      </c>
      <c r="X39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21.734999999999999</v>
      </c>
      <c r="Y397" s="185">
        <f>IFERROR(TablaPrincipal[[#This Row],[LIBRAS RALEO PLANTA]]/TablaPrincipal[[#This Row],[HAS]],"-")</f>
        <v>4271.1673728813557</v>
      </c>
      <c r="Z39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445782.63968531473</v>
      </c>
      <c r="AA39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B39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17900</v>
      </c>
      <c r="AC397" s="186">
        <f>SUMIFS(COSECHAS!F:F,COSECHAS!A:A,'BASE 2026'!AW:AW,COSECHAS!G:G,"="&amp;A:A)</f>
        <v>38</v>
      </c>
      <c r="AD397" s="186">
        <f>SUMIFS(COSECHAS!M:M,COSECHAS!A:A,'BASE 2026'!AW:AW,COSECHAS!G:G,"="&amp;A:A)</f>
        <v>38</v>
      </c>
      <c r="AE397" s="185">
        <f>IFERROR(TablaPrincipal[[#This Row],[LIBRAS PLANTA]]/TablaPrincipal[[#This Row],[HAS]],"-")</f>
        <v>3792.3728813559323</v>
      </c>
      <c r="AF397" s="185">
        <f>IFERROR(TablaPrincipal[[#This Row],[LIBRAS PLANTA]]*454/TablaPrincipal[[#This Row],[GRAMOS PLANTA]],"-")</f>
        <v>213857.89473684211</v>
      </c>
      <c r="AG397" s="185">
        <f>TablaPrincipal[[#This Row],[LIBRAS RALEO PLANTA]]+TablaPrincipal[[#This Row],[LIBRAS PLANTA]]</f>
        <v>38059.910000000003</v>
      </c>
      <c r="AH397" s="185">
        <f>IFERROR(TablaPrincipal[[#This Row],[CAM COSECHADOS RALEO]]+TablaPrincipal[[#This Row],[CAM COSECHADOS]],"-")</f>
        <v>659640.53442215687</v>
      </c>
      <c r="AI397" s="185">
        <f>IFERROR((TablaPrincipal[[#This Row],[LIBRAS RALEO PLANTA]]+TablaPrincipal[[#This Row],[LIBRAS PLANTA]])/TablaPrincipal[[#This Row],[HAS]],"0")</f>
        <v>8063.5402542372894</v>
      </c>
      <c r="AJ397" s="186">
        <f t="shared" ref="AJ397:AJ402" si="15">IFERROR(AD397/(J397/7),"-")</f>
        <v>2.8602150537634405</v>
      </c>
      <c r="AK397" s="186">
        <f>IFERROR(TablaPrincipal[[#This Row],[LBS/HA]]/TablaPrincipal[[#This Row],[DIAS]],"-")</f>
        <v>86.704733916529989</v>
      </c>
      <c r="AL397" s="186">
        <f>IFERROR(TablaPrincipal[[#This Row],[CAM COSECHADOS TOTALES]]/TablaPrincipal[[#This Row],[ANIM SEMBRADOS]]*100,"-")</f>
        <v>77.604768755547866</v>
      </c>
      <c r="AM397" s="185">
        <v>59083.28</v>
      </c>
      <c r="AN397" s="187">
        <f>IFERROR(((TablaPrincipal[[#This Row],[BALANCEADO ACUMULADO (LBS)]]/2.2046)/TablaPrincipal[[#This Row],[HAS]])/TablaPrincipal[[#This Row],[DIAS]],"-")</f>
        <v>61.053398942956072</v>
      </c>
      <c r="AO397" s="184">
        <f>IFERROR(TablaPrincipal[[#This Row],[BALANCEADO ACUMULADO (LBS)]]/TablaPrincipal[[#This Row],[LIBRAS TOTALES]],"-")</f>
        <v>1.5523757150240238</v>
      </c>
      <c r="AP397" s="184"/>
      <c r="AQ397" s="184"/>
      <c r="AR397" s="185">
        <f>TablaPrincipal[[#This Row],[LIBRAS RALEO PLANTA]]-TablaPrincipal[[#This Row],[LIBRAS RALEO CAMARONERA]]</f>
        <v>3159.91</v>
      </c>
      <c r="AS397" s="185">
        <f>TablaPrincipal[[#This Row],[LIBRAS PLANTA]]-TablaPrincipal[[#This Row],[LIBRAS CAMARONERA]]</f>
        <v>0</v>
      </c>
      <c r="AT397" s="187">
        <f>TablaPrincipal[[#This Row],[GRAMAJE RALEO PLANTA]]-TablaPrincipal[[#This Row],[GRAMAJE RALEO CAMARONERA]]</f>
        <v>1.2349999999999994</v>
      </c>
      <c r="AU397" s="187">
        <f>TablaPrincipal[[#This Row],[GRAMOS PLANTA]]-TablaPrincipal[[#This Row],[GRAMAJE CAMARONERA]]</f>
        <v>0</v>
      </c>
      <c r="AV397" s="183" t="str">
        <f>+VLOOKUP(TablaPrincipal[[#This Row],[CODIGO]],TablaCosechas[#All],10,0)</f>
        <v>JOSE CEDEÑO</v>
      </c>
      <c r="AW397" s="183" t="s">
        <v>350</v>
      </c>
      <c r="AX397" s="241" t="str">
        <f>+VLOOKUP(TablaPrincipal[[#This Row],[CODIGO]],TablaCosechas[#All],10,0)</f>
        <v>JOSE CEDEÑO</v>
      </c>
    </row>
    <row r="398" spans="1:50" x14ac:dyDescent="0.25">
      <c r="A398" s="196">
        <v>46161</v>
      </c>
      <c r="B398" s="242">
        <v>396</v>
      </c>
      <c r="C398" s="183">
        <f>YEAR(TablaPrincipal[[#This Row],[FECHA]])</f>
        <v>2026</v>
      </c>
      <c r="D398" s="183" t="s">
        <v>347</v>
      </c>
      <c r="E398" s="183" t="str">
        <f>UPPER(TEXT(TablaPrincipal[[#This Row],[FECHA]],"MMMM"))</f>
        <v>MAYO</v>
      </c>
      <c r="F398" s="183" t="str">
        <f>IFERROR(VLOOKUP(TablaPrincipal[[#This Row],[CODIGO]],COSECHAS!A:J,9,0),"-")</f>
        <v>21</v>
      </c>
      <c r="G398" s="183" t="str">
        <f>IFERROR(VLOOKUP(TablaPrincipal[[#This Row],[CODIGO]],COSECHAS!A:I,8,0),"-")</f>
        <v>DORADO</v>
      </c>
      <c r="H398" s="184">
        <f>IFERROR(VLOOKUP(TablaPrincipal[[#This Row],[CODIGO]],DATOS!A:B,2,0),"-")</f>
        <v>7.78</v>
      </c>
      <c r="I398" s="183" t="str">
        <f>IFERROR(VLOOKUP(TablaPrincipal[[#This Row],[CODIGO]],Tabla8[[#Headers],[#Data]],3,0),"-")</f>
        <v>ASC-BAP</v>
      </c>
      <c r="J398" s="183">
        <f>IFERROR(TablaPrincipal[[#This Row],[FECHA]]-TablaPrincipal[[#This Row],[FECHA DE SIEMBRA]],"-")</f>
        <v>91</v>
      </c>
      <c r="K398" s="196">
        <f>VLOOKUP(TablaPrincipal[[#This Row],[CODIGO]]&amp;TablaPrincipal[[#This Row],[AGUAJE ]],Tabla4[#All],4,0)</f>
        <v>46070</v>
      </c>
      <c r="L398" s="183" t="str">
        <f>VLOOKUP(TablaPrincipal[[#This Row],[CODIGO]]&amp;TablaPrincipal[[#This Row],[AGUAJE ]],Tabla4[#All],15,0)</f>
        <v>DO PC 05</v>
      </c>
      <c r="M398" s="184">
        <f>VLOOKUP(TablaPrincipal[[#This Row],[CODIGO]]&amp;TablaPrincipal[[#This Row],[AGUAJE ]],Tabla4[#All],14,0)</f>
        <v>0.71</v>
      </c>
      <c r="N398" s="183">
        <v>6</v>
      </c>
      <c r="O398" s="170">
        <f>VLOOKUP(TablaPrincipal[[#This Row],[CODIGO]]&amp;TablaPrincipal[[#This Row],[AGUAJE ]],Tabla4[#All],5,0)</f>
        <v>1408450</v>
      </c>
      <c r="P398" s="221">
        <f>IFERROR(TablaPrincipal[[#This Row],[ANIM SEMBRADOS]]/TablaPrincipal[[#This Row],[HAS]],"-")</f>
        <v>181034.70437017994</v>
      </c>
      <c r="Q398" s="222">
        <f>IFERROR(TablaPrincipal[[#This Row],[DENSIDAD]]/10000,"-")</f>
        <v>18.103470437017993</v>
      </c>
      <c r="R398" s="183" t="str">
        <f>VLOOKUP(TablaPrincipal[[#This Row],[CODIGO]]&amp;TablaPrincipal[[#This Row],[AGUAJE ]],Tabla4[#All],8,0)</f>
        <v>AMBARTEK</v>
      </c>
      <c r="S398" s="183" t="str">
        <f>VLOOKUP(TablaPrincipal[[#This Row],[CODIGO]]&amp;TablaPrincipal[[#This Row],[AGUAJE ]],Tabla4[#All],7,0)</f>
        <v>PRONAUPLIO</v>
      </c>
      <c r="T398" s="183" t="str">
        <f>IF(ISNUMBER(FIND("/",TablaPrincipal[[#This Row],[LABORATORIO]])),"COMBINADO","UNICO")</f>
        <v>UNICO</v>
      </c>
      <c r="U3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25900</v>
      </c>
      <c r="V39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27231.32</v>
      </c>
      <c r="W39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</v>
      </c>
      <c r="X39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27.893333333333334</v>
      </c>
      <c r="Y398" s="185">
        <f>IFERROR(TablaPrincipal[[#This Row],[LIBRAS RALEO PLANTA]]/TablaPrincipal[[#This Row],[HAS]],"-")</f>
        <v>3500.1696658097685</v>
      </c>
      <c r="Z39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527178.61414412316</v>
      </c>
      <c r="AA39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35800</v>
      </c>
      <c r="AB39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36661</v>
      </c>
      <c r="AC398" s="186">
        <f>SUMIFS(COSECHAS!F:F,COSECHAS!A:A,'BASE 2026'!AW:AW,COSECHAS!G:G,"="&amp;A:A)</f>
        <v>35</v>
      </c>
      <c r="AD398" s="186">
        <f>SUMIFS(COSECHAS!M:M,COSECHAS!A:A,'BASE 2026'!AW:AW,COSECHAS!G:G,"="&amp;A:A)</f>
        <v>35</v>
      </c>
      <c r="AE398" s="185">
        <f>IFERROR(TablaPrincipal[[#This Row],[LIBRAS PLANTA]]/TablaPrincipal[[#This Row],[HAS]],"-")</f>
        <v>4712.2107969151666</v>
      </c>
      <c r="AF398" s="185">
        <f>IFERROR(TablaPrincipal[[#This Row],[LIBRAS PLANTA]]*454/TablaPrincipal[[#This Row],[GRAMOS PLANTA]],"-")</f>
        <v>475545.54285714286</v>
      </c>
      <c r="AG398" s="185">
        <f>TablaPrincipal[[#This Row],[LIBRAS RALEO PLANTA]]+TablaPrincipal[[#This Row],[LIBRAS PLANTA]]</f>
        <v>63892.32</v>
      </c>
      <c r="AH398" s="185">
        <f>IFERROR(TablaPrincipal[[#This Row],[CAM COSECHADOS RALEO]]+TablaPrincipal[[#This Row],[CAM COSECHADOS]],"-")</f>
        <v>1002724.157001266</v>
      </c>
      <c r="AI398" s="185">
        <f>IFERROR((TablaPrincipal[[#This Row],[LIBRAS RALEO PLANTA]]+TablaPrincipal[[#This Row],[LIBRAS PLANTA]])/TablaPrincipal[[#This Row],[HAS]],"0")</f>
        <v>8212.3804627249356</v>
      </c>
      <c r="AJ398" s="186">
        <f t="shared" si="15"/>
        <v>2.6923076923076925</v>
      </c>
      <c r="AK398" s="186">
        <f>IFERROR(TablaPrincipal[[#This Row],[LBS/HA]]/TablaPrincipal[[#This Row],[DIAS]],"-")</f>
        <v>90.245939150823475</v>
      </c>
      <c r="AL398" s="186">
        <f>IFERROR(TablaPrincipal[[#This Row],[CAM COSECHADOS TOTALES]]/TablaPrincipal[[#This Row],[ANIM SEMBRADOS]]*100,"-")</f>
        <v>71.193450743815262</v>
      </c>
      <c r="AM398" s="185">
        <v>104057.12</v>
      </c>
      <c r="AN398" s="187">
        <f>IFERROR(((TablaPrincipal[[#This Row],[BALANCEADO ACUMULADO (LBS)]]/2.2046)/TablaPrincipal[[#This Row],[HAS]])/TablaPrincipal[[#This Row],[DIAS]],"-")</f>
        <v>66.668549959038387</v>
      </c>
      <c r="AO398" s="184">
        <f>IFERROR(TablaPrincipal[[#This Row],[BALANCEADO ACUMULADO (LBS)]]/TablaPrincipal[[#This Row],[LIBRAS TOTALES]],"-")</f>
        <v>1.6286326744748039</v>
      </c>
      <c r="AP398" s="184"/>
      <c r="AQ398" s="184"/>
      <c r="AR398" s="185">
        <f>TablaPrincipal[[#This Row],[LIBRAS RALEO PLANTA]]-TablaPrincipal[[#This Row],[LIBRAS RALEO CAMARONERA]]</f>
        <v>1331.3199999999997</v>
      </c>
      <c r="AS398" s="185">
        <f>TablaPrincipal[[#This Row],[LIBRAS PLANTA]]-TablaPrincipal[[#This Row],[LIBRAS CAMARONERA]]</f>
        <v>861</v>
      </c>
      <c r="AT398" s="187">
        <f>TablaPrincipal[[#This Row],[GRAMAJE RALEO PLANTA]]-TablaPrincipal[[#This Row],[GRAMAJE RALEO CAMARONERA]]</f>
        <v>0.89333333333333442</v>
      </c>
      <c r="AU398" s="187">
        <f>TablaPrincipal[[#This Row],[GRAMOS PLANTA]]-TablaPrincipal[[#This Row],[GRAMAJE CAMARONERA]]</f>
        <v>0</v>
      </c>
      <c r="AV398" s="183" t="str">
        <f>+VLOOKUP(TablaPrincipal[[#This Row],[CODIGO]],TablaCosechas[#All],10,0)</f>
        <v>JOSE CEDEÑO</v>
      </c>
      <c r="AW398" s="183" t="s">
        <v>216</v>
      </c>
      <c r="AX398" s="241" t="str">
        <f>+VLOOKUP(TablaPrincipal[[#This Row],[CODIGO]],TablaCosechas[#All],10,0)</f>
        <v>JOSE CEDEÑO</v>
      </c>
    </row>
    <row r="399" spans="1:50" x14ac:dyDescent="0.25">
      <c r="A399" s="196">
        <v>46161</v>
      </c>
      <c r="B399" s="242">
        <v>397</v>
      </c>
      <c r="C399" s="183">
        <f>YEAR(TablaPrincipal[[#This Row],[FECHA]])</f>
        <v>2026</v>
      </c>
      <c r="D399" s="183" t="s">
        <v>347</v>
      </c>
      <c r="E399" s="183" t="str">
        <f>UPPER(TEXT(TablaPrincipal[[#This Row],[FECHA]],"MMMM"))</f>
        <v>MAYO</v>
      </c>
      <c r="F399" s="183" t="str">
        <f>IFERROR(VLOOKUP(TablaPrincipal[[#This Row],[CODIGO]],COSECHAS!A:J,9,0),"-")</f>
        <v>05</v>
      </c>
      <c r="G399" s="183" t="str">
        <f>IFERROR(VLOOKUP(TablaPrincipal[[#This Row],[CODIGO]],COSECHAS!A:I,8,0),"-")</f>
        <v>MERO</v>
      </c>
      <c r="H399" s="184">
        <f>IFERROR(VLOOKUP(TablaPrincipal[[#This Row],[CODIGO]],DATOS!A:B,2,0),"-")</f>
        <v>3.47</v>
      </c>
      <c r="I399" s="183" t="str">
        <f>IFERROR(VLOOKUP(TablaPrincipal[[#This Row],[CODIGO]],Tabla8[[#Headers],[#Data]],3,0),"-")</f>
        <v>CONVENCIONAL</v>
      </c>
      <c r="J399" s="183">
        <f>IFERROR(TablaPrincipal[[#This Row],[FECHA]]-TablaPrincipal[[#This Row],[FECHA DE SIEMBRA]],"-")</f>
        <v>56</v>
      </c>
      <c r="K399" s="196">
        <f>VLOOKUP(TablaPrincipal[[#This Row],[CODIGO]]&amp;TablaPrincipal[[#This Row],[AGUAJE ]],Tabla4[#All],4,0)</f>
        <v>46105</v>
      </c>
      <c r="L399" s="183" t="str">
        <f>VLOOKUP(TablaPrincipal[[#This Row],[CODIGO]]&amp;TablaPrincipal[[#This Row],[AGUAJE ]],Tabla4[#All],15,0)</f>
        <v>ME PC 06</v>
      </c>
      <c r="M399" s="184">
        <f>VLOOKUP(TablaPrincipal[[#This Row],[CODIGO]]&amp;TablaPrincipal[[#This Row],[AGUAJE ]],Tabla4[#All],14,0)</f>
        <v>5</v>
      </c>
      <c r="N399" s="183">
        <v>4</v>
      </c>
      <c r="O399" s="170">
        <f>VLOOKUP(TablaPrincipal[[#This Row],[CODIGO]]&amp;TablaPrincipal[[#This Row],[AGUAJE ]],Tabla4[#All],5,0)</f>
        <v>416400</v>
      </c>
      <c r="P399" s="221">
        <f>IFERROR(TablaPrincipal[[#This Row],[ANIM SEMBRADOS]]/TablaPrincipal[[#This Row],[HAS]],"-")</f>
        <v>120000</v>
      </c>
      <c r="Q399" s="222">
        <f>IFERROR(TablaPrincipal[[#This Row],[DENSIDAD]]/10000,"-")</f>
        <v>12</v>
      </c>
      <c r="R399" s="183" t="str">
        <f>VLOOKUP(TablaPrincipal[[#This Row],[CODIGO]]&amp;TablaPrincipal[[#This Row],[AGUAJE ]],Tabla4[#All],8,0)</f>
        <v>PRONAUPLIO</v>
      </c>
      <c r="S399" s="183" t="str">
        <f>VLOOKUP(TablaPrincipal[[#This Row],[CODIGO]]&amp;TablaPrincipal[[#This Row],[AGUAJE ]],Tabla4[#All],7,0)</f>
        <v>SEMACUA</v>
      </c>
      <c r="T399" s="183" t="str">
        <f>IF(ISNUMBER(FIND("/",TablaPrincipal[[#This Row],[LABORATORIO]])),"COMBINADO","UNICO")</f>
        <v>UNICO</v>
      </c>
      <c r="U3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3000</v>
      </c>
      <c r="V39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2818.9</v>
      </c>
      <c r="W39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39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23.76</v>
      </c>
      <c r="Y399" s="185">
        <f>IFERROR(TablaPrincipal[[#This Row],[LIBRAS RALEO PLANTA]]/TablaPrincipal[[#This Row],[HAS]],"-")</f>
        <v>812.36311239193083</v>
      </c>
      <c r="Z39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53862.819865319863</v>
      </c>
      <c r="AA39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14650</v>
      </c>
      <c r="AB39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14650</v>
      </c>
      <c r="AC399" s="186">
        <f>SUMIFS(COSECHAS!F:F,COSECHAS!A:A,'BASE 2026'!AW:AW,COSECHAS!G:G,"="&amp;A:A)</f>
        <v>31</v>
      </c>
      <c r="AD399" s="186">
        <f>SUMIFS(COSECHAS!M:M,COSECHAS!A:A,'BASE 2026'!AW:AW,COSECHAS!G:G,"="&amp;A:A)</f>
        <v>31</v>
      </c>
      <c r="AE399" s="185">
        <f>IFERROR(TablaPrincipal[[#This Row],[LIBRAS PLANTA]]/TablaPrincipal[[#This Row],[HAS]],"-")</f>
        <v>4221.9020172910659</v>
      </c>
      <c r="AF399" s="185">
        <f>IFERROR(TablaPrincipal[[#This Row],[LIBRAS PLANTA]]*454/TablaPrincipal[[#This Row],[GRAMOS PLANTA]],"-")</f>
        <v>214551.61290322582</v>
      </c>
      <c r="AG399" s="185">
        <f>TablaPrincipal[[#This Row],[LIBRAS RALEO PLANTA]]+TablaPrincipal[[#This Row],[LIBRAS PLANTA]]</f>
        <v>17468.900000000001</v>
      </c>
      <c r="AH399" s="185">
        <f>IFERROR(TablaPrincipal[[#This Row],[CAM COSECHADOS RALEO]]+TablaPrincipal[[#This Row],[CAM COSECHADOS]],"-")</f>
        <v>268414.4327685457</v>
      </c>
      <c r="AI399" s="185">
        <f>IFERROR((TablaPrincipal[[#This Row],[LIBRAS RALEO PLANTA]]+TablaPrincipal[[#This Row],[LIBRAS PLANTA]])/TablaPrincipal[[#This Row],[HAS]],"0")</f>
        <v>5034.2651296829972</v>
      </c>
      <c r="AJ399" s="186">
        <f t="shared" si="15"/>
        <v>3.875</v>
      </c>
      <c r="AK399" s="186">
        <f>IFERROR(TablaPrincipal[[#This Row],[LBS/HA]]/TablaPrincipal[[#This Row],[DIAS]],"-")</f>
        <v>89.897591601482091</v>
      </c>
      <c r="AL399" s="186">
        <f>IFERROR(TablaPrincipal[[#This Row],[CAM COSECHADOS TOTALES]]/TablaPrincipal[[#This Row],[ANIM SEMBRADOS]]*100,"-")</f>
        <v>64.460718724434614</v>
      </c>
      <c r="AM399" s="185">
        <v>23368.76</v>
      </c>
      <c r="AN399" s="187">
        <f>IFERROR(((TablaPrincipal[[#This Row],[BALANCEADO ACUMULADO (LBS)]]/2.2046)/TablaPrincipal[[#This Row],[HAS]])/TablaPrincipal[[#This Row],[DIAS]],"-")</f>
        <v>54.549197200494014</v>
      </c>
      <c r="AO399" s="184">
        <f>IFERROR(TablaPrincipal[[#This Row],[BALANCEADO ACUMULADO (LBS)]]/TablaPrincipal[[#This Row],[LIBRAS TOTALES]],"-")</f>
        <v>1.3377350605933973</v>
      </c>
      <c r="AP399" s="184"/>
      <c r="AQ399" s="184"/>
      <c r="AR399" s="185">
        <f>TablaPrincipal[[#This Row],[LIBRAS RALEO PLANTA]]-TablaPrincipal[[#This Row],[LIBRAS RALEO CAMARONERA]]</f>
        <v>-181.09999999999991</v>
      </c>
      <c r="AS399" s="185">
        <f>TablaPrincipal[[#This Row],[LIBRAS PLANTA]]-TablaPrincipal[[#This Row],[LIBRAS CAMARONERA]]</f>
        <v>0</v>
      </c>
      <c r="AT399" s="187">
        <f>TablaPrincipal[[#This Row],[GRAMAJE RALEO PLANTA]]-TablaPrincipal[[#This Row],[GRAMAJE RALEO CAMARONERA]]</f>
        <v>2.7600000000000016</v>
      </c>
      <c r="AU399" s="187">
        <f>TablaPrincipal[[#This Row],[GRAMOS PLANTA]]-TablaPrincipal[[#This Row],[GRAMAJE CAMARONERA]]</f>
        <v>0</v>
      </c>
      <c r="AV399" s="183" t="str">
        <f>+VLOOKUP(TablaPrincipal[[#This Row],[CODIGO]],TablaCosechas[#All],10,0)</f>
        <v>NESTOR MOGOLLON</v>
      </c>
      <c r="AW399" s="183" t="s">
        <v>290</v>
      </c>
      <c r="AX399" s="241" t="str">
        <f>+VLOOKUP(TablaPrincipal[[#This Row],[CODIGO]],TablaCosechas[#All],10,0)</f>
        <v>NESTOR MOGOLLON</v>
      </c>
    </row>
    <row r="400" spans="1:50" x14ac:dyDescent="0.25">
      <c r="A400" s="196">
        <v>46161</v>
      </c>
      <c r="B400" s="242">
        <v>398</v>
      </c>
      <c r="C400" s="183">
        <f>YEAR(TablaPrincipal[[#This Row],[FECHA]])</f>
        <v>2026</v>
      </c>
      <c r="D400" s="183" t="s">
        <v>347</v>
      </c>
      <c r="E400" s="183" t="str">
        <f>UPPER(TEXT(TablaPrincipal[[#This Row],[FECHA]],"MMMM"))</f>
        <v>MAYO</v>
      </c>
      <c r="F400" s="183" t="str">
        <f>IFERROR(VLOOKUP(TablaPrincipal[[#This Row],[CODIGO]],COSECHAS!A:J,9,0),"-")</f>
        <v>06</v>
      </c>
      <c r="G400" s="183" t="str">
        <f>IFERROR(VLOOKUP(TablaPrincipal[[#This Row],[CODIGO]],COSECHAS!A:I,8,0),"-")</f>
        <v>TUNA</v>
      </c>
      <c r="H400" s="184">
        <f>IFERROR(VLOOKUP(TablaPrincipal[[#This Row],[CODIGO]],DATOS!A:B,2,0),"-")</f>
        <v>5</v>
      </c>
      <c r="I400" s="183" t="str">
        <f>IFERROR(VLOOKUP(TablaPrincipal[[#This Row],[CODIGO]],Tabla8[[#Headers],[#Data]],3,0),"-")</f>
        <v>ASC-BAP</v>
      </c>
      <c r="J400" s="183">
        <f>IFERROR(TablaPrincipal[[#This Row],[FECHA]]-TablaPrincipal[[#This Row],[FECHA DE SIEMBRA]],"-")</f>
        <v>86</v>
      </c>
      <c r="K400" s="196">
        <f>VLOOKUP(TablaPrincipal[[#This Row],[CODIGO]]&amp;TablaPrincipal[[#This Row],[AGUAJE ]],Tabla4[#All],4,0)</f>
        <v>46075</v>
      </c>
      <c r="L400" s="183" t="str">
        <f>VLOOKUP(TablaPrincipal[[#This Row],[CODIGO]]&amp;TablaPrincipal[[#This Row],[AGUAJE ]],Tabla4[#All],15,0)</f>
        <v>TU PC 7</v>
      </c>
      <c r="M400" s="184">
        <f>VLOOKUP(TablaPrincipal[[#This Row],[CODIGO]]&amp;TablaPrincipal[[#This Row],[AGUAJE ]],Tabla4[#All],14,0)</f>
        <v>0.4</v>
      </c>
      <c r="N400" s="183">
        <v>11</v>
      </c>
      <c r="O400" s="170">
        <f>VLOOKUP(TablaPrincipal[[#This Row],[CODIGO]]&amp;TablaPrincipal[[#This Row],[AGUAJE ]],Tabla4[#All],5,0)</f>
        <v>900000</v>
      </c>
      <c r="P400" s="221">
        <f>IFERROR(TablaPrincipal[[#This Row],[ANIM SEMBRADOS]]/TablaPrincipal[[#This Row],[HAS]],"-")</f>
        <v>180000</v>
      </c>
      <c r="Q400" s="222">
        <f>IFERROR(TablaPrincipal[[#This Row],[DENSIDAD]]/10000,"-")</f>
        <v>18</v>
      </c>
      <c r="R400" s="183" t="str">
        <f>VLOOKUP(TablaPrincipal[[#This Row],[CODIGO]]&amp;TablaPrincipal[[#This Row],[AGUAJE ]],Tabla4[#All],8,0)</f>
        <v>EMPAGRAN</v>
      </c>
      <c r="S400" s="183" t="str">
        <f>VLOOKUP(TablaPrincipal[[#This Row],[CODIGO]]&amp;TablaPrincipal[[#This Row],[AGUAJE ]],Tabla4[#All],7,0)</f>
        <v>EMPAGRAN</v>
      </c>
      <c r="T400" s="183" t="str">
        <f>IF(ISNUMBER(FIND("/",TablaPrincipal[[#This Row],[LABORATORIO]])),"COMBINADO","UNICO")</f>
        <v>UNICO</v>
      </c>
      <c r="U4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19850</v>
      </c>
      <c r="V40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20169.05</v>
      </c>
      <c r="W40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18.833333333333332</v>
      </c>
      <c r="X40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21.406666666666666</v>
      </c>
      <c r="Y400" s="185">
        <f>IFERROR(TablaPrincipal[[#This Row],[LIBRAS RALEO PLANTA]]/TablaPrincipal[[#This Row],[HAS]],"-")</f>
        <v>4033.81</v>
      </c>
      <c r="Z40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434094.18976261187</v>
      </c>
      <c r="AA40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B40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20500</v>
      </c>
      <c r="AC400" s="186">
        <f>SUMIFS(COSECHAS!F:F,COSECHAS!A:A,'BASE 2026'!AW:AW,COSECHAS!G:G,"="&amp;A:A)</f>
        <v>29.5</v>
      </c>
      <c r="AD400" s="186">
        <f>SUMIFS(COSECHAS!M:M,COSECHAS!A:A,'BASE 2026'!AW:AW,COSECHAS!G:G,"="&amp;A:A)</f>
        <v>29.5</v>
      </c>
      <c r="AE400" s="185">
        <f>IFERROR(TablaPrincipal[[#This Row],[LIBRAS PLANTA]]/TablaPrincipal[[#This Row],[HAS]],"-")</f>
        <v>4100</v>
      </c>
      <c r="AF400" s="185">
        <f>IFERROR(TablaPrincipal[[#This Row],[LIBRAS PLANTA]]*454/TablaPrincipal[[#This Row],[GRAMOS PLANTA]],"-")</f>
        <v>315491.5254237288</v>
      </c>
      <c r="AG400" s="185">
        <f>TablaPrincipal[[#This Row],[LIBRAS RALEO PLANTA]]+TablaPrincipal[[#This Row],[LIBRAS PLANTA]]</f>
        <v>40669.050000000003</v>
      </c>
      <c r="AH400" s="185">
        <f>IFERROR(TablaPrincipal[[#This Row],[CAM COSECHADOS RALEO]]+TablaPrincipal[[#This Row],[CAM COSECHADOS]],"-")</f>
        <v>749585.71518634073</v>
      </c>
      <c r="AI400" s="185">
        <f>IFERROR((TablaPrincipal[[#This Row],[LIBRAS RALEO PLANTA]]+TablaPrincipal[[#This Row],[LIBRAS PLANTA]])/TablaPrincipal[[#This Row],[HAS]],"0")</f>
        <v>8133.81</v>
      </c>
      <c r="AJ400" s="186">
        <f t="shared" si="15"/>
        <v>2.4011627906976742</v>
      </c>
      <c r="AK400" s="186">
        <f>IFERROR(TablaPrincipal[[#This Row],[LBS/HA]]/TablaPrincipal[[#This Row],[DIAS]],"-")</f>
        <v>94.579186046511637</v>
      </c>
      <c r="AL400" s="186">
        <f>IFERROR(TablaPrincipal[[#This Row],[CAM COSECHADOS TOTALES]]/TablaPrincipal[[#This Row],[ANIM SEMBRADOS]]*100,"-")</f>
        <v>83.287301687371198</v>
      </c>
      <c r="AM400" s="185">
        <v>56768.45</v>
      </c>
      <c r="AN400" s="187">
        <f>IFERROR(((TablaPrincipal[[#This Row],[BALANCEADO ACUMULADO (LBS)]]/2.2046)/TablaPrincipal[[#This Row],[HAS]])/TablaPrincipal[[#This Row],[DIAS]],"-")</f>
        <v>59.883720930232549</v>
      </c>
      <c r="AO400" s="184">
        <f>IFERROR(TablaPrincipal[[#This Row],[BALANCEADO ACUMULADO (LBS)]]/TablaPrincipal[[#This Row],[LIBRAS TOTALES]],"-")</f>
        <v>1.3958636850381307</v>
      </c>
      <c r="AP400" s="184"/>
      <c r="AQ400" s="184"/>
      <c r="AR400" s="185">
        <f>TablaPrincipal[[#This Row],[LIBRAS RALEO PLANTA]]-TablaPrincipal[[#This Row],[LIBRAS RALEO CAMARONERA]]</f>
        <v>319.04999999999927</v>
      </c>
      <c r="AS400" s="185">
        <f>TablaPrincipal[[#This Row],[LIBRAS PLANTA]]-TablaPrincipal[[#This Row],[LIBRAS CAMARONERA]]</f>
        <v>0</v>
      </c>
      <c r="AT400" s="187">
        <f>TablaPrincipal[[#This Row],[GRAMAJE RALEO PLANTA]]-TablaPrincipal[[#This Row],[GRAMAJE RALEO CAMARONERA]]</f>
        <v>2.5733333333333341</v>
      </c>
      <c r="AU400" s="187">
        <f>TablaPrincipal[[#This Row],[GRAMOS PLANTA]]-TablaPrincipal[[#This Row],[GRAMAJE CAMARONERA]]</f>
        <v>0</v>
      </c>
      <c r="AV400" s="183" t="str">
        <f>+VLOOKUP(TablaPrincipal[[#This Row],[CODIGO]],TablaCosechas[#All],10,0)</f>
        <v>GUSTAVO CARRASCO</v>
      </c>
      <c r="AW400" s="183" t="s">
        <v>218</v>
      </c>
      <c r="AX400" s="241" t="str">
        <f>+VLOOKUP(TablaPrincipal[[#This Row],[CODIGO]],TablaCosechas[#All],10,0)</f>
        <v>GUSTAVO CARRASCO</v>
      </c>
    </row>
    <row r="401" spans="1:50" x14ac:dyDescent="0.25">
      <c r="A401" s="196">
        <v>46161</v>
      </c>
      <c r="B401" s="242">
        <v>399</v>
      </c>
      <c r="C401" s="183">
        <f>YEAR(TablaPrincipal[[#This Row],[FECHA]])</f>
        <v>2026</v>
      </c>
      <c r="D401" s="183" t="s">
        <v>347</v>
      </c>
      <c r="E401" s="183" t="str">
        <f>UPPER(TEXT(TablaPrincipal[[#This Row],[FECHA]],"MMMM"))</f>
        <v>MAYO</v>
      </c>
      <c r="F401" s="183" t="str">
        <f>IFERROR(VLOOKUP(TablaPrincipal[[#This Row],[CODIGO]],COSECHAS!A:J,9,0),"-")</f>
        <v>31</v>
      </c>
      <c r="G401" s="183" t="str">
        <f>IFERROR(VLOOKUP(TablaPrincipal[[#This Row],[CODIGO]],COSECHAS!A:I,8,0),"-")</f>
        <v>WAHOO</v>
      </c>
      <c r="H401" s="184">
        <f>IFERROR(VLOOKUP(TablaPrincipal[[#This Row],[CODIGO]],DATOS!A:B,2,0),"-")</f>
        <v>5</v>
      </c>
      <c r="I401" s="183" t="str">
        <f>IFERROR(VLOOKUP(TablaPrincipal[[#This Row],[CODIGO]],Tabla8[[#Headers],[#Data]],3,0),"-")</f>
        <v>CONVENCIONAL</v>
      </c>
      <c r="J401" s="183">
        <f>IFERROR(TablaPrincipal[[#This Row],[FECHA]]-TablaPrincipal[[#This Row],[FECHA DE SIEMBRA]],"-")</f>
        <v>94</v>
      </c>
      <c r="K401" s="196">
        <f>VLOOKUP(TablaPrincipal[[#This Row],[CODIGO]]&amp;TablaPrincipal[[#This Row],[AGUAJE ]],Tabla4[#All],4,0)</f>
        <v>46067</v>
      </c>
      <c r="L401" s="183" t="str">
        <f>VLOOKUP(TablaPrincipal[[#This Row],[CODIGO]]&amp;TablaPrincipal[[#This Row],[AGUAJE ]],Tabla4[#All],15,0)</f>
        <v>WA 12</v>
      </c>
      <c r="M401" s="184">
        <f>VLOOKUP(TablaPrincipal[[#This Row],[CODIGO]]&amp;TablaPrincipal[[#This Row],[AGUAJE ]],Tabla4[#All],14,0)</f>
        <v>0.5</v>
      </c>
      <c r="N401" s="183" t="s">
        <v>116</v>
      </c>
      <c r="O401" s="170">
        <f>VLOOKUP(TablaPrincipal[[#This Row],[CODIGO]]&amp;TablaPrincipal[[#This Row],[AGUAJE ]],Tabla4[#All],5,0)</f>
        <v>875000</v>
      </c>
      <c r="P401" s="221">
        <f>IFERROR(TablaPrincipal[[#This Row],[ANIM SEMBRADOS]]/TablaPrincipal[[#This Row],[HAS]],"-")</f>
        <v>175000</v>
      </c>
      <c r="Q401" s="222">
        <f>IFERROR(TablaPrincipal[[#This Row],[DENSIDAD]]/10000,"-")</f>
        <v>17.5</v>
      </c>
      <c r="R401" s="183" t="str">
        <f>VLOOKUP(TablaPrincipal[[#This Row],[CODIGO]]&amp;TablaPrincipal[[#This Row],[AGUAJE ]],Tabla4[#All],8,0)</f>
        <v>TECSERV</v>
      </c>
      <c r="S401" s="183" t="str">
        <f>VLOOKUP(TablaPrincipal[[#This Row],[CODIGO]]&amp;TablaPrincipal[[#This Row],[AGUAJE ]],Tabla4[#All],7,0)</f>
        <v>EMPAGRAN</v>
      </c>
      <c r="T401" s="183" t="str">
        <f>IF(ISNUMBER(FIND("/",TablaPrincipal[[#This Row],[LABORATORIO]])),"COMBINADO","UNICO")</f>
        <v>UNICO</v>
      </c>
      <c r="U4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7000</v>
      </c>
      <c r="V40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7772.25</v>
      </c>
      <c r="W40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0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21.7</v>
      </c>
      <c r="Y401" s="185">
        <f>IFERROR(TablaPrincipal[[#This Row],[LIBRAS RALEO PLANTA]]/TablaPrincipal[[#This Row],[HAS]],"-")</f>
        <v>1554.45</v>
      </c>
      <c r="Z40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162608.36405529955</v>
      </c>
      <c r="AA40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16900</v>
      </c>
      <c r="AB40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16900</v>
      </c>
      <c r="AC401" s="186">
        <f>SUMIFS(COSECHAS!F:F,COSECHAS!A:A,'BASE 2026'!AW:AW,COSECHAS!G:G,"="&amp;A:A)</f>
        <v>31</v>
      </c>
      <c r="AD401" s="186">
        <f>SUMIFS(COSECHAS!M:M,COSECHAS!A:A,'BASE 2026'!AW:AW,COSECHAS!G:G,"="&amp;A:A)</f>
        <v>31</v>
      </c>
      <c r="AE401" s="185">
        <f>IFERROR(TablaPrincipal[[#This Row],[LIBRAS PLANTA]]/TablaPrincipal[[#This Row],[HAS]],"-")</f>
        <v>3380</v>
      </c>
      <c r="AF401" s="185">
        <f>IFERROR(TablaPrincipal[[#This Row],[LIBRAS PLANTA]]*454/TablaPrincipal[[#This Row],[GRAMOS PLANTA]],"-")</f>
        <v>247503.22580645161</v>
      </c>
      <c r="AG401" s="185">
        <f>TablaPrincipal[[#This Row],[LIBRAS RALEO PLANTA]]+TablaPrincipal[[#This Row],[LIBRAS PLANTA]]</f>
        <v>24672.25</v>
      </c>
      <c r="AH401" s="185">
        <f>IFERROR(TablaPrincipal[[#This Row],[CAM COSECHADOS RALEO]]+TablaPrincipal[[#This Row],[CAM COSECHADOS]],"-")</f>
        <v>410111.58986175118</v>
      </c>
      <c r="AI401" s="185">
        <f>IFERROR((TablaPrincipal[[#This Row],[LIBRAS RALEO PLANTA]]+TablaPrincipal[[#This Row],[LIBRAS PLANTA]])/TablaPrincipal[[#This Row],[HAS]],"0")</f>
        <v>4934.45</v>
      </c>
      <c r="AJ401" s="186">
        <f t="shared" si="15"/>
        <v>2.3085106382978724</v>
      </c>
      <c r="AK401" s="186">
        <f>IFERROR(TablaPrincipal[[#This Row],[LBS/HA]]/TablaPrincipal[[#This Row],[DIAS]],"-")</f>
        <v>52.494148936170212</v>
      </c>
      <c r="AL401" s="186">
        <f>IFERROR(TablaPrincipal[[#This Row],[CAM COSECHADOS TOTALES]]/TablaPrincipal[[#This Row],[ANIM SEMBRADOS]]*100,"-")</f>
        <v>46.869895984200134</v>
      </c>
      <c r="AM401" s="185">
        <v>47358</v>
      </c>
      <c r="AN401" s="187">
        <f>IFERROR(((TablaPrincipal[[#This Row],[BALANCEADO ACUMULADO (LBS)]]/2.2046)/TablaPrincipal[[#This Row],[HAS]])/TablaPrincipal[[#This Row],[DIAS]],"-")</f>
        <v>45.705208258940196</v>
      </c>
      <c r="AO401" s="184">
        <f>IFERROR(TablaPrincipal[[#This Row],[BALANCEADO ACUMULADO (LBS)]]/TablaPrincipal[[#This Row],[LIBRAS TOTALES]],"-")</f>
        <v>1.9194844410217957</v>
      </c>
      <c r="AP401" s="184"/>
      <c r="AQ401" s="184"/>
      <c r="AR401" s="185">
        <f>TablaPrincipal[[#This Row],[LIBRAS RALEO PLANTA]]-TablaPrincipal[[#This Row],[LIBRAS RALEO CAMARONERA]]</f>
        <v>772.25</v>
      </c>
      <c r="AS401" s="185">
        <f>TablaPrincipal[[#This Row],[LIBRAS PLANTA]]-TablaPrincipal[[#This Row],[LIBRAS CAMARONERA]]</f>
        <v>0</v>
      </c>
      <c r="AT401" s="187">
        <f>TablaPrincipal[[#This Row],[GRAMAJE RALEO PLANTA]]-TablaPrincipal[[#This Row],[GRAMAJE RALEO CAMARONERA]]</f>
        <v>0.69999999999999929</v>
      </c>
      <c r="AU401" s="187">
        <f>TablaPrincipal[[#This Row],[GRAMOS PLANTA]]-TablaPrincipal[[#This Row],[GRAMAJE CAMARONERA]]</f>
        <v>0</v>
      </c>
      <c r="AV401" s="183" t="str">
        <f>+VLOOKUP(TablaPrincipal[[#This Row],[CODIGO]],TablaCosechas[#All],10,0)</f>
        <v>JUNIOR ESQUIVEL</v>
      </c>
      <c r="AW401" s="183" t="s">
        <v>351</v>
      </c>
      <c r="AX401" s="241" t="str">
        <f>+VLOOKUP(TablaPrincipal[[#This Row],[CODIGO]],TablaCosechas[#All],10,0)</f>
        <v>JUNIOR ESQUIVEL</v>
      </c>
    </row>
    <row r="402" spans="1:50" x14ac:dyDescent="0.25">
      <c r="A402" s="196">
        <v>46161</v>
      </c>
      <c r="B402" s="242">
        <v>400</v>
      </c>
      <c r="C402" s="183">
        <f>YEAR(TablaPrincipal[[#This Row],[FECHA]])</f>
        <v>2026</v>
      </c>
      <c r="D402" s="183" t="s">
        <v>347</v>
      </c>
      <c r="E402" s="183" t="str">
        <f>UPPER(TEXT(TablaPrincipal[[#This Row],[FECHA]],"MMMM"))</f>
        <v>MAYO</v>
      </c>
      <c r="F402" s="183" t="str">
        <f>IFERROR(VLOOKUP(TablaPrincipal[[#This Row],[CODIGO]],COSECHAS!A:J,9,0),"-")</f>
        <v>13</v>
      </c>
      <c r="G402" s="183" t="str">
        <f>IFERROR(VLOOKUP(TablaPrincipal[[#This Row],[CODIGO]],COSECHAS!A:I,8,0),"-")</f>
        <v>WAHOO</v>
      </c>
      <c r="H402" s="184">
        <f>IFERROR(VLOOKUP(TablaPrincipal[[#This Row],[CODIGO]],DATOS!A:B,2,0),"-")</f>
        <v>9</v>
      </c>
      <c r="I402" s="183" t="str">
        <f>IFERROR(VLOOKUP(TablaPrincipal[[#This Row],[CODIGO]],Tabla8[[#Headers],[#Data]],3,0),"-")</f>
        <v>CONVENCIONAL</v>
      </c>
      <c r="J402" s="183">
        <f>IFERROR(TablaPrincipal[[#This Row],[FECHA]]-TablaPrincipal[[#This Row],[FECHA DE SIEMBRA]],"-")</f>
        <v>87</v>
      </c>
      <c r="K402" s="196">
        <f>VLOOKUP(TablaPrincipal[[#This Row],[CODIGO]]&amp;TablaPrincipal[[#This Row],[AGUAJE ]],Tabla4[#All],4,0)</f>
        <v>46074</v>
      </c>
      <c r="L402" s="183" t="str">
        <f>VLOOKUP(TablaPrincipal[[#This Row],[CODIGO]]&amp;TablaPrincipal[[#This Row],[AGUAJE ]],Tabla4[#All],15,0)</f>
        <v>WA PS9</v>
      </c>
      <c r="M402" s="184">
        <f>VLOOKUP(TablaPrincipal[[#This Row],[CODIGO]]&amp;TablaPrincipal[[#This Row],[AGUAJE ]],Tabla4[#All],14,0)</f>
        <v>0.6</v>
      </c>
      <c r="N402" s="183">
        <v>11</v>
      </c>
      <c r="O402" s="170">
        <f>VLOOKUP(TablaPrincipal[[#This Row],[CODIGO]]&amp;TablaPrincipal[[#This Row],[AGUAJE ]],Tabla4[#All],5,0)</f>
        <v>1647000</v>
      </c>
      <c r="P402" s="221">
        <f>IFERROR(TablaPrincipal[[#This Row],[ANIM SEMBRADOS]]/TablaPrincipal[[#This Row],[HAS]],"-")</f>
        <v>183000</v>
      </c>
      <c r="Q402" s="222">
        <f>IFERROR(TablaPrincipal[[#This Row],[DENSIDAD]]/10000,"-")</f>
        <v>18.3</v>
      </c>
      <c r="R402" s="183" t="str">
        <f>VLOOKUP(TablaPrincipal[[#This Row],[CODIGO]]&amp;TablaPrincipal[[#This Row],[AGUAJE ]],Tabla4[#All],8,0)</f>
        <v>LARVASLAB</v>
      </c>
      <c r="S402" s="183" t="str">
        <f>VLOOKUP(TablaPrincipal[[#This Row],[CODIGO]]&amp;TablaPrincipal[[#This Row],[AGUAJE ]],Tabla4[#All],7,0)</f>
        <v>TEXCUMAR</v>
      </c>
      <c r="T402" s="183" t="str">
        <f>IF(ISNUMBER(FIND("/",TablaPrincipal[[#This Row],[LABORATORIO]])),"COMBINADO","UNICO")</f>
        <v>UNICO</v>
      </c>
      <c r="U4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402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02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X402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30</v>
      </c>
      <c r="Y402" s="185">
        <f>IFERROR(TablaPrincipal[[#This Row],[LIBRAS RALEO PLANTA]]/TablaPrincipal[[#This Row],[HAS]],"-")</f>
        <v>0</v>
      </c>
      <c r="Z402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0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B40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27000</v>
      </c>
      <c r="AC402" s="186">
        <f>SUMIFS(COSECHAS!F:F,COSECHAS!A:A,'BASE 2026'!AW:AW,COSECHAS!G:G,"="&amp;A:A)</f>
        <v>30</v>
      </c>
      <c r="AD402" s="186">
        <f>SUMIFS(COSECHAS!M:M,COSECHAS!A:A,'BASE 2026'!AW:AW,COSECHAS!G:G,"="&amp;A:A)</f>
        <v>30</v>
      </c>
      <c r="AE402" s="185">
        <f>IFERROR(TablaPrincipal[[#This Row],[LIBRAS PLANTA]]/TablaPrincipal[[#This Row],[HAS]],"-")</f>
        <v>3000</v>
      </c>
      <c r="AF402" s="185">
        <f>IFERROR(TablaPrincipal[[#This Row],[LIBRAS PLANTA]]*454/TablaPrincipal[[#This Row],[GRAMOS PLANTA]],"-")</f>
        <v>408600</v>
      </c>
      <c r="AG402" s="185">
        <f>TablaPrincipal[[#This Row],[LIBRAS RALEO PLANTA]]+TablaPrincipal[[#This Row],[LIBRAS PLANTA]]</f>
        <v>27000</v>
      </c>
      <c r="AH402" s="185">
        <f>IFERROR(TablaPrincipal[[#This Row],[CAM COSECHADOS RALEO]]+TablaPrincipal[[#This Row],[CAM COSECHADOS]],"-")</f>
        <v>408600</v>
      </c>
      <c r="AI402" s="185">
        <f>IFERROR((TablaPrincipal[[#This Row],[LIBRAS RALEO PLANTA]]+TablaPrincipal[[#This Row],[LIBRAS PLANTA]])/TablaPrincipal[[#This Row],[HAS]],"0")</f>
        <v>3000</v>
      </c>
      <c r="AJ402" s="186">
        <f t="shared" si="15"/>
        <v>2.4137931034482758</v>
      </c>
      <c r="AK402" s="186">
        <f>IFERROR(TablaPrincipal[[#This Row],[LBS/HA]]/TablaPrincipal[[#This Row],[DIAS]],"-")</f>
        <v>34.482758620689658</v>
      </c>
      <c r="AL402" s="186">
        <f>IFERROR(TablaPrincipal[[#This Row],[CAM COSECHADOS TOTALES]]/TablaPrincipal[[#This Row],[ANIM SEMBRADOS]]*100,"-")</f>
        <v>24.808743169398905</v>
      </c>
      <c r="AM402" s="185">
        <v>60894</v>
      </c>
      <c r="AN402" s="187">
        <f>IFERROR(((TablaPrincipal[[#This Row],[BALANCEADO ACUMULADO (LBS)]]/2.2046)/TablaPrincipal[[#This Row],[HAS]])/TablaPrincipal[[#This Row],[DIAS]],"-")</f>
        <v>35.276292725450752</v>
      </c>
      <c r="AO402" s="184">
        <f>IFERROR(TablaPrincipal[[#This Row],[BALANCEADO ACUMULADO (LBS)]]/TablaPrincipal[[#This Row],[LIBRAS TOTALES]],"-")</f>
        <v>2.2553333333333332</v>
      </c>
      <c r="AP402" s="184"/>
      <c r="AQ402" s="184"/>
      <c r="AR402" s="185">
        <f>TablaPrincipal[[#This Row],[LIBRAS RALEO PLANTA]]-TablaPrincipal[[#This Row],[LIBRAS RALEO CAMARONERA]]</f>
        <v>0</v>
      </c>
      <c r="AS402" s="185">
        <f>TablaPrincipal[[#This Row],[LIBRAS PLANTA]]-TablaPrincipal[[#This Row],[LIBRAS CAMARONERA]]</f>
        <v>0</v>
      </c>
      <c r="AT402" s="187">
        <f>TablaPrincipal[[#This Row],[GRAMAJE RALEO PLANTA]]-TablaPrincipal[[#This Row],[GRAMAJE RALEO CAMARONERA]]</f>
        <v>0</v>
      </c>
      <c r="AU402" s="187">
        <f>TablaPrincipal[[#This Row],[GRAMOS PLANTA]]-TablaPrincipal[[#This Row],[GRAMAJE CAMARONERA]]</f>
        <v>0</v>
      </c>
      <c r="AV402" s="183" t="str">
        <f>+VLOOKUP(TablaPrincipal[[#This Row],[CODIGO]],TablaCosechas[#All],10,0)</f>
        <v>JUNIOR ESQUIVEL</v>
      </c>
      <c r="AW402" s="183" t="s">
        <v>211</v>
      </c>
      <c r="AX402" s="188" t="str">
        <f>+VLOOKUP(TablaPrincipal[[#This Row],[CODIGO]],TablaCosechas[#All],10,0)</f>
        <v>JUNIOR ESQUIVEL</v>
      </c>
    </row>
    <row r="403" spans="1:50" x14ac:dyDescent="0.25">
      <c r="A403" s="196">
        <v>46162</v>
      </c>
      <c r="B403" s="242">
        <v>401</v>
      </c>
      <c r="C403" s="183">
        <f>YEAR(TablaPrincipal[[#This Row],[FECHA]])</f>
        <v>2026</v>
      </c>
      <c r="D403" s="183" t="s">
        <v>347</v>
      </c>
      <c r="E403" s="183" t="str">
        <f>UPPER(TEXT(TablaPrincipal[[#This Row],[FECHA]],"MMMM"))</f>
        <v>MAYO</v>
      </c>
      <c r="F403" s="183" t="str">
        <f>IFERROR(VLOOKUP(TablaPrincipal[[#This Row],[CODIGO]],COSECHAS!A:J,9,0),"-")</f>
        <v>22</v>
      </c>
      <c r="G403" s="183" t="str">
        <f>IFERROR(VLOOKUP(TablaPrincipal[[#This Row],[CODIGO]],COSECHAS!A:I,8,0),"-")</f>
        <v>CHERNA</v>
      </c>
      <c r="H403" s="184">
        <f>IFERROR(VLOOKUP(TablaPrincipal[[#This Row],[CODIGO]],DATOS!A:B,2,0),"-")</f>
        <v>5.36</v>
      </c>
      <c r="I403" s="183" t="str">
        <f>IFERROR(VLOOKUP(TablaPrincipal[[#This Row],[CODIGO]],Tabla8[[#Headers],[#Data]],3,0),"-")</f>
        <v>ASC</v>
      </c>
      <c r="J403" s="183">
        <f>IFERROR(TablaPrincipal[[#This Row],[FECHA]]-TablaPrincipal[[#This Row],[FECHA DE SIEMBRA]],"-")</f>
        <v>79</v>
      </c>
      <c r="K403" s="196">
        <f>VLOOKUP(TablaPrincipal[[#This Row],[CODIGO]]&amp;TablaPrincipal[[#This Row],[AGUAJE ]],Tabla4[#All],4,0)</f>
        <v>46083</v>
      </c>
      <c r="L403" s="183" t="str">
        <f>VLOOKUP(TablaPrincipal[[#This Row],[CODIGO]]&amp;TablaPrincipal[[#This Row],[AGUAJE ]],Tabla4[#All],15,0)</f>
        <v>CH PC 7</v>
      </c>
      <c r="M403" s="184">
        <f>VLOOKUP(TablaPrincipal[[#This Row],[CODIGO]]&amp;TablaPrincipal[[#This Row],[AGUAJE ]],Tabla4[#All],14,0)</f>
        <v>0.62</v>
      </c>
      <c r="N403" s="183" t="s">
        <v>116</v>
      </c>
      <c r="O403" s="170">
        <f>VLOOKUP(TablaPrincipal[[#This Row],[CODIGO]]&amp;TablaPrincipal[[#This Row],[AGUAJE ]],Tabla4[#All],5,0)</f>
        <v>1018400</v>
      </c>
      <c r="P403" s="221">
        <f>IFERROR(TablaPrincipal[[#This Row],[ANIM SEMBRADOS]]/TablaPrincipal[[#This Row],[HAS]],"-")</f>
        <v>190000</v>
      </c>
      <c r="Q403" s="222">
        <f>IFERROR(TablaPrincipal[[#This Row],[DENSIDAD]]/10000,"-")</f>
        <v>19</v>
      </c>
      <c r="R403" s="183" t="str">
        <f>VLOOKUP(TablaPrincipal[[#This Row],[CODIGO]]&amp;TablaPrincipal[[#This Row],[AGUAJE ]],Tabla4[#All],8,0)</f>
        <v>ACUATECSA</v>
      </c>
      <c r="S403" s="183" t="str">
        <f>VLOOKUP(TablaPrincipal[[#This Row],[CODIGO]]&amp;TablaPrincipal[[#This Row],[AGUAJE ]],Tabla4[#All],7,0)</f>
        <v>TEXCUMAR</v>
      </c>
      <c r="T403" s="183" t="str">
        <f>IF(ISNUMBER(FIND("/",TablaPrincipal[[#This Row],[LABORATORIO]])),"COMBINADO","UNICO")</f>
        <v>UNICO</v>
      </c>
      <c r="U4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403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03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03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03" s="185">
        <f>IFERROR(TablaPrincipal[[#This Row],[LIBRAS RALEO PLANTA]]/TablaPrincipal[[#This Row],[HAS]],"-")</f>
        <v>0</v>
      </c>
      <c r="Z403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0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19250</v>
      </c>
      <c r="AB40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19250</v>
      </c>
      <c r="AC403" s="186">
        <f>SUMIFS(COSECHAS!F:F,COSECHAS!A:A,'BASE 2026'!AW:AW,COSECHAS!G:G,"="&amp;A:A)</f>
        <v>28.5</v>
      </c>
      <c r="AD403" s="186">
        <f>SUMIFS(COSECHAS!M:M,COSECHAS!A:A,'BASE 2026'!AW:AW,COSECHAS!G:G,"="&amp;A:A)</f>
        <v>28.5</v>
      </c>
      <c r="AE403" s="185">
        <f>IFERROR(TablaPrincipal[[#This Row],[LIBRAS PLANTA]]/TablaPrincipal[[#This Row],[HAS]],"-")</f>
        <v>3591.4179104477612</v>
      </c>
      <c r="AF403" s="185">
        <f>IFERROR(TablaPrincipal[[#This Row],[LIBRAS PLANTA]]*454/TablaPrincipal[[#This Row],[GRAMOS PLANTA]],"-")</f>
        <v>306649.12280701753</v>
      </c>
      <c r="AG403" s="185">
        <f>TablaPrincipal[[#This Row],[LIBRAS RALEO PLANTA]]+TablaPrincipal[[#This Row],[LIBRAS PLANTA]]</f>
        <v>19250</v>
      </c>
      <c r="AH403" s="185">
        <f>IFERROR(TablaPrincipal[[#This Row],[CAM COSECHADOS RALEO]]+TablaPrincipal[[#This Row],[CAM COSECHADOS]],"-")</f>
        <v>306649.12280701753</v>
      </c>
      <c r="AI403" s="185">
        <f>IFERROR((TablaPrincipal[[#This Row],[LIBRAS RALEO PLANTA]]+TablaPrincipal[[#This Row],[LIBRAS PLANTA]])/TablaPrincipal[[#This Row],[HAS]],"0")</f>
        <v>3591.4179104477612</v>
      </c>
      <c r="AJ403" s="186">
        <f>IFERROR(AD403/(J403/7),"-")</f>
        <v>2.5253164556962022</v>
      </c>
      <c r="AK403" s="186">
        <f>IFERROR(TablaPrincipal[[#This Row],[LBS/HA]]/TablaPrincipal[[#This Row],[DIAS]],"-")</f>
        <v>45.460986208199508</v>
      </c>
      <c r="AL403" s="186">
        <f>IFERROR(TablaPrincipal[[#This Row],[CAM COSECHADOS TOTALES]]/TablaPrincipal[[#This Row],[ANIM SEMBRADOS]]*100,"-")</f>
        <v>30.110872231639586</v>
      </c>
      <c r="AM403" s="185">
        <v>45521</v>
      </c>
      <c r="AN403" s="187">
        <f>IFERROR(((TablaPrincipal[[#This Row],[BALANCEADO ACUMULADO (LBS)]]/2.2046)/TablaPrincipal[[#This Row],[HAS]])/TablaPrincipal[[#This Row],[DIAS]],"-")</f>
        <v>48.762965586323041</v>
      </c>
      <c r="AO403" s="184">
        <f>IFERROR(TablaPrincipal[[#This Row],[BALANCEADO ACUMULADO (LBS)]]/TablaPrincipal[[#This Row],[LIBRAS TOTALES]],"-")</f>
        <v>2.3647272727272726</v>
      </c>
      <c r="AP403" s="184"/>
      <c r="AQ403" s="184"/>
      <c r="AR403" s="185">
        <f>TablaPrincipal[[#This Row],[LIBRAS RALEO PLANTA]]-TablaPrincipal[[#This Row],[LIBRAS RALEO CAMARONERA]]</f>
        <v>0</v>
      </c>
      <c r="AS403" s="185">
        <f>TablaPrincipal[[#This Row],[LIBRAS PLANTA]]-TablaPrincipal[[#This Row],[LIBRAS CAMARONERA]]</f>
        <v>0</v>
      </c>
      <c r="AT403" s="187">
        <f>TablaPrincipal[[#This Row],[GRAMAJE RALEO PLANTA]]-TablaPrincipal[[#This Row],[GRAMAJE RALEO CAMARONERA]]</f>
        <v>0</v>
      </c>
      <c r="AU403" s="187">
        <f>TablaPrincipal[[#This Row],[GRAMOS PLANTA]]-TablaPrincipal[[#This Row],[GRAMAJE CAMARONERA]]</f>
        <v>0</v>
      </c>
      <c r="AV403" s="183" t="str">
        <f>+VLOOKUP(TablaPrincipal[[#This Row],[CODIGO]],TablaCosechas[#All],10,0)</f>
        <v>SANTIAGO OBRIEN</v>
      </c>
      <c r="AW403" s="183" t="s">
        <v>28</v>
      </c>
      <c r="AX403" s="188" t="str">
        <f>+VLOOKUP(TablaPrincipal[[#This Row],[CODIGO]],TablaCosechas[#All],10,0)</f>
        <v>SANTIAGO OBRIEN</v>
      </c>
    </row>
    <row r="404" spans="1:50" x14ac:dyDescent="0.25">
      <c r="A404" s="196">
        <v>46162</v>
      </c>
      <c r="B404" s="242">
        <v>402</v>
      </c>
      <c r="C404" s="183">
        <f>YEAR(TablaPrincipal[[#This Row],[FECHA]])</f>
        <v>2026</v>
      </c>
      <c r="D404" s="183" t="s">
        <v>347</v>
      </c>
      <c r="E404" s="183" t="str">
        <f>UPPER(TEXT(TablaPrincipal[[#This Row],[FECHA]],"MMMM"))</f>
        <v>MAYO</v>
      </c>
      <c r="F404" s="183" t="str">
        <f>IFERROR(VLOOKUP(TablaPrincipal[[#This Row],[CODIGO]],COSECHAS!A:J,9,0),"-")</f>
        <v>03</v>
      </c>
      <c r="G404" s="183" t="str">
        <f>IFERROR(VLOOKUP(TablaPrincipal[[#This Row],[CODIGO]],COSECHAS!A:I,8,0),"-")</f>
        <v>DORADO</v>
      </c>
      <c r="H404" s="184">
        <f>IFERROR(VLOOKUP(TablaPrincipal[[#This Row],[CODIGO]],DATOS!A:B,2,0),"-")</f>
        <v>4.24</v>
      </c>
      <c r="I404" s="183" t="str">
        <f>IFERROR(VLOOKUP(TablaPrincipal[[#This Row],[CODIGO]],Tabla8[[#Headers],[#Data]],3,0),"-")</f>
        <v>ASC-BAP</v>
      </c>
      <c r="J404" s="183">
        <f>IFERROR(TablaPrincipal[[#This Row],[FECHA]]-TablaPrincipal[[#This Row],[FECHA DE SIEMBRA]],"-")</f>
        <v>70</v>
      </c>
      <c r="K404" s="196">
        <f>VLOOKUP(TablaPrincipal[[#This Row],[CODIGO]]&amp;TablaPrincipal[[#This Row],[AGUAJE ]],Tabla4[#All],4,0)</f>
        <v>46092</v>
      </c>
      <c r="L404" s="183" t="str">
        <f>VLOOKUP(TablaPrincipal[[#This Row],[CODIGO]]&amp;TablaPrincipal[[#This Row],[AGUAJE ]],Tabla4[#All],15,0)</f>
        <v>DO PS 2</v>
      </c>
      <c r="M404" s="184">
        <f>VLOOKUP(TablaPrincipal[[#This Row],[CODIGO]]&amp;TablaPrincipal[[#This Row],[AGUAJE ]],Tabla4[#All],14,0)</f>
        <v>5.85</v>
      </c>
      <c r="N404" s="183">
        <v>5</v>
      </c>
      <c r="O404" s="170">
        <f>VLOOKUP(TablaPrincipal[[#This Row],[CODIGO]]&amp;TablaPrincipal[[#This Row],[AGUAJE ]],Tabla4[#All],5,0)</f>
        <v>823539</v>
      </c>
      <c r="P404" s="221">
        <f>IFERROR(TablaPrincipal[[#This Row],[ANIM SEMBRADOS]]/TablaPrincipal[[#This Row],[HAS]],"-")</f>
        <v>194230.89622641509</v>
      </c>
      <c r="Q404" s="222">
        <f>IFERROR(TablaPrincipal[[#This Row],[DENSIDAD]]/10000,"-")</f>
        <v>19.423089622641509</v>
      </c>
      <c r="R404" s="183" t="str">
        <f>VLOOKUP(TablaPrincipal[[#This Row],[CODIGO]]&amp;TablaPrincipal[[#This Row],[AGUAJE ]],Tabla4[#All],8,0)</f>
        <v>TECSERV</v>
      </c>
      <c r="S404" s="183" t="str">
        <f>VLOOKUP(TablaPrincipal[[#This Row],[CODIGO]]&amp;TablaPrincipal[[#This Row],[AGUAJE ]],Tabla4[#All],7,0)</f>
        <v>SEMACUA</v>
      </c>
      <c r="T404" s="183" t="str">
        <f>IF(ISNUMBER(FIND("/",TablaPrincipal[[#This Row],[LABORATORIO]])),"COMBINADO","UNICO")</f>
        <v>UNICO</v>
      </c>
      <c r="U4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12800</v>
      </c>
      <c r="V404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13390.15</v>
      </c>
      <c r="W404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19</v>
      </c>
      <c r="X404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21.25</v>
      </c>
      <c r="Y404" s="185">
        <f>IFERROR(TablaPrincipal[[#This Row],[LIBRAS RALEO PLANTA]]/TablaPrincipal[[#This Row],[HAS]],"-")</f>
        <v>3158.0542452830186</v>
      </c>
      <c r="Z404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290549.41308875091</v>
      </c>
      <c r="AA40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B40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17850</v>
      </c>
      <c r="AC404" s="186">
        <f>SUMIFS(COSECHAS!F:F,COSECHAS!A:A,'BASE 2026'!AW:AW,COSECHAS!G:G,"="&amp;A:A)</f>
        <v>38</v>
      </c>
      <c r="AD404" s="186">
        <f>SUMIFS(COSECHAS!M:M,COSECHAS!A:A,'BASE 2026'!AW:AW,COSECHAS!G:G,"="&amp;A:A)</f>
        <v>38</v>
      </c>
      <c r="AE404" s="185">
        <f>IFERROR(TablaPrincipal[[#This Row],[LIBRAS PLANTA]]/TablaPrincipal[[#This Row],[HAS]],"-")</f>
        <v>4209.9056603773579</v>
      </c>
      <c r="AF404" s="185">
        <f>IFERROR(TablaPrincipal[[#This Row],[LIBRAS PLANTA]]*454/TablaPrincipal[[#This Row],[GRAMOS PLANTA]],"-")</f>
        <v>213260.52631578947</v>
      </c>
      <c r="AG404" s="185">
        <f>TablaPrincipal[[#This Row],[LIBRAS RALEO PLANTA]]+TablaPrincipal[[#This Row],[LIBRAS PLANTA]]</f>
        <v>31240.15</v>
      </c>
      <c r="AH404" s="185">
        <f>IFERROR(TablaPrincipal[[#This Row],[CAM COSECHADOS RALEO]]+TablaPrincipal[[#This Row],[CAM COSECHADOS]],"-")</f>
        <v>503809.93940454035</v>
      </c>
      <c r="AI404" s="185">
        <f>IFERROR((TablaPrincipal[[#This Row],[LIBRAS RALEO PLANTA]]+TablaPrincipal[[#This Row],[LIBRAS PLANTA]])/TablaPrincipal[[#This Row],[HAS]],"0")</f>
        <v>7367.9599056603774</v>
      </c>
      <c r="AJ404" s="186">
        <f t="shared" ref="AJ404:AJ408" si="16">IFERROR(AD404/(J404/7),"-")</f>
        <v>3.8</v>
      </c>
      <c r="AK404" s="186">
        <f>IFERROR(TablaPrincipal[[#This Row],[LBS/HA]]/TablaPrincipal[[#This Row],[DIAS]],"-")</f>
        <v>105.25657008086253</v>
      </c>
      <c r="AL404" s="186">
        <f>IFERROR(TablaPrincipal[[#This Row],[CAM COSECHADOS TOTALES]]/TablaPrincipal[[#This Row],[ANIM SEMBRADOS]]*100,"-")</f>
        <v>61.176208947547153</v>
      </c>
      <c r="AM404" s="185">
        <v>44200</v>
      </c>
      <c r="AN404" s="187">
        <f>IFERROR(((TablaPrincipal[[#This Row],[BALANCEADO ACUMULADO (LBS)]]/2.2046)/TablaPrincipal[[#This Row],[HAS]])/TablaPrincipal[[#This Row],[DIAS]],"-")</f>
        <v>67.55050026494466</v>
      </c>
      <c r="AO404" s="184">
        <f>IFERROR(TablaPrincipal[[#This Row],[BALANCEADO ACUMULADO (LBS)]]/TablaPrincipal[[#This Row],[LIBRAS TOTALES]],"-")</f>
        <v>1.4148459594464176</v>
      </c>
      <c r="AP404" s="184"/>
      <c r="AQ404" s="184"/>
      <c r="AR404" s="185">
        <f>TablaPrincipal[[#This Row],[LIBRAS RALEO PLANTA]]-TablaPrincipal[[#This Row],[LIBRAS RALEO CAMARONERA]]</f>
        <v>590.14999999999964</v>
      </c>
      <c r="AS404" s="185">
        <f>TablaPrincipal[[#This Row],[LIBRAS PLANTA]]-TablaPrincipal[[#This Row],[LIBRAS CAMARONERA]]</f>
        <v>0</v>
      </c>
      <c r="AT404" s="187">
        <f>TablaPrincipal[[#This Row],[GRAMAJE RALEO PLANTA]]-TablaPrincipal[[#This Row],[GRAMAJE RALEO CAMARONERA]]</f>
        <v>2.25</v>
      </c>
      <c r="AU404" s="187">
        <f>TablaPrincipal[[#This Row],[GRAMOS PLANTA]]-TablaPrincipal[[#This Row],[GRAMAJE CAMARONERA]]</f>
        <v>0</v>
      </c>
      <c r="AV404" s="183" t="str">
        <f>+VLOOKUP(TablaPrincipal[[#This Row],[CODIGO]],TablaCosechas[#All],10,0)</f>
        <v>JOSE CEDEÑO</v>
      </c>
      <c r="AW404" s="183" t="s">
        <v>260</v>
      </c>
      <c r="AX404" s="241" t="str">
        <f>+VLOOKUP(TablaPrincipal[[#This Row],[CODIGO]],TablaCosechas[#All],10,0)</f>
        <v>JOSE CEDEÑO</v>
      </c>
    </row>
    <row r="405" spans="1:50" x14ac:dyDescent="0.25">
      <c r="A405" s="196">
        <v>46162</v>
      </c>
      <c r="B405" s="242">
        <v>403</v>
      </c>
      <c r="C405" s="183">
        <f>YEAR(TablaPrincipal[[#This Row],[FECHA]])</f>
        <v>2026</v>
      </c>
      <c r="D405" s="183" t="s">
        <v>347</v>
      </c>
      <c r="E405" s="183" t="str">
        <f>UPPER(TEXT(TablaPrincipal[[#This Row],[FECHA]],"MMMM"))</f>
        <v>MAYO</v>
      </c>
      <c r="F405" s="183" t="str">
        <f>IFERROR(VLOOKUP(TablaPrincipal[[#This Row],[CODIGO]],COSECHAS!A:J,9,0),"-")</f>
        <v>17</v>
      </c>
      <c r="G405" s="183" t="str">
        <f>IFERROR(VLOOKUP(TablaPrincipal[[#This Row],[CODIGO]],COSECHAS!A:I,8,0),"-")</f>
        <v>GUATO</v>
      </c>
      <c r="H405" s="184">
        <f>IFERROR(VLOOKUP(TablaPrincipal[[#This Row],[CODIGO]],DATOS!A:B,2,0),"-")</f>
        <v>5.9</v>
      </c>
      <c r="I405" s="183" t="str">
        <f>IFERROR(VLOOKUP(TablaPrincipal[[#This Row],[CODIGO]],Tabla8[[#Headers],[#Data]],3,0),"-")</f>
        <v>CONVENCIONAL</v>
      </c>
      <c r="J405" s="183">
        <f>IFERROR(TablaPrincipal[[#This Row],[FECHA]]-TablaPrincipal[[#This Row],[FECHA DE SIEMBRA]],"-")</f>
        <v>79</v>
      </c>
      <c r="K405" s="196">
        <f>VLOOKUP(TablaPrincipal[[#This Row],[CODIGO]]&amp;TablaPrincipal[[#This Row],[AGUAJE ]],Tabla4[#All],4,0)</f>
        <v>46083</v>
      </c>
      <c r="L405" s="183" t="str">
        <f>VLOOKUP(TablaPrincipal[[#This Row],[CODIGO]]&amp;TablaPrincipal[[#This Row],[AGUAJE ]],Tabla4[#All],15,0)</f>
        <v>GT 7</v>
      </c>
      <c r="M405" s="184">
        <f>VLOOKUP(TablaPrincipal[[#This Row],[CODIGO]]&amp;TablaPrincipal[[#This Row],[AGUAJE ]],Tabla4[#All],14,0)</f>
        <v>0.51</v>
      </c>
      <c r="N405" s="183">
        <v>16</v>
      </c>
      <c r="O405" s="170">
        <f>VLOOKUP(TablaPrincipal[[#This Row],[CODIGO]]&amp;TablaPrincipal[[#This Row],[AGUAJE ]],Tabla4[#All],5,0)</f>
        <v>973500</v>
      </c>
      <c r="P405" s="221">
        <f>IFERROR(TablaPrincipal[[#This Row],[ANIM SEMBRADOS]]/TablaPrincipal[[#This Row],[HAS]],"-")</f>
        <v>165000</v>
      </c>
      <c r="Q405" s="222">
        <f>IFERROR(TablaPrincipal[[#This Row],[DENSIDAD]]/10000,"-")</f>
        <v>16.5</v>
      </c>
      <c r="R405" s="183" t="str">
        <f>VLOOKUP(TablaPrincipal[[#This Row],[CODIGO]]&amp;TablaPrincipal[[#This Row],[AGUAJE ]],Tabla4[#All],8,0)</f>
        <v>TECSERV</v>
      </c>
      <c r="S405" s="183" t="str">
        <f>VLOOKUP(TablaPrincipal[[#This Row],[CODIGO]]&amp;TablaPrincipal[[#This Row],[AGUAJE ]],Tabla4[#All],7,0)</f>
        <v>SEMACUA</v>
      </c>
      <c r="T405" s="183" t="str">
        <f>IF(ISNUMBER(FIND("/",TablaPrincipal[[#This Row],[LABORATORIO]])),"COMBINADO","UNICO")</f>
        <v>UNICO</v>
      </c>
      <c r="U4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6400</v>
      </c>
      <c r="V405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6577.11</v>
      </c>
      <c r="W405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</v>
      </c>
      <c r="X405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</v>
      </c>
      <c r="Y405" s="185">
        <f>IFERROR(TablaPrincipal[[#This Row],[LIBRAS RALEO PLANTA]]/TablaPrincipal[[#This Row],[HAS]],"-")</f>
        <v>1114.7644067796609</v>
      </c>
      <c r="Z405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119919.99759036145</v>
      </c>
      <c r="AA40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B40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22200</v>
      </c>
      <c r="AC405" s="186">
        <f>SUMIFS(COSECHAS!F:F,COSECHAS!A:A,'BASE 2026'!AW:AW,COSECHAS!G:G,"="&amp;A:A)</f>
        <v>30</v>
      </c>
      <c r="AD405" s="186">
        <f>SUMIFS(COSECHAS!M:M,COSECHAS!A:A,'BASE 2026'!AW:AW,COSECHAS!G:G,"="&amp;A:A)</f>
        <v>30</v>
      </c>
      <c r="AE405" s="185">
        <f>IFERROR(TablaPrincipal[[#This Row],[LIBRAS PLANTA]]/TablaPrincipal[[#This Row],[HAS]],"-")</f>
        <v>3762.7118644067796</v>
      </c>
      <c r="AF405" s="185">
        <f>IFERROR(TablaPrincipal[[#This Row],[LIBRAS PLANTA]]*454/TablaPrincipal[[#This Row],[GRAMOS PLANTA]],"-")</f>
        <v>335960</v>
      </c>
      <c r="AG405" s="185">
        <f>TablaPrincipal[[#This Row],[LIBRAS RALEO PLANTA]]+TablaPrincipal[[#This Row],[LIBRAS PLANTA]]</f>
        <v>28777.11</v>
      </c>
      <c r="AH405" s="185">
        <f>IFERROR(TablaPrincipal[[#This Row],[CAM COSECHADOS RALEO]]+TablaPrincipal[[#This Row],[CAM COSECHADOS]],"-")</f>
        <v>455879.99759036145</v>
      </c>
      <c r="AI405" s="185">
        <f>IFERROR((TablaPrincipal[[#This Row],[LIBRAS RALEO PLANTA]]+TablaPrincipal[[#This Row],[LIBRAS PLANTA]])/TablaPrincipal[[#This Row],[HAS]],"0")</f>
        <v>4877.4762711864405</v>
      </c>
      <c r="AJ405" s="186">
        <f t="shared" si="16"/>
        <v>2.6582278481012658</v>
      </c>
      <c r="AK405" s="186">
        <f>IFERROR(TablaPrincipal[[#This Row],[LBS/HA]]/TablaPrincipal[[#This Row],[DIAS]],"-")</f>
        <v>61.740205964385325</v>
      </c>
      <c r="AL405" s="186">
        <f>IFERROR(TablaPrincipal[[#This Row],[CAM COSECHADOS TOTALES]]/TablaPrincipal[[#This Row],[ANIM SEMBRADOS]]*100,"-")</f>
        <v>46.828967395003744</v>
      </c>
      <c r="AM405" s="185">
        <v>50496</v>
      </c>
      <c r="AN405" s="187">
        <f>IFERROR(((TablaPrincipal[[#This Row],[BALANCEADO ACUMULADO (LBS)]]/2.2046)/TablaPrincipal[[#This Row],[HAS]])/TablaPrincipal[[#This Row],[DIAS]],"-")</f>
        <v>49.141461798498476</v>
      </c>
      <c r="AO405" s="184">
        <f>IFERROR(TablaPrincipal[[#This Row],[BALANCEADO ACUMULADO (LBS)]]/TablaPrincipal[[#This Row],[LIBRAS TOTALES]],"-")</f>
        <v>1.7547279765063273</v>
      </c>
      <c r="AP405" s="184"/>
      <c r="AQ405" s="184"/>
      <c r="AR405" s="185">
        <f>TablaPrincipal[[#This Row],[LIBRAS RALEO PLANTA]]-TablaPrincipal[[#This Row],[LIBRAS RALEO CAMARONERA]]</f>
        <v>177.10999999999967</v>
      </c>
      <c r="AS405" s="185">
        <f>TablaPrincipal[[#This Row],[LIBRAS PLANTA]]-TablaPrincipal[[#This Row],[LIBRAS CAMARONERA]]</f>
        <v>0</v>
      </c>
      <c r="AT405" s="187">
        <f>TablaPrincipal[[#This Row],[GRAMAJE RALEO PLANTA]]-TablaPrincipal[[#This Row],[GRAMAJE RALEO CAMARONERA]]</f>
        <v>-0.10000000000000142</v>
      </c>
      <c r="AU405" s="187">
        <f>TablaPrincipal[[#This Row],[GRAMOS PLANTA]]-TablaPrincipal[[#This Row],[GRAMAJE CAMARONERA]]</f>
        <v>0</v>
      </c>
      <c r="AV405" s="183" t="str">
        <f>+VLOOKUP(TablaPrincipal[[#This Row],[CODIGO]],TablaCosechas[#All],10,0)</f>
        <v>JULIO SANTOS</v>
      </c>
      <c r="AW405" s="183" t="s">
        <v>222</v>
      </c>
      <c r="AX405" s="241" t="str">
        <f>+VLOOKUP(TablaPrincipal[[#This Row],[CODIGO]],TablaCosechas[#All],10,0)</f>
        <v>JULIO SANTOS</v>
      </c>
    </row>
    <row r="406" spans="1:50" x14ac:dyDescent="0.25">
      <c r="A406" s="196">
        <v>46162</v>
      </c>
      <c r="B406" s="242">
        <v>404</v>
      </c>
      <c r="C406" s="183">
        <f>YEAR(TablaPrincipal[[#This Row],[FECHA]])</f>
        <v>2026</v>
      </c>
      <c r="D406" s="183" t="s">
        <v>347</v>
      </c>
      <c r="E406" s="183" t="str">
        <f>UPPER(TEXT(TablaPrincipal[[#This Row],[FECHA]],"MMMM"))</f>
        <v>MAYO</v>
      </c>
      <c r="F406" s="183" t="str">
        <f>IFERROR(VLOOKUP(TablaPrincipal[[#This Row],[CODIGO]],COSECHAS!A:J,9,0),"-")</f>
        <v>09</v>
      </c>
      <c r="G406" s="183" t="str">
        <f>IFERROR(VLOOKUP(TablaPrincipal[[#This Row],[CODIGO]],COSECHAS!A:I,8,0),"-")</f>
        <v>MANTARRAYA</v>
      </c>
      <c r="H406" s="184">
        <f>IFERROR(VLOOKUP(TablaPrincipal[[#This Row],[CODIGO]],DATOS!A:B,2,0),"-")</f>
        <v>4.6500000000000004</v>
      </c>
      <c r="I406" s="183" t="str">
        <f>IFERROR(VLOOKUP(TablaPrincipal[[#This Row],[CODIGO]],Tabla8[[#Headers],[#Data]],3,0),"-")</f>
        <v>ASC-BAP</v>
      </c>
      <c r="J406" s="183">
        <f>IFERROR(TablaPrincipal[[#This Row],[FECHA]]-TablaPrincipal[[#This Row],[FECHA DE SIEMBRA]],"-")</f>
        <v>83</v>
      </c>
      <c r="K406" s="196">
        <f>VLOOKUP(TablaPrincipal[[#This Row],[CODIGO]]&amp;TablaPrincipal[[#This Row],[AGUAJE ]],Tabla4[#All],4,0)</f>
        <v>46079</v>
      </c>
      <c r="L406" s="183" t="str">
        <f>VLOOKUP(TablaPrincipal[[#This Row],[CODIGO]]&amp;TablaPrincipal[[#This Row],[AGUAJE ]],Tabla4[#All],15,0)</f>
        <v>PA 16 / MA PC 07</v>
      </c>
      <c r="M406" s="184">
        <f>VLOOKUP(TablaPrincipal[[#This Row],[CODIGO]]&amp;TablaPrincipal[[#This Row],[AGUAJE ]],Tabla4[#All],14,0)</f>
        <v>0.4</v>
      </c>
      <c r="N406" s="183">
        <v>6</v>
      </c>
      <c r="O406" s="170">
        <f>VLOOKUP(TablaPrincipal[[#This Row],[CODIGO]]&amp;TablaPrincipal[[#This Row],[AGUAJE ]],Tabla4[#All],5,0)</f>
        <v>744300</v>
      </c>
      <c r="P406" s="221">
        <f>IFERROR(TablaPrincipal[[#This Row],[ANIM SEMBRADOS]]/TablaPrincipal[[#This Row],[HAS]],"-")</f>
        <v>160064.51612903224</v>
      </c>
      <c r="Q406" s="222">
        <f>IFERROR(TablaPrincipal[[#This Row],[DENSIDAD]]/10000,"-")</f>
        <v>16.006451612903223</v>
      </c>
      <c r="R406" s="183" t="str">
        <f>VLOOKUP(TablaPrincipal[[#This Row],[CODIGO]]&amp;TablaPrincipal[[#This Row],[AGUAJE ]],Tabla4[#All],8,0)</f>
        <v>TECSERV/GENESIS</v>
      </c>
      <c r="S406" s="183" t="str">
        <f>VLOOKUP(TablaPrincipal[[#This Row],[CODIGO]]&amp;TablaPrincipal[[#This Row],[AGUAJE ]],Tabla4[#All],7,0)</f>
        <v>TEXCUMAR/SEMACUA</v>
      </c>
      <c r="T406" s="183" t="str">
        <f>IF(ISNUMBER(FIND("/",TablaPrincipal[[#This Row],[LABORATORIO]])),"COMBINADO","UNICO")</f>
        <v>COMBINADO</v>
      </c>
      <c r="U4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13150</v>
      </c>
      <c r="V406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13598.25</v>
      </c>
      <c r="W406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17.333333333333332</v>
      </c>
      <c r="X406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17.873333333333335</v>
      </c>
      <c r="Y406" s="185">
        <f>IFERROR(TablaPrincipal[[#This Row],[LIBRAS RALEO PLANTA]]/TablaPrincipal[[#This Row],[HAS]],"-")</f>
        <v>2924.3548387096771</v>
      </c>
      <c r="Z406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334870.20980013721</v>
      </c>
      <c r="AA40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B40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14400</v>
      </c>
      <c r="AC406" s="186">
        <f>SUMIFS(COSECHAS!F:F,COSECHAS!A:A,'BASE 2026'!AW:AW,COSECHAS!G:G,"="&amp;A:A)</f>
        <v>27</v>
      </c>
      <c r="AD406" s="186">
        <f>SUMIFS(COSECHAS!M:M,COSECHAS!A:A,'BASE 2026'!AW:AW,COSECHAS!G:G,"="&amp;A:A)</f>
        <v>27</v>
      </c>
      <c r="AE406" s="185">
        <f>IFERROR(TablaPrincipal[[#This Row],[LIBRAS PLANTA]]/TablaPrincipal[[#This Row],[HAS]],"-")</f>
        <v>3096.7741935483868</v>
      </c>
      <c r="AF406" s="185">
        <f>IFERROR(TablaPrincipal[[#This Row],[LIBRAS PLANTA]]*454/TablaPrincipal[[#This Row],[GRAMOS PLANTA]],"-")</f>
        <v>242133.33333333334</v>
      </c>
      <c r="AG406" s="185">
        <f>TablaPrincipal[[#This Row],[LIBRAS RALEO PLANTA]]+TablaPrincipal[[#This Row],[LIBRAS PLANTA]]</f>
        <v>27998.25</v>
      </c>
      <c r="AH406" s="185">
        <f>IFERROR(TablaPrincipal[[#This Row],[CAM COSECHADOS RALEO]]+TablaPrincipal[[#This Row],[CAM COSECHADOS]],"-")</f>
        <v>577003.54313347058</v>
      </c>
      <c r="AI406" s="185">
        <f>IFERROR((TablaPrincipal[[#This Row],[LIBRAS RALEO PLANTA]]+TablaPrincipal[[#This Row],[LIBRAS PLANTA]])/TablaPrincipal[[#This Row],[HAS]],"0")</f>
        <v>6021.1290322580644</v>
      </c>
      <c r="AJ406" s="186">
        <f t="shared" si="16"/>
        <v>2.2771084337349397</v>
      </c>
      <c r="AK406" s="186">
        <f>IFERROR(TablaPrincipal[[#This Row],[LBS/HA]]/TablaPrincipal[[#This Row],[DIAS]],"-")</f>
        <v>72.543723280217648</v>
      </c>
      <c r="AL406" s="186">
        <f>IFERROR(TablaPrincipal[[#This Row],[CAM COSECHADOS TOTALES]]/TablaPrincipal[[#This Row],[ANIM SEMBRADOS]]*100,"-")</f>
        <v>77.522980402186022</v>
      </c>
      <c r="AM406" s="185">
        <v>44372</v>
      </c>
      <c r="AN406" s="187">
        <f>IFERROR(((TablaPrincipal[[#This Row],[BALANCEADO ACUMULADO (LBS)]]/2.2046)/TablaPrincipal[[#This Row],[HAS]])/TablaPrincipal[[#This Row],[DIAS]],"-")</f>
        <v>52.149260699139738</v>
      </c>
      <c r="AO406" s="184">
        <f>IFERROR(TablaPrincipal[[#This Row],[BALANCEADO ACUMULADO (LBS)]]/TablaPrincipal[[#This Row],[LIBRAS TOTALES]],"-")</f>
        <v>1.5848133365478199</v>
      </c>
      <c r="AP406" s="184"/>
      <c r="AQ406" s="184"/>
      <c r="AR406" s="185">
        <f>TablaPrincipal[[#This Row],[LIBRAS RALEO PLANTA]]-TablaPrincipal[[#This Row],[LIBRAS RALEO CAMARONERA]]</f>
        <v>448.25</v>
      </c>
      <c r="AS406" s="185">
        <f>TablaPrincipal[[#This Row],[LIBRAS PLANTA]]-TablaPrincipal[[#This Row],[LIBRAS CAMARONERA]]</f>
        <v>0</v>
      </c>
      <c r="AT406" s="187">
        <f>TablaPrincipal[[#This Row],[GRAMAJE RALEO PLANTA]]-TablaPrincipal[[#This Row],[GRAMAJE RALEO CAMARONERA]]</f>
        <v>0.5400000000000027</v>
      </c>
      <c r="AU406" s="187">
        <f>TablaPrincipal[[#This Row],[GRAMOS PLANTA]]-TablaPrincipal[[#This Row],[GRAMAJE CAMARONERA]]</f>
        <v>0</v>
      </c>
      <c r="AV406" s="183" t="str">
        <f>+VLOOKUP(TablaPrincipal[[#This Row],[CODIGO]],TablaCosechas[#All],10,0)</f>
        <v>GUSTAVO CARRASCO</v>
      </c>
      <c r="AW406" s="183" t="s">
        <v>246</v>
      </c>
      <c r="AX406" s="241" t="str">
        <f>+VLOOKUP(TablaPrincipal[[#This Row],[CODIGO]],TablaCosechas[#All],10,0)</f>
        <v>GUSTAVO CARRASCO</v>
      </c>
    </row>
    <row r="407" spans="1:50" x14ac:dyDescent="0.25">
      <c r="A407" s="196">
        <v>46162</v>
      </c>
      <c r="B407" s="242">
        <v>405</v>
      </c>
      <c r="C407" s="183">
        <f>YEAR(TablaPrincipal[[#This Row],[FECHA]])</f>
        <v>2026</v>
      </c>
      <c r="D407" s="183" t="s">
        <v>347</v>
      </c>
      <c r="E407" s="183" t="str">
        <f>UPPER(TEXT(TablaPrincipal[[#This Row],[FECHA]],"MMMM"))</f>
        <v>MAYO</v>
      </c>
      <c r="F407" s="183" t="str">
        <f>IFERROR(VLOOKUP(TablaPrincipal[[#This Row],[CODIGO]],COSECHAS!A:J,9,0),"-")</f>
        <v>07</v>
      </c>
      <c r="G407" s="183" t="str">
        <f>IFERROR(VLOOKUP(TablaPrincipal[[#This Row],[CODIGO]],COSECHAS!A:I,8,0),"-")</f>
        <v>MERO</v>
      </c>
      <c r="H407" s="184">
        <f>IFERROR(VLOOKUP(TablaPrincipal[[#This Row],[CODIGO]],DATOS!A:B,2,0),"-")</f>
        <v>4.5999999999999996</v>
      </c>
      <c r="I407" s="183" t="str">
        <f>IFERROR(VLOOKUP(TablaPrincipal[[#This Row],[CODIGO]],Tabla8[[#Headers],[#Data]],3,0),"-")</f>
        <v>CONVENCIONAL</v>
      </c>
      <c r="J407" s="183">
        <f>IFERROR(TablaPrincipal[[#This Row],[FECHA]]-TablaPrincipal[[#This Row],[FECHA DE SIEMBRA]],"-")</f>
        <v>57</v>
      </c>
      <c r="K407" s="196">
        <f>VLOOKUP(TablaPrincipal[[#This Row],[CODIGO]]&amp;TablaPrincipal[[#This Row],[AGUAJE ]],Tabla4[#All],4,0)</f>
        <v>46105</v>
      </c>
      <c r="L407" s="183" t="str">
        <f>VLOOKUP(TablaPrincipal[[#This Row],[CODIGO]]&amp;TablaPrincipal[[#This Row],[AGUAJE ]],Tabla4[#All],15,0)</f>
        <v>ME PS 06</v>
      </c>
      <c r="M407" s="184">
        <f>VLOOKUP(TablaPrincipal[[#This Row],[CODIGO]]&amp;TablaPrincipal[[#This Row],[AGUAJE ]],Tabla4[#All],14,0)</f>
        <v>5</v>
      </c>
      <c r="N407" s="183">
        <v>7</v>
      </c>
      <c r="O407" s="170">
        <f>VLOOKUP(TablaPrincipal[[#This Row],[CODIGO]]&amp;TablaPrincipal[[#This Row],[AGUAJE ]],Tabla4[#All],5,0)</f>
        <v>552000</v>
      </c>
      <c r="P407" s="221">
        <f>IFERROR(TablaPrincipal[[#This Row],[ANIM SEMBRADOS]]/TablaPrincipal[[#This Row],[HAS]],"-")</f>
        <v>120000.00000000001</v>
      </c>
      <c r="Q407" s="222">
        <f>IFERROR(TablaPrincipal[[#This Row],[DENSIDAD]]/10000,"-")</f>
        <v>12.000000000000002</v>
      </c>
      <c r="R407" s="183" t="str">
        <f>VLOOKUP(TablaPrincipal[[#This Row],[CODIGO]]&amp;TablaPrincipal[[#This Row],[AGUAJE ]],Tabla4[#All],8,0)</f>
        <v>PRONAUPLIO</v>
      </c>
      <c r="S407" s="183" t="str">
        <f>VLOOKUP(TablaPrincipal[[#This Row],[CODIGO]]&amp;TablaPrincipal[[#This Row],[AGUAJE ]],Tabla4[#All],7,0)</f>
        <v>SEMACUA</v>
      </c>
      <c r="T407" s="183" t="str">
        <f>IF(ISNUMBER(FIND("/",TablaPrincipal[[#This Row],[LABORATORIO]])),"COMBINADO","UNICO")</f>
        <v>UNICO</v>
      </c>
      <c r="U4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4200</v>
      </c>
      <c r="V407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4009.29</v>
      </c>
      <c r="W407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07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23.2</v>
      </c>
      <c r="Y407" s="185">
        <f>IFERROR(TablaPrincipal[[#This Row],[LIBRAS RALEO PLANTA]]/TablaPrincipal[[#This Row],[HAS]],"-")</f>
        <v>871.58478260869572</v>
      </c>
      <c r="Z407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78457.657758620684</v>
      </c>
      <c r="AA40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B40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16000</v>
      </c>
      <c r="AC407" s="186">
        <f>SUMIFS(COSECHAS!F:F,COSECHAS!A:A,'BASE 2026'!AW:AW,COSECHAS!G:G,"="&amp;A:A)</f>
        <v>31</v>
      </c>
      <c r="AD407" s="186">
        <f>SUMIFS(COSECHAS!M:M,COSECHAS!A:A,'BASE 2026'!AW:AW,COSECHAS!G:G,"="&amp;A:A)</f>
        <v>31</v>
      </c>
      <c r="AE407" s="185">
        <f>IFERROR(TablaPrincipal[[#This Row],[LIBRAS PLANTA]]/TablaPrincipal[[#This Row],[HAS]],"-")</f>
        <v>3478.2608695652175</v>
      </c>
      <c r="AF407" s="185">
        <f>IFERROR(TablaPrincipal[[#This Row],[LIBRAS PLANTA]]*454/TablaPrincipal[[#This Row],[GRAMOS PLANTA]],"-")</f>
        <v>234322.5806451613</v>
      </c>
      <c r="AG407" s="185">
        <f>TablaPrincipal[[#This Row],[LIBRAS RALEO PLANTA]]+TablaPrincipal[[#This Row],[LIBRAS PLANTA]]</f>
        <v>20009.29</v>
      </c>
      <c r="AH407" s="185">
        <f>IFERROR(TablaPrincipal[[#This Row],[CAM COSECHADOS RALEO]]+TablaPrincipal[[#This Row],[CAM COSECHADOS]],"-")</f>
        <v>312780.23840378202</v>
      </c>
      <c r="AI407" s="185">
        <f>IFERROR((TablaPrincipal[[#This Row],[LIBRAS RALEO PLANTA]]+TablaPrincipal[[#This Row],[LIBRAS PLANTA]])/TablaPrincipal[[#This Row],[HAS]],"0")</f>
        <v>4349.8456521739135</v>
      </c>
      <c r="AJ407" s="186">
        <f t="shared" si="16"/>
        <v>3.8070175438596494</v>
      </c>
      <c r="AK407" s="186">
        <f>IFERROR(TablaPrincipal[[#This Row],[LBS/HA]]/TablaPrincipal[[#This Row],[DIAS]],"-")</f>
        <v>76.313081617086198</v>
      </c>
      <c r="AL407" s="186">
        <f>IFERROR(TablaPrincipal[[#This Row],[CAM COSECHADOS TOTALES]]/TablaPrincipal[[#This Row],[ANIM SEMBRADOS]]*100,"-")</f>
        <v>56.663086667351813</v>
      </c>
      <c r="AM407" s="185">
        <v>25903</v>
      </c>
      <c r="AN407" s="187">
        <f>IFERROR(((TablaPrincipal[[#This Row],[BALANCEADO ACUMULADO (LBS)]]/2.2046)/TablaPrincipal[[#This Row],[HAS]])/TablaPrincipal[[#This Row],[DIAS]],"-")</f>
        <v>44.811303291854983</v>
      </c>
      <c r="AO407" s="184">
        <f>IFERROR(TablaPrincipal[[#This Row],[BALANCEADO ACUMULADO (LBS)]]/TablaPrincipal[[#This Row],[LIBRAS TOTALES]],"-")</f>
        <v>1.2945486821371472</v>
      </c>
      <c r="AP407" s="184"/>
      <c r="AQ407" s="184"/>
      <c r="AR407" s="185">
        <f>TablaPrincipal[[#This Row],[LIBRAS RALEO PLANTA]]-TablaPrincipal[[#This Row],[LIBRAS RALEO CAMARONERA]]</f>
        <v>-190.71000000000004</v>
      </c>
      <c r="AS407" s="185">
        <f>TablaPrincipal[[#This Row],[LIBRAS PLANTA]]-TablaPrincipal[[#This Row],[LIBRAS CAMARONERA]]</f>
        <v>0</v>
      </c>
      <c r="AT407" s="187">
        <f>TablaPrincipal[[#This Row],[GRAMAJE RALEO PLANTA]]-TablaPrincipal[[#This Row],[GRAMAJE RALEO CAMARONERA]]</f>
        <v>1.1999999999999993</v>
      </c>
      <c r="AU407" s="187">
        <f>TablaPrincipal[[#This Row],[GRAMOS PLANTA]]-TablaPrincipal[[#This Row],[GRAMAJE CAMARONERA]]</f>
        <v>0</v>
      </c>
      <c r="AV407" s="183" t="str">
        <f>+VLOOKUP(TablaPrincipal[[#This Row],[CODIGO]],TablaCosechas[#All],10,0)</f>
        <v>NESTOR MOGOLLON</v>
      </c>
      <c r="AW407" s="183" t="s">
        <v>292</v>
      </c>
      <c r="AX407" s="241" t="str">
        <f>+VLOOKUP(TablaPrincipal[[#This Row],[CODIGO]],TablaCosechas[#All],10,0)</f>
        <v>NESTOR MOGOLLON</v>
      </c>
    </row>
    <row r="408" spans="1:50" x14ac:dyDescent="0.25">
      <c r="A408" s="196">
        <v>46162</v>
      </c>
      <c r="B408" s="242">
        <v>406</v>
      </c>
      <c r="C408" s="183">
        <f>YEAR(TablaPrincipal[[#This Row],[FECHA]])</f>
        <v>2026</v>
      </c>
      <c r="D408" s="183" t="s">
        <v>347</v>
      </c>
      <c r="E408" s="183" t="str">
        <f>UPPER(TEXT(TablaPrincipal[[#This Row],[FECHA]],"MMMM"))</f>
        <v>MAYO</v>
      </c>
      <c r="F408" s="183" t="str">
        <f>IFERROR(VLOOKUP(TablaPrincipal[[#This Row],[CODIGO]],COSECHAS!A:J,9,0),"-")</f>
        <v>04</v>
      </c>
      <c r="G408" s="183" t="str">
        <f>IFERROR(VLOOKUP(TablaPrincipal[[#This Row],[CODIGO]],COSECHAS!A:I,8,0),"-")</f>
        <v>WAHOO</v>
      </c>
      <c r="H408" s="184">
        <f>IFERROR(VLOOKUP(TablaPrincipal[[#This Row],[CODIGO]],DATOS!A:B,2,0),"-")</f>
        <v>8</v>
      </c>
      <c r="I408" s="183" t="str">
        <f>IFERROR(VLOOKUP(TablaPrincipal[[#This Row],[CODIGO]],Tabla8[[#Headers],[#Data]],3,0),"-")</f>
        <v>CONVENCIONAL</v>
      </c>
      <c r="J408" s="183">
        <f>IFERROR(TablaPrincipal[[#This Row],[FECHA]]-TablaPrincipal[[#This Row],[FECHA DE SIEMBRA]],"-")</f>
        <v>94</v>
      </c>
      <c r="K408" s="196">
        <f>VLOOKUP(TablaPrincipal[[#This Row],[CODIGO]]&amp;TablaPrincipal[[#This Row],[AGUAJE ]],Tabla4[#All],4,0)</f>
        <v>46068</v>
      </c>
      <c r="L408" s="183" t="str">
        <f>VLOOKUP(TablaPrincipal[[#This Row],[CODIGO]]&amp;TablaPrincipal[[#This Row],[AGUAJE ]],Tabla4[#All],15,0)</f>
        <v>WA PC 04</v>
      </c>
      <c r="M408" s="184">
        <f>VLOOKUP(TablaPrincipal[[#This Row],[CODIGO]]&amp;TablaPrincipal[[#This Row],[AGUAJE ]],Tabla4[#All],14,0)</f>
        <v>0.68</v>
      </c>
      <c r="N408" s="183">
        <v>26</v>
      </c>
      <c r="O408" s="170">
        <f>VLOOKUP(TablaPrincipal[[#This Row],[CODIGO]]&amp;TablaPrincipal[[#This Row],[AGUAJE ]],Tabla4[#All],5,0)</f>
        <v>1464000</v>
      </c>
      <c r="P408" s="221">
        <f>IFERROR(TablaPrincipal[[#This Row],[ANIM SEMBRADOS]]/TablaPrincipal[[#This Row],[HAS]],"-")</f>
        <v>183000</v>
      </c>
      <c r="Q408" s="222">
        <f>IFERROR(TablaPrincipal[[#This Row],[DENSIDAD]]/10000,"-")</f>
        <v>18.3</v>
      </c>
      <c r="R408" s="183" t="str">
        <f>VLOOKUP(TablaPrincipal[[#This Row],[CODIGO]]&amp;TablaPrincipal[[#This Row],[AGUAJE ]],Tabla4[#All],8,0)</f>
        <v>TECSERV</v>
      </c>
      <c r="S408" s="183" t="str">
        <f>VLOOKUP(TablaPrincipal[[#This Row],[CODIGO]]&amp;TablaPrincipal[[#This Row],[AGUAJE ]],Tabla4[#All],7,0)</f>
        <v>EMPAGRAN</v>
      </c>
      <c r="T408" s="183" t="str">
        <f>IF(ISNUMBER(FIND("/",TablaPrincipal[[#This Row],[LABORATORIO]])),"COMBINADO","UNICO")</f>
        <v>UNICO</v>
      </c>
      <c r="U4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11300</v>
      </c>
      <c r="V408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12388.64</v>
      </c>
      <c r="W408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08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22.83</v>
      </c>
      <c r="Y408" s="185">
        <f>IFERROR(TablaPrincipal[[#This Row],[LIBRAS RALEO PLANTA]]/TablaPrincipal[[#This Row],[HAS]],"-")</f>
        <v>1548.58</v>
      </c>
      <c r="Z408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246361.91677617171</v>
      </c>
      <c r="AA40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B40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24900</v>
      </c>
      <c r="AC408" s="186">
        <f>SUMIFS(COSECHAS!F:F,COSECHAS!A:A,'BASE 2026'!AW:AW,COSECHAS!G:G,"="&amp;A:A)</f>
        <v>35</v>
      </c>
      <c r="AD408" s="186">
        <f>SUMIFS(COSECHAS!M:M,COSECHAS!A:A,'BASE 2026'!AW:AW,COSECHAS!G:G,"="&amp;A:A)</f>
        <v>35</v>
      </c>
      <c r="AE408" s="185">
        <f>IFERROR(TablaPrincipal[[#This Row],[LIBRAS PLANTA]]/TablaPrincipal[[#This Row],[HAS]],"-")</f>
        <v>3112.5</v>
      </c>
      <c r="AF408" s="185">
        <f>IFERROR(TablaPrincipal[[#This Row],[LIBRAS PLANTA]]*454/TablaPrincipal[[#This Row],[GRAMOS PLANTA]],"-")</f>
        <v>322988.57142857142</v>
      </c>
      <c r="AG408" s="185">
        <f>TablaPrincipal[[#This Row],[LIBRAS RALEO PLANTA]]+TablaPrincipal[[#This Row],[LIBRAS PLANTA]]</f>
        <v>37288.639999999999</v>
      </c>
      <c r="AH408" s="185">
        <f>IFERROR(TablaPrincipal[[#This Row],[CAM COSECHADOS RALEO]]+TablaPrincipal[[#This Row],[CAM COSECHADOS]],"-")</f>
        <v>569350.48820474313</v>
      </c>
      <c r="AI408" s="185">
        <f>IFERROR((TablaPrincipal[[#This Row],[LIBRAS RALEO PLANTA]]+TablaPrincipal[[#This Row],[LIBRAS PLANTA]])/TablaPrincipal[[#This Row],[HAS]],"0")</f>
        <v>4661.08</v>
      </c>
      <c r="AJ408" s="186">
        <f t="shared" si="16"/>
        <v>2.6063829787234041</v>
      </c>
      <c r="AK408" s="186">
        <f>IFERROR(TablaPrincipal[[#This Row],[LBS/HA]]/TablaPrincipal[[#This Row],[DIAS]],"-")</f>
        <v>49.585957446808507</v>
      </c>
      <c r="AL408" s="186">
        <f>IFERROR(TablaPrincipal[[#This Row],[CAM COSECHADOS TOTALES]]/TablaPrincipal[[#This Row],[ANIM SEMBRADOS]]*100,"-")</f>
        <v>38.890060669722892</v>
      </c>
      <c r="AM408" s="185">
        <v>71921</v>
      </c>
      <c r="AN408" s="187">
        <f>IFERROR(((TablaPrincipal[[#This Row],[BALANCEADO ACUMULADO (LBS)]]/2.2046)/TablaPrincipal[[#This Row],[HAS]])/TablaPrincipal[[#This Row],[DIAS]],"-")</f>
        <v>43.381850521443553</v>
      </c>
      <c r="AO408" s="184">
        <f>IFERROR(TablaPrincipal[[#This Row],[BALANCEADO ACUMULADO (LBS)]]/TablaPrincipal[[#This Row],[LIBRAS TOTALES]],"-")</f>
        <v>1.9287643636238812</v>
      </c>
      <c r="AP408" s="184"/>
      <c r="AQ408" s="184"/>
      <c r="AR408" s="185">
        <f>TablaPrincipal[[#This Row],[LIBRAS RALEO PLANTA]]-TablaPrincipal[[#This Row],[LIBRAS RALEO CAMARONERA]]</f>
        <v>1088.6399999999994</v>
      </c>
      <c r="AS408" s="185">
        <f>TablaPrincipal[[#This Row],[LIBRAS PLANTA]]-TablaPrincipal[[#This Row],[LIBRAS CAMARONERA]]</f>
        <v>0</v>
      </c>
      <c r="AT408" s="187">
        <f>TablaPrincipal[[#This Row],[GRAMAJE RALEO PLANTA]]-TablaPrincipal[[#This Row],[GRAMAJE RALEO CAMARONERA]]</f>
        <v>0.82999999999999829</v>
      </c>
      <c r="AU408" s="187">
        <f>TablaPrincipal[[#This Row],[GRAMOS PLANTA]]-TablaPrincipal[[#This Row],[GRAMAJE CAMARONERA]]</f>
        <v>0</v>
      </c>
      <c r="AV408" s="183" t="str">
        <f>+VLOOKUP(TablaPrincipal[[#This Row],[CODIGO]],TablaCosechas[#All],10,0)</f>
        <v>JUNIOR ESQUIVEL</v>
      </c>
      <c r="AW408" s="183" t="s">
        <v>157</v>
      </c>
      <c r="AX408" s="188" t="str">
        <f>+VLOOKUP(TablaPrincipal[[#This Row],[CODIGO]],TablaCosechas[#All],10,0)</f>
        <v>JUNIOR ESQUIVEL</v>
      </c>
    </row>
    <row r="409" spans="1:50" x14ac:dyDescent="0.25">
      <c r="A409" s="196">
        <v>46163</v>
      </c>
      <c r="B409" s="242">
        <v>407</v>
      </c>
      <c r="C409" s="183">
        <f>YEAR(TablaPrincipal[[#This Row],[FECHA]])</f>
        <v>2026</v>
      </c>
      <c r="D409" s="183" t="s">
        <v>347</v>
      </c>
      <c r="E409" s="183" t="str">
        <f>UPPER(TEXT(TablaPrincipal[[#This Row],[FECHA]],"MMMM"))</f>
        <v>MAYO</v>
      </c>
      <c r="F409" s="183" t="str">
        <f>IFERROR(VLOOKUP(TablaPrincipal[[#This Row],[CODIGO]],COSECHAS!A:J,9,0),"-")</f>
        <v>14</v>
      </c>
      <c r="G409" s="183" t="str">
        <f>IFERROR(VLOOKUP(TablaPrincipal[[#This Row],[CODIGO]],COSECHAS!A:I,8,0),"-")</f>
        <v>GUATO</v>
      </c>
      <c r="H409" s="184">
        <f>IFERROR(VLOOKUP(TablaPrincipal[[#This Row],[CODIGO]],DATOS!A:B,2,0),"-")</f>
        <v>5.26</v>
      </c>
      <c r="I409" s="183" t="str">
        <f>IFERROR(VLOOKUP(TablaPrincipal[[#This Row],[CODIGO]],Tabla8[[#Headers],[#Data]],3,0),"-")</f>
        <v>CONVENCIONAL</v>
      </c>
      <c r="J409" s="183">
        <f>IFERROR(TablaPrincipal[[#This Row],[FECHA]]-TablaPrincipal[[#This Row],[FECHA DE SIEMBRA]],"-")</f>
        <v>79</v>
      </c>
      <c r="K409" s="196">
        <f>VLOOKUP(TablaPrincipal[[#This Row],[CODIGO]]&amp;TablaPrincipal[[#This Row],[AGUAJE ]],Tabla4[#All],4,0)</f>
        <v>46084</v>
      </c>
      <c r="L409" s="183" t="str">
        <f>VLOOKUP(TablaPrincipal[[#This Row],[CODIGO]]&amp;TablaPrincipal[[#This Row],[AGUAJE ]],Tabla4[#All],15,0)</f>
        <v>GT 6</v>
      </c>
      <c r="M409" s="184">
        <f>VLOOKUP(TablaPrincipal[[#This Row],[CODIGO]]&amp;TablaPrincipal[[#This Row],[AGUAJE ]],Tabla4[#All],14,0)</f>
        <v>0.74</v>
      </c>
      <c r="N409" s="183">
        <v>16</v>
      </c>
      <c r="O409" s="170">
        <f>VLOOKUP(TablaPrincipal[[#This Row],[CODIGO]]&amp;TablaPrincipal[[#This Row],[AGUAJE ]],Tabla4[#All],5,0)</f>
        <v>841600</v>
      </c>
      <c r="P409" s="221">
        <f>IFERROR(TablaPrincipal[[#This Row],[ANIM SEMBRADOS]]/TablaPrincipal[[#This Row],[HAS]],"-")</f>
        <v>160000</v>
      </c>
      <c r="Q409" s="222">
        <f>IFERROR(TablaPrincipal[[#This Row],[DENSIDAD]]/10000,"-")</f>
        <v>16</v>
      </c>
      <c r="R409" s="183" t="str">
        <f>VLOOKUP(TablaPrincipal[[#This Row],[CODIGO]]&amp;TablaPrincipal[[#This Row],[AGUAJE ]],Tabla4[#All],8,0)</f>
        <v>ACUATECSA</v>
      </c>
      <c r="S409" s="183" t="str">
        <f>VLOOKUP(TablaPrincipal[[#This Row],[CODIGO]]&amp;TablaPrincipal[[#This Row],[AGUAJE ]],Tabla4[#All],7,0)</f>
        <v>TEXCUMAR</v>
      </c>
      <c r="T409" s="183" t="str">
        <f>IF(ISNUMBER(FIND("/",TablaPrincipal[[#This Row],[LABORATORIO]])),"COMBINADO","UNICO")</f>
        <v>UNICO</v>
      </c>
      <c r="U4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6300</v>
      </c>
      <c r="V409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5718.51</v>
      </c>
      <c r="W409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409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24.94</v>
      </c>
      <c r="Y409" s="185">
        <f>IFERROR(TablaPrincipal[[#This Row],[LIBRAS RALEO PLANTA]]/TablaPrincipal[[#This Row],[HAS]],"-")</f>
        <v>1087.1692015209126</v>
      </c>
      <c r="Z409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104097.97674418605</v>
      </c>
      <c r="AA40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19900</v>
      </c>
      <c r="AB40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19900</v>
      </c>
      <c r="AC409" s="186">
        <f>SUMIFS(COSECHAS!F:F,COSECHAS!A:A,'BASE 2026'!AW:AW,COSECHAS!G:G,"="&amp;A:A)</f>
        <v>30</v>
      </c>
      <c r="AD409" s="186">
        <f>SUMIFS(COSECHAS!M:M,COSECHAS!A:A,'BASE 2026'!AW:AW,COSECHAS!G:G,"="&amp;A:A)</f>
        <v>30</v>
      </c>
      <c r="AE409" s="185">
        <f>IFERROR(TablaPrincipal[[#This Row],[LIBRAS PLANTA]]/TablaPrincipal[[#This Row],[HAS]],"-")</f>
        <v>3783.2699619771865</v>
      </c>
      <c r="AF409" s="185">
        <f>IFERROR(TablaPrincipal[[#This Row],[LIBRAS PLANTA]]*454/TablaPrincipal[[#This Row],[GRAMOS PLANTA]],"-")</f>
        <v>301153.33333333331</v>
      </c>
      <c r="AG409" s="185">
        <f>TablaPrincipal[[#This Row],[LIBRAS RALEO PLANTA]]+TablaPrincipal[[#This Row],[LIBRAS PLANTA]]</f>
        <v>25618.510000000002</v>
      </c>
      <c r="AH409" s="185">
        <f>IFERROR(TablaPrincipal[[#This Row],[CAM COSECHADOS RALEO]]+TablaPrincipal[[#This Row],[CAM COSECHADOS]],"-")</f>
        <v>405251.31007751939</v>
      </c>
      <c r="AI409" s="185">
        <f>IFERROR((TablaPrincipal[[#This Row],[LIBRAS RALEO PLANTA]]+TablaPrincipal[[#This Row],[LIBRAS PLANTA]])/TablaPrincipal[[#This Row],[HAS]],"0")</f>
        <v>4870.4391634980993</v>
      </c>
      <c r="AJ409" s="186">
        <f>IFERROR(AD409/(J409/7),"-")</f>
        <v>2.6582278481012658</v>
      </c>
      <c r="AK409" s="186">
        <f>IFERROR(TablaPrincipal[[#This Row],[LBS/HA]]/TablaPrincipal[[#This Row],[DIAS]],"-")</f>
        <v>61.651128651874679</v>
      </c>
      <c r="AL409" s="186">
        <f>IFERROR(TablaPrincipal[[#This Row],[CAM COSECHADOS TOTALES]]/TablaPrincipal[[#This Row],[ANIM SEMBRADOS]]*100,"-")</f>
        <v>48.152484562442893</v>
      </c>
      <c r="AM409" s="185">
        <v>44753.380000000005</v>
      </c>
      <c r="AN409" s="187">
        <f>IFERROR(((TablaPrincipal[[#This Row],[BALANCEADO ACUMULADO (LBS)]]/2.2046)/TablaPrincipal[[#This Row],[HAS]])/TablaPrincipal[[#This Row],[DIAS]],"-")</f>
        <v>48.852096067767242</v>
      </c>
      <c r="AO409" s="184">
        <f>IFERROR(TablaPrincipal[[#This Row],[BALANCEADO ACUMULADO (LBS)]]/TablaPrincipal[[#This Row],[LIBRAS TOTALES]],"-")</f>
        <v>1.7469158042368584</v>
      </c>
      <c r="AP409" s="184"/>
      <c r="AQ409" s="184"/>
      <c r="AR409" s="185">
        <f>TablaPrincipal[[#This Row],[LIBRAS RALEO PLANTA]]-TablaPrincipal[[#This Row],[LIBRAS RALEO CAMARONERA]]</f>
        <v>-581.48999999999978</v>
      </c>
      <c r="AS409" s="185">
        <f>TablaPrincipal[[#This Row],[LIBRAS PLANTA]]-TablaPrincipal[[#This Row],[LIBRAS CAMARONERA]]</f>
        <v>0</v>
      </c>
      <c r="AT409" s="187">
        <f>TablaPrincipal[[#This Row],[GRAMAJE RALEO PLANTA]]-TablaPrincipal[[#This Row],[GRAMAJE RALEO CAMARONERA]]</f>
        <v>0.94000000000000128</v>
      </c>
      <c r="AU409" s="187">
        <f>TablaPrincipal[[#This Row],[GRAMOS PLANTA]]-TablaPrincipal[[#This Row],[GRAMAJE CAMARONERA]]</f>
        <v>0</v>
      </c>
      <c r="AV409" s="183" t="str">
        <f>+VLOOKUP(TablaPrincipal[[#This Row],[CODIGO]],TablaCosechas[#All],10,0)</f>
        <v>JULIO SANTOS</v>
      </c>
      <c r="AW409" s="183" t="s">
        <v>233</v>
      </c>
      <c r="AX409" s="188" t="str">
        <f>+VLOOKUP(TablaPrincipal[[#This Row],[CODIGO]],TablaCosechas[#All],10,0)</f>
        <v>JULIO SANTOS</v>
      </c>
    </row>
    <row r="410" spans="1:50" x14ac:dyDescent="0.25">
      <c r="A410" s="196">
        <v>46163</v>
      </c>
      <c r="B410" s="242">
        <v>408</v>
      </c>
      <c r="C410" s="183">
        <f>YEAR(TablaPrincipal[[#This Row],[FECHA]])</f>
        <v>2026</v>
      </c>
      <c r="D410" s="183" t="s">
        <v>347</v>
      </c>
      <c r="E410" s="183" t="str">
        <f>UPPER(TEXT(TablaPrincipal[[#This Row],[FECHA]],"MMMM"))</f>
        <v>MAYO</v>
      </c>
      <c r="F410" s="183" t="str">
        <f>IFERROR(VLOOKUP(TablaPrincipal[[#This Row],[CODIGO]],COSECHAS!A:J,9,0),"-")</f>
        <v>10</v>
      </c>
      <c r="G410" s="183" t="str">
        <f>IFERROR(VLOOKUP(TablaPrincipal[[#This Row],[CODIGO]],COSECHAS!A:I,8,0),"-")</f>
        <v>DORADO</v>
      </c>
      <c r="H410" s="184">
        <f>IFERROR(VLOOKUP(TablaPrincipal[[#This Row],[CODIGO]],DATOS!A:B,2,0),"-")</f>
        <v>4.0199999999999996</v>
      </c>
      <c r="I410" s="183" t="str">
        <f>IFERROR(VLOOKUP(TablaPrincipal[[#This Row],[CODIGO]],Tabla8[[#Headers],[#Data]],3,0),"-")</f>
        <v>ASC-BAP</v>
      </c>
      <c r="J410" s="183">
        <f>IFERROR(TablaPrincipal[[#This Row],[FECHA]]-TablaPrincipal[[#This Row],[FECHA DE SIEMBRA]],"-")</f>
        <v>81</v>
      </c>
      <c r="K410" s="196">
        <f>VLOOKUP(TablaPrincipal[[#This Row],[CODIGO]]&amp;TablaPrincipal[[#This Row],[AGUAJE ]],Tabla4[#All],4,0)</f>
        <v>46082</v>
      </c>
      <c r="L410" s="183" t="str">
        <f>VLOOKUP(TablaPrincipal[[#This Row],[CODIGO]]&amp;TablaPrincipal[[#This Row],[AGUAJE ]],Tabla4[#All],15,0)</f>
        <v>DO PC1</v>
      </c>
      <c r="M410" s="184">
        <f>VLOOKUP(TablaPrincipal[[#This Row],[CODIGO]]&amp;TablaPrincipal[[#This Row],[AGUAJE ]],Tabla4[#All],14,0)</f>
        <v>0.72</v>
      </c>
      <c r="N410" s="183">
        <v>6</v>
      </c>
      <c r="O410" s="170">
        <f>VLOOKUP(TablaPrincipal[[#This Row],[CODIGO]]&amp;TablaPrincipal[[#This Row],[AGUAJE ]],Tabla4[#All],5,0)</f>
        <v>743700</v>
      </c>
      <c r="P410" s="221">
        <f>IFERROR(TablaPrincipal[[#This Row],[ANIM SEMBRADOS]]/TablaPrincipal[[#This Row],[HAS]],"-")</f>
        <v>185000.00000000003</v>
      </c>
      <c r="Q410" s="222">
        <f>IFERROR(TablaPrincipal[[#This Row],[DENSIDAD]]/10000,"-")</f>
        <v>18.500000000000004</v>
      </c>
      <c r="R410" s="183" t="str">
        <f>VLOOKUP(TablaPrincipal[[#This Row],[CODIGO]]&amp;TablaPrincipal[[#This Row],[AGUAJE ]],Tabla4[#All],8,0)</f>
        <v>DEONES</v>
      </c>
      <c r="S410" s="183" t="str">
        <f>VLOOKUP(TablaPrincipal[[#This Row],[CODIGO]]&amp;TablaPrincipal[[#This Row],[AGUAJE ]],Tabla4[#All],7,0)</f>
        <v>TEXCUMAR</v>
      </c>
      <c r="T410" s="183" t="str">
        <f>IF(ISNUMBER(FIND("/",TablaPrincipal[[#This Row],[LABORATORIO]])),"COMBINADO","UNICO")</f>
        <v>UNICO</v>
      </c>
      <c r="U4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25300</v>
      </c>
      <c r="V410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14171.18</v>
      </c>
      <c r="W410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22.75</v>
      </c>
      <c r="X410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24.92</v>
      </c>
      <c r="Y410" s="185">
        <f>IFERROR(TablaPrincipal[[#This Row],[LIBRAS RALEO PLANTA]]/TablaPrincipal[[#This Row],[HAS]],"-")</f>
        <v>3525.1691542288563</v>
      </c>
      <c r="Z410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266416.57790569332</v>
      </c>
      <c r="AA41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3750</v>
      </c>
      <c r="AB41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3750</v>
      </c>
      <c r="AC410" s="186">
        <f>SUMIFS(COSECHAS!F:F,COSECHAS!A:A,'BASE 2026'!AW:AW,COSECHAS!G:G,"="&amp;A:A)</f>
        <v>72</v>
      </c>
      <c r="AD410" s="186">
        <f>SUMIFS(COSECHAS!M:M,COSECHAS!A:A,'BASE 2026'!AW:AW,COSECHAS!G:G,"="&amp;A:A)</f>
        <v>72</v>
      </c>
      <c r="AE410" s="185">
        <f>IFERROR(TablaPrincipal[[#This Row],[LIBRAS PLANTA]]/TablaPrincipal[[#This Row],[HAS]],"-")</f>
        <v>932.83582089552249</v>
      </c>
      <c r="AF410" s="185">
        <f>IFERROR(TablaPrincipal[[#This Row],[LIBRAS PLANTA]]*454/TablaPrincipal[[#This Row],[GRAMOS PLANTA]],"-")</f>
        <v>23645.833333333332</v>
      </c>
      <c r="AG410" s="185">
        <f>TablaPrincipal[[#This Row],[LIBRAS RALEO PLANTA]]+TablaPrincipal[[#This Row],[LIBRAS PLANTA]]</f>
        <v>17921.18</v>
      </c>
      <c r="AH410" s="185">
        <f>IFERROR(TablaPrincipal[[#This Row],[CAM COSECHADOS RALEO]]+TablaPrincipal[[#This Row],[CAM COSECHADOS]],"-")</f>
        <v>290062.41123902664</v>
      </c>
      <c r="AI410" s="185">
        <f>IFERROR((TablaPrincipal[[#This Row],[LIBRAS RALEO PLANTA]]+TablaPrincipal[[#This Row],[LIBRAS PLANTA]])/TablaPrincipal[[#This Row],[HAS]],"0")</f>
        <v>4458.0049751243787</v>
      </c>
      <c r="AJ410" s="186">
        <f>IFERROR(AD410/(J410/7),"-")</f>
        <v>6.2222222222222223</v>
      </c>
      <c r="AK410" s="186">
        <f>IFERROR(TablaPrincipal[[#This Row],[LBS/HA]]/TablaPrincipal[[#This Row],[DIAS]],"-")</f>
        <v>55.037098458325666</v>
      </c>
      <c r="AL410" s="186">
        <f>IFERROR(TablaPrincipal[[#This Row],[CAM COSECHADOS TOTALES]]/TablaPrincipal[[#This Row],[ANIM SEMBRADOS]]*100,"-")</f>
        <v>39.002610089959212</v>
      </c>
      <c r="AM410" s="185">
        <v>46897</v>
      </c>
      <c r="AN410" s="187">
        <f>IFERROR(((TablaPrincipal[[#This Row],[BALANCEADO ACUMULADO (LBS)]]/2.2046)/TablaPrincipal[[#This Row],[HAS]])/TablaPrincipal[[#This Row],[DIAS]],"-")</f>
        <v>65.328725672415317</v>
      </c>
      <c r="AO410" s="184">
        <f>IFERROR(TablaPrincipal[[#This Row],[BALANCEADO ACUMULADO (LBS)]]/TablaPrincipal[[#This Row],[LIBRAS TOTALES]],"-")</f>
        <v>2.6168477745327037</v>
      </c>
      <c r="AP410" s="184"/>
      <c r="AQ410" s="184"/>
      <c r="AR410" s="185">
        <f>TablaPrincipal[[#This Row],[LIBRAS RALEO PLANTA]]-TablaPrincipal[[#This Row],[LIBRAS RALEO CAMARONERA]]</f>
        <v>-11128.82</v>
      </c>
      <c r="AS410" s="185">
        <f>TablaPrincipal[[#This Row],[LIBRAS PLANTA]]-TablaPrincipal[[#This Row],[LIBRAS CAMARONERA]]</f>
        <v>0</v>
      </c>
      <c r="AT410" s="187">
        <f>TablaPrincipal[[#This Row],[GRAMAJE RALEO PLANTA]]-TablaPrincipal[[#This Row],[GRAMAJE RALEO CAMARONERA]]</f>
        <v>2.1700000000000017</v>
      </c>
      <c r="AU410" s="187">
        <f>TablaPrincipal[[#This Row],[GRAMOS PLANTA]]-TablaPrincipal[[#This Row],[GRAMAJE CAMARONERA]]</f>
        <v>0</v>
      </c>
      <c r="AV410" s="183" t="str">
        <f>+VLOOKUP(TablaPrincipal[[#This Row],[CODIGO]],TablaCosechas[#All],10,0)</f>
        <v>JOSE CEDEÑO</v>
      </c>
      <c r="AW410" s="183" t="s">
        <v>250</v>
      </c>
      <c r="AX410" s="188" t="str">
        <f>+VLOOKUP(TablaPrincipal[[#This Row],[CODIGO]],TablaCosechas[#All],10,0)</f>
        <v>JOSE CEDEÑO</v>
      </c>
    </row>
    <row r="411" spans="1:50" x14ac:dyDescent="0.25">
      <c r="A411" s="196">
        <v>46163</v>
      </c>
      <c r="B411" s="242">
        <v>409</v>
      </c>
      <c r="C411" s="183">
        <f>YEAR(TablaPrincipal[[#This Row],[FECHA]])</f>
        <v>2026</v>
      </c>
      <c r="D411" s="183" t="s">
        <v>347</v>
      </c>
      <c r="E411" s="183" t="str">
        <f>UPPER(TEXT(TablaPrincipal[[#This Row],[FECHA]],"MMMM"))</f>
        <v>MAYO</v>
      </c>
      <c r="F411" s="183" t="str">
        <f>IFERROR(VLOOKUP(TablaPrincipal[[#This Row],[CODIGO]],COSECHAS!A:J,9,0),"-")</f>
        <v>33</v>
      </c>
      <c r="G411" s="183" t="str">
        <f>IFERROR(VLOOKUP(TablaPrincipal[[#This Row],[CODIGO]],COSECHAS!A:I,8,0),"-")</f>
        <v>WAHOO</v>
      </c>
      <c r="H411" s="184">
        <f>IFERROR(VLOOKUP(TablaPrincipal[[#This Row],[CODIGO]],DATOS!A:B,2,0),"-")</f>
        <v>11.5</v>
      </c>
      <c r="I411" s="183" t="str">
        <f>IFERROR(VLOOKUP(TablaPrincipal[[#This Row],[CODIGO]],Tabla8[[#Headers],[#Data]],3,0),"-")</f>
        <v>CONVENCIONAL</v>
      </c>
      <c r="J411" s="183">
        <f>IFERROR(TablaPrincipal[[#This Row],[FECHA]]-TablaPrincipal[[#This Row],[FECHA DE SIEMBRA]],"-")</f>
        <v>96</v>
      </c>
      <c r="K411" s="196">
        <f>VLOOKUP(TablaPrincipal[[#This Row],[CODIGO]]&amp;TablaPrincipal[[#This Row],[AGUAJE ]],Tabla4[#All],4,0)</f>
        <v>46067</v>
      </c>
      <c r="L411" s="183" t="str">
        <f>VLOOKUP(TablaPrincipal[[#This Row],[CODIGO]]&amp;TablaPrincipal[[#This Row],[AGUAJE ]],Tabla4[#All],15,0)</f>
        <v>WA PC12 - PS27</v>
      </c>
      <c r="M411" s="184">
        <f>VLOOKUP(TablaPrincipal[[#This Row],[CODIGO]]&amp;TablaPrincipal[[#This Row],[AGUAJE ]],Tabla4[#All],14,0)</f>
        <v>0.47</v>
      </c>
      <c r="N411" s="183" t="s">
        <v>116</v>
      </c>
      <c r="O411" s="170">
        <f>VLOOKUP(TablaPrincipal[[#This Row],[CODIGO]]&amp;TablaPrincipal[[#This Row],[AGUAJE ]],Tabla4[#All],5,0)</f>
        <v>2241000</v>
      </c>
      <c r="P411" s="221">
        <f>IFERROR(TablaPrincipal[[#This Row],[ANIM SEMBRADOS]]/TablaPrincipal[[#This Row],[HAS]],"-")</f>
        <v>194869.5652173913</v>
      </c>
      <c r="Q411" s="222">
        <f>IFERROR(TablaPrincipal[[#This Row],[DENSIDAD]]/10000,"-")</f>
        <v>19.486956521739131</v>
      </c>
      <c r="R411" s="183" t="str">
        <f>VLOOKUP(TablaPrincipal[[#This Row],[CODIGO]]&amp;TablaPrincipal[[#This Row],[AGUAJE ]],Tabla4[#All],8,0)</f>
        <v>TECSERV/GRILSAN</v>
      </c>
      <c r="S411" s="183" t="str">
        <f>VLOOKUP(TablaPrincipal[[#This Row],[CODIGO]]&amp;TablaPrincipal[[#This Row],[AGUAJE ]],Tabla4[#All],7,0)</f>
        <v>EMPAGRAN/TEXCUMAR</v>
      </c>
      <c r="T411" s="183" t="str">
        <f>IF(ISNUMBER(FIND("/",TablaPrincipal[[#This Row],[LABORATORIO]])),"COMBINADO","UNICO")</f>
        <v>COMBINADO</v>
      </c>
      <c r="U4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16000</v>
      </c>
      <c r="V411" s="1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17952.91</v>
      </c>
      <c r="W411" s="1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11" s="1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22.64</v>
      </c>
      <c r="Y411" s="185">
        <f>IFERROR(TablaPrincipal[[#This Row],[LIBRAS RALEO PLANTA]]/TablaPrincipal[[#This Row],[HAS]],"-")</f>
        <v>1561.1226086956522</v>
      </c>
      <c r="Z411" s="1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360009.76766784448</v>
      </c>
      <c r="AA41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30100</v>
      </c>
      <c r="AB41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30100</v>
      </c>
      <c r="AC411" s="186">
        <f>SUMIFS(COSECHAS!F:F,COSECHAS!A:A,'BASE 2026'!AW:AW,COSECHAS!G:G,"="&amp;A:A)</f>
        <v>30</v>
      </c>
      <c r="AD411" s="186">
        <f>SUMIFS(COSECHAS!M:M,COSECHAS!A:A,'BASE 2026'!AW:AW,COSECHAS!G:G,"="&amp;A:A)</f>
        <v>30</v>
      </c>
      <c r="AE411" s="185">
        <f>IFERROR(TablaPrincipal[[#This Row],[LIBRAS PLANTA]]/TablaPrincipal[[#This Row],[HAS]],"-")</f>
        <v>2617.391304347826</v>
      </c>
      <c r="AF411" s="185">
        <f>IFERROR(TablaPrincipal[[#This Row],[LIBRAS PLANTA]]*454/TablaPrincipal[[#This Row],[GRAMOS PLANTA]],"-")</f>
        <v>455513.33333333331</v>
      </c>
      <c r="AG411" s="185">
        <f>TablaPrincipal[[#This Row],[LIBRAS RALEO PLANTA]]+TablaPrincipal[[#This Row],[LIBRAS PLANTA]]</f>
        <v>48052.91</v>
      </c>
      <c r="AH411" s="185">
        <f>IFERROR(TablaPrincipal[[#This Row],[CAM COSECHADOS RALEO]]+TablaPrincipal[[#This Row],[CAM COSECHADOS]],"-")</f>
        <v>815523.1010011778</v>
      </c>
      <c r="AI411" s="185">
        <f>IFERROR((TablaPrincipal[[#This Row],[LIBRAS RALEO PLANTA]]+TablaPrincipal[[#This Row],[LIBRAS PLANTA]])/TablaPrincipal[[#This Row],[HAS]],"0")</f>
        <v>4178.5139130434782</v>
      </c>
      <c r="AJ411" s="186">
        <f>IFERROR(AD411/(J411/7),"-")</f>
        <v>2.1875</v>
      </c>
      <c r="AK411" s="186">
        <f>IFERROR(TablaPrincipal[[#This Row],[LBS/HA]]/TablaPrincipal[[#This Row],[DIAS]],"-")</f>
        <v>43.526186594202898</v>
      </c>
      <c r="AL411" s="186">
        <f>IFERROR(TablaPrincipal[[#This Row],[CAM COSECHADOS TOTALES]]/TablaPrincipal[[#This Row],[ANIM SEMBRADOS]]*100,"-")</f>
        <v>36.391035296795081</v>
      </c>
      <c r="AM411" s="185">
        <v>95827</v>
      </c>
      <c r="AN411" s="187">
        <f>IFERROR(((TablaPrincipal[[#This Row],[BALANCEADO ACUMULADO (LBS)]]/2.2046)/TablaPrincipal[[#This Row],[HAS]])/TablaPrincipal[[#This Row],[DIAS]],"-")</f>
        <v>39.372139544851542</v>
      </c>
      <c r="AO411" s="184">
        <f>IFERROR(TablaPrincipal[[#This Row],[BALANCEADO ACUMULADO (LBS)]]/TablaPrincipal[[#This Row],[LIBRAS TOTALES]],"-")</f>
        <v>1.9941976458865862</v>
      </c>
      <c r="AP411" s="184"/>
      <c r="AQ411" s="184"/>
      <c r="AR411" s="185">
        <f>TablaPrincipal[[#This Row],[LIBRAS RALEO PLANTA]]-TablaPrincipal[[#This Row],[LIBRAS RALEO CAMARONERA]]</f>
        <v>1952.9099999999999</v>
      </c>
      <c r="AS411" s="185">
        <f>TablaPrincipal[[#This Row],[LIBRAS PLANTA]]-TablaPrincipal[[#This Row],[LIBRAS CAMARONERA]]</f>
        <v>0</v>
      </c>
      <c r="AT411" s="187">
        <f>TablaPrincipal[[#This Row],[GRAMAJE RALEO PLANTA]]-TablaPrincipal[[#This Row],[GRAMAJE RALEO CAMARONERA]]</f>
        <v>0.64000000000000057</v>
      </c>
      <c r="AU411" s="187">
        <f>TablaPrincipal[[#This Row],[GRAMOS PLANTA]]-TablaPrincipal[[#This Row],[GRAMAJE CAMARONERA]]</f>
        <v>0</v>
      </c>
      <c r="AV411" s="183" t="str">
        <f>+VLOOKUP(TablaPrincipal[[#This Row],[CODIGO]],TablaCosechas[#All],10,0)</f>
        <v>JUNIOR ESQUIVEL</v>
      </c>
      <c r="AW411" s="183" t="s">
        <v>352</v>
      </c>
      <c r="AX411" s="188" t="str">
        <f>+VLOOKUP(TablaPrincipal[[#This Row],[CODIGO]],TablaCosechas[#All],10,0)</f>
        <v>JUNIOR ESQUIVEL</v>
      </c>
    </row>
    <row r="412" spans="1:50" x14ac:dyDescent="0.25">
      <c r="A412" s="283">
        <v>46164</v>
      </c>
      <c r="B412" s="242">
        <v>410</v>
      </c>
      <c r="C412" s="183">
        <f>YEAR(TablaPrincipal[[#This Row],[FECHA]])</f>
        <v>2026</v>
      </c>
      <c r="D412" s="183" t="s">
        <v>347</v>
      </c>
      <c r="E412" s="281" t="str">
        <f>UPPER(TEXT(TablaPrincipal[[#This Row],[FECHA]],"MMMM"))</f>
        <v>MAYO</v>
      </c>
      <c r="F412" s="281" t="str">
        <f>IFERROR(VLOOKUP(TablaPrincipal[[#This Row],[CODIGO]],COSECHAS!A:J,9,0),"-")</f>
        <v>06</v>
      </c>
      <c r="G412" s="281" t="str">
        <f>IFERROR(VLOOKUP(TablaPrincipal[[#This Row],[CODIGO]],COSECHAS!A:I,8,0),"-")</f>
        <v>GUATO</v>
      </c>
      <c r="H412" s="284">
        <f>IFERROR(VLOOKUP(TablaPrincipal[[#This Row],[CODIGO]],DATOS!A:B,2,0),"-")</f>
        <v>9.8000000000000007</v>
      </c>
      <c r="I412" s="281" t="str">
        <f>IFERROR(VLOOKUP(TablaPrincipal[[#This Row],[CODIGO]],Tabla8[[#Headers],[#Data]],3,0),"-")</f>
        <v>CONVENCIONAL</v>
      </c>
      <c r="J412" s="281">
        <f>IFERROR(TablaPrincipal[[#This Row],[FECHA]]-TablaPrincipal[[#This Row],[FECHA DE SIEMBRA]],"-")</f>
        <v>78</v>
      </c>
      <c r="K412" s="283">
        <f>VLOOKUP(TablaPrincipal[[#This Row],[CODIGO]]&amp;TablaPrincipal[[#This Row],[AGUAJE ]],Tabla4[#All],4,0)</f>
        <v>46086</v>
      </c>
      <c r="L412" s="281" t="str">
        <f>VLOOKUP(TablaPrincipal[[#This Row],[CODIGO]]&amp;TablaPrincipal[[#This Row],[AGUAJE ]],Tabla4[#All],15,0)</f>
        <v>GT PC 05</v>
      </c>
      <c r="M412" s="284">
        <f>VLOOKUP(TablaPrincipal[[#This Row],[CODIGO]]&amp;TablaPrincipal[[#This Row],[AGUAJE ]],Tabla4[#All],14,0)</f>
        <v>0.88</v>
      </c>
      <c r="N412" s="281">
        <v>17</v>
      </c>
      <c r="O412" s="170">
        <f>VLOOKUP(TablaPrincipal[[#This Row],[CODIGO]]&amp;TablaPrincipal[[#This Row],[AGUAJE ]],Tabla4[#All],5,0)</f>
        <v>1568000</v>
      </c>
      <c r="P412" s="221">
        <f>IFERROR(TablaPrincipal[[#This Row],[ANIM SEMBRADOS]]/TablaPrincipal[[#This Row],[HAS]],"-")</f>
        <v>160000</v>
      </c>
      <c r="Q412" s="222">
        <f>IFERROR(TablaPrincipal[[#This Row],[DENSIDAD]]/10000,"-")</f>
        <v>16</v>
      </c>
      <c r="R412" s="281" t="str">
        <f>VLOOKUP(TablaPrincipal[[#This Row],[CODIGO]]&amp;TablaPrincipal[[#This Row],[AGUAJE ]],Tabla4[#All],8,0)</f>
        <v>TECSERV</v>
      </c>
      <c r="S412" s="281" t="str">
        <f>VLOOKUP(TablaPrincipal[[#This Row],[CODIGO]]&amp;TablaPrincipal[[#This Row],[AGUAJE ]],Tabla4[#All],7,0)</f>
        <v>SEMACUA</v>
      </c>
      <c r="T412" s="281" t="str">
        <f>IF(ISNUMBER(FIND("/",TablaPrincipal[[#This Row],[LABORATORIO]])),"COMBINADO","UNICO")</f>
        <v>UNICO</v>
      </c>
      <c r="U41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20700</v>
      </c>
      <c r="V412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21894.07</v>
      </c>
      <c r="W412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412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26.9</v>
      </c>
      <c r="Y412" s="285">
        <f>IFERROR(TablaPrincipal[[#This Row],[LIBRAS RALEO PLANTA]]/TablaPrincipal[[#This Row],[HAS]],"-")</f>
        <v>2234.088775510204</v>
      </c>
      <c r="Z412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370750.30155038764</v>
      </c>
      <c r="AA412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B41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32700</v>
      </c>
      <c r="AC412" s="286">
        <f>SUMIFS(COSECHAS!F:F,COSECHAS!A:A,'BASE 2026'!AW:AW,COSECHAS!G:G,"="&amp;A:A)</f>
        <v>31</v>
      </c>
      <c r="AD412" s="286">
        <f>SUMIFS(COSECHAS!M:M,COSECHAS!A:A,'BASE 2026'!AW:AW,COSECHAS!G:G,"="&amp;A:A)</f>
        <v>31</v>
      </c>
      <c r="AE412" s="285">
        <f>IFERROR(TablaPrincipal[[#This Row],[LIBRAS PLANTA]]/TablaPrincipal[[#This Row],[HAS]],"-")</f>
        <v>3336.7346938775509</v>
      </c>
      <c r="AF412" s="285">
        <f>IFERROR(TablaPrincipal[[#This Row],[LIBRAS PLANTA]]*454/TablaPrincipal[[#This Row],[GRAMOS PLANTA]],"-")</f>
        <v>478896.77419354836</v>
      </c>
      <c r="AG412" s="285">
        <f>TablaPrincipal[[#This Row],[LIBRAS RALEO PLANTA]]+TablaPrincipal[[#This Row],[LIBRAS PLANTA]]</f>
        <v>54594.07</v>
      </c>
      <c r="AH412" s="285">
        <f>IFERROR(TablaPrincipal[[#This Row],[CAM COSECHADOS RALEO]]+TablaPrincipal[[#This Row],[CAM COSECHADOS]],"-")</f>
        <v>849647.075743936</v>
      </c>
      <c r="AI412" s="285">
        <f>IFERROR((TablaPrincipal[[#This Row],[LIBRAS RALEO PLANTA]]+TablaPrincipal[[#This Row],[LIBRAS PLANTA]])/TablaPrincipal[[#This Row],[HAS]],"0")</f>
        <v>5570.8234693877548</v>
      </c>
      <c r="AJ412" s="286">
        <f t="shared" ref="AJ412:AJ414" si="17">IFERROR(AD412/(J412/7),"-")</f>
        <v>2.7820512820512824</v>
      </c>
      <c r="AK412" s="286">
        <f>IFERROR(TablaPrincipal[[#This Row],[LBS/HA]]/TablaPrincipal[[#This Row],[DIAS]],"-")</f>
        <v>71.420813710099424</v>
      </c>
      <c r="AL412" s="286">
        <f>IFERROR(TablaPrincipal[[#This Row],[CAM COSECHADOS TOTALES]]/TablaPrincipal[[#This Row],[ANIM SEMBRADOS]]*100,"-")</f>
        <v>54.18667574897551</v>
      </c>
      <c r="AM412" s="285">
        <v>86861.24</v>
      </c>
      <c r="AN412" s="287">
        <f>IFERROR(((TablaPrincipal[[#This Row],[BALANCEADO ACUMULADO (LBS)]]/2.2046)/TablaPrincipal[[#This Row],[HAS]])/TablaPrincipal[[#This Row],[DIAS]],"-")</f>
        <v>51.543694400837254</v>
      </c>
      <c r="AO412" s="284">
        <f>IFERROR(TablaPrincipal[[#This Row],[BALANCEADO ACUMULADO (LBS)]]/TablaPrincipal[[#This Row],[LIBRAS TOTALES]],"-")</f>
        <v>1.5910380010136633</v>
      </c>
      <c r="AP412" s="284"/>
      <c r="AQ412" s="284"/>
      <c r="AR412" s="285">
        <f>TablaPrincipal[[#This Row],[LIBRAS RALEO PLANTA]]-TablaPrincipal[[#This Row],[LIBRAS RALEO CAMARONERA]]</f>
        <v>1194.0699999999997</v>
      </c>
      <c r="AS412" s="285">
        <f>TablaPrincipal[[#This Row],[LIBRAS PLANTA]]-TablaPrincipal[[#This Row],[LIBRAS CAMARONERA]]</f>
        <v>0</v>
      </c>
      <c r="AT412" s="287">
        <f>TablaPrincipal[[#This Row],[GRAMAJE RALEO PLANTA]]-TablaPrincipal[[#This Row],[GRAMAJE RALEO CAMARONERA]]</f>
        <v>1.3999999999999986</v>
      </c>
      <c r="AU412" s="287">
        <f>TablaPrincipal[[#This Row],[GRAMOS PLANTA]]-TablaPrincipal[[#This Row],[GRAMAJE CAMARONERA]]</f>
        <v>0</v>
      </c>
      <c r="AV412" s="281" t="str">
        <f>+VLOOKUP(TablaPrincipal[[#This Row],[CODIGO]],TablaCosechas[#All],10,0)</f>
        <v>JULIO SANTOS</v>
      </c>
      <c r="AW412" s="281" t="s">
        <v>238</v>
      </c>
      <c r="AX412" s="282" t="str">
        <f>+VLOOKUP(TablaPrincipal[[#This Row],[CODIGO]],TablaCosechas[#All],10,0)</f>
        <v>JULIO SANTOS</v>
      </c>
    </row>
    <row r="413" spans="1:50" x14ac:dyDescent="0.25">
      <c r="A413" s="283">
        <v>46164</v>
      </c>
      <c r="B413" s="242">
        <v>411</v>
      </c>
      <c r="C413" s="183">
        <f>YEAR(TablaPrincipal[[#This Row],[FECHA]])</f>
        <v>2026</v>
      </c>
      <c r="D413" s="183" t="s">
        <v>347</v>
      </c>
      <c r="E413" s="281" t="str">
        <f>UPPER(TEXT(TablaPrincipal[[#This Row],[FECHA]],"MMMM"))</f>
        <v>MAYO</v>
      </c>
      <c r="F413" s="281" t="str">
        <f>IFERROR(VLOOKUP(TablaPrincipal[[#This Row],[CODIGO]],COSECHAS!A:J,9,0),"-")</f>
        <v>34</v>
      </c>
      <c r="G413" s="281" t="str">
        <f>IFERROR(VLOOKUP(TablaPrincipal[[#This Row],[CODIGO]],COSECHAS!A:I,8,0),"-")</f>
        <v>WAHOO</v>
      </c>
      <c r="H413" s="284">
        <f>IFERROR(VLOOKUP(TablaPrincipal[[#This Row],[CODIGO]],DATOS!A:B,2,0),"-")</f>
        <v>5.2</v>
      </c>
      <c r="I413" s="281" t="str">
        <f>IFERROR(VLOOKUP(TablaPrincipal[[#This Row],[CODIGO]],Tabla8[[#Headers],[#Data]],3,0),"-")</f>
        <v>CONVENCIONAL</v>
      </c>
      <c r="J413" s="281">
        <f>IFERROR(TablaPrincipal[[#This Row],[FECHA]]-TablaPrincipal[[#This Row],[FECHA DE SIEMBRA]],"-")</f>
        <v>95</v>
      </c>
      <c r="K413" s="283">
        <f>VLOOKUP(TablaPrincipal[[#This Row],[CODIGO]]&amp;TablaPrincipal[[#This Row],[AGUAJE ]],Tabla4[#All],4,0)</f>
        <v>46069</v>
      </c>
      <c r="L413" s="281" t="str">
        <f>VLOOKUP(TablaPrincipal[[#This Row],[CODIGO]]&amp;TablaPrincipal[[#This Row],[AGUAJE ]],Tabla4[#All],15,0)</f>
        <v>WA 13</v>
      </c>
      <c r="M413" s="284">
        <f>VLOOKUP(TablaPrincipal[[#This Row],[CODIGO]]&amp;TablaPrincipal[[#This Row],[AGUAJE ]],Tabla4[#All],14,0)</f>
        <v>0.55000000000000004</v>
      </c>
      <c r="N413" s="281" t="s">
        <v>116</v>
      </c>
      <c r="O413" s="170">
        <f>VLOOKUP(TablaPrincipal[[#This Row],[CODIGO]]&amp;TablaPrincipal[[#This Row],[AGUAJE ]],Tabla4[#All],5,0)</f>
        <v>910000</v>
      </c>
      <c r="P413" s="221">
        <f>IFERROR(TablaPrincipal[[#This Row],[ANIM SEMBRADOS]]/TablaPrincipal[[#This Row],[HAS]],"-")</f>
        <v>175000</v>
      </c>
      <c r="Q413" s="222">
        <f>IFERROR(TablaPrincipal[[#This Row],[DENSIDAD]]/10000,"-")</f>
        <v>17.5</v>
      </c>
      <c r="R413" s="281" t="str">
        <f>VLOOKUP(TablaPrincipal[[#This Row],[CODIGO]]&amp;TablaPrincipal[[#This Row],[AGUAJE ]],Tabla4[#All],8,0)</f>
        <v>AMBARTEK</v>
      </c>
      <c r="S413" s="281" t="str">
        <f>VLOOKUP(TablaPrincipal[[#This Row],[CODIGO]]&amp;TablaPrincipal[[#This Row],[AGUAJE ]],Tabla4[#All],7,0)</f>
        <v>PRONAUPLIO</v>
      </c>
      <c r="T413" s="281" t="str">
        <f>IF(ISNUMBER(FIND("/",TablaPrincipal[[#This Row],[LABORATORIO]])),"COMBINADO","UNICO")</f>
        <v>UNICO</v>
      </c>
      <c r="U41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7200</v>
      </c>
      <c r="V413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7438.1</v>
      </c>
      <c r="W413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21</v>
      </c>
      <c r="X413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20.100000000000001</v>
      </c>
      <c r="Y413" s="285">
        <f>IFERROR(TablaPrincipal[[#This Row],[LIBRAS RALEO PLANTA]]/TablaPrincipal[[#This Row],[HAS]],"-")</f>
        <v>1430.4038461538462</v>
      </c>
      <c r="Z413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168004.84577114429</v>
      </c>
      <c r="AA413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27007</v>
      </c>
      <c r="AB41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27007</v>
      </c>
      <c r="AC413" s="286">
        <f>SUMIFS(COSECHAS!F:F,COSECHAS!A:A,'BASE 2026'!AW:AW,COSECHAS!G:G,"="&amp;A:A)</f>
        <v>32</v>
      </c>
      <c r="AD413" s="286">
        <f>SUMIFS(COSECHAS!M:M,COSECHAS!A:A,'BASE 2026'!AW:AW,COSECHAS!G:G,"="&amp;A:A)</f>
        <v>32</v>
      </c>
      <c r="AE413" s="285">
        <f>IFERROR(TablaPrincipal[[#This Row],[LIBRAS PLANTA]]/TablaPrincipal[[#This Row],[HAS]],"-")</f>
        <v>5193.6538461538457</v>
      </c>
      <c r="AF413" s="285">
        <f>IFERROR(TablaPrincipal[[#This Row],[LIBRAS PLANTA]]*454/TablaPrincipal[[#This Row],[GRAMOS PLANTA]],"-")</f>
        <v>383161.8125</v>
      </c>
      <c r="AG413" s="285">
        <f>TablaPrincipal[[#This Row],[LIBRAS RALEO PLANTA]]+TablaPrincipal[[#This Row],[LIBRAS PLANTA]]</f>
        <v>34445.1</v>
      </c>
      <c r="AH413" s="285">
        <f>IFERROR(TablaPrincipal[[#This Row],[CAM COSECHADOS RALEO]]+TablaPrincipal[[#This Row],[CAM COSECHADOS]],"-")</f>
        <v>551166.65827114426</v>
      </c>
      <c r="AI413" s="285">
        <f>IFERROR((TablaPrincipal[[#This Row],[LIBRAS RALEO PLANTA]]+TablaPrincipal[[#This Row],[LIBRAS PLANTA]])/TablaPrincipal[[#This Row],[HAS]],"0")</f>
        <v>6624.0576923076915</v>
      </c>
      <c r="AJ413" s="286">
        <f t="shared" si="17"/>
        <v>2.3578947368421055</v>
      </c>
      <c r="AK413" s="286">
        <f>IFERROR(TablaPrincipal[[#This Row],[LBS/HA]]/TablaPrincipal[[#This Row],[DIAS]],"-")</f>
        <v>69.726923076923072</v>
      </c>
      <c r="AL413" s="286">
        <f>IFERROR(TablaPrincipal[[#This Row],[CAM COSECHADOS TOTALES]]/TablaPrincipal[[#This Row],[ANIM SEMBRADOS]]*100,"-")</f>
        <v>60.567764645180688</v>
      </c>
      <c r="AM413" s="285">
        <v>58623</v>
      </c>
      <c r="AN413" s="287">
        <f>IFERROR(((TablaPrincipal[[#This Row],[BALANCEADO ACUMULADO (LBS)]]/2.2046)/TablaPrincipal[[#This Row],[HAS]])/TablaPrincipal[[#This Row],[DIAS]],"-")</f>
        <v>53.828377250217706</v>
      </c>
      <c r="AO413" s="284">
        <f>IFERROR(TablaPrincipal[[#This Row],[BALANCEADO ACUMULADO (LBS)]]/TablaPrincipal[[#This Row],[LIBRAS TOTALES]],"-")</f>
        <v>1.7019256730275134</v>
      </c>
      <c r="AP413" s="284"/>
      <c r="AQ413" s="284"/>
      <c r="AR413" s="285">
        <f>TablaPrincipal[[#This Row],[LIBRAS RALEO PLANTA]]-TablaPrincipal[[#This Row],[LIBRAS RALEO CAMARONERA]]</f>
        <v>238.10000000000036</v>
      </c>
      <c r="AS413" s="285">
        <f>TablaPrincipal[[#This Row],[LIBRAS PLANTA]]-TablaPrincipal[[#This Row],[LIBRAS CAMARONERA]]</f>
        <v>0</v>
      </c>
      <c r="AT413" s="287">
        <f>TablaPrincipal[[#This Row],[GRAMAJE RALEO PLANTA]]-TablaPrincipal[[#This Row],[GRAMAJE RALEO CAMARONERA]]</f>
        <v>-0.89999999999999858</v>
      </c>
      <c r="AU413" s="287">
        <f>TablaPrincipal[[#This Row],[GRAMOS PLANTA]]-TablaPrincipal[[#This Row],[GRAMAJE CAMARONERA]]</f>
        <v>0</v>
      </c>
      <c r="AV413" s="281" t="str">
        <f>+VLOOKUP(TablaPrincipal[[#This Row],[CODIGO]],TablaCosechas[#All],10,0)</f>
        <v>JUNIOR ESQUIVEL</v>
      </c>
      <c r="AW413" s="281" t="s">
        <v>377</v>
      </c>
      <c r="AX413" s="282" t="str">
        <f>+VLOOKUP(TablaPrincipal[[#This Row],[CODIGO]],TablaCosechas[#All],10,0)</f>
        <v>JUNIOR ESQUIVEL</v>
      </c>
    </row>
    <row r="414" spans="1:50" x14ac:dyDescent="0.25">
      <c r="A414" s="283">
        <v>46164</v>
      </c>
      <c r="B414" s="242">
        <v>412</v>
      </c>
      <c r="C414" s="183">
        <f>YEAR(TablaPrincipal[[#This Row],[FECHA]])</f>
        <v>2026</v>
      </c>
      <c r="D414" s="183" t="s">
        <v>347</v>
      </c>
      <c r="E414" s="281" t="str">
        <f>UPPER(TEXT(TablaPrincipal[[#This Row],[FECHA]],"MMMM"))</f>
        <v>MAYO</v>
      </c>
      <c r="F414" s="281" t="str">
        <f>IFERROR(VLOOKUP(TablaPrincipal[[#This Row],[CODIGO]],COSECHAS!A:J,9,0),"-")</f>
        <v>08</v>
      </c>
      <c r="G414" s="281" t="str">
        <f>IFERROR(VLOOKUP(TablaPrincipal[[#This Row],[CODIGO]],COSECHAS!A:I,8,0),"-")</f>
        <v>TAMBULERO</v>
      </c>
      <c r="H414" s="284">
        <f>IFERROR(VLOOKUP(TablaPrincipal[[#This Row],[CODIGO]],DATOS!A:B,2,0),"-")</f>
        <v>8</v>
      </c>
      <c r="I414" s="281" t="str">
        <f>IFERROR(VLOOKUP(TablaPrincipal[[#This Row],[CODIGO]],Tabla8[[#Headers],[#Data]],3,0),"-")</f>
        <v>ASC-BAP</v>
      </c>
      <c r="J414" s="281">
        <f>IFERROR(TablaPrincipal[[#This Row],[FECHA]]-TablaPrincipal[[#This Row],[FECHA DE SIEMBRA]],"-")</f>
        <v>55</v>
      </c>
      <c r="K414" s="283">
        <f>VLOOKUP(TablaPrincipal[[#This Row],[CODIGO]]&amp;TablaPrincipal[[#This Row],[AGUAJE ]],Tabla4[#All],4,0)</f>
        <v>46109</v>
      </c>
      <c r="L414" s="281" t="str">
        <f>VLOOKUP(TablaPrincipal[[#This Row],[CODIGO]]&amp;TablaPrincipal[[#This Row],[AGUAJE ]],Tabla4[#All],15,0)</f>
        <v>TA PC 09</v>
      </c>
      <c r="M414" s="284">
        <f>VLOOKUP(TablaPrincipal[[#This Row],[CODIGO]]&amp;TablaPrincipal[[#This Row],[AGUAJE ]],Tabla4[#All],14,0)</f>
        <v>7.5</v>
      </c>
      <c r="N414" s="281">
        <v>4</v>
      </c>
      <c r="O414" s="170">
        <f>VLOOKUP(TablaPrincipal[[#This Row],[CODIGO]]&amp;TablaPrincipal[[#This Row],[AGUAJE ]],Tabla4[#All],5,0)</f>
        <v>1040000</v>
      </c>
      <c r="P414" s="221">
        <f>IFERROR(TablaPrincipal[[#This Row],[ANIM SEMBRADOS]]/TablaPrincipal[[#This Row],[HAS]],"-")</f>
        <v>130000</v>
      </c>
      <c r="Q414" s="222">
        <f>IFERROR(TablaPrincipal[[#This Row],[DENSIDAD]]/10000,"-")</f>
        <v>13</v>
      </c>
      <c r="R414" s="281" t="str">
        <f>VLOOKUP(TablaPrincipal[[#This Row],[CODIGO]]&amp;TablaPrincipal[[#This Row],[AGUAJE ]],Tabla4[#All],8,0)</f>
        <v>TECSERV</v>
      </c>
      <c r="S414" s="281" t="str">
        <f>VLOOKUP(TablaPrincipal[[#This Row],[CODIGO]]&amp;TablaPrincipal[[#This Row],[AGUAJE ]],Tabla4[#All],7,0)</f>
        <v>SEMACUA</v>
      </c>
      <c r="T414" s="281" t="str">
        <f>IF(ISNUMBER(FIND("/",TablaPrincipal[[#This Row],[LABORATORIO]])),"COMBINADO","UNICO")</f>
        <v>UNICO</v>
      </c>
      <c r="U41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21000</v>
      </c>
      <c r="V414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21598.2</v>
      </c>
      <c r="W414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</v>
      </c>
      <c r="X414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29.15</v>
      </c>
      <c r="Y414" s="285">
        <f>IFERROR(TablaPrincipal[[#This Row],[LIBRAS RALEO PLANTA]]/TablaPrincipal[[#This Row],[HAS]],"-")</f>
        <v>2699.7750000000001</v>
      </c>
      <c r="Z414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338769.73390557943</v>
      </c>
      <c r="AA414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18100</v>
      </c>
      <c r="AB41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18100</v>
      </c>
      <c r="AC414" s="286">
        <f>SUMIFS(COSECHAS!F:F,COSECHAS!A:A,'BASE 2026'!AW:AW,COSECHAS!G:G,"="&amp;A:A)</f>
        <v>35</v>
      </c>
      <c r="AD414" s="286">
        <f>SUMIFS(COSECHAS!M:M,COSECHAS!A:A,'BASE 2026'!AW:AW,COSECHAS!G:G,"="&amp;A:A)</f>
        <v>35</v>
      </c>
      <c r="AE414" s="285">
        <f>IFERROR(TablaPrincipal[[#This Row],[LIBRAS PLANTA]]/TablaPrincipal[[#This Row],[HAS]],"-")</f>
        <v>2262.5</v>
      </c>
      <c r="AF414" s="285">
        <f>IFERROR(TablaPrincipal[[#This Row],[LIBRAS PLANTA]]*454/TablaPrincipal[[#This Row],[GRAMOS PLANTA]],"-")</f>
        <v>234782.85714285713</v>
      </c>
      <c r="AG414" s="285">
        <f>TablaPrincipal[[#This Row],[LIBRAS RALEO PLANTA]]+TablaPrincipal[[#This Row],[LIBRAS PLANTA]]</f>
        <v>39698.199999999997</v>
      </c>
      <c r="AH414" s="285">
        <f>IFERROR(TablaPrincipal[[#This Row],[CAM COSECHADOS RALEO]]+TablaPrincipal[[#This Row],[CAM COSECHADOS]],"-")</f>
        <v>573552.59104843659</v>
      </c>
      <c r="AI414" s="285">
        <f>IFERROR((TablaPrincipal[[#This Row],[LIBRAS RALEO PLANTA]]+TablaPrincipal[[#This Row],[LIBRAS PLANTA]])/TablaPrincipal[[#This Row],[HAS]],"0")</f>
        <v>4962.2749999999996</v>
      </c>
      <c r="AJ414" s="286">
        <f t="shared" si="17"/>
        <v>4.454545454545455</v>
      </c>
      <c r="AK414" s="286">
        <f>IFERROR(TablaPrincipal[[#This Row],[LBS/HA]]/TablaPrincipal[[#This Row],[DIAS]],"-")</f>
        <v>90.223181818181814</v>
      </c>
      <c r="AL414" s="286">
        <f>IFERROR(TablaPrincipal[[#This Row],[CAM COSECHADOS TOTALES]]/TablaPrincipal[[#This Row],[ANIM SEMBRADOS]]*100,"-")</f>
        <v>55.149287600811213</v>
      </c>
      <c r="AM414" s="285">
        <v>67846.565000000002</v>
      </c>
      <c r="AN414" s="287">
        <f>IFERROR(((TablaPrincipal[[#This Row],[BALANCEADO ACUMULADO (LBS)]]/2.2046)/TablaPrincipal[[#This Row],[HAS]])/TablaPrincipal[[#This Row],[DIAS]],"-")</f>
        <v>69.943181818181813</v>
      </c>
      <c r="AO414" s="284">
        <f>IFERROR(TablaPrincipal[[#This Row],[BALANCEADO ACUMULADO (LBS)]]/TablaPrincipal[[#This Row],[LIBRAS TOTALES]],"-")</f>
        <v>1.7090589749661196</v>
      </c>
      <c r="AP414" s="284"/>
      <c r="AQ414" s="284"/>
      <c r="AR414" s="285">
        <f>TablaPrincipal[[#This Row],[LIBRAS RALEO PLANTA]]-TablaPrincipal[[#This Row],[LIBRAS RALEO CAMARONERA]]</f>
        <v>598.20000000000073</v>
      </c>
      <c r="AS414" s="285">
        <f>TablaPrincipal[[#This Row],[LIBRAS PLANTA]]-TablaPrincipal[[#This Row],[LIBRAS CAMARONERA]]</f>
        <v>0</v>
      </c>
      <c r="AT414" s="287">
        <f>TablaPrincipal[[#This Row],[GRAMAJE RALEO PLANTA]]-TablaPrincipal[[#This Row],[GRAMAJE RALEO CAMARONERA]]</f>
        <v>0.14999999999999858</v>
      </c>
      <c r="AU414" s="287">
        <f>TablaPrincipal[[#This Row],[GRAMOS PLANTA]]-TablaPrincipal[[#This Row],[GRAMAJE CAMARONERA]]</f>
        <v>0</v>
      </c>
      <c r="AV414" s="281" t="str">
        <f>+VLOOKUP(TablaPrincipal[[#This Row],[CODIGO]],TablaCosechas[#All],10,0)</f>
        <v>ALFONSO GRUNAUER</v>
      </c>
      <c r="AW414" s="281" t="s">
        <v>143</v>
      </c>
      <c r="AX414" s="288" t="str">
        <f>+VLOOKUP(TablaPrincipal[[#This Row],[CODIGO]],TablaCosechas[#All],10,0)</f>
        <v>ALFONSO GRUNAUER</v>
      </c>
    </row>
    <row r="415" spans="1:50" x14ac:dyDescent="0.25">
      <c r="A415" s="283">
        <v>46165</v>
      </c>
      <c r="B415" s="242">
        <v>413</v>
      </c>
      <c r="C415" s="281">
        <f>YEAR(TablaPrincipal[[#This Row],[FECHA]])</f>
        <v>2026</v>
      </c>
      <c r="D415" s="183" t="s">
        <v>347</v>
      </c>
      <c r="E415" s="281" t="str">
        <f>UPPER(TEXT(TablaPrincipal[[#This Row],[FECHA]],"MMMM"))</f>
        <v>MAYO</v>
      </c>
      <c r="F415" s="281" t="str">
        <f>IFERROR(VLOOKUP(TablaPrincipal[[#This Row],[CODIGO]],COSECHAS!A:J,9,0),"-")</f>
        <v>16</v>
      </c>
      <c r="G415" s="281" t="str">
        <f>IFERROR(VLOOKUP(TablaPrincipal[[#This Row],[CODIGO]],COSECHAS!A:I,8,0),"-")</f>
        <v>GUATO</v>
      </c>
      <c r="H415" s="284">
        <f>IFERROR(VLOOKUP(TablaPrincipal[[#This Row],[CODIGO]],DATOS!A:B,2,0),"-")</f>
        <v>2.4</v>
      </c>
      <c r="I415" s="281" t="str">
        <f>IFERROR(VLOOKUP(TablaPrincipal[[#This Row],[CODIGO]],Tabla8[[#Headers],[#Data]],3,0),"-")</f>
        <v>CONVENCIONAL</v>
      </c>
      <c r="J415" s="281">
        <f>IFERROR(TablaPrincipal[[#This Row],[FECHA]]-TablaPrincipal[[#This Row],[FECHA DE SIEMBRA]],"-")</f>
        <v>82</v>
      </c>
      <c r="K415" s="283">
        <f>VLOOKUP(TablaPrincipal[[#This Row],[CODIGO]]&amp;TablaPrincipal[[#This Row],[AGUAJE ]],Tabla4[#All],4,0)</f>
        <v>46083</v>
      </c>
      <c r="L415" s="281" t="str">
        <f>VLOOKUP(TablaPrincipal[[#This Row],[CODIGO]]&amp;TablaPrincipal[[#This Row],[AGUAJE ]],Tabla4[#All],15,0)</f>
        <v>GT 7</v>
      </c>
      <c r="M415" s="284">
        <f>VLOOKUP(TablaPrincipal[[#This Row],[CODIGO]]&amp;TablaPrincipal[[#This Row],[AGUAJE ]],Tabla4[#All],14,0)</f>
        <v>0.51</v>
      </c>
      <c r="N415" s="281">
        <v>16</v>
      </c>
      <c r="O415" s="170">
        <f>VLOOKUP(TablaPrincipal[[#This Row],[CODIGO]]&amp;TablaPrincipal[[#This Row],[AGUAJE ]],Tabla4[#All],5,0)</f>
        <v>396000</v>
      </c>
      <c r="P415" s="221">
        <f>IFERROR(TablaPrincipal[[#This Row],[ANIM SEMBRADOS]]/TablaPrincipal[[#This Row],[HAS]],"-")</f>
        <v>165000</v>
      </c>
      <c r="Q415" s="222">
        <f>IFERROR(TablaPrincipal[[#This Row],[DENSIDAD]]/10000,"-")</f>
        <v>16.5</v>
      </c>
      <c r="R415" s="281" t="str">
        <f>VLOOKUP(TablaPrincipal[[#This Row],[CODIGO]]&amp;TablaPrincipal[[#This Row],[AGUAJE ]],Tabla4[#All],8,0)</f>
        <v>TECSERV</v>
      </c>
      <c r="S415" s="281" t="str">
        <f>VLOOKUP(TablaPrincipal[[#This Row],[CODIGO]]&amp;TablaPrincipal[[#This Row],[AGUAJE ]],Tabla4[#All],7,0)</f>
        <v>SEMACUA</v>
      </c>
      <c r="T415" s="281" t="str">
        <f>IF(ISNUMBER(FIND("/",TablaPrincipal[[#This Row],[LABORATORIO]])),"COMBINADO","UNICO")</f>
        <v>UNICO</v>
      </c>
      <c r="U41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4950</v>
      </c>
      <c r="V415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5718.7</v>
      </c>
      <c r="W415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415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24.189999999999998</v>
      </c>
      <c r="Y415" s="285">
        <f>IFERROR(TablaPrincipal[[#This Row],[LIBRAS RALEO PLANTA]]/TablaPrincipal[[#This Row],[HAS]],"-")</f>
        <v>2382.7916666666665</v>
      </c>
      <c r="Z415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110827.48259016735</v>
      </c>
      <c r="AA415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7400</v>
      </c>
      <c r="AB41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7400</v>
      </c>
      <c r="AC415" s="286">
        <f>SUMIFS(COSECHAS!F:F,COSECHAS!A:A,'BASE 2026'!AW:AW,COSECHAS!G:G,"="&amp;A:A)</f>
        <v>29</v>
      </c>
      <c r="AD415" s="286">
        <f>SUMIFS(COSECHAS!M:M,COSECHAS!A:A,'BASE 2026'!AW:AW,COSECHAS!G:G,"="&amp;A:A)</f>
        <v>29</v>
      </c>
      <c r="AE415" s="285">
        <f>IFERROR(TablaPrincipal[[#This Row],[LIBRAS PLANTA]]/TablaPrincipal[[#This Row],[HAS]],"-")</f>
        <v>3083.3333333333335</v>
      </c>
      <c r="AF415" s="285">
        <f>IFERROR(TablaPrincipal[[#This Row],[LIBRAS PLANTA]]*454/TablaPrincipal[[#This Row],[GRAMOS PLANTA]],"-")</f>
        <v>115848.27586206897</v>
      </c>
      <c r="AG415" s="285">
        <f>TablaPrincipal[[#This Row],[LIBRAS RALEO PLANTA]]+TablaPrincipal[[#This Row],[LIBRAS PLANTA]]</f>
        <v>13118.7</v>
      </c>
      <c r="AH415" s="285">
        <f>IFERROR(TablaPrincipal[[#This Row],[CAM COSECHADOS RALEO]]+TablaPrincipal[[#This Row],[CAM COSECHADOS]],"-")</f>
        <v>226675.7584522363</v>
      </c>
      <c r="AI415" s="285">
        <f>IFERROR((TablaPrincipal[[#This Row],[LIBRAS RALEO PLANTA]]+TablaPrincipal[[#This Row],[LIBRAS PLANTA]])/TablaPrincipal[[#This Row],[HAS]],"0")</f>
        <v>5466.1250000000009</v>
      </c>
      <c r="AJ415" s="286">
        <f>IFERROR(AD415/(J415/7),"-")</f>
        <v>2.475609756097561</v>
      </c>
      <c r="AK415" s="286">
        <f>IFERROR(TablaPrincipal[[#This Row],[LBS/HA]]/TablaPrincipal[[#This Row],[DIAS]],"-")</f>
        <v>66.660060975609767</v>
      </c>
      <c r="AL415" s="286">
        <f>IFERROR(TablaPrincipal[[#This Row],[CAM COSECHADOS TOTALES]]/TablaPrincipal[[#This Row],[ANIM SEMBRADOS]]*100,"-")</f>
        <v>57.241353144504117</v>
      </c>
      <c r="AM415" s="285">
        <v>24146.98</v>
      </c>
      <c r="AN415" s="287">
        <f>IFERROR(((TablaPrincipal[[#This Row],[BALANCEADO ACUMULADO (LBS)]]/2.2046)/TablaPrincipal[[#This Row],[HAS]])/TablaPrincipal[[#This Row],[DIAS]],"-")</f>
        <v>55.655479046398916</v>
      </c>
      <c r="AO415" s="284">
        <f>IFERROR(TablaPrincipal[[#This Row],[BALANCEADO ACUMULADO (LBS)]]/TablaPrincipal[[#This Row],[LIBRAS TOTALES]],"-")</f>
        <v>1.8406534184027379</v>
      </c>
      <c r="AP415" s="284"/>
      <c r="AQ415" s="284"/>
      <c r="AR415" s="285">
        <f>TablaPrincipal[[#This Row],[LIBRAS RALEO PLANTA]]-TablaPrincipal[[#This Row],[LIBRAS RALEO CAMARONERA]]</f>
        <v>768.69999999999982</v>
      </c>
      <c r="AS415" s="285">
        <f>TablaPrincipal[[#This Row],[LIBRAS PLANTA]]-TablaPrincipal[[#This Row],[LIBRAS CAMARONERA]]</f>
        <v>0</v>
      </c>
      <c r="AT415" s="287">
        <f>TablaPrincipal[[#This Row],[GRAMAJE RALEO PLANTA]]-TablaPrincipal[[#This Row],[GRAMAJE RALEO CAMARONERA]]</f>
        <v>0.18999999999999773</v>
      </c>
      <c r="AU415" s="287">
        <f>TablaPrincipal[[#This Row],[GRAMOS PLANTA]]-TablaPrincipal[[#This Row],[GRAMAJE CAMARONERA]]</f>
        <v>0</v>
      </c>
      <c r="AV415" s="281" t="str">
        <f>+VLOOKUP(TablaPrincipal[[#This Row],[CODIGO]],TablaCosechas[#All],10,0)</f>
        <v>JULIO SANTOS</v>
      </c>
      <c r="AW415" s="290" t="s">
        <v>231</v>
      </c>
      <c r="AX415" s="288" t="str">
        <f>+VLOOKUP(TablaPrincipal[[#This Row],[CODIGO]],TablaCosechas[#All],10,0)</f>
        <v>JULIO SANTOS</v>
      </c>
    </row>
    <row r="416" spans="1:50" x14ac:dyDescent="0.25">
      <c r="A416" s="283">
        <v>46166</v>
      </c>
      <c r="B416" s="242">
        <v>414</v>
      </c>
      <c r="C416" s="281">
        <f>YEAR(TablaPrincipal[[#This Row],[FECHA]])</f>
        <v>2026</v>
      </c>
      <c r="D416" s="183" t="s">
        <v>347</v>
      </c>
      <c r="E416" s="281" t="str">
        <f>UPPER(TEXT(TablaPrincipal[[#This Row],[FECHA]],"MMMM"))</f>
        <v>MAYO</v>
      </c>
      <c r="F416" s="281" t="str">
        <f>IFERROR(VLOOKUP(TablaPrincipal[[#This Row],[CODIGO]],COSECHAS!A:J,9,0),"-")</f>
        <v>19</v>
      </c>
      <c r="G416" s="281" t="str">
        <f>IFERROR(VLOOKUP(TablaPrincipal[[#This Row],[CODIGO]],COSECHAS!A:I,8,0),"-")</f>
        <v>GUATO</v>
      </c>
      <c r="H416" s="284">
        <f>IFERROR(VLOOKUP(TablaPrincipal[[#This Row],[CODIGO]],DATOS!A:B,2,0),"-")</f>
        <v>3.35</v>
      </c>
      <c r="I416" s="281" t="str">
        <f>IFERROR(VLOOKUP(TablaPrincipal[[#This Row],[CODIGO]],Tabla8[[#Headers],[#Data]],3,0),"-")</f>
        <v>CONVENCIONAL</v>
      </c>
      <c r="J416" s="281">
        <f>IFERROR(TablaPrincipal[[#This Row],[FECHA]]-TablaPrincipal[[#This Row],[FECHA DE SIEMBRA]],"-")</f>
        <v>78</v>
      </c>
      <c r="K416" s="283">
        <f>VLOOKUP(TablaPrincipal[[#This Row],[CODIGO]]&amp;TablaPrincipal[[#This Row],[AGUAJE ]],Tabla4[#All],4,0)</f>
        <v>46088</v>
      </c>
      <c r="L416" s="281" t="str">
        <f>VLOOKUP(TablaPrincipal[[#This Row],[CODIGO]]&amp;TablaPrincipal[[#This Row],[AGUAJE ]],Tabla4[#All],15,0)</f>
        <v>GT PC 08</v>
      </c>
      <c r="M416" s="284">
        <f>VLOOKUP(TablaPrincipal[[#This Row],[CODIGO]]&amp;TablaPrincipal[[#This Row],[AGUAJE ]],Tabla4[#All],14,0)</f>
        <v>0.8</v>
      </c>
      <c r="N416" s="281">
        <v>18</v>
      </c>
      <c r="O416" s="170">
        <f>VLOOKUP(TablaPrincipal[[#This Row],[CODIGO]]&amp;TablaPrincipal[[#This Row],[AGUAJE ]],Tabla4[#All],5,0)</f>
        <v>402000</v>
      </c>
      <c r="P416" s="221">
        <f>IFERROR(TablaPrincipal[[#This Row],[ANIM SEMBRADOS]]/TablaPrincipal[[#This Row],[HAS]],"-")</f>
        <v>120000</v>
      </c>
      <c r="Q416" s="222">
        <f>IFERROR(TablaPrincipal[[#This Row],[DENSIDAD]]/10000,"-")</f>
        <v>12</v>
      </c>
      <c r="R416" s="281" t="str">
        <f>VLOOKUP(TablaPrincipal[[#This Row],[CODIGO]]&amp;TablaPrincipal[[#This Row],[AGUAJE ]],Tabla4[#All],8,0)</f>
        <v>TECSERV</v>
      </c>
      <c r="S416" s="281" t="str">
        <f>VLOOKUP(TablaPrincipal[[#This Row],[CODIGO]]&amp;TablaPrincipal[[#This Row],[AGUAJE ]],Tabla4[#All],7,0)</f>
        <v>SEMACUA</v>
      </c>
      <c r="T416" s="281" t="str">
        <f>IF(ISNUMBER(FIND("/",TablaPrincipal[[#This Row],[LABORATORIO]])),"COMBINADO","UNICO")</f>
        <v>UNICO</v>
      </c>
      <c r="U41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4300</v>
      </c>
      <c r="V416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5100.84</v>
      </c>
      <c r="W416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26</v>
      </c>
      <c r="X416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27.48</v>
      </c>
      <c r="Y416" s="285">
        <f>IFERROR(TablaPrincipal[[#This Row],[LIBRAS RALEO PLANTA]]/TablaPrincipal[[#This Row],[HAS]],"-")</f>
        <v>1522.6388059701492</v>
      </c>
      <c r="Z416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84271.519650655013</v>
      </c>
      <c r="AA416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12500</v>
      </c>
      <c r="AB41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12500</v>
      </c>
      <c r="AC416" s="286">
        <f>SUMIFS(COSECHAS!F:F,COSECHAS!A:A,'BASE 2026'!AW:AW,COSECHAS!G:G,"="&amp;A:A)</f>
        <v>30</v>
      </c>
      <c r="AD416" s="286">
        <f>SUMIFS(COSECHAS!M:M,COSECHAS!A:A,'BASE 2026'!AW:AW,COSECHAS!G:G,"="&amp;A:A)</f>
        <v>30</v>
      </c>
      <c r="AE416" s="285">
        <f>IFERROR(TablaPrincipal[[#This Row],[LIBRAS PLANTA]]/TablaPrincipal[[#This Row],[HAS]],"-")</f>
        <v>3731.3432835820895</v>
      </c>
      <c r="AF416" s="285">
        <f>IFERROR(TablaPrincipal[[#This Row],[LIBRAS PLANTA]]*454/TablaPrincipal[[#This Row],[GRAMOS PLANTA]],"-")</f>
        <v>189166.66666666666</v>
      </c>
      <c r="AG416" s="285">
        <f>TablaPrincipal[[#This Row],[LIBRAS RALEO PLANTA]]+TablaPrincipal[[#This Row],[LIBRAS PLANTA]]</f>
        <v>17600.84</v>
      </c>
      <c r="AH416" s="285">
        <f>IFERROR(TablaPrincipal[[#This Row],[CAM COSECHADOS RALEO]]+TablaPrincipal[[#This Row],[CAM COSECHADOS]],"-")</f>
        <v>273438.18631732167</v>
      </c>
      <c r="AI416" s="285">
        <f>IFERROR((TablaPrincipal[[#This Row],[LIBRAS RALEO PLANTA]]+TablaPrincipal[[#This Row],[LIBRAS PLANTA]])/TablaPrincipal[[#This Row],[HAS]],"0")</f>
        <v>5253.9820895522389</v>
      </c>
      <c r="AJ416" s="286">
        <f t="shared" ref="AJ416:AJ418" si="18">IFERROR(AD416/(J416/7),"-")</f>
        <v>2.6923076923076925</v>
      </c>
      <c r="AK416" s="286">
        <f>IFERROR(TablaPrincipal[[#This Row],[LBS/HA]]/TablaPrincipal[[#This Row],[DIAS]],"-")</f>
        <v>67.358744737849221</v>
      </c>
      <c r="AL416" s="286">
        <f>IFERROR(TablaPrincipal[[#This Row],[CAM COSECHADOS TOTALES]]/TablaPrincipal[[#This Row],[ANIM SEMBRADOS]]*100,"-")</f>
        <v>68.019449332667079</v>
      </c>
      <c r="AM416" s="285">
        <v>27147</v>
      </c>
      <c r="AN416" s="287">
        <f>IFERROR(((TablaPrincipal[[#This Row],[BALANCEADO ACUMULADO (LBS)]]/2.2046)/TablaPrincipal[[#This Row],[HAS]])/TablaPrincipal[[#This Row],[DIAS]],"-")</f>
        <v>47.12513747218658</v>
      </c>
      <c r="AO416" s="284">
        <f>IFERROR(TablaPrincipal[[#This Row],[BALANCEADO ACUMULADO (LBS)]]/TablaPrincipal[[#This Row],[LIBRAS TOTALES]],"-")</f>
        <v>1.5423695687251291</v>
      </c>
      <c r="AP416" s="284"/>
      <c r="AQ416" s="284"/>
      <c r="AR416" s="285">
        <f>TablaPrincipal[[#This Row],[LIBRAS RALEO PLANTA]]-TablaPrincipal[[#This Row],[LIBRAS RALEO CAMARONERA]]</f>
        <v>800.84000000000015</v>
      </c>
      <c r="AS416" s="285">
        <f>TablaPrincipal[[#This Row],[LIBRAS PLANTA]]-TablaPrincipal[[#This Row],[LIBRAS CAMARONERA]]</f>
        <v>0</v>
      </c>
      <c r="AT416" s="287">
        <f>TablaPrincipal[[#This Row],[GRAMAJE RALEO PLANTA]]-TablaPrincipal[[#This Row],[GRAMAJE RALEO CAMARONERA]]</f>
        <v>1.4800000000000004</v>
      </c>
      <c r="AU416" s="287">
        <f>TablaPrincipal[[#This Row],[GRAMOS PLANTA]]-TablaPrincipal[[#This Row],[GRAMAJE CAMARONERA]]</f>
        <v>0</v>
      </c>
      <c r="AV416" s="281" t="str">
        <f>+VLOOKUP(TablaPrincipal[[#This Row],[CODIGO]],TablaCosechas[#All],10,0)</f>
        <v>JULIO SANTOS</v>
      </c>
      <c r="AW416" s="281" t="s">
        <v>240</v>
      </c>
      <c r="AX416" s="282" t="str">
        <f>+VLOOKUP(TablaPrincipal[[#This Row],[CODIGO]],TablaCosechas[#All],10,0)</f>
        <v>JULIO SANTOS</v>
      </c>
    </row>
    <row r="417" spans="1:50" x14ac:dyDescent="0.25">
      <c r="A417" s="283">
        <v>46166</v>
      </c>
      <c r="B417" s="242">
        <v>415</v>
      </c>
      <c r="C417" s="281">
        <f>YEAR(TablaPrincipal[[#This Row],[FECHA]])</f>
        <v>2026</v>
      </c>
      <c r="D417" s="183" t="s">
        <v>347</v>
      </c>
      <c r="E417" s="281" t="str">
        <f>UPPER(TEXT(TablaPrincipal[[#This Row],[FECHA]],"MMMM"))</f>
        <v>MAYO</v>
      </c>
      <c r="F417" s="281" t="str">
        <f>IFERROR(VLOOKUP(TablaPrincipal[[#This Row],[CODIGO]],COSECHAS!A:J,9,0),"-")</f>
        <v>01</v>
      </c>
      <c r="G417" s="281" t="str">
        <f>IFERROR(VLOOKUP(TablaPrincipal[[#This Row],[CODIGO]],COSECHAS!A:I,8,0),"-")</f>
        <v>PARGO ROJO</v>
      </c>
      <c r="H417" s="284">
        <f>IFERROR(VLOOKUP(TablaPrincipal[[#This Row],[CODIGO]],DATOS!A:B,2,0),"-")</f>
        <v>4.8</v>
      </c>
      <c r="I417" s="281" t="str">
        <f>IFERROR(VLOOKUP(TablaPrincipal[[#This Row],[CODIGO]],Tabla8[[#Headers],[#Data]],3,0),"-")</f>
        <v>CONVENCIONAL</v>
      </c>
      <c r="J417" s="281">
        <f>IFERROR(TablaPrincipal[[#This Row],[FECHA]]-TablaPrincipal[[#This Row],[FECHA DE SIEMBRA]],"-")</f>
        <v>77</v>
      </c>
      <c r="K417" s="283">
        <f>VLOOKUP(TablaPrincipal[[#This Row],[CODIGO]]&amp;TablaPrincipal[[#This Row],[AGUAJE ]],Tabla4[#All],4,0)</f>
        <v>46089</v>
      </c>
      <c r="L417" s="281" t="str">
        <f>VLOOKUP(TablaPrincipal[[#This Row],[CODIGO]]&amp;TablaPrincipal[[#This Row],[AGUAJE ]],Tabla4[#All],15,0)</f>
        <v>PC 03</v>
      </c>
      <c r="M417" s="284">
        <f>VLOOKUP(TablaPrincipal[[#This Row],[CODIGO]]&amp;TablaPrincipal[[#This Row],[AGUAJE ]],Tabla4[#All],14,0)</f>
        <v>0.5</v>
      </c>
      <c r="N417" s="281">
        <v>13</v>
      </c>
      <c r="O417" s="170">
        <f>VLOOKUP(TablaPrincipal[[#This Row],[CODIGO]]&amp;TablaPrincipal[[#This Row],[AGUAJE ]],Tabla4[#All],5,0)</f>
        <v>816000</v>
      </c>
      <c r="P417" s="221">
        <f>IFERROR(TablaPrincipal[[#This Row],[ANIM SEMBRADOS]]/TablaPrincipal[[#This Row],[HAS]],"-")</f>
        <v>170000</v>
      </c>
      <c r="Q417" s="222">
        <f>IFERROR(TablaPrincipal[[#This Row],[DENSIDAD]]/10000,"-")</f>
        <v>17</v>
      </c>
      <c r="R417" s="281" t="str">
        <f>VLOOKUP(TablaPrincipal[[#This Row],[CODIGO]]&amp;TablaPrincipal[[#This Row],[AGUAJE ]],Tabla4[#All],8,0)</f>
        <v>EMPAGRAN</v>
      </c>
      <c r="S417" s="281" t="str">
        <f>VLOOKUP(TablaPrincipal[[#This Row],[CODIGO]]&amp;TablaPrincipal[[#This Row],[AGUAJE ]],Tabla4[#All],7,0)</f>
        <v>EMPAGRAN</v>
      </c>
      <c r="T417" s="281" t="str">
        <f>IF(ISNUMBER(FIND("/",TablaPrincipal[[#This Row],[LABORATORIO]])),"COMBINADO","UNICO")</f>
        <v>UNICO</v>
      </c>
      <c r="U41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5200</v>
      </c>
      <c r="V417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6333.3</v>
      </c>
      <c r="W417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417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16.440000000000001</v>
      </c>
      <c r="Y417" s="285">
        <f>IFERROR(TablaPrincipal[[#This Row],[LIBRAS RALEO PLANTA]]/TablaPrincipal[[#This Row],[HAS]],"-")</f>
        <v>1319.4375</v>
      </c>
      <c r="Z417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174897.70072992702</v>
      </c>
      <c r="AA417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15300</v>
      </c>
      <c r="AB41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15300</v>
      </c>
      <c r="AC417" s="286">
        <f>SUMIFS(COSECHAS!F:F,COSECHAS!A:A,'BASE 2026'!AW:AW,COSECHAS!G:G,"="&amp;A:A)</f>
        <v>28</v>
      </c>
      <c r="AD417" s="286">
        <f>SUMIFS(COSECHAS!M:M,COSECHAS!A:A,'BASE 2026'!AW:AW,COSECHAS!G:G,"="&amp;A:A)</f>
        <v>28</v>
      </c>
      <c r="AE417" s="285">
        <f>IFERROR(TablaPrincipal[[#This Row],[LIBRAS PLANTA]]/TablaPrincipal[[#This Row],[HAS]],"-")</f>
        <v>3187.5</v>
      </c>
      <c r="AF417" s="285">
        <f>IFERROR(TablaPrincipal[[#This Row],[LIBRAS PLANTA]]*454/TablaPrincipal[[#This Row],[GRAMOS PLANTA]],"-")</f>
        <v>248078.57142857142</v>
      </c>
      <c r="AG417" s="285">
        <f>TablaPrincipal[[#This Row],[LIBRAS RALEO PLANTA]]+TablaPrincipal[[#This Row],[LIBRAS PLANTA]]</f>
        <v>21633.3</v>
      </c>
      <c r="AH417" s="285">
        <f>IFERROR(TablaPrincipal[[#This Row],[CAM COSECHADOS RALEO]]+TablaPrincipal[[#This Row],[CAM COSECHADOS]],"-")</f>
        <v>422976.27215849841</v>
      </c>
      <c r="AI417" s="285">
        <f>IFERROR((TablaPrincipal[[#This Row],[LIBRAS RALEO PLANTA]]+TablaPrincipal[[#This Row],[LIBRAS PLANTA]])/TablaPrincipal[[#This Row],[HAS]],"0")</f>
        <v>4506.9375</v>
      </c>
      <c r="AJ417" s="286">
        <f t="shared" si="18"/>
        <v>2.5454545454545454</v>
      </c>
      <c r="AK417" s="286">
        <f>IFERROR(TablaPrincipal[[#This Row],[LBS/HA]]/TablaPrincipal[[#This Row],[DIAS]],"-")</f>
        <v>58.531655844155843</v>
      </c>
      <c r="AL417" s="286">
        <f>IFERROR(TablaPrincipal[[#This Row],[CAM COSECHADOS TOTALES]]/TablaPrincipal[[#This Row],[ANIM SEMBRADOS]]*100,"-")</f>
        <v>51.835327470404216</v>
      </c>
      <c r="AM417" s="285">
        <v>37583</v>
      </c>
      <c r="AN417" s="287">
        <f>IFERROR(((TablaPrincipal[[#This Row],[BALANCEADO ACUMULADO (LBS)]]/2.2046)/TablaPrincipal[[#This Row],[HAS]])/TablaPrincipal[[#This Row],[DIAS]],"-")</f>
        <v>46.124288333759438</v>
      </c>
      <c r="AO417" s="284">
        <f>IFERROR(TablaPrincipal[[#This Row],[BALANCEADO ACUMULADO (LBS)]]/TablaPrincipal[[#This Row],[LIBRAS TOTALES]],"-")</f>
        <v>1.7372754041223484</v>
      </c>
      <c r="AP417" s="284"/>
      <c r="AQ417" s="284"/>
      <c r="AR417" s="285">
        <f>TablaPrincipal[[#This Row],[LIBRAS RALEO PLANTA]]-TablaPrincipal[[#This Row],[LIBRAS RALEO CAMARONERA]]</f>
        <v>1133.3000000000002</v>
      </c>
      <c r="AS417" s="285">
        <f>TablaPrincipal[[#This Row],[LIBRAS PLANTA]]-TablaPrincipal[[#This Row],[LIBRAS CAMARONERA]]</f>
        <v>0</v>
      </c>
      <c r="AT417" s="287">
        <f>TablaPrincipal[[#This Row],[GRAMAJE RALEO PLANTA]]-TablaPrincipal[[#This Row],[GRAMAJE RALEO CAMARONERA]]</f>
        <v>1.4400000000000013</v>
      </c>
      <c r="AU417" s="287">
        <f>TablaPrincipal[[#This Row],[GRAMOS PLANTA]]-TablaPrincipal[[#This Row],[GRAMAJE CAMARONERA]]</f>
        <v>0</v>
      </c>
      <c r="AV417" s="281" t="str">
        <f>+VLOOKUP(TablaPrincipal[[#This Row],[CODIGO]],TablaCosechas[#All],10,0)</f>
        <v>WILMER TORRES</v>
      </c>
      <c r="AW417" s="281" t="s">
        <v>251</v>
      </c>
      <c r="AX417" s="282" t="str">
        <f>+VLOOKUP(TablaPrincipal[[#This Row],[CODIGO]],TablaCosechas[#All],10,0)</f>
        <v>WILMER TORRES</v>
      </c>
    </row>
    <row r="418" spans="1:50" x14ac:dyDescent="0.25">
      <c r="A418" s="283">
        <v>46166</v>
      </c>
      <c r="B418" s="242">
        <v>416</v>
      </c>
      <c r="C418" s="281">
        <f>YEAR(TablaPrincipal[[#This Row],[FECHA]])</f>
        <v>2026</v>
      </c>
      <c r="D418" s="183" t="s">
        <v>347</v>
      </c>
      <c r="E418" s="281" t="str">
        <f>UPPER(TEXT(TablaPrincipal[[#This Row],[FECHA]],"MMMM"))</f>
        <v>MAYO</v>
      </c>
      <c r="F418" s="281" t="str">
        <f>IFERROR(VLOOKUP(TablaPrincipal[[#This Row],[CODIGO]],COSECHAS!A:J,9,0),"-")</f>
        <v>32</v>
      </c>
      <c r="G418" s="281" t="str">
        <f>IFERROR(VLOOKUP(TablaPrincipal[[#This Row],[CODIGO]],COSECHAS!A:I,8,0),"-")</f>
        <v>WAHOO</v>
      </c>
      <c r="H418" s="284">
        <f>IFERROR(VLOOKUP(TablaPrincipal[[#This Row],[CODIGO]],DATOS!A:B,2,0),"-")</f>
        <v>10</v>
      </c>
      <c r="I418" s="281" t="str">
        <f>IFERROR(VLOOKUP(TablaPrincipal[[#This Row],[CODIGO]],Tabla8[[#Headers],[#Data]],3,0),"-")</f>
        <v>CONVENCIONAL</v>
      </c>
      <c r="J418" s="281">
        <f>IFERROR(TablaPrincipal[[#This Row],[FECHA]]-TablaPrincipal[[#This Row],[FECHA DE SIEMBRA]],"-")</f>
        <v>88</v>
      </c>
      <c r="K418" s="283">
        <f>VLOOKUP(TablaPrincipal[[#This Row],[CODIGO]]&amp;TablaPrincipal[[#This Row],[AGUAJE ]],Tabla4[#All],4,0)</f>
        <v>46078</v>
      </c>
      <c r="L418" s="281" t="str">
        <f>VLOOKUP(TablaPrincipal[[#This Row],[CODIGO]]&amp;TablaPrincipal[[#This Row],[AGUAJE ]],Tabla4[#All],15,0)</f>
        <v>WA PS 23 - PC 18</v>
      </c>
      <c r="M418" s="284">
        <f>VLOOKUP(TablaPrincipal[[#This Row],[CODIGO]]&amp;TablaPrincipal[[#This Row],[AGUAJE ]],Tabla4[#All],14,0)</f>
        <v>1.22</v>
      </c>
      <c r="N418" s="281">
        <v>10</v>
      </c>
      <c r="O418" s="170">
        <f>VLOOKUP(TablaPrincipal[[#This Row],[CODIGO]]&amp;TablaPrincipal[[#This Row],[AGUAJE ]],Tabla4[#All],5,0)</f>
        <v>1700000</v>
      </c>
      <c r="P418" s="221">
        <f>IFERROR(TablaPrincipal[[#This Row],[ANIM SEMBRADOS]]/TablaPrincipal[[#This Row],[HAS]],"-")</f>
        <v>170000</v>
      </c>
      <c r="Q418" s="222">
        <f>IFERROR(TablaPrincipal[[#This Row],[DENSIDAD]]/10000,"-")</f>
        <v>17</v>
      </c>
      <c r="R418" s="281" t="str">
        <f>VLOOKUP(TablaPrincipal[[#This Row],[CODIGO]]&amp;TablaPrincipal[[#This Row],[AGUAJE ]],Tabla4[#All],8,0)</f>
        <v>MEGALATINA /LARVASLAB</v>
      </c>
      <c r="S418" s="281" t="str">
        <f>VLOOKUP(TablaPrincipal[[#This Row],[CODIGO]]&amp;TablaPrincipal[[#This Row],[AGUAJE ]],Tabla4[#All],7,0)</f>
        <v>TEXCUMAR</v>
      </c>
      <c r="T418" s="281" t="str">
        <f>IF(ISNUMBER(FIND("/",TablaPrincipal[[#This Row],[LABORATORIO]])),"COMBINADO","UNICO")</f>
        <v>COMBINADO</v>
      </c>
      <c r="U418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10400</v>
      </c>
      <c r="V418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10819.34</v>
      </c>
      <c r="W418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</v>
      </c>
      <c r="X418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24.54</v>
      </c>
      <c r="Y418" s="285">
        <f>IFERROR(TablaPrincipal[[#This Row],[LIBRAS RALEO PLANTA]]/TablaPrincipal[[#This Row],[HAS]],"-")</f>
        <v>1081.934</v>
      </c>
      <c r="Z418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200162.19885900573</v>
      </c>
      <c r="AA418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31650</v>
      </c>
      <c r="AB418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31650</v>
      </c>
      <c r="AC418" s="286">
        <f>SUMIFS(COSECHAS!F:F,COSECHAS!A:A,'BASE 2026'!AW:AW,COSECHAS!G:G,"="&amp;A:A)</f>
        <v>33</v>
      </c>
      <c r="AD418" s="286">
        <f>SUMIFS(COSECHAS!M:M,COSECHAS!A:A,'BASE 2026'!AW:AW,COSECHAS!G:G,"="&amp;A:A)</f>
        <v>33</v>
      </c>
      <c r="AE418" s="285">
        <f>IFERROR(TablaPrincipal[[#This Row],[LIBRAS PLANTA]]/TablaPrincipal[[#This Row],[HAS]],"-")</f>
        <v>3165</v>
      </c>
      <c r="AF418" s="285">
        <f>IFERROR(TablaPrincipal[[#This Row],[LIBRAS PLANTA]]*454/TablaPrincipal[[#This Row],[GRAMOS PLANTA]],"-")</f>
        <v>435427.27272727271</v>
      </c>
      <c r="AG418" s="285">
        <f>TablaPrincipal[[#This Row],[LIBRAS RALEO PLANTA]]+TablaPrincipal[[#This Row],[LIBRAS PLANTA]]</f>
        <v>42469.34</v>
      </c>
      <c r="AH418" s="285">
        <f>IFERROR(TablaPrincipal[[#This Row],[CAM COSECHADOS RALEO]]+TablaPrincipal[[#This Row],[CAM COSECHADOS]],"-")</f>
        <v>635589.47158627841</v>
      </c>
      <c r="AI418" s="285">
        <f>IFERROR((TablaPrincipal[[#This Row],[LIBRAS RALEO PLANTA]]+TablaPrincipal[[#This Row],[LIBRAS PLANTA]])/TablaPrincipal[[#This Row],[HAS]],"0")</f>
        <v>4246.9339999999993</v>
      </c>
      <c r="AJ418" s="286">
        <f t="shared" si="18"/>
        <v>2.625</v>
      </c>
      <c r="AK418" s="286">
        <f>IFERROR(TablaPrincipal[[#This Row],[LBS/HA]]/TablaPrincipal[[#This Row],[DIAS]],"-")</f>
        <v>48.26061363636363</v>
      </c>
      <c r="AL418" s="286">
        <f>IFERROR(TablaPrincipal[[#This Row],[CAM COSECHADOS TOTALES]]/TablaPrincipal[[#This Row],[ANIM SEMBRADOS]]*100,"-")</f>
        <v>37.387615975663437</v>
      </c>
      <c r="AM418" s="285">
        <v>77845</v>
      </c>
      <c r="AN418" s="287">
        <f>IFERROR(((TablaPrincipal[[#This Row],[BALANCEADO ACUMULADO (LBS)]]/2.2046)/TablaPrincipal[[#This Row],[HAS]])/TablaPrincipal[[#This Row],[DIAS]],"-")</f>
        <v>40.125295868968188</v>
      </c>
      <c r="AO418" s="284">
        <f>IFERROR(TablaPrincipal[[#This Row],[BALANCEADO ACUMULADO (LBS)]]/TablaPrincipal[[#This Row],[LIBRAS TOTALES]],"-")</f>
        <v>1.8329693845018549</v>
      </c>
      <c r="AP418" s="284"/>
      <c r="AQ418" s="284"/>
      <c r="AR418" s="285">
        <f>TablaPrincipal[[#This Row],[LIBRAS RALEO PLANTA]]-TablaPrincipal[[#This Row],[LIBRAS RALEO CAMARONERA]]</f>
        <v>419.34000000000015</v>
      </c>
      <c r="AS418" s="285">
        <f>TablaPrincipal[[#This Row],[LIBRAS PLANTA]]-TablaPrincipal[[#This Row],[LIBRAS CAMARONERA]]</f>
        <v>0</v>
      </c>
      <c r="AT418" s="287">
        <f>TablaPrincipal[[#This Row],[GRAMAJE RALEO PLANTA]]-TablaPrincipal[[#This Row],[GRAMAJE RALEO CAMARONERA]]</f>
        <v>2.5399999999999991</v>
      </c>
      <c r="AU418" s="287">
        <f>TablaPrincipal[[#This Row],[GRAMOS PLANTA]]-TablaPrincipal[[#This Row],[GRAMAJE CAMARONERA]]</f>
        <v>0</v>
      </c>
      <c r="AV418" s="281" t="str">
        <f>+VLOOKUP(TablaPrincipal[[#This Row],[CODIGO]],TablaCosechas[#All],10,0)</f>
        <v>JUNIOR ESQUIVEL</v>
      </c>
      <c r="AW418" s="281" t="s">
        <v>236</v>
      </c>
      <c r="AX418" s="288" t="str">
        <f>+VLOOKUP(TablaPrincipal[[#This Row],[CODIGO]],TablaCosechas[#All],10,0)</f>
        <v>JUNIOR ESQUIVEL</v>
      </c>
    </row>
    <row r="419" spans="1:50" x14ac:dyDescent="0.25">
      <c r="A419" s="283">
        <v>46167</v>
      </c>
      <c r="B419" s="242">
        <v>417</v>
      </c>
      <c r="C419" s="281">
        <f>YEAR(TablaPrincipal[[#This Row],[FECHA]])</f>
        <v>2026</v>
      </c>
      <c r="D419" s="183" t="s">
        <v>347</v>
      </c>
      <c r="E419" s="281" t="str">
        <f>UPPER(TEXT(TablaPrincipal[[#This Row],[FECHA]],"MMMM"))</f>
        <v>MAYO</v>
      </c>
      <c r="F419" s="281" t="str">
        <f>IFERROR(VLOOKUP(TablaPrincipal[[#This Row],[CODIGO]],COSECHAS!A:J,9,0),"-")</f>
        <v>20</v>
      </c>
      <c r="G419" s="281" t="str">
        <f>IFERROR(VLOOKUP(TablaPrincipal[[#This Row],[CODIGO]],COSECHAS!A:I,8,0),"-")</f>
        <v>GUATO</v>
      </c>
      <c r="H419" s="284">
        <f>IFERROR(VLOOKUP(TablaPrincipal[[#This Row],[CODIGO]],DATOS!A:B,2,0),"-")</f>
        <v>2.04</v>
      </c>
      <c r="I419" s="281" t="str">
        <f>IFERROR(VLOOKUP(TablaPrincipal[[#This Row],[CODIGO]],Tabla8[[#Headers],[#Data]],3,0),"-")</f>
        <v>CONVENCIONAL</v>
      </c>
      <c r="J419" s="281">
        <f>IFERROR(TablaPrincipal[[#This Row],[FECHA]]-TablaPrincipal[[#This Row],[FECHA DE SIEMBRA]],"-")</f>
        <v>82</v>
      </c>
      <c r="K419" s="283">
        <f>VLOOKUP(TablaPrincipal[[#This Row],[CODIGO]]&amp;TablaPrincipal[[#This Row],[AGUAJE ]],Tabla4[#All],4,0)</f>
        <v>46085</v>
      </c>
      <c r="L419" s="281" t="str">
        <f>VLOOKUP(TablaPrincipal[[#This Row],[CODIGO]]&amp;TablaPrincipal[[#This Row],[AGUAJE ]],Tabla4[#All],15,0)</f>
        <v>GT PC 08</v>
      </c>
      <c r="M419" s="284">
        <f>VLOOKUP(TablaPrincipal[[#This Row],[CODIGO]]&amp;TablaPrincipal[[#This Row],[AGUAJE ]],Tabla4[#All],14,0)</f>
        <v>0.75</v>
      </c>
      <c r="N419" s="281">
        <v>14</v>
      </c>
      <c r="O419" s="170">
        <f>VLOOKUP(TablaPrincipal[[#This Row],[CODIGO]]&amp;TablaPrincipal[[#This Row],[AGUAJE ]],Tabla4[#All],5,0)</f>
        <v>326400</v>
      </c>
      <c r="P419" s="221">
        <f>IFERROR(TablaPrincipal[[#This Row],[ANIM SEMBRADOS]]/TablaPrincipal[[#This Row],[HAS]],"-")</f>
        <v>160000</v>
      </c>
      <c r="Q419" s="222">
        <f>IFERROR(TablaPrincipal[[#This Row],[DENSIDAD]]/10000,"-")</f>
        <v>16</v>
      </c>
      <c r="R419" s="281" t="str">
        <f>VLOOKUP(TablaPrincipal[[#This Row],[CODIGO]]&amp;TablaPrincipal[[#This Row],[AGUAJE ]],Tabla4[#All],8,0)</f>
        <v>TECSERV</v>
      </c>
      <c r="S419" s="281" t="str">
        <f>VLOOKUP(TablaPrincipal[[#This Row],[CODIGO]]&amp;TablaPrincipal[[#This Row],[AGUAJE ]],Tabla4[#All],7,0)</f>
        <v>SEMACUA</v>
      </c>
      <c r="T419" s="281" t="str">
        <f>IF(ISNUMBER(FIND("/",TablaPrincipal[[#This Row],[LABORATORIO]])),"COMBINADO","UNICO")</f>
        <v>UNICO</v>
      </c>
      <c r="U419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5200</v>
      </c>
      <c r="V419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5579.45</v>
      </c>
      <c r="W419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22.5</v>
      </c>
      <c r="X419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22.8</v>
      </c>
      <c r="Y419" s="285">
        <f>IFERROR(TablaPrincipal[[#This Row],[LIBRAS RALEO PLANTA]]/TablaPrincipal[[#This Row],[HAS]],"-")</f>
        <v>2735.0245098039213</v>
      </c>
      <c r="Z419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113655.37378640776</v>
      </c>
      <c r="AA419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7200</v>
      </c>
      <c r="AB419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7200</v>
      </c>
      <c r="AC419" s="286">
        <f>SUMIFS(COSECHAS!F:F,COSECHAS!A:A,'BASE 2026'!AW:AW,COSECHAS!G:G,"="&amp;A:A)</f>
        <v>29</v>
      </c>
      <c r="AD419" s="286">
        <f>SUMIFS(COSECHAS!M:M,COSECHAS!A:A,'BASE 2026'!AW:AW,COSECHAS!G:G,"="&amp;A:A)</f>
        <v>29</v>
      </c>
      <c r="AE419" s="285">
        <f>IFERROR(TablaPrincipal[[#This Row],[LIBRAS PLANTA]]/TablaPrincipal[[#This Row],[HAS]],"-")</f>
        <v>3529.4117647058824</v>
      </c>
      <c r="AF419" s="285">
        <f>IFERROR(TablaPrincipal[[#This Row],[LIBRAS PLANTA]]*454/TablaPrincipal[[#This Row],[GRAMOS PLANTA]],"-")</f>
        <v>112717.24137931035</v>
      </c>
      <c r="AG419" s="285">
        <f>TablaPrincipal[[#This Row],[LIBRAS RALEO PLANTA]]+TablaPrincipal[[#This Row],[LIBRAS PLANTA]]</f>
        <v>12779.45</v>
      </c>
      <c r="AH419" s="285">
        <f>IFERROR(TablaPrincipal[[#This Row],[CAM COSECHADOS RALEO]]+TablaPrincipal[[#This Row],[CAM COSECHADOS]],"-")</f>
        <v>226372.6151657181</v>
      </c>
      <c r="AI419" s="285">
        <f>IFERROR((TablaPrincipal[[#This Row],[LIBRAS RALEO PLANTA]]+TablaPrincipal[[#This Row],[LIBRAS PLANTA]])/TablaPrincipal[[#This Row],[HAS]],"0")</f>
        <v>6264.4362745098042</v>
      </c>
      <c r="AJ419" s="286">
        <f t="shared" ref="AJ419:AJ420" si="19">IFERROR(AD419/(J419/7),"-")</f>
        <v>2.475609756097561</v>
      </c>
      <c r="AK419" s="286">
        <f>IFERROR(TablaPrincipal[[#This Row],[LBS/HA]]/TablaPrincipal[[#This Row],[DIAS]],"-")</f>
        <v>76.395564323290301</v>
      </c>
      <c r="AL419" s="286">
        <f>IFERROR(TablaPrincipal[[#This Row],[CAM COSECHADOS TOTALES]]/TablaPrincipal[[#This Row],[ANIM SEMBRADOS]]*100,"-")</f>
        <v>69.354355136555796</v>
      </c>
      <c r="AM419" s="285">
        <v>19464</v>
      </c>
      <c r="AN419" s="287">
        <f>IFERROR(((TablaPrincipal[[#This Row],[BALANCEADO ACUMULADO (LBS)]]/2.2046)/TablaPrincipal[[#This Row],[HAS]])/TablaPrincipal[[#This Row],[DIAS]],"-")</f>
        <v>52.778649467898802</v>
      </c>
      <c r="AO419" s="284">
        <f>IFERROR(TablaPrincipal[[#This Row],[BALANCEADO ACUMULADO (LBS)]]/TablaPrincipal[[#This Row],[LIBRAS TOTALES]],"-")</f>
        <v>1.5230702416770674</v>
      </c>
      <c r="AP419" s="284"/>
      <c r="AQ419" s="284"/>
      <c r="AR419" s="285">
        <f>TablaPrincipal[[#This Row],[LIBRAS RALEO PLANTA]]-TablaPrincipal[[#This Row],[LIBRAS RALEO CAMARONERA]]</f>
        <v>379.44999999999982</v>
      </c>
      <c r="AS419" s="285">
        <f>TablaPrincipal[[#This Row],[LIBRAS PLANTA]]-TablaPrincipal[[#This Row],[LIBRAS CAMARONERA]]</f>
        <v>0</v>
      </c>
      <c r="AT419" s="287">
        <f>TablaPrincipal[[#This Row],[GRAMAJE RALEO PLANTA]]-TablaPrincipal[[#This Row],[GRAMAJE RALEO CAMARONERA]]</f>
        <v>0.30000000000000071</v>
      </c>
      <c r="AU419" s="287">
        <f>TablaPrincipal[[#This Row],[GRAMOS PLANTA]]-TablaPrincipal[[#This Row],[GRAMAJE CAMARONERA]]</f>
        <v>0</v>
      </c>
      <c r="AV419" s="281" t="str">
        <f>+VLOOKUP(TablaPrincipal[[#This Row],[CODIGO]],TablaCosechas[#All],10,0)</f>
        <v>JULIO SANTOS</v>
      </c>
      <c r="AW419" s="290" t="s">
        <v>243</v>
      </c>
      <c r="AX419" s="282" t="str">
        <f>+VLOOKUP(TablaPrincipal[[#This Row],[CODIGO]],TablaCosechas[#All],10,0)</f>
        <v>JULIO SANTOS</v>
      </c>
    </row>
    <row r="420" spans="1:50" x14ac:dyDescent="0.25">
      <c r="A420" s="283">
        <v>46167</v>
      </c>
      <c r="B420" s="242">
        <v>418</v>
      </c>
      <c r="C420" s="281">
        <f>YEAR(TablaPrincipal[[#This Row],[FECHA]])</f>
        <v>2026</v>
      </c>
      <c r="D420" s="183" t="s">
        <v>347</v>
      </c>
      <c r="E420" s="281" t="str">
        <f>UPPER(TEXT(TablaPrincipal[[#This Row],[FECHA]],"MMMM"))</f>
        <v>MAYO</v>
      </c>
      <c r="F420" s="281" t="str">
        <f>IFERROR(VLOOKUP(TablaPrincipal[[#This Row],[CODIGO]],COSECHAS!A:J,9,0),"-")</f>
        <v>11</v>
      </c>
      <c r="G420" s="281" t="str">
        <f>IFERROR(VLOOKUP(TablaPrincipal[[#This Row],[CODIGO]],COSECHAS!A:I,8,0),"-")</f>
        <v>PARGO ROJO</v>
      </c>
      <c r="H420" s="284">
        <f>IFERROR(VLOOKUP(TablaPrincipal[[#This Row],[CODIGO]],DATOS!A:B,2,0),"-")</f>
        <v>8.4</v>
      </c>
      <c r="I420" s="281" t="str">
        <f>IFERROR(VLOOKUP(TablaPrincipal[[#This Row],[CODIGO]],Tabla8[[#Headers],[#Data]],3,0),"-")</f>
        <v>CONVENCIONAL</v>
      </c>
      <c r="J420" s="281">
        <f>IFERROR(TablaPrincipal[[#This Row],[FECHA]]-TablaPrincipal[[#This Row],[FECHA DE SIEMBRA]],"-")</f>
        <v>83</v>
      </c>
      <c r="K420" s="283">
        <f>VLOOKUP(TablaPrincipal[[#This Row],[CODIGO]]&amp;TablaPrincipal[[#This Row],[AGUAJE ]],Tabla4[#All],4,0)</f>
        <v>46084</v>
      </c>
      <c r="L420" s="281" t="str">
        <f>VLOOKUP(TablaPrincipal[[#This Row],[CODIGO]]&amp;TablaPrincipal[[#This Row],[AGUAJE ]],Tabla4[#All],15,0)</f>
        <v>PR PC2</v>
      </c>
      <c r="M420" s="284">
        <f>VLOOKUP(TablaPrincipal[[#This Row],[CODIGO]]&amp;TablaPrincipal[[#This Row],[AGUAJE ]],Tabla4[#All],14,0)</f>
        <v>0.3</v>
      </c>
      <c r="N420" s="281">
        <v>17</v>
      </c>
      <c r="O420" s="170">
        <f>VLOOKUP(TablaPrincipal[[#This Row],[CODIGO]]&amp;TablaPrincipal[[#This Row],[AGUAJE ]],Tabla4[#All],5,0)</f>
        <v>1428000</v>
      </c>
      <c r="P420" s="221">
        <f>IFERROR(TablaPrincipal[[#This Row],[ANIM SEMBRADOS]]/TablaPrincipal[[#This Row],[HAS]],"-")</f>
        <v>170000</v>
      </c>
      <c r="Q420" s="222">
        <f>IFERROR(TablaPrincipal[[#This Row],[DENSIDAD]]/10000,"-")</f>
        <v>17</v>
      </c>
      <c r="R420" s="281" t="str">
        <f>VLOOKUP(TablaPrincipal[[#This Row],[CODIGO]]&amp;TablaPrincipal[[#This Row],[AGUAJE ]],Tabla4[#All],8,0)</f>
        <v>GENESIS</v>
      </c>
      <c r="S420" s="281" t="str">
        <f>VLOOKUP(TablaPrincipal[[#This Row],[CODIGO]]&amp;TablaPrincipal[[#This Row],[AGUAJE ]],Tabla4[#All],7,0)</f>
        <v>TEXCUMAR</v>
      </c>
      <c r="T420" s="281" t="str">
        <f>IF(ISNUMBER(FIND("/",TablaPrincipal[[#This Row],[LABORATORIO]])),"COMBINADO","UNICO")</f>
        <v>UNICO</v>
      </c>
      <c r="U420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8000</v>
      </c>
      <c r="V420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9886.31</v>
      </c>
      <c r="W420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</v>
      </c>
      <c r="X420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15.98</v>
      </c>
      <c r="Y420" s="285">
        <f>IFERROR(TablaPrincipal[[#This Row],[LIBRAS RALEO PLANTA]]/TablaPrincipal[[#This Row],[HAS]],"-")</f>
        <v>1176.9416666666666</v>
      </c>
      <c r="Z420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280875.14017521904</v>
      </c>
      <c r="AA420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B420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28700</v>
      </c>
      <c r="AC420" s="286">
        <f>SUMIFS(COSECHAS!F:F,COSECHAS!A:A,'BASE 2026'!AW:AW,COSECHAS!G:G,"="&amp;A:A)</f>
        <v>29</v>
      </c>
      <c r="AD420" s="286">
        <f>SUMIFS(COSECHAS!M:M,COSECHAS!A:A,'BASE 2026'!AW:AW,COSECHAS!G:G,"="&amp;A:A)</f>
        <v>29</v>
      </c>
      <c r="AE420" s="285">
        <f>IFERROR(TablaPrincipal[[#This Row],[LIBRAS PLANTA]]/TablaPrincipal[[#This Row],[HAS]],"-")</f>
        <v>3416.6666666666665</v>
      </c>
      <c r="AF420" s="285">
        <f>IFERROR(TablaPrincipal[[#This Row],[LIBRAS PLANTA]]*454/TablaPrincipal[[#This Row],[GRAMOS PLANTA]],"-")</f>
        <v>449303.44827586209</v>
      </c>
      <c r="AG420" s="285">
        <f>TablaPrincipal[[#This Row],[LIBRAS RALEO PLANTA]]+TablaPrincipal[[#This Row],[LIBRAS PLANTA]]</f>
        <v>38586.31</v>
      </c>
      <c r="AH420" s="285">
        <f>IFERROR(TablaPrincipal[[#This Row],[CAM COSECHADOS RALEO]]+TablaPrincipal[[#This Row],[CAM COSECHADOS]],"-")</f>
        <v>730178.58845108119</v>
      </c>
      <c r="AI420" s="285">
        <f>IFERROR((TablaPrincipal[[#This Row],[LIBRAS RALEO PLANTA]]+TablaPrincipal[[#This Row],[LIBRAS PLANTA]])/TablaPrincipal[[#This Row],[HAS]],"0")</f>
        <v>4593.6083333333327</v>
      </c>
      <c r="AJ420" s="286">
        <f t="shared" si="19"/>
        <v>2.4457831325301203</v>
      </c>
      <c r="AK420" s="286">
        <f>IFERROR(TablaPrincipal[[#This Row],[LBS/HA]]/TablaPrincipal[[#This Row],[DIAS]],"-")</f>
        <v>55.344678714859427</v>
      </c>
      <c r="AL420" s="286">
        <f>IFERROR(TablaPrincipal[[#This Row],[CAM COSECHADOS TOTALES]]/TablaPrincipal[[#This Row],[ANIM SEMBRADOS]]*100,"-")</f>
        <v>51.132954373325013</v>
      </c>
      <c r="AM420" s="285">
        <v>65882</v>
      </c>
      <c r="AN420" s="287">
        <f>IFERROR(((TablaPrincipal[[#This Row],[BALANCEADO ACUMULADO (LBS)]]/2.2046)/TablaPrincipal[[#This Row],[HAS]])/TablaPrincipal[[#This Row],[DIAS]],"-")</f>
        <v>42.8627067724508</v>
      </c>
      <c r="AO420" s="284">
        <f>IFERROR(TablaPrincipal[[#This Row],[BALANCEADO ACUMULADO (LBS)]]/TablaPrincipal[[#This Row],[LIBRAS TOTALES]],"-")</f>
        <v>1.7073931142936447</v>
      </c>
      <c r="AP420" s="284"/>
      <c r="AQ420" s="284"/>
      <c r="AR420" s="285">
        <f>TablaPrincipal[[#This Row],[LIBRAS RALEO PLANTA]]-TablaPrincipal[[#This Row],[LIBRAS RALEO CAMARONERA]]</f>
        <v>1886.3099999999995</v>
      </c>
      <c r="AS420" s="285">
        <f>TablaPrincipal[[#This Row],[LIBRAS PLANTA]]-TablaPrincipal[[#This Row],[LIBRAS CAMARONERA]]</f>
        <v>0</v>
      </c>
      <c r="AT420" s="287">
        <f>TablaPrincipal[[#This Row],[GRAMAJE RALEO PLANTA]]-TablaPrincipal[[#This Row],[GRAMAJE RALEO CAMARONERA]]</f>
        <v>0.98000000000000043</v>
      </c>
      <c r="AU420" s="287">
        <f>TablaPrincipal[[#This Row],[GRAMOS PLANTA]]-TablaPrincipal[[#This Row],[GRAMAJE CAMARONERA]]</f>
        <v>0</v>
      </c>
      <c r="AV420" s="281" t="str">
        <f>+VLOOKUP(TablaPrincipal[[#This Row],[CODIGO]],TablaCosechas[#All],10,0)</f>
        <v>WILMER TORRES</v>
      </c>
      <c r="AW420" s="290" t="s">
        <v>229</v>
      </c>
      <c r="AX420" s="288" t="str">
        <f>+VLOOKUP(TablaPrincipal[[#This Row],[CODIGO]],TablaCosechas[#All],10,0)</f>
        <v>WILMER TORRES</v>
      </c>
    </row>
    <row r="421" spans="1:50" x14ac:dyDescent="0.25">
      <c r="A421" s="283">
        <v>46168</v>
      </c>
      <c r="B421" s="242">
        <v>419</v>
      </c>
      <c r="C421" s="281">
        <f>YEAR(TablaPrincipal[[#This Row],[FECHA]])</f>
        <v>2026</v>
      </c>
      <c r="D421" s="183" t="s">
        <v>347</v>
      </c>
      <c r="E421" s="281" t="str">
        <f>UPPER(TEXT(TablaPrincipal[[#This Row],[FECHA]],"MMMM"))</f>
        <v>MAYO</v>
      </c>
      <c r="F421" s="281" t="str">
        <f>IFERROR(VLOOKUP(TablaPrincipal[[#This Row],[CODIGO]],COSECHAS!A:J,9,0),"-")</f>
        <v>03</v>
      </c>
      <c r="G421" s="281" t="str">
        <f>IFERROR(VLOOKUP(TablaPrincipal[[#This Row],[CODIGO]],COSECHAS!A:I,8,0),"-")</f>
        <v>CHERNA</v>
      </c>
      <c r="H421" s="284">
        <f>IFERROR(VLOOKUP(TablaPrincipal[[#This Row],[CODIGO]],DATOS!A:B,2,0),"-")</f>
        <v>6.45</v>
      </c>
      <c r="I421" s="281" t="str">
        <f>IFERROR(VLOOKUP(TablaPrincipal[[#This Row],[CODIGO]],Tabla8[[#Headers],[#Data]],3,0),"-")</f>
        <v>ASC</v>
      </c>
      <c r="J421" s="281">
        <f>IFERROR(TablaPrincipal[[#This Row],[FECHA]]-TablaPrincipal[[#This Row],[FECHA DE SIEMBRA]],"-")</f>
        <v>68</v>
      </c>
      <c r="K421" s="283">
        <f>VLOOKUP(TablaPrincipal[[#This Row],[CODIGO]]&amp;TablaPrincipal[[#This Row],[AGUAJE ]],Tabla4[#All],4,0)</f>
        <v>46100</v>
      </c>
      <c r="L421" s="281" t="str">
        <f>VLOOKUP(TablaPrincipal[[#This Row],[CODIGO]]&amp;TablaPrincipal[[#This Row],[AGUAJE ]],Tabla4[#All],15,0)</f>
        <v>CH 2</v>
      </c>
      <c r="M421" s="284">
        <f>VLOOKUP(TablaPrincipal[[#This Row],[CODIGO]]&amp;TablaPrincipal[[#This Row],[AGUAJE ]],Tabla4[#All],14,0)</f>
        <v>1.06</v>
      </c>
      <c r="N421" s="281"/>
      <c r="O421" s="170">
        <f>VLOOKUP(TablaPrincipal[[#This Row],[CODIGO]]&amp;TablaPrincipal[[#This Row],[AGUAJE ]],Tabla4[#All],5,0)</f>
        <v>1161000</v>
      </c>
      <c r="P421" s="221">
        <f>IFERROR(TablaPrincipal[[#This Row],[ANIM SEMBRADOS]]/TablaPrincipal[[#This Row],[HAS]],"-")</f>
        <v>180000</v>
      </c>
      <c r="Q421" s="222">
        <f>IFERROR(TablaPrincipal[[#This Row],[DENSIDAD]]/10000,"-")</f>
        <v>18</v>
      </c>
      <c r="R421" s="281" t="str">
        <f>VLOOKUP(TablaPrincipal[[#This Row],[CODIGO]]&amp;TablaPrincipal[[#This Row],[AGUAJE ]],Tabla4[#All],8,0)</f>
        <v>LARDEMA</v>
      </c>
      <c r="S421" s="281" t="str">
        <f>VLOOKUP(TablaPrincipal[[#This Row],[CODIGO]]&amp;TablaPrincipal[[#This Row],[AGUAJE ]],Tabla4[#All],7,0)</f>
        <v>SEMACUA</v>
      </c>
      <c r="T421" s="281" t="str">
        <f>IF(ISNUMBER(FIND("/",TablaPrincipal[[#This Row],[LABORATORIO]])),"COMBINADO","UNICO")</f>
        <v>UNICO</v>
      </c>
      <c r="U421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421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21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21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21" s="285">
        <f>IFERROR(TablaPrincipal[[#This Row],[LIBRAS RALEO PLANTA]]/TablaPrincipal[[#This Row],[HAS]],"-")</f>
        <v>0</v>
      </c>
      <c r="Z421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21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29300</v>
      </c>
      <c r="AB421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29300</v>
      </c>
      <c r="AC421" s="286">
        <f>SUMIFS(COSECHAS!F:F,COSECHAS!A:A,'BASE 2026'!AW:AW,COSECHAS!G:G,"="&amp;A:A)</f>
        <v>29</v>
      </c>
      <c r="AD421" s="286">
        <f>SUMIFS(COSECHAS!M:M,COSECHAS!A:A,'BASE 2026'!AW:AW,COSECHAS!G:G,"="&amp;A:A)</f>
        <v>29</v>
      </c>
      <c r="AE421" s="285">
        <f>IFERROR(TablaPrincipal[[#This Row],[LIBRAS PLANTA]]/TablaPrincipal[[#This Row],[HAS]],"-")</f>
        <v>4542.635658914729</v>
      </c>
      <c r="AF421" s="285">
        <f>IFERROR(TablaPrincipal[[#This Row],[LIBRAS PLANTA]]*454/TablaPrincipal[[#This Row],[GRAMOS PLANTA]],"-")</f>
        <v>458696.55172413791</v>
      </c>
      <c r="AG421" s="285">
        <f>TablaPrincipal[[#This Row],[LIBRAS RALEO PLANTA]]+TablaPrincipal[[#This Row],[LIBRAS PLANTA]]</f>
        <v>29300</v>
      </c>
      <c r="AH421" s="285">
        <f>IFERROR(TablaPrincipal[[#This Row],[CAM COSECHADOS RALEO]]+TablaPrincipal[[#This Row],[CAM COSECHADOS]],"-")</f>
        <v>458696.55172413791</v>
      </c>
      <c r="AI421" s="285">
        <f>IFERROR((TablaPrincipal[[#This Row],[LIBRAS RALEO PLANTA]]+TablaPrincipal[[#This Row],[LIBRAS PLANTA]])/TablaPrincipal[[#This Row],[HAS]],"0")</f>
        <v>4542.635658914729</v>
      </c>
      <c r="AJ421" s="286">
        <f t="shared" ref="AJ421:AJ427" si="20">IFERROR(AD421/(J421/7),"-")</f>
        <v>2.9852941176470589</v>
      </c>
      <c r="AK421" s="286">
        <f>IFERROR(TablaPrincipal[[#This Row],[LBS/HA]]/TablaPrincipal[[#This Row],[DIAS]],"-")</f>
        <v>66.803465572275428</v>
      </c>
      <c r="AL421" s="286">
        <f>IFERROR(TablaPrincipal[[#This Row],[CAM COSECHADOS TOTALES]]/TablaPrincipal[[#This Row],[ANIM SEMBRADOS]]*100,"-")</f>
        <v>39.508746918530399</v>
      </c>
      <c r="AM421" s="285"/>
      <c r="AN421" s="287">
        <f>IFERROR(((TablaPrincipal[[#This Row],[BALANCEADO ACUMULADO (LBS)]]/2.2046)/TablaPrincipal[[#This Row],[HAS]])/TablaPrincipal[[#This Row],[DIAS]],"-")</f>
        <v>0</v>
      </c>
      <c r="AO421" s="284">
        <f>IFERROR(TablaPrincipal[[#This Row],[BALANCEADO ACUMULADO (LBS)]]/TablaPrincipal[[#This Row],[LIBRAS TOTALES]],"-")</f>
        <v>0</v>
      </c>
      <c r="AP421" s="284"/>
      <c r="AQ421" s="284"/>
      <c r="AR421" s="285">
        <f>TablaPrincipal[[#This Row],[LIBRAS RALEO PLANTA]]-TablaPrincipal[[#This Row],[LIBRAS RALEO CAMARONERA]]</f>
        <v>0</v>
      </c>
      <c r="AS421" s="285">
        <f>TablaPrincipal[[#This Row],[LIBRAS PLANTA]]-TablaPrincipal[[#This Row],[LIBRAS CAMARONERA]]</f>
        <v>0</v>
      </c>
      <c r="AT421" s="287">
        <f>TablaPrincipal[[#This Row],[GRAMAJE RALEO PLANTA]]-TablaPrincipal[[#This Row],[GRAMAJE RALEO CAMARONERA]]</f>
        <v>0</v>
      </c>
      <c r="AU421" s="287">
        <f>TablaPrincipal[[#This Row],[GRAMOS PLANTA]]-TablaPrincipal[[#This Row],[GRAMAJE CAMARONERA]]</f>
        <v>0</v>
      </c>
      <c r="AV421" s="281" t="str">
        <f>+VLOOKUP(TablaPrincipal[[#This Row],[CODIGO]],TablaCosechas[#All],10,0)</f>
        <v>SANTIAGO OBRIEN</v>
      </c>
      <c r="AW421" s="290" t="s">
        <v>9</v>
      </c>
      <c r="AX421" s="282" t="str">
        <f>+VLOOKUP(TablaPrincipal[[#This Row],[CODIGO]],TablaCosechas[#All],10,0)</f>
        <v>SANTIAGO OBRIEN</v>
      </c>
    </row>
    <row r="422" spans="1:50" x14ac:dyDescent="0.25">
      <c r="A422" s="283">
        <v>46168</v>
      </c>
      <c r="B422" s="242">
        <v>420</v>
      </c>
      <c r="C422" s="281">
        <f>YEAR(TablaPrincipal[[#This Row],[FECHA]])</f>
        <v>2026</v>
      </c>
      <c r="D422" s="183" t="s">
        <v>347</v>
      </c>
      <c r="E422" s="281" t="str">
        <f>UPPER(TEXT(TablaPrincipal[[#This Row],[FECHA]],"MMMM"))</f>
        <v>MAYO</v>
      </c>
      <c r="F422" s="281" t="str">
        <f>IFERROR(VLOOKUP(TablaPrincipal[[#This Row],[CODIGO]],COSECHAS!A:J,9,0),"-")</f>
        <v>15</v>
      </c>
      <c r="G422" s="281" t="str">
        <f>IFERROR(VLOOKUP(TablaPrincipal[[#This Row],[CODIGO]],COSECHAS!A:I,8,0),"-")</f>
        <v>DELFIN</v>
      </c>
      <c r="H422" s="284">
        <f>IFERROR(VLOOKUP(TablaPrincipal[[#This Row],[CODIGO]],DATOS!A:B,2,0),"-")</f>
        <v>7.5</v>
      </c>
      <c r="I422" s="281" t="str">
        <f>IFERROR(VLOOKUP(TablaPrincipal[[#This Row],[CODIGO]],Tabla8[[#Headers],[#Data]],3,0),"-")</f>
        <v>CONVENCIONAL</v>
      </c>
      <c r="J422" s="281">
        <f>IFERROR(TablaPrincipal[[#This Row],[FECHA]]-TablaPrincipal[[#This Row],[FECHA DE SIEMBRA]],"-")</f>
        <v>65</v>
      </c>
      <c r="K422" s="283">
        <f>VLOOKUP(TablaPrincipal[[#This Row],[CODIGO]]&amp;TablaPrincipal[[#This Row],[AGUAJE ]],Tabla4[#All],4,0)</f>
        <v>46103</v>
      </c>
      <c r="L422" s="281" t="str">
        <f>VLOOKUP(TablaPrincipal[[#This Row],[CODIGO]]&amp;TablaPrincipal[[#This Row],[AGUAJE ]],Tabla4[#All],15,0)</f>
        <v>DE PS 14</v>
      </c>
      <c r="M422" s="284">
        <f>VLOOKUP(TablaPrincipal[[#This Row],[CODIGO]]&amp;TablaPrincipal[[#This Row],[AGUAJE ]],Tabla4[#All],14,0)</f>
        <v>3.2</v>
      </c>
      <c r="N422" s="281"/>
      <c r="O422" s="170">
        <f>VLOOKUP(TablaPrincipal[[#This Row],[CODIGO]]&amp;TablaPrincipal[[#This Row],[AGUAJE ]],Tabla4[#All],5,0)</f>
        <v>1050000</v>
      </c>
      <c r="P422" s="221">
        <f>IFERROR(TablaPrincipal[[#This Row],[ANIM SEMBRADOS]]/TablaPrincipal[[#This Row],[HAS]],"-")</f>
        <v>140000</v>
      </c>
      <c r="Q422" s="222">
        <f>IFERROR(TablaPrincipal[[#This Row],[DENSIDAD]]/10000,"-")</f>
        <v>14</v>
      </c>
      <c r="R422" s="281" t="str">
        <f>VLOOKUP(TablaPrincipal[[#This Row],[CODIGO]]&amp;TablaPrincipal[[#This Row],[AGUAJE ]],Tabla4[#All],8,0)</f>
        <v>TECSERV</v>
      </c>
      <c r="S422" s="281" t="str">
        <f>VLOOKUP(TablaPrincipal[[#This Row],[CODIGO]]&amp;TablaPrincipal[[#This Row],[AGUAJE ]],Tabla4[#All],7,0)</f>
        <v>SEMACUA</v>
      </c>
      <c r="T422" s="281" t="str">
        <f>IF(ISNUMBER(FIND("/",TablaPrincipal[[#This Row],[LABORATORIO]])),"COMBINADO","UNICO")</f>
        <v>UNICO</v>
      </c>
      <c r="U422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16800</v>
      </c>
      <c r="V422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16596.86</v>
      </c>
      <c r="W422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</v>
      </c>
      <c r="X422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24.84</v>
      </c>
      <c r="Y422" s="285">
        <f>IFERROR(TablaPrincipal[[#This Row],[LIBRAS RALEO PLANTA]]/TablaPrincipal[[#This Row],[HAS]],"-")</f>
        <v>2212.9146666666666</v>
      </c>
      <c r="Z422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309231.64528270799</v>
      </c>
      <c r="AA422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30400</v>
      </c>
      <c r="AB422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30400</v>
      </c>
      <c r="AC422" s="286">
        <f>SUMIFS(COSECHAS!F:F,COSECHAS!A:A,'BASE 2026'!AW:AW,COSECHAS!G:G,"="&amp;A:A)</f>
        <v>38</v>
      </c>
      <c r="AD422" s="286">
        <f>SUMIFS(COSECHAS!M:M,COSECHAS!A:A,'BASE 2026'!AW:AW,COSECHAS!G:G,"="&amp;A:A)</f>
        <v>38</v>
      </c>
      <c r="AE422" s="285">
        <f>IFERROR(TablaPrincipal[[#This Row],[LIBRAS PLANTA]]/TablaPrincipal[[#This Row],[HAS]],"-")</f>
        <v>4053.3333333333335</v>
      </c>
      <c r="AF422" s="285">
        <f>IFERROR(TablaPrincipal[[#This Row],[LIBRAS PLANTA]]*454/TablaPrincipal[[#This Row],[GRAMOS PLANTA]],"-")</f>
        <v>363200</v>
      </c>
      <c r="AG422" s="285">
        <f>TablaPrincipal[[#This Row],[LIBRAS RALEO PLANTA]]+TablaPrincipal[[#This Row],[LIBRAS PLANTA]]</f>
        <v>46996.86</v>
      </c>
      <c r="AH422" s="285">
        <f>IFERROR(TablaPrincipal[[#This Row],[CAM COSECHADOS RALEO]]+TablaPrincipal[[#This Row],[CAM COSECHADOS]],"-")</f>
        <v>672431.64528270799</v>
      </c>
      <c r="AI422" s="285">
        <f>IFERROR((TablaPrincipal[[#This Row],[LIBRAS RALEO PLANTA]]+TablaPrincipal[[#This Row],[LIBRAS PLANTA]])/TablaPrincipal[[#This Row],[HAS]],"0")</f>
        <v>6266.2480000000005</v>
      </c>
      <c r="AJ422" s="286">
        <f t="shared" si="20"/>
        <v>4.092307692307692</v>
      </c>
      <c r="AK422" s="286">
        <f>IFERROR(TablaPrincipal[[#This Row],[LBS/HA]]/TablaPrincipal[[#This Row],[DIAS]],"-")</f>
        <v>96.403815384615399</v>
      </c>
      <c r="AL422" s="286">
        <f>IFERROR(TablaPrincipal[[#This Row],[CAM COSECHADOS TOTALES]]/TablaPrincipal[[#This Row],[ANIM SEMBRADOS]]*100,"-")</f>
        <v>64.041109074543627</v>
      </c>
      <c r="AM422" s="285"/>
      <c r="AN422" s="287">
        <f>IFERROR(((TablaPrincipal[[#This Row],[BALANCEADO ACUMULADO (LBS)]]/2.2046)/TablaPrincipal[[#This Row],[HAS]])/TablaPrincipal[[#This Row],[DIAS]],"-")</f>
        <v>0</v>
      </c>
      <c r="AO422" s="284">
        <f>IFERROR(TablaPrincipal[[#This Row],[BALANCEADO ACUMULADO (LBS)]]/TablaPrincipal[[#This Row],[LIBRAS TOTALES]],"-")</f>
        <v>0</v>
      </c>
      <c r="AP422" s="284"/>
      <c r="AQ422" s="284"/>
      <c r="AR422" s="285">
        <f>TablaPrincipal[[#This Row],[LIBRAS RALEO PLANTA]]-TablaPrincipal[[#This Row],[LIBRAS RALEO CAMARONERA]]</f>
        <v>-203.13999999999942</v>
      </c>
      <c r="AS422" s="285">
        <f>TablaPrincipal[[#This Row],[LIBRAS PLANTA]]-TablaPrincipal[[#This Row],[LIBRAS CAMARONERA]]</f>
        <v>0</v>
      </c>
      <c r="AT422" s="287">
        <f>TablaPrincipal[[#This Row],[GRAMAJE RALEO PLANTA]]-TablaPrincipal[[#This Row],[GRAMAJE RALEO CAMARONERA]]</f>
        <v>0.83999999999999986</v>
      </c>
      <c r="AU422" s="287">
        <f>TablaPrincipal[[#This Row],[GRAMOS PLANTA]]-TablaPrincipal[[#This Row],[GRAMAJE CAMARONERA]]</f>
        <v>0</v>
      </c>
      <c r="AV422" s="281" t="str">
        <f>+VLOOKUP(TablaPrincipal[[#This Row],[CODIGO]],TablaCosechas[#All],10,0)</f>
        <v>CARLOS FLORES</v>
      </c>
      <c r="AW422" s="290" t="s">
        <v>125</v>
      </c>
      <c r="AX422" s="282" t="str">
        <f>+VLOOKUP(TablaPrincipal[[#This Row],[CODIGO]],TablaCosechas[#All],10,0)</f>
        <v>CARLOS FLORES</v>
      </c>
    </row>
    <row r="423" spans="1:50" x14ac:dyDescent="0.25">
      <c r="A423" s="283">
        <v>46168</v>
      </c>
      <c r="B423" s="242">
        <v>421</v>
      </c>
      <c r="C423" s="281">
        <f>YEAR(TablaPrincipal[[#This Row],[FECHA]])</f>
        <v>2026</v>
      </c>
      <c r="D423" s="183" t="s">
        <v>347</v>
      </c>
      <c r="E423" s="281" t="str">
        <f>UPPER(TEXT(TablaPrincipal[[#This Row],[FECHA]],"MMMM"))</f>
        <v>MAYO</v>
      </c>
      <c r="F423" s="281" t="str">
        <f>IFERROR(VLOOKUP(TablaPrincipal[[#This Row],[CODIGO]],COSECHAS!A:J,9,0),"-")</f>
        <v>01</v>
      </c>
      <c r="G423" s="281" t="str">
        <f>IFERROR(VLOOKUP(TablaPrincipal[[#This Row],[CODIGO]],COSECHAS!A:I,8,0),"-")</f>
        <v>GUATO</v>
      </c>
      <c r="H423" s="284">
        <f>IFERROR(VLOOKUP(TablaPrincipal[[#This Row],[CODIGO]],DATOS!A:B,2,0),"-")</f>
        <v>4.5</v>
      </c>
      <c r="I423" s="281" t="str">
        <f>IFERROR(VLOOKUP(TablaPrincipal[[#This Row],[CODIGO]],Tabla8[[#Headers],[#Data]],3,0),"-")</f>
        <v>CONVENCIONAL</v>
      </c>
      <c r="J423" s="281">
        <f>IFERROR(TablaPrincipal[[#This Row],[FECHA]]-TablaPrincipal[[#This Row],[FECHA DE SIEMBRA]],"-")</f>
        <v>71</v>
      </c>
      <c r="K423" s="283">
        <f>VLOOKUP(TablaPrincipal[[#This Row],[CODIGO]]&amp;TablaPrincipal[[#This Row],[AGUAJE ]],Tabla4[#All],4,0)</f>
        <v>46097</v>
      </c>
      <c r="L423" s="281" t="str">
        <f>VLOOKUP(TablaPrincipal[[#This Row],[CODIGO]]&amp;TablaPrincipal[[#This Row],[AGUAJE ]],Tabla4[#All],15,0)</f>
        <v>GT PC 2</v>
      </c>
      <c r="M423" s="284">
        <f>VLOOKUP(TablaPrincipal[[#This Row],[CODIGO]]&amp;TablaPrincipal[[#This Row],[AGUAJE ]],Tabla4[#All],14,0)</f>
        <v>0.53</v>
      </c>
      <c r="N423" s="281"/>
      <c r="O423" s="170">
        <f>VLOOKUP(TablaPrincipal[[#This Row],[CODIGO]]&amp;TablaPrincipal[[#This Row],[AGUAJE ]],Tabla4[#All],5,0)</f>
        <v>675000</v>
      </c>
      <c r="P423" s="221">
        <f>IFERROR(TablaPrincipal[[#This Row],[ANIM SEMBRADOS]]/TablaPrincipal[[#This Row],[HAS]],"-")</f>
        <v>150000</v>
      </c>
      <c r="Q423" s="222">
        <f>IFERROR(TablaPrincipal[[#This Row],[DENSIDAD]]/10000,"-")</f>
        <v>15</v>
      </c>
      <c r="R423" s="281" t="str">
        <f>VLOOKUP(TablaPrincipal[[#This Row],[CODIGO]]&amp;TablaPrincipal[[#This Row],[AGUAJE ]],Tabla4[#All],8,0)</f>
        <v>TECSERV</v>
      </c>
      <c r="S423" s="281" t="str">
        <f>VLOOKUP(TablaPrincipal[[#This Row],[CODIGO]]&amp;TablaPrincipal[[#This Row],[AGUAJE ]],Tabla4[#All],7,0)</f>
        <v>EMPAGRAN</v>
      </c>
      <c r="T423" s="281" t="str">
        <f>IF(ISNUMBER(FIND("/",TablaPrincipal[[#This Row],[LABORATORIO]])),"COMBINADO","UNICO")</f>
        <v>UNICO</v>
      </c>
      <c r="U423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0</v>
      </c>
      <c r="V423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W423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X423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0</v>
      </c>
      <c r="Y423" s="285">
        <f>IFERROR(TablaPrincipal[[#This Row],[LIBRAS RALEO PLANTA]]/TablaPrincipal[[#This Row],[HAS]],"-")</f>
        <v>0</v>
      </c>
      <c r="Z423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0</v>
      </c>
      <c r="AA423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20550</v>
      </c>
      <c r="AB423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20550</v>
      </c>
      <c r="AC423" s="286">
        <f>SUMIFS(COSECHAS!F:F,COSECHAS!A:A,'BASE 2026'!AW:AW,COSECHAS!G:G,"="&amp;A:A)</f>
        <v>27</v>
      </c>
      <c r="AD423" s="286">
        <f>SUMIFS(COSECHAS!M:M,COSECHAS!A:A,'BASE 2026'!AW:AW,COSECHAS!G:G,"="&amp;A:A)</f>
        <v>27</v>
      </c>
      <c r="AE423" s="285">
        <f>IFERROR(TablaPrincipal[[#This Row],[LIBRAS PLANTA]]/TablaPrincipal[[#This Row],[HAS]],"-")</f>
        <v>4566.666666666667</v>
      </c>
      <c r="AF423" s="285">
        <f>IFERROR(TablaPrincipal[[#This Row],[LIBRAS PLANTA]]*454/TablaPrincipal[[#This Row],[GRAMOS PLANTA]],"-")</f>
        <v>345544.44444444444</v>
      </c>
      <c r="AG423" s="285">
        <f>TablaPrincipal[[#This Row],[LIBRAS RALEO PLANTA]]+TablaPrincipal[[#This Row],[LIBRAS PLANTA]]</f>
        <v>20550</v>
      </c>
      <c r="AH423" s="285">
        <f>IFERROR(TablaPrincipal[[#This Row],[CAM COSECHADOS RALEO]]+TablaPrincipal[[#This Row],[CAM COSECHADOS]],"-")</f>
        <v>345544.44444444444</v>
      </c>
      <c r="AI423" s="285">
        <f>IFERROR((TablaPrincipal[[#This Row],[LIBRAS RALEO PLANTA]]+TablaPrincipal[[#This Row],[LIBRAS PLANTA]])/TablaPrincipal[[#This Row],[HAS]],"0")</f>
        <v>4566.666666666667</v>
      </c>
      <c r="AJ423" s="286">
        <f t="shared" si="20"/>
        <v>2.6619718309859155</v>
      </c>
      <c r="AK423" s="286">
        <f>IFERROR(TablaPrincipal[[#This Row],[LBS/HA]]/TablaPrincipal[[#This Row],[DIAS]],"-")</f>
        <v>64.319248826291087</v>
      </c>
      <c r="AL423" s="286">
        <f>IFERROR(TablaPrincipal[[#This Row],[CAM COSECHADOS TOTALES]]/TablaPrincipal[[#This Row],[ANIM SEMBRADOS]]*100,"-")</f>
        <v>51.191769547325109</v>
      </c>
      <c r="AM423" s="285"/>
      <c r="AN423" s="287">
        <f>IFERROR(((TablaPrincipal[[#This Row],[BALANCEADO ACUMULADO (LBS)]]/2.2046)/TablaPrincipal[[#This Row],[HAS]])/TablaPrincipal[[#This Row],[DIAS]],"-")</f>
        <v>0</v>
      </c>
      <c r="AO423" s="284">
        <f>IFERROR(TablaPrincipal[[#This Row],[BALANCEADO ACUMULADO (LBS)]]/TablaPrincipal[[#This Row],[LIBRAS TOTALES]],"-")</f>
        <v>0</v>
      </c>
      <c r="AP423" s="284"/>
      <c r="AQ423" s="284"/>
      <c r="AR423" s="285">
        <f>TablaPrincipal[[#This Row],[LIBRAS RALEO PLANTA]]-TablaPrincipal[[#This Row],[LIBRAS RALEO CAMARONERA]]</f>
        <v>0</v>
      </c>
      <c r="AS423" s="285">
        <f>TablaPrincipal[[#This Row],[LIBRAS PLANTA]]-TablaPrincipal[[#This Row],[LIBRAS CAMARONERA]]</f>
        <v>0</v>
      </c>
      <c r="AT423" s="287">
        <f>TablaPrincipal[[#This Row],[GRAMAJE RALEO PLANTA]]-TablaPrincipal[[#This Row],[GRAMAJE RALEO CAMARONERA]]</f>
        <v>0</v>
      </c>
      <c r="AU423" s="287">
        <f>TablaPrincipal[[#This Row],[GRAMOS PLANTA]]-TablaPrincipal[[#This Row],[GRAMAJE CAMARONERA]]</f>
        <v>0</v>
      </c>
      <c r="AV423" s="281" t="str">
        <f>+VLOOKUP(TablaPrincipal[[#This Row],[CODIGO]],TablaCosechas[#All],10,0)</f>
        <v>JULIO SANTOS</v>
      </c>
      <c r="AW423" s="290" t="s">
        <v>280</v>
      </c>
      <c r="AX423" s="282" t="str">
        <f>+VLOOKUP(TablaPrincipal[[#This Row],[CODIGO]],TablaCosechas[#All],10,0)</f>
        <v>JULIO SANTOS</v>
      </c>
    </row>
    <row r="424" spans="1:50" x14ac:dyDescent="0.25">
      <c r="A424" s="283">
        <v>46168</v>
      </c>
      <c r="B424" s="242">
        <v>422</v>
      </c>
      <c r="C424" s="281">
        <f>YEAR(TablaPrincipal[[#This Row],[FECHA]])</f>
        <v>2026</v>
      </c>
      <c r="D424" s="183" t="s">
        <v>347</v>
      </c>
      <c r="E424" s="281" t="str">
        <f>UPPER(TEXT(TablaPrincipal[[#This Row],[FECHA]],"MMMM"))</f>
        <v>MAYO</v>
      </c>
      <c r="F424" s="281" t="str">
        <f>IFERROR(VLOOKUP(TablaPrincipal[[#This Row],[CODIGO]],COSECHAS!A:J,9,0),"-")</f>
        <v>12</v>
      </c>
      <c r="G424" s="281" t="str">
        <f>IFERROR(VLOOKUP(TablaPrincipal[[#This Row],[CODIGO]],COSECHAS!A:I,8,0),"-")</f>
        <v>PARGO ROJO</v>
      </c>
      <c r="H424" s="284">
        <f>IFERROR(VLOOKUP(TablaPrincipal[[#This Row],[CODIGO]],DATOS!A:B,2,0),"-")</f>
        <v>3.4</v>
      </c>
      <c r="I424" s="281" t="str">
        <f>IFERROR(VLOOKUP(TablaPrincipal[[#This Row],[CODIGO]],Tabla8[[#Headers],[#Data]],3,0),"-")</f>
        <v>CONVENCIONAL</v>
      </c>
      <c r="J424" s="281">
        <f>IFERROR(TablaPrincipal[[#This Row],[FECHA]]-TablaPrincipal[[#This Row],[FECHA DE SIEMBRA]],"-")</f>
        <v>79</v>
      </c>
      <c r="K424" s="283">
        <f>VLOOKUP(TablaPrincipal[[#This Row],[CODIGO]]&amp;TablaPrincipal[[#This Row],[AGUAJE ]],Tabla4[#All],4,0)</f>
        <v>46089</v>
      </c>
      <c r="L424" s="281" t="str">
        <f>VLOOKUP(TablaPrincipal[[#This Row],[CODIGO]]&amp;TablaPrincipal[[#This Row],[AGUAJE ]],Tabla4[#All],15,0)</f>
        <v>PC 03</v>
      </c>
      <c r="M424" s="284">
        <f>VLOOKUP(TablaPrincipal[[#This Row],[CODIGO]]&amp;TablaPrincipal[[#This Row],[AGUAJE ]],Tabla4[#All],14,0)</f>
        <v>0.5</v>
      </c>
      <c r="N424" s="281"/>
      <c r="O424" s="170">
        <f>VLOOKUP(TablaPrincipal[[#This Row],[CODIGO]]&amp;TablaPrincipal[[#This Row],[AGUAJE ]],Tabla4[#All],5,0)</f>
        <v>612000</v>
      </c>
      <c r="P424" s="221">
        <f>IFERROR(TablaPrincipal[[#This Row],[ANIM SEMBRADOS]]/TablaPrincipal[[#This Row],[HAS]],"-")</f>
        <v>180000</v>
      </c>
      <c r="Q424" s="222">
        <f>IFERROR(TablaPrincipal[[#This Row],[DENSIDAD]]/10000,"-")</f>
        <v>18</v>
      </c>
      <c r="R424" s="281" t="str">
        <f>VLOOKUP(TablaPrincipal[[#This Row],[CODIGO]]&amp;TablaPrincipal[[#This Row],[AGUAJE ]],Tabla4[#All],8,0)</f>
        <v>EMPAGRAN</v>
      </c>
      <c r="S424" s="281" t="str">
        <f>VLOOKUP(TablaPrincipal[[#This Row],[CODIGO]]&amp;TablaPrincipal[[#This Row],[AGUAJE ]],Tabla4[#All],7,0)</f>
        <v>EMPAGRAN</v>
      </c>
      <c r="T424" s="281" t="str">
        <f>IF(ISNUMBER(FIND("/",TablaPrincipal[[#This Row],[LABORATORIO]])),"COMBINADO","UNICO")</f>
        <v>UNICO</v>
      </c>
      <c r="U424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3600</v>
      </c>
      <c r="V424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4097.8500000000004</v>
      </c>
      <c r="W424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</v>
      </c>
      <c r="X424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16.920000000000002</v>
      </c>
      <c r="Y424" s="285">
        <f>IFERROR(TablaPrincipal[[#This Row],[LIBRAS RALEO PLANTA]]/TablaPrincipal[[#This Row],[HAS]],"-")</f>
        <v>1205.2500000000002</v>
      </c>
      <c r="Z424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109954.13120567375</v>
      </c>
      <c r="AA424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8250</v>
      </c>
      <c r="AB424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8250</v>
      </c>
      <c r="AC424" s="286">
        <f>SUMIFS(COSECHAS!F:F,COSECHAS!A:A,'BASE 2026'!AW:AW,COSECHAS!G:G,"="&amp;A:A)</f>
        <v>31</v>
      </c>
      <c r="AD424" s="286">
        <f>SUMIFS(COSECHAS!M:M,COSECHAS!A:A,'BASE 2026'!AW:AW,COSECHAS!G:G,"="&amp;A:A)</f>
        <v>31</v>
      </c>
      <c r="AE424" s="285">
        <f>IFERROR(TablaPrincipal[[#This Row],[LIBRAS PLANTA]]/TablaPrincipal[[#This Row],[HAS]],"-")</f>
        <v>2426.4705882352941</v>
      </c>
      <c r="AF424" s="285">
        <f>IFERROR(TablaPrincipal[[#This Row],[LIBRAS PLANTA]]*454/TablaPrincipal[[#This Row],[GRAMOS PLANTA]],"-")</f>
        <v>120822.58064516129</v>
      </c>
      <c r="AG424" s="285">
        <f>TablaPrincipal[[#This Row],[LIBRAS RALEO PLANTA]]+TablaPrincipal[[#This Row],[LIBRAS PLANTA]]</f>
        <v>12347.85</v>
      </c>
      <c r="AH424" s="285">
        <f>IFERROR(TablaPrincipal[[#This Row],[CAM COSECHADOS RALEO]]+TablaPrincipal[[#This Row],[CAM COSECHADOS]],"-")</f>
        <v>230776.71185083504</v>
      </c>
      <c r="AI424" s="285">
        <f>IFERROR((TablaPrincipal[[#This Row],[LIBRAS RALEO PLANTA]]+TablaPrincipal[[#This Row],[LIBRAS PLANTA]])/TablaPrincipal[[#This Row],[HAS]],"0")</f>
        <v>3631.7205882352941</v>
      </c>
      <c r="AJ424" s="286">
        <f t="shared" si="20"/>
        <v>2.7468354430379747</v>
      </c>
      <c r="AK424" s="286">
        <f>IFERROR(TablaPrincipal[[#This Row],[LBS/HA]]/TablaPrincipal[[#This Row],[DIAS]],"-")</f>
        <v>45.971146686522708</v>
      </c>
      <c r="AL424" s="286">
        <f>IFERROR(TablaPrincipal[[#This Row],[CAM COSECHADOS TOTALES]]/TablaPrincipal[[#This Row],[ANIM SEMBRADOS]]*100,"-")</f>
        <v>37.708613047522064</v>
      </c>
      <c r="AM424" s="285"/>
      <c r="AN424" s="287">
        <f>IFERROR(((TablaPrincipal[[#This Row],[BALANCEADO ACUMULADO (LBS)]]/2.2046)/TablaPrincipal[[#This Row],[HAS]])/TablaPrincipal[[#This Row],[DIAS]],"-")</f>
        <v>0</v>
      </c>
      <c r="AO424" s="284">
        <f>IFERROR(TablaPrincipal[[#This Row],[BALANCEADO ACUMULADO (LBS)]]/TablaPrincipal[[#This Row],[LIBRAS TOTALES]],"-")</f>
        <v>0</v>
      </c>
      <c r="AP424" s="284"/>
      <c r="AQ424" s="284"/>
      <c r="AR424" s="285">
        <f>TablaPrincipal[[#This Row],[LIBRAS RALEO PLANTA]]-TablaPrincipal[[#This Row],[LIBRAS RALEO CAMARONERA]]</f>
        <v>497.85000000000036</v>
      </c>
      <c r="AS424" s="285">
        <f>TablaPrincipal[[#This Row],[LIBRAS PLANTA]]-TablaPrincipal[[#This Row],[LIBRAS CAMARONERA]]</f>
        <v>0</v>
      </c>
      <c r="AT424" s="287">
        <f>TablaPrincipal[[#This Row],[GRAMAJE RALEO PLANTA]]-TablaPrincipal[[#This Row],[GRAMAJE RALEO CAMARONERA]]</f>
        <v>0.92000000000000171</v>
      </c>
      <c r="AU424" s="287">
        <f>TablaPrincipal[[#This Row],[GRAMOS PLANTA]]-TablaPrincipal[[#This Row],[GRAMAJE CAMARONERA]]</f>
        <v>0</v>
      </c>
      <c r="AV424" s="281" t="str">
        <f>+VLOOKUP(TablaPrincipal[[#This Row],[CODIGO]],TablaCosechas[#All],10,0)</f>
        <v>WILMER TORRES</v>
      </c>
      <c r="AW424" s="290" t="s">
        <v>261</v>
      </c>
      <c r="AX424" s="282" t="str">
        <f>+VLOOKUP(TablaPrincipal[[#This Row],[CODIGO]],TablaCosechas[#All],10,0)</f>
        <v>WILMER TORRES</v>
      </c>
    </row>
    <row r="425" spans="1:50" x14ac:dyDescent="0.25">
      <c r="A425" s="283">
        <v>46168</v>
      </c>
      <c r="B425" s="242">
        <v>423</v>
      </c>
      <c r="C425" s="281">
        <f>YEAR(TablaPrincipal[[#This Row],[FECHA]])</f>
        <v>2026</v>
      </c>
      <c r="D425" s="183" t="s">
        <v>347</v>
      </c>
      <c r="E425" s="281" t="str">
        <f>UPPER(TEXT(TablaPrincipal[[#This Row],[FECHA]],"MMMM"))</f>
        <v>MAYO</v>
      </c>
      <c r="F425" s="281" t="str">
        <f>IFERROR(VLOOKUP(TablaPrincipal[[#This Row],[CODIGO]],COSECHAS!A:J,9,0),"-")</f>
        <v>10</v>
      </c>
      <c r="G425" s="281" t="str">
        <f>IFERROR(VLOOKUP(TablaPrincipal[[#This Row],[CODIGO]],COSECHAS!A:I,8,0),"-")</f>
        <v>TIBURON</v>
      </c>
      <c r="H425" s="284">
        <f>IFERROR(VLOOKUP(TablaPrincipal[[#This Row],[CODIGO]],DATOS!A:B,2,0),"-")</f>
        <v>6.71</v>
      </c>
      <c r="I425" s="281" t="str">
        <f>IFERROR(VLOOKUP(TablaPrincipal[[#This Row],[CODIGO]],Tabla8[[#Headers],[#Data]],3,0),"-")</f>
        <v>ASC-BAP</v>
      </c>
      <c r="J425" s="281">
        <f>IFERROR(TablaPrincipal[[#This Row],[FECHA]]-TablaPrincipal[[#This Row],[FECHA DE SIEMBRA]],"-")</f>
        <v>78</v>
      </c>
      <c r="K425" s="283">
        <f>VLOOKUP(TablaPrincipal[[#This Row],[CODIGO]]&amp;TablaPrincipal[[#This Row],[AGUAJE ]],Tabla4[#All],4,0)</f>
        <v>46090</v>
      </c>
      <c r="L425" s="281" t="str">
        <f>VLOOKUP(TablaPrincipal[[#This Row],[CODIGO]]&amp;TablaPrincipal[[#This Row],[AGUAJE ]],Tabla4[#All],15,0)</f>
        <v>TI 33 - 34</v>
      </c>
      <c r="M425" s="284">
        <f>VLOOKUP(TablaPrincipal[[#This Row],[CODIGO]]&amp;TablaPrincipal[[#This Row],[AGUAJE ]],Tabla4[#All],14,0)</f>
        <v>0.85</v>
      </c>
      <c r="N425" s="281"/>
      <c r="O425" s="170">
        <f>VLOOKUP(TablaPrincipal[[#This Row],[CODIGO]]&amp;TablaPrincipal[[#This Row],[AGUAJE ]],Tabla4[#All],5,0)</f>
        <v>1140700</v>
      </c>
      <c r="P425" s="221">
        <f>IFERROR(TablaPrincipal[[#This Row],[ANIM SEMBRADOS]]/TablaPrincipal[[#This Row],[HAS]],"-")</f>
        <v>170000</v>
      </c>
      <c r="Q425" s="222">
        <f>IFERROR(TablaPrincipal[[#This Row],[DENSIDAD]]/10000,"-")</f>
        <v>17</v>
      </c>
      <c r="R425" s="281" t="str">
        <f>VLOOKUP(TablaPrincipal[[#This Row],[CODIGO]]&amp;TablaPrincipal[[#This Row],[AGUAJE ]],Tabla4[#All],8,0)</f>
        <v>EMPAGRAN</v>
      </c>
      <c r="S425" s="281" t="str">
        <f>VLOOKUP(TablaPrincipal[[#This Row],[CODIGO]]&amp;TablaPrincipal[[#This Row],[AGUAJE ]],Tabla4[#All],7,0)</f>
        <v>EMPAGRAN</v>
      </c>
      <c r="T425" s="281" t="str">
        <f>IF(ISNUMBER(FIND("/",TablaPrincipal[[#This Row],[LABORATORIO]])),"COMBINADO","UNICO")</f>
        <v>UNICO</v>
      </c>
      <c r="U425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21800</v>
      </c>
      <c r="V425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21751.21</v>
      </c>
      <c r="W425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25.5</v>
      </c>
      <c r="X425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27.119999999999997</v>
      </c>
      <c r="Y425" s="285">
        <f>IFERROR(TablaPrincipal[[#This Row],[LIBRAS RALEO PLANTA]]/TablaPrincipal[[#This Row],[HAS]],"-")</f>
        <v>3241.6110283159464</v>
      </c>
      <c r="Z425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362076.42491749173</v>
      </c>
      <c r="AA425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20700</v>
      </c>
      <c r="AB425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20700</v>
      </c>
      <c r="AC425" s="286">
        <f>SUMIFS(COSECHAS!F:F,COSECHAS!A:A,'BASE 2026'!AW:AW,COSECHAS!G:G,"="&amp;A:A)</f>
        <v>32</v>
      </c>
      <c r="AD425" s="286">
        <f>SUMIFS(COSECHAS!M:M,COSECHAS!A:A,'BASE 2026'!AW:AW,COSECHAS!G:G,"="&amp;A:A)</f>
        <v>32</v>
      </c>
      <c r="AE425" s="285">
        <f>IFERROR(TablaPrincipal[[#This Row],[LIBRAS PLANTA]]/TablaPrincipal[[#This Row],[HAS]],"-")</f>
        <v>3084.9478390461995</v>
      </c>
      <c r="AF425" s="285">
        <f>IFERROR(TablaPrincipal[[#This Row],[LIBRAS PLANTA]]*454/TablaPrincipal[[#This Row],[GRAMOS PLANTA]],"-")</f>
        <v>293681.25</v>
      </c>
      <c r="AG425" s="285">
        <f>TablaPrincipal[[#This Row],[LIBRAS RALEO PLANTA]]+TablaPrincipal[[#This Row],[LIBRAS PLANTA]]</f>
        <v>42451.21</v>
      </c>
      <c r="AH425" s="285">
        <f>IFERROR(TablaPrincipal[[#This Row],[CAM COSECHADOS RALEO]]+TablaPrincipal[[#This Row],[CAM COSECHADOS]],"-")</f>
        <v>655757.67491749173</v>
      </c>
      <c r="AI425" s="285">
        <f>IFERROR((TablaPrincipal[[#This Row],[LIBRAS RALEO PLANTA]]+TablaPrincipal[[#This Row],[LIBRAS PLANTA]])/TablaPrincipal[[#This Row],[HAS]],"0")</f>
        <v>6326.558867362146</v>
      </c>
      <c r="AJ425" s="286">
        <f t="shared" si="20"/>
        <v>2.8717948717948718</v>
      </c>
      <c r="AK425" s="286">
        <f>IFERROR(TablaPrincipal[[#This Row],[LBS/HA]]/TablaPrincipal[[#This Row],[DIAS]],"-")</f>
        <v>81.109729068745466</v>
      </c>
      <c r="AL425" s="286">
        <f>IFERROR(TablaPrincipal[[#This Row],[CAM COSECHADOS TOTALES]]/TablaPrincipal[[#This Row],[ANIM SEMBRADOS]]*100,"-")</f>
        <v>57.487303841280948</v>
      </c>
      <c r="AM425" s="285"/>
      <c r="AN425" s="287">
        <f>IFERROR(((TablaPrincipal[[#This Row],[BALANCEADO ACUMULADO (LBS)]]/2.2046)/TablaPrincipal[[#This Row],[HAS]])/TablaPrincipal[[#This Row],[DIAS]],"-")</f>
        <v>0</v>
      </c>
      <c r="AO425" s="284">
        <f>IFERROR(TablaPrincipal[[#This Row],[BALANCEADO ACUMULADO (LBS)]]/TablaPrincipal[[#This Row],[LIBRAS TOTALES]],"-")</f>
        <v>0</v>
      </c>
      <c r="AP425" s="284"/>
      <c r="AQ425" s="284"/>
      <c r="AR425" s="285">
        <f>TablaPrincipal[[#This Row],[LIBRAS RALEO PLANTA]]-TablaPrincipal[[#This Row],[LIBRAS RALEO CAMARONERA]]</f>
        <v>-48.790000000000873</v>
      </c>
      <c r="AS425" s="285">
        <f>TablaPrincipal[[#This Row],[LIBRAS PLANTA]]-TablaPrincipal[[#This Row],[LIBRAS CAMARONERA]]</f>
        <v>0</v>
      </c>
      <c r="AT425" s="287">
        <f>TablaPrincipal[[#This Row],[GRAMAJE RALEO PLANTA]]-TablaPrincipal[[#This Row],[GRAMAJE RALEO CAMARONERA]]</f>
        <v>1.6199999999999974</v>
      </c>
      <c r="AU425" s="287">
        <f>TablaPrincipal[[#This Row],[GRAMOS PLANTA]]-TablaPrincipal[[#This Row],[GRAMAJE CAMARONERA]]</f>
        <v>0</v>
      </c>
      <c r="AV425" s="281" t="str">
        <f>+VLOOKUP(TablaPrincipal[[#This Row],[CODIGO]],TablaCosechas[#All],10,0)</f>
        <v>ALFONSO GRUNAUER</v>
      </c>
      <c r="AW425" s="290" t="s">
        <v>258</v>
      </c>
      <c r="AX425" s="282" t="str">
        <f>+VLOOKUP(TablaPrincipal[[#This Row],[CODIGO]],TablaCosechas[#All],10,0)</f>
        <v>ALFONSO GRUNAUER</v>
      </c>
    </row>
    <row r="426" spans="1:50" x14ac:dyDescent="0.25">
      <c r="A426" s="283">
        <v>46168</v>
      </c>
      <c r="B426" s="242">
        <v>424</v>
      </c>
      <c r="C426" s="281">
        <f>YEAR(TablaPrincipal[[#This Row],[FECHA]])</f>
        <v>2026</v>
      </c>
      <c r="D426" s="183" t="s">
        <v>347</v>
      </c>
      <c r="E426" s="281" t="str">
        <f>UPPER(TEXT(TablaPrincipal[[#This Row],[FECHA]],"MMMM"))</f>
        <v>MAYO</v>
      </c>
      <c r="F426" s="281" t="str">
        <f>IFERROR(VLOOKUP(TablaPrincipal[[#This Row],[CODIGO]],COSECHAS!A:J,9,0),"-")</f>
        <v>30</v>
      </c>
      <c r="G426" s="281" t="str">
        <f>IFERROR(VLOOKUP(TablaPrincipal[[#This Row],[CODIGO]],COSECHAS!A:I,8,0),"-")</f>
        <v>WAHOO</v>
      </c>
      <c r="H426" s="284">
        <f>IFERROR(VLOOKUP(TablaPrincipal[[#This Row],[CODIGO]],DATOS!A:B,2,0),"-")</f>
        <v>14</v>
      </c>
      <c r="I426" s="281" t="str">
        <f>IFERROR(VLOOKUP(TablaPrincipal[[#This Row],[CODIGO]],Tabla8[[#Headers],[#Data]],3,0),"-")</f>
        <v>CONVENCIONAL</v>
      </c>
      <c r="J426" s="281">
        <f>IFERROR(TablaPrincipal[[#This Row],[FECHA]]-TablaPrincipal[[#This Row],[FECHA DE SIEMBRA]],"-")</f>
        <v>90</v>
      </c>
      <c r="K426" s="283">
        <f>VLOOKUP(TablaPrincipal[[#This Row],[CODIGO]]&amp;TablaPrincipal[[#This Row],[AGUAJE ]],Tabla4[#All],4,0)</f>
        <v>46078</v>
      </c>
      <c r="L426" s="281" t="str">
        <f>VLOOKUP(TablaPrincipal[[#This Row],[CODIGO]]&amp;TablaPrincipal[[#This Row],[AGUAJE ]],Tabla4[#All],15,0)</f>
        <v>WA PS 23</v>
      </c>
      <c r="M426" s="284">
        <f>VLOOKUP(TablaPrincipal[[#This Row],[CODIGO]]&amp;TablaPrincipal[[#This Row],[AGUAJE ]],Tabla4[#All],14,0)</f>
        <v>0.95</v>
      </c>
      <c r="N426" s="281"/>
      <c r="O426" s="170">
        <f>VLOOKUP(TablaPrincipal[[#This Row],[CODIGO]]&amp;TablaPrincipal[[#This Row],[AGUAJE ]],Tabla4[#All],5,0)</f>
        <v>2100000</v>
      </c>
      <c r="P426" s="221">
        <f>IFERROR(TablaPrincipal[[#This Row],[ANIM SEMBRADOS]]/TablaPrincipal[[#This Row],[HAS]],"-")</f>
        <v>150000</v>
      </c>
      <c r="Q426" s="222">
        <f>IFERROR(TablaPrincipal[[#This Row],[DENSIDAD]]/10000,"-")</f>
        <v>15</v>
      </c>
      <c r="R426" s="281" t="str">
        <f>VLOOKUP(TablaPrincipal[[#This Row],[CODIGO]]&amp;TablaPrincipal[[#This Row],[AGUAJE ]],Tabla4[#All],8,0)</f>
        <v>MEGALATINA</v>
      </c>
      <c r="S426" s="281" t="str">
        <f>VLOOKUP(TablaPrincipal[[#This Row],[CODIGO]]&amp;TablaPrincipal[[#This Row],[AGUAJE ]],Tabla4[#All],7,0)</f>
        <v>TEXCUMAR</v>
      </c>
      <c r="T426" s="281" t="str">
        <f>IF(ISNUMBER(FIND("/",TablaPrincipal[[#This Row],[LABORATORIO]])),"COMBINADO","UNICO")</f>
        <v>UNICO</v>
      </c>
      <c r="U426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32200</v>
      </c>
      <c r="V426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32491.57</v>
      </c>
      <c r="W426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28</v>
      </c>
      <c r="X426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29.89</v>
      </c>
      <c r="Y426" s="285">
        <f>IFERROR(TablaPrincipal[[#This Row],[LIBRAS RALEO PLANTA]]/TablaPrincipal[[#This Row],[HAS]],"-")</f>
        <v>2320.8264285714286</v>
      </c>
      <c r="Z426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499815.08068269974</v>
      </c>
      <c r="AA426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25950</v>
      </c>
      <c r="AB426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25950</v>
      </c>
      <c r="AC426" s="286">
        <f>SUMIFS(COSECHAS!F:F,COSECHAS!A:A,'BASE 2026'!AW:AW,COSECHAS!G:G,"="&amp;A:A)</f>
        <v>34</v>
      </c>
      <c r="AD426" s="286">
        <f>SUMIFS(COSECHAS!M:M,COSECHAS!A:A,'BASE 2026'!AW:AW,COSECHAS!G:G,"="&amp;A:A)</f>
        <v>34</v>
      </c>
      <c r="AE426" s="285">
        <f>IFERROR(TablaPrincipal[[#This Row],[LIBRAS PLANTA]]/TablaPrincipal[[#This Row],[HAS]],"-")</f>
        <v>1853.5714285714287</v>
      </c>
      <c r="AF426" s="285">
        <f>IFERROR(TablaPrincipal[[#This Row],[LIBRAS PLANTA]]*454/TablaPrincipal[[#This Row],[GRAMOS PLANTA]],"-")</f>
        <v>346508.82352941175</v>
      </c>
      <c r="AG426" s="285">
        <f>TablaPrincipal[[#This Row],[LIBRAS RALEO PLANTA]]+TablaPrincipal[[#This Row],[LIBRAS PLANTA]]</f>
        <v>58441.57</v>
      </c>
      <c r="AH426" s="285">
        <f>IFERROR(TablaPrincipal[[#This Row],[CAM COSECHADOS RALEO]]+TablaPrincipal[[#This Row],[CAM COSECHADOS]],"-")</f>
        <v>846323.90421211149</v>
      </c>
      <c r="AI426" s="285">
        <f>IFERROR((TablaPrincipal[[#This Row],[LIBRAS RALEO PLANTA]]+TablaPrincipal[[#This Row],[LIBRAS PLANTA]])/TablaPrincipal[[#This Row],[HAS]],"0")</f>
        <v>4174.397857142857</v>
      </c>
      <c r="AJ426" s="286">
        <f t="shared" si="20"/>
        <v>2.6444444444444444</v>
      </c>
      <c r="AK426" s="286">
        <f>IFERROR(TablaPrincipal[[#This Row],[LBS/HA]]/TablaPrincipal[[#This Row],[DIAS]],"-")</f>
        <v>46.382198412698408</v>
      </c>
      <c r="AL426" s="286">
        <f>IFERROR(TablaPrincipal[[#This Row],[CAM COSECHADOS TOTALES]]/TablaPrincipal[[#This Row],[ANIM SEMBRADOS]]*100,"-")</f>
        <v>40.30113829581483</v>
      </c>
      <c r="AM426" s="285"/>
      <c r="AN426" s="287">
        <f>IFERROR(((TablaPrincipal[[#This Row],[BALANCEADO ACUMULADO (LBS)]]/2.2046)/TablaPrincipal[[#This Row],[HAS]])/TablaPrincipal[[#This Row],[DIAS]],"-")</f>
        <v>0</v>
      </c>
      <c r="AO426" s="284">
        <f>IFERROR(TablaPrincipal[[#This Row],[BALANCEADO ACUMULADO (LBS)]]/TablaPrincipal[[#This Row],[LIBRAS TOTALES]],"-")</f>
        <v>0</v>
      </c>
      <c r="AP426" s="284"/>
      <c r="AQ426" s="284"/>
      <c r="AR426" s="285">
        <f>TablaPrincipal[[#This Row],[LIBRAS RALEO PLANTA]]-TablaPrincipal[[#This Row],[LIBRAS RALEO CAMARONERA]]</f>
        <v>291.56999999999971</v>
      </c>
      <c r="AS426" s="285">
        <f>TablaPrincipal[[#This Row],[LIBRAS PLANTA]]-TablaPrincipal[[#This Row],[LIBRAS CAMARONERA]]</f>
        <v>0</v>
      </c>
      <c r="AT426" s="287">
        <f>TablaPrincipal[[#This Row],[GRAMAJE RALEO PLANTA]]-TablaPrincipal[[#This Row],[GRAMAJE RALEO CAMARONERA]]</f>
        <v>1.8900000000000006</v>
      </c>
      <c r="AU426" s="287">
        <f>TablaPrincipal[[#This Row],[GRAMOS PLANTA]]-TablaPrincipal[[#This Row],[GRAMAJE CAMARONERA]]</f>
        <v>0</v>
      </c>
      <c r="AV426" s="281" t="str">
        <f>+VLOOKUP(TablaPrincipal[[#This Row],[CODIGO]],TablaCosechas[#All],10,0)</f>
        <v>JUNIOR ESQUIVEL</v>
      </c>
      <c r="AW426" s="290" t="s">
        <v>214</v>
      </c>
      <c r="AX426" s="282" t="str">
        <f>+VLOOKUP(TablaPrincipal[[#This Row],[CODIGO]],TablaCosechas[#All],10,0)</f>
        <v>JUNIOR ESQUIVEL</v>
      </c>
    </row>
    <row r="427" spans="1:50" x14ac:dyDescent="0.25">
      <c r="A427" s="283">
        <v>46168</v>
      </c>
      <c r="B427" s="242">
        <v>425</v>
      </c>
      <c r="C427" s="281">
        <f>YEAR(TablaPrincipal[[#This Row],[FECHA]])</f>
        <v>2026</v>
      </c>
      <c r="D427" s="183" t="s">
        <v>347</v>
      </c>
      <c r="E427" s="281" t="str">
        <f>UPPER(TEXT(TablaPrincipal[[#This Row],[FECHA]],"MMMM"))</f>
        <v>MAYO</v>
      </c>
      <c r="F427" s="281" t="str">
        <f>IFERROR(VLOOKUP(TablaPrincipal[[#This Row],[CODIGO]],COSECHAS!A:J,9,0),"-")</f>
        <v>02</v>
      </c>
      <c r="G427" s="281" t="str">
        <f>IFERROR(VLOOKUP(TablaPrincipal[[#This Row],[CODIGO]],COSECHAS!A:I,8,0),"-")</f>
        <v>PAMPANO</v>
      </c>
      <c r="H427" s="284">
        <f>IFERROR(VLOOKUP(TablaPrincipal[[#This Row],[CODIGO]],DATOS!A:B,2,0),"-")</f>
        <v>2.65</v>
      </c>
      <c r="I427" s="281" t="str">
        <f>IFERROR(VLOOKUP(TablaPrincipal[[#This Row],[CODIGO]],Tabla8[[#Headers],[#Data]],3,0),"-")</f>
        <v>ASC-BAP</v>
      </c>
      <c r="J427" s="281">
        <f>IFERROR(TablaPrincipal[[#This Row],[FECHA]]-TablaPrincipal[[#This Row],[FECHA DE SIEMBRA]],"-")</f>
        <v>75</v>
      </c>
      <c r="K427" s="283">
        <f>VLOOKUP(TablaPrincipal[[#This Row],[CODIGO]]&amp;TablaPrincipal[[#This Row],[AGUAJE ]],Tabla4[#All],4,0)</f>
        <v>46093</v>
      </c>
      <c r="L427" s="281" t="str">
        <f>VLOOKUP(TablaPrincipal[[#This Row],[CODIGO]]&amp;TablaPrincipal[[#This Row],[AGUAJE ]],Tabla4[#All],15,0)</f>
        <v>PA PC1</v>
      </c>
      <c r="M427" s="284">
        <f>VLOOKUP(TablaPrincipal[[#This Row],[CODIGO]]&amp;TablaPrincipal[[#This Row],[AGUAJE ]],Tabla4[#All],14,0)</f>
        <v>0.45</v>
      </c>
      <c r="N427" s="281"/>
      <c r="O427" s="170">
        <f>VLOOKUP(TablaPrincipal[[#This Row],[CODIGO]]&amp;TablaPrincipal[[#This Row],[AGUAJE ]],Tabla4[#All],5,0)</f>
        <v>424000</v>
      </c>
      <c r="P427" s="221">
        <f>IFERROR(TablaPrincipal[[#This Row],[ANIM SEMBRADOS]]/TablaPrincipal[[#This Row],[HAS]],"-")</f>
        <v>160000</v>
      </c>
      <c r="Q427" s="222">
        <f>IFERROR(TablaPrincipal[[#This Row],[DENSIDAD]]/10000,"-")</f>
        <v>16</v>
      </c>
      <c r="R427" s="281" t="str">
        <f>VLOOKUP(TablaPrincipal[[#This Row],[CODIGO]]&amp;TablaPrincipal[[#This Row],[AGUAJE ]],Tabla4[#All],8,0)</f>
        <v>TECSERV</v>
      </c>
      <c r="S427" s="281" t="str">
        <f>VLOOKUP(TablaPrincipal[[#This Row],[CODIGO]]&amp;TablaPrincipal[[#This Row],[AGUAJE ]],Tabla4[#All],7,0)</f>
        <v>SEMACUA</v>
      </c>
      <c r="T427" s="281" t="str">
        <f>IF(ISNUMBER(FIND("/",TablaPrincipal[[#This Row],[LABORATORIO]])),"COMBINADO","UNICO")</f>
        <v>UNICO</v>
      </c>
      <c r="U427" s="1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Row],[FECHA]],TablaCosechas[ACTIVIDAD],"="&amp;"RALEO")</f>
        <v>11400</v>
      </c>
      <c r="V427" s="285">
        <f>SUMIFS(TablaCosechas[libras planta],TablaCosechas[SECTOR/PISCINA],TablaPrincipal[[#All],[CODIGO]],TablaCosechas[COSECHA],"&gt;"&amp;TablaPrincipal[[#This Row],[FECHA DE SIEMBRA]],TablaCosechas[COSECHA],"&lt;"&amp;TablaPrincipal[[#This Row],[FECHA]],TablaCosechas[ACTIVIDAD],"="&amp;"RALEO")</f>
        <v>4920.5600000000004</v>
      </c>
      <c r="W427" s="286">
        <f>IFERROR(SUMIFS(TablaCosechas[w],TablaCosechas[SECTOR/PISCINA],TablaPrincipal[[#This Row],[CODIGO]],TablaCosechas[COSECHA],"&gt;"&amp;TablaPrincipal[[#This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18.5</v>
      </c>
      <c r="X427" s="286">
        <f>IFERROR(SUMIFS(TablaCosechas[W planta],TablaCosechas[SECTOR/PISCINA],TablaPrincipal[[#This Row],[CODIGO]],TablaCosechas[COSECHA],"&gt;="&amp;TablaPrincipal[[#This Row],[FECHA DE SIEMBRA]],TablaCosechas[COSECHA],"&lt;"&amp;TablaPrincipal[[#This Row],[FECHA]])/COUNTIFS(TablaCosechas[SECTOR/PISCINA],TablaPrincipal[[#This Row],[CODIGO]],TablaCosechas[COSECHA],"&gt;"&amp;TablaPrincipal[[#This Row],[FECHA DE SIEMBRA]],TablaCosechas[COSECHA],"&lt;"&amp;TablaPrincipal[[#This Row],[FECHA]]),0)</f>
        <v>20.97</v>
      </c>
      <c r="Y427" s="285">
        <f>IFERROR(TablaPrincipal[[#This Row],[LIBRAS RALEO PLANTA]]/TablaPrincipal[[#This Row],[HAS]],"-")</f>
        <v>1856.8150943396229</v>
      </c>
      <c r="Z427" s="285">
        <f>+SUMIFS(TablaCosechas[ANIMALES],TablaCosechas[SECTOR/PISCINA],TablaPrincipal[[#All],[CODIGO]],TablaCosechas[COSECHA],"&gt;"&amp;TablaPrincipal[[#This Row],[FECHA DE SIEMBRA]],TablaCosechas[COSECHA],"&lt;"&amp;TablaPrincipal[[#This Row],[FECHA]],TablaCosechas[ACTIVIDAD],"="&amp;"RALEO")</f>
        <v>103964.54959930691</v>
      </c>
      <c r="AA427" s="285">
        <f>SUMIFS(TablaCosechas[libras],TablaCosechas[SECTOR/PISCINA],TablaPrincipal[[#All],[CODIGO]],TablaCosechas[COSECHA],"&gt;"&amp;TablaPrincipal[[#This Row],[FECHA DE SIEMBRA]],TablaCosechas[COSECHA],"&lt;="&amp;TablaPrincipal[[#This Row],[FECHA]],TablaCosechas[ACTIVIDAD],"="&amp;"PESCA")</f>
        <v>4100</v>
      </c>
      <c r="AB427" s="228">
        <f>SUMIFS(TablaCosechas[libras planta],TablaCosechas[SECTOR/PISCINA],TablaPrincipal[[#All],[CODIGO]],TablaCosechas[COSECHA],"&gt;"&amp;TablaPrincipal[[#This Row],[FECHA DE SIEMBRA]],TablaCosechas[COSECHA],"&lt;="&amp;TablaPrincipal[[#This Row],[FECHA]],TablaCosechas[ACTIVIDAD],"="&amp;"PESCA")</f>
        <v>4100</v>
      </c>
      <c r="AC427" s="286">
        <f>SUMIFS(COSECHAS!F:F,COSECHAS!A:A,'BASE 2026'!AW:AW,COSECHAS!G:G,"="&amp;A:A)</f>
        <v>58</v>
      </c>
      <c r="AD427" s="286">
        <f>SUMIFS(COSECHAS!M:M,COSECHAS!A:A,'BASE 2026'!AW:AW,COSECHAS!G:G,"="&amp;A:A)</f>
        <v>58</v>
      </c>
      <c r="AE427" s="285">
        <f>IFERROR(TablaPrincipal[[#This Row],[LIBRAS PLANTA]]/TablaPrincipal[[#This Row],[HAS]],"-")</f>
        <v>1547.1698113207547</v>
      </c>
      <c r="AF427" s="285">
        <f>IFERROR(TablaPrincipal[[#This Row],[LIBRAS PLANTA]]*454/TablaPrincipal[[#This Row],[GRAMOS PLANTA]],"-")</f>
        <v>32093.103448275862</v>
      </c>
      <c r="AG427" s="285">
        <f>TablaPrincipal[[#This Row],[LIBRAS RALEO PLANTA]]+TablaPrincipal[[#This Row],[LIBRAS PLANTA]]</f>
        <v>9020.5600000000013</v>
      </c>
      <c r="AH427" s="285">
        <f>IFERROR(TablaPrincipal[[#This Row],[CAM COSECHADOS RALEO]]+TablaPrincipal[[#This Row],[CAM COSECHADOS]],"-")</f>
        <v>136057.65304758277</v>
      </c>
      <c r="AI427" s="285">
        <f>IFERROR((TablaPrincipal[[#This Row],[LIBRAS RALEO PLANTA]]+TablaPrincipal[[#This Row],[LIBRAS PLANTA]])/TablaPrincipal[[#This Row],[HAS]],"0")</f>
        <v>3403.984905660378</v>
      </c>
      <c r="AJ427" s="286">
        <f t="shared" si="20"/>
        <v>5.413333333333334</v>
      </c>
      <c r="AK427" s="286">
        <f>IFERROR(TablaPrincipal[[#This Row],[LBS/HA]]/TablaPrincipal[[#This Row],[DIAS]],"-")</f>
        <v>45.386465408805037</v>
      </c>
      <c r="AL427" s="286">
        <f>IFERROR(TablaPrincipal[[#This Row],[CAM COSECHADOS TOTALES]]/TablaPrincipal[[#This Row],[ANIM SEMBRADOS]]*100,"-")</f>
        <v>32.089069114995937</v>
      </c>
      <c r="AM427" s="285"/>
      <c r="AN427" s="287">
        <f>IFERROR(((TablaPrincipal[[#This Row],[BALANCEADO ACUMULADO (LBS)]]/2.2046)/TablaPrincipal[[#This Row],[HAS]])/TablaPrincipal[[#This Row],[DIAS]],"-")</f>
        <v>0</v>
      </c>
      <c r="AO427" s="284">
        <f>IFERROR(TablaPrincipal[[#This Row],[BALANCEADO ACUMULADO (LBS)]]/TablaPrincipal[[#This Row],[LIBRAS TOTALES]],"-")</f>
        <v>0</v>
      </c>
      <c r="AP427" s="284"/>
      <c r="AQ427" s="284"/>
      <c r="AR427" s="285">
        <f>TablaPrincipal[[#This Row],[LIBRAS RALEO PLANTA]]-TablaPrincipal[[#This Row],[LIBRAS RALEO CAMARONERA]]</f>
        <v>-6479.44</v>
      </c>
      <c r="AS427" s="285">
        <f>TablaPrincipal[[#This Row],[LIBRAS PLANTA]]-TablaPrincipal[[#This Row],[LIBRAS CAMARONERA]]</f>
        <v>0</v>
      </c>
      <c r="AT427" s="287">
        <f>TablaPrincipal[[#This Row],[GRAMAJE RALEO PLANTA]]-TablaPrincipal[[#This Row],[GRAMAJE RALEO CAMARONERA]]</f>
        <v>2.4699999999999989</v>
      </c>
      <c r="AU427" s="287">
        <f>TablaPrincipal[[#This Row],[GRAMOS PLANTA]]-TablaPrincipal[[#This Row],[GRAMAJE CAMARONERA]]</f>
        <v>0</v>
      </c>
      <c r="AV427" s="281" t="str">
        <f>+VLOOKUP(TablaPrincipal[[#This Row],[CODIGO]],TablaCosechas[#All],10,0)</f>
        <v>GUSTAVO CARRASCO</v>
      </c>
      <c r="AW427" s="290" t="s">
        <v>263</v>
      </c>
      <c r="AX427" s="288" t="str">
        <f>+VLOOKUP(TablaPrincipal[[#This Row],[CODIGO]],TablaCosechas[#All],10,0)</f>
        <v>GUSTAVO CARRASCO</v>
      </c>
    </row>
    <row r="428" spans="1:50" x14ac:dyDescent="0.25">
      <c r="B428" s="242"/>
      <c r="AB428" s="228"/>
      <c r="AW428" s="258"/>
    </row>
    <row r="429" spans="1:50" x14ac:dyDescent="0.25">
      <c r="B429" s="242"/>
      <c r="AB429" s="228"/>
      <c r="AW429" s="258"/>
    </row>
    <row r="430" spans="1:50" x14ac:dyDescent="0.25">
      <c r="B430" s="242"/>
      <c r="AB430" s="228"/>
      <c r="AW430" s="258"/>
    </row>
    <row r="431" spans="1:50" x14ac:dyDescent="0.25">
      <c r="B431" s="242"/>
      <c r="AB431" s="228"/>
      <c r="AW431" s="258"/>
    </row>
    <row r="432" spans="1:50" x14ac:dyDescent="0.25">
      <c r="B432" s="242"/>
      <c r="AB432" s="228"/>
      <c r="AW432" s="258"/>
    </row>
    <row r="433" spans="2:49" x14ac:dyDescent="0.25">
      <c r="B433" s="242"/>
      <c r="AB433" s="228"/>
      <c r="AW433" s="258"/>
    </row>
    <row r="434" spans="2:49" x14ac:dyDescent="0.25">
      <c r="B434" s="242"/>
      <c r="AB434" s="228"/>
      <c r="AW434" s="258"/>
    </row>
    <row r="435" spans="2:49" x14ac:dyDescent="0.25">
      <c r="B435" s="242"/>
      <c r="AB435" s="228"/>
      <c r="AW435" s="258"/>
    </row>
    <row r="436" spans="2:49" x14ac:dyDescent="0.25">
      <c r="AB436" s="228"/>
      <c r="AW436" s="258"/>
    </row>
    <row r="437" spans="2:49" x14ac:dyDescent="0.25">
      <c r="AB437" s="228"/>
      <c r="AW437" s="258"/>
    </row>
    <row r="438" spans="2:49" x14ac:dyDescent="0.25">
      <c r="AB438" s="228"/>
      <c r="AW438" s="258"/>
    </row>
    <row r="439" spans="2:49" x14ac:dyDescent="0.25">
      <c r="AB439" s="228"/>
      <c r="AW439" s="258"/>
    </row>
    <row r="440" spans="2:49" x14ac:dyDescent="0.25">
      <c r="AB440" s="228"/>
      <c r="AW440" s="258"/>
    </row>
    <row r="441" spans="2:49" x14ac:dyDescent="0.25">
      <c r="AB441" s="228"/>
      <c r="AW441" s="258"/>
    </row>
    <row r="442" spans="2:49" x14ac:dyDescent="0.25">
      <c r="AB442" s="228"/>
      <c r="AW442" s="258"/>
    </row>
    <row r="443" spans="2:49" x14ac:dyDescent="0.25">
      <c r="AB443" s="228"/>
      <c r="AW443" s="258"/>
    </row>
    <row r="444" spans="2:49" x14ac:dyDescent="0.25">
      <c r="AB444" s="228"/>
      <c r="AW444" s="258"/>
    </row>
    <row r="445" spans="2:49" x14ac:dyDescent="0.25">
      <c r="AB445" s="228"/>
      <c r="AW445" s="258"/>
    </row>
    <row r="446" spans="2:49" x14ac:dyDescent="0.25">
      <c r="AB446" s="228"/>
      <c r="AW446" s="258"/>
    </row>
    <row r="447" spans="2:49" x14ac:dyDescent="0.25">
      <c r="AB447" s="228"/>
      <c r="AW447" s="258"/>
    </row>
    <row r="448" spans="2:49" x14ac:dyDescent="0.25">
      <c r="AB448" s="228"/>
      <c r="AW448" s="258"/>
    </row>
    <row r="449" spans="28:49" x14ac:dyDescent="0.25">
      <c r="AB449" s="228"/>
      <c r="AW449" s="258"/>
    </row>
    <row r="450" spans="28:49" x14ac:dyDescent="0.25">
      <c r="AB450" s="228"/>
      <c r="AW450" s="258"/>
    </row>
    <row r="451" spans="28:49" x14ac:dyDescent="0.25">
      <c r="AB451" s="228"/>
      <c r="AW451" s="258"/>
    </row>
    <row r="452" spans="28:49" x14ac:dyDescent="0.25">
      <c r="AW452" s="258"/>
    </row>
    <row r="453" spans="28:49" x14ac:dyDescent="0.25">
      <c r="AW453" s="258"/>
    </row>
    <row r="454" spans="28:49" x14ac:dyDescent="0.25">
      <c r="AW454" s="258"/>
    </row>
    <row r="455" spans="28:49" x14ac:dyDescent="0.25">
      <c r="AW455" s="258"/>
    </row>
    <row r="456" spans="28:49" x14ac:dyDescent="0.25">
      <c r="AW456" s="258"/>
    </row>
    <row r="457" spans="28:49" x14ac:dyDescent="0.25">
      <c r="AW457" s="258"/>
    </row>
  </sheetData>
  <mergeCells count="5">
    <mergeCell ref="AR1:AU1"/>
    <mergeCell ref="A1:E1"/>
    <mergeCell ref="F1:P1"/>
    <mergeCell ref="U1:Z1"/>
    <mergeCell ref="AA1:AF1"/>
  </mergeCells>
  <conditionalFormatting sqref="AB3:AB107 AA85:AB265 AB291:AB451">
    <cfRule type="expression" dxfId="573" priority="44">
      <formula>AA3=Z3</formula>
    </cfRule>
  </conditionalFormatting>
  <conditionalFormatting sqref="AR101:AW101 E124:AP125 AR124:AW125 A109:A124 A3:AX3 A6:A107 C109:AW123 C102:AW107 C124:C125 C101:AP101 A4:AW5 AX4:AX259 B6:B213 AA85:AB265 C6:AW100 AB291:AB451">
    <cfRule type="expression" dxfId="572" priority="40">
      <formula>ROW()=CELL("FILA")</formula>
    </cfRule>
  </conditionalFormatting>
  <conditionalFormatting sqref="A82">
    <cfRule type="expression" dxfId="571" priority="39">
      <formula>ROW()=CELL("FILA")</formula>
    </cfRule>
  </conditionalFormatting>
  <conditionalFormatting sqref="AQ101">
    <cfRule type="expression" dxfId="570" priority="38">
      <formula>ROW()=CELL("FILA")</formula>
    </cfRule>
  </conditionalFormatting>
  <conditionalFormatting sqref="A125:A128">
    <cfRule type="expression" dxfId="569" priority="37">
      <formula>ROW()=CELL("FILA")</formula>
    </cfRule>
  </conditionalFormatting>
  <conditionalFormatting sqref="D124:D130">
    <cfRule type="expression" dxfId="568" priority="36">
      <formula>ROW()=CELL("FILA")</formula>
    </cfRule>
  </conditionalFormatting>
  <conditionalFormatting sqref="AQ124:AQ127">
    <cfRule type="expression" dxfId="567" priority="35">
      <formula>ROW()=CELL("FILA")</formula>
    </cfRule>
  </conditionalFormatting>
  <conditionalFormatting sqref="A129:A130">
    <cfRule type="expression" dxfId="566" priority="34">
      <formula>ROW()=CELL("FILA")</formula>
    </cfRule>
  </conditionalFormatting>
  <conditionalFormatting sqref="AB128">
    <cfRule type="expression" dxfId="565" priority="33">
      <formula>AB128=AA128</formula>
    </cfRule>
  </conditionalFormatting>
  <conditionalFormatting sqref="AQ128">
    <cfRule type="expression" dxfId="564" priority="31">
      <formula>ROW()=CELL("FILA")</formula>
    </cfRule>
  </conditionalFormatting>
  <conditionalFormatting sqref="D128:D147">
    <cfRule type="expression" dxfId="563" priority="28">
      <formula>ROW()=CELL("FILA")</formula>
    </cfRule>
  </conditionalFormatting>
  <conditionalFormatting sqref="D148:D149">
    <cfRule type="expression" dxfId="562" priority="27">
      <formula>ROW()=CELL("FILA")</formula>
    </cfRule>
  </conditionalFormatting>
  <conditionalFormatting sqref="AB132">
    <cfRule type="expression" dxfId="561" priority="26">
      <formula>AB132=AA132</formula>
    </cfRule>
  </conditionalFormatting>
  <conditionalFormatting sqref="AQ161:AQ162 AQ158 AQ156">
    <cfRule type="expression" dxfId="560" priority="25">
      <formula>ROW()=CELL("FILA")</formula>
    </cfRule>
  </conditionalFormatting>
  <conditionalFormatting sqref="AQ159:AQ160">
    <cfRule type="expression" dxfId="559" priority="24">
      <formula>ROW()=CELL("FILA")</formula>
    </cfRule>
  </conditionalFormatting>
  <conditionalFormatting sqref="AQ157">
    <cfRule type="expression" dxfId="558" priority="23">
      <formula>ROW()=CELL("FILA")</formula>
    </cfRule>
  </conditionalFormatting>
  <conditionalFormatting sqref="AQ129:AQ155">
    <cfRule type="expression" dxfId="557" priority="22">
      <formula>ROW()=CELL("FILA")</formula>
    </cfRule>
  </conditionalFormatting>
  <conditionalFormatting sqref="AB161:AB162">
    <cfRule type="expression" dxfId="556" priority="21">
      <formula>AB161=AA161</formula>
    </cfRule>
  </conditionalFormatting>
  <conditionalFormatting sqref="AB159">
    <cfRule type="expression" dxfId="555" priority="20">
      <formula>AB159=AA159</formula>
    </cfRule>
  </conditionalFormatting>
  <conditionalFormatting sqref="AB160">
    <cfRule type="expression" dxfId="554" priority="18">
      <formula>AB160=AA160</formula>
    </cfRule>
  </conditionalFormatting>
  <conditionalFormatting sqref="AB196:AB205">
    <cfRule type="expression" dxfId="553" priority="16">
      <formula>AB196=AA196</formula>
    </cfRule>
  </conditionalFormatting>
  <conditionalFormatting sqref="AB206:AB213">
    <cfRule type="expression" dxfId="552" priority="15">
      <formula>AB206=AA206</formula>
    </cfRule>
  </conditionalFormatting>
  <conditionalFormatting sqref="AB215:AB229">
    <cfRule type="expression" dxfId="551" priority="14">
      <formula>AB215=AA215</formula>
    </cfRule>
  </conditionalFormatting>
  <conditionalFormatting sqref="AB214">
    <cfRule type="expression" dxfId="550" priority="13">
      <formula>AB214=AA214</formula>
    </cfRule>
  </conditionalFormatting>
  <conditionalFormatting sqref="AW230:AW232">
    <cfRule type="expression" dxfId="549" priority="12">
      <formula>ROW()=CELL("FILA")</formula>
    </cfRule>
  </conditionalFormatting>
  <conditionalFormatting sqref="AB230:AB240">
    <cfRule type="expression" dxfId="548" priority="11">
      <formula>AB230=AA230</formula>
    </cfRule>
  </conditionalFormatting>
  <conditionalFormatting sqref="B214:B263">
    <cfRule type="expression" dxfId="547" priority="8">
      <formula>ROW()=CELL("FILA")</formula>
    </cfRule>
  </conditionalFormatting>
  <conditionalFormatting sqref="AA85:AB85">
    <cfRule type="expression" dxfId="546" priority="7">
      <formula>"$AA$85=$AB$85"</formula>
    </cfRule>
  </conditionalFormatting>
  <conditionalFormatting sqref="AB266:AB278">
    <cfRule type="expression" dxfId="545" priority="6">
      <formula>AB266=AA266</formula>
    </cfRule>
  </conditionalFormatting>
  <conditionalFormatting sqref="AB266:AB278">
    <cfRule type="expression" dxfId="544" priority="5">
      <formula>ROW()=CELL("FILA")</formula>
    </cfRule>
  </conditionalFormatting>
  <conditionalFormatting sqref="AB279:AB290">
    <cfRule type="expression" dxfId="543" priority="4">
      <formula>AB279=AA279</formula>
    </cfRule>
  </conditionalFormatting>
  <conditionalFormatting sqref="AB279:AB290">
    <cfRule type="expression" dxfId="542" priority="3">
      <formula>ROW()=CELL("FILA")</formula>
    </cfRule>
  </conditionalFormatting>
  <pageMargins left="0.25" right="0.25" top="0.75" bottom="0.75" header="0.3" footer="0.3"/>
  <pageSetup paperSize="9" scale="2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7C5C-6C83-479D-BA2D-A2D3768ABC48}">
  <sheetPr codeName="Hoja6">
    <pageSetUpPr fitToPage="1"/>
  </sheetPr>
  <dimension ref="A1:R1988"/>
  <sheetViews>
    <sheetView zoomScale="85" zoomScaleNormal="85" workbookViewId="0">
      <pane ySplit="1" topLeftCell="A1905" activePane="bottomLeft" state="frozen"/>
      <selection activeCell="A1817" sqref="A1817"/>
      <selection pane="bottomLeft" activeCell="A1916" sqref="A1916:XFD1916"/>
    </sheetView>
  </sheetViews>
  <sheetFormatPr baseColWidth="10" defaultColWidth="12.85546875" defaultRowHeight="15" x14ac:dyDescent="0.25"/>
  <cols>
    <col min="1" max="1" width="8.140625" customWidth="1"/>
    <col min="2" max="2" width="6.140625" customWidth="1"/>
    <col min="3" max="3" width="7.140625" customWidth="1"/>
    <col min="4" max="4" width="13.140625" style="20" bestFit="1" customWidth="1"/>
    <col min="5" max="5" width="10" style="8" customWidth="1"/>
    <col min="6" max="6" width="8.5703125" style="9" customWidth="1"/>
    <col min="7" max="7" width="13.28515625" style="6" customWidth="1"/>
    <col min="8" max="8" width="13.5703125" customWidth="1"/>
    <col min="9" max="9" width="11.28515625" customWidth="1"/>
    <col min="10" max="10" width="21" customWidth="1"/>
    <col min="11" max="11" width="14.85546875" customWidth="1"/>
    <col min="12" max="12" width="13.7109375" style="168" customWidth="1"/>
    <col min="13" max="13" width="12.7109375" style="169" bestFit="1" customWidth="1"/>
    <col min="14" max="14" width="11.7109375" bestFit="1" customWidth="1"/>
    <col min="15" max="15" width="15.42578125" bestFit="1" customWidth="1"/>
    <col min="16" max="16" width="10.7109375" bestFit="1" customWidth="1"/>
    <col min="17" max="17" width="10" style="11" bestFit="1" customWidth="1"/>
    <col min="18" max="18" width="15.42578125" bestFit="1" customWidth="1"/>
  </cols>
  <sheetData>
    <row r="1" spans="1:18" x14ac:dyDescent="0.25">
      <c r="A1" t="s">
        <v>353</v>
      </c>
      <c r="B1" t="s">
        <v>57</v>
      </c>
      <c r="C1" t="s">
        <v>354</v>
      </c>
      <c r="D1" s="20" t="s">
        <v>355</v>
      </c>
      <c r="E1" s="47" t="s">
        <v>356</v>
      </c>
      <c r="F1" s="13" t="s">
        <v>357</v>
      </c>
      <c r="G1" s="6" t="s">
        <v>358</v>
      </c>
      <c r="H1" t="s">
        <v>32</v>
      </c>
      <c r="I1" t="s">
        <v>61</v>
      </c>
      <c r="J1" t="s">
        <v>101</v>
      </c>
      <c r="K1" s="12" t="s">
        <v>359</v>
      </c>
      <c r="L1" s="168" t="s">
        <v>360</v>
      </c>
      <c r="M1" s="169" t="s">
        <v>361</v>
      </c>
      <c r="N1" t="s">
        <v>60</v>
      </c>
      <c r="O1" t="s">
        <v>362</v>
      </c>
      <c r="P1" t="s">
        <v>363</v>
      </c>
      <c r="Q1" s="48" t="s">
        <v>364</v>
      </c>
      <c r="R1" s="79" t="s">
        <v>365</v>
      </c>
    </row>
    <row r="2" spans="1:18" x14ac:dyDescent="0.25">
      <c r="A2" s="9" t="s">
        <v>192</v>
      </c>
      <c r="B2" s="9">
        <f>ROW() - ROW(TablaCosechas[[#Headers],[ID]]) - 4</f>
        <v>-3</v>
      </c>
      <c r="C2" s="9" t="str">
        <f>LEFT(A2,2)</f>
        <v>TU</v>
      </c>
      <c r="D2" s="182" t="s">
        <v>366</v>
      </c>
      <c r="E2" s="178">
        <v>18732</v>
      </c>
      <c r="F2" s="19">
        <v>32</v>
      </c>
      <c r="G2" s="195">
        <v>45686</v>
      </c>
      <c r="H2" s="9" t="str">
        <f>VLOOKUP(TablaCosechas[[#This Row],[COD]],DATOS!$E$3:$F$27,2,0)</f>
        <v>TUNA</v>
      </c>
      <c r="I2" s="9" t="str">
        <f>RIGHT(TablaCosechas[[#This Row],[SECTOR/PISCINA]],2)</f>
        <v>02</v>
      </c>
      <c r="J2" s="9" t="str">
        <f>VLOOKUP(TablaCosechas[[#This Row],[COD]],Tabla7[#All],4,0)</f>
        <v>GUSTAVO CARRASCO</v>
      </c>
      <c r="K2" s="179">
        <f>(TablaCosechas[[#This Row],[libras planta]]*454)/M2</f>
        <v>265760.25</v>
      </c>
      <c r="L2" s="174">
        <v>18732</v>
      </c>
      <c r="M2" s="205">
        <v>32</v>
      </c>
      <c r="N2" s="9" t="str">
        <f>UPPER(TEXT(TablaCosechas[[#This Row],[COSECHA]],"MMMM"))</f>
        <v>ENERO</v>
      </c>
      <c r="O2" s="9" t="str">
        <f>IF(A2="DO 29","BAP",IF(A2="RO 14","BAP",(VLOOKUP(TablaCosechas[[#This Row],[COD]],Tabla7[[CODIGO]:[CERTIFICACION]],3,0))))</f>
        <v>ASC</v>
      </c>
      <c r="P2" s="180">
        <f>+L2-E2</f>
        <v>0</v>
      </c>
      <c r="Q2" s="181">
        <f>+M2-F2</f>
        <v>0</v>
      </c>
      <c r="R2" s="9"/>
    </row>
    <row r="3" spans="1:18" x14ac:dyDescent="0.25">
      <c r="A3" s="9" t="s">
        <v>331</v>
      </c>
      <c r="B3" s="9">
        <f>ROW() - ROW(TablaCosechas[[#Headers],[ID]]) - 4</f>
        <v>-2</v>
      </c>
      <c r="C3" s="9" t="str">
        <f>LEFT(A3,2)</f>
        <v>DO</v>
      </c>
      <c r="D3" s="182" t="s">
        <v>367</v>
      </c>
      <c r="E3" s="178">
        <v>45000</v>
      </c>
      <c r="F3" s="19">
        <v>37</v>
      </c>
      <c r="G3" s="195">
        <v>45783</v>
      </c>
      <c r="H3" s="9" t="str">
        <f>VLOOKUP(TablaCosechas[[#This Row],[COD]],DATOS!$E$3:$F$27,2,0)</f>
        <v>DORADO</v>
      </c>
      <c r="I3" s="9" t="str">
        <f>RIGHT(TablaCosechas[[#This Row],[SECTOR/PISCINA]],2)</f>
        <v>25</v>
      </c>
      <c r="J3" s="9" t="str">
        <f>VLOOKUP(TablaCosechas[[#This Row],[COD]],Tabla7[#All],4,0)</f>
        <v>JOSE CEDEÑO</v>
      </c>
      <c r="K3" s="179">
        <f>(TablaCosechas[[#This Row],[libras planta]]*454)/M3</f>
        <v>552162.16216216213</v>
      </c>
      <c r="L3" s="215">
        <v>45000</v>
      </c>
      <c r="M3" s="205">
        <v>37</v>
      </c>
      <c r="N3" s="9" t="str">
        <f>UPPER(TEXT(TablaCosechas[[#This Row],[COSECHA]],"MMMM"))</f>
        <v>MAYO</v>
      </c>
      <c r="O3" s="9" t="str">
        <f>IF(A3="DO 29","BAP",IF(A3="RO 14","BAP",(VLOOKUP(TablaCosechas[[#This Row],[COD]],Tabla7[[CODIGO]:[CERTIFICACION]],3,0))))</f>
        <v>ASC</v>
      </c>
      <c r="P3" s="180">
        <f>+L3-E3</f>
        <v>0</v>
      </c>
      <c r="Q3" s="181">
        <f>+M3-F3</f>
        <v>0</v>
      </c>
      <c r="R3" s="9"/>
    </row>
    <row r="4" spans="1:18" x14ac:dyDescent="0.25">
      <c r="A4" s="9" t="s">
        <v>132</v>
      </c>
      <c r="B4" s="9">
        <f>ROW() - ROW(TablaCosechas[[#Headers],[ID]]) - 4</f>
        <v>-1</v>
      </c>
      <c r="C4" s="9" t="str">
        <f>LEFT(A4,2)</f>
        <v>DO</v>
      </c>
      <c r="D4" s="182" t="s">
        <v>367</v>
      </c>
      <c r="E4" s="178">
        <v>11200</v>
      </c>
      <c r="F4" s="19">
        <v>20</v>
      </c>
      <c r="G4" s="195">
        <v>45901</v>
      </c>
      <c r="H4" s="9" t="str">
        <f>VLOOKUP(TablaCosechas[[#This Row],[COD]],DATOS!$E$3:$F$27,2,0)</f>
        <v>DORADO</v>
      </c>
      <c r="I4" s="9" t="str">
        <f>RIGHT(TablaCosechas[[#This Row],[SECTOR/PISCINA]],2)</f>
        <v>28</v>
      </c>
      <c r="J4" s="9" t="str">
        <f>VLOOKUP(TablaCosechas[[#This Row],[COD]],Tabla7[#All],4,0)</f>
        <v>JOSE CEDEÑO</v>
      </c>
      <c r="K4" s="179">
        <f>(TablaCosechas[[#This Row],[libras planta]]*454)/M4</f>
        <v>245485.75393700786</v>
      </c>
      <c r="L4" s="174">
        <v>10987.38</v>
      </c>
      <c r="M4" s="19">
        <v>20.32</v>
      </c>
      <c r="N4" s="9" t="str">
        <f>UPPER(TEXT(TablaCosechas[[#This Row],[COSECHA]],"MMMM"))</f>
        <v>SEPTIEMBRE</v>
      </c>
      <c r="O4" s="9" t="str">
        <f>IF(A4="DO 29","BAP",IF(A4="RO 14","BAP",(VLOOKUP(TablaCosechas[[#This Row],[COD]],Tabla7[[CODIGO]:[CERTIFICACION]],3,0))))</f>
        <v>ASC</v>
      </c>
      <c r="P4" s="180">
        <f>+L4-E4</f>
        <v>-212.6200000000008</v>
      </c>
      <c r="Q4" s="181">
        <f>+M4-F4</f>
        <v>0.32000000000000028</v>
      </c>
      <c r="R4" s="9"/>
    </row>
    <row r="5" spans="1:18" x14ac:dyDescent="0.25">
      <c r="A5" s="9" t="s">
        <v>309</v>
      </c>
      <c r="B5" s="9">
        <f>ROW() - ROW(TablaCosechas[[#Headers],[ID]]) - 4</f>
        <v>0</v>
      </c>
      <c r="C5" s="9" t="str">
        <f>LEFT(A5,2)</f>
        <v>DE</v>
      </c>
      <c r="D5" s="182" t="s">
        <v>367</v>
      </c>
      <c r="E5" s="178">
        <v>7000</v>
      </c>
      <c r="F5" s="19">
        <v>19</v>
      </c>
      <c r="G5" s="195">
        <v>45901</v>
      </c>
      <c r="H5" s="9" t="str">
        <f>VLOOKUP(TablaCosechas[[#This Row],[COD]],DATOS!$E$3:$F$26,2,0)</f>
        <v>DELFIN</v>
      </c>
      <c r="I5" s="9" t="str">
        <f>RIGHT(TablaCosechas[[#This Row],[SECTOR/PISCINA]],2)</f>
        <v>05</v>
      </c>
      <c r="J5" s="9" t="str">
        <f>VLOOKUP(TablaCosechas[[#This Row],[COD]],Tabla7[#All],4,0)</f>
        <v>CARLOS FLORES</v>
      </c>
      <c r="K5" s="179">
        <f>(TablaCosechas[[#This Row],[libras planta]]*454)/M5</f>
        <v>153384.76415970287</v>
      </c>
      <c r="L5" s="174">
        <v>7277.33</v>
      </c>
      <c r="M5" s="19">
        <v>21.54</v>
      </c>
      <c r="N5" s="9" t="str">
        <f>UPPER(TEXT(TablaCosechas[[#This Row],[COSECHA]],"MMMM"))</f>
        <v>SEPTIEMBRE</v>
      </c>
      <c r="O5" s="9" t="str">
        <f>IF(A5="DO 29","BAP",IF(A5="RO 14","BAP",(VLOOKUP(TablaCosechas[[#This Row],[COD]],Tabla7[[CODIGO]:[CERTIFICACION]],3,0))))</f>
        <v>CONVENCIONAL</v>
      </c>
      <c r="P5" s="180">
        <f>+L5-E5</f>
        <v>277.32999999999993</v>
      </c>
      <c r="Q5" s="181">
        <f>+M5-F5</f>
        <v>2.5399999999999991</v>
      </c>
      <c r="R5" s="9"/>
    </row>
    <row r="6" spans="1:18" x14ac:dyDescent="0.25">
      <c r="A6" s="9" t="s">
        <v>8</v>
      </c>
      <c r="B6" s="9">
        <f>ROW() - ROW(TablaCosechas[[#Headers],[ID]]) - 4</f>
        <v>1</v>
      </c>
      <c r="C6" s="9" t="str">
        <f>LEFT(A6,2)</f>
        <v>CH</v>
      </c>
      <c r="D6" s="182" t="s">
        <v>367</v>
      </c>
      <c r="E6" s="178">
        <v>11000</v>
      </c>
      <c r="F6" s="19">
        <v>23</v>
      </c>
      <c r="G6" s="195">
        <v>45901</v>
      </c>
      <c r="H6" s="9" t="str">
        <f>VLOOKUP(TablaCosechas[[#This Row],[COD]],DATOS!$E$3:$F$26,2,0)</f>
        <v>CHERNA</v>
      </c>
      <c r="I6" s="9" t="str">
        <f>RIGHT(TablaCosechas[[#This Row],[SECTOR/PISCINA]],2)</f>
        <v>02</v>
      </c>
      <c r="J6" s="9" t="str">
        <f>VLOOKUP(TablaCosechas[[#This Row],[COD]],Tabla7[#All],4,0)</f>
        <v>SANTIAGO OBRIEN</v>
      </c>
      <c r="K6" s="179">
        <f>(TablaCosechas[[#This Row],[libras planta]]*454)/M6</f>
        <v>239453.59119496855</v>
      </c>
      <c r="L6" s="174">
        <v>11740.61</v>
      </c>
      <c r="M6" s="19">
        <v>22.26</v>
      </c>
      <c r="N6" s="9" t="str">
        <f>UPPER(TEXT(TablaCosechas[[#This Row],[COSECHA]],"MMMM"))</f>
        <v>SEPTIEMBRE</v>
      </c>
      <c r="O6" s="9" t="str">
        <f>IF(A6="DO 29","BAP",IF(A6="RO 14","BAP",(VLOOKUP(TablaCosechas[[#This Row],[COD]],Tabla7[[CODIGO]:[CERTIFICACION]],3,0))))</f>
        <v>ASC</v>
      </c>
      <c r="P6" s="180">
        <f>+L6-E6</f>
        <v>740.61000000000058</v>
      </c>
      <c r="Q6" s="181">
        <f>+M6-F6</f>
        <v>-0.73999999999999844</v>
      </c>
      <c r="R6" s="9"/>
    </row>
    <row r="7" spans="1:18" x14ac:dyDescent="0.25">
      <c r="A7" s="9" t="s">
        <v>110</v>
      </c>
      <c r="B7" s="9">
        <f>ROW() - ROW(TablaCosechas[[#Headers],[ID]]) - 4</f>
        <v>2</v>
      </c>
      <c r="C7" s="9" t="str">
        <f>LEFT(A7,2)</f>
        <v>CA</v>
      </c>
      <c r="D7" s="182" t="s">
        <v>367</v>
      </c>
      <c r="E7" s="178">
        <v>11200</v>
      </c>
      <c r="F7" s="19">
        <v>17</v>
      </c>
      <c r="G7" s="195">
        <v>45901</v>
      </c>
      <c r="H7" s="9" t="str">
        <f>VLOOKUP(TablaCosechas[[#This Row],[COD]],DATOS!$E$3:$F$26,2,0)</f>
        <v>CATANUDA</v>
      </c>
      <c r="I7" s="9" t="str">
        <f>RIGHT(TablaCosechas[[#This Row],[SECTOR/PISCINA]],2)</f>
        <v>17</v>
      </c>
      <c r="J7" s="9" t="str">
        <f>VLOOKUP(TablaCosechas[[#This Row],[COD]],Tabla7[#All],4,0)</f>
        <v>VICTOR QUINTANA</v>
      </c>
      <c r="K7" s="179">
        <f>(TablaCosechas[[#This Row],[libras planta]]*454)/M7</f>
        <v>253753.12247071348</v>
      </c>
      <c r="L7" s="174">
        <v>10496.66</v>
      </c>
      <c r="M7" s="19">
        <v>18.78</v>
      </c>
      <c r="N7" s="9" t="str">
        <f>UPPER(TEXT(TablaCosechas[[#This Row],[COSECHA]],"MMMM"))</f>
        <v>SEPTIEMBRE</v>
      </c>
      <c r="O7" s="9" t="str">
        <f>IF(A7="DO 29","BAP",IF(A7="RO 14","BAP",(VLOOKUP(TablaCosechas[[#This Row],[COD]],Tabla7[[CODIGO]:[CERTIFICACION]],3,0))))</f>
        <v>ASC</v>
      </c>
      <c r="P7" s="180">
        <f>+L7-E7</f>
        <v>-703.34000000000015</v>
      </c>
      <c r="Q7" s="181">
        <f>+M7-F7</f>
        <v>1.7800000000000011</v>
      </c>
      <c r="R7" s="9"/>
    </row>
    <row r="8" spans="1:18" x14ac:dyDescent="0.25">
      <c r="A8" s="9" t="s">
        <v>310</v>
      </c>
      <c r="B8" s="9">
        <f>ROW() - ROW(TablaCosechas[[#Headers],[ID]]) - 4</f>
        <v>3</v>
      </c>
      <c r="C8" s="9" t="str">
        <f>LEFT(A8,2)</f>
        <v>GT</v>
      </c>
      <c r="D8" s="182" t="s">
        <v>367</v>
      </c>
      <c r="E8" s="178">
        <v>2600</v>
      </c>
      <c r="F8" s="19">
        <v>29</v>
      </c>
      <c r="G8" s="195">
        <v>45902</v>
      </c>
      <c r="H8" s="9" t="str">
        <f>VLOOKUP(TablaCosechas[[#This Row],[COD]],DATOS!$E$3:$F$27,2,0)</f>
        <v>GUATO</v>
      </c>
      <c r="I8" s="9" t="str">
        <f>RIGHT(TablaCosechas[[#This Row],[SECTOR/PISCINA]],2)</f>
        <v>13</v>
      </c>
      <c r="J8" s="9" t="str">
        <f>VLOOKUP(TablaCosechas[[#This Row],[COD]],Tabla7[#All],4,0)</f>
        <v>JULIO SANTOS</v>
      </c>
      <c r="K8" s="179">
        <f>(TablaCosechas[[#This Row],[libras planta]]*454)/M8</f>
        <v>42007.279003558717</v>
      </c>
      <c r="L8" s="174">
        <v>2600.0100000000002</v>
      </c>
      <c r="M8" s="19">
        <v>28.1</v>
      </c>
      <c r="N8" s="9" t="str">
        <f>UPPER(TEXT(TablaCosechas[[#This Row],[COSECHA]],"MMMM"))</f>
        <v>SEPTIEMBRE</v>
      </c>
      <c r="O8" s="9" t="str">
        <f>IF(A8="DO 29","BAP",IF(A8="RO 14","BAP",(VLOOKUP(TablaCosechas[[#This Row],[COD]],Tabla7[[CODIGO]:[CERTIFICACION]],3,0))))</f>
        <v>CONVENCIONAL</v>
      </c>
      <c r="P8" s="180">
        <f>+L8-E8</f>
        <v>1.0000000000218279E-2</v>
      </c>
      <c r="Q8" s="181">
        <f>+M8-F8</f>
        <v>-0.89999999999999858</v>
      </c>
      <c r="R8" s="9"/>
    </row>
    <row r="9" spans="1:18" x14ac:dyDescent="0.25">
      <c r="A9" s="9" t="s">
        <v>147</v>
      </c>
      <c r="B9" s="9">
        <f>ROW() - ROW(TablaCosechas[[#Headers],[ID]]) - 4</f>
        <v>4</v>
      </c>
      <c r="C9" s="9" t="str">
        <f>LEFT(A9,2)</f>
        <v>DO</v>
      </c>
      <c r="D9" s="182" t="s">
        <v>367</v>
      </c>
      <c r="E9" s="178">
        <v>10900</v>
      </c>
      <c r="F9" s="19">
        <v>18</v>
      </c>
      <c r="G9" s="195">
        <v>45902</v>
      </c>
      <c r="H9" s="9" t="str">
        <f>VLOOKUP(TablaCosechas[[#This Row],[COD]],DATOS!$E$3:$F$27,2,0)</f>
        <v>DORADO</v>
      </c>
      <c r="I9" s="9" t="str">
        <f>RIGHT(TablaCosechas[[#This Row],[SECTOR/PISCINA]],2)</f>
        <v>08</v>
      </c>
      <c r="J9" s="9" t="str">
        <f>VLOOKUP(TablaCosechas[[#This Row],[COD]],Tabla7[#All],4,0)</f>
        <v>JOSE CEDEÑO</v>
      </c>
      <c r="K9" s="179">
        <f>(TablaCosechas[[#This Row],[libras planta]]*454)/M9</f>
        <v>260949.73318385653</v>
      </c>
      <c r="L9" s="174">
        <v>10254.06</v>
      </c>
      <c r="M9" s="19">
        <v>17.84</v>
      </c>
      <c r="N9" s="9" t="str">
        <f>UPPER(TEXT(TablaCosechas[[#This Row],[COSECHA]],"MMMM"))</f>
        <v>SEPTIEMBRE</v>
      </c>
      <c r="O9" s="9" t="str">
        <f>IF(A9="DO 29","BAP",IF(A9="RO 14","BAP",(VLOOKUP(TablaCosechas[[#This Row],[COD]],Tabla7[[CODIGO]:[CERTIFICACION]],3,0))))</f>
        <v>ASC</v>
      </c>
      <c r="P9" s="180">
        <f>+L9-E9</f>
        <v>-645.94000000000051</v>
      </c>
      <c r="Q9" s="181">
        <f>+M9-F9</f>
        <v>-0.16000000000000014</v>
      </c>
      <c r="R9" s="9"/>
    </row>
    <row r="10" spans="1:18" x14ac:dyDescent="0.25">
      <c r="A10" s="9" t="s">
        <v>127</v>
      </c>
      <c r="B10" s="9">
        <f>ROW() - ROW(TablaCosechas[[#Headers],[ID]]) - 4</f>
        <v>5</v>
      </c>
      <c r="C10" s="9" t="str">
        <f>LEFT(A10,2)</f>
        <v>DO</v>
      </c>
      <c r="D10" s="182" t="s">
        <v>367</v>
      </c>
      <c r="E10" s="178">
        <v>12700</v>
      </c>
      <c r="F10" s="19">
        <v>24</v>
      </c>
      <c r="G10" s="195">
        <v>45902</v>
      </c>
      <c r="H10" s="9" t="str">
        <f>VLOOKUP(TablaCosechas[[#This Row],[COD]],DATOS!$E$3:$F$27,2,0)</f>
        <v>DORADO</v>
      </c>
      <c r="I10" s="9" t="str">
        <f>RIGHT(TablaCosechas[[#This Row],[SECTOR/PISCINA]],2)</f>
        <v>07</v>
      </c>
      <c r="J10" s="9" t="str">
        <f>VLOOKUP(TablaCosechas[[#This Row],[COD]],Tabla7[#All],4,0)</f>
        <v>JOSE CEDEÑO</v>
      </c>
      <c r="K10" s="179">
        <f>(TablaCosechas[[#This Row],[libras planta]]*454)/M10</f>
        <v>236088.69813084113</v>
      </c>
      <c r="L10" s="174">
        <v>11128.41</v>
      </c>
      <c r="M10" s="19">
        <v>21.4</v>
      </c>
      <c r="N10" s="9" t="str">
        <f>UPPER(TEXT(TablaCosechas[[#This Row],[COSECHA]],"MMMM"))</f>
        <v>SEPTIEMBRE</v>
      </c>
      <c r="O10" s="9" t="str">
        <f>IF(A10="DO 29","BAP",IF(A10="RO 14","BAP",(VLOOKUP(TablaCosechas[[#This Row],[COD]],Tabla7[[CODIGO]:[CERTIFICACION]],3,0))))</f>
        <v>ASC</v>
      </c>
      <c r="P10" s="180">
        <f>+L10-E10</f>
        <v>-1571.5900000000001</v>
      </c>
      <c r="Q10" s="181">
        <f>+M10-F10</f>
        <v>-2.6000000000000014</v>
      </c>
      <c r="R10" s="9"/>
    </row>
    <row r="11" spans="1:18" x14ac:dyDescent="0.25">
      <c r="A11" s="9" t="s">
        <v>301</v>
      </c>
      <c r="B11" s="9">
        <f>ROW() - ROW(TablaCosechas[[#Headers],[ID]]) - 4</f>
        <v>6</v>
      </c>
      <c r="C11" s="9" t="str">
        <f>LEFT(A11,2)</f>
        <v>DE</v>
      </c>
      <c r="D11" s="182" t="s">
        <v>367</v>
      </c>
      <c r="E11" s="178">
        <v>7200</v>
      </c>
      <c r="F11" s="19">
        <v>19</v>
      </c>
      <c r="G11" s="195">
        <v>45902</v>
      </c>
      <c r="H11" s="9" t="str">
        <f>VLOOKUP(TablaCosechas[[#This Row],[COD]],DATOS!$E$3:$F$27,2,0)</f>
        <v>DELFIN</v>
      </c>
      <c r="I11" s="9" t="str">
        <f>RIGHT(TablaCosechas[[#This Row],[SECTOR/PISCINA]],2)</f>
        <v>02</v>
      </c>
      <c r="J11" s="9" t="str">
        <f>VLOOKUP(TablaCosechas[[#This Row],[COD]],Tabla7[#All],4,0)</f>
        <v>CARLOS FLORES</v>
      </c>
      <c r="K11" s="179">
        <f>(TablaCosechas[[#This Row],[libras planta]]*454)/M11</f>
        <v>205036.85140073078</v>
      </c>
      <c r="L11" s="174">
        <v>7415.65</v>
      </c>
      <c r="M11" s="19">
        <v>16.420000000000002</v>
      </c>
      <c r="N11" s="9" t="str">
        <f>UPPER(TEXT(TablaCosechas[[#This Row],[COSECHA]],"MMMM"))</f>
        <v>SEPTIEMBRE</v>
      </c>
      <c r="O11" s="9" t="str">
        <f>IF(A11="DO 29","BAP",IF(A11="RO 14","BAP",(VLOOKUP(TablaCosechas[[#This Row],[COD]],Tabla7[[CODIGO]:[CERTIFICACION]],3,0))))</f>
        <v>CONVENCIONAL</v>
      </c>
      <c r="P11" s="180">
        <f>+L11-E11</f>
        <v>215.64999999999964</v>
      </c>
      <c r="Q11" s="181">
        <f>+M11-F11</f>
        <v>-2.5799999999999983</v>
      </c>
      <c r="R11" s="9"/>
    </row>
    <row r="12" spans="1:18" x14ac:dyDescent="0.25">
      <c r="A12" s="9" t="s">
        <v>18</v>
      </c>
      <c r="B12" s="9">
        <f>ROW() - ROW(TablaCosechas[[#Headers],[ID]]) - 4</f>
        <v>7</v>
      </c>
      <c r="C12" s="9" t="str">
        <f>LEFT(A12,2)</f>
        <v>CH</v>
      </c>
      <c r="D12" s="182" t="s">
        <v>366</v>
      </c>
      <c r="E12" s="178">
        <v>47600</v>
      </c>
      <c r="F12" s="19">
        <v>30</v>
      </c>
      <c r="G12" s="195">
        <v>45902</v>
      </c>
      <c r="H12" s="9" t="str">
        <f>VLOOKUP(TablaCosechas[[#This Row],[COD]],DATOS!$E$3:$F$27,2,0)</f>
        <v>CHERNA</v>
      </c>
      <c r="I12" s="9" t="str">
        <f>RIGHT(TablaCosechas[[#This Row],[SECTOR/PISCINA]],2)</f>
        <v>12</v>
      </c>
      <c r="J12" s="9" t="str">
        <f>VLOOKUP(TablaCosechas[[#This Row],[COD]],Tabla7[#All],4,0)</f>
        <v>SANTIAGO OBRIEN</v>
      </c>
      <c r="K12" s="179">
        <f>(TablaCosechas[[#This Row],[libras planta]]*454)/M12</f>
        <v>767348.79544670589</v>
      </c>
      <c r="L12" s="174">
        <v>48998.770000000004</v>
      </c>
      <c r="M12" s="19">
        <v>28.99</v>
      </c>
      <c r="N12" s="9" t="str">
        <f>UPPER(TEXT(TablaCosechas[[#This Row],[COSECHA]],"MMMM"))</f>
        <v>SEPTIEMBRE</v>
      </c>
      <c r="O12" s="9" t="str">
        <f>IF(A12="DO 29","BAP",IF(A12="RO 14","BAP",(VLOOKUP(TablaCosechas[[#This Row],[COD]],Tabla7[[CODIGO]:[CERTIFICACION]],3,0))))</f>
        <v>ASC</v>
      </c>
      <c r="P12" s="180">
        <f>+L12-E12</f>
        <v>1398.7700000000041</v>
      </c>
      <c r="Q12" s="181">
        <f>+M12-F12</f>
        <v>-1.0100000000000016</v>
      </c>
      <c r="R12" s="9"/>
    </row>
    <row r="13" spans="1:18" x14ac:dyDescent="0.25">
      <c r="A13" s="9" t="s">
        <v>277</v>
      </c>
      <c r="B13" s="9">
        <f>ROW() - ROW(TablaCosechas[[#Headers],[ID]]) - 4</f>
        <v>8</v>
      </c>
      <c r="C13" s="9" t="str">
        <f>LEFT(A13,2)</f>
        <v>CA</v>
      </c>
      <c r="D13" s="182" t="s">
        <v>366</v>
      </c>
      <c r="E13" s="178">
        <v>45900</v>
      </c>
      <c r="F13" s="19">
        <v>32.5</v>
      </c>
      <c r="G13" s="195">
        <v>45902</v>
      </c>
      <c r="H13" s="9" t="str">
        <f>VLOOKUP(TablaCosechas[[#This Row],[COD]],DATOS!$E$3:$F$27,2,0)</f>
        <v>CATANUDA</v>
      </c>
      <c r="I13" s="9" t="str">
        <f>RIGHT(TablaCosechas[[#This Row],[SECTOR/PISCINA]],2)</f>
        <v>05</v>
      </c>
      <c r="J13" s="9" t="str">
        <f>VLOOKUP(TablaCosechas[[#This Row],[COD]],Tabla7[#All],4,0)</f>
        <v>VICTOR QUINTANA</v>
      </c>
      <c r="K13" s="179">
        <f>(TablaCosechas[[#This Row],[libras planta]]*454)/M13</f>
        <v>704085.78093181108</v>
      </c>
      <c r="L13" s="174">
        <v>50263.039999999994</v>
      </c>
      <c r="M13" s="19">
        <v>32.409999999999997</v>
      </c>
      <c r="N13" s="9" t="str">
        <f>UPPER(TEXT(TablaCosechas[[#This Row],[COSECHA]],"MMMM"))</f>
        <v>SEPTIEMBRE</v>
      </c>
      <c r="O13" s="9" t="str">
        <f>IF(A13="DO 29","BAP",IF(A13="RO 14","BAP",(VLOOKUP(TablaCosechas[[#This Row],[COD]],Tabla7[[CODIGO]:[CERTIFICACION]],3,0))))</f>
        <v>ASC</v>
      </c>
      <c r="P13" s="180">
        <f>+L13-E13</f>
        <v>4363.0399999999936</v>
      </c>
      <c r="Q13" s="181">
        <f>+M13-F13</f>
        <v>-9.0000000000003411E-2</v>
      </c>
      <c r="R13" s="9"/>
    </row>
    <row r="14" spans="1:18" x14ac:dyDescent="0.25">
      <c r="A14" s="9" t="s">
        <v>322</v>
      </c>
      <c r="B14" s="9">
        <f>ROW() - ROW(TablaCosechas[[#Headers],[ID]]) - 4</f>
        <v>9</v>
      </c>
      <c r="C14" s="9" t="str">
        <f>LEFT(A14,2)</f>
        <v>TI</v>
      </c>
      <c r="D14" s="182" t="s">
        <v>367</v>
      </c>
      <c r="E14" s="178">
        <v>7000</v>
      </c>
      <c r="F14" s="19">
        <v>27.5</v>
      </c>
      <c r="G14" s="195">
        <v>45903</v>
      </c>
      <c r="H14" s="9" t="str">
        <f>VLOOKUP(TablaCosechas[[#This Row],[COD]],DATOS!$E$3:$F$27,2,0)</f>
        <v>TIBURON</v>
      </c>
      <c r="I14" s="9" t="str">
        <f>RIGHT(TablaCosechas[[#This Row],[SECTOR/PISCINA]],2)</f>
        <v>12</v>
      </c>
      <c r="J14" s="9" t="str">
        <f>VLOOKUP(TablaCosechas[[#This Row],[COD]],Tabla7[#All],4,0)</f>
        <v>ALFONSO GRUNAUER</v>
      </c>
      <c r="K14" s="179">
        <f>(TablaCosechas[[#This Row],[libras planta]]*454)/M14</f>
        <v>119739.61847672779</v>
      </c>
      <c r="L14" s="174">
        <v>7479.77</v>
      </c>
      <c r="M14" s="19">
        <v>28.36</v>
      </c>
      <c r="N14" s="9" t="str">
        <f>UPPER(TEXT(TablaCosechas[[#This Row],[COSECHA]],"MMMM"))</f>
        <v>SEPTIEMBRE</v>
      </c>
      <c r="O14" s="9" t="str">
        <f>IF(A14="DO 29","BAP",IF(A14="RO 14","BAP",(VLOOKUP(TablaCosechas[[#This Row],[COD]],Tabla7[[CODIGO]:[CERTIFICACION]],3,0))))</f>
        <v>ASC</v>
      </c>
      <c r="P14" s="180">
        <f>+L14-E14</f>
        <v>479.77000000000044</v>
      </c>
      <c r="Q14" s="181">
        <f>+M14-F14</f>
        <v>0.85999999999999943</v>
      </c>
      <c r="R14" s="9"/>
    </row>
    <row r="15" spans="1:18" x14ac:dyDescent="0.25">
      <c r="A15" s="9" t="s">
        <v>148</v>
      </c>
      <c r="B15" s="9">
        <f>ROW() - ROW(TablaCosechas[[#Headers],[ID]]) - 4</f>
        <v>10</v>
      </c>
      <c r="C15" s="9" t="str">
        <f>LEFT(A15,2)</f>
        <v>GT</v>
      </c>
      <c r="D15" s="182" t="s">
        <v>367</v>
      </c>
      <c r="E15" s="178">
        <v>4100</v>
      </c>
      <c r="F15" s="19">
        <v>18</v>
      </c>
      <c r="G15" s="195">
        <v>45903</v>
      </c>
      <c r="H15" s="9" t="str">
        <f>VLOOKUP(TablaCosechas[[#This Row],[COD]],DATOS!$E$3:$F$27,2,0)</f>
        <v>GUATO</v>
      </c>
      <c r="I15" s="9" t="str">
        <f>RIGHT(TablaCosechas[[#This Row],[SECTOR/PISCINA]],2)</f>
        <v>07</v>
      </c>
      <c r="J15" s="9" t="str">
        <f>VLOOKUP(TablaCosechas[[#This Row],[COD]],Tabla7[#All],4,0)</f>
        <v>JULIO SANTOS</v>
      </c>
      <c r="K15" s="179">
        <f>(TablaCosechas[[#This Row],[libras planta]]*454)/M15</f>
        <v>100802.91240875913</v>
      </c>
      <c r="L15" s="174">
        <v>4258.59</v>
      </c>
      <c r="M15" s="19">
        <v>19.18</v>
      </c>
      <c r="N15" s="9" t="str">
        <f>UPPER(TEXT(TablaCosechas[[#This Row],[COSECHA]],"MMMM"))</f>
        <v>SEPTIEMBRE</v>
      </c>
      <c r="O15" s="9" t="str">
        <f>IF(A15="DO 29","BAP",IF(A15="RO 14","BAP",(VLOOKUP(TablaCosechas[[#This Row],[COD]],Tabla7[[CODIGO]:[CERTIFICACION]],3,0))))</f>
        <v>CONVENCIONAL</v>
      </c>
      <c r="P15" s="180">
        <f>+L15-E15</f>
        <v>158.59000000000015</v>
      </c>
      <c r="Q15" s="181">
        <f>+M15-F15</f>
        <v>1.1799999999999997</v>
      </c>
      <c r="R15" s="9"/>
    </row>
    <row r="16" spans="1:18" x14ac:dyDescent="0.25">
      <c r="A16" s="9" t="s">
        <v>159</v>
      </c>
      <c r="B16" s="9">
        <f>ROW() - ROW(TablaCosechas[[#Headers],[ID]]) - 4</f>
        <v>11</v>
      </c>
      <c r="C16" s="9" t="str">
        <f>LEFT(A16,2)</f>
        <v>DO</v>
      </c>
      <c r="D16" s="182" t="s">
        <v>367</v>
      </c>
      <c r="E16" s="178">
        <v>17150</v>
      </c>
      <c r="F16" s="19">
        <v>19.5</v>
      </c>
      <c r="G16" s="195">
        <v>45903</v>
      </c>
      <c r="H16" s="9" t="str">
        <f>VLOOKUP(TablaCosechas[[#This Row],[COD]],DATOS!$E$3:$F$27,2,0)</f>
        <v>DORADO</v>
      </c>
      <c r="I16" s="9" t="str">
        <f>RIGHT(TablaCosechas[[#This Row],[SECTOR/PISCINA]],2)</f>
        <v>23</v>
      </c>
      <c r="J16" s="9" t="str">
        <f>VLOOKUP(TablaCosechas[[#This Row],[COD]],Tabla7[#All],4,0)</f>
        <v>JOSE CEDEÑO</v>
      </c>
      <c r="K16" s="179">
        <f>(TablaCosechas[[#This Row],[libras planta]]*454)/M16</f>
        <v>395500.66804550157</v>
      </c>
      <c r="L16" s="174">
        <v>16847.98</v>
      </c>
      <c r="M16" s="19">
        <v>19.34</v>
      </c>
      <c r="N16" s="9" t="str">
        <f>UPPER(TEXT(TablaCosechas[[#This Row],[COSECHA]],"MMMM"))</f>
        <v>SEPTIEMBRE</v>
      </c>
      <c r="O16" s="9" t="str">
        <f>IF(A16="DO 29","BAP",IF(A16="RO 14","BAP",(VLOOKUP(TablaCosechas[[#This Row],[COD]],Tabla7[[CODIGO]:[CERTIFICACION]],3,0))))</f>
        <v>ASC</v>
      </c>
      <c r="P16" s="180">
        <f>+L16-E16</f>
        <v>-302.02000000000044</v>
      </c>
      <c r="Q16" s="181">
        <f>+M16-F16</f>
        <v>-0.16000000000000014</v>
      </c>
      <c r="R16" s="9"/>
    </row>
    <row r="17" spans="1:18" x14ac:dyDescent="0.25">
      <c r="A17" s="9" t="s">
        <v>126</v>
      </c>
      <c r="B17" s="9">
        <f>ROW() - ROW(TablaCosechas[[#Headers],[ID]]) - 4</f>
        <v>12</v>
      </c>
      <c r="C17" s="9" t="str">
        <f>LEFT(A17,2)</f>
        <v>DO</v>
      </c>
      <c r="D17" s="182" t="s">
        <v>367</v>
      </c>
      <c r="E17" s="178">
        <v>10250</v>
      </c>
      <c r="F17" s="19">
        <v>25</v>
      </c>
      <c r="G17" s="195">
        <v>45903</v>
      </c>
      <c r="H17" s="9" t="str">
        <f>VLOOKUP(TablaCosechas[[#This Row],[COD]],DATOS!$E$3:$F$27,2,0)</f>
        <v>DORADO</v>
      </c>
      <c r="I17" s="9" t="str">
        <f>RIGHT(TablaCosechas[[#This Row],[SECTOR/PISCINA]],2)</f>
        <v>06</v>
      </c>
      <c r="J17" s="9" t="str">
        <f>VLOOKUP(TablaCosechas[[#This Row],[COD]],Tabla7[#All],4,0)</f>
        <v>JOSE CEDEÑO</v>
      </c>
      <c r="K17" s="179">
        <f>(TablaCosechas[[#This Row],[libras planta]]*454)/M17</f>
        <v>204835.53083333335</v>
      </c>
      <c r="L17" s="174">
        <v>10828.31</v>
      </c>
      <c r="M17" s="19">
        <v>24</v>
      </c>
      <c r="N17" s="9" t="str">
        <f>UPPER(TEXT(TablaCosechas[[#This Row],[COSECHA]],"MMMM"))</f>
        <v>SEPTIEMBRE</v>
      </c>
      <c r="O17" s="9" t="str">
        <f>IF(A17="DO 29","BAP",IF(A17="RO 14","BAP",(VLOOKUP(TablaCosechas[[#This Row],[COD]],Tabla7[[CODIGO]:[CERTIFICACION]],3,0))))</f>
        <v>ASC</v>
      </c>
      <c r="P17" s="180">
        <f>+L17-E17</f>
        <v>578.30999999999949</v>
      </c>
      <c r="Q17" s="181">
        <f>+M17-F17</f>
        <v>-1</v>
      </c>
      <c r="R17" s="9"/>
    </row>
    <row r="18" spans="1:18" x14ac:dyDescent="0.25">
      <c r="A18" s="9" t="s">
        <v>276</v>
      </c>
      <c r="B18" s="9">
        <f>ROW() - ROW(TablaCosechas[[#Headers],[ID]]) - 4</f>
        <v>13</v>
      </c>
      <c r="C18" s="9" t="str">
        <f>LEFT(A18,2)</f>
        <v>DE</v>
      </c>
      <c r="D18" s="182" t="s">
        <v>366</v>
      </c>
      <c r="E18" s="178">
        <v>28200</v>
      </c>
      <c r="F18" s="19">
        <v>33</v>
      </c>
      <c r="G18" s="195">
        <v>45903</v>
      </c>
      <c r="H18" s="9" t="str">
        <f>VLOOKUP(TablaCosechas[[#This Row],[COD]],DATOS!$E$3:$F$27,2,0)</f>
        <v>DELFIN</v>
      </c>
      <c r="I18" s="9" t="str">
        <f>RIGHT(TablaCosechas[[#This Row],[SECTOR/PISCINA]],2)</f>
        <v>08</v>
      </c>
      <c r="J18" s="9" t="str">
        <f>VLOOKUP(TablaCosechas[[#This Row],[COD]],Tabla7[#All],4,0)</f>
        <v>CARLOS FLORES</v>
      </c>
      <c r="K18" s="179">
        <f>(TablaCosechas[[#This Row],[libras planta]]*454)/M18</f>
        <v>414169.5068069307</v>
      </c>
      <c r="L18" s="174">
        <v>29484.49</v>
      </c>
      <c r="M18" s="19">
        <v>32.32</v>
      </c>
      <c r="N18" s="9" t="str">
        <f>UPPER(TEXT(TablaCosechas[[#This Row],[COSECHA]],"MMMM"))</f>
        <v>SEPTIEMBRE</v>
      </c>
      <c r="O18" s="9" t="str">
        <f>IF(A18="DO 29","BAP",IF(A18="RO 14","BAP",(VLOOKUP(TablaCosechas[[#This Row],[COD]],Tabla7[[CODIGO]:[CERTIFICACION]],3,0))))</f>
        <v>CONVENCIONAL</v>
      </c>
      <c r="P18" s="180">
        <f>+L18-E18</f>
        <v>1284.4900000000016</v>
      </c>
      <c r="Q18" s="181">
        <f>+M18-F18</f>
        <v>-0.67999999999999972</v>
      </c>
      <c r="R18" s="9"/>
    </row>
    <row r="19" spans="1:18" x14ac:dyDescent="0.25">
      <c r="A19" s="9" t="s">
        <v>28</v>
      </c>
      <c r="B19" s="9">
        <f>ROW() - ROW(TablaCosechas[[#Headers],[ID]]) - 4</f>
        <v>14</v>
      </c>
      <c r="C19" s="9" t="str">
        <f>LEFT(A19,2)</f>
        <v>CH</v>
      </c>
      <c r="D19" s="182" t="s">
        <v>366</v>
      </c>
      <c r="E19" s="178">
        <v>36550</v>
      </c>
      <c r="F19" s="19">
        <v>35</v>
      </c>
      <c r="G19" s="195">
        <v>45903</v>
      </c>
      <c r="H19" s="9" t="str">
        <f>VLOOKUP(TablaCosechas[[#This Row],[COD]],DATOS!$E$3:$F$27,2,0)</f>
        <v>CHERNA</v>
      </c>
      <c r="I19" s="9" t="str">
        <f>RIGHT(TablaCosechas[[#This Row],[SECTOR/PISCINA]],2)</f>
        <v>22</v>
      </c>
      <c r="J19" s="9" t="str">
        <f>VLOOKUP(TablaCosechas[[#This Row],[COD]],Tabla7[#All],4,0)</f>
        <v>SANTIAGO OBRIEN</v>
      </c>
      <c r="K19" s="179">
        <f>(TablaCosechas[[#This Row],[libras planta]]*454)/M19</f>
        <v>520356.34362017806</v>
      </c>
      <c r="L19" s="174">
        <v>38625.57</v>
      </c>
      <c r="M19" s="19">
        <v>33.700000000000003</v>
      </c>
      <c r="N19" s="9" t="str">
        <f>UPPER(TEXT(TablaCosechas[[#This Row],[COSECHA]],"MMMM"))</f>
        <v>SEPTIEMBRE</v>
      </c>
      <c r="O19" s="9" t="str">
        <f>IF(A19="DO 29","BAP",IF(A19="RO 14","BAP",(VLOOKUP(TablaCosechas[[#This Row],[COD]],Tabla7[[CODIGO]:[CERTIFICACION]],3,0))))</f>
        <v>ASC</v>
      </c>
      <c r="P19" s="180">
        <f>+L19-E19</f>
        <v>2075.5699999999997</v>
      </c>
      <c r="Q19" s="181">
        <f>+M19-F19</f>
        <v>-1.2999999999999972</v>
      </c>
      <c r="R19" s="9"/>
    </row>
    <row r="20" spans="1:18" x14ac:dyDescent="0.25">
      <c r="A20" s="9" t="s">
        <v>12</v>
      </c>
      <c r="B20" s="9">
        <f>ROW() - ROW(TablaCosechas[[#Headers],[ID]]) - 4</f>
        <v>15</v>
      </c>
      <c r="C20" s="9" t="str">
        <f>LEFT(A20,2)</f>
        <v>CH</v>
      </c>
      <c r="D20" s="182" t="s">
        <v>367</v>
      </c>
      <c r="E20" s="178">
        <v>5250</v>
      </c>
      <c r="F20" s="19">
        <v>26.5</v>
      </c>
      <c r="G20" s="195">
        <v>45903</v>
      </c>
      <c r="H20" s="9" t="str">
        <f>VLOOKUP(TablaCosechas[[#This Row],[COD]],DATOS!$E$3:$F$26,2,0)</f>
        <v>CHERNA</v>
      </c>
      <c r="I20" s="9" t="str">
        <f>RIGHT(TablaCosechas[[#This Row],[SECTOR/PISCINA]],2)</f>
        <v>06</v>
      </c>
      <c r="J20" s="9" t="str">
        <f>VLOOKUP(TablaCosechas[[#This Row],[COD]],Tabla7[#All],4,0)</f>
        <v>SANTIAGO OBRIEN</v>
      </c>
      <c r="K20" s="179">
        <f>(TablaCosechas[[#This Row],[libras planta]]*454)/M20</f>
        <v>103727.82690730107</v>
      </c>
      <c r="L20" s="174">
        <v>5570.23</v>
      </c>
      <c r="M20" s="19">
        <v>24.38</v>
      </c>
      <c r="N20" s="9" t="str">
        <f>UPPER(TEXT(TablaCosechas[[#This Row],[COSECHA]],"MMMM"))</f>
        <v>SEPTIEMBRE</v>
      </c>
      <c r="O20" s="9" t="str">
        <f>IF(A20="DO 29","BAP",IF(A20="RO 14","BAP",(VLOOKUP(TablaCosechas[[#This Row],[COD]],Tabla7[[CODIGO]:[CERTIFICACION]],3,0))))</f>
        <v>ASC</v>
      </c>
      <c r="P20" s="180">
        <f>+L20-E20</f>
        <v>320.22999999999956</v>
      </c>
      <c r="Q20" s="181">
        <f>+M20-F20</f>
        <v>-2.120000000000001</v>
      </c>
      <c r="R20" s="9"/>
    </row>
    <row r="21" spans="1:18" x14ac:dyDescent="0.25">
      <c r="A21" s="9" t="s">
        <v>245</v>
      </c>
      <c r="B21" s="9">
        <f>ROW() - ROW(TablaCosechas[[#Headers],[ID]]) - 4</f>
        <v>16</v>
      </c>
      <c r="C21" s="9" t="str">
        <f>LEFT(A21,2)</f>
        <v>CA</v>
      </c>
      <c r="D21" s="182" t="s">
        <v>366</v>
      </c>
      <c r="E21" s="178">
        <f>46600+3800</f>
        <v>50400</v>
      </c>
      <c r="F21" s="19">
        <v>31</v>
      </c>
      <c r="G21" s="195">
        <v>45903</v>
      </c>
      <c r="H21" s="9" t="str">
        <f>VLOOKUP(TablaCosechas[[#This Row],[COD]],DATOS!$E$3:$F$27,2,0)</f>
        <v>CATANUDA</v>
      </c>
      <c r="I21" s="9" t="str">
        <f>RIGHT(TablaCosechas[[#This Row],[SECTOR/PISCINA]],2)</f>
        <v>16</v>
      </c>
      <c r="J21" s="9" t="str">
        <f>VLOOKUP(TablaCosechas[[#This Row],[COD]],Tabla7[#All],4,0)</f>
        <v>VICTOR QUINTANA</v>
      </c>
      <c r="K21" s="179">
        <f>(TablaCosechas[[#This Row],[libras planta]]*454)/M21</f>
        <v>763196.77541528235</v>
      </c>
      <c r="L21" s="174">
        <f>46493.23+4106.38</f>
        <v>50599.61</v>
      </c>
      <c r="M21" s="19">
        <v>30.1</v>
      </c>
      <c r="N21" s="9" t="str">
        <f>UPPER(TEXT(TablaCosechas[[#This Row],[COSECHA]],"MMMM"))</f>
        <v>SEPTIEMBRE</v>
      </c>
      <c r="O21" s="9" t="str">
        <f>IF(A21="DO 29","BAP",IF(A21="RO 14","BAP",(VLOOKUP(TablaCosechas[[#This Row],[COD]],Tabla7[[CODIGO]:[CERTIFICACION]],3,0))))</f>
        <v>ASC</v>
      </c>
      <c r="P21" s="180">
        <f>+L21-E21</f>
        <v>199.61000000000058</v>
      </c>
      <c r="Q21" s="181">
        <f>+M21-F21</f>
        <v>-0.89999999999999858</v>
      </c>
      <c r="R21" s="9"/>
    </row>
    <row r="22" spans="1:18" x14ac:dyDescent="0.25">
      <c r="A22" s="9" t="s">
        <v>181</v>
      </c>
      <c r="B22" s="9">
        <f>ROW() - ROW(TablaCosechas[[#Headers],[ID]]) - 4</f>
        <v>17</v>
      </c>
      <c r="C22" s="9" t="str">
        <f>LEFT(A22,2)</f>
        <v>TA</v>
      </c>
      <c r="D22" s="182" t="s">
        <v>367</v>
      </c>
      <c r="E22" s="178">
        <v>11900</v>
      </c>
      <c r="F22" s="19">
        <v>27</v>
      </c>
      <c r="G22" s="195">
        <v>45904</v>
      </c>
      <c r="H22" s="9" t="str">
        <f>VLOOKUP(TablaCosechas[[#This Row],[COD]],DATOS!$E$3:$F$26,2,0)</f>
        <v>TAMBULERO</v>
      </c>
      <c r="I22" s="9" t="str">
        <f>RIGHT(TablaCosechas[[#This Row],[SECTOR/PISCINA]],2)</f>
        <v>10</v>
      </c>
      <c r="J22" s="9" t="str">
        <f>VLOOKUP(TablaCosechas[[#This Row],[COD]],Tabla7[#All],4,0)</f>
        <v>ALFONSO GRUNAUER</v>
      </c>
      <c r="K22" s="179">
        <f>(TablaCosechas[[#This Row],[libras planta]]*454)/M22</f>
        <v>217804.56133540371</v>
      </c>
      <c r="L22" s="174">
        <v>12358.25</v>
      </c>
      <c r="M22" s="19">
        <v>25.76</v>
      </c>
      <c r="N22" s="9" t="str">
        <f>UPPER(TEXT(TablaCosechas[[#This Row],[COSECHA]],"MMMM"))</f>
        <v>SEPTIEMBRE</v>
      </c>
      <c r="O22" s="9" t="str">
        <f>IF(A22="DO 29","BAP",IF(A22="RO 14","BAP",(VLOOKUP(TablaCosechas[[#This Row],[COD]],Tabla7[[CODIGO]:[CERTIFICACION]],3,0))))</f>
        <v>CONVENCIONAL</v>
      </c>
      <c r="P22" s="180">
        <f>+L22-E22</f>
        <v>458.25</v>
      </c>
      <c r="Q22" s="181">
        <f>+M22-F22</f>
        <v>-1.2399999999999984</v>
      </c>
      <c r="R22" s="9"/>
    </row>
    <row r="23" spans="1:18" x14ac:dyDescent="0.25">
      <c r="A23" s="9" t="s">
        <v>264</v>
      </c>
      <c r="B23" s="9">
        <f>ROW() - ROW(TablaCosechas[[#Headers],[ID]]) - 4</f>
        <v>18</v>
      </c>
      <c r="C23" s="9" t="str">
        <f>LEFT(A23,2)</f>
        <v>RO</v>
      </c>
      <c r="D23" s="182" t="s">
        <v>366</v>
      </c>
      <c r="E23" s="178">
        <v>80000</v>
      </c>
      <c r="F23" s="19">
        <v>30.5</v>
      </c>
      <c r="G23" s="195">
        <v>45904</v>
      </c>
      <c r="H23" s="9" t="str">
        <f>VLOOKUP(TablaCosechas[[#This Row],[COD]],DATOS!$E$3:$F$27,2,0)</f>
        <v>ROBALO</v>
      </c>
      <c r="I23" s="9" t="str">
        <f>RIGHT(TablaCosechas[[#This Row],[SECTOR/PISCINA]],2)</f>
        <v>04</v>
      </c>
      <c r="J23" s="9" t="str">
        <f>VLOOKUP(TablaCosechas[[#This Row],[COD]],Tabla7[#All],4,0)</f>
        <v>VICTOR QUINTANA</v>
      </c>
      <c r="K23" s="179">
        <f>(TablaCosechas[[#This Row],[libras planta]]*454)/M23</f>
        <v>1033793.7218664227</v>
      </c>
      <c r="L23" s="174">
        <v>74665.41</v>
      </c>
      <c r="M23" s="19">
        <v>32.79</v>
      </c>
      <c r="N23" s="9" t="str">
        <f>UPPER(TEXT(TablaCosechas[[#This Row],[COSECHA]],"MMMM"))</f>
        <v>SEPTIEMBRE</v>
      </c>
      <c r="O23" s="9" t="str">
        <f>IF(A23="DO 29","BAP",IF(A23="RO 14","BAP",(VLOOKUP(TablaCosechas[[#This Row],[COD]],Tabla7[[CODIGO]:[CERTIFICACION]],3,0))))</f>
        <v>ASC</v>
      </c>
      <c r="P23" s="180">
        <f>+L23-E23</f>
        <v>-5334.5899999999965</v>
      </c>
      <c r="Q23" s="181">
        <f>+M23-F23</f>
        <v>2.2899999999999991</v>
      </c>
      <c r="R23" s="9"/>
    </row>
    <row r="24" spans="1:18" x14ac:dyDescent="0.25">
      <c r="A24" s="9" t="s">
        <v>280</v>
      </c>
      <c r="B24" s="9">
        <f>ROW() - ROW(TablaCosechas[[#Headers],[ID]]) - 4</f>
        <v>19</v>
      </c>
      <c r="C24" s="9" t="str">
        <f>LEFT(A24,2)</f>
        <v>GT</v>
      </c>
      <c r="D24" s="182" t="s">
        <v>367</v>
      </c>
      <c r="E24" s="178">
        <v>4800</v>
      </c>
      <c r="F24" s="19">
        <v>24</v>
      </c>
      <c r="G24" s="195">
        <v>45904</v>
      </c>
      <c r="H24" s="9" t="str">
        <f>VLOOKUP(TablaCosechas[[#This Row],[COD]],DATOS!$E$3:$F$27,2,0)</f>
        <v>GUATO</v>
      </c>
      <c r="I24" s="9" t="str">
        <f>RIGHT(TablaCosechas[[#This Row],[SECTOR/PISCINA]],2)</f>
        <v>01</v>
      </c>
      <c r="J24" s="9" t="str">
        <f>VLOOKUP(TablaCosechas[[#This Row],[COD]],Tabla7[#All],4,0)</f>
        <v>JULIO SANTOS</v>
      </c>
      <c r="K24" s="179">
        <f>(TablaCosechas[[#This Row],[libras planta]]*454)/M24</f>
        <v>94583.981164383556</v>
      </c>
      <c r="L24" s="174">
        <v>4866.7</v>
      </c>
      <c r="M24" s="19">
        <v>23.36</v>
      </c>
      <c r="N24" s="9" t="str">
        <f>UPPER(TEXT(TablaCosechas[[#This Row],[COSECHA]],"MMMM"))</f>
        <v>SEPTIEMBRE</v>
      </c>
      <c r="O24" s="9" t="str">
        <f>IF(A24="DO 29","BAP",IF(A24="RO 14","BAP",(VLOOKUP(TablaCosechas[[#This Row],[COD]],Tabla7[[CODIGO]:[CERTIFICACION]],3,0))))</f>
        <v>CONVENCIONAL</v>
      </c>
      <c r="P24" s="180">
        <f>+L24-E24</f>
        <v>66.699999999999818</v>
      </c>
      <c r="Q24" s="181">
        <f>+M24-F24</f>
        <v>-0.64000000000000057</v>
      </c>
      <c r="R24" s="9"/>
    </row>
    <row r="25" spans="1:18" x14ac:dyDescent="0.25">
      <c r="A25" s="9" t="s">
        <v>260</v>
      </c>
      <c r="B25" s="9">
        <f>ROW() - ROW(TablaCosechas[[#Headers],[ID]]) - 4</f>
        <v>20</v>
      </c>
      <c r="C25" s="9" t="str">
        <f>LEFT(A25,2)</f>
        <v>DO</v>
      </c>
      <c r="D25" s="182" t="s">
        <v>367</v>
      </c>
      <c r="E25" s="178">
        <v>6000</v>
      </c>
      <c r="F25" s="19">
        <v>19</v>
      </c>
      <c r="G25" s="195">
        <v>45904</v>
      </c>
      <c r="H25" s="9" t="str">
        <f>VLOOKUP(TablaCosechas[[#This Row],[COD]],DATOS!$E$3:$F$27,2,0)</f>
        <v>DORADO</v>
      </c>
      <c r="I25" s="9" t="str">
        <f>RIGHT(TablaCosechas[[#This Row],[SECTOR/PISCINA]],2)</f>
        <v>03</v>
      </c>
      <c r="J25" s="9" t="str">
        <f>VLOOKUP(TablaCosechas[[#This Row],[COD]],Tabla7[#All],4,0)</f>
        <v>JOSE CEDEÑO</v>
      </c>
      <c r="K25" s="179">
        <f>(TablaCosechas[[#This Row],[libras planta]]*454)/M25</f>
        <v>132373.96224588578</v>
      </c>
      <c r="L25" s="174">
        <v>6023.89</v>
      </c>
      <c r="M25" s="19">
        <v>20.66</v>
      </c>
      <c r="N25" s="9" t="str">
        <f>UPPER(TEXT(TablaCosechas[[#This Row],[COSECHA]],"MMMM"))</f>
        <v>SEPTIEMBRE</v>
      </c>
      <c r="O25" s="9" t="str">
        <f>IF(A25="DO 29","BAP",IF(A25="RO 14","BAP",(VLOOKUP(TablaCosechas[[#This Row],[COD]],Tabla7[[CODIGO]:[CERTIFICACION]],3,0))))</f>
        <v>ASC</v>
      </c>
      <c r="P25" s="180">
        <f>+L25-E25</f>
        <v>23.890000000000327</v>
      </c>
      <c r="Q25" s="181">
        <f>+M25-F25</f>
        <v>1.6600000000000001</v>
      </c>
      <c r="R25" s="9"/>
    </row>
    <row r="26" spans="1:18" x14ac:dyDescent="0.25">
      <c r="A26" s="9" t="s">
        <v>265</v>
      </c>
      <c r="B26" s="9">
        <f>ROW() - ROW(TablaCosechas[[#Headers],[ID]]) - 4</f>
        <v>21</v>
      </c>
      <c r="C26" s="9" t="str">
        <f>LEFT(A26,2)</f>
        <v>DE</v>
      </c>
      <c r="D26" s="182" t="s">
        <v>366</v>
      </c>
      <c r="E26" s="178">
        <v>29750</v>
      </c>
      <c r="F26" s="19">
        <v>33</v>
      </c>
      <c r="G26" s="195">
        <v>45904</v>
      </c>
      <c r="H26" s="9" t="str">
        <f>VLOOKUP(TablaCosechas[[#This Row],[COD]],DATOS!$E$3:$F$27,2,0)</f>
        <v>DELFIN</v>
      </c>
      <c r="I26" s="9" t="str">
        <f>RIGHT(TablaCosechas[[#This Row],[SECTOR/PISCINA]],2)</f>
        <v>04</v>
      </c>
      <c r="J26" s="9" t="str">
        <f>VLOOKUP(TablaCosechas[[#This Row],[COD]],Tabla7[#All],4,0)</f>
        <v>CARLOS FLORES</v>
      </c>
      <c r="K26" s="179">
        <f>(TablaCosechas[[#This Row],[libras planta]]*454)/M26</f>
        <v>480567.57161458337</v>
      </c>
      <c r="L26" s="174">
        <v>32517.7</v>
      </c>
      <c r="M26" s="19">
        <v>30.72</v>
      </c>
      <c r="N26" s="9" t="str">
        <f>UPPER(TEXT(TablaCosechas[[#This Row],[COSECHA]],"MMMM"))</f>
        <v>SEPTIEMBRE</v>
      </c>
      <c r="O26" s="9" t="str">
        <f>IF(A26="DO 29","BAP",IF(A26="RO 14","BAP",(VLOOKUP(TablaCosechas[[#This Row],[COD]],Tabla7[[CODIGO]:[CERTIFICACION]],3,0))))</f>
        <v>CONVENCIONAL</v>
      </c>
      <c r="P26" s="180">
        <f>+L26-E26</f>
        <v>2767.7000000000007</v>
      </c>
      <c r="Q26" s="181">
        <f>+M26-F26</f>
        <v>-2.2800000000000011</v>
      </c>
      <c r="R26" s="9"/>
    </row>
    <row r="27" spans="1:18" x14ac:dyDescent="0.25">
      <c r="A27" s="9" t="s">
        <v>23</v>
      </c>
      <c r="B27" s="9">
        <f>ROW() - ROW(TablaCosechas[[#Headers],[ID]]) - 4</f>
        <v>22</v>
      </c>
      <c r="C27" s="9" t="str">
        <f>LEFT(A27,2)</f>
        <v>CH</v>
      </c>
      <c r="D27" s="182" t="s">
        <v>367</v>
      </c>
      <c r="E27" s="178">
        <v>10150</v>
      </c>
      <c r="F27" s="19">
        <v>20</v>
      </c>
      <c r="G27" s="195">
        <v>45904</v>
      </c>
      <c r="H27" s="9" t="str">
        <f>VLOOKUP(TablaCosechas[[#This Row],[COD]],DATOS!$E$3:$F$26,2,0)</f>
        <v>CHERNA</v>
      </c>
      <c r="I27" s="9" t="str">
        <f>RIGHT(TablaCosechas[[#This Row],[SECTOR/PISCINA]],2)</f>
        <v>18</v>
      </c>
      <c r="J27" s="9" t="str">
        <f>VLOOKUP(TablaCosechas[[#This Row],[COD]],Tabla7[#All],4,0)</f>
        <v>SANTIAGO OBRIEN</v>
      </c>
      <c r="K27" s="179">
        <f>(TablaCosechas[[#This Row],[libras planta]]*454)/M27</f>
        <v>230173.55360824746</v>
      </c>
      <c r="L27" s="174">
        <v>9835.61</v>
      </c>
      <c r="M27" s="19">
        <v>19.399999999999999</v>
      </c>
      <c r="N27" s="9" t="str">
        <f>UPPER(TEXT(TablaCosechas[[#This Row],[COSECHA]],"MMMM"))</f>
        <v>SEPTIEMBRE</v>
      </c>
      <c r="O27" s="9" t="str">
        <f>IF(A27="DO 29","BAP",IF(A27="RO 14","BAP",(VLOOKUP(TablaCosechas[[#This Row],[COD]],Tabla7[[CODIGO]:[CERTIFICACION]],3,0))))</f>
        <v>ASC</v>
      </c>
      <c r="P27" s="180">
        <f>+L27-E27</f>
        <v>-314.38999999999942</v>
      </c>
      <c r="Q27" s="181">
        <f>+M27-F27</f>
        <v>-0.60000000000000142</v>
      </c>
      <c r="R27" s="9"/>
    </row>
    <row r="28" spans="1:18" x14ac:dyDescent="0.25">
      <c r="A28" s="9" t="s">
        <v>160</v>
      </c>
      <c r="B28" s="9">
        <f>ROW() - ROW(TablaCosechas[[#Headers],[ID]]) - 4</f>
        <v>23</v>
      </c>
      <c r="C28" s="9" t="str">
        <f>LEFT(A28,2)</f>
        <v>TI</v>
      </c>
      <c r="D28" s="182" t="s">
        <v>367</v>
      </c>
      <c r="E28" s="178">
        <v>6000</v>
      </c>
      <c r="F28" s="19">
        <v>20</v>
      </c>
      <c r="G28" s="195">
        <v>45905</v>
      </c>
      <c r="H28" s="9" t="str">
        <f>VLOOKUP(TablaCosechas[[#This Row],[COD]],DATOS!$E$3:$F$26,2,0)</f>
        <v>TIBURON</v>
      </c>
      <c r="I28" s="9" t="str">
        <f>RIGHT(TablaCosechas[[#This Row],[SECTOR/PISCINA]],2)</f>
        <v>14</v>
      </c>
      <c r="J28" s="9" t="str">
        <f>VLOOKUP(TablaCosechas[[#This Row],[COD]],Tabla7[#All],4,0)</f>
        <v>ALFONSO GRUNAUER</v>
      </c>
      <c r="K28" s="179">
        <f>(TablaCosechas[[#This Row],[libras planta]]*454)/M28</f>
        <v>150679.10769230768</v>
      </c>
      <c r="L28" s="174">
        <v>6471.9</v>
      </c>
      <c r="M28" s="19">
        <v>19.5</v>
      </c>
      <c r="N28" s="9" t="str">
        <f>UPPER(TEXT(TablaCosechas[[#This Row],[COSECHA]],"MMMM"))</f>
        <v>SEPTIEMBRE</v>
      </c>
      <c r="O28" s="9" t="str">
        <f>IF(A28="DO 29","BAP",IF(A28="RO 14","BAP",(VLOOKUP(TablaCosechas[[#This Row],[COD]],Tabla7[[CODIGO]:[CERTIFICACION]],3,0))))</f>
        <v>ASC</v>
      </c>
      <c r="P28" s="180">
        <f>+L28-E28</f>
        <v>471.89999999999964</v>
      </c>
      <c r="Q28" s="181">
        <f>+M28-F28</f>
        <v>-0.5</v>
      </c>
      <c r="R28" s="9"/>
    </row>
    <row r="29" spans="1:18" x14ac:dyDescent="0.25">
      <c r="A29" s="9" t="s">
        <v>264</v>
      </c>
      <c r="B29" s="9">
        <f>ROW() - ROW(TablaCosechas[[#Headers],[ID]]) - 4</f>
        <v>24</v>
      </c>
      <c r="C29" s="9" t="str">
        <f>LEFT(A29,2)</f>
        <v>RO</v>
      </c>
      <c r="D29" s="182" t="s">
        <v>366</v>
      </c>
      <c r="E29" s="178">
        <f>55600+2400</f>
        <v>58000</v>
      </c>
      <c r="F29" s="19">
        <v>30.5</v>
      </c>
      <c r="G29" s="195">
        <v>45905</v>
      </c>
      <c r="H29" s="9" t="str">
        <f>VLOOKUP(TablaCosechas[[#This Row],[COD]],DATOS!$E$3:$F$27,2,0)</f>
        <v>ROBALO</v>
      </c>
      <c r="I29" s="9" t="str">
        <f>RIGHT(TablaCosechas[[#This Row],[SECTOR/PISCINA]],2)</f>
        <v>04</v>
      </c>
      <c r="J29" s="9" t="str">
        <f>VLOOKUP(TablaCosechas[[#This Row],[COD]],Tabla7[#All],4,0)</f>
        <v>VICTOR QUINTANA</v>
      </c>
      <c r="K29" s="179">
        <f>(TablaCosechas[[#This Row],[libras planta]]*454)/M29</f>
        <v>891581.51021652936</v>
      </c>
      <c r="L29" s="174">
        <v>64394.18</v>
      </c>
      <c r="M29" s="19">
        <v>32.79</v>
      </c>
      <c r="N29" s="9" t="str">
        <f>UPPER(TEXT(TablaCosechas[[#This Row],[COSECHA]],"MMMM"))</f>
        <v>SEPTIEMBRE</v>
      </c>
      <c r="O29" s="9" t="str">
        <f>IF(A29="DO 29","BAP",IF(A29="RO 14","BAP",(VLOOKUP(TablaCosechas[[#This Row],[COD]],Tabla7[[CODIGO]:[CERTIFICACION]],3,0))))</f>
        <v>ASC</v>
      </c>
      <c r="P29" s="180">
        <f>+L29-E29</f>
        <v>6394.18</v>
      </c>
      <c r="Q29" s="181">
        <f>+M29-F29</f>
        <v>2.2899999999999991</v>
      </c>
      <c r="R29" s="9"/>
    </row>
    <row r="30" spans="1:18" x14ac:dyDescent="0.25">
      <c r="A30" s="9" t="s">
        <v>326</v>
      </c>
      <c r="B30" s="9">
        <f>ROW() - ROW(TablaCosechas[[#Headers],[ID]]) - 4</f>
        <v>25</v>
      </c>
      <c r="C30" s="9" t="str">
        <f>LEFT(A30,2)</f>
        <v>GT</v>
      </c>
      <c r="D30" s="182" t="s">
        <v>367</v>
      </c>
      <c r="E30" s="178">
        <v>7500</v>
      </c>
      <c r="F30" s="19">
        <v>24</v>
      </c>
      <c r="G30" s="195">
        <v>45905</v>
      </c>
      <c r="H30" s="9" t="str">
        <f>VLOOKUP(TablaCosechas[[#This Row],[COD]],DATOS!$E$3:$F$27,2,0)</f>
        <v>GUATO</v>
      </c>
      <c r="I30" s="9" t="str">
        <f>RIGHT(TablaCosechas[[#This Row],[SECTOR/PISCINA]],2)</f>
        <v>03</v>
      </c>
      <c r="J30" s="9" t="str">
        <f>VLOOKUP(TablaCosechas[[#This Row],[COD]],Tabla7[#All],4,0)</f>
        <v>JULIO SANTOS</v>
      </c>
      <c r="K30" s="179">
        <f>(TablaCosechas[[#This Row],[libras planta]]*454)/M30</f>
        <v>149404.3524871355</v>
      </c>
      <c r="L30" s="174">
        <v>7674.25</v>
      </c>
      <c r="M30" s="19">
        <v>23.32</v>
      </c>
      <c r="N30" s="9" t="str">
        <f>UPPER(TEXT(TablaCosechas[[#This Row],[COSECHA]],"MMMM"))</f>
        <v>SEPTIEMBRE</v>
      </c>
      <c r="O30" s="9" t="str">
        <f>IF(A30="DO 29","BAP",IF(A30="RO 14","BAP",(VLOOKUP(TablaCosechas[[#This Row],[COD]],Tabla7[[CODIGO]:[CERTIFICACION]],3,0))))</f>
        <v>CONVENCIONAL</v>
      </c>
      <c r="P30" s="180">
        <f>+L30-E30</f>
        <v>174.25</v>
      </c>
      <c r="Q30" s="181">
        <f>+M30-F30</f>
        <v>-0.67999999999999972</v>
      </c>
      <c r="R30" s="9"/>
    </row>
    <row r="31" spans="1:18" x14ac:dyDescent="0.25">
      <c r="A31" s="9" t="s">
        <v>297</v>
      </c>
      <c r="B31" s="9">
        <f>ROW() - ROW(TablaCosechas[[#Headers],[ID]]) - 4</f>
        <v>26</v>
      </c>
      <c r="C31" s="9" t="str">
        <f>LEFT(A31,2)</f>
        <v>DO</v>
      </c>
      <c r="D31" s="182" t="s">
        <v>366</v>
      </c>
      <c r="E31" s="178">
        <f>60000+2250</f>
        <v>62250</v>
      </c>
      <c r="F31" s="19">
        <v>35</v>
      </c>
      <c r="G31" s="195">
        <v>45905</v>
      </c>
      <c r="H31" s="9" t="str">
        <f>VLOOKUP(TablaCosechas[[#This Row],[COD]],DATOS!$E$3:$F$27,2,0)</f>
        <v>DORADO</v>
      </c>
      <c r="I31" s="9" t="str">
        <f>RIGHT(TablaCosechas[[#This Row],[SECTOR/PISCINA]],2)</f>
        <v>18</v>
      </c>
      <c r="J31" s="9" t="str">
        <f>VLOOKUP(TablaCosechas[[#This Row],[COD]],Tabla7[#All],4,0)</f>
        <v>JOSE CEDEÑO</v>
      </c>
      <c r="K31" s="179">
        <f>(TablaCosechas[[#This Row],[libras planta]]*454)/M31</f>
        <v>893888.98598726117</v>
      </c>
      <c r="L31" s="174">
        <f>59726.8+2097.24</f>
        <v>61824.04</v>
      </c>
      <c r="M31" s="19">
        <v>31.4</v>
      </c>
      <c r="N31" s="9" t="str">
        <f>UPPER(TEXT(TablaCosechas[[#This Row],[COSECHA]],"MMMM"))</f>
        <v>SEPTIEMBRE</v>
      </c>
      <c r="O31" s="9" t="str">
        <f>IF(A31="DO 29","BAP",IF(A31="RO 14","BAP",(VLOOKUP(TablaCosechas[[#This Row],[COD]],Tabla7[[CODIGO]:[CERTIFICACION]],3,0))))</f>
        <v>ASC</v>
      </c>
      <c r="P31" s="180">
        <f>+L31-E31</f>
        <v>-425.95999999999913</v>
      </c>
      <c r="Q31" s="181">
        <f>+M31-F31</f>
        <v>-3.6000000000000014</v>
      </c>
      <c r="R31" s="9"/>
    </row>
    <row r="32" spans="1:18" x14ac:dyDescent="0.25">
      <c r="A32" s="9" t="s">
        <v>302</v>
      </c>
      <c r="B32" s="9">
        <f>ROW() - ROW(TablaCosechas[[#Headers],[ID]]) - 4</f>
        <v>27</v>
      </c>
      <c r="C32" s="9" t="str">
        <f>LEFT(A32,2)</f>
        <v>DE</v>
      </c>
      <c r="D32" s="182" t="s">
        <v>367</v>
      </c>
      <c r="E32" s="178">
        <v>6000</v>
      </c>
      <c r="F32" s="19">
        <v>24</v>
      </c>
      <c r="G32" s="195">
        <v>45905</v>
      </c>
      <c r="H32" s="9" t="str">
        <f>VLOOKUP(TablaCosechas[[#This Row],[COD]],DATOS!$E$3:$F$27,2,0)</f>
        <v>DELFIN</v>
      </c>
      <c r="I32" s="9" t="str">
        <f>RIGHT(TablaCosechas[[#This Row],[SECTOR/PISCINA]],2)</f>
        <v>23</v>
      </c>
      <c r="J32" s="9" t="str">
        <f>VLOOKUP(TablaCosechas[[#This Row],[COD]],Tabla7[#All],4,0)</f>
        <v>CARLOS FLORES</v>
      </c>
      <c r="K32" s="179">
        <f>(TablaCosechas[[#This Row],[libras planta]]*454)/M32</f>
        <v>77372.38950617284</v>
      </c>
      <c r="L32" s="174">
        <v>5521.73</v>
      </c>
      <c r="M32" s="19">
        <v>32.4</v>
      </c>
      <c r="N32" s="9" t="str">
        <f>UPPER(TEXT(TablaCosechas[[#This Row],[COSECHA]],"MMMM"))</f>
        <v>SEPTIEMBRE</v>
      </c>
      <c r="O32" s="9" t="str">
        <f>IF(A32="DO 29","BAP",IF(A32="RO 14","BAP",(VLOOKUP(TablaCosechas[[#This Row],[COD]],Tabla7[[CODIGO]:[CERTIFICACION]],3,0))))</f>
        <v>CONVENCIONAL</v>
      </c>
      <c r="P32" s="180">
        <f>+L32-E32</f>
        <v>-478.27000000000044</v>
      </c>
      <c r="Q32" s="181">
        <f>+M32-F32</f>
        <v>8.3999999999999986</v>
      </c>
      <c r="R32" s="9"/>
    </row>
    <row r="33" spans="1:18" x14ac:dyDescent="0.25">
      <c r="A33" s="9" t="s">
        <v>115</v>
      </c>
      <c r="B33" s="9">
        <f>ROW() - ROW(TablaCosechas[[#Headers],[ID]]) - 4</f>
        <v>28</v>
      </c>
      <c r="C33" s="9" t="str">
        <f>LEFT(A33,2)</f>
        <v>DE</v>
      </c>
      <c r="D33" s="182" t="s">
        <v>367</v>
      </c>
      <c r="E33" s="178">
        <v>6000</v>
      </c>
      <c r="F33" s="19">
        <v>24</v>
      </c>
      <c r="G33" s="195">
        <v>45905</v>
      </c>
      <c r="H33" s="9" t="str">
        <f>VLOOKUP(TablaCosechas[[#This Row],[COD]],DATOS!$E$3:$F$26,2,0)</f>
        <v>DELFIN</v>
      </c>
      <c r="I33" s="9" t="str">
        <f>RIGHT(TablaCosechas[[#This Row],[SECTOR/PISCINA]],2)</f>
        <v>19</v>
      </c>
      <c r="J33" s="9" t="str">
        <f>VLOOKUP(TablaCosechas[[#This Row],[COD]],Tabla7[#All],4,0)</f>
        <v>CARLOS FLORES</v>
      </c>
      <c r="K33" s="179">
        <f>(TablaCosechas[[#This Row],[libras planta]]*454)/M33</f>
        <v>104918.22971948447</v>
      </c>
      <c r="L33" s="174">
        <v>6096.35</v>
      </c>
      <c r="M33" s="19">
        <v>26.38</v>
      </c>
      <c r="N33" s="9" t="str">
        <f>UPPER(TEXT(TablaCosechas[[#This Row],[COSECHA]],"MMMM"))</f>
        <v>SEPTIEMBRE</v>
      </c>
      <c r="O33" s="9" t="str">
        <f>IF(A33="DO 29","BAP",IF(A33="RO 14","BAP",(VLOOKUP(TablaCosechas[[#This Row],[COD]],Tabla7[[CODIGO]:[CERTIFICACION]],3,0))))</f>
        <v>CONVENCIONAL</v>
      </c>
      <c r="P33" s="180">
        <f>+L33-E33</f>
        <v>96.350000000000364</v>
      </c>
      <c r="Q33" s="181">
        <f>+M33-F33</f>
        <v>2.379999999999999</v>
      </c>
      <c r="R33" s="9"/>
    </row>
    <row r="34" spans="1:18" x14ac:dyDescent="0.25">
      <c r="A34" s="9" t="s">
        <v>276</v>
      </c>
      <c r="B34" s="9">
        <f>ROW() - ROW(TablaCosechas[[#Headers],[ID]]) - 4</f>
        <v>29</v>
      </c>
      <c r="C34" s="9" t="str">
        <f>LEFT(A34,2)</f>
        <v>DE</v>
      </c>
      <c r="D34" s="182" t="s">
        <v>366</v>
      </c>
      <c r="E34" s="178">
        <v>8100</v>
      </c>
      <c r="F34" s="19">
        <v>33</v>
      </c>
      <c r="G34" s="195">
        <v>45905</v>
      </c>
      <c r="H34" s="9" t="str">
        <f>VLOOKUP(TablaCosechas[[#This Row],[COD]],DATOS!$E$3:$F$27,2,0)</f>
        <v>DELFIN</v>
      </c>
      <c r="I34" s="9" t="str">
        <f>RIGHT(TablaCosechas[[#This Row],[SECTOR/PISCINA]],2)</f>
        <v>08</v>
      </c>
      <c r="J34" s="9" t="str">
        <f>VLOOKUP(TablaCosechas[[#This Row],[COD]],Tabla7[#All],4,0)</f>
        <v>CARLOS FLORES</v>
      </c>
      <c r="K34" s="179">
        <f>(TablaCosechas[[#This Row],[libras planta]]*454)/M34</f>
        <v>126602.50742574257</v>
      </c>
      <c r="L34" s="174">
        <v>9012.76</v>
      </c>
      <c r="M34" s="19">
        <v>32.32</v>
      </c>
      <c r="N34" s="9" t="str">
        <f>UPPER(TEXT(TablaCosechas[[#This Row],[COSECHA]],"MMMM"))</f>
        <v>SEPTIEMBRE</v>
      </c>
      <c r="O34" s="9" t="str">
        <f>IF(A34="DO 29","BAP",IF(A34="RO 14","BAP",(VLOOKUP(TablaCosechas[[#This Row],[COD]],Tabla7[[CODIGO]:[CERTIFICACION]],3,0))))</f>
        <v>CONVENCIONAL</v>
      </c>
      <c r="P34" s="180">
        <f>+L34-E34</f>
        <v>912.76000000000022</v>
      </c>
      <c r="Q34" s="181">
        <f>+M34-F34</f>
        <v>-0.67999999999999972</v>
      </c>
      <c r="R34" s="9"/>
    </row>
    <row r="35" spans="1:18" x14ac:dyDescent="0.25">
      <c r="A35" s="9" t="s">
        <v>29</v>
      </c>
      <c r="B35" s="9">
        <f>ROW() - ROW(TablaCosechas[[#Headers],[ID]]) - 4</f>
        <v>30</v>
      </c>
      <c r="C35" s="9" t="str">
        <f>LEFT(A35,2)</f>
        <v>CH</v>
      </c>
      <c r="D35" s="182" t="s">
        <v>366</v>
      </c>
      <c r="E35" s="178">
        <v>11600</v>
      </c>
      <c r="F35" s="19">
        <v>36</v>
      </c>
      <c r="G35" s="195">
        <v>45905</v>
      </c>
      <c r="H35" s="9" t="str">
        <f>VLOOKUP(TablaCosechas[[#This Row],[COD]],DATOS!$E$3:$F$27,2,0)</f>
        <v>CHERNA</v>
      </c>
      <c r="I35" s="9" t="str">
        <f>RIGHT(TablaCosechas[[#This Row],[SECTOR/PISCINA]],2)</f>
        <v>25</v>
      </c>
      <c r="J35" s="9" t="str">
        <f>VLOOKUP(TablaCosechas[[#This Row],[COD]],Tabla7[#All],4,0)</f>
        <v>SANTIAGO OBRIEN</v>
      </c>
      <c r="K35" s="179">
        <f>(TablaCosechas[[#This Row],[libras planta]]*454)/M35</f>
        <v>141338.68693693692</v>
      </c>
      <c r="L35" s="174">
        <v>11058.04</v>
      </c>
      <c r="M35" s="19">
        <v>35.520000000000003</v>
      </c>
      <c r="N35" s="9" t="str">
        <f>UPPER(TEXT(TablaCosechas[[#This Row],[COSECHA]],"MMMM"))</f>
        <v>SEPTIEMBRE</v>
      </c>
      <c r="O35" s="9" t="str">
        <f>IF(A35="DO 29","BAP",IF(A35="RO 14","BAP",(VLOOKUP(TablaCosechas[[#This Row],[COD]],Tabla7[[CODIGO]:[CERTIFICACION]],3,0))))</f>
        <v>ASC</v>
      </c>
      <c r="P35" s="180">
        <f>+L35-E35</f>
        <v>-541.95999999999913</v>
      </c>
      <c r="Q35" s="181">
        <f>+M35-F35</f>
        <v>-0.47999999999999687</v>
      </c>
      <c r="R35" s="9"/>
    </row>
    <row r="36" spans="1:18" x14ac:dyDescent="0.25">
      <c r="A36" s="9" t="s">
        <v>289</v>
      </c>
      <c r="B36" s="9">
        <f>ROW() - ROW(TablaCosechas[[#Headers],[ID]]) - 4</f>
        <v>31</v>
      </c>
      <c r="C36" s="9" t="str">
        <f>LEFT(A36,2)</f>
        <v>TI</v>
      </c>
      <c r="D36" s="182" t="s">
        <v>366</v>
      </c>
      <c r="E36" s="178">
        <v>36650</v>
      </c>
      <c r="F36" s="19">
        <v>35</v>
      </c>
      <c r="G36" s="195">
        <v>45906</v>
      </c>
      <c r="H36" s="9" t="str">
        <f>VLOOKUP(TablaCosechas[[#This Row],[COD]],DATOS!$E$3:$F$27,2,0)</f>
        <v>TIBURON</v>
      </c>
      <c r="I36" s="9" t="str">
        <f>RIGHT(TablaCosechas[[#This Row],[SECTOR/PISCINA]],2)</f>
        <v>04</v>
      </c>
      <c r="J36" s="9" t="str">
        <f>VLOOKUP(TablaCosechas[[#This Row],[COD]],Tabla7[#All],4,0)</f>
        <v>ALFONSO GRUNAUER</v>
      </c>
      <c r="K36" s="179">
        <f>(TablaCosechas[[#This Row],[libras planta]]*454)/M36</f>
        <v>491041.36988636357</v>
      </c>
      <c r="L36" s="174">
        <v>38071.93</v>
      </c>
      <c r="M36" s="19">
        <v>35.200000000000003</v>
      </c>
      <c r="N36" s="9" t="str">
        <f>UPPER(TEXT(TablaCosechas[[#This Row],[COSECHA]],"MMMM"))</f>
        <v>SEPTIEMBRE</v>
      </c>
      <c r="O36" s="9" t="str">
        <f>IF(A36="DO 29","BAP",IF(A36="RO 14","BAP",(VLOOKUP(TablaCosechas[[#This Row],[COD]],Tabla7[[CODIGO]:[CERTIFICACION]],3,0))))</f>
        <v>ASC</v>
      </c>
      <c r="P36" s="180">
        <f>+L36-E36</f>
        <v>1421.9300000000003</v>
      </c>
      <c r="Q36" s="181">
        <f>+M36-F36</f>
        <v>0.20000000000000284</v>
      </c>
      <c r="R36" s="9"/>
    </row>
    <row r="37" spans="1:18" x14ac:dyDescent="0.25">
      <c r="A37" s="9" t="s">
        <v>304</v>
      </c>
      <c r="B37" s="9">
        <f>ROW() - ROW(TablaCosechas[[#Headers],[ID]]) - 4</f>
        <v>32</v>
      </c>
      <c r="C37" s="9" t="str">
        <f>LEFT(A37,2)</f>
        <v>PA</v>
      </c>
      <c r="D37" s="182" t="s">
        <v>366</v>
      </c>
      <c r="E37" s="178">
        <v>15700</v>
      </c>
      <c r="F37" s="19">
        <v>34</v>
      </c>
      <c r="G37" s="195">
        <v>45906</v>
      </c>
      <c r="H37" s="9" t="str">
        <f>VLOOKUP(TablaCosechas[[#This Row],[COD]],DATOS!$E$3:$F$27,2,0)</f>
        <v>PAMPANO</v>
      </c>
      <c r="I37" s="9" t="str">
        <f>RIGHT(TablaCosechas[[#This Row],[SECTOR/PISCINA]],2)</f>
        <v>06</v>
      </c>
      <c r="J37" s="9" t="str">
        <f>VLOOKUP(TablaCosechas[[#This Row],[COD]],Tabla7[#All],4,0)</f>
        <v>GUSTAVO CARRASCO</v>
      </c>
      <c r="K37" s="179">
        <f>(TablaCosechas[[#This Row],[libras planta]]*454)/M37</f>
        <v>199830.42469879516</v>
      </c>
      <c r="L37" s="174">
        <v>14613.15</v>
      </c>
      <c r="M37" s="19">
        <v>33.200000000000003</v>
      </c>
      <c r="N37" s="9" t="str">
        <f>UPPER(TEXT(TablaCosechas[[#This Row],[COSECHA]],"MMMM"))</f>
        <v>SEPTIEMBRE</v>
      </c>
      <c r="O37" s="9" t="str">
        <f>IF(A37="DO 29","BAP",IF(A37="RO 14","BAP",(VLOOKUP(TablaCosechas[[#This Row],[COD]],Tabla7[[CODIGO]:[CERTIFICACION]],3,0))))</f>
        <v>ASC</v>
      </c>
      <c r="P37" s="180">
        <f>+L37-E37</f>
        <v>-1086.8500000000004</v>
      </c>
      <c r="Q37" s="181">
        <f>+M37-F37</f>
        <v>-0.79999999999999716</v>
      </c>
      <c r="R37" s="9"/>
    </row>
    <row r="38" spans="1:18" x14ac:dyDescent="0.25">
      <c r="A38" s="9" t="s">
        <v>321</v>
      </c>
      <c r="B38" s="9">
        <f>ROW() - ROW(TablaCosechas[[#Headers],[ID]]) - 4</f>
        <v>33</v>
      </c>
      <c r="C38" s="9" t="str">
        <f>LEFT(A38,2)</f>
        <v>GT</v>
      </c>
      <c r="D38" s="182" t="s">
        <v>367</v>
      </c>
      <c r="E38" s="178">
        <v>4000</v>
      </c>
      <c r="F38" s="19">
        <v>26</v>
      </c>
      <c r="G38" s="195">
        <v>45906</v>
      </c>
      <c r="H38" s="9" t="str">
        <f>VLOOKUP(TablaCosechas[[#This Row],[COD]],DATOS!$E$3:$F$27,2,0)</f>
        <v>GUATO</v>
      </c>
      <c r="I38" s="9" t="str">
        <f>RIGHT(TablaCosechas[[#This Row],[SECTOR/PISCINA]],2)</f>
        <v>02</v>
      </c>
      <c r="J38" s="9" t="str">
        <f>VLOOKUP(TablaCosechas[[#This Row],[COD]],Tabla7[#All],4,0)</f>
        <v>JULIO SANTOS</v>
      </c>
      <c r="K38" s="179">
        <f>(TablaCosechas[[#This Row],[libras planta]]*454)/M38</f>
        <v>71879.813953488381</v>
      </c>
      <c r="L38" s="174">
        <v>4084.8</v>
      </c>
      <c r="M38" s="19">
        <v>25.8</v>
      </c>
      <c r="N38" s="9" t="str">
        <f>UPPER(TEXT(TablaCosechas[[#This Row],[COSECHA]],"MMMM"))</f>
        <v>SEPTIEMBRE</v>
      </c>
      <c r="O38" s="9" t="str">
        <f>IF(A38="DO 29","BAP",IF(A38="RO 14","BAP",(VLOOKUP(TablaCosechas[[#This Row],[COD]],Tabla7[[CODIGO]:[CERTIFICACION]],3,0))))</f>
        <v>CONVENCIONAL</v>
      </c>
      <c r="P38" s="180">
        <f>+L38-E38</f>
        <v>84.800000000000182</v>
      </c>
      <c r="Q38" s="181">
        <f>+M38-F38</f>
        <v>-0.19999999999999929</v>
      </c>
      <c r="R38" s="9"/>
    </row>
    <row r="39" spans="1:18" x14ac:dyDescent="0.25">
      <c r="A39" s="9" t="s">
        <v>331</v>
      </c>
      <c r="B39" s="9">
        <f>ROW() - ROW(TablaCosechas[[#Headers],[ID]]) - 4</f>
        <v>34</v>
      </c>
      <c r="C39" s="9" t="str">
        <f>LEFT(A39,2)</f>
        <v>DO</v>
      </c>
      <c r="D39" s="182" t="s">
        <v>367</v>
      </c>
      <c r="E39" s="178">
        <v>25600</v>
      </c>
      <c r="F39" s="19">
        <v>26</v>
      </c>
      <c r="G39" s="195">
        <v>45906</v>
      </c>
      <c r="H39" s="9" t="str">
        <f>VLOOKUP(TablaCosechas[[#This Row],[COD]],DATOS!$E$3:$F$27,2,0)</f>
        <v>DORADO</v>
      </c>
      <c r="I39" s="9" t="str">
        <f>RIGHT(TablaCosechas[[#This Row],[SECTOR/PISCINA]],2)</f>
        <v>25</v>
      </c>
      <c r="J39" s="9" t="str">
        <f>VLOOKUP(TablaCosechas[[#This Row],[COD]],Tabla7[#All],4,0)</f>
        <v>JOSE CEDEÑO</v>
      </c>
      <c r="K39" s="179">
        <f>(TablaCosechas[[#This Row],[libras planta]]*454)/M39</f>
        <v>412843.62509117427</v>
      </c>
      <c r="L39" s="174">
        <v>24934.3</v>
      </c>
      <c r="M39" s="19">
        <v>27.42</v>
      </c>
      <c r="N39" s="9" t="str">
        <f>UPPER(TEXT(TablaCosechas[[#This Row],[COSECHA]],"MMMM"))</f>
        <v>SEPTIEMBRE</v>
      </c>
      <c r="O39" s="9" t="str">
        <f>IF(A39="DO 29","BAP",IF(A39="RO 14","BAP",(VLOOKUP(TablaCosechas[[#This Row],[COD]],Tabla7[[CODIGO]:[CERTIFICACION]],3,0))))</f>
        <v>ASC</v>
      </c>
      <c r="P39" s="180">
        <f>+L39-E39</f>
        <v>-665.70000000000073</v>
      </c>
      <c r="Q39" s="181">
        <f>+M39-F39</f>
        <v>1.4200000000000017</v>
      </c>
      <c r="R39" s="9"/>
    </row>
    <row r="40" spans="1:18" x14ac:dyDescent="0.25">
      <c r="A40" s="9" t="s">
        <v>323</v>
      </c>
      <c r="B40" s="9">
        <f>ROW() - ROW(TablaCosechas[[#Headers],[ID]]) - 4</f>
        <v>35</v>
      </c>
      <c r="C40" s="9" t="str">
        <f>LEFT(A40,2)</f>
        <v>DO</v>
      </c>
      <c r="D40" s="182" t="s">
        <v>367</v>
      </c>
      <c r="E40" s="178">
        <v>400</v>
      </c>
      <c r="F40" s="19">
        <v>35</v>
      </c>
      <c r="G40" s="195">
        <v>45906</v>
      </c>
      <c r="H40" s="9" t="str">
        <f>VLOOKUP(TablaCosechas[[#This Row],[COD]],DATOS!$E$3:$F$27,2,0)</f>
        <v>DORADO</v>
      </c>
      <c r="I40" s="9" t="str">
        <f>RIGHT(TablaCosechas[[#This Row],[SECTOR/PISCINA]],2)</f>
        <v>22</v>
      </c>
      <c r="J40" s="9" t="str">
        <f>VLOOKUP(TablaCosechas[[#This Row],[COD]],Tabla7[#All],4,0)</f>
        <v>JOSE CEDEÑO</v>
      </c>
      <c r="K40" s="179">
        <f>(TablaCosechas[[#This Row],[libras planta]]*454)/M40</f>
        <v>4396.4466556108346</v>
      </c>
      <c r="L40" s="174">
        <v>350.36</v>
      </c>
      <c r="M40" s="19">
        <v>36.18</v>
      </c>
      <c r="N40" s="9" t="str">
        <f>UPPER(TEXT(TablaCosechas[[#This Row],[COSECHA]],"MMMM"))</f>
        <v>SEPTIEMBRE</v>
      </c>
      <c r="O40" s="9" t="str">
        <f>IF(A40="DO 29","BAP",IF(A40="RO 14","BAP",(VLOOKUP(TablaCosechas[[#This Row],[COD]],Tabla7[[CODIGO]:[CERTIFICACION]],3,0))))</f>
        <v>ASC</v>
      </c>
      <c r="P40" s="180">
        <f>+L40-E40</f>
        <v>-49.639999999999986</v>
      </c>
      <c r="Q40" s="181">
        <f>+M40-F40</f>
        <v>1.1799999999999997</v>
      </c>
      <c r="R40" s="9"/>
    </row>
    <row r="41" spans="1:18" x14ac:dyDescent="0.25">
      <c r="A41" s="9" t="s">
        <v>254</v>
      </c>
      <c r="B41" s="9">
        <f>ROW() - ROW(TablaCosechas[[#Headers],[ID]]) - 4</f>
        <v>36</v>
      </c>
      <c r="C41" s="9" t="str">
        <f>LEFT(A41,2)</f>
        <v>DE</v>
      </c>
      <c r="D41" s="182" t="s">
        <v>367</v>
      </c>
      <c r="E41" s="178">
        <v>10000</v>
      </c>
      <c r="F41" s="19">
        <v>23</v>
      </c>
      <c r="G41" s="195">
        <v>45906</v>
      </c>
      <c r="H41" s="9" t="str">
        <f>VLOOKUP(TablaCosechas[[#This Row],[COD]],DATOS!$E$3:$F$26,2,0)</f>
        <v>DELFIN</v>
      </c>
      <c r="I41" s="9" t="str">
        <f>RIGHT(TablaCosechas[[#This Row],[SECTOR/PISCINA]],2)</f>
        <v>12</v>
      </c>
      <c r="J41" s="9" t="str">
        <f>VLOOKUP(TablaCosechas[[#This Row],[COD]],Tabla7[#All],4,0)</f>
        <v>CARLOS FLORES</v>
      </c>
      <c r="K41" s="179">
        <f>(TablaCosechas[[#This Row],[libras planta]]*454)/M41</f>
        <v>247986.8048076923</v>
      </c>
      <c r="L41" s="174">
        <v>11361.51</v>
      </c>
      <c r="M41" s="19">
        <v>20.8</v>
      </c>
      <c r="N41" s="9" t="str">
        <f>UPPER(TEXT(TablaCosechas[[#This Row],[COSECHA]],"MMMM"))</f>
        <v>SEPTIEMBRE</v>
      </c>
      <c r="O41" s="9" t="str">
        <f>IF(A41="DO 29","BAP",IF(A41="RO 14","BAP",(VLOOKUP(TablaCosechas[[#This Row],[COD]],Tabla7[[CODIGO]:[CERTIFICACION]],3,0))))</f>
        <v>CONVENCIONAL</v>
      </c>
      <c r="P41" s="180">
        <f>+L41-E41</f>
        <v>1361.5100000000002</v>
      </c>
      <c r="Q41" s="181">
        <f>+M41-F41</f>
        <v>-2.1999999999999993</v>
      </c>
      <c r="R41" s="9"/>
    </row>
    <row r="42" spans="1:18" x14ac:dyDescent="0.25">
      <c r="A42" s="9" t="s">
        <v>24</v>
      </c>
      <c r="B42" s="9">
        <f>ROW() - ROW(TablaCosechas[[#Headers],[ID]]) - 4</f>
        <v>37</v>
      </c>
      <c r="C42" s="9" t="str">
        <f>LEFT(A42,2)</f>
        <v>CH</v>
      </c>
      <c r="D42" s="182" t="s">
        <v>367</v>
      </c>
      <c r="E42" s="178">
        <v>12000</v>
      </c>
      <c r="F42" s="19">
        <v>23</v>
      </c>
      <c r="G42" s="195">
        <v>45906</v>
      </c>
      <c r="H42" s="9" t="str">
        <f>VLOOKUP(TablaCosechas[[#This Row],[COD]],DATOS!$E$3:$F$26,2,0)</f>
        <v>CHERNA</v>
      </c>
      <c r="I42" s="9" t="str">
        <f>RIGHT(TablaCosechas[[#This Row],[SECTOR/PISCINA]],2)</f>
        <v>20</v>
      </c>
      <c r="J42" s="9" t="str">
        <f>VLOOKUP(TablaCosechas[[#This Row],[COD]],Tabla7[#All],4,0)</f>
        <v>SANTIAGO OBRIEN</v>
      </c>
      <c r="K42" s="179">
        <f>(TablaCosechas[[#This Row],[libras planta]]*454)/M42</f>
        <v>269620.241950322</v>
      </c>
      <c r="L42" s="174">
        <v>12910.89</v>
      </c>
      <c r="M42" s="19">
        <v>21.74</v>
      </c>
      <c r="N42" s="9" t="str">
        <f>UPPER(TEXT(TablaCosechas[[#This Row],[COSECHA]],"MMMM"))</f>
        <v>SEPTIEMBRE</v>
      </c>
      <c r="O42" s="9" t="str">
        <f>IF(A42="DO 29","BAP",IF(A42="RO 14","BAP",(VLOOKUP(TablaCosechas[[#This Row],[COD]],Tabla7[[CODIGO]:[CERTIFICACION]],3,0))))</f>
        <v>ASC</v>
      </c>
      <c r="P42" s="180">
        <f>+L42-E42</f>
        <v>910.88999999999942</v>
      </c>
      <c r="Q42" s="181">
        <f>+M42-F42</f>
        <v>-1.2600000000000016</v>
      </c>
      <c r="R42" s="9"/>
    </row>
    <row r="43" spans="1:18" x14ac:dyDescent="0.25">
      <c r="A43" s="9" t="s">
        <v>320</v>
      </c>
      <c r="B43" s="9">
        <f>ROW() - ROW(TablaCosechas[[#Headers],[ID]]) - 4</f>
        <v>38</v>
      </c>
      <c r="C43" s="9" t="str">
        <f>LEFT(A43,2)</f>
        <v>CA</v>
      </c>
      <c r="D43" s="182" t="s">
        <v>367</v>
      </c>
      <c r="E43" s="178">
        <v>4000</v>
      </c>
      <c r="F43" s="19">
        <v>25</v>
      </c>
      <c r="G43" s="195">
        <v>45906</v>
      </c>
      <c r="H43" s="9" t="str">
        <f>VLOOKUP(TablaCosechas[[#This Row],[COD]],DATOS!$E$3:$F$27,2,0)</f>
        <v>CATANUDA</v>
      </c>
      <c r="I43" s="9" t="str">
        <f>RIGHT(TablaCosechas[[#This Row],[SECTOR/PISCINA]],2)</f>
        <v>21</v>
      </c>
      <c r="J43" s="9" t="str">
        <f>VLOOKUP(TablaCosechas[[#This Row],[COD]],Tabla7[#All],4,0)</f>
        <v>VICTOR QUINTANA</v>
      </c>
      <c r="K43" s="179">
        <f>(TablaCosechas[[#This Row],[libras planta]]*454)/M43</f>
        <v>69261.211695040707</v>
      </c>
      <c r="L43" s="174">
        <v>4122.1099999999997</v>
      </c>
      <c r="M43" s="19">
        <v>27.02</v>
      </c>
      <c r="N43" s="9" t="str">
        <f>UPPER(TEXT(TablaCosechas[[#This Row],[COSECHA]],"MMMM"))</f>
        <v>SEPTIEMBRE</v>
      </c>
      <c r="O43" s="9" t="str">
        <f>IF(A43="DO 29","BAP",IF(A43="RO 14","BAP",(VLOOKUP(TablaCosechas[[#This Row],[COD]],Tabla7[[CODIGO]:[CERTIFICACION]],3,0))))</f>
        <v>ASC</v>
      </c>
      <c r="P43" s="180">
        <f>+L43-E43</f>
        <v>122.10999999999967</v>
      </c>
      <c r="Q43" s="181">
        <f>+M43-F43</f>
        <v>2.0199999999999996</v>
      </c>
      <c r="R43" s="9"/>
    </row>
    <row r="44" spans="1:18" x14ac:dyDescent="0.25">
      <c r="A44" s="9" t="s">
        <v>295</v>
      </c>
      <c r="B44" s="9">
        <f>ROW() - ROW(TablaCosechas[[#Headers],[ID]]) - 4</f>
        <v>39</v>
      </c>
      <c r="C44" s="9" t="str">
        <f>LEFT(A44,2)</f>
        <v>CA</v>
      </c>
      <c r="D44" s="182" t="s">
        <v>367</v>
      </c>
      <c r="E44" s="178">
        <v>4200</v>
      </c>
      <c r="F44" s="19">
        <v>25</v>
      </c>
      <c r="G44" s="195">
        <v>45906</v>
      </c>
      <c r="H44" s="9" t="str">
        <f>VLOOKUP(TablaCosechas[[#This Row],[COD]],DATOS!$E$3:$F$26,2,0)</f>
        <v>CATANUDA</v>
      </c>
      <c r="I44" s="9" t="str">
        <f>RIGHT(TablaCosechas[[#This Row],[SECTOR/PISCINA]],2)</f>
        <v>14</v>
      </c>
      <c r="J44" s="9" t="str">
        <f>VLOOKUP(TablaCosechas[[#This Row],[COD]],Tabla7[#All],4,0)</f>
        <v>VICTOR QUINTANA</v>
      </c>
      <c r="K44" s="179">
        <f>(TablaCosechas[[#This Row],[libras planta]]*454)/M44</f>
        <v>70130.685938615279</v>
      </c>
      <c r="L44" s="174">
        <v>4328.33</v>
      </c>
      <c r="M44" s="19">
        <v>28.02</v>
      </c>
      <c r="N44" s="9" t="str">
        <f>UPPER(TEXT(TablaCosechas[[#This Row],[COSECHA]],"MMMM"))</f>
        <v>SEPTIEMBRE</v>
      </c>
      <c r="O44" s="9" t="str">
        <f>IF(A44="DO 29","BAP",IF(A44="RO 14","BAP",(VLOOKUP(TablaCosechas[[#This Row],[COD]],Tabla7[[CODIGO]:[CERTIFICACION]],3,0))))</f>
        <v>ASC</v>
      </c>
      <c r="P44" s="180">
        <f>+L44-E44</f>
        <v>128.32999999999993</v>
      </c>
      <c r="Q44" s="181">
        <f>+M44-F44</f>
        <v>3.0199999999999996</v>
      </c>
      <c r="R44" s="9"/>
    </row>
    <row r="45" spans="1:18" x14ac:dyDescent="0.25">
      <c r="A45" s="9" t="s">
        <v>313</v>
      </c>
      <c r="B45" s="9">
        <f>ROW() - ROW(TablaCosechas[[#Headers],[ID]]) - 4</f>
        <v>40</v>
      </c>
      <c r="C45" s="9" t="str">
        <f>LEFT(A45,2)</f>
        <v>TI</v>
      </c>
      <c r="D45" s="182" t="s">
        <v>367</v>
      </c>
      <c r="E45" s="178">
        <v>6300</v>
      </c>
      <c r="F45" s="19">
        <v>27.5</v>
      </c>
      <c r="G45" s="195">
        <v>45907</v>
      </c>
      <c r="H45" s="9" t="str">
        <f>VLOOKUP(TablaCosechas[[#This Row],[COD]],DATOS!$E$3:$F$26,2,0)</f>
        <v>TIBURON</v>
      </c>
      <c r="I45" s="9" t="str">
        <f>RIGHT(TablaCosechas[[#This Row],[SECTOR/PISCINA]],2)</f>
        <v>20</v>
      </c>
      <c r="J45" s="9" t="str">
        <f>VLOOKUP(TablaCosechas[[#This Row],[COD]],Tabla7[#All],4,0)</f>
        <v>ALFONSO GRUNAUER</v>
      </c>
      <c r="K45" s="179">
        <f>(TablaCosechas[[#This Row],[libras planta]]*454)/M45</f>
        <v>98184.071052631582</v>
      </c>
      <c r="L45" s="174">
        <v>6574.44</v>
      </c>
      <c r="M45" s="19">
        <v>30.4</v>
      </c>
      <c r="N45" s="9" t="str">
        <f>UPPER(TEXT(TablaCosechas[[#This Row],[COSECHA]],"MMMM"))</f>
        <v>SEPTIEMBRE</v>
      </c>
      <c r="O45" s="9" t="str">
        <f>IF(A45="DO 29","BAP",IF(A45="RO 14","BAP",(VLOOKUP(TablaCosechas[[#This Row],[COD]],Tabla7[[CODIGO]:[CERTIFICACION]],3,0))))</f>
        <v>ASC</v>
      </c>
      <c r="P45" s="180">
        <f>+L45-E45</f>
        <v>274.4399999999996</v>
      </c>
      <c r="Q45" s="181">
        <f>+M45-F45</f>
        <v>2.8999999999999986</v>
      </c>
      <c r="R45" s="9"/>
    </row>
    <row r="46" spans="1:18" x14ac:dyDescent="0.25">
      <c r="A46" s="9" t="s">
        <v>128</v>
      </c>
      <c r="B46" s="9">
        <f>ROW() - ROW(TablaCosechas[[#Headers],[ID]]) - 4</f>
        <v>41</v>
      </c>
      <c r="C46" s="9" t="str">
        <f>LEFT(A46,2)</f>
        <v>PA</v>
      </c>
      <c r="D46" s="182" t="s">
        <v>367</v>
      </c>
      <c r="E46" s="178">
        <v>8000</v>
      </c>
      <c r="F46" s="19">
        <v>16</v>
      </c>
      <c r="G46" s="195">
        <v>45907</v>
      </c>
      <c r="H46" s="9" t="str">
        <f>VLOOKUP(TablaCosechas[[#This Row],[COD]],DATOS!$E$3:$F$27,2,0)</f>
        <v>PAMPANO</v>
      </c>
      <c r="I46" s="9" t="str">
        <f>RIGHT(TablaCosechas[[#This Row],[SECTOR/PISCINA]],2)</f>
        <v>14</v>
      </c>
      <c r="J46" s="9" t="str">
        <f>VLOOKUP(TablaCosechas[[#This Row],[COD]],Tabla7[#All],4,0)</f>
        <v>GUSTAVO CARRASCO</v>
      </c>
      <c r="K46" s="179">
        <f>(TablaCosechas[[#This Row],[libras planta]]*454)/M46</f>
        <v>216862.12004801919</v>
      </c>
      <c r="L46" s="174">
        <v>7957.98</v>
      </c>
      <c r="M46" s="19">
        <v>16.66</v>
      </c>
      <c r="N46" s="9" t="str">
        <f>UPPER(TEXT(TablaCosechas[[#This Row],[COSECHA]],"MMMM"))</f>
        <v>SEPTIEMBRE</v>
      </c>
      <c r="O46" s="9" t="str">
        <f>IF(A46="DO 29","BAP",IF(A46="RO 14","BAP",(VLOOKUP(TablaCosechas[[#This Row],[COD]],Tabla7[[CODIGO]:[CERTIFICACION]],3,0))))</f>
        <v>ASC</v>
      </c>
      <c r="P46" s="180">
        <f>+L46-E46</f>
        <v>-42.020000000000437</v>
      </c>
      <c r="Q46" s="181">
        <f>+M46-F46</f>
        <v>0.66000000000000014</v>
      </c>
      <c r="R46" s="9"/>
    </row>
    <row r="47" spans="1:18" x14ac:dyDescent="0.25">
      <c r="A47" s="9" t="s">
        <v>170</v>
      </c>
      <c r="B47" s="9">
        <f>ROW() - ROW(TablaCosechas[[#Headers],[ID]]) - 4</f>
        <v>42</v>
      </c>
      <c r="C47" s="9" t="str">
        <f>LEFT(A47,2)</f>
        <v>PA</v>
      </c>
      <c r="D47" s="182" t="s">
        <v>367</v>
      </c>
      <c r="E47" s="178">
        <v>3000</v>
      </c>
      <c r="F47" s="19">
        <v>16</v>
      </c>
      <c r="G47" s="195">
        <v>45907</v>
      </c>
      <c r="H47" s="9" t="str">
        <f>VLOOKUP(TablaCosechas[[#This Row],[COD]],DATOS!$E$3:$F$27,2,0)</f>
        <v>PAMPANO</v>
      </c>
      <c r="I47" s="9" t="str">
        <f>RIGHT(TablaCosechas[[#This Row],[SECTOR/PISCINA]],2)</f>
        <v>08</v>
      </c>
      <c r="J47" s="9" t="str">
        <f>VLOOKUP(TablaCosechas[[#This Row],[COD]],Tabla7[#All],4,0)</f>
        <v>GUSTAVO CARRASCO</v>
      </c>
      <c r="K47" s="179">
        <f>(TablaCosechas[[#This Row],[libras planta]]*454)/M47</f>
        <v>93100.322303921566</v>
      </c>
      <c r="L47" s="174">
        <v>3346.69</v>
      </c>
      <c r="M47" s="19">
        <v>16.32</v>
      </c>
      <c r="N47" s="9" t="str">
        <f>UPPER(TEXT(TablaCosechas[[#This Row],[COSECHA]],"MMMM"))</f>
        <v>SEPTIEMBRE</v>
      </c>
      <c r="O47" s="9" t="str">
        <f>IF(A47="DO 29","BAP",IF(A47="RO 14","BAP",(VLOOKUP(TablaCosechas[[#This Row],[COD]],Tabla7[[CODIGO]:[CERTIFICACION]],3,0))))</f>
        <v>ASC</v>
      </c>
      <c r="P47" s="180">
        <f>+L47-E47</f>
        <v>346.69000000000005</v>
      </c>
      <c r="Q47" s="181">
        <f>+M47-F47</f>
        <v>0.32000000000000028</v>
      </c>
      <c r="R47" s="9"/>
    </row>
    <row r="48" spans="1:18" x14ac:dyDescent="0.25">
      <c r="A48" s="9" t="s">
        <v>329</v>
      </c>
      <c r="B48" s="9">
        <f>ROW() - ROW(TablaCosechas[[#Headers],[ID]]) - 4</f>
        <v>43</v>
      </c>
      <c r="C48" s="9" t="str">
        <f>LEFT(A48,2)</f>
        <v>GT</v>
      </c>
      <c r="D48" s="182" t="s">
        <v>367</v>
      </c>
      <c r="E48" s="178">
        <v>4000</v>
      </c>
      <c r="F48" s="19">
        <v>25</v>
      </c>
      <c r="G48" s="195">
        <v>45907</v>
      </c>
      <c r="H48" s="9" t="str">
        <f>VLOOKUP(TablaCosechas[[#This Row],[COD]],DATOS!$E$3:$F$26,2,0)</f>
        <v>GUATO</v>
      </c>
      <c r="I48" s="9" t="str">
        <f>RIGHT(TablaCosechas[[#This Row],[SECTOR/PISCINA]],2)</f>
        <v>09</v>
      </c>
      <c r="J48" s="9" t="str">
        <f>VLOOKUP(TablaCosechas[[#This Row],[COD]],Tabla7[#All],4,0)</f>
        <v>JULIO SANTOS</v>
      </c>
      <c r="K48" s="179">
        <f>(TablaCosechas[[#This Row],[libras planta]]*454)/M48</f>
        <v>77341.017733230532</v>
      </c>
      <c r="L48" s="174">
        <v>4419</v>
      </c>
      <c r="M48" s="19">
        <v>25.94</v>
      </c>
      <c r="N48" s="9" t="str">
        <f>UPPER(TEXT(TablaCosechas[[#This Row],[COSECHA]],"MMMM"))</f>
        <v>SEPTIEMBRE</v>
      </c>
      <c r="O48" s="9" t="str">
        <f>IF(A48="DO 29","BAP",IF(A48="RO 14","BAP",(VLOOKUP(TablaCosechas[[#This Row],[COD]],Tabla7[[CODIGO]:[CERTIFICACION]],3,0))))</f>
        <v>CONVENCIONAL</v>
      </c>
      <c r="P48" s="180">
        <f>+L48-E48</f>
        <v>419</v>
      </c>
      <c r="Q48" s="181">
        <f>+M48-F48</f>
        <v>0.94000000000000128</v>
      </c>
      <c r="R48" s="9"/>
    </row>
    <row r="49" spans="1:18" x14ac:dyDescent="0.25">
      <c r="A49" s="9" t="s">
        <v>327</v>
      </c>
      <c r="B49" s="9">
        <f>ROW() - ROW(TablaCosechas[[#Headers],[ID]]) - 4</f>
        <v>44</v>
      </c>
      <c r="C49" s="9" t="str">
        <f>LEFT(A49,2)</f>
        <v>GT</v>
      </c>
      <c r="D49" s="182" t="s">
        <v>367</v>
      </c>
      <c r="E49" s="178">
        <v>4000</v>
      </c>
      <c r="F49" s="19">
        <v>25</v>
      </c>
      <c r="G49" s="195">
        <v>45907</v>
      </c>
      <c r="H49" s="9" t="str">
        <f>VLOOKUP(TablaCosechas[[#This Row],[COD]],DATOS!$E$3:$F$27,2,0)</f>
        <v>GUATO</v>
      </c>
      <c r="I49" s="9" t="str">
        <f>RIGHT(TablaCosechas[[#This Row],[SECTOR/PISCINA]],2)</f>
        <v>08</v>
      </c>
      <c r="J49" s="9" t="str">
        <f>VLOOKUP(TablaCosechas[[#This Row],[COD]],Tabla7[#All],4,0)</f>
        <v>JULIO SANTOS</v>
      </c>
      <c r="K49" s="179">
        <f>(TablaCosechas[[#This Row],[libras planta]]*454)/M49</f>
        <v>74306.722826086945</v>
      </c>
      <c r="L49" s="174">
        <v>4216.17</v>
      </c>
      <c r="M49" s="19">
        <v>25.76</v>
      </c>
      <c r="N49" s="9" t="str">
        <f>UPPER(TEXT(TablaCosechas[[#This Row],[COSECHA]],"MMMM"))</f>
        <v>SEPTIEMBRE</v>
      </c>
      <c r="O49" s="9" t="str">
        <f>IF(A49="DO 29","BAP",IF(A49="RO 14","BAP",(VLOOKUP(TablaCosechas[[#This Row],[COD]],Tabla7[[CODIGO]:[CERTIFICACION]],3,0))))</f>
        <v>CONVENCIONAL</v>
      </c>
      <c r="P49" s="180">
        <f>+L49-E49</f>
        <v>216.17000000000007</v>
      </c>
      <c r="Q49" s="181">
        <f>+M49-F49</f>
        <v>0.76000000000000156</v>
      </c>
      <c r="R49" s="9"/>
    </row>
    <row r="50" spans="1:18" x14ac:dyDescent="0.25">
      <c r="A50" s="9" t="s">
        <v>252</v>
      </c>
      <c r="B50" s="9">
        <f>ROW() - ROW(TablaCosechas[[#Headers],[ID]]) - 4</f>
        <v>45</v>
      </c>
      <c r="C50" s="9" t="str">
        <f>LEFT(A50,2)</f>
        <v>DE</v>
      </c>
      <c r="D50" s="182" t="s">
        <v>367</v>
      </c>
      <c r="E50" s="178">
        <v>10100</v>
      </c>
      <c r="F50" s="19">
        <v>24</v>
      </c>
      <c r="G50" s="195">
        <v>45907</v>
      </c>
      <c r="H50" s="9" t="str">
        <f>VLOOKUP(TablaCosechas[[#This Row],[COD]],DATOS!$E$3:$F$26,2,0)</f>
        <v>DELFIN</v>
      </c>
      <c r="I50" s="9" t="str">
        <f>RIGHT(TablaCosechas[[#This Row],[SECTOR/PISCINA]],2)</f>
        <v>13</v>
      </c>
      <c r="J50" s="9" t="str">
        <f>VLOOKUP(TablaCosechas[[#This Row],[COD]],Tabla7[#All],4,0)</f>
        <v>CARLOS FLORES</v>
      </c>
      <c r="K50" s="179">
        <f>(TablaCosechas[[#This Row],[libras planta]]*454)/M50</f>
        <v>213687.34105534106</v>
      </c>
      <c r="L50" s="174">
        <v>10971.48</v>
      </c>
      <c r="M50" s="19">
        <v>23.31</v>
      </c>
      <c r="N50" s="9" t="str">
        <f>UPPER(TEXT(TablaCosechas[[#This Row],[COSECHA]],"MMMM"))</f>
        <v>SEPTIEMBRE</v>
      </c>
      <c r="O50" s="9" t="str">
        <f>IF(A50="DO 29","BAP",IF(A50="RO 14","BAP",(VLOOKUP(TablaCosechas[[#This Row],[COD]],Tabla7[[CODIGO]:[CERTIFICACION]],3,0))))</f>
        <v>CONVENCIONAL</v>
      </c>
      <c r="P50" s="180">
        <f>+L50-E50</f>
        <v>871.47999999999956</v>
      </c>
      <c r="Q50" s="181">
        <f>+M50-F50</f>
        <v>-0.69000000000000128</v>
      </c>
      <c r="R50" s="9"/>
    </row>
    <row r="51" spans="1:18" x14ac:dyDescent="0.25">
      <c r="A51" s="9" t="s">
        <v>13</v>
      </c>
      <c r="B51" s="9">
        <f>ROW() - ROW(TablaCosechas[[#Headers],[ID]]) - 4</f>
        <v>46</v>
      </c>
      <c r="C51" s="9" t="str">
        <f>LEFT(A51,2)</f>
        <v>CH</v>
      </c>
      <c r="D51" s="182" t="s">
        <v>367</v>
      </c>
      <c r="E51" s="178">
        <v>3000</v>
      </c>
      <c r="F51" s="19">
        <v>28</v>
      </c>
      <c r="G51" s="195">
        <v>45907</v>
      </c>
      <c r="H51" s="9" t="str">
        <f>VLOOKUP(TablaCosechas[[#This Row],[COD]],DATOS!$E$3:$F$27,2,0)</f>
        <v>CHERNA</v>
      </c>
      <c r="I51" s="9" t="str">
        <f>RIGHT(TablaCosechas[[#This Row],[SECTOR/PISCINA]],2)</f>
        <v>07</v>
      </c>
      <c r="J51" s="9" t="str">
        <f>VLOOKUP(TablaCosechas[[#This Row],[COD]],Tabla7[#All],4,0)</f>
        <v>SANTIAGO OBRIEN</v>
      </c>
      <c r="K51" s="179">
        <f>(TablaCosechas[[#This Row],[libras planta]]*454)/M51</f>
        <v>49497.166549543217</v>
      </c>
      <c r="L51" s="174">
        <v>3102.84</v>
      </c>
      <c r="M51" s="19">
        <v>28.46</v>
      </c>
      <c r="N51" s="9" t="str">
        <f>UPPER(TEXT(TablaCosechas[[#This Row],[COSECHA]],"MMMM"))</f>
        <v>SEPTIEMBRE</v>
      </c>
      <c r="O51" s="9" t="str">
        <f>IF(A51="DO 29","BAP",IF(A51="RO 14","BAP",(VLOOKUP(TablaCosechas[[#This Row],[COD]],Tabla7[[CODIGO]:[CERTIFICACION]],3,0))))</f>
        <v>ASC</v>
      </c>
      <c r="P51" s="180">
        <f>+L51-E51</f>
        <v>102.84000000000015</v>
      </c>
      <c r="Q51" s="181">
        <f>+M51-F51</f>
        <v>0.46000000000000085</v>
      </c>
      <c r="R51" s="9"/>
    </row>
    <row r="52" spans="1:18" x14ac:dyDescent="0.25">
      <c r="A52" s="9" t="s">
        <v>300</v>
      </c>
      <c r="B52" s="9">
        <f>ROW() - ROW(TablaCosechas[[#Headers],[ID]]) - 4</f>
        <v>47</v>
      </c>
      <c r="C52" s="9" t="str">
        <f>LEFT(A52,2)</f>
        <v>TI</v>
      </c>
      <c r="D52" s="182" t="s">
        <v>366</v>
      </c>
      <c r="E52" s="178">
        <v>61600</v>
      </c>
      <c r="F52" s="19">
        <v>40</v>
      </c>
      <c r="G52" s="195">
        <v>45908</v>
      </c>
      <c r="H52" s="9" t="str">
        <f>VLOOKUP(TablaCosechas[[#This Row],[COD]],DATOS!$E$3:$F$27,2,0)</f>
        <v>TIBURON</v>
      </c>
      <c r="I52" s="9" t="str">
        <f>RIGHT(TablaCosechas[[#This Row],[SECTOR/PISCINA]],2)</f>
        <v>15</v>
      </c>
      <c r="J52" s="9" t="str">
        <f>VLOOKUP(TablaCosechas[[#This Row],[COD]],Tabla7[#All],4,0)</f>
        <v>ALFONSO GRUNAUER</v>
      </c>
      <c r="K52" s="179">
        <f>(TablaCosechas[[#This Row],[libras planta]]*454)/M52</f>
        <v>659152.74965229491</v>
      </c>
      <c r="L52" s="174">
        <v>62634.03</v>
      </c>
      <c r="M52" s="19">
        <v>43.14</v>
      </c>
      <c r="N52" s="9" t="str">
        <f>UPPER(TEXT(TablaCosechas[[#This Row],[COSECHA]],"MMMM"))</f>
        <v>SEPTIEMBRE</v>
      </c>
      <c r="O52" s="9" t="str">
        <f>IF(A52="DO 29","BAP",IF(A52="RO 14","BAP",(VLOOKUP(TablaCosechas[[#This Row],[COD]],Tabla7[[CODIGO]:[CERTIFICACION]],3,0))))</f>
        <v>ASC</v>
      </c>
      <c r="P52" s="180">
        <f>+L52-E52</f>
        <v>1034.0299999999988</v>
      </c>
      <c r="Q52" s="181">
        <f>+M52-F52</f>
        <v>3.1400000000000006</v>
      </c>
      <c r="R52" s="9"/>
    </row>
    <row r="53" spans="1:18" x14ac:dyDescent="0.25">
      <c r="A53" s="9" t="s">
        <v>164</v>
      </c>
      <c r="B53" s="9">
        <f>ROW() - ROW(TablaCosechas[[#Headers],[ID]]) - 4</f>
        <v>48</v>
      </c>
      <c r="C53" s="9" t="str">
        <f>LEFT(A53,2)</f>
        <v>PA</v>
      </c>
      <c r="D53" s="182" t="s">
        <v>367</v>
      </c>
      <c r="E53" s="178">
        <v>4200</v>
      </c>
      <c r="F53" s="19">
        <v>18</v>
      </c>
      <c r="G53" s="195">
        <v>45908</v>
      </c>
      <c r="H53" s="9" t="str">
        <f>VLOOKUP(TablaCosechas[[#This Row],[COD]],DATOS!$E$3:$F$26,2,0)</f>
        <v>PAMPANO</v>
      </c>
      <c r="I53" s="9" t="str">
        <f>RIGHT(TablaCosechas[[#This Row],[SECTOR/PISCINA]],2)</f>
        <v>11</v>
      </c>
      <c r="J53" s="9" t="str">
        <f>VLOOKUP(TablaCosechas[[#This Row],[COD]],Tabla7[#All],4,0)</f>
        <v>GUSTAVO CARRASCO</v>
      </c>
      <c r="K53" s="179">
        <f>(TablaCosechas[[#This Row],[libras planta]]*454)/M53</f>
        <v>107440.59670329672</v>
      </c>
      <c r="L53" s="174">
        <v>4307.09</v>
      </c>
      <c r="M53" s="19">
        <v>18.2</v>
      </c>
      <c r="N53" s="9" t="str">
        <f>UPPER(TEXT(TablaCosechas[[#This Row],[COSECHA]],"MMMM"))</f>
        <v>SEPTIEMBRE</v>
      </c>
      <c r="O53" s="9" t="str">
        <f>IF(A53="DO 29","BAP",IF(A53="RO 14","BAP",(VLOOKUP(TablaCosechas[[#This Row],[COD]],Tabla7[[CODIGO]:[CERTIFICACION]],3,0))))</f>
        <v>ASC</v>
      </c>
      <c r="P53" s="180">
        <f>+L53-E53</f>
        <v>107.09000000000015</v>
      </c>
      <c r="Q53" s="181">
        <f>+M53-F53</f>
        <v>0.19999999999999929</v>
      </c>
      <c r="R53" s="9"/>
    </row>
    <row r="54" spans="1:18" x14ac:dyDescent="0.25">
      <c r="A54" s="9" t="s">
        <v>167</v>
      </c>
      <c r="B54" s="9">
        <f>ROW() - ROW(TablaCosechas[[#Headers],[ID]]) - 4</f>
        <v>49</v>
      </c>
      <c r="C54" s="9" t="str">
        <f>LEFT(A54,2)</f>
        <v>PA</v>
      </c>
      <c r="D54" s="182" t="s">
        <v>367</v>
      </c>
      <c r="E54" s="178">
        <v>1850</v>
      </c>
      <c r="F54" s="19">
        <v>17</v>
      </c>
      <c r="G54" s="195">
        <v>45908</v>
      </c>
      <c r="H54" s="9" t="str">
        <f>VLOOKUP(TablaCosechas[[#This Row],[COD]],DATOS!$E$3:$F$26,2,0)</f>
        <v>PAMPANO</v>
      </c>
      <c r="I54" s="9" t="str">
        <f>RIGHT(TablaCosechas[[#This Row],[SECTOR/PISCINA]],2)</f>
        <v>10</v>
      </c>
      <c r="J54" s="9" t="str">
        <f>VLOOKUP(TablaCosechas[[#This Row],[COD]],Tabla7[#All],4,0)</f>
        <v>GUSTAVO CARRASCO</v>
      </c>
      <c r="K54" s="179">
        <f>(TablaCosechas[[#This Row],[libras planta]]*454)/M54</f>
        <v>43266.532426778249</v>
      </c>
      <c r="L54" s="174">
        <v>1822.15</v>
      </c>
      <c r="M54" s="19">
        <v>19.12</v>
      </c>
      <c r="N54" s="9" t="str">
        <f>UPPER(TEXT(TablaCosechas[[#This Row],[COSECHA]],"MMMM"))</f>
        <v>SEPTIEMBRE</v>
      </c>
      <c r="O54" s="9" t="str">
        <f>IF(A54="DO 29","BAP",IF(A54="RO 14","BAP",(VLOOKUP(TablaCosechas[[#This Row],[COD]],Tabla7[[CODIGO]:[CERTIFICACION]],3,0))))</f>
        <v>ASC</v>
      </c>
      <c r="P54" s="180">
        <f>+L54-E54</f>
        <v>-27.849999999999909</v>
      </c>
      <c r="Q54" s="181">
        <f>+M54-F54</f>
        <v>2.120000000000001</v>
      </c>
      <c r="R54" s="9"/>
    </row>
    <row r="55" spans="1:18" x14ac:dyDescent="0.25">
      <c r="A55" s="9" t="s">
        <v>140</v>
      </c>
      <c r="B55" s="9">
        <f>ROW() - ROW(TablaCosechas[[#Headers],[ID]]) - 4</f>
        <v>50</v>
      </c>
      <c r="C55" s="9" t="str">
        <f>LEFT(A55,2)</f>
        <v>GT</v>
      </c>
      <c r="D55" s="182" t="s">
        <v>367</v>
      </c>
      <c r="E55" s="178">
        <v>4800</v>
      </c>
      <c r="F55" s="19">
        <v>19</v>
      </c>
      <c r="G55" s="195">
        <v>45908</v>
      </c>
      <c r="H55" s="9" t="str">
        <f>VLOOKUP(TablaCosechas[[#This Row],[COD]],DATOS!$E$3:$F$26,2,0)</f>
        <v>GUATO</v>
      </c>
      <c r="I55" s="9" t="str">
        <f>RIGHT(TablaCosechas[[#This Row],[SECTOR/PISCINA]],2)</f>
        <v>18</v>
      </c>
      <c r="J55" s="9" t="str">
        <f>VLOOKUP(TablaCosechas[[#This Row],[COD]],Tabla7[#All],4,0)</f>
        <v>JULIO SANTOS</v>
      </c>
      <c r="K55" s="179">
        <f>(TablaCosechas[[#This Row],[libras planta]]*454)/M55</f>
        <v>127069.01467268623</v>
      </c>
      <c r="L55" s="174">
        <v>4959.6099999999997</v>
      </c>
      <c r="M55" s="19">
        <v>17.72</v>
      </c>
      <c r="N55" s="9" t="str">
        <f>UPPER(TEXT(TablaCosechas[[#This Row],[COSECHA]],"MMMM"))</f>
        <v>SEPTIEMBRE</v>
      </c>
      <c r="O55" s="9" t="str">
        <f>IF(A55="DO 29","BAP",IF(A55="RO 14","BAP",(VLOOKUP(TablaCosechas[[#This Row],[COD]],Tabla7[[CODIGO]:[CERTIFICACION]],3,0))))</f>
        <v>CONVENCIONAL</v>
      </c>
      <c r="P55" s="180">
        <f>+L55-E55</f>
        <v>159.60999999999967</v>
      </c>
      <c r="Q55" s="181">
        <f>+M55-F55</f>
        <v>-1.2800000000000011</v>
      </c>
      <c r="R55" s="9"/>
    </row>
    <row r="56" spans="1:18" x14ac:dyDescent="0.25">
      <c r="A56" s="9" t="s">
        <v>307</v>
      </c>
      <c r="B56" s="9">
        <f>ROW() - ROW(TablaCosechas[[#Headers],[ID]]) - 4</f>
        <v>51</v>
      </c>
      <c r="C56" s="9" t="str">
        <f>LEFT(A56,2)</f>
        <v>DO</v>
      </c>
      <c r="D56" s="182" t="s">
        <v>366</v>
      </c>
      <c r="E56" s="178">
        <f>62300+5000</f>
        <v>67300</v>
      </c>
      <c r="F56" s="19">
        <v>33</v>
      </c>
      <c r="G56" s="195">
        <v>45908</v>
      </c>
      <c r="H56" s="9" t="str">
        <f>VLOOKUP(TablaCosechas[[#This Row],[COD]],DATOS!$E$3:$F$27,2,0)</f>
        <v>DORADO</v>
      </c>
      <c r="I56" s="9" t="str">
        <f>RIGHT(TablaCosechas[[#This Row],[SECTOR/PISCINA]],2)</f>
        <v>24</v>
      </c>
      <c r="J56" s="9" t="str">
        <f>VLOOKUP(TablaCosechas[[#This Row],[COD]],Tabla7[#All],4,0)</f>
        <v>JOSE CEDEÑO</v>
      </c>
      <c r="K56" s="179">
        <f>(TablaCosechas[[#This Row],[libras planta]]*454)/M56</f>
        <v>972433.3414116936</v>
      </c>
      <c r="L56" s="174">
        <f>65598.24+5106.66</f>
        <v>70704.900000000009</v>
      </c>
      <c r="M56" s="19">
        <v>33.01</v>
      </c>
      <c r="N56" s="9" t="str">
        <f>UPPER(TEXT(TablaCosechas[[#This Row],[COSECHA]],"MMMM"))</f>
        <v>SEPTIEMBRE</v>
      </c>
      <c r="O56" s="9" t="str">
        <f>IF(A56="DO 29","BAP",IF(A56="RO 14","BAP",(VLOOKUP(TablaCosechas[[#This Row],[COD]],Tabla7[[CODIGO]:[CERTIFICACION]],3,0))))</f>
        <v>ASC</v>
      </c>
      <c r="P56" s="180">
        <f>+L56-E56</f>
        <v>3404.9000000000087</v>
      </c>
      <c r="Q56" s="181">
        <f>+M56-F56</f>
        <v>9.9999999999980105E-3</v>
      </c>
      <c r="R56" s="9"/>
    </row>
    <row r="57" spans="1:18" x14ac:dyDescent="0.25">
      <c r="A57" s="9" t="s">
        <v>130</v>
      </c>
      <c r="B57" s="9">
        <f>ROW() - ROW(TablaCosechas[[#Headers],[ID]]) - 4</f>
        <v>52</v>
      </c>
      <c r="C57" s="9" t="str">
        <f>LEFT(A57,2)</f>
        <v>DE</v>
      </c>
      <c r="D57" s="182" t="s">
        <v>367</v>
      </c>
      <c r="E57" s="178">
        <v>16400</v>
      </c>
      <c r="F57" s="19">
        <v>22</v>
      </c>
      <c r="G57" s="195">
        <v>45908</v>
      </c>
      <c r="H57" s="9" t="str">
        <f>VLOOKUP(TablaCosechas[[#This Row],[COD]],DATOS!$E$3:$F$26,2,0)</f>
        <v>DELFIN</v>
      </c>
      <c r="I57" s="9" t="str">
        <f>RIGHT(TablaCosechas[[#This Row],[SECTOR/PISCINA]],2)</f>
        <v>27</v>
      </c>
      <c r="J57" s="9" t="str">
        <f>VLOOKUP(TablaCosechas[[#This Row],[COD]],Tabla7[#All],4,0)</f>
        <v>CARLOS FLORES</v>
      </c>
      <c r="K57" s="179">
        <f>(TablaCosechas[[#This Row],[libras planta]]*454)/M57</f>
        <v>337466.67044463818</v>
      </c>
      <c r="L57" s="174">
        <v>17051.73</v>
      </c>
      <c r="M57" s="19">
        <v>22.94</v>
      </c>
      <c r="N57" s="9" t="str">
        <f>UPPER(TEXT(TablaCosechas[[#This Row],[COSECHA]],"MMMM"))</f>
        <v>SEPTIEMBRE</v>
      </c>
      <c r="O57" s="9" t="str">
        <f>IF(A57="DO 29","BAP",IF(A57="RO 14","BAP",(VLOOKUP(TablaCosechas[[#This Row],[COD]],Tabla7[[CODIGO]:[CERTIFICACION]],3,0))))</f>
        <v>CONVENCIONAL</v>
      </c>
      <c r="P57" s="180">
        <f>+L57-E57</f>
        <v>651.72999999999956</v>
      </c>
      <c r="Q57" s="181">
        <f>+M57-F57</f>
        <v>0.94000000000000128</v>
      </c>
      <c r="R57" s="9"/>
    </row>
    <row r="58" spans="1:18" x14ac:dyDescent="0.25">
      <c r="A58" s="9" t="s">
        <v>156</v>
      </c>
      <c r="B58" s="9">
        <f>ROW() - ROW(TablaCosechas[[#Headers],[ID]]) - 4</f>
        <v>53</v>
      </c>
      <c r="C58" s="9" t="str">
        <f>LEFT(A58,2)</f>
        <v>TI</v>
      </c>
      <c r="D58" s="182" t="s">
        <v>367</v>
      </c>
      <c r="E58" s="178">
        <v>11250</v>
      </c>
      <c r="F58" s="19">
        <v>21</v>
      </c>
      <c r="G58" s="195">
        <v>45909</v>
      </c>
      <c r="H58" s="9" t="str">
        <f>VLOOKUP(TablaCosechas[[#This Row],[COD]],DATOS!$E$3:$F$27,2,0)</f>
        <v>TIBURON</v>
      </c>
      <c r="I58" s="9" t="str">
        <f>RIGHT(TablaCosechas[[#This Row],[SECTOR/PISCINA]],2)</f>
        <v>11</v>
      </c>
      <c r="J58" s="9" t="str">
        <f>VLOOKUP(TablaCosechas[[#This Row],[COD]],Tabla7[#All],4,0)</f>
        <v>ALFONSO GRUNAUER</v>
      </c>
      <c r="K58" s="179">
        <f>(TablaCosechas[[#This Row],[libras planta]]*454)/M58</f>
        <v>244670.7172284644</v>
      </c>
      <c r="L58" s="174">
        <v>11511.38</v>
      </c>
      <c r="M58" s="19">
        <v>21.36</v>
      </c>
      <c r="N58" s="9" t="str">
        <f>UPPER(TEXT(TablaCosechas[[#This Row],[COSECHA]],"MMMM"))</f>
        <v>SEPTIEMBRE</v>
      </c>
      <c r="O58" s="9" t="str">
        <f>IF(A58="DO 29","BAP",IF(A58="RO 14","BAP",(VLOOKUP(TablaCosechas[[#This Row],[COD]],Tabla7[[CODIGO]:[CERTIFICACION]],3,0))))</f>
        <v>ASC</v>
      </c>
      <c r="P58" s="180">
        <f>+L58-E58</f>
        <v>261.3799999999992</v>
      </c>
      <c r="Q58" s="181">
        <f>+M58-F58</f>
        <v>0.35999999999999943</v>
      </c>
      <c r="R58" s="9"/>
    </row>
    <row r="59" spans="1:18" x14ac:dyDescent="0.25">
      <c r="A59" s="9" t="s">
        <v>332</v>
      </c>
      <c r="B59" s="9">
        <f>ROW() - ROW(TablaCosechas[[#Headers],[ID]]) - 4</f>
        <v>54</v>
      </c>
      <c r="C59" s="9" t="str">
        <f>LEFT(A59,2)</f>
        <v>PA</v>
      </c>
      <c r="D59" s="182" t="s">
        <v>366</v>
      </c>
      <c r="E59" s="178">
        <f>36800+5500</f>
        <v>42300</v>
      </c>
      <c r="F59" s="19">
        <v>31</v>
      </c>
      <c r="G59" s="195">
        <v>45909</v>
      </c>
      <c r="H59" s="9" t="str">
        <f>VLOOKUP(TablaCosechas[[#This Row],[COD]],DATOS!$E$3:$F$27,2,0)</f>
        <v>PAMPANO</v>
      </c>
      <c r="I59" s="9" t="str">
        <f>RIGHT(TablaCosechas[[#This Row],[SECTOR/PISCINA]],2)</f>
        <v>12</v>
      </c>
      <c r="J59" s="9" t="str">
        <f>VLOOKUP(TablaCosechas[[#This Row],[COD]],Tabla7[#All],4,0)</f>
        <v>GUSTAVO CARRASCO</v>
      </c>
      <c r="K59" s="179">
        <f>(TablaCosechas[[#This Row],[libras planta]]*454)/M59</f>
        <v>642104.18055555562</v>
      </c>
      <c r="L59" s="174">
        <f>39368.1+5437.76</f>
        <v>44805.86</v>
      </c>
      <c r="M59" s="19">
        <v>31.68</v>
      </c>
      <c r="N59" s="9" t="str">
        <f>UPPER(TEXT(TablaCosechas[[#This Row],[COSECHA]],"MMMM"))</f>
        <v>SEPTIEMBRE</v>
      </c>
      <c r="O59" s="9" t="str">
        <f>IF(A59="DO 29","BAP",IF(A59="RO 14","BAP",(VLOOKUP(TablaCosechas[[#This Row],[COD]],Tabla7[[CODIGO]:[CERTIFICACION]],3,0))))</f>
        <v>ASC</v>
      </c>
      <c r="P59" s="180">
        <f>+L59-E59</f>
        <v>2505.8600000000006</v>
      </c>
      <c r="Q59" s="181">
        <f>+M59-F59</f>
        <v>0.67999999999999972</v>
      </c>
      <c r="R59" s="9"/>
    </row>
    <row r="60" spans="1:18" x14ac:dyDescent="0.25">
      <c r="A60" s="9" t="s">
        <v>138</v>
      </c>
      <c r="B60" s="9">
        <f>ROW() - ROW(TablaCosechas[[#Headers],[ID]]) - 4</f>
        <v>55</v>
      </c>
      <c r="C60" s="9" t="str">
        <f>LEFT(A60,2)</f>
        <v>GT</v>
      </c>
      <c r="D60" s="182" t="s">
        <v>367</v>
      </c>
      <c r="E60" s="178">
        <v>6800</v>
      </c>
      <c r="F60" s="19">
        <v>19</v>
      </c>
      <c r="G60" s="195">
        <v>45909</v>
      </c>
      <c r="H60" s="9" t="str">
        <f>VLOOKUP(TablaCosechas[[#This Row],[COD]],DATOS!$E$3:$F$27,2,0)</f>
        <v>GUATO</v>
      </c>
      <c r="I60" s="9" t="str">
        <f>RIGHT(TablaCosechas[[#This Row],[SECTOR/PISCINA]],2)</f>
        <v>04</v>
      </c>
      <c r="J60" s="9" t="str">
        <f>VLOOKUP(TablaCosechas[[#This Row],[COD]],Tabla7[#All],4,0)</f>
        <v>JULIO SANTOS</v>
      </c>
      <c r="K60" s="179">
        <f>(TablaCosechas[[#This Row],[libras planta]]*454)/M60</f>
        <v>182490.82162162164</v>
      </c>
      <c r="L60" s="174">
        <v>7436.3</v>
      </c>
      <c r="M60" s="19">
        <v>18.5</v>
      </c>
      <c r="N60" s="9" t="str">
        <f>UPPER(TEXT(TablaCosechas[[#This Row],[COSECHA]],"MMMM"))</f>
        <v>SEPTIEMBRE</v>
      </c>
      <c r="O60" s="9" t="str">
        <f>IF(A60="DO 29","BAP",IF(A60="RO 14","BAP",(VLOOKUP(TablaCosechas[[#This Row],[COD]],Tabla7[[CODIGO]:[CERTIFICACION]],3,0))))</f>
        <v>CONVENCIONAL</v>
      </c>
      <c r="P60" s="180">
        <f>+L60-E60</f>
        <v>636.30000000000018</v>
      </c>
      <c r="Q60" s="181">
        <f>+M60-F60</f>
        <v>-0.5</v>
      </c>
      <c r="R60" s="9"/>
    </row>
    <row r="61" spans="1:18" x14ac:dyDescent="0.25">
      <c r="A61" s="9" t="s">
        <v>270</v>
      </c>
      <c r="B61" s="9">
        <f>ROW() - ROW(TablaCosechas[[#Headers],[ID]]) - 4</f>
        <v>56</v>
      </c>
      <c r="C61" s="9" t="str">
        <f>LEFT(A61,2)</f>
        <v>DO</v>
      </c>
      <c r="D61" s="182" t="s">
        <v>367</v>
      </c>
      <c r="E61" s="178">
        <v>10000</v>
      </c>
      <c r="F61" s="19">
        <v>26</v>
      </c>
      <c r="G61" s="195">
        <v>45909</v>
      </c>
      <c r="H61" s="9" t="str">
        <f>VLOOKUP(TablaCosechas[[#This Row],[COD]],DATOS!$E$3:$F$27,2,0)</f>
        <v>DORADO</v>
      </c>
      <c r="I61" s="9" t="str">
        <f>RIGHT(TablaCosechas[[#This Row],[SECTOR/PISCINA]],2)</f>
        <v>01</v>
      </c>
      <c r="J61" s="9" t="str">
        <f>VLOOKUP(TablaCosechas[[#This Row],[COD]],Tabla7[#All],4,0)</f>
        <v>JOSE CEDEÑO</v>
      </c>
      <c r="K61" s="179">
        <f>(TablaCosechas[[#This Row],[libras planta]]*454)/M61</f>
        <v>172296.39312406577</v>
      </c>
      <c r="L61" s="174">
        <v>10155.620000000001</v>
      </c>
      <c r="M61" s="19">
        <v>26.76</v>
      </c>
      <c r="N61" s="9" t="str">
        <f>UPPER(TEXT(TablaCosechas[[#This Row],[COSECHA]],"MMMM"))</f>
        <v>SEPTIEMBRE</v>
      </c>
      <c r="O61" s="9" t="str">
        <f>IF(A61="DO 29","BAP",IF(A61="RO 14","BAP",(VLOOKUP(TablaCosechas[[#This Row],[COD]],Tabla7[[CODIGO]:[CERTIFICACION]],3,0))))</f>
        <v>ASC</v>
      </c>
      <c r="P61" s="180">
        <f>+L61-E61</f>
        <v>155.6200000000008</v>
      </c>
      <c r="Q61" s="181">
        <f>+M61-F61</f>
        <v>0.76000000000000156</v>
      </c>
      <c r="R61" s="9"/>
    </row>
    <row r="62" spans="1:18" x14ac:dyDescent="0.25">
      <c r="A62" s="9" t="s">
        <v>296</v>
      </c>
      <c r="B62" s="9">
        <f>ROW() - ROW(TablaCosechas[[#Headers],[ID]]) - 4</f>
        <v>57</v>
      </c>
      <c r="C62" s="9" t="str">
        <f>LEFT(A62,2)</f>
        <v>DE</v>
      </c>
      <c r="D62" s="182" t="s">
        <v>366</v>
      </c>
      <c r="E62" s="178">
        <v>33200</v>
      </c>
      <c r="F62" s="19">
        <v>32</v>
      </c>
      <c r="G62" s="195">
        <v>45909</v>
      </c>
      <c r="H62" s="9" t="str">
        <f>VLOOKUP(TablaCosechas[[#This Row],[COD]],DATOS!$E$3:$F$27,2,0)</f>
        <v>DELFIN</v>
      </c>
      <c r="I62" s="9" t="str">
        <f>RIGHT(TablaCosechas[[#This Row],[SECTOR/PISCINA]],2)</f>
        <v>01</v>
      </c>
      <c r="J62" s="9" t="str">
        <f>VLOOKUP(TablaCosechas[[#This Row],[COD]],Tabla7[#All],4,0)</f>
        <v>CARLOS FLORES</v>
      </c>
      <c r="K62" s="179">
        <f>(TablaCosechas[[#This Row],[libras planta]]*454)/M62</f>
        <v>478314.12704402511</v>
      </c>
      <c r="L62" s="174">
        <v>33503.06</v>
      </c>
      <c r="M62" s="19">
        <v>31.8</v>
      </c>
      <c r="N62" s="9" t="str">
        <f>UPPER(TEXT(TablaCosechas[[#This Row],[COSECHA]],"MMMM"))</f>
        <v>SEPTIEMBRE</v>
      </c>
      <c r="O62" s="9" t="str">
        <f>IF(A62="DO 29","BAP",IF(A62="RO 14","BAP",(VLOOKUP(TablaCosechas[[#This Row],[COD]],Tabla7[[CODIGO]:[CERTIFICACION]],3,0))))</f>
        <v>CONVENCIONAL</v>
      </c>
      <c r="P62" s="180">
        <f>+L62-E62</f>
        <v>303.05999999999767</v>
      </c>
      <c r="Q62" s="181">
        <f>+M62-F62</f>
        <v>-0.19999999999999929</v>
      </c>
      <c r="R62" s="9"/>
    </row>
    <row r="63" spans="1:18" x14ac:dyDescent="0.25">
      <c r="A63" s="9" t="s">
        <v>16</v>
      </c>
      <c r="B63" s="9">
        <f>ROW() - ROW(TablaCosechas[[#Headers],[ID]]) - 4</f>
        <v>58</v>
      </c>
      <c r="C63" s="9" t="str">
        <f>LEFT(A63,2)</f>
        <v>CH</v>
      </c>
      <c r="D63" s="182" t="s">
        <v>367</v>
      </c>
      <c r="E63" s="178">
        <v>8800</v>
      </c>
      <c r="F63" s="19">
        <v>26</v>
      </c>
      <c r="G63" s="195">
        <v>45909</v>
      </c>
      <c r="H63" s="9" t="str">
        <f>VLOOKUP(TablaCosechas[[#This Row],[COD]],DATOS!$E$3:$F$27,2,0)</f>
        <v>CHERNA</v>
      </c>
      <c r="I63" s="9" t="str">
        <f>RIGHT(TablaCosechas[[#This Row],[SECTOR/PISCINA]],2)</f>
        <v>10</v>
      </c>
      <c r="J63" s="9" t="str">
        <f>VLOOKUP(TablaCosechas[[#This Row],[COD]],Tabla7[#All],4,0)</f>
        <v>SANTIAGO OBRIEN</v>
      </c>
      <c r="K63" s="179">
        <f>(TablaCosechas[[#This Row],[libras planta]]*454)/M63</f>
        <v>172321.93327630454</v>
      </c>
      <c r="L63" s="174">
        <v>8874.2000000000007</v>
      </c>
      <c r="M63" s="19">
        <v>23.38</v>
      </c>
      <c r="N63" s="9" t="str">
        <f>UPPER(TEXT(TablaCosechas[[#This Row],[COSECHA]],"MMMM"))</f>
        <v>SEPTIEMBRE</v>
      </c>
      <c r="O63" s="9" t="str">
        <f>IF(A63="DO 29","BAP",IF(A63="RO 14","BAP",(VLOOKUP(TablaCosechas[[#This Row],[COD]],Tabla7[[CODIGO]:[CERTIFICACION]],3,0))))</f>
        <v>ASC</v>
      </c>
      <c r="P63" s="180">
        <f>+L63-E63</f>
        <v>74.200000000000728</v>
      </c>
      <c r="Q63" s="181">
        <f>+M63-F63</f>
        <v>-2.620000000000001</v>
      </c>
      <c r="R63" s="9"/>
    </row>
    <row r="64" spans="1:18" x14ac:dyDescent="0.25">
      <c r="A64" s="9" t="s">
        <v>315</v>
      </c>
      <c r="B64" s="9">
        <f>ROW() - ROW(TablaCosechas[[#Headers],[ID]]) - 4</f>
        <v>59</v>
      </c>
      <c r="C64" s="9" t="str">
        <f>LEFT(A64,2)</f>
        <v>TI</v>
      </c>
      <c r="D64" s="182" t="s">
        <v>366</v>
      </c>
      <c r="E64" s="178">
        <v>66850</v>
      </c>
      <c r="F64" s="19">
        <v>32.5</v>
      </c>
      <c r="G64" s="195">
        <v>45910</v>
      </c>
      <c r="H64" s="9" t="str">
        <f>VLOOKUP(TablaCosechas[[#This Row],[COD]],DATOS!$E$3:$F$27,2,0)</f>
        <v>TIBURON</v>
      </c>
      <c r="I64" s="9" t="str">
        <f>RIGHT(TablaCosechas[[#This Row],[SECTOR/PISCINA]],2)</f>
        <v>05</v>
      </c>
      <c r="J64" s="9" t="str">
        <f>VLOOKUP(TablaCosechas[[#This Row],[COD]],Tabla7[#All],4,0)</f>
        <v>ALFONSO GRUNAUER</v>
      </c>
      <c r="K64" s="179">
        <f>(TablaCosechas[[#This Row],[libras planta]]*454)/M64</f>
        <v>1015507.6056158264</v>
      </c>
      <c r="L64" s="174">
        <v>70101.34</v>
      </c>
      <c r="M64" s="19">
        <v>31.34</v>
      </c>
      <c r="N64" s="9" t="str">
        <f>UPPER(TEXT(TablaCosechas[[#This Row],[COSECHA]],"MMMM"))</f>
        <v>SEPTIEMBRE</v>
      </c>
      <c r="O64" s="9" t="str">
        <f>IF(A64="DO 29","BAP",IF(A64="RO 14","BAP",(VLOOKUP(TablaCosechas[[#This Row],[COD]],Tabla7[[CODIGO]:[CERTIFICACION]],3,0))))</f>
        <v>ASC</v>
      </c>
      <c r="P64" s="180">
        <f>+L64-E64</f>
        <v>3251.3399999999965</v>
      </c>
      <c r="Q64" s="181">
        <f>+M64-F64</f>
        <v>-1.1600000000000001</v>
      </c>
      <c r="R64" s="9"/>
    </row>
    <row r="65" spans="1:18" x14ac:dyDescent="0.25">
      <c r="A65" s="9" t="s">
        <v>294</v>
      </c>
      <c r="B65" s="9">
        <f>ROW() - ROW(TablaCosechas[[#Headers],[ID]]) - 4</f>
        <v>60</v>
      </c>
      <c r="C65" s="9" t="str">
        <f>LEFT(A65,2)</f>
        <v>RO</v>
      </c>
      <c r="D65" s="182" t="s">
        <v>366</v>
      </c>
      <c r="E65" s="178">
        <v>55800</v>
      </c>
      <c r="F65" s="19">
        <v>29</v>
      </c>
      <c r="G65" s="195">
        <v>45910</v>
      </c>
      <c r="H65" s="9" t="str">
        <f>VLOOKUP(TablaCosechas[[#This Row],[COD]],DATOS!$E$3:$F$27,2,0)</f>
        <v>ROBALO</v>
      </c>
      <c r="I65" s="9" t="str">
        <f>RIGHT(TablaCosechas[[#This Row],[SECTOR/PISCINA]],2)</f>
        <v>15</v>
      </c>
      <c r="J65" s="9" t="str">
        <f>VLOOKUP(TablaCosechas[[#This Row],[COD]],Tabla7[#All],4,0)</f>
        <v>VICTOR QUINTANA</v>
      </c>
      <c r="K65" s="179">
        <f>(TablaCosechas[[#This Row],[libras planta]]*454)/M65</f>
        <v>919369.85468319559</v>
      </c>
      <c r="L65" s="174">
        <v>58807.27</v>
      </c>
      <c r="M65" s="19">
        <v>29.04</v>
      </c>
      <c r="N65" s="9" t="str">
        <f>UPPER(TEXT(TablaCosechas[[#This Row],[COSECHA]],"MMMM"))</f>
        <v>SEPTIEMBRE</v>
      </c>
      <c r="O65" s="9" t="str">
        <f>IF(A65="DO 29","BAP",IF(A65="RO 14","BAP",(VLOOKUP(TablaCosechas[[#This Row],[COD]],Tabla7[[CODIGO]:[CERTIFICACION]],3,0))))</f>
        <v>ASC</v>
      </c>
      <c r="P65" s="180">
        <f>+L65-E65</f>
        <v>3007.2699999999968</v>
      </c>
      <c r="Q65" s="181">
        <f>+M65-F65</f>
        <v>3.9999999999999147E-2</v>
      </c>
      <c r="R65" s="9"/>
    </row>
    <row r="66" spans="1:18" x14ac:dyDescent="0.25">
      <c r="A66" s="9" t="s">
        <v>263</v>
      </c>
      <c r="B66" s="9">
        <f>ROW() - ROW(TablaCosechas[[#Headers],[ID]]) - 4</f>
        <v>61</v>
      </c>
      <c r="C66" s="9" t="str">
        <f>LEFT(A66,2)</f>
        <v>PA</v>
      </c>
      <c r="D66" s="182" t="s">
        <v>366</v>
      </c>
      <c r="E66" s="178">
        <v>10800</v>
      </c>
      <c r="F66" s="19">
        <v>30</v>
      </c>
      <c r="G66" s="195">
        <v>45910</v>
      </c>
      <c r="H66" s="9" t="str">
        <f>VLOOKUP(TablaCosechas[[#This Row],[COD]],DATOS!$E$3:$F$27,2,0)</f>
        <v>PAMPANO</v>
      </c>
      <c r="I66" s="9" t="str">
        <f>RIGHT(TablaCosechas[[#This Row],[SECTOR/PISCINA]],2)</f>
        <v>02</v>
      </c>
      <c r="J66" s="9" t="str">
        <f>VLOOKUP(TablaCosechas[[#This Row],[COD]],Tabla7[#All],4,0)</f>
        <v>GUSTAVO CARRASCO</v>
      </c>
      <c r="K66" s="179">
        <f>(TablaCosechas[[#This Row],[libras planta]]*454)/M66</f>
        <v>156381.53461063042</v>
      </c>
      <c r="L66" s="174">
        <v>11146.49</v>
      </c>
      <c r="M66" s="19">
        <v>32.36</v>
      </c>
      <c r="N66" s="9" t="str">
        <f>UPPER(TEXT(TablaCosechas[[#This Row],[COSECHA]],"MMMM"))</f>
        <v>SEPTIEMBRE</v>
      </c>
      <c r="O66" s="9" t="str">
        <f>IF(A66="DO 29","BAP",IF(A66="RO 14","BAP",(VLOOKUP(TablaCosechas[[#This Row],[COD]],Tabla7[[CODIGO]:[CERTIFICACION]],3,0))))</f>
        <v>ASC</v>
      </c>
      <c r="P66" s="180">
        <f>+L66-E66</f>
        <v>346.48999999999978</v>
      </c>
      <c r="Q66" s="181">
        <f>+M66-F66</f>
        <v>2.3599999999999994</v>
      </c>
      <c r="R66" s="9"/>
    </row>
    <row r="67" spans="1:18" x14ac:dyDescent="0.25">
      <c r="A67" s="9" t="s">
        <v>153</v>
      </c>
      <c r="B67" s="9">
        <f>ROW() - ROW(TablaCosechas[[#Headers],[ID]]) - 4</f>
        <v>62</v>
      </c>
      <c r="C67" s="9" t="str">
        <f>LEFT(A67,2)</f>
        <v>GT</v>
      </c>
      <c r="D67" s="182" t="s">
        <v>367</v>
      </c>
      <c r="E67" s="178">
        <v>4600</v>
      </c>
      <c r="F67" s="19">
        <v>19</v>
      </c>
      <c r="G67" s="195">
        <v>45910</v>
      </c>
      <c r="H67" s="9" t="str">
        <f>VLOOKUP(TablaCosechas[[#This Row],[COD]],DATOS!$E$3:$F$27,2,0)</f>
        <v>GUATO</v>
      </c>
      <c r="I67" s="9" t="str">
        <f>RIGHT(TablaCosechas[[#This Row],[SECTOR/PISCINA]],2)</f>
        <v>05</v>
      </c>
      <c r="J67" s="9" t="str">
        <f>VLOOKUP(TablaCosechas[[#This Row],[COD]],Tabla7[#All],4,0)</f>
        <v>JULIO SANTOS</v>
      </c>
      <c r="K67" s="179">
        <f>(TablaCosechas[[#This Row],[libras planta]]*454)/M67</f>
        <v>97495.003766478359</v>
      </c>
      <c r="L67" s="174">
        <v>4561.22</v>
      </c>
      <c r="M67" s="19">
        <v>21.24</v>
      </c>
      <c r="N67" s="9" t="str">
        <f>UPPER(TEXT(TablaCosechas[[#This Row],[COSECHA]],"MMMM"))</f>
        <v>SEPTIEMBRE</v>
      </c>
      <c r="O67" s="9" t="str">
        <f>IF(A67="DO 29","BAP",IF(A67="RO 14","BAP",(VLOOKUP(TablaCosechas[[#This Row],[COD]],Tabla7[[CODIGO]:[CERTIFICACION]],3,0))))</f>
        <v>CONVENCIONAL</v>
      </c>
      <c r="P67" s="180">
        <f>+L67-E67</f>
        <v>-38.779999999999745</v>
      </c>
      <c r="Q67" s="181">
        <f>+M67-F67</f>
        <v>2.2399999999999984</v>
      </c>
      <c r="R67" s="9"/>
    </row>
    <row r="68" spans="1:18" x14ac:dyDescent="0.25">
      <c r="A68" s="9" t="s">
        <v>309</v>
      </c>
      <c r="B68" s="9">
        <f>ROW() - ROW(TablaCosechas[[#Headers],[ID]]) - 4</f>
        <v>63</v>
      </c>
      <c r="C68" s="9" t="str">
        <f>LEFT(A68,2)</f>
        <v>DE</v>
      </c>
      <c r="D68" s="182" t="s">
        <v>367</v>
      </c>
      <c r="E68" s="178">
        <v>6700</v>
      </c>
      <c r="F68" s="19">
        <v>24</v>
      </c>
      <c r="G68" s="195">
        <v>45910</v>
      </c>
      <c r="H68" s="9" t="str">
        <f>VLOOKUP(TablaCosechas[[#This Row],[COD]],DATOS!$E$3:$F$27,2,0)</f>
        <v>DELFIN</v>
      </c>
      <c r="I68" s="9" t="str">
        <f>RIGHT(TablaCosechas[[#This Row],[SECTOR/PISCINA]],2)</f>
        <v>05</v>
      </c>
      <c r="J68" s="9" t="str">
        <f>VLOOKUP(TablaCosechas[[#This Row],[COD]],Tabla7[#All],4,0)</f>
        <v>CARLOS FLORES</v>
      </c>
      <c r="K68" s="179">
        <f>(TablaCosechas[[#This Row],[libras planta]]*454)/M68</f>
        <v>121681.6558391338</v>
      </c>
      <c r="L68" s="174">
        <v>6931.03</v>
      </c>
      <c r="M68" s="19">
        <v>25.86</v>
      </c>
      <c r="N68" s="9" t="str">
        <f>UPPER(TEXT(TablaCosechas[[#This Row],[COSECHA]],"MMMM"))</f>
        <v>SEPTIEMBRE</v>
      </c>
      <c r="O68" s="9" t="str">
        <f>IF(A68="DO 29","BAP",IF(A68="RO 14","BAP",(VLOOKUP(TablaCosechas[[#This Row],[COD]],Tabla7[[CODIGO]:[CERTIFICACION]],3,0))))</f>
        <v>CONVENCIONAL</v>
      </c>
      <c r="P68" s="180">
        <f>+L68-E68</f>
        <v>231.02999999999975</v>
      </c>
      <c r="Q68" s="181">
        <f>+M68-F68</f>
        <v>1.8599999999999994</v>
      </c>
      <c r="R68" s="9"/>
    </row>
    <row r="69" spans="1:18" x14ac:dyDescent="0.25">
      <c r="A69" s="9" t="s">
        <v>20</v>
      </c>
      <c r="B69" s="9">
        <f>ROW() - ROW(TablaCosechas[[#Headers],[ID]]) - 4</f>
        <v>64</v>
      </c>
      <c r="C69" s="9" t="str">
        <f>LEFT(A69,2)</f>
        <v>CH</v>
      </c>
      <c r="D69" s="182" t="s">
        <v>367</v>
      </c>
      <c r="E69" s="178">
        <v>9000</v>
      </c>
      <c r="F69" s="19">
        <v>26</v>
      </c>
      <c r="G69" s="195">
        <v>45910</v>
      </c>
      <c r="H69" s="9" t="str">
        <f>VLOOKUP(TablaCosechas[[#This Row],[COD]],DATOS!$E$3:$F$26,2,0)</f>
        <v>CHERNA</v>
      </c>
      <c r="I69" s="9" t="str">
        <f>RIGHT(TablaCosechas[[#This Row],[SECTOR/PISCINA]],2)</f>
        <v>14</v>
      </c>
      <c r="J69" s="9" t="str">
        <f>VLOOKUP(TablaCosechas[[#This Row],[COD]],Tabla7[#All],4,0)</f>
        <v>SANTIAGO OBRIEN</v>
      </c>
      <c r="K69" s="179">
        <f>(TablaCosechas[[#This Row],[libras planta]]*454)/M69</f>
        <v>160265.84462444772</v>
      </c>
      <c r="L69" s="174">
        <v>9587.7099999999991</v>
      </c>
      <c r="M69" s="19">
        <v>27.16</v>
      </c>
      <c r="N69" s="9" t="str">
        <f>UPPER(TEXT(TablaCosechas[[#This Row],[COSECHA]],"MMMM"))</f>
        <v>SEPTIEMBRE</v>
      </c>
      <c r="O69" s="9" t="str">
        <f>IF(A69="DO 29","BAP",IF(A69="RO 14","BAP",(VLOOKUP(TablaCosechas[[#This Row],[COD]],Tabla7[[CODIGO]:[CERTIFICACION]],3,0))))</f>
        <v>ASC</v>
      </c>
      <c r="P69" s="180">
        <f>+L69-E69</f>
        <v>587.70999999999913</v>
      </c>
      <c r="Q69" s="181">
        <f>+M69-F69</f>
        <v>1.1600000000000001</v>
      </c>
      <c r="R69" s="9"/>
    </row>
    <row r="70" spans="1:18" x14ac:dyDescent="0.25">
      <c r="A70" s="9" t="s">
        <v>118</v>
      </c>
      <c r="B70" s="9">
        <f>ROW() - ROW(TablaCosechas[[#Headers],[ID]]) - 4</f>
        <v>65</v>
      </c>
      <c r="C70" s="9" t="str">
        <f>LEFT(A70,2)</f>
        <v>TI</v>
      </c>
      <c r="D70" s="182" t="s">
        <v>367</v>
      </c>
      <c r="E70" s="178">
        <v>12000</v>
      </c>
      <c r="F70" s="19">
        <v>30.5</v>
      </c>
      <c r="G70" s="195">
        <v>45911</v>
      </c>
      <c r="H70" s="9" t="str">
        <f>VLOOKUP(TablaCosechas[[#This Row],[COD]],DATOS!$E$3:$F$27,2,0)</f>
        <v>TIBURON</v>
      </c>
      <c r="I70" s="9" t="str">
        <f>RIGHT(TablaCosechas[[#This Row],[SECTOR/PISCINA]],2)</f>
        <v>06</v>
      </c>
      <c r="J70" s="9" t="str">
        <f>VLOOKUP(TablaCosechas[[#This Row],[COD]],Tabla7[#All],4,0)</f>
        <v>ALFONSO GRUNAUER</v>
      </c>
      <c r="K70" s="179">
        <f>(TablaCosechas[[#This Row],[libras planta]]*454)/M70</f>
        <v>185691.10112359549</v>
      </c>
      <c r="L70" s="174">
        <v>12376.68</v>
      </c>
      <c r="M70" s="19">
        <v>30.26</v>
      </c>
      <c r="N70" s="9" t="str">
        <f>UPPER(TEXT(TablaCosechas[[#This Row],[COSECHA]],"MMMM"))</f>
        <v>SEPTIEMBRE</v>
      </c>
      <c r="O70" s="9" t="str">
        <f>IF(A70="DO 29","BAP",IF(A70="RO 14","BAP",(VLOOKUP(TablaCosechas[[#This Row],[COD]],Tabla7[[CODIGO]:[CERTIFICACION]],3,0))))</f>
        <v>ASC</v>
      </c>
      <c r="P70" s="180">
        <f>+L70-E70</f>
        <v>376.68000000000029</v>
      </c>
      <c r="Q70" s="181">
        <f>+M70-F70</f>
        <v>-0.23999999999999844</v>
      </c>
      <c r="R70" s="9"/>
    </row>
    <row r="71" spans="1:18" x14ac:dyDescent="0.25">
      <c r="A71" s="9" t="s">
        <v>325</v>
      </c>
      <c r="B71" s="9">
        <f>ROW() - ROW(TablaCosechas[[#Headers],[ID]]) - 4</f>
        <v>66</v>
      </c>
      <c r="C71" s="9" t="str">
        <f>LEFT(A71,2)</f>
        <v>PA</v>
      </c>
      <c r="D71" s="182" t="s">
        <v>366</v>
      </c>
      <c r="E71" s="178">
        <v>65000</v>
      </c>
      <c r="F71" s="19">
        <v>28</v>
      </c>
      <c r="G71" s="195">
        <v>45911</v>
      </c>
      <c r="H71" s="9" t="str">
        <f>VLOOKUP(TablaCosechas[[#This Row],[COD]],DATOS!$E$3:$F$27,2,0)</f>
        <v>PAMPANO</v>
      </c>
      <c r="I71" s="9" t="str">
        <f>RIGHT(TablaCosechas[[#This Row],[SECTOR/PISCINA]],2)</f>
        <v>15</v>
      </c>
      <c r="J71" s="9" t="str">
        <f>VLOOKUP(TablaCosechas[[#This Row],[COD]],Tabla7[#All],4,0)</f>
        <v>GUSTAVO CARRASCO</v>
      </c>
      <c r="K71" s="179">
        <f>(TablaCosechas[[#This Row],[libras planta]]*454)/M71</f>
        <v>1108603.8080586081</v>
      </c>
      <c r="L71" s="174">
        <v>66662.740000000005</v>
      </c>
      <c r="M71" s="19">
        <v>27.3</v>
      </c>
      <c r="N71" s="9" t="str">
        <f>UPPER(TEXT(TablaCosechas[[#This Row],[COSECHA]],"MMMM"))</f>
        <v>SEPTIEMBRE</v>
      </c>
      <c r="O71" s="9" t="str">
        <f>IF(A71="DO 29","BAP",IF(A71="RO 14","BAP",(VLOOKUP(TablaCosechas[[#This Row],[COD]],Tabla7[[CODIGO]:[CERTIFICACION]],3,0))))</f>
        <v>ASC</v>
      </c>
      <c r="P71" s="180">
        <f>+L71-E71</f>
        <v>1662.7400000000052</v>
      </c>
      <c r="Q71" s="181">
        <f>+M71-F71</f>
        <v>-0.69999999999999929</v>
      </c>
      <c r="R71" s="9"/>
    </row>
    <row r="72" spans="1:18" x14ac:dyDescent="0.25">
      <c r="A72" s="9" t="s">
        <v>134</v>
      </c>
      <c r="B72" s="9">
        <f>ROW() - ROW(TablaCosechas[[#Headers],[ID]]) - 4</f>
        <v>67</v>
      </c>
      <c r="C72" s="9" t="str">
        <f>LEFT(A72,2)</f>
        <v>GT</v>
      </c>
      <c r="D72" s="182" t="s">
        <v>367</v>
      </c>
      <c r="E72" s="178">
        <v>3400</v>
      </c>
      <c r="F72" s="19">
        <v>18</v>
      </c>
      <c r="G72" s="195">
        <v>45911</v>
      </c>
      <c r="H72" s="9" t="str">
        <f>VLOOKUP(TablaCosechas[[#This Row],[COD]],DATOS!$E$3:$F$26,2,0)</f>
        <v>GUATO</v>
      </c>
      <c r="I72" s="9" t="str">
        <f>RIGHT(TablaCosechas[[#This Row],[SECTOR/PISCINA]],2)</f>
        <v>21</v>
      </c>
      <c r="J72" s="9" t="str">
        <f>VLOOKUP(TablaCosechas[[#This Row],[COD]],Tabla7[#All],4,0)</f>
        <v>JULIO SANTOS</v>
      </c>
      <c r="K72" s="179">
        <f>(TablaCosechas[[#This Row],[libras planta]]*454)/M72</f>
        <v>86063.78794402584</v>
      </c>
      <c r="L72" s="174">
        <v>3522.17</v>
      </c>
      <c r="M72" s="19">
        <v>18.579999999999998</v>
      </c>
      <c r="N72" s="9" t="str">
        <f>UPPER(TEXT(TablaCosechas[[#This Row],[COSECHA]],"MMMM"))</f>
        <v>SEPTIEMBRE</v>
      </c>
      <c r="O72" s="9" t="str">
        <f>IF(A72="DO 29","BAP",IF(A72="RO 14","BAP",(VLOOKUP(TablaCosechas[[#This Row],[COD]],Tabla7[[CODIGO]:[CERTIFICACION]],3,0))))</f>
        <v>CONVENCIONAL</v>
      </c>
      <c r="P72" s="180">
        <f>+L72-E72</f>
        <v>122.17000000000007</v>
      </c>
      <c r="Q72" s="181">
        <f>+M72-F72</f>
        <v>0.57999999999999829</v>
      </c>
      <c r="R72" s="9"/>
    </row>
    <row r="73" spans="1:18" x14ac:dyDescent="0.25">
      <c r="A73" s="9" t="s">
        <v>368</v>
      </c>
      <c r="B73" s="9">
        <f>ROW() - ROW(TablaCosechas[[#Headers],[ID]]) - 4</f>
        <v>68</v>
      </c>
      <c r="C73" s="9" t="str">
        <f>LEFT(A73,2)</f>
        <v>DE</v>
      </c>
      <c r="D73" s="182" t="s">
        <v>366</v>
      </c>
      <c r="E73" s="178">
        <v>14850</v>
      </c>
      <c r="F73" s="19">
        <v>29</v>
      </c>
      <c r="G73" s="195">
        <v>45911</v>
      </c>
      <c r="H73" s="9" t="str">
        <f>VLOOKUP(TablaCosechas[[#This Row],[COD]],DATOS!$E$3:$F$27,2,0)</f>
        <v>DELFIN</v>
      </c>
      <c r="I73" s="9" t="str">
        <f>RIGHT(TablaCosechas[[#This Row],[SECTOR/PISCINA]],2)</f>
        <v>26</v>
      </c>
      <c r="J73" s="9" t="str">
        <f>VLOOKUP(TablaCosechas[[#This Row],[COD]],Tabla7[#All],4,0)</f>
        <v>CARLOS FLORES</v>
      </c>
      <c r="K73" s="179">
        <f>(TablaCosechas[[#This Row],[libras planta]]*454)/M73</f>
        <v>229708.00335570468</v>
      </c>
      <c r="L73" s="174">
        <v>15077.75</v>
      </c>
      <c r="M73" s="19">
        <v>29.8</v>
      </c>
      <c r="N73" s="9" t="str">
        <f>UPPER(TEXT(TablaCosechas[[#This Row],[COSECHA]],"MMMM"))</f>
        <v>SEPTIEMBRE</v>
      </c>
      <c r="O73" s="9" t="str">
        <f>IF(A73="DO 29","BAP",IF(A73="RO 14","BAP",(VLOOKUP(TablaCosechas[[#This Row],[COD]],Tabla7[[CODIGO]:[CERTIFICACION]],3,0))))</f>
        <v>CONVENCIONAL</v>
      </c>
      <c r="P73" s="180">
        <f>+L73-E73</f>
        <v>227.75</v>
      </c>
      <c r="Q73" s="181">
        <f>+M73-F73</f>
        <v>0.80000000000000071</v>
      </c>
      <c r="R73" s="9"/>
    </row>
    <row r="74" spans="1:18" x14ac:dyDescent="0.25">
      <c r="A74" s="9" t="s">
        <v>301</v>
      </c>
      <c r="B74" s="9">
        <f>ROW() - ROW(TablaCosechas[[#Headers],[ID]]) - 4</f>
        <v>69</v>
      </c>
      <c r="C74" s="9" t="str">
        <f>LEFT(A74,2)</f>
        <v>DE</v>
      </c>
      <c r="D74" s="182" t="s">
        <v>367</v>
      </c>
      <c r="E74" s="178">
        <v>7000</v>
      </c>
      <c r="F74" s="19">
        <v>22</v>
      </c>
      <c r="G74" s="195">
        <v>45911</v>
      </c>
      <c r="H74" s="9" t="str">
        <f>VLOOKUP(TablaCosechas[[#This Row],[COD]],DATOS!$E$3:$F$26,2,0)</f>
        <v>DELFIN</v>
      </c>
      <c r="I74" s="9" t="str">
        <f>RIGHT(TablaCosechas[[#This Row],[SECTOR/PISCINA]],2)</f>
        <v>02</v>
      </c>
      <c r="J74" s="9" t="str">
        <f>VLOOKUP(TablaCosechas[[#This Row],[COD]],Tabla7[#All],4,0)</f>
        <v>CARLOS FLORES</v>
      </c>
      <c r="K74" s="179">
        <f>(TablaCosechas[[#This Row],[libras planta]]*454)/M74</f>
        <v>138255.3257918552</v>
      </c>
      <c r="L74" s="174">
        <v>6730.05</v>
      </c>
      <c r="M74" s="19">
        <v>22.1</v>
      </c>
      <c r="N74" s="9" t="str">
        <f>UPPER(TEXT(TablaCosechas[[#This Row],[COSECHA]],"MMMM"))</f>
        <v>SEPTIEMBRE</v>
      </c>
      <c r="O74" s="9" t="str">
        <f>IF(A74="DO 29","BAP",IF(A74="RO 14","BAP",(VLOOKUP(TablaCosechas[[#This Row],[COD]],Tabla7[[CODIGO]:[CERTIFICACION]],3,0))))</f>
        <v>CONVENCIONAL</v>
      </c>
      <c r="P74" s="180">
        <f>+L74-E74</f>
        <v>-269.94999999999982</v>
      </c>
      <c r="Q74" s="181">
        <f>+M74-F74</f>
        <v>0.10000000000000142</v>
      </c>
      <c r="R74" s="9"/>
    </row>
    <row r="75" spans="1:18" x14ac:dyDescent="0.25">
      <c r="A75" s="9" t="s">
        <v>293</v>
      </c>
      <c r="B75" s="9">
        <f>ROW() - ROW(TablaCosechas[[#Headers],[ID]]) - 4</f>
        <v>70</v>
      </c>
      <c r="C75" s="9" t="str">
        <f>LEFT(A75,2)</f>
        <v>TA</v>
      </c>
      <c r="D75" s="182" t="s">
        <v>366</v>
      </c>
      <c r="E75" s="178">
        <v>36800</v>
      </c>
      <c r="F75" s="19">
        <v>35</v>
      </c>
      <c r="G75" s="195">
        <v>45912</v>
      </c>
      <c r="H75" s="9" t="str">
        <f>VLOOKUP(TablaCosechas[[#This Row],[COD]],DATOS!$E$3:$F$27,2,0)</f>
        <v>TAMBULERO</v>
      </c>
      <c r="I75" s="9" t="str">
        <f>RIGHT(TablaCosechas[[#This Row],[SECTOR/PISCINA]],2)</f>
        <v>12</v>
      </c>
      <c r="J75" s="9" t="str">
        <f>VLOOKUP(TablaCosechas[[#This Row],[COD]],Tabla7[#All],4,0)</f>
        <v>ALFONSO GRUNAUER</v>
      </c>
      <c r="K75" s="179">
        <f>(TablaCosechas[[#This Row],[libras planta]]*454)/M75</f>
        <v>458325.28638991062</v>
      </c>
      <c r="L75" s="174">
        <v>38422.6</v>
      </c>
      <c r="M75" s="19">
        <v>38.06</v>
      </c>
      <c r="N75" s="9" t="str">
        <f>UPPER(TEXT(TablaCosechas[[#This Row],[COSECHA]],"MMMM"))</f>
        <v>SEPTIEMBRE</v>
      </c>
      <c r="O75" s="9" t="str">
        <f>IF(A75="DO 29","BAP",IF(A75="RO 14","BAP",(VLOOKUP(TablaCosechas[[#This Row],[COD]],Tabla7[[CODIGO]:[CERTIFICACION]],3,0))))</f>
        <v>CONVENCIONAL</v>
      </c>
      <c r="P75" s="180">
        <f>+L75-E75</f>
        <v>1622.5999999999985</v>
      </c>
      <c r="Q75" s="181">
        <f>+M75-F75</f>
        <v>3.0600000000000023</v>
      </c>
      <c r="R75" s="9"/>
    </row>
    <row r="76" spans="1:18" x14ac:dyDescent="0.25">
      <c r="A76" s="9" t="s">
        <v>145</v>
      </c>
      <c r="B76" s="9">
        <f>ROW() - ROW(TablaCosechas[[#Headers],[ID]]) - 4</f>
        <v>71</v>
      </c>
      <c r="C76" s="9" t="str">
        <f>LEFT(A76,2)</f>
        <v>GT</v>
      </c>
      <c r="D76" s="182" t="s">
        <v>367</v>
      </c>
      <c r="E76" s="178">
        <v>2800</v>
      </c>
      <c r="F76" s="19">
        <v>18</v>
      </c>
      <c r="G76" s="195">
        <v>45912</v>
      </c>
      <c r="H76" s="9" t="str">
        <f>VLOOKUP(TablaCosechas[[#This Row],[COD]],DATOS!$E$3:$F$26,2,0)</f>
        <v>GUATO</v>
      </c>
      <c r="I76" s="9" t="str">
        <f>RIGHT(TablaCosechas[[#This Row],[SECTOR/PISCINA]],2)</f>
        <v>15</v>
      </c>
      <c r="J76" s="9" t="str">
        <f>VLOOKUP(TablaCosechas[[#This Row],[COD]],Tabla7[#All],4,0)</f>
        <v>JULIO SANTOS</v>
      </c>
      <c r="K76" s="179">
        <f>(TablaCosechas[[#This Row],[libras planta]]*454)/M76</f>
        <v>63025.604166666672</v>
      </c>
      <c r="L76" s="174">
        <v>2665.4</v>
      </c>
      <c r="M76" s="19">
        <v>19.2</v>
      </c>
      <c r="N76" s="9" t="str">
        <f>UPPER(TEXT(TablaCosechas[[#This Row],[COSECHA]],"MMMM"))</f>
        <v>SEPTIEMBRE</v>
      </c>
      <c r="O76" s="9" t="str">
        <f>IF(A76="DO 29","BAP",IF(A76="RO 14","BAP",(VLOOKUP(TablaCosechas[[#This Row],[COD]],Tabla7[[CODIGO]:[CERTIFICACION]],3,0))))</f>
        <v>CONVENCIONAL</v>
      </c>
      <c r="P76" s="180">
        <f>+L76-E76</f>
        <v>-134.59999999999991</v>
      </c>
      <c r="Q76" s="181">
        <f>+M76-F76</f>
        <v>1.1999999999999993</v>
      </c>
      <c r="R76" s="9"/>
    </row>
    <row r="77" spans="1:18" x14ac:dyDescent="0.25">
      <c r="A77" s="9" t="s">
        <v>9</v>
      </c>
      <c r="B77" s="9">
        <f>ROW() - ROW(TablaCosechas[[#Headers],[ID]]) - 4</f>
        <v>72</v>
      </c>
      <c r="C77" s="9" t="str">
        <f>LEFT(A77,2)</f>
        <v>CH</v>
      </c>
      <c r="D77" s="182" t="s">
        <v>366</v>
      </c>
      <c r="E77" s="178">
        <v>38150</v>
      </c>
      <c r="F77" s="19">
        <v>34</v>
      </c>
      <c r="G77" s="195">
        <v>45912</v>
      </c>
      <c r="H77" s="9" t="str">
        <f>VLOOKUP(TablaCosechas[[#This Row],[COD]],DATOS!$E$3:$F$27,2,0)</f>
        <v>CHERNA</v>
      </c>
      <c r="I77" s="9" t="str">
        <f>RIGHT(TablaCosechas[[#This Row],[SECTOR/PISCINA]],2)</f>
        <v>03</v>
      </c>
      <c r="J77" s="9" t="str">
        <f>VLOOKUP(TablaCosechas[[#This Row],[COD]],Tabla7[#All],4,0)</f>
        <v>SANTIAGO OBRIEN</v>
      </c>
      <c r="K77" s="179">
        <f>(TablaCosechas[[#This Row],[libras planta]]*454)/M77</f>
        <v>617731.79149797559</v>
      </c>
      <c r="L77" s="174">
        <v>40329.449999999997</v>
      </c>
      <c r="M77" s="19">
        <v>29.64</v>
      </c>
      <c r="N77" s="9" t="str">
        <f>UPPER(TEXT(TablaCosechas[[#This Row],[COSECHA]],"MMMM"))</f>
        <v>SEPTIEMBRE</v>
      </c>
      <c r="O77" s="9" t="str">
        <f>IF(A77="DO 29","BAP",IF(A77="RO 14","BAP",(VLOOKUP(TablaCosechas[[#This Row],[COD]],Tabla7[[CODIGO]:[CERTIFICACION]],3,0))))</f>
        <v>ASC</v>
      </c>
      <c r="P77" s="180">
        <f>+L77-E77</f>
        <v>2179.4499999999971</v>
      </c>
      <c r="Q77" s="181">
        <f>+M77-F77</f>
        <v>-4.3599999999999994</v>
      </c>
      <c r="R77" s="9"/>
    </row>
    <row r="78" spans="1:18" x14ac:dyDescent="0.25">
      <c r="A78" s="9" t="s">
        <v>317</v>
      </c>
      <c r="B78" s="9">
        <f>ROW() - ROW(TablaCosechas[[#Headers],[ID]]) - 4</f>
        <v>73</v>
      </c>
      <c r="C78" s="9" t="str">
        <f>LEFT(A78,2)</f>
        <v>CA</v>
      </c>
      <c r="D78" s="182" t="s">
        <v>367</v>
      </c>
      <c r="E78" s="178">
        <v>1000</v>
      </c>
      <c r="F78" s="19">
        <v>24</v>
      </c>
      <c r="G78" s="195">
        <v>45912</v>
      </c>
      <c r="H78" s="9" t="str">
        <f>VLOOKUP(TablaCosechas[[#This Row],[COD]],DATOS!$E$3:$F$26,2,0)</f>
        <v>CATANUDA</v>
      </c>
      <c r="I78" s="9" t="str">
        <f>RIGHT(TablaCosechas[[#This Row],[SECTOR/PISCINA]],2)</f>
        <v>13</v>
      </c>
      <c r="J78" s="9" t="str">
        <f>VLOOKUP(TablaCosechas[[#This Row],[COD]],Tabla7[#All],4,0)</f>
        <v>VICTOR QUINTANA</v>
      </c>
      <c r="K78" s="179">
        <f>(TablaCosechas[[#This Row],[libras planta]]*454)/M78</f>
        <v>17989.491654021243</v>
      </c>
      <c r="L78" s="174">
        <v>1044.5</v>
      </c>
      <c r="M78" s="19">
        <v>26.36</v>
      </c>
      <c r="N78" s="9" t="str">
        <f>UPPER(TEXT(TablaCosechas[[#This Row],[COSECHA]],"MMMM"))</f>
        <v>SEPTIEMBRE</v>
      </c>
      <c r="O78" s="9" t="str">
        <f>IF(A78="DO 29","BAP",IF(A78="RO 14","BAP",(VLOOKUP(TablaCosechas[[#This Row],[COD]],Tabla7[[CODIGO]:[CERTIFICACION]],3,0))))</f>
        <v>ASC</v>
      </c>
      <c r="P78" s="180">
        <f>+L78-E78</f>
        <v>44.5</v>
      </c>
      <c r="Q78" s="181">
        <f>+M78-F78</f>
        <v>2.3599999999999994</v>
      </c>
      <c r="R78" s="9"/>
    </row>
    <row r="79" spans="1:18" x14ac:dyDescent="0.25">
      <c r="A79" s="9" t="s">
        <v>316</v>
      </c>
      <c r="B79" s="9">
        <f>ROW() - ROW(TablaCosechas[[#Headers],[ID]]) - 4</f>
        <v>74</v>
      </c>
      <c r="C79" s="9" t="str">
        <f>LEFT(A79,2)</f>
        <v>CA</v>
      </c>
      <c r="D79" s="182" t="s">
        <v>367</v>
      </c>
      <c r="E79" s="178">
        <v>900</v>
      </c>
      <c r="F79" s="19">
        <v>24</v>
      </c>
      <c r="G79" s="195">
        <v>45912</v>
      </c>
      <c r="H79" s="9" t="str">
        <f>VLOOKUP(TablaCosechas[[#This Row],[COD]],DATOS!$E$3:$F$26,2,0)</f>
        <v>CATANUDA</v>
      </c>
      <c r="I79" s="9" t="str">
        <f>RIGHT(TablaCosechas[[#This Row],[SECTOR/PISCINA]],2)</f>
        <v>12</v>
      </c>
      <c r="J79" s="9" t="str">
        <f>VLOOKUP(TablaCosechas[[#This Row],[COD]],Tabla7[#All],4,0)</f>
        <v>VICTOR QUINTANA</v>
      </c>
      <c r="K79" s="179">
        <f>(TablaCosechas[[#This Row],[libras planta]]*454)/M79</f>
        <v>16688.724110032363</v>
      </c>
      <c r="L79" s="174">
        <v>908.69</v>
      </c>
      <c r="M79" s="19">
        <v>24.72</v>
      </c>
      <c r="N79" s="9" t="str">
        <f>UPPER(TEXT(TablaCosechas[[#This Row],[COSECHA]],"MMMM"))</f>
        <v>SEPTIEMBRE</v>
      </c>
      <c r="O79" s="9" t="str">
        <f>IF(A79="DO 29","BAP",IF(A79="RO 14","BAP",(VLOOKUP(TablaCosechas[[#This Row],[COD]],Tabla7[[CODIGO]:[CERTIFICACION]],3,0))))</f>
        <v>ASC</v>
      </c>
      <c r="P79" s="180">
        <f>+L79-E79</f>
        <v>8.6900000000000546</v>
      </c>
      <c r="Q79" s="181">
        <f>+M79-F79</f>
        <v>0.71999999999999886</v>
      </c>
      <c r="R79" s="9"/>
    </row>
    <row r="80" spans="1:18" x14ac:dyDescent="0.25">
      <c r="A80" s="9" t="s">
        <v>189</v>
      </c>
      <c r="B80" s="9">
        <f>ROW() - ROW(TablaCosechas[[#Headers],[ID]]) - 4</f>
        <v>75</v>
      </c>
      <c r="C80" s="9" t="str">
        <f>LEFT(A80,2)</f>
        <v>TU</v>
      </c>
      <c r="D80" s="182" t="s">
        <v>367</v>
      </c>
      <c r="E80" s="178">
        <v>3200</v>
      </c>
      <c r="F80" s="19">
        <v>15</v>
      </c>
      <c r="G80" s="195">
        <v>45913</v>
      </c>
      <c r="H80" s="9" t="str">
        <f>VLOOKUP(TablaCosechas[[#This Row],[COD]],DATOS!$E$3:$F$26,2,0)</f>
        <v>TUNA</v>
      </c>
      <c r="I80" s="9" t="str">
        <f>RIGHT(TablaCosechas[[#This Row],[SECTOR/PISCINA]],2)</f>
        <v>03</v>
      </c>
      <c r="J80" s="9" t="str">
        <f>VLOOKUP(TablaCosechas[[#This Row],[COD]],Tabla7[#All],4,0)</f>
        <v>GUSTAVO CARRASCO</v>
      </c>
      <c r="K80" s="179">
        <f>(TablaCosechas[[#This Row],[libras planta]]*454)/M80</f>
        <v>98964.580749318819</v>
      </c>
      <c r="L80" s="174">
        <v>3200.0001000000002</v>
      </c>
      <c r="M80" s="19">
        <v>14.68</v>
      </c>
      <c r="N80" s="9" t="str">
        <f>UPPER(TEXT(TablaCosechas[[#This Row],[COSECHA]],"MMMM"))</f>
        <v>SEPTIEMBRE</v>
      </c>
      <c r="O80" s="9" t="str">
        <f>IF(A80="DO 29","BAP",IF(A80="RO 14","BAP",(VLOOKUP(TablaCosechas[[#This Row],[COD]],Tabla7[[CODIGO]:[CERTIFICACION]],3,0))))</f>
        <v>ASC</v>
      </c>
      <c r="P80" s="180">
        <f>+L80-E80</f>
        <v>1.0000000020227162E-4</v>
      </c>
      <c r="Q80" s="181">
        <f>+M80-F80</f>
        <v>-0.32000000000000028</v>
      </c>
      <c r="R80" s="9"/>
    </row>
    <row r="81" spans="1:18" x14ac:dyDescent="0.25">
      <c r="A81" s="9" t="s">
        <v>192</v>
      </c>
      <c r="B81" s="9">
        <f>ROW() - ROW(TablaCosechas[[#Headers],[ID]]) - 4</f>
        <v>76</v>
      </c>
      <c r="C81" s="9" t="str">
        <f>LEFT(A81,2)</f>
        <v>TU</v>
      </c>
      <c r="D81" s="182" t="s">
        <v>367</v>
      </c>
      <c r="E81" s="178">
        <v>3500</v>
      </c>
      <c r="F81" s="19">
        <v>15</v>
      </c>
      <c r="G81" s="195">
        <v>45913</v>
      </c>
      <c r="H81" s="9" t="str">
        <f>VLOOKUP(TablaCosechas[[#This Row],[COD]],DATOS!$E$3:$F$27,2,0)</f>
        <v>TUNA</v>
      </c>
      <c r="I81" s="9" t="str">
        <f>RIGHT(TablaCosechas[[#This Row],[SECTOR/PISCINA]],2)</f>
        <v>02</v>
      </c>
      <c r="J81" s="9" t="str">
        <f>VLOOKUP(TablaCosechas[[#This Row],[COD]],Tabla7[#All],4,0)</f>
        <v>GUSTAVO CARRASCO</v>
      </c>
      <c r="K81" s="179">
        <f>(TablaCosechas[[#This Row],[libras planta]]*454)/M81</f>
        <v>110500.72698191933</v>
      </c>
      <c r="L81" s="174">
        <v>3500.0010000000002</v>
      </c>
      <c r="M81" s="19">
        <v>14.38</v>
      </c>
      <c r="N81" s="9" t="str">
        <f>UPPER(TEXT(TablaCosechas[[#This Row],[COSECHA]],"MMMM"))</f>
        <v>SEPTIEMBRE</v>
      </c>
      <c r="O81" s="9" t="str">
        <f>IF(A81="DO 29","BAP",IF(A81="RO 14","BAP",(VLOOKUP(TablaCosechas[[#This Row],[COD]],Tabla7[[CODIGO]:[CERTIFICACION]],3,0))))</f>
        <v>ASC</v>
      </c>
      <c r="P81" s="180">
        <f>+L81-E81</f>
        <v>1.0000000002037268E-3</v>
      </c>
      <c r="Q81" s="181">
        <f>+M81-F81</f>
        <v>-0.61999999999999922</v>
      </c>
      <c r="R81" s="9"/>
    </row>
    <row r="82" spans="1:18" x14ac:dyDescent="0.25">
      <c r="A82" s="9" t="s">
        <v>254</v>
      </c>
      <c r="B82" s="9">
        <f>ROW() - ROW(TablaCosechas[[#Headers],[ID]]) - 4</f>
        <v>77</v>
      </c>
      <c r="C82" s="9" t="str">
        <f>LEFT(A82,2)</f>
        <v>DE</v>
      </c>
      <c r="D82" s="182" t="s">
        <v>367</v>
      </c>
      <c r="E82" s="178">
        <v>10500</v>
      </c>
      <c r="F82" s="19">
        <v>23</v>
      </c>
      <c r="G82" s="195">
        <v>45913</v>
      </c>
      <c r="H82" s="9" t="str">
        <f>VLOOKUP(TablaCosechas[[#This Row],[COD]],DATOS!$E$3:$F$27,2,0)</f>
        <v>DELFIN</v>
      </c>
      <c r="I82" s="9" t="str">
        <f>RIGHT(TablaCosechas[[#This Row],[SECTOR/PISCINA]],2)</f>
        <v>12</v>
      </c>
      <c r="J82" s="9" t="str">
        <f>VLOOKUP(TablaCosechas[[#This Row],[COD]],Tabla7[#All],4,0)</f>
        <v>CARLOS FLORES</v>
      </c>
      <c r="K82" s="179">
        <f>(TablaCosechas[[#This Row],[libras planta]]*454)/M82</f>
        <v>212633.43972246317</v>
      </c>
      <c r="L82" s="174">
        <v>10800.28</v>
      </c>
      <c r="M82" s="19">
        <v>23.06</v>
      </c>
      <c r="N82" s="9" t="str">
        <f>UPPER(TEXT(TablaCosechas[[#This Row],[COSECHA]],"MMMM"))</f>
        <v>SEPTIEMBRE</v>
      </c>
      <c r="O82" s="9" t="str">
        <f>IF(A82="DO 29","BAP",IF(A82="RO 14","BAP",(VLOOKUP(TablaCosechas[[#This Row],[COD]],Tabla7[[CODIGO]:[CERTIFICACION]],3,0))))</f>
        <v>CONVENCIONAL</v>
      </c>
      <c r="P82" s="180">
        <f>+L82-E82</f>
        <v>300.28000000000065</v>
      </c>
      <c r="Q82" s="181">
        <f>+M82-F82</f>
        <v>5.9999999999998721E-2</v>
      </c>
      <c r="R82" s="9"/>
    </row>
    <row r="83" spans="1:18" x14ac:dyDescent="0.25">
      <c r="A83" s="9" t="s">
        <v>110</v>
      </c>
      <c r="B83" s="9">
        <f>ROW() - ROW(TablaCosechas[[#Headers],[ID]]) - 4</f>
        <v>78</v>
      </c>
      <c r="C83" s="9" t="str">
        <f>LEFT(A83,2)</f>
        <v>CA</v>
      </c>
      <c r="D83" s="182" t="s">
        <v>367</v>
      </c>
      <c r="E83" s="178">
        <v>15000</v>
      </c>
      <c r="F83" s="19">
        <v>21</v>
      </c>
      <c r="G83" s="195">
        <v>45913</v>
      </c>
      <c r="H83" s="9" t="str">
        <f>VLOOKUP(TablaCosechas[[#This Row],[COD]],DATOS!$E$3:$F$26,2,0)</f>
        <v>CATANUDA</v>
      </c>
      <c r="I83" s="9" t="str">
        <f>RIGHT(TablaCosechas[[#This Row],[SECTOR/PISCINA]],2)</f>
        <v>17</v>
      </c>
      <c r="J83" s="9" t="str">
        <f>VLOOKUP(TablaCosechas[[#This Row],[COD]],Tabla7[#All],4,0)</f>
        <v>VICTOR QUINTANA</v>
      </c>
      <c r="K83" s="179">
        <f>(TablaCosechas[[#This Row],[libras planta]]*454)/M83</f>
        <v>288822.83348174533</v>
      </c>
      <c r="L83" s="174">
        <v>14288.46</v>
      </c>
      <c r="M83" s="19">
        <v>22.46</v>
      </c>
      <c r="N83" s="9" t="str">
        <f>UPPER(TEXT(TablaCosechas[[#This Row],[COSECHA]],"MMMM"))</f>
        <v>SEPTIEMBRE</v>
      </c>
      <c r="O83" s="9" t="str">
        <f>IF(A83="DO 29","BAP",IF(A83="RO 14","BAP",(VLOOKUP(TablaCosechas[[#This Row],[COD]],Tabla7[[CODIGO]:[CERTIFICACION]],3,0))))</f>
        <v>ASC</v>
      </c>
      <c r="P83" s="180">
        <f>+L83-E83</f>
        <v>-711.54000000000087</v>
      </c>
      <c r="Q83" s="181">
        <f>+M83-F83</f>
        <v>1.4600000000000009</v>
      </c>
      <c r="R83" s="9"/>
    </row>
    <row r="84" spans="1:18" x14ac:dyDescent="0.25">
      <c r="A84" s="9" t="s">
        <v>305</v>
      </c>
      <c r="B84" s="9">
        <f>ROW() - ROW(TablaCosechas[[#Headers],[ID]]) - 4</f>
        <v>79</v>
      </c>
      <c r="C84" s="9" t="str">
        <f>LEFT(A84,2)</f>
        <v>TA</v>
      </c>
      <c r="D84" s="182" t="s">
        <v>366</v>
      </c>
      <c r="E84" s="178">
        <v>70300</v>
      </c>
      <c r="F84" s="19">
        <v>36.5</v>
      </c>
      <c r="G84" s="195">
        <v>45914</v>
      </c>
      <c r="H84" s="9" t="str">
        <f>VLOOKUP(TablaCosechas[[#This Row],[COD]],DATOS!$E$3:$F$27,2,0)</f>
        <v>TAMBULERO</v>
      </c>
      <c r="I84" s="9" t="str">
        <f>RIGHT(TablaCosechas[[#This Row],[SECTOR/PISCINA]],2)</f>
        <v>18</v>
      </c>
      <c r="J84" s="9" t="str">
        <f>VLOOKUP(TablaCosechas[[#This Row],[COD]],Tabla7[#All],4,0)</f>
        <v>ALFONSO GRUNAUER</v>
      </c>
      <c r="K84" s="179">
        <f>(TablaCosechas[[#This Row],[libras planta]]*454)/M84</f>
        <v>893590.55266015197</v>
      </c>
      <c r="L84" s="174">
        <v>72510.740000000005</v>
      </c>
      <c r="M84" s="19">
        <v>36.840000000000003</v>
      </c>
      <c r="N84" s="9" t="str">
        <f>UPPER(TEXT(TablaCosechas[[#This Row],[COSECHA]],"MMMM"))</f>
        <v>SEPTIEMBRE</v>
      </c>
      <c r="O84" s="9" t="str">
        <f>IF(A84="DO 29","BAP",IF(A84="RO 14","BAP",(VLOOKUP(TablaCosechas[[#This Row],[COD]],Tabla7[[CODIGO]:[CERTIFICACION]],3,0))))</f>
        <v>CONVENCIONAL</v>
      </c>
      <c r="P84" s="180">
        <f>+L84-E84</f>
        <v>2210.7400000000052</v>
      </c>
      <c r="Q84" s="181">
        <f>+M84-F84</f>
        <v>0.34000000000000341</v>
      </c>
      <c r="R84" s="9"/>
    </row>
    <row r="85" spans="1:18" x14ac:dyDescent="0.25">
      <c r="A85" s="9" t="s">
        <v>164</v>
      </c>
      <c r="B85" s="9">
        <f>ROW() - ROW(TablaCosechas[[#Headers],[ID]]) - 4</f>
        <v>80</v>
      </c>
      <c r="C85" s="9" t="str">
        <f>LEFT(A85,2)</f>
        <v>PA</v>
      </c>
      <c r="D85" s="182" t="s">
        <v>367</v>
      </c>
      <c r="E85" s="178">
        <v>5600</v>
      </c>
      <c r="F85" s="19">
        <v>21</v>
      </c>
      <c r="G85" s="195">
        <v>45914</v>
      </c>
      <c r="H85" s="9" t="str">
        <f>VLOOKUP(TablaCosechas[[#This Row],[COD]],DATOS!$E$3:$F$26,2,0)</f>
        <v>PAMPANO</v>
      </c>
      <c r="I85" s="9" t="str">
        <f>RIGHT(TablaCosechas[[#This Row],[SECTOR/PISCINA]],2)</f>
        <v>11</v>
      </c>
      <c r="J85" s="9" t="str">
        <f>VLOOKUP(TablaCosechas[[#This Row],[COD]],Tabla7[#All],4,0)</f>
        <v>GUSTAVO CARRASCO</v>
      </c>
      <c r="K85" s="179">
        <f>(TablaCosechas[[#This Row],[libras planta]]*454)/M85</f>
        <v>114917.98752399231</v>
      </c>
      <c r="L85" s="174">
        <v>5275.09</v>
      </c>
      <c r="M85" s="19">
        <v>20.84</v>
      </c>
      <c r="N85" s="9" t="str">
        <f>UPPER(TEXT(TablaCosechas[[#This Row],[COSECHA]],"MMMM"))</f>
        <v>SEPTIEMBRE</v>
      </c>
      <c r="O85" s="9" t="str">
        <f>IF(A85="DO 29","BAP",IF(A85="RO 14","BAP",(VLOOKUP(TablaCosechas[[#This Row],[COD]],Tabla7[[CODIGO]:[CERTIFICACION]],3,0))))</f>
        <v>ASC</v>
      </c>
      <c r="P85" s="180">
        <f>+L85-E85</f>
        <v>-324.90999999999985</v>
      </c>
      <c r="Q85" s="181">
        <f>+M85-F85</f>
        <v>-0.16000000000000014</v>
      </c>
      <c r="R85" s="9"/>
    </row>
    <row r="86" spans="1:18" x14ac:dyDescent="0.25">
      <c r="A86" s="9" t="s">
        <v>167</v>
      </c>
      <c r="B86" s="9">
        <f>ROW() - ROW(TablaCosechas[[#Headers],[ID]]) - 4</f>
        <v>81</v>
      </c>
      <c r="C86" s="9" t="str">
        <f>LEFT(A86,2)</f>
        <v>PA</v>
      </c>
      <c r="D86" s="182" t="s">
        <v>367</v>
      </c>
      <c r="E86" s="178">
        <v>2300</v>
      </c>
      <c r="F86" s="19">
        <v>20</v>
      </c>
      <c r="G86" s="195">
        <v>45914</v>
      </c>
      <c r="H86" s="9" t="str">
        <f>VLOOKUP(TablaCosechas[[#This Row],[COD]],DATOS!$E$3:$F$27,2,0)</f>
        <v>PAMPANO</v>
      </c>
      <c r="I86" s="9" t="str">
        <f>RIGHT(TablaCosechas[[#This Row],[SECTOR/PISCINA]],2)</f>
        <v>10</v>
      </c>
      <c r="J86" s="9" t="str">
        <f>VLOOKUP(TablaCosechas[[#This Row],[COD]],Tabla7[#All],4,0)</f>
        <v>GUSTAVO CARRASCO</v>
      </c>
      <c r="K86" s="179">
        <f>(TablaCosechas[[#This Row],[libras planta]]*454)/M86</f>
        <v>46364.135379061372</v>
      </c>
      <c r="L86" s="174">
        <v>2263.06</v>
      </c>
      <c r="M86" s="19">
        <v>22.16</v>
      </c>
      <c r="N86" s="9" t="str">
        <f>UPPER(TEXT(TablaCosechas[[#This Row],[COSECHA]],"MMMM"))</f>
        <v>SEPTIEMBRE</v>
      </c>
      <c r="O86" s="9" t="str">
        <f>IF(A86="DO 29","BAP",IF(A86="RO 14","BAP",(VLOOKUP(TablaCosechas[[#This Row],[COD]],Tabla7[[CODIGO]:[CERTIFICACION]],3,0))))</f>
        <v>ASC</v>
      </c>
      <c r="P86" s="180">
        <f>+L86-E86</f>
        <v>-36.940000000000055</v>
      </c>
      <c r="Q86" s="181">
        <f>+M86-F86</f>
        <v>2.16</v>
      </c>
      <c r="R86" s="9"/>
    </row>
    <row r="87" spans="1:18" x14ac:dyDescent="0.25">
      <c r="A87" s="9" t="s">
        <v>308</v>
      </c>
      <c r="B87" s="9">
        <f>ROW() - ROW(TablaCosechas[[#Headers],[ID]]) - 4</f>
        <v>82</v>
      </c>
      <c r="C87" s="9" t="str">
        <f>LEFT(A87,2)</f>
        <v>DO</v>
      </c>
      <c r="D87" s="182" t="s">
        <v>366</v>
      </c>
      <c r="E87" s="178">
        <v>20800</v>
      </c>
      <c r="F87" s="19">
        <v>37</v>
      </c>
      <c r="G87" s="195">
        <v>45914</v>
      </c>
      <c r="H87" s="9" t="str">
        <f>VLOOKUP(TablaCosechas[[#This Row],[COD]],DATOS!$E$3:$F$27,2,0)</f>
        <v>DORADO</v>
      </c>
      <c r="I87" s="9" t="str">
        <f>RIGHT(TablaCosechas[[#This Row],[SECTOR/PISCINA]],2)</f>
        <v>26</v>
      </c>
      <c r="J87" s="9" t="str">
        <f>VLOOKUP(TablaCosechas[[#This Row],[COD]],Tabla7[#All],4,0)</f>
        <v>JOSE CEDEÑO</v>
      </c>
      <c r="K87" s="179">
        <f>(TablaCosechas[[#This Row],[libras planta]]*454)/M87</f>
        <v>242138.75493250258</v>
      </c>
      <c r="L87" s="174">
        <v>20544.46</v>
      </c>
      <c r="M87" s="19">
        <v>38.520000000000003</v>
      </c>
      <c r="N87" s="9" t="str">
        <f>UPPER(TEXT(TablaCosechas[[#This Row],[COSECHA]],"MMMM"))</f>
        <v>SEPTIEMBRE</v>
      </c>
      <c r="O87" s="9" t="str">
        <f>IF(A87="DO 29","BAP",IF(A87="RO 14","BAP",(VLOOKUP(TablaCosechas[[#This Row],[COD]],Tabla7[[CODIGO]:[CERTIFICACION]],3,0))))</f>
        <v>ASC</v>
      </c>
      <c r="P87" s="180">
        <f>+L87-E87</f>
        <v>-255.54000000000087</v>
      </c>
      <c r="Q87" s="181">
        <f>+M87-F87</f>
        <v>1.5200000000000031</v>
      </c>
      <c r="R87" s="9"/>
    </row>
    <row r="88" spans="1:18" x14ac:dyDescent="0.25">
      <c r="A88" s="9" t="s">
        <v>252</v>
      </c>
      <c r="B88" s="9">
        <f>ROW() - ROW(TablaCosechas[[#Headers],[ID]]) - 4</f>
        <v>83</v>
      </c>
      <c r="C88" s="9" t="str">
        <f>LEFT(A88,2)</f>
        <v>DE</v>
      </c>
      <c r="D88" s="182" t="s">
        <v>367</v>
      </c>
      <c r="E88" s="178">
        <v>7200</v>
      </c>
      <c r="F88" s="19">
        <v>26</v>
      </c>
      <c r="G88" s="195">
        <v>45914</v>
      </c>
      <c r="H88" s="9" t="str">
        <f>VLOOKUP(TablaCosechas[[#This Row],[COD]],DATOS!$E$3:$F$27,2,0)</f>
        <v>DELFIN</v>
      </c>
      <c r="I88" s="9" t="str">
        <f>RIGHT(TablaCosechas[[#This Row],[SECTOR/PISCINA]],2)</f>
        <v>13</v>
      </c>
      <c r="J88" s="9" t="str">
        <f>VLOOKUP(TablaCosechas[[#This Row],[COD]],Tabla7[#All],4,0)</f>
        <v>CARLOS FLORES</v>
      </c>
      <c r="K88" s="179">
        <f>(TablaCosechas[[#This Row],[libras planta]]*454)/M88</f>
        <v>132108.02206405692</v>
      </c>
      <c r="L88" s="174">
        <v>8176.73</v>
      </c>
      <c r="M88" s="19">
        <v>28.1</v>
      </c>
      <c r="N88" s="9" t="str">
        <f>UPPER(TEXT(TablaCosechas[[#This Row],[COSECHA]],"MMMM"))</f>
        <v>SEPTIEMBRE</v>
      </c>
      <c r="O88" s="9" t="str">
        <f>IF(A88="DO 29","BAP",IF(A88="RO 14","BAP",(VLOOKUP(TablaCosechas[[#This Row],[COD]],Tabla7[[CODIGO]:[CERTIFICACION]],3,0))))</f>
        <v>CONVENCIONAL</v>
      </c>
      <c r="P88" s="180">
        <f>+L88-E88</f>
        <v>976.72999999999956</v>
      </c>
      <c r="Q88" s="181">
        <f>+M88-F88</f>
        <v>2.1000000000000014</v>
      </c>
      <c r="R88" s="9"/>
    </row>
    <row r="89" spans="1:18" x14ac:dyDescent="0.25">
      <c r="A89" s="9" t="s">
        <v>114</v>
      </c>
      <c r="B89" s="9">
        <f>ROW() - ROW(TablaCosechas[[#Headers],[ID]]) - 4</f>
        <v>84</v>
      </c>
      <c r="C89" s="9" t="str">
        <f>LEFT(A89,2)</f>
        <v>CA</v>
      </c>
      <c r="D89" s="182" t="s">
        <v>367</v>
      </c>
      <c r="E89" s="178">
        <v>8500</v>
      </c>
      <c r="F89" s="19">
        <v>23</v>
      </c>
      <c r="G89" s="195">
        <v>45914</v>
      </c>
      <c r="H89" s="9" t="str">
        <f>VLOOKUP(TablaCosechas[[#This Row],[COD]],DATOS!$E$3:$F$27,2,0)</f>
        <v>CATANUDA</v>
      </c>
      <c r="I89" s="9" t="str">
        <f>RIGHT(TablaCosechas[[#This Row],[SECTOR/PISCINA]],2)</f>
        <v>18</v>
      </c>
      <c r="J89" s="9" t="str">
        <f>VLOOKUP(TablaCosechas[[#This Row],[COD]],Tabla7[#All],4,0)</f>
        <v>VICTOR QUINTANA</v>
      </c>
      <c r="K89" s="179">
        <f>(TablaCosechas[[#This Row],[libras planta]]*454)/M89</f>
        <v>134638.39941477688</v>
      </c>
      <c r="L89" s="174">
        <v>8107.96</v>
      </c>
      <c r="M89" s="19">
        <v>27.34</v>
      </c>
      <c r="N89" s="9" t="str">
        <f>UPPER(TEXT(TablaCosechas[[#This Row],[COSECHA]],"MMMM"))</f>
        <v>SEPTIEMBRE</v>
      </c>
      <c r="O89" s="9" t="str">
        <f>IF(A89="DO 29","BAP",IF(A89="RO 14","BAP",(VLOOKUP(TablaCosechas[[#This Row],[COD]],Tabla7[[CODIGO]:[CERTIFICACION]],3,0))))</f>
        <v>ASC</v>
      </c>
      <c r="P89" s="180">
        <f>+L89-E89</f>
        <v>-392.03999999999996</v>
      </c>
      <c r="Q89" s="181">
        <f>+M89-F89</f>
        <v>4.34</v>
      </c>
      <c r="R89" s="9"/>
    </row>
    <row r="90" spans="1:18" x14ac:dyDescent="0.25">
      <c r="A90" s="9" t="s">
        <v>285</v>
      </c>
      <c r="B90" s="9">
        <f>ROW() - ROW(TablaCosechas[[#Headers],[ID]]) - 4</f>
        <v>85</v>
      </c>
      <c r="C90" s="9" t="str">
        <f>LEFT(A90,2)</f>
        <v>RO</v>
      </c>
      <c r="D90" s="182" t="s">
        <v>366</v>
      </c>
      <c r="E90" s="178">
        <v>60000</v>
      </c>
      <c r="F90" s="19">
        <v>32.5</v>
      </c>
      <c r="G90" s="195">
        <v>45915</v>
      </c>
      <c r="H90" s="9" t="str">
        <f>VLOOKUP(TablaCosechas[[#This Row],[COD]],DATOS!$E$3:$F$27,2,0)</f>
        <v>ROBALO</v>
      </c>
      <c r="I90" s="9" t="str">
        <f>RIGHT(TablaCosechas[[#This Row],[SECTOR/PISCINA]],2)</f>
        <v>05</v>
      </c>
      <c r="J90" s="9" t="str">
        <f>VLOOKUP(TablaCosechas[[#This Row],[COD]],Tabla7[#All],4,0)</f>
        <v>VICTOR QUINTANA</v>
      </c>
      <c r="K90" s="179">
        <f>(TablaCosechas[[#This Row],[libras planta]]*454)/M90</f>
        <v>956660.80917804257</v>
      </c>
      <c r="L90" s="174">
        <v>72550.290000000008</v>
      </c>
      <c r="M90" s="19">
        <v>34.43</v>
      </c>
      <c r="N90" s="9" t="str">
        <f>UPPER(TEXT(TablaCosechas[[#This Row],[COSECHA]],"MMMM"))</f>
        <v>SEPTIEMBRE</v>
      </c>
      <c r="O90" s="9" t="str">
        <f>IF(A90="DO 29","BAP",IF(A90="RO 14","BAP",(VLOOKUP(TablaCosechas[[#This Row],[COD]],Tabla7[[CODIGO]:[CERTIFICACION]],3,0))))</f>
        <v>ASC</v>
      </c>
      <c r="P90" s="180">
        <f>+L90-E90</f>
        <v>12550.290000000008</v>
      </c>
      <c r="Q90" s="181">
        <f>+M90-F90</f>
        <v>1.9299999999999997</v>
      </c>
      <c r="R90" s="9"/>
    </row>
    <row r="91" spans="1:18" x14ac:dyDescent="0.25">
      <c r="A91" s="9" t="s">
        <v>253</v>
      </c>
      <c r="B91" s="9">
        <f>ROW() - ROW(TablaCosechas[[#Headers],[ID]]) - 4</f>
        <v>86</v>
      </c>
      <c r="C91" s="9" t="str">
        <f>LEFT(A91,2)</f>
        <v>DO</v>
      </c>
      <c r="D91" s="182" t="s">
        <v>366</v>
      </c>
      <c r="E91" s="178">
        <v>36700</v>
      </c>
      <c r="F91" s="19">
        <v>29</v>
      </c>
      <c r="G91" s="195">
        <v>45915</v>
      </c>
      <c r="H91" s="9" t="str">
        <f>VLOOKUP(TablaCosechas[[#This Row],[COD]],DATOS!$E$3:$F$27,2,0)</f>
        <v>DORADO</v>
      </c>
      <c r="I91" s="9" t="str">
        <f>RIGHT(TablaCosechas[[#This Row],[SECTOR/PISCINA]],2)</f>
        <v>16</v>
      </c>
      <c r="J91" s="9" t="str">
        <f>VLOOKUP(TablaCosechas[[#This Row],[COD]],Tabla7[#All],4,0)</f>
        <v>JOSE CEDEÑO</v>
      </c>
      <c r="K91" s="179">
        <f>(TablaCosechas[[#This Row],[libras planta]]*454)/M91</f>
        <v>539609.00484429067</v>
      </c>
      <c r="L91" s="174">
        <v>34349.56</v>
      </c>
      <c r="M91" s="19">
        <v>28.9</v>
      </c>
      <c r="N91" s="9" t="str">
        <f>UPPER(TEXT(TablaCosechas[[#This Row],[COSECHA]],"MMMM"))</f>
        <v>SEPTIEMBRE</v>
      </c>
      <c r="O91" s="9" t="str">
        <f>IF(A91="DO 29","BAP",IF(A91="RO 14","BAP",(VLOOKUP(TablaCosechas[[#This Row],[COD]],Tabla7[[CODIGO]:[CERTIFICACION]],3,0))))</f>
        <v>ASC</v>
      </c>
      <c r="P91" s="180">
        <f>+L91-E91</f>
        <v>-2350.4400000000023</v>
      </c>
      <c r="Q91" s="181">
        <f>+M91-F91</f>
        <v>-0.10000000000000142</v>
      </c>
      <c r="R91" s="9"/>
    </row>
    <row r="92" spans="1:18" x14ac:dyDescent="0.25">
      <c r="A92" s="9" t="s">
        <v>130</v>
      </c>
      <c r="B92" s="9">
        <f>ROW() - ROW(TablaCosechas[[#Headers],[ID]]) - 4</f>
        <v>87</v>
      </c>
      <c r="C92" s="9" t="str">
        <f>LEFT(A92,2)</f>
        <v>DE</v>
      </c>
      <c r="D92" s="182" t="s">
        <v>367</v>
      </c>
      <c r="E92" s="178">
        <v>10500</v>
      </c>
      <c r="F92" s="19">
        <v>24</v>
      </c>
      <c r="G92" s="195">
        <v>45915</v>
      </c>
      <c r="H92" s="9" t="str">
        <f>VLOOKUP(TablaCosechas[[#This Row],[COD]],DATOS!$E$3:$F$26,2,0)</f>
        <v>DELFIN</v>
      </c>
      <c r="I92" s="9" t="str">
        <f>RIGHT(TablaCosechas[[#This Row],[SECTOR/PISCINA]],2)</f>
        <v>27</v>
      </c>
      <c r="J92" s="9" t="str">
        <f>VLOOKUP(TablaCosechas[[#This Row],[COD]],Tabla7[#All],4,0)</f>
        <v>CARLOS FLORES</v>
      </c>
      <c r="K92" s="179">
        <f>(TablaCosechas[[#This Row],[libras planta]]*454)/M92</f>
        <v>179284.7351190476</v>
      </c>
      <c r="L92" s="174">
        <v>10614.92</v>
      </c>
      <c r="M92" s="19">
        <v>26.88</v>
      </c>
      <c r="N92" s="9" t="str">
        <f>UPPER(TEXT(TablaCosechas[[#This Row],[COSECHA]],"MMMM"))</f>
        <v>SEPTIEMBRE</v>
      </c>
      <c r="O92" s="9" t="str">
        <f>IF(A92="DO 29","BAP",IF(A92="RO 14","BAP",(VLOOKUP(TablaCosechas[[#This Row],[COD]],Tabla7[[CODIGO]:[CERTIFICACION]],3,0))))</f>
        <v>CONVENCIONAL</v>
      </c>
      <c r="P92" s="180">
        <f>+L92-E92</f>
        <v>114.92000000000007</v>
      </c>
      <c r="Q92" s="181">
        <f>+M92-F92</f>
        <v>2.879999999999999</v>
      </c>
      <c r="R92" s="9"/>
    </row>
    <row r="93" spans="1:18" x14ac:dyDescent="0.25">
      <c r="A93" s="9" t="s">
        <v>30</v>
      </c>
      <c r="B93" s="9">
        <f>ROW() - ROW(TablaCosechas[[#Headers],[ID]]) - 4</f>
        <v>88</v>
      </c>
      <c r="C93" s="9" t="str">
        <f>LEFT(A93,2)</f>
        <v>CH</v>
      </c>
      <c r="D93" s="182" t="s">
        <v>366</v>
      </c>
      <c r="E93" s="178">
        <f>66300+5400</f>
        <v>71700</v>
      </c>
      <c r="F93" s="19">
        <v>33.5</v>
      </c>
      <c r="G93" s="195">
        <v>45915</v>
      </c>
      <c r="H93" s="9" t="str">
        <f>VLOOKUP(TablaCosechas[[#This Row],[COD]],DATOS!$E$3:$F$27,2,0)</f>
        <v>CHERNA</v>
      </c>
      <c r="I93" s="9" t="str">
        <f>RIGHT(TablaCosechas[[#This Row],[SECTOR/PISCINA]],2)</f>
        <v>19</v>
      </c>
      <c r="J93" s="9" t="str">
        <f>VLOOKUP(TablaCosechas[[#This Row],[COD]],Tabla7[#All],4,0)</f>
        <v>SANTIAGO OBRIEN</v>
      </c>
      <c r="K93" s="179">
        <f>(TablaCosechas[[#This Row],[libras planta]]*454)/M93</f>
        <v>963567.80334855383</v>
      </c>
      <c r="L93" s="174">
        <f>64513.24+5207.47</f>
        <v>69720.709999999992</v>
      </c>
      <c r="M93" s="19">
        <v>32.85</v>
      </c>
      <c r="N93" s="9" t="str">
        <f>UPPER(TEXT(TablaCosechas[[#This Row],[COSECHA]],"MMMM"))</f>
        <v>SEPTIEMBRE</v>
      </c>
      <c r="O93" s="9" t="str">
        <f>IF(A93="DO 29","BAP",IF(A93="RO 14","BAP",(VLOOKUP(TablaCosechas[[#This Row],[COD]],Tabla7[[CODIGO]:[CERTIFICACION]],3,0))))</f>
        <v>ASC</v>
      </c>
      <c r="P93" s="180">
        <f>+L93-E93</f>
        <v>-1979.2900000000081</v>
      </c>
      <c r="Q93" s="181">
        <f>+M93-F93</f>
        <v>-0.64999999999999858</v>
      </c>
      <c r="R93" s="9"/>
    </row>
    <row r="94" spans="1:18" x14ac:dyDescent="0.25">
      <c r="A94" s="9" t="s">
        <v>9</v>
      </c>
      <c r="B94" s="9">
        <f>ROW() - ROW(TablaCosechas[[#Headers],[ID]]) - 4</f>
        <v>89</v>
      </c>
      <c r="C94" s="9" t="str">
        <f>LEFT(A94,2)</f>
        <v>CH</v>
      </c>
      <c r="D94" s="182" t="s">
        <v>366</v>
      </c>
      <c r="E94" s="178">
        <v>3300</v>
      </c>
      <c r="F94" s="19">
        <v>30</v>
      </c>
      <c r="G94" s="195">
        <v>45915</v>
      </c>
      <c r="H94" s="9" t="str">
        <f>VLOOKUP(TablaCosechas[[#This Row],[COD]],DATOS!$E$3:$F$27,2,0)</f>
        <v>CHERNA</v>
      </c>
      <c r="I94" s="9" t="str">
        <f>RIGHT(TablaCosechas[[#This Row],[SECTOR/PISCINA]],2)</f>
        <v>03</v>
      </c>
      <c r="J94" s="9" t="str">
        <f>VLOOKUP(TablaCosechas[[#This Row],[COD]],Tabla7[#All],4,0)</f>
        <v>SANTIAGO OBRIEN</v>
      </c>
      <c r="K94" s="179">
        <f>(TablaCosechas[[#This Row],[libras planta]]*454)/M94</f>
        <v>44336.68421052632</v>
      </c>
      <c r="L94" s="174">
        <v>2894.58</v>
      </c>
      <c r="M94" s="19">
        <v>29.64</v>
      </c>
      <c r="N94" s="9" t="str">
        <f>UPPER(TEXT(TablaCosechas[[#This Row],[COSECHA]],"MMMM"))</f>
        <v>SEPTIEMBRE</v>
      </c>
      <c r="O94" s="9" t="str">
        <f>IF(A94="DO 29","BAP",IF(A94="RO 14","BAP",(VLOOKUP(TablaCosechas[[#This Row],[COD]],Tabla7[[CODIGO]:[CERTIFICACION]],3,0))))</f>
        <v>ASC</v>
      </c>
      <c r="P94" s="180">
        <f>+L94-E94</f>
        <v>-405.42000000000007</v>
      </c>
      <c r="Q94" s="181">
        <f>+M94-F94</f>
        <v>-0.35999999999999943</v>
      </c>
      <c r="R94" s="9"/>
    </row>
    <row r="95" spans="1:18" x14ac:dyDescent="0.25">
      <c r="A95" s="9" t="s">
        <v>185</v>
      </c>
      <c r="B95" s="9">
        <f>ROW() - ROW(TablaCosechas[[#Headers],[ID]]) - 4</f>
        <v>90</v>
      </c>
      <c r="C95" s="9" t="str">
        <f>LEFT(A95,2)</f>
        <v>TU</v>
      </c>
      <c r="D95" s="182" t="s">
        <v>367</v>
      </c>
      <c r="E95" s="178">
        <v>4800</v>
      </c>
      <c r="F95" s="19">
        <v>14</v>
      </c>
      <c r="G95" s="195">
        <v>45916</v>
      </c>
      <c r="H95" s="9" t="str">
        <f>VLOOKUP(TablaCosechas[[#This Row],[COD]],DATOS!$E$3:$F$26,2,0)</f>
        <v>TUNA</v>
      </c>
      <c r="I95" s="9" t="str">
        <f>RIGHT(TablaCosechas[[#This Row],[SECTOR/PISCINA]],2)</f>
        <v>4A</v>
      </c>
      <c r="J95" s="9" t="str">
        <f>VLOOKUP(TablaCosechas[[#This Row],[COD]],Tabla7[#All],4,0)</f>
        <v>GUSTAVO CARRASCO</v>
      </c>
      <c r="K95" s="179">
        <f>(TablaCosechas[[#This Row],[libras planta]]*454)/M95</f>
        <v>115046.0115473441</v>
      </c>
      <c r="L95" s="174">
        <v>4388.9799999999996</v>
      </c>
      <c r="M95" s="19">
        <v>17.32</v>
      </c>
      <c r="N95" s="9" t="str">
        <f>UPPER(TEXT(TablaCosechas[[#This Row],[COSECHA]],"MMMM"))</f>
        <v>SEPTIEMBRE</v>
      </c>
      <c r="O95" s="9" t="str">
        <f>IF(A95="DO 29","BAP",IF(A95="RO 14","BAP",(VLOOKUP(TablaCosechas[[#This Row],[COD]],Tabla7[[CODIGO]:[CERTIFICACION]],3,0))))</f>
        <v>ASC</v>
      </c>
      <c r="P95" s="180">
        <f>+L95-E95</f>
        <v>-411.02000000000044</v>
      </c>
      <c r="Q95" s="181">
        <f>+M95-F95</f>
        <v>3.3200000000000003</v>
      </c>
      <c r="R95" s="9"/>
    </row>
    <row r="96" spans="1:18" x14ac:dyDescent="0.25">
      <c r="A96" s="9" t="s">
        <v>303</v>
      </c>
      <c r="B96" s="9">
        <f>ROW() - ROW(TablaCosechas[[#Headers],[ID]]) - 4</f>
        <v>91</v>
      </c>
      <c r="C96" s="9" t="str">
        <f>LEFT(A96,2)</f>
        <v>TI</v>
      </c>
      <c r="D96" s="182" t="s">
        <v>366</v>
      </c>
      <c r="E96" s="178">
        <f>60100+12700</f>
        <v>72800</v>
      </c>
      <c r="F96" s="19">
        <v>35</v>
      </c>
      <c r="G96" s="195">
        <v>45916</v>
      </c>
      <c r="H96" s="9" t="str">
        <f>VLOOKUP(TablaCosechas[[#This Row],[COD]],DATOS!$E$3:$F$27,2,0)</f>
        <v>TIBURON</v>
      </c>
      <c r="I96" s="9" t="str">
        <f>RIGHT(TablaCosechas[[#This Row],[SECTOR/PISCINA]],2)</f>
        <v>16</v>
      </c>
      <c r="J96" s="9" t="str">
        <f>VLOOKUP(TablaCosechas[[#This Row],[COD]],Tabla7[#All],4,0)</f>
        <v>ALFONSO GRUNAUER</v>
      </c>
      <c r="K96" s="179">
        <f>(TablaCosechas[[#This Row],[libras planta]]*454)/M96</f>
        <v>909800.82809402421</v>
      </c>
      <c r="L96" s="174">
        <f>56645.56+14114.5</f>
        <v>70760.06</v>
      </c>
      <c r="M96" s="19">
        <v>35.31</v>
      </c>
      <c r="N96" s="9" t="str">
        <f>UPPER(TEXT(TablaCosechas[[#This Row],[COSECHA]],"MMMM"))</f>
        <v>SEPTIEMBRE</v>
      </c>
      <c r="O96" s="9" t="str">
        <f>IF(A96="DO 29","BAP",IF(A96="RO 14","BAP",(VLOOKUP(TablaCosechas[[#This Row],[COD]],Tabla7[[CODIGO]:[CERTIFICACION]],3,0))))</f>
        <v>ASC</v>
      </c>
      <c r="P96" s="180">
        <f>+L96-E96</f>
        <v>-2039.9400000000023</v>
      </c>
      <c r="Q96" s="181">
        <f>+M96-F96</f>
        <v>0.31000000000000227</v>
      </c>
      <c r="R96" s="9"/>
    </row>
    <row r="97" spans="1:18" x14ac:dyDescent="0.25">
      <c r="A97" s="9" t="s">
        <v>285</v>
      </c>
      <c r="B97" s="9">
        <f>ROW() - ROW(TablaCosechas[[#Headers],[ID]]) - 4</f>
        <v>92</v>
      </c>
      <c r="C97" s="9" t="str">
        <f>LEFT(A97,2)</f>
        <v>RO</v>
      </c>
      <c r="D97" s="182" t="s">
        <v>366</v>
      </c>
      <c r="E97" s="178">
        <v>28050</v>
      </c>
      <c r="F97" s="19">
        <v>32.5</v>
      </c>
      <c r="G97" s="195">
        <v>45916</v>
      </c>
      <c r="H97" s="9" t="str">
        <f>VLOOKUP(TablaCosechas[[#This Row],[COD]],DATOS!$E$3:$F$27,2,0)</f>
        <v>ROBALO</v>
      </c>
      <c r="I97" s="9" t="str">
        <f>RIGHT(TablaCosechas[[#This Row],[SECTOR/PISCINA]],2)</f>
        <v>05</v>
      </c>
      <c r="J97" s="9" t="str">
        <f>VLOOKUP(TablaCosechas[[#This Row],[COD]],Tabla7[#All],4,0)</f>
        <v>VICTOR QUINTANA</v>
      </c>
      <c r="K97" s="179">
        <f>(TablaCosechas[[#This Row],[libras planta]]*454)/M97</f>
        <v>426690.24513505667</v>
      </c>
      <c r="L97" s="174">
        <v>32358.91</v>
      </c>
      <c r="M97" s="19">
        <v>34.43</v>
      </c>
      <c r="N97" s="9" t="str">
        <f>UPPER(TEXT(TablaCosechas[[#This Row],[COSECHA]],"MMMM"))</f>
        <v>SEPTIEMBRE</v>
      </c>
      <c r="O97" s="9" t="str">
        <f>IF(A97="DO 29","BAP",IF(A97="RO 14","BAP",(VLOOKUP(TablaCosechas[[#This Row],[COD]],Tabla7[[CODIGO]:[CERTIFICACION]],3,0))))</f>
        <v>ASC</v>
      </c>
      <c r="P97" s="180">
        <f>+L97-E97</f>
        <v>4308.91</v>
      </c>
      <c r="Q97" s="181">
        <f>+M97-F97</f>
        <v>1.9299999999999997</v>
      </c>
      <c r="R97" s="9"/>
    </row>
    <row r="98" spans="1:18" x14ac:dyDescent="0.25">
      <c r="A98" s="9" t="s">
        <v>148</v>
      </c>
      <c r="B98" s="9">
        <f>ROW() - ROW(TablaCosechas[[#Headers],[ID]]) - 4</f>
        <v>93</v>
      </c>
      <c r="C98" s="9" t="str">
        <f>LEFT(A98,2)</f>
        <v>GT</v>
      </c>
      <c r="D98" s="182" t="s">
        <v>367</v>
      </c>
      <c r="E98" s="178">
        <v>4950</v>
      </c>
      <c r="F98" s="19">
        <v>23</v>
      </c>
      <c r="G98" s="195">
        <v>45916</v>
      </c>
      <c r="H98" s="9" t="str">
        <f>VLOOKUP(TablaCosechas[[#This Row],[COD]],DATOS!$E$3:$F$26,2,0)</f>
        <v>GUATO</v>
      </c>
      <c r="I98" s="9" t="str">
        <f>RIGHT(TablaCosechas[[#This Row],[SECTOR/PISCINA]],2)</f>
        <v>07</v>
      </c>
      <c r="J98" s="9" t="str">
        <f>VLOOKUP(TablaCosechas[[#This Row],[COD]],Tabla7[#All],4,0)</f>
        <v>JULIO SANTOS</v>
      </c>
      <c r="K98" s="179">
        <f>(TablaCosechas[[#This Row],[libras planta]]*454)/M98</f>
        <v>95510.25</v>
      </c>
      <c r="L98" s="174">
        <v>5032.17</v>
      </c>
      <c r="M98" s="19">
        <v>23.92</v>
      </c>
      <c r="N98" s="9" t="str">
        <f>UPPER(TEXT(TablaCosechas[[#This Row],[COSECHA]],"MMMM"))</f>
        <v>SEPTIEMBRE</v>
      </c>
      <c r="O98" s="9" t="str">
        <f>IF(A98="DO 29","BAP",IF(A98="RO 14","BAP",(VLOOKUP(TablaCosechas[[#This Row],[COD]],Tabla7[[CODIGO]:[CERTIFICACION]],3,0))))</f>
        <v>CONVENCIONAL</v>
      </c>
      <c r="P98" s="180">
        <f>+L98-E98</f>
        <v>82.170000000000073</v>
      </c>
      <c r="Q98" s="181">
        <f>+M98-F98</f>
        <v>0.92000000000000171</v>
      </c>
      <c r="R98" s="9"/>
    </row>
    <row r="99" spans="1:18" x14ac:dyDescent="0.25">
      <c r="A99" s="9" t="s">
        <v>308</v>
      </c>
      <c r="B99" s="9">
        <f>ROW() - ROW(TablaCosechas[[#Headers],[ID]]) - 4</f>
        <v>94</v>
      </c>
      <c r="C99" s="9" t="str">
        <f>LEFT(A99,2)</f>
        <v>DO</v>
      </c>
      <c r="D99" s="182" t="s">
        <v>366</v>
      </c>
      <c r="E99" s="178">
        <v>3600</v>
      </c>
      <c r="F99" s="19">
        <v>37</v>
      </c>
      <c r="G99" s="195">
        <v>45916</v>
      </c>
      <c r="H99" s="9" t="str">
        <f>VLOOKUP(TablaCosechas[[#This Row],[COD]],DATOS!$E$3:$F$27,2,0)</f>
        <v>DORADO</v>
      </c>
      <c r="I99" s="9" t="str">
        <f>RIGHT(TablaCosechas[[#This Row],[SECTOR/PISCINA]],2)</f>
        <v>26</v>
      </c>
      <c r="J99" s="9" t="str">
        <f>VLOOKUP(TablaCosechas[[#This Row],[COD]],Tabla7[#All],4,0)</f>
        <v>JOSE CEDEÑO</v>
      </c>
      <c r="K99" s="179">
        <f>(TablaCosechas[[#This Row],[libras planta]]*454)/M99</f>
        <v>40696.055555555555</v>
      </c>
      <c r="L99" s="174">
        <v>3452.89</v>
      </c>
      <c r="M99" s="19">
        <v>38.520000000000003</v>
      </c>
      <c r="N99" s="9" t="str">
        <f>UPPER(TEXT(TablaCosechas[[#This Row],[COSECHA]],"MMMM"))</f>
        <v>SEPTIEMBRE</v>
      </c>
      <c r="O99" s="9" t="str">
        <f>IF(A99="DO 29","BAP",IF(A99="RO 14","BAP",(VLOOKUP(TablaCosechas[[#This Row],[COD]],Tabla7[[CODIGO]:[CERTIFICACION]],3,0))))</f>
        <v>ASC</v>
      </c>
      <c r="P99" s="180">
        <f>+L99-E99</f>
        <v>-147.11000000000013</v>
      </c>
      <c r="Q99" s="181">
        <f>+M99-F99</f>
        <v>1.5200000000000031</v>
      </c>
      <c r="R99" s="9"/>
    </row>
    <row r="100" spans="1:18" x14ac:dyDescent="0.25">
      <c r="A100" s="9" t="s">
        <v>137</v>
      </c>
      <c r="B100" s="9">
        <f>ROW() - ROW(TablaCosechas[[#Headers],[ID]]) - 4</f>
        <v>95</v>
      </c>
      <c r="C100" s="9" t="str">
        <f>LEFT(A100,2)</f>
        <v>DO</v>
      </c>
      <c r="D100" s="182" t="s">
        <v>367</v>
      </c>
      <c r="E100" s="178">
        <v>12000</v>
      </c>
      <c r="F100" s="19">
        <v>19</v>
      </c>
      <c r="G100" s="195">
        <v>45916</v>
      </c>
      <c r="H100" s="9" t="str">
        <f>VLOOKUP(TablaCosechas[[#This Row],[COD]],DATOS!$E$3:$F$27,2,0)</f>
        <v>DORADO</v>
      </c>
      <c r="I100" s="9" t="str">
        <f>RIGHT(TablaCosechas[[#This Row],[SECTOR/PISCINA]],2)</f>
        <v>20</v>
      </c>
      <c r="J100" s="9" t="str">
        <f>VLOOKUP(TablaCosechas[[#This Row],[COD]],Tabla7[#All],4,0)</f>
        <v>JOSE CEDEÑO</v>
      </c>
      <c r="K100" s="179">
        <f>(TablaCosechas[[#This Row],[libras planta]]*454)/M100</f>
        <v>270157.3326530612</v>
      </c>
      <c r="L100" s="174">
        <v>11663.18</v>
      </c>
      <c r="M100" s="19">
        <v>19.600000000000001</v>
      </c>
      <c r="N100" s="9" t="str">
        <f>UPPER(TEXT(TablaCosechas[[#This Row],[COSECHA]],"MMMM"))</f>
        <v>SEPTIEMBRE</v>
      </c>
      <c r="O100" s="9" t="str">
        <f>IF(A100="DO 29","BAP",IF(A100="RO 14","BAP",(VLOOKUP(TablaCosechas[[#This Row],[COD]],Tabla7[[CODIGO]:[CERTIFICACION]],3,0))))</f>
        <v>ASC</v>
      </c>
      <c r="P100" s="180">
        <f>+L100-E100</f>
        <v>-336.81999999999971</v>
      </c>
      <c r="Q100" s="181">
        <f>+M100-F100</f>
        <v>0.60000000000000142</v>
      </c>
      <c r="R100" s="9"/>
    </row>
    <row r="101" spans="1:18" x14ac:dyDescent="0.25">
      <c r="A101" s="9" t="s">
        <v>368</v>
      </c>
      <c r="B101" s="9">
        <f>ROW() - ROW(TablaCosechas[[#Headers],[ID]]) - 4</f>
        <v>96</v>
      </c>
      <c r="C101" s="9" t="str">
        <f>LEFT(A101,2)</f>
        <v>DE</v>
      </c>
      <c r="D101" s="182" t="s">
        <v>366</v>
      </c>
      <c r="E101" s="178">
        <v>200</v>
      </c>
      <c r="F101" s="19">
        <v>30</v>
      </c>
      <c r="G101" s="195">
        <v>45916</v>
      </c>
      <c r="H101" s="9" t="str">
        <f>VLOOKUP(TablaCosechas[[#This Row],[COD]],DATOS!$E$3:$F$27,2,0)</f>
        <v>DELFIN</v>
      </c>
      <c r="I101" s="9" t="str">
        <f>RIGHT(TablaCosechas[[#This Row],[SECTOR/PISCINA]],2)</f>
        <v>26</v>
      </c>
      <c r="J101" s="9" t="str">
        <f>VLOOKUP(TablaCosechas[[#This Row],[COD]],Tabla7[#All],4,0)</f>
        <v>CARLOS FLORES</v>
      </c>
      <c r="K101" s="179">
        <f>(TablaCosechas[[#This Row],[libras planta]]*454)/M101</f>
        <v>3473.5570469798658</v>
      </c>
      <c r="L101" s="174">
        <v>228</v>
      </c>
      <c r="M101" s="19">
        <v>29.8</v>
      </c>
      <c r="N101" s="9" t="str">
        <f>UPPER(TEXT(TablaCosechas[[#This Row],[COSECHA]],"MMMM"))</f>
        <v>SEPTIEMBRE</v>
      </c>
      <c r="O101" s="9" t="str">
        <f>IF(A101="DO 29","BAP",IF(A101="RO 14","BAP",(VLOOKUP(TablaCosechas[[#This Row],[COD]],Tabla7[[CODIGO]:[CERTIFICACION]],3,0))))</f>
        <v>CONVENCIONAL</v>
      </c>
      <c r="P101" s="180">
        <f>+L101-E101</f>
        <v>28</v>
      </c>
      <c r="Q101" s="181">
        <f>+M101-F101</f>
        <v>-0.19999999999999929</v>
      </c>
      <c r="R101" s="9"/>
    </row>
    <row r="102" spans="1:18" x14ac:dyDescent="0.25">
      <c r="A102" s="9" t="s">
        <v>196</v>
      </c>
      <c r="B102" s="9">
        <f>ROW() - ROW(TablaCosechas[[#Headers],[ID]]) - 4</f>
        <v>97</v>
      </c>
      <c r="C102" s="9" t="str">
        <f>LEFT(A102,2)</f>
        <v>DE</v>
      </c>
      <c r="D102" s="182" t="s">
        <v>367</v>
      </c>
      <c r="E102" s="178">
        <v>7200</v>
      </c>
      <c r="F102" s="19">
        <v>19</v>
      </c>
      <c r="G102" s="195">
        <v>45916</v>
      </c>
      <c r="H102" s="9" t="str">
        <f>VLOOKUP(TablaCosechas[[#This Row],[COD]],DATOS!$E$3:$F$26,2,0)</f>
        <v>DELFIN</v>
      </c>
      <c r="I102" s="9" t="str">
        <f>RIGHT(TablaCosechas[[#This Row],[SECTOR/PISCINA]],2)</f>
        <v>03</v>
      </c>
      <c r="J102" s="9" t="str">
        <f>VLOOKUP(TablaCosechas[[#This Row],[COD]],Tabla7[#All],4,0)</f>
        <v>CARLOS FLORES</v>
      </c>
      <c r="K102" s="179">
        <f>(TablaCosechas[[#This Row],[libras planta]]*454)/M102</f>
        <v>165854.52012711865</v>
      </c>
      <c r="L102" s="174">
        <v>6897.21</v>
      </c>
      <c r="M102" s="19">
        <v>18.88</v>
      </c>
      <c r="N102" s="9" t="str">
        <f>UPPER(TEXT(TablaCosechas[[#This Row],[COSECHA]],"MMMM"))</f>
        <v>SEPTIEMBRE</v>
      </c>
      <c r="O102" s="9" t="str">
        <f>IF(A102="DO 29","BAP",IF(A102="RO 14","BAP",(VLOOKUP(TablaCosechas[[#This Row],[COD]],Tabla7[[CODIGO]:[CERTIFICACION]],3,0))))</f>
        <v>CONVENCIONAL</v>
      </c>
      <c r="P102" s="180">
        <f>+L102-E102</f>
        <v>-302.78999999999996</v>
      </c>
      <c r="Q102" s="181">
        <f>+M102-F102</f>
        <v>-0.12000000000000099</v>
      </c>
      <c r="R102" s="9"/>
    </row>
    <row r="103" spans="1:18" x14ac:dyDescent="0.25">
      <c r="A103" s="9" t="s">
        <v>157</v>
      </c>
      <c r="B103" s="9">
        <f>ROW() - ROW(TablaCosechas[[#Headers],[ID]]) - 4</f>
        <v>98</v>
      </c>
      <c r="C103" s="9" t="str">
        <f>LEFT(A103,2)</f>
        <v>WA</v>
      </c>
      <c r="D103" s="182" t="s">
        <v>367</v>
      </c>
      <c r="E103" s="178">
        <v>9600</v>
      </c>
      <c r="F103" s="19">
        <v>19</v>
      </c>
      <c r="G103" s="195">
        <v>45917</v>
      </c>
      <c r="H103" s="9" t="str">
        <f>VLOOKUP(TablaCosechas[[#This Row],[COD]],DATOS!$E$3:$F$27,2,0)</f>
        <v>WAHOO</v>
      </c>
      <c r="I103" s="9" t="str">
        <f>RIGHT(TablaCosechas[[#This Row],[SECTOR/PISCINA]],2)</f>
        <v>04</v>
      </c>
      <c r="J103" s="9" t="str">
        <f>VLOOKUP(TablaCosechas[[#This Row],[COD]],Tabla7[#All],4,0)</f>
        <v>JUNIOR ESQUIVEL</v>
      </c>
      <c r="K103" s="179">
        <f>(TablaCosechas[[#This Row],[libras planta]]*454)/M103</f>
        <v>196470.44104410437</v>
      </c>
      <c r="L103" s="174">
        <v>9615.7999999999993</v>
      </c>
      <c r="M103" s="19">
        <v>22.22</v>
      </c>
      <c r="N103" s="9" t="str">
        <f>UPPER(TEXT(TablaCosechas[[#This Row],[COSECHA]],"MMMM"))</f>
        <v>SEPTIEMBRE</v>
      </c>
      <c r="O103" s="9" t="str">
        <f>IF(A103="DO 29","BAP",IF(A103="RO 14","BAP",(VLOOKUP(TablaCosechas[[#This Row],[COD]],Tabla7[[CODIGO]:[CERTIFICACION]],3,0))))</f>
        <v>CONVENCIONAL</v>
      </c>
      <c r="P103" s="180">
        <f>+L103-E103</f>
        <v>15.799999999999272</v>
      </c>
      <c r="Q103" s="181">
        <f>+M103-F103</f>
        <v>3.2199999999999989</v>
      </c>
      <c r="R103" s="9"/>
    </row>
    <row r="104" spans="1:18" x14ac:dyDescent="0.25">
      <c r="A104" s="9" t="s">
        <v>129</v>
      </c>
      <c r="B104" s="9">
        <f>ROW() - ROW(TablaCosechas[[#Headers],[ID]]) - 4</f>
        <v>99</v>
      </c>
      <c r="C104" s="9" t="str">
        <f>LEFT(A104,2)</f>
        <v>RO</v>
      </c>
      <c r="D104" s="182" t="s">
        <v>367</v>
      </c>
      <c r="E104" s="178">
        <v>4000</v>
      </c>
      <c r="F104" s="19">
        <v>18.5</v>
      </c>
      <c r="G104" s="195">
        <v>45917</v>
      </c>
      <c r="H104" s="9" t="str">
        <f>VLOOKUP(TablaCosechas[[#This Row],[COD]],DATOS!$E$3:$F$26,2,0)</f>
        <v>ROBALO</v>
      </c>
      <c r="I104" s="9" t="str">
        <f>RIGHT(TablaCosechas[[#This Row],[SECTOR/PISCINA]],2)</f>
        <v>11</v>
      </c>
      <c r="J104" s="9" t="str">
        <f>VLOOKUP(TablaCosechas[[#This Row],[COD]],Tabla7[#All],4,0)</f>
        <v>VICTOR QUINTANA</v>
      </c>
      <c r="K104" s="179">
        <f>(TablaCosechas[[#This Row],[libras planta]]*454)/M104</f>
        <v>83863.15951492537</v>
      </c>
      <c r="L104" s="174">
        <v>3960.41</v>
      </c>
      <c r="M104" s="19">
        <v>21.44</v>
      </c>
      <c r="N104" s="9" t="str">
        <f>UPPER(TEXT(TablaCosechas[[#This Row],[COSECHA]],"MMMM"))</f>
        <v>SEPTIEMBRE</v>
      </c>
      <c r="O104" s="9" t="str">
        <f>IF(A104="DO 29","BAP",IF(A104="RO 14","BAP",(VLOOKUP(TablaCosechas[[#This Row],[COD]],Tabla7[[CODIGO]:[CERTIFICACION]],3,0))))</f>
        <v>ASC</v>
      </c>
      <c r="P104" s="180">
        <f>+L104-E104</f>
        <v>-39.590000000000146</v>
      </c>
      <c r="Q104" s="181">
        <f>+M104-F104</f>
        <v>2.9400000000000013</v>
      </c>
      <c r="R104" s="9"/>
    </row>
    <row r="105" spans="1:18" x14ac:dyDescent="0.25">
      <c r="A105" s="9" t="s">
        <v>312</v>
      </c>
      <c r="B105" s="9">
        <f>ROW() - ROW(TablaCosechas[[#Headers],[ID]]) - 4</f>
        <v>100</v>
      </c>
      <c r="C105" s="9" t="str">
        <f>LEFT(A105,2)</f>
        <v>GT</v>
      </c>
      <c r="D105" s="182" t="s">
        <v>366</v>
      </c>
      <c r="E105" s="178">
        <v>40000</v>
      </c>
      <c r="F105" s="19">
        <v>32</v>
      </c>
      <c r="G105" s="195">
        <v>45917</v>
      </c>
      <c r="H105" s="9" t="str">
        <f>VLOOKUP(TablaCosechas[[#This Row],[COD]],DATOS!$E$3:$F$27,2,0)</f>
        <v>GUATO</v>
      </c>
      <c r="I105" s="9" t="str">
        <f>RIGHT(TablaCosechas[[#This Row],[SECTOR/PISCINA]],2)</f>
        <v>12</v>
      </c>
      <c r="J105" s="9" t="str">
        <f>VLOOKUP(TablaCosechas[[#This Row],[COD]],Tabla7[#All],4,0)</f>
        <v>JULIO SANTOS</v>
      </c>
      <c r="K105" s="179">
        <f>(TablaCosechas[[#This Row],[libras planta]]*454)/M105</f>
        <v>615376.377124183</v>
      </c>
      <c r="L105" s="174">
        <v>41476.910000000003</v>
      </c>
      <c r="M105" s="19">
        <v>30.6</v>
      </c>
      <c r="N105" s="9" t="str">
        <f>UPPER(TEXT(TablaCosechas[[#This Row],[COSECHA]],"MMMM"))</f>
        <v>SEPTIEMBRE</v>
      </c>
      <c r="O105" s="9" t="str">
        <f>IF(A105="DO 29","BAP",IF(A105="RO 14","BAP",(VLOOKUP(TablaCosechas[[#This Row],[COD]],Tabla7[[CODIGO]:[CERTIFICACION]],3,0))))</f>
        <v>CONVENCIONAL</v>
      </c>
      <c r="P105" s="180">
        <f>+L105-E105</f>
        <v>1476.9100000000035</v>
      </c>
      <c r="Q105" s="181">
        <f>+M105-F105</f>
        <v>-1.3999999999999986</v>
      </c>
      <c r="R105" s="9"/>
    </row>
    <row r="106" spans="1:18" x14ac:dyDescent="0.25">
      <c r="A106" s="9" t="s">
        <v>159</v>
      </c>
      <c r="B106" s="9">
        <f>ROW() - ROW(TablaCosechas[[#Headers],[ID]]) - 4</f>
        <v>101</v>
      </c>
      <c r="C106" s="9" t="str">
        <f>LEFT(A106,2)</f>
        <v>DO</v>
      </c>
      <c r="D106" s="182" t="s">
        <v>367</v>
      </c>
      <c r="E106" s="178">
        <v>24800</v>
      </c>
      <c r="F106" s="19">
        <v>26</v>
      </c>
      <c r="G106" s="195">
        <v>45917</v>
      </c>
      <c r="H106" s="9" t="str">
        <f>VLOOKUP(TablaCosechas[[#This Row],[COD]],DATOS!$E$3:$F$27,2,0)</f>
        <v>DORADO</v>
      </c>
      <c r="I106" s="9" t="str">
        <f>RIGHT(TablaCosechas[[#This Row],[SECTOR/PISCINA]],2)</f>
        <v>23</v>
      </c>
      <c r="J106" s="9" t="str">
        <f>VLOOKUP(TablaCosechas[[#This Row],[COD]],Tabla7[#All],4,0)</f>
        <v>JOSE CEDEÑO</v>
      </c>
      <c r="K106" s="179">
        <f>(TablaCosechas[[#This Row],[libras planta]]*454)/M106</f>
        <v>399114.77409860195</v>
      </c>
      <c r="L106" s="174">
        <v>23894.14</v>
      </c>
      <c r="M106" s="19">
        <v>27.18</v>
      </c>
      <c r="N106" s="9" t="str">
        <f>UPPER(TEXT(TablaCosechas[[#This Row],[COSECHA]],"MMMM"))</f>
        <v>SEPTIEMBRE</v>
      </c>
      <c r="O106" s="9" t="str">
        <f>IF(A106="DO 29","BAP",IF(A106="RO 14","BAP",(VLOOKUP(TablaCosechas[[#This Row],[COD]],Tabla7[[CODIGO]:[CERTIFICACION]],3,0))))</f>
        <v>ASC</v>
      </c>
      <c r="P106" s="180">
        <f>+L106-E106</f>
        <v>-905.86000000000058</v>
      </c>
      <c r="Q106" s="181">
        <f>+M106-F106</f>
        <v>1.1799999999999997</v>
      </c>
      <c r="R106" s="9"/>
    </row>
    <row r="107" spans="1:18" x14ac:dyDescent="0.25">
      <c r="A107" s="9" t="s">
        <v>323</v>
      </c>
      <c r="B107" s="9">
        <f>ROW() - ROW(TablaCosechas[[#Headers],[ID]]) - 4</f>
        <v>102</v>
      </c>
      <c r="C107" s="9" t="str">
        <f>LEFT(A107,2)</f>
        <v>DO</v>
      </c>
      <c r="D107" s="182" t="s">
        <v>366</v>
      </c>
      <c r="E107" s="178">
        <v>46500</v>
      </c>
      <c r="F107" s="19">
        <v>38</v>
      </c>
      <c r="G107" s="195">
        <v>45917</v>
      </c>
      <c r="H107" s="9" t="str">
        <f>VLOOKUP(TablaCosechas[[#This Row],[COD]],DATOS!$E$3:$F$27,2,0)</f>
        <v>DORADO</v>
      </c>
      <c r="I107" s="9" t="str">
        <f>RIGHT(TablaCosechas[[#This Row],[SECTOR/PISCINA]],2)</f>
        <v>22</v>
      </c>
      <c r="J107" s="9" t="str">
        <f>VLOOKUP(TablaCosechas[[#This Row],[COD]],Tabla7[#All],4,0)</f>
        <v>JOSE CEDEÑO</v>
      </c>
      <c r="K107" s="179">
        <f>(TablaCosechas[[#This Row],[libras planta]]*454)/M107</f>
        <v>507505.94718485296</v>
      </c>
      <c r="L107" s="174">
        <v>44870.68</v>
      </c>
      <c r="M107" s="19">
        <v>40.14</v>
      </c>
      <c r="N107" s="9" t="str">
        <f>UPPER(TEXT(TablaCosechas[[#This Row],[COSECHA]],"MMMM"))</f>
        <v>SEPTIEMBRE</v>
      </c>
      <c r="O107" s="9" t="str">
        <f>IF(A107="DO 29","BAP",IF(A107="RO 14","BAP",(VLOOKUP(TablaCosechas[[#This Row],[COD]],Tabla7[[CODIGO]:[CERTIFICACION]],3,0))))</f>
        <v>ASC</v>
      </c>
      <c r="P107" s="180">
        <f>+L107-E107</f>
        <v>-1629.3199999999997</v>
      </c>
      <c r="Q107" s="181">
        <f>+M107-F107</f>
        <v>2.1400000000000006</v>
      </c>
      <c r="R107" s="9"/>
    </row>
    <row r="108" spans="1:18" x14ac:dyDescent="0.25">
      <c r="A108" s="9" t="s">
        <v>260</v>
      </c>
      <c r="B108" s="9">
        <f>ROW() - ROW(TablaCosechas[[#Headers],[ID]]) - 4</f>
        <v>103</v>
      </c>
      <c r="C108" s="9" t="str">
        <f>LEFT(A108,2)</f>
        <v>DO</v>
      </c>
      <c r="D108" s="182" t="s">
        <v>367</v>
      </c>
      <c r="E108" s="178">
        <v>8000</v>
      </c>
      <c r="F108" s="19">
        <v>24</v>
      </c>
      <c r="G108" s="195">
        <v>45917</v>
      </c>
      <c r="H108" s="9" t="str">
        <f>VLOOKUP(TablaCosechas[[#This Row],[COD]],DATOS!$E$3:$F$27,2,0)</f>
        <v>DORADO</v>
      </c>
      <c r="I108" s="9" t="str">
        <f>RIGHT(TablaCosechas[[#This Row],[SECTOR/PISCINA]],2)</f>
        <v>03</v>
      </c>
      <c r="J108" s="9" t="str">
        <f>VLOOKUP(TablaCosechas[[#This Row],[COD]],Tabla7[#All],4,0)</f>
        <v>JOSE CEDEÑO</v>
      </c>
      <c r="K108" s="179">
        <f>(TablaCosechas[[#This Row],[libras planta]]*454)/M108</f>
        <v>135405.17617689018</v>
      </c>
      <c r="L108" s="174">
        <v>8362.91</v>
      </c>
      <c r="M108" s="19">
        <v>28.04</v>
      </c>
      <c r="N108" s="9" t="str">
        <f>UPPER(TEXT(TablaCosechas[[#This Row],[COSECHA]],"MMMM"))</f>
        <v>SEPTIEMBRE</v>
      </c>
      <c r="O108" s="9" t="str">
        <f>IF(A108="DO 29","BAP",IF(A108="RO 14","BAP",(VLOOKUP(TablaCosechas[[#This Row],[COD]],Tabla7[[CODIGO]:[CERTIFICACION]],3,0))))</f>
        <v>ASC</v>
      </c>
      <c r="P108" s="180">
        <f>+L108-E108</f>
        <v>362.90999999999985</v>
      </c>
      <c r="Q108" s="181">
        <f>+M108-F108</f>
        <v>4.0399999999999991</v>
      </c>
      <c r="R108" s="9"/>
    </row>
    <row r="109" spans="1:18" x14ac:dyDescent="0.25">
      <c r="A109" s="9" t="s">
        <v>174</v>
      </c>
      <c r="B109" s="9">
        <f>ROW() - ROW(TablaCosechas[[#Headers],[ID]]) - 4</f>
        <v>104</v>
      </c>
      <c r="C109" s="9" t="str">
        <f>LEFT(A109,2)</f>
        <v>DE</v>
      </c>
      <c r="D109" s="182" t="s">
        <v>367</v>
      </c>
      <c r="E109" s="178">
        <v>11200</v>
      </c>
      <c r="F109" s="19">
        <v>20</v>
      </c>
      <c r="G109" s="195">
        <v>45917</v>
      </c>
      <c r="H109" s="9" t="str">
        <f>VLOOKUP(TablaCosechas[[#This Row],[COD]],DATOS!$E$3:$F$26,2,0)</f>
        <v>DELFIN</v>
      </c>
      <c r="I109" s="9" t="str">
        <f>RIGHT(TablaCosechas[[#This Row],[SECTOR/PISCINA]],2)</f>
        <v>07</v>
      </c>
      <c r="J109" s="9" t="str">
        <f>VLOOKUP(TablaCosechas[[#This Row],[COD]],Tabla7[#All],4,0)</f>
        <v>CARLOS FLORES</v>
      </c>
      <c r="K109" s="179">
        <f>(TablaCosechas[[#This Row],[libras planta]]*454)/M109</f>
        <v>218739.74661508703</v>
      </c>
      <c r="L109" s="174">
        <v>9963.74</v>
      </c>
      <c r="M109" s="19">
        <v>20.68</v>
      </c>
      <c r="N109" s="9" t="str">
        <f>UPPER(TEXT(TablaCosechas[[#This Row],[COSECHA]],"MMMM"))</f>
        <v>SEPTIEMBRE</v>
      </c>
      <c r="O109" s="9" t="str">
        <f>IF(A109="DO 29","BAP",IF(A109="RO 14","BAP",(VLOOKUP(TablaCosechas[[#This Row],[COD]],Tabla7[[CODIGO]:[CERTIFICACION]],3,0))))</f>
        <v>CONVENCIONAL</v>
      </c>
      <c r="P109" s="180">
        <f>+L109-E109</f>
        <v>-1236.2600000000002</v>
      </c>
      <c r="Q109" s="181">
        <f>+M109-F109</f>
        <v>0.67999999999999972</v>
      </c>
      <c r="R109" s="9"/>
    </row>
    <row r="110" spans="1:18" x14ac:dyDescent="0.25">
      <c r="A110" s="9" t="s">
        <v>136</v>
      </c>
      <c r="B110" s="9">
        <f>ROW() - ROW(TablaCosechas[[#Headers],[ID]]) - 4</f>
        <v>105</v>
      </c>
      <c r="C110" s="9" t="str">
        <f>LEFT(A110,2)</f>
        <v>CA</v>
      </c>
      <c r="D110" s="182" t="s">
        <v>367</v>
      </c>
      <c r="E110" s="178">
        <v>4500</v>
      </c>
      <c r="F110" s="19">
        <v>19</v>
      </c>
      <c r="G110" s="195">
        <v>45917</v>
      </c>
      <c r="H110" s="9" t="str">
        <f>VLOOKUP(TablaCosechas[[#This Row],[COD]],DATOS!$E$3:$F$27,2,0)</f>
        <v>CATANUDA</v>
      </c>
      <c r="I110" s="9" t="str">
        <f>RIGHT(TablaCosechas[[#This Row],[SECTOR/PISCINA]],2)</f>
        <v>10</v>
      </c>
      <c r="J110" s="9" t="str">
        <f>VLOOKUP(TablaCosechas[[#This Row],[COD]],Tabla7[#All],4,0)</f>
        <v>VICTOR QUINTANA</v>
      </c>
      <c r="K110" s="179">
        <f>(TablaCosechas[[#This Row],[libras planta]]*454)/M110</f>
        <v>97181.942857142873</v>
      </c>
      <c r="L110" s="174">
        <v>4645.04</v>
      </c>
      <c r="M110" s="19">
        <v>21.7</v>
      </c>
      <c r="N110" s="9" t="str">
        <f>UPPER(TEXT(TablaCosechas[[#This Row],[COSECHA]],"MMMM"))</f>
        <v>SEPTIEMBRE</v>
      </c>
      <c r="O110" s="9" t="str">
        <f>IF(A110="DO 29","BAP",IF(A110="RO 14","BAP",(VLOOKUP(TablaCosechas[[#This Row],[COD]],Tabla7[[CODIGO]:[CERTIFICACION]],3,0))))</f>
        <v>ASC</v>
      </c>
      <c r="P110" s="180">
        <f>+L110-E110</f>
        <v>145.03999999999996</v>
      </c>
      <c r="Q110" s="181">
        <f>+M110-F110</f>
        <v>2.6999999999999993</v>
      </c>
      <c r="R110" s="9"/>
    </row>
    <row r="111" spans="1:18" x14ac:dyDescent="0.25">
      <c r="A111" s="9" t="s">
        <v>214</v>
      </c>
      <c r="B111" s="9">
        <f>ROW() - ROW(TablaCosechas[[#Headers],[ID]]) - 4</f>
        <v>106</v>
      </c>
      <c r="C111" s="9" t="str">
        <f>LEFT(A111,2)</f>
        <v>WA</v>
      </c>
      <c r="D111" s="182" t="s">
        <v>367</v>
      </c>
      <c r="E111" s="178">
        <v>14250</v>
      </c>
      <c r="F111" s="19">
        <v>16</v>
      </c>
      <c r="G111" s="195">
        <v>45918</v>
      </c>
      <c r="H111" s="9" t="str">
        <f>VLOOKUP(TablaCosechas[[#This Row],[COD]],DATOS!$E$3:$F$27,2,0)</f>
        <v>WAHOO</v>
      </c>
      <c r="I111" s="9" t="str">
        <f>RIGHT(TablaCosechas[[#This Row],[SECTOR/PISCINA]],2)</f>
        <v>30</v>
      </c>
      <c r="J111" s="9" t="str">
        <f>VLOOKUP(TablaCosechas[[#This Row],[COD]],Tabla7[#All],4,0)</f>
        <v>JUNIOR ESQUIVEL</v>
      </c>
      <c r="K111" s="179">
        <f>(TablaCosechas[[#This Row],[libras planta]]*454)/M111</f>
        <v>341431.82170147734</v>
      </c>
      <c r="L111" s="174">
        <v>14762.79</v>
      </c>
      <c r="M111" s="19">
        <v>19.63</v>
      </c>
      <c r="N111" s="9" t="str">
        <f>UPPER(TEXT(TablaCosechas[[#This Row],[COSECHA]],"MMMM"))</f>
        <v>SEPTIEMBRE</v>
      </c>
      <c r="O111" s="9" t="str">
        <f>IF(A111="DO 29","BAP",IF(A111="RO 14","BAP",(VLOOKUP(TablaCosechas[[#This Row],[COD]],Tabla7[[CODIGO]:[CERTIFICACION]],3,0))))</f>
        <v>CONVENCIONAL</v>
      </c>
      <c r="P111" s="180">
        <f>+L111-E111</f>
        <v>512.79000000000087</v>
      </c>
      <c r="Q111" s="181">
        <f>+M111-F111</f>
        <v>3.629999999999999</v>
      </c>
      <c r="R111" s="9"/>
    </row>
    <row r="112" spans="1:18" x14ac:dyDescent="0.25">
      <c r="A112" s="9" t="s">
        <v>313</v>
      </c>
      <c r="B112" s="9">
        <f>ROW() - ROW(TablaCosechas[[#Headers],[ID]]) - 4</f>
        <v>107</v>
      </c>
      <c r="C112" s="9" t="str">
        <f>LEFT(A112,2)</f>
        <v>TI</v>
      </c>
      <c r="D112" s="182" t="s">
        <v>366</v>
      </c>
      <c r="E112" s="178">
        <v>22100</v>
      </c>
      <c r="F112" s="19">
        <v>34</v>
      </c>
      <c r="G112" s="195">
        <v>45918</v>
      </c>
      <c r="H112" s="9" t="str">
        <f>VLOOKUP(TablaCosechas[[#This Row],[COD]],DATOS!$E$3:$F$27,2,0)</f>
        <v>TIBURON</v>
      </c>
      <c r="I112" s="9" t="str">
        <f>RIGHT(TablaCosechas[[#This Row],[SECTOR/PISCINA]],2)</f>
        <v>20</v>
      </c>
      <c r="J112" s="9" t="str">
        <f>VLOOKUP(TablaCosechas[[#This Row],[COD]],Tabla7[#All],4,0)</f>
        <v>ALFONSO GRUNAUER</v>
      </c>
      <c r="K112" s="179">
        <f>(TablaCosechas[[#This Row],[libras planta]]*454)/M112</f>
        <v>294865.0443925233</v>
      </c>
      <c r="L112" s="174">
        <v>22238.28</v>
      </c>
      <c r="M112" s="19">
        <v>34.24</v>
      </c>
      <c r="N112" s="9" t="str">
        <f>UPPER(TEXT(TablaCosechas[[#This Row],[COSECHA]],"MMMM"))</f>
        <v>SEPTIEMBRE</v>
      </c>
      <c r="O112" s="9" t="str">
        <f>IF(A112="DO 29","BAP",IF(A112="RO 14","BAP",(VLOOKUP(TablaCosechas[[#This Row],[COD]],Tabla7[[CODIGO]:[CERTIFICACION]],3,0))))</f>
        <v>ASC</v>
      </c>
      <c r="P112" s="180">
        <f>+L112-E112</f>
        <v>138.27999999999884</v>
      </c>
      <c r="Q112" s="181">
        <f>+M112-F112</f>
        <v>0.24000000000000199</v>
      </c>
      <c r="R112" s="9"/>
    </row>
    <row r="113" spans="1:18" x14ac:dyDescent="0.25">
      <c r="A113" s="9" t="s">
        <v>150</v>
      </c>
      <c r="B113" s="9">
        <f>ROW() - ROW(TablaCosechas[[#Headers],[ID]]) - 4</f>
        <v>108</v>
      </c>
      <c r="C113" s="9" t="str">
        <f>LEFT(A113,2)</f>
        <v>RO</v>
      </c>
      <c r="D113" s="182" t="s">
        <v>367</v>
      </c>
      <c r="E113" s="178">
        <v>15100</v>
      </c>
      <c r="F113" s="19">
        <v>16</v>
      </c>
      <c r="G113" s="195">
        <v>45918</v>
      </c>
      <c r="H113" s="9" t="str">
        <f>VLOOKUP(TablaCosechas[[#This Row],[COD]],DATOS!$E$3:$F$27,2,0)</f>
        <v>ROBALO</v>
      </c>
      <c r="I113" s="9" t="str">
        <f>RIGHT(TablaCosechas[[#This Row],[SECTOR/PISCINA]],2)</f>
        <v>07</v>
      </c>
      <c r="J113" s="9" t="str">
        <f>VLOOKUP(TablaCosechas[[#This Row],[COD]],Tabla7[#All],4,0)</f>
        <v>VICTOR QUINTANA</v>
      </c>
      <c r="K113" s="179">
        <f>(TablaCosechas[[#This Row],[libras planta]]*454)/M113</f>
        <v>382922.27942794282</v>
      </c>
      <c r="L113" s="174">
        <v>15333.76</v>
      </c>
      <c r="M113" s="19">
        <v>18.18</v>
      </c>
      <c r="N113" s="9" t="str">
        <f>UPPER(TEXT(TablaCosechas[[#This Row],[COSECHA]],"MMMM"))</f>
        <v>SEPTIEMBRE</v>
      </c>
      <c r="O113" s="9" t="str">
        <f>IF(A113="DO 29","BAP",IF(A113="RO 14","BAP",(VLOOKUP(TablaCosechas[[#This Row],[COD]],Tabla7[[CODIGO]:[CERTIFICACION]],3,0))))</f>
        <v>ASC</v>
      </c>
      <c r="P113" s="180">
        <f>+L113-E113</f>
        <v>233.76000000000022</v>
      </c>
      <c r="Q113" s="181">
        <f>+M113-F113</f>
        <v>2.1799999999999997</v>
      </c>
      <c r="R113" s="9"/>
    </row>
    <row r="114" spans="1:18" x14ac:dyDescent="0.25">
      <c r="A114" s="9" t="s">
        <v>275</v>
      </c>
      <c r="B114" s="9">
        <f>ROW() - ROW(TablaCosechas[[#Headers],[ID]]) - 4</f>
        <v>109</v>
      </c>
      <c r="C114" s="9" t="str">
        <f>LEFT(A114,2)</f>
        <v>PR</v>
      </c>
      <c r="D114" s="182" t="s">
        <v>366</v>
      </c>
      <c r="E114" s="178">
        <v>18800</v>
      </c>
      <c r="F114" s="19">
        <v>21</v>
      </c>
      <c r="G114" s="195">
        <v>45918</v>
      </c>
      <c r="H114" s="9" t="str">
        <f>VLOOKUP(TablaCosechas[[#This Row],[COD]],DATOS!$E$3:$F$27,2,0)</f>
        <v>PARGO ROJO</v>
      </c>
      <c r="I114" s="9" t="str">
        <f>RIGHT(TablaCosechas[[#This Row],[SECTOR/PISCINA]],2)</f>
        <v>20</v>
      </c>
      <c r="J114" s="9" t="str">
        <f>VLOOKUP(TablaCosechas[[#This Row],[COD]],Tabla7[#All],4,0)</f>
        <v>WILMER TORRES</v>
      </c>
      <c r="K114" s="179">
        <f>(TablaCosechas[[#This Row],[libras planta]]*454)/M114</f>
        <v>460461.97632575751</v>
      </c>
      <c r="L114" s="174">
        <v>21420.61</v>
      </c>
      <c r="M114" s="19">
        <v>21.12</v>
      </c>
      <c r="N114" s="9" t="str">
        <f>UPPER(TEXT(TablaCosechas[[#This Row],[COSECHA]],"MMMM"))</f>
        <v>SEPTIEMBRE</v>
      </c>
      <c r="O114" s="9" t="str">
        <f>IF(A114="DO 29","BAP",IF(A114="RO 14","BAP",(VLOOKUP(TablaCosechas[[#This Row],[COD]],Tabla7[[CODIGO]:[CERTIFICACION]],3,0))))</f>
        <v>CONVENCIONAL</v>
      </c>
      <c r="P114" s="180">
        <f>+L114-E114</f>
        <v>2620.6100000000006</v>
      </c>
      <c r="Q114" s="181">
        <f>+M114-F114</f>
        <v>0.12000000000000099</v>
      </c>
      <c r="R114" s="9"/>
    </row>
    <row r="115" spans="1:18" x14ac:dyDescent="0.25">
      <c r="A115" s="9" t="s">
        <v>318</v>
      </c>
      <c r="B115" s="9">
        <f>ROW() - ROW(TablaCosechas[[#Headers],[ID]]) - 4</f>
        <v>110</v>
      </c>
      <c r="C115" s="9" t="str">
        <f>LEFT(A115,2)</f>
        <v>GT</v>
      </c>
      <c r="D115" s="182" t="s">
        <v>366</v>
      </c>
      <c r="E115" s="178">
        <f>25100+150</f>
        <v>25250</v>
      </c>
      <c r="F115" s="19">
        <v>32</v>
      </c>
      <c r="G115" s="195">
        <v>45918</v>
      </c>
      <c r="H115" s="9" t="str">
        <f>VLOOKUP(TablaCosechas[[#This Row],[COD]],DATOS!$E$3:$F$27,2,0)</f>
        <v>GUATO</v>
      </c>
      <c r="I115" s="9" t="str">
        <f>RIGHT(TablaCosechas[[#This Row],[SECTOR/PISCINA]],2)</f>
        <v>11</v>
      </c>
      <c r="J115" s="9" t="str">
        <f>VLOOKUP(TablaCosechas[[#This Row],[COD]],Tabla7[#All],4,0)</f>
        <v>JULIO SANTOS</v>
      </c>
      <c r="K115" s="179">
        <f>(TablaCosechas[[#This Row],[libras planta]]*454)/M115</f>
        <v>350262.06840288668</v>
      </c>
      <c r="L115" s="174">
        <f>24404.55+183.23</f>
        <v>24587.78</v>
      </c>
      <c r="M115" s="19">
        <v>31.87</v>
      </c>
      <c r="N115" s="9" t="str">
        <f>UPPER(TEXT(TablaCosechas[[#This Row],[COSECHA]],"MMMM"))</f>
        <v>SEPTIEMBRE</v>
      </c>
      <c r="O115" s="9" t="str">
        <f>IF(A115="DO 29","BAP",IF(A115="RO 14","BAP",(VLOOKUP(TablaCosechas[[#This Row],[COD]],Tabla7[[CODIGO]:[CERTIFICACION]],3,0))))</f>
        <v>CONVENCIONAL</v>
      </c>
      <c r="P115" s="180">
        <f>+L115-E115</f>
        <v>-662.22000000000116</v>
      </c>
      <c r="Q115" s="181">
        <f>+M115-F115</f>
        <v>-0.12999999999999901</v>
      </c>
      <c r="R115" s="9"/>
    </row>
    <row r="116" spans="1:18" x14ac:dyDescent="0.25">
      <c r="A116" s="9" t="s">
        <v>132</v>
      </c>
      <c r="B116" s="9">
        <f>ROW() - ROW(TablaCosechas[[#Headers],[ID]]) - 4</f>
        <v>111</v>
      </c>
      <c r="C116" s="9" t="str">
        <f>LEFT(A116,2)</f>
        <v>DO</v>
      </c>
      <c r="D116" s="182" t="s">
        <v>367</v>
      </c>
      <c r="E116" s="178">
        <v>14600</v>
      </c>
      <c r="F116" s="19">
        <v>25</v>
      </c>
      <c r="G116" s="195">
        <v>45918</v>
      </c>
      <c r="H116" s="9" t="str">
        <f>VLOOKUP(TablaCosechas[[#This Row],[COD]],DATOS!$E$3:$F$27,2,0)</f>
        <v>DORADO</v>
      </c>
      <c r="I116" s="9" t="str">
        <f>RIGHT(TablaCosechas[[#This Row],[SECTOR/PISCINA]],2)</f>
        <v>28</v>
      </c>
      <c r="J116" s="9" t="str">
        <f>VLOOKUP(TablaCosechas[[#This Row],[COD]],Tabla7[#All],4,0)</f>
        <v>JOSE CEDEÑO</v>
      </c>
      <c r="K116" s="179">
        <f>(TablaCosechas[[#This Row],[libras planta]]*454)/M116</f>
        <v>225648.03684598376</v>
      </c>
      <c r="L116" s="174">
        <v>13489.18</v>
      </c>
      <c r="M116" s="19">
        <v>27.14</v>
      </c>
      <c r="N116" s="9" t="str">
        <f>UPPER(TEXT(TablaCosechas[[#This Row],[COSECHA]],"MMMM"))</f>
        <v>SEPTIEMBRE</v>
      </c>
      <c r="O116" s="9" t="str">
        <f>IF(A116="DO 29","BAP",IF(A116="RO 14","BAP",(VLOOKUP(TablaCosechas[[#This Row],[COD]],Tabla7[[CODIGO]:[CERTIFICACION]],3,0))))</f>
        <v>ASC</v>
      </c>
      <c r="P116" s="180">
        <f>+L116-E116</f>
        <v>-1110.8199999999997</v>
      </c>
      <c r="Q116" s="181">
        <f>+M116-F116</f>
        <v>2.1400000000000006</v>
      </c>
      <c r="R116" s="9"/>
    </row>
    <row r="117" spans="1:18" x14ac:dyDescent="0.25">
      <c r="A117" s="9" t="s">
        <v>267</v>
      </c>
      <c r="B117" s="9">
        <f>ROW() - ROW(TablaCosechas[[#Headers],[ID]]) - 4</f>
        <v>112</v>
      </c>
      <c r="C117" s="9" t="str">
        <f>LEFT(A117,2)</f>
        <v>DO</v>
      </c>
      <c r="D117" s="182" t="s">
        <v>366</v>
      </c>
      <c r="E117" s="178">
        <v>44350</v>
      </c>
      <c r="F117" s="19">
        <v>34</v>
      </c>
      <c r="G117" s="195">
        <v>45918</v>
      </c>
      <c r="H117" s="9" t="str">
        <f>VLOOKUP(TablaCosechas[[#This Row],[COD]],DATOS!$E$3:$F$27,2,0)</f>
        <v>DORADO</v>
      </c>
      <c r="I117" s="9" t="str">
        <f>RIGHT(TablaCosechas[[#This Row],[SECTOR/PISCINA]],2)</f>
        <v>17</v>
      </c>
      <c r="J117" s="9" t="str">
        <f>VLOOKUP(TablaCosechas[[#This Row],[COD]],Tabla7[#All],4,0)</f>
        <v>JOSE CEDEÑO</v>
      </c>
      <c r="K117" s="179">
        <f>(TablaCosechas[[#This Row],[libras planta]]*454)/M117</f>
        <v>598586.28799999994</v>
      </c>
      <c r="L117" s="174">
        <v>42850.34</v>
      </c>
      <c r="M117" s="19">
        <v>32.5</v>
      </c>
      <c r="N117" s="9" t="str">
        <f>UPPER(TEXT(TablaCosechas[[#This Row],[COSECHA]],"MMMM"))</f>
        <v>SEPTIEMBRE</v>
      </c>
      <c r="O117" s="9" t="str">
        <f>IF(A117="DO 29","BAP",IF(A117="RO 14","BAP",(VLOOKUP(TablaCosechas[[#This Row],[COD]],Tabla7[[CODIGO]:[CERTIFICACION]],3,0))))</f>
        <v>ASC</v>
      </c>
      <c r="P117" s="180">
        <f>+L117-E117</f>
        <v>-1499.6600000000035</v>
      </c>
      <c r="Q117" s="181">
        <f>+M117-F117</f>
        <v>-1.5</v>
      </c>
      <c r="R117" s="9"/>
    </row>
    <row r="118" spans="1:18" x14ac:dyDescent="0.25">
      <c r="A118" s="9" t="s">
        <v>177</v>
      </c>
      <c r="B118" s="9">
        <f>ROW() - ROW(TablaCosechas[[#Headers],[ID]]) - 4</f>
        <v>113</v>
      </c>
      <c r="C118" s="9" t="str">
        <f>LEFT(A118,2)</f>
        <v>DE</v>
      </c>
      <c r="D118" s="182" t="s">
        <v>367</v>
      </c>
      <c r="E118" s="178">
        <v>8000</v>
      </c>
      <c r="F118" s="19">
        <v>20</v>
      </c>
      <c r="G118" s="195">
        <v>45918</v>
      </c>
      <c r="H118" s="9" t="str">
        <f>VLOOKUP(TablaCosechas[[#This Row],[COD]],DATOS!$E$3:$F$26,2,0)</f>
        <v>DELFIN</v>
      </c>
      <c r="I118" s="9" t="str">
        <f>RIGHT(TablaCosechas[[#This Row],[SECTOR/PISCINA]],2)</f>
        <v>09</v>
      </c>
      <c r="J118" s="9" t="str">
        <f>VLOOKUP(TablaCosechas[[#This Row],[COD]],Tabla7[#All],4,0)</f>
        <v>CARLOS FLORES</v>
      </c>
      <c r="K118" s="179">
        <f>(TablaCosechas[[#This Row],[libras planta]]*454)/M118</f>
        <v>193054.66329625883</v>
      </c>
      <c r="L118" s="174">
        <v>8411.06</v>
      </c>
      <c r="M118" s="19">
        <v>19.78</v>
      </c>
      <c r="N118" s="9" t="str">
        <f>UPPER(TEXT(TablaCosechas[[#This Row],[COSECHA]],"MMMM"))</f>
        <v>SEPTIEMBRE</v>
      </c>
      <c r="O118" s="9" t="str">
        <f>IF(A118="DO 29","BAP",IF(A118="RO 14","BAP",(VLOOKUP(TablaCosechas[[#This Row],[COD]],Tabla7[[CODIGO]:[CERTIFICACION]],3,0))))</f>
        <v>CONVENCIONAL</v>
      </c>
      <c r="P118" s="180">
        <f>+L118-E118</f>
        <v>411.05999999999949</v>
      </c>
      <c r="Q118" s="181">
        <f>+M118-F118</f>
        <v>-0.21999999999999886</v>
      </c>
      <c r="R118" s="9"/>
    </row>
    <row r="119" spans="1:18" x14ac:dyDescent="0.25">
      <c r="A119" s="9" t="s">
        <v>27</v>
      </c>
      <c r="B119" s="9">
        <f>ROW() - ROW(TablaCosechas[[#Headers],[ID]]) - 4</f>
        <v>114</v>
      </c>
      <c r="C119" s="9" t="str">
        <f>LEFT(A119,2)</f>
        <v>CH</v>
      </c>
      <c r="D119" s="182" t="s">
        <v>367</v>
      </c>
      <c r="E119" s="178">
        <v>4800</v>
      </c>
      <c r="F119" s="19">
        <v>20</v>
      </c>
      <c r="G119" s="195">
        <v>45918</v>
      </c>
      <c r="H119" s="9" t="str">
        <f>VLOOKUP(TablaCosechas[[#This Row],[COD]],DATOS!$E$3:$F$27,2,0)</f>
        <v>CHERNA</v>
      </c>
      <c r="I119" s="9" t="str">
        <f>RIGHT(TablaCosechas[[#This Row],[SECTOR/PISCINA]],2)</f>
        <v>24</v>
      </c>
      <c r="J119" s="9" t="str">
        <f>VLOOKUP(TablaCosechas[[#This Row],[COD]],Tabla7[#All],4,0)</f>
        <v>SANTIAGO OBRIEN</v>
      </c>
      <c r="K119" s="179">
        <f>(TablaCosechas[[#This Row],[libras planta]]*454)/M119</f>
        <v>107281.13128205128</v>
      </c>
      <c r="L119" s="174">
        <v>4607.8900000000003</v>
      </c>
      <c r="M119" s="19">
        <v>19.5</v>
      </c>
      <c r="N119" s="9" t="str">
        <f>UPPER(TEXT(TablaCosechas[[#This Row],[COSECHA]],"MMMM"))</f>
        <v>SEPTIEMBRE</v>
      </c>
      <c r="O119" s="9" t="str">
        <f>IF(A119="DO 29","BAP",IF(A119="RO 14","BAP",(VLOOKUP(TablaCosechas[[#This Row],[COD]],Tabla7[[CODIGO]:[CERTIFICACION]],3,0))))</f>
        <v>ASC</v>
      </c>
      <c r="P119" s="180">
        <f>+L119-E119</f>
        <v>-192.10999999999967</v>
      </c>
      <c r="Q119" s="181">
        <f>+M119-F119</f>
        <v>-0.5</v>
      </c>
      <c r="R119" s="9"/>
    </row>
    <row r="120" spans="1:18" x14ac:dyDescent="0.25">
      <c r="A120" s="9" t="s">
        <v>171</v>
      </c>
      <c r="B120" s="9">
        <f>ROW() - ROW(TablaCosechas[[#Headers],[ID]]) - 4</f>
        <v>115</v>
      </c>
      <c r="C120" s="9" t="str">
        <f>LEFT(A120,2)</f>
        <v>TA</v>
      </c>
      <c r="D120" s="182" t="s">
        <v>367</v>
      </c>
      <c r="E120" s="178">
        <v>5950</v>
      </c>
      <c r="F120" s="19">
        <v>19.2</v>
      </c>
      <c r="G120" s="195">
        <v>45919</v>
      </c>
      <c r="H120" s="9" t="str">
        <f>VLOOKUP(TablaCosechas[[#This Row],[COD]],DATOS!$E$3:$F$27,2,0)</f>
        <v>TAMBULERO</v>
      </c>
      <c r="I120" s="9" t="str">
        <f>RIGHT(TablaCosechas[[#This Row],[SECTOR/PISCINA]],2)</f>
        <v>13</v>
      </c>
      <c r="J120" s="9" t="str">
        <f>VLOOKUP(TablaCosechas[[#This Row],[COD]],Tabla7[#All],4,0)</f>
        <v>ALFONSO GRUNAUER</v>
      </c>
      <c r="K120" s="179">
        <f>(TablaCosechas[[#This Row],[libras planta]]*454)/M120</f>
        <v>139299.0536635707</v>
      </c>
      <c r="L120" s="174">
        <v>5946.29</v>
      </c>
      <c r="M120" s="19">
        <v>19.38</v>
      </c>
      <c r="N120" s="9" t="str">
        <f>UPPER(TEXT(TablaCosechas[[#This Row],[COSECHA]],"MMMM"))</f>
        <v>SEPTIEMBRE</v>
      </c>
      <c r="O120" s="9" t="str">
        <f>IF(A120="DO 29","BAP",IF(A120="RO 14","BAP",(VLOOKUP(TablaCosechas[[#This Row],[COD]],Tabla7[[CODIGO]:[CERTIFICACION]],3,0))))</f>
        <v>CONVENCIONAL</v>
      </c>
      <c r="P120" s="180">
        <f>+L120-E120</f>
        <v>-3.7100000000000364</v>
      </c>
      <c r="Q120" s="181">
        <f>+M120-F120</f>
        <v>0.17999999999999972</v>
      </c>
      <c r="R120" s="9"/>
    </row>
    <row r="121" spans="1:18" x14ac:dyDescent="0.25">
      <c r="A121" s="9" t="s">
        <v>131</v>
      </c>
      <c r="B121" s="9">
        <f>ROW() - ROW(TablaCosechas[[#Headers],[ID]]) - 4</f>
        <v>116</v>
      </c>
      <c r="C121" s="9" t="str">
        <f>LEFT(A121,2)</f>
        <v>RO</v>
      </c>
      <c r="D121" s="182" t="s">
        <v>367</v>
      </c>
      <c r="E121" s="178">
        <v>11000</v>
      </c>
      <c r="F121" s="19">
        <v>26</v>
      </c>
      <c r="G121" s="195">
        <v>45919</v>
      </c>
      <c r="H121" s="9" t="str">
        <f>VLOOKUP(TablaCosechas[[#This Row],[COD]],DATOS!$E$3:$F$26,2,0)</f>
        <v>ROBALO</v>
      </c>
      <c r="I121" s="9" t="str">
        <f>RIGHT(TablaCosechas[[#This Row],[SECTOR/PISCINA]],2)</f>
        <v>13</v>
      </c>
      <c r="J121" s="9" t="str">
        <f>VLOOKUP(TablaCosechas[[#This Row],[COD]],Tabla7[#All],4,0)</f>
        <v>VICTOR QUINTANA</v>
      </c>
      <c r="K121" s="179">
        <f>(TablaCosechas[[#This Row],[libras planta]]*454)/M121</f>
        <v>206498.60412611908</v>
      </c>
      <c r="L121" s="174">
        <v>11684.91</v>
      </c>
      <c r="M121" s="19">
        <v>25.69</v>
      </c>
      <c r="N121" s="9" t="str">
        <f>UPPER(TEXT(TablaCosechas[[#This Row],[COSECHA]],"MMMM"))</f>
        <v>SEPTIEMBRE</v>
      </c>
      <c r="O121" s="9" t="str">
        <f>IF(A121="DO 29","BAP",IF(A121="RO 14","BAP",(VLOOKUP(TablaCosechas[[#This Row],[COD]],Tabla7[[CODIGO]:[CERTIFICACION]],3,0))))</f>
        <v>ASC</v>
      </c>
      <c r="P121" s="180">
        <f>+L121-E121</f>
        <v>684.90999999999985</v>
      </c>
      <c r="Q121" s="181">
        <f>+M121-F121</f>
        <v>-0.30999999999999872</v>
      </c>
      <c r="R121" s="9"/>
    </row>
    <row r="122" spans="1:18" x14ac:dyDescent="0.25">
      <c r="A122" s="9" t="s">
        <v>284</v>
      </c>
      <c r="B122" s="9">
        <f>ROW() - ROW(TablaCosechas[[#Headers],[ID]]) - 4</f>
        <v>117</v>
      </c>
      <c r="C122" s="9" t="str">
        <f>LEFT(A122,2)</f>
        <v>PR</v>
      </c>
      <c r="D122" s="182" t="s">
        <v>366</v>
      </c>
      <c r="E122" s="178">
        <v>19300</v>
      </c>
      <c r="F122" s="19">
        <v>23</v>
      </c>
      <c r="G122" s="195">
        <v>45919</v>
      </c>
      <c r="H122" s="9" t="str">
        <f>VLOOKUP(TablaCosechas[[#This Row],[COD]],DATOS!$E$3:$F$27,2,0)</f>
        <v>PARGO ROJO</v>
      </c>
      <c r="I122" s="9" t="str">
        <f>RIGHT(TablaCosechas[[#This Row],[SECTOR/PISCINA]],2)</f>
        <v>18</v>
      </c>
      <c r="J122" s="9" t="str">
        <f>VLOOKUP(TablaCosechas[[#This Row],[COD]],Tabla7[#All],4,0)</f>
        <v>WILMER TORRES</v>
      </c>
      <c r="K122" s="179">
        <f>(TablaCosechas[[#This Row],[libras planta]]*454)/M122</f>
        <v>435889.71815008722</v>
      </c>
      <c r="L122" s="174">
        <v>22005.71</v>
      </c>
      <c r="M122" s="19">
        <v>22.92</v>
      </c>
      <c r="N122" s="9" t="str">
        <f>UPPER(TEXT(TablaCosechas[[#This Row],[COSECHA]],"MMMM"))</f>
        <v>SEPTIEMBRE</v>
      </c>
      <c r="O122" s="9" t="str">
        <f>IF(A122="DO 29","BAP",IF(A122="RO 14","BAP",(VLOOKUP(TablaCosechas[[#This Row],[COD]],Tabla7[[CODIGO]:[CERTIFICACION]],3,0))))</f>
        <v>CONVENCIONAL</v>
      </c>
      <c r="P122" s="180">
        <f>+L122-E122</f>
        <v>2705.7099999999991</v>
      </c>
      <c r="Q122" s="181">
        <f>+M122-F122</f>
        <v>-7.9999999999998295E-2</v>
      </c>
      <c r="R122" s="9"/>
    </row>
    <row r="123" spans="1:18" x14ac:dyDescent="0.25">
      <c r="A123" s="9" t="s">
        <v>310</v>
      </c>
      <c r="B123" s="9">
        <f>ROW() - ROW(TablaCosechas[[#Headers],[ID]]) - 4</f>
        <v>118</v>
      </c>
      <c r="C123" s="9" t="str">
        <f>LEFT(A123,2)</f>
        <v>GT</v>
      </c>
      <c r="D123" s="182" t="s">
        <v>366</v>
      </c>
      <c r="E123" s="178">
        <f>11900+500</f>
        <v>12400</v>
      </c>
      <c r="F123" s="19">
        <v>36</v>
      </c>
      <c r="G123" s="195">
        <v>45919</v>
      </c>
      <c r="H123" s="9" t="str">
        <f>VLOOKUP(TablaCosechas[[#This Row],[COD]],DATOS!$E$3:$F$27,2,0)</f>
        <v>GUATO</v>
      </c>
      <c r="I123" s="9" t="str">
        <f>RIGHT(TablaCosechas[[#This Row],[SECTOR/PISCINA]],2)</f>
        <v>13</v>
      </c>
      <c r="J123" s="9" t="str">
        <f>VLOOKUP(TablaCosechas[[#This Row],[COD]],Tabla7[#All],4,0)</f>
        <v>JULIO SANTOS</v>
      </c>
      <c r="K123" s="179">
        <f>(TablaCosechas[[#This Row],[libras planta]]*454)/M123</f>
        <v>162501.50550086857</v>
      </c>
      <c r="L123" s="174">
        <f>11796.85+566.15</f>
        <v>12363</v>
      </c>
      <c r="M123" s="19">
        <v>34.54</v>
      </c>
      <c r="N123" s="9" t="str">
        <f>UPPER(TEXT(TablaCosechas[[#This Row],[COSECHA]],"MMMM"))</f>
        <v>SEPTIEMBRE</v>
      </c>
      <c r="O123" s="9" t="str">
        <f>IF(A123="DO 29","BAP",IF(A123="RO 14","BAP",(VLOOKUP(TablaCosechas[[#This Row],[COD]],Tabla7[[CODIGO]:[CERTIFICACION]],3,0))))</f>
        <v>CONVENCIONAL</v>
      </c>
      <c r="P123" s="180">
        <f>+L123-E123</f>
        <v>-37</v>
      </c>
      <c r="Q123" s="181">
        <f>+M123-F123</f>
        <v>-1.4600000000000009</v>
      </c>
      <c r="R123" s="9"/>
    </row>
    <row r="124" spans="1:18" x14ac:dyDescent="0.25">
      <c r="A124" s="9" t="s">
        <v>169</v>
      </c>
      <c r="B124" s="9">
        <f>ROW() - ROW(TablaCosechas[[#Headers],[ID]]) - 4</f>
        <v>119</v>
      </c>
      <c r="C124" s="9" t="str">
        <f>LEFT(A124,2)</f>
        <v>DO</v>
      </c>
      <c r="D124" s="182" t="s">
        <v>367</v>
      </c>
      <c r="E124" s="178">
        <v>13100</v>
      </c>
      <c r="F124" s="19">
        <v>21</v>
      </c>
      <c r="G124" s="195">
        <v>45919</v>
      </c>
      <c r="H124" s="9" t="str">
        <f>VLOOKUP(TablaCosechas[[#This Row],[COD]],DATOS!$E$3:$F$27,2,0)</f>
        <v>DORADO</v>
      </c>
      <c r="I124" s="9" t="str">
        <f>RIGHT(TablaCosechas[[#This Row],[SECTOR/PISCINA]],2)</f>
        <v>12</v>
      </c>
      <c r="J124" s="9" t="str">
        <f>VLOOKUP(TablaCosechas[[#This Row],[COD]],Tabla7[#All],4,0)</f>
        <v>JOSE CEDEÑO</v>
      </c>
      <c r="K124" s="179">
        <f>(TablaCosechas[[#This Row],[libras planta]]*454)/M124</f>
        <v>261363.72397325691</v>
      </c>
      <c r="L124" s="174">
        <v>12054.97</v>
      </c>
      <c r="M124" s="19">
        <v>20.94</v>
      </c>
      <c r="N124" s="9" t="str">
        <f>UPPER(TEXT(TablaCosechas[[#This Row],[COSECHA]],"MMMM"))</f>
        <v>SEPTIEMBRE</v>
      </c>
      <c r="O124" s="9" t="str">
        <f>IF(A124="DO 29","BAP",IF(A124="RO 14","BAP",(VLOOKUP(TablaCosechas[[#This Row],[COD]],Tabla7[[CODIGO]:[CERTIFICACION]],3,0))))</f>
        <v>ASC</v>
      </c>
      <c r="P124" s="180">
        <f>+L124-E124</f>
        <v>-1045.0300000000007</v>
      </c>
      <c r="Q124" s="181">
        <f>+M124-F124</f>
        <v>-5.9999999999998721E-2</v>
      </c>
      <c r="R124" s="9"/>
    </row>
    <row r="125" spans="1:18" x14ac:dyDescent="0.25">
      <c r="A125" s="9" t="s">
        <v>194</v>
      </c>
      <c r="B125" s="9">
        <f>ROW() - ROW(TablaCosechas[[#Headers],[ID]]) - 4</f>
        <v>120</v>
      </c>
      <c r="C125" s="9" t="str">
        <f>LEFT(A125,2)</f>
        <v>DE</v>
      </c>
      <c r="D125" s="182" t="s">
        <v>367</v>
      </c>
      <c r="E125" s="178">
        <v>4050</v>
      </c>
      <c r="F125" s="19">
        <v>19</v>
      </c>
      <c r="G125" s="195">
        <v>45919</v>
      </c>
      <c r="H125" s="9" t="str">
        <f>VLOOKUP(TablaCosechas[[#This Row],[COD]],DATOS!$E$3:$F$27,2,0)</f>
        <v>DELFIN</v>
      </c>
      <c r="I125" s="9" t="str">
        <f>RIGHT(TablaCosechas[[#This Row],[SECTOR/PISCINA]],2)</f>
        <v>20</v>
      </c>
      <c r="J125" s="9" t="str">
        <f>VLOOKUP(TablaCosechas[[#This Row],[COD]],Tabla7[#All],4,0)</f>
        <v>CARLOS FLORES</v>
      </c>
      <c r="K125" s="179">
        <f>(TablaCosechas[[#This Row],[libras planta]]*454)/M125</f>
        <v>112870.58554342172</v>
      </c>
      <c r="L125" s="174">
        <v>4780.84</v>
      </c>
      <c r="M125" s="19">
        <v>19.23</v>
      </c>
      <c r="N125" s="9" t="str">
        <f>UPPER(TEXT(TablaCosechas[[#This Row],[COSECHA]],"MMMM"))</f>
        <v>SEPTIEMBRE</v>
      </c>
      <c r="O125" s="9" t="str">
        <f>IF(A125="DO 29","BAP",IF(A125="RO 14","BAP",(VLOOKUP(TablaCosechas[[#This Row],[COD]],Tabla7[[CODIGO]:[CERTIFICACION]],3,0))))</f>
        <v>CONVENCIONAL</v>
      </c>
      <c r="P125" s="180">
        <f>+L125-E125</f>
        <v>730.84000000000015</v>
      </c>
      <c r="Q125" s="181">
        <f>+M125-F125</f>
        <v>0.23000000000000043</v>
      </c>
      <c r="R125" s="9"/>
    </row>
    <row r="126" spans="1:18" x14ac:dyDescent="0.25">
      <c r="A126" s="9" t="s">
        <v>301</v>
      </c>
      <c r="B126" s="9">
        <f>ROW() - ROW(TablaCosechas[[#Headers],[ID]]) - 4</f>
        <v>121</v>
      </c>
      <c r="C126" s="9" t="str">
        <f>LEFT(A126,2)</f>
        <v>DE</v>
      </c>
      <c r="D126" s="182" t="s">
        <v>367</v>
      </c>
      <c r="E126" s="178">
        <v>4050</v>
      </c>
      <c r="F126" s="19">
        <v>25</v>
      </c>
      <c r="G126" s="195">
        <v>45919</v>
      </c>
      <c r="H126" s="9" t="str">
        <f>VLOOKUP(TablaCosechas[[#This Row],[COD]],DATOS!$E$3:$F$27,2,0)</f>
        <v>DELFIN</v>
      </c>
      <c r="I126" s="9" t="str">
        <f>RIGHT(TablaCosechas[[#This Row],[SECTOR/PISCINA]],2)</f>
        <v>02</v>
      </c>
      <c r="J126" s="9" t="str">
        <f>VLOOKUP(TablaCosechas[[#This Row],[COD]],Tabla7[#All],4,0)</f>
        <v>CARLOS FLORES</v>
      </c>
      <c r="K126" s="179">
        <f>(TablaCosechas[[#This Row],[libras planta]]*454)/M126</f>
        <v>71549.082373026031</v>
      </c>
      <c r="L126" s="174">
        <v>3692.5</v>
      </c>
      <c r="M126" s="19">
        <v>23.43</v>
      </c>
      <c r="N126" s="9" t="str">
        <f>UPPER(TEXT(TablaCosechas[[#This Row],[COSECHA]],"MMMM"))</f>
        <v>SEPTIEMBRE</v>
      </c>
      <c r="O126" s="9" t="str">
        <f>IF(A126="DO 29","BAP",IF(A126="RO 14","BAP",(VLOOKUP(TablaCosechas[[#This Row],[COD]],Tabla7[[CODIGO]:[CERTIFICACION]],3,0))))</f>
        <v>CONVENCIONAL</v>
      </c>
      <c r="P126" s="180">
        <f>+L126-E126</f>
        <v>-357.5</v>
      </c>
      <c r="Q126" s="181">
        <f>+M126-F126</f>
        <v>-1.5700000000000003</v>
      </c>
      <c r="R126" s="9"/>
    </row>
    <row r="127" spans="1:18" x14ac:dyDescent="0.25">
      <c r="A127" s="9" t="s">
        <v>13</v>
      </c>
      <c r="B127" s="9">
        <f>ROW() - ROW(TablaCosechas[[#Headers],[ID]]) - 4</f>
        <v>122</v>
      </c>
      <c r="C127" s="9" t="str">
        <f>LEFT(A127,2)</f>
        <v>CH</v>
      </c>
      <c r="D127" s="182" t="s">
        <v>366</v>
      </c>
      <c r="E127" s="178">
        <v>22600</v>
      </c>
      <c r="F127" s="19">
        <v>34.5</v>
      </c>
      <c r="G127" s="195">
        <v>45919</v>
      </c>
      <c r="H127" s="9" t="str">
        <f>VLOOKUP(TablaCosechas[[#This Row],[COD]],DATOS!$E$3:$F$27,2,0)</f>
        <v>CHERNA</v>
      </c>
      <c r="I127" s="9" t="str">
        <f>RIGHT(TablaCosechas[[#This Row],[SECTOR/PISCINA]],2)</f>
        <v>07</v>
      </c>
      <c r="J127" s="9" t="str">
        <f>VLOOKUP(TablaCosechas[[#This Row],[COD]],Tabla7[#All],4,0)</f>
        <v>SANTIAGO OBRIEN</v>
      </c>
      <c r="K127" s="179">
        <f>(TablaCosechas[[#This Row],[libras planta]]*454)/M127</f>
        <v>305831.06055045867</v>
      </c>
      <c r="L127" s="174">
        <v>22027.919999999998</v>
      </c>
      <c r="M127" s="19">
        <v>32.700000000000003</v>
      </c>
      <c r="N127" s="9" t="str">
        <f>UPPER(TEXT(TablaCosechas[[#This Row],[COSECHA]],"MMMM"))</f>
        <v>SEPTIEMBRE</v>
      </c>
      <c r="O127" s="9" t="str">
        <f>IF(A127="DO 29","BAP",IF(A127="RO 14","BAP",(VLOOKUP(TablaCosechas[[#This Row],[COD]],Tabla7[[CODIGO]:[CERTIFICACION]],3,0))))</f>
        <v>ASC</v>
      </c>
      <c r="P127" s="180">
        <f>+L127-E127</f>
        <v>-572.08000000000175</v>
      </c>
      <c r="Q127" s="181">
        <f>+M127-F127</f>
        <v>-1.7999999999999972</v>
      </c>
      <c r="R127" s="9"/>
    </row>
    <row r="128" spans="1:18" x14ac:dyDescent="0.25">
      <c r="A128" s="9" t="s">
        <v>162</v>
      </c>
      <c r="B128" s="9">
        <f>ROW() - ROW(TablaCosechas[[#Headers],[ID]]) - 4</f>
        <v>123</v>
      </c>
      <c r="C128" s="9" t="str">
        <f>LEFT(A128,2)</f>
        <v>TA</v>
      </c>
      <c r="D128" s="182" t="s">
        <v>367</v>
      </c>
      <c r="E128" s="178">
        <v>7400</v>
      </c>
      <c r="F128" s="19">
        <v>18</v>
      </c>
      <c r="G128" s="195">
        <v>45920</v>
      </c>
      <c r="H128" s="9" t="str">
        <f>VLOOKUP(TablaCosechas[[#This Row],[COD]],DATOS!$E$3:$F$26,2,0)</f>
        <v>TAMBULERO</v>
      </c>
      <c r="I128" s="9" t="str">
        <f>RIGHT(TablaCosechas[[#This Row],[SECTOR/PISCINA]],2)</f>
        <v>06</v>
      </c>
      <c r="J128" s="9" t="str">
        <f>VLOOKUP(TablaCosechas[[#This Row],[COD]],Tabla7[#All],4,0)</f>
        <v>ALFONSO GRUNAUER</v>
      </c>
      <c r="K128" s="179">
        <f>(TablaCosechas[[#This Row],[libras planta]]*454)/M128</f>
        <v>219889.49255583127</v>
      </c>
      <c r="L128" s="174">
        <v>7807.53</v>
      </c>
      <c r="M128" s="19">
        <v>16.12</v>
      </c>
      <c r="N128" s="9" t="str">
        <f>UPPER(TEXT(TablaCosechas[[#This Row],[COSECHA]],"MMMM"))</f>
        <v>SEPTIEMBRE</v>
      </c>
      <c r="O128" s="9" t="str">
        <f>IF(A128="DO 29","BAP",IF(A128="RO 14","BAP",(VLOOKUP(TablaCosechas[[#This Row],[COD]],Tabla7[[CODIGO]:[CERTIFICACION]],3,0))))</f>
        <v>CONVENCIONAL</v>
      </c>
      <c r="P128" s="180">
        <f>+L128-E128</f>
        <v>407.52999999999975</v>
      </c>
      <c r="Q128" s="181">
        <f>+M128-F128</f>
        <v>-1.879999999999999</v>
      </c>
      <c r="R128" s="9"/>
    </row>
    <row r="129" spans="1:18" x14ac:dyDescent="0.25">
      <c r="A129" s="9" t="s">
        <v>288</v>
      </c>
      <c r="B129" s="9">
        <f>ROW() - ROW(TablaCosechas[[#Headers],[ID]]) - 4</f>
        <v>124</v>
      </c>
      <c r="C129" s="9" t="str">
        <f>LEFT(A129,2)</f>
        <v>PR</v>
      </c>
      <c r="D129" s="182" t="s">
        <v>366</v>
      </c>
      <c r="E129" s="178">
        <v>54500</v>
      </c>
      <c r="F129" s="19">
        <v>22</v>
      </c>
      <c r="G129" s="195">
        <v>45920</v>
      </c>
      <c r="H129" s="9" t="str">
        <f>VLOOKUP(TablaCosechas[[#This Row],[COD]],DATOS!$E$3:$F$27,2,0)</f>
        <v>PARGO ROJO</v>
      </c>
      <c r="I129" s="9" t="str">
        <f>RIGHT(TablaCosechas[[#This Row],[SECTOR/PISCINA]],2)</f>
        <v>10</v>
      </c>
      <c r="J129" s="9" t="str">
        <f>VLOOKUP(TablaCosechas[[#This Row],[COD]],Tabla7[#All],4,0)</f>
        <v>WILMER TORRES</v>
      </c>
      <c r="K129" s="179">
        <f>(TablaCosechas[[#This Row],[libras planta]]*454)/M129</f>
        <v>1187986.8625167937</v>
      </c>
      <c r="L129" s="174">
        <v>58431.16</v>
      </c>
      <c r="M129" s="19">
        <v>22.33</v>
      </c>
      <c r="N129" s="9" t="str">
        <f>UPPER(TEXT(TablaCosechas[[#This Row],[COSECHA]],"MMMM"))</f>
        <v>SEPTIEMBRE</v>
      </c>
      <c r="O129" s="9" t="str">
        <f>IF(A129="DO 29","BAP",IF(A129="RO 14","BAP",(VLOOKUP(TablaCosechas[[#This Row],[COD]],Tabla7[[CODIGO]:[CERTIFICACION]],3,0))))</f>
        <v>CONVENCIONAL</v>
      </c>
      <c r="P129" s="180">
        <f>+L129-E129</f>
        <v>3931.1600000000035</v>
      </c>
      <c r="Q129" s="181">
        <f>+M129-F129</f>
        <v>0.32999999999999829</v>
      </c>
      <c r="R129" s="9"/>
    </row>
    <row r="130" spans="1:18" x14ac:dyDescent="0.25">
      <c r="A130" s="9" t="s">
        <v>128</v>
      </c>
      <c r="B130" s="9">
        <f>ROW() - ROW(TablaCosechas[[#Headers],[ID]]) - 4</f>
        <v>125</v>
      </c>
      <c r="C130" s="9" t="str">
        <f>LEFT(A130,2)</f>
        <v>PA</v>
      </c>
      <c r="D130" s="182" t="s">
        <v>367</v>
      </c>
      <c r="E130" s="178">
        <v>9600</v>
      </c>
      <c r="F130" s="19">
        <v>21</v>
      </c>
      <c r="G130" s="195">
        <v>45920</v>
      </c>
      <c r="H130" s="9" t="str">
        <f>VLOOKUP(TablaCosechas[[#This Row],[COD]],DATOS!$E$3:$F$26,2,0)</f>
        <v>PAMPANO</v>
      </c>
      <c r="I130" s="9" t="str">
        <f>RIGHT(TablaCosechas[[#This Row],[SECTOR/PISCINA]],2)</f>
        <v>14</v>
      </c>
      <c r="J130" s="9" t="str">
        <f>VLOOKUP(TablaCosechas[[#This Row],[COD]],Tabla7[#All],4,0)</f>
        <v>GUSTAVO CARRASCO</v>
      </c>
      <c r="K130" s="179">
        <f>(TablaCosechas[[#This Row],[libras planta]]*454)/M130</f>
        <v>196395.10600706711</v>
      </c>
      <c r="L130" s="174">
        <v>9793.7999999999993</v>
      </c>
      <c r="M130" s="19">
        <v>22.64</v>
      </c>
      <c r="N130" s="9" t="str">
        <f>UPPER(TEXT(TablaCosechas[[#This Row],[COSECHA]],"MMMM"))</f>
        <v>SEPTIEMBRE</v>
      </c>
      <c r="O130" s="9" t="str">
        <f>IF(A130="DO 29","BAP",IF(A130="RO 14","BAP",(VLOOKUP(TablaCosechas[[#This Row],[COD]],Tabla7[[CODIGO]:[CERTIFICACION]],3,0))))</f>
        <v>ASC</v>
      </c>
      <c r="P130" s="180">
        <f>+L130-E130</f>
        <v>193.79999999999927</v>
      </c>
      <c r="Q130" s="181">
        <f>+M130-F130</f>
        <v>1.6400000000000006</v>
      </c>
      <c r="R130" s="9"/>
    </row>
    <row r="131" spans="1:18" x14ac:dyDescent="0.25">
      <c r="A131" s="9" t="s">
        <v>170</v>
      </c>
      <c r="B131" s="9">
        <f>ROW() - ROW(TablaCosechas[[#Headers],[ID]]) - 4</f>
        <v>126</v>
      </c>
      <c r="C131" s="9" t="str">
        <f>LEFT(A131,2)</f>
        <v>PA</v>
      </c>
      <c r="D131" s="182" t="s">
        <v>367</v>
      </c>
      <c r="E131" s="178">
        <v>5700</v>
      </c>
      <c r="F131" s="19">
        <v>20</v>
      </c>
      <c r="G131" s="195">
        <v>45920</v>
      </c>
      <c r="H131" s="9" t="str">
        <f>VLOOKUP(TablaCosechas[[#This Row],[COD]],DATOS!$E$3:$F$26,2,0)</f>
        <v>PAMPANO</v>
      </c>
      <c r="I131" s="9" t="str">
        <f>RIGHT(TablaCosechas[[#This Row],[SECTOR/PISCINA]],2)</f>
        <v>08</v>
      </c>
      <c r="J131" s="9" t="str">
        <f>VLOOKUP(TablaCosechas[[#This Row],[COD]],Tabla7[#All],4,0)</f>
        <v>GUSTAVO CARRASCO</v>
      </c>
      <c r="K131" s="179">
        <f>(TablaCosechas[[#This Row],[libras planta]]*454)/M131</f>
        <v>121042.69728209935</v>
      </c>
      <c r="L131" s="174">
        <v>5689.54</v>
      </c>
      <c r="M131" s="19">
        <v>21.34</v>
      </c>
      <c r="N131" s="9" t="str">
        <f>UPPER(TEXT(TablaCosechas[[#This Row],[COSECHA]],"MMMM"))</f>
        <v>SEPTIEMBRE</v>
      </c>
      <c r="O131" s="9" t="str">
        <f>IF(A131="DO 29","BAP",IF(A131="RO 14","BAP",(VLOOKUP(TablaCosechas[[#This Row],[COD]],Tabla7[[CODIGO]:[CERTIFICACION]],3,0))))</f>
        <v>ASC</v>
      </c>
      <c r="P131" s="180">
        <f>+L131-E131</f>
        <v>-10.460000000000036</v>
      </c>
      <c r="Q131" s="181">
        <f>+M131-F131</f>
        <v>1.3399999999999999</v>
      </c>
      <c r="R131" s="9"/>
    </row>
    <row r="132" spans="1:18" x14ac:dyDescent="0.25">
      <c r="A132" s="9" t="s">
        <v>314</v>
      </c>
      <c r="B132" s="9">
        <f>ROW() - ROW(TablaCosechas[[#Headers],[ID]]) - 4</f>
        <v>127</v>
      </c>
      <c r="C132" s="9" t="str">
        <f>LEFT(A132,2)</f>
        <v>GT</v>
      </c>
      <c r="D132" s="182" t="s">
        <v>366</v>
      </c>
      <c r="E132" s="178">
        <v>35100</v>
      </c>
      <c r="F132" s="19">
        <v>37</v>
      </c>
      <c r="G132" s="195">
        <v>45920</v>
      </c>
      <c r="H132" s="9" t="str">
        <f>VLOOKUP(TablaCosechas[[#This Row],[COD]],DATOS!$E$3:$F$27,2,0)</f>
        <v>GUATO</v>
      </c>
      <c r="I132" s="9" t="str">
        <f>RIGHT(TablaCosechas[[#This Row],[SECTOR/PISCINA]],2)</f>
        <v>10</v>
      </c>
      <c r="J132" s="9" t="str">
        <f>VLOOKUP(TablaCosechas[[#This Row],[COD]],Tabla7[#All],4,0)</f>
        <v>JULIO SANTOS</v>
      </c>
      <c r="K132" s="179">
        <f>(TablaCosechas[[#This Row],[libras planta]]*454)/M132</f>
        <v>430554.44036697247</v>
      </c>
      <c r="L132" s="174">
        <v>33078.720000000001</v>
      </c>
      <c r="M132" s="19">
        <v>34.880000000000003</v>
      </c>
      <c r="N132" s="9" t="str">
        <f>UPPER(TEXT(TablaCosechas[[#This Row],[COSECHA]],"MMMM"))</f>
        <v>SEPTIEMBRE</v>
      </c>
      <c r="O132" s="9" t="str">
        <f>IF(A132="DO 29","BAP",IF(A132="RO 14","BAP",(VLOOKUP(TablaCosechas[[#This Row],[COD]],Tabla7[[CODIGO]:[CERTIFICACION]],3,0))))</f>
        <v>CONVENCIONAL</v>
      </c>
      <c r="P132" s="180">
        <f>+L132-E132</f>
        <v>-2021.2799999999988</v>
      </c>
      <c r="Q132" s="181">
        <f>+M132-F132</f>
        <v>-2.1199999999999974</v>
      </c>
      <c r="R132" s="9"/>
    </row>
    <row r="133" spans="1:18" x14ac:dyDescent="0.25">
      <c r="A133" s="9" t="s">
        <v>147</v>
      </c>
      <c r="B133" s="9">
        <f>ROW() - ROW(TablaCosechas[[#Headers],[ID]]) - 4</f>
        <v>128</v>
      </c>
      <c r="C133" s="9" t="str">
        <f>LEFT(A133,2)</f>
        <v>DO</v>
      </c>
      <c r="D133" s="182" t="s">
        <v>367</v>
      </c>
      <c r="E133" s="178">
        <v>14400</v>
      </c>
      <c r="F133" s="19">
        <v>24</v>
      </c>
      <c r="G133" s="195">
        <v>45920</v>
      </c>
      <c r="H133" s="9" t="str">
        <f>VLOOKUP(TablaCosechas[[#This Row],[COD]],DATOS!$E$3:$F$27,2,0)</f>
        <v>DORADO</v>
      </c>
      <c r="I133" s="9" t="str">
        <f>RIGHT(TablaCosechas[[#This Row],[SECTOR/PISCINA]],2)</f>
        <v>08</v>
      </c>
      <c r="J133" s="9" t="str">
        <f>VLOOKUP(TablaCosechas[[#This Row],[COD]],Tabla7[#All],4,0)</f>
        <v>JOSE CEDEÑO</v>
      </c>
      <c r="K133" s="179">
        <f>(TablaCosechas[[#This Row],[libras planta]]*454)/M133</f>
        <v>277925.85059422749</v>
      </c>
      <c r="L133" s="174">
        <v>14422.76</v>
      </c>
      <c r="M133" s="19">
        <v>23.56</v>
      </c>
      <c r="N133" s="9" t="str">
        <f>UPPER(TEXT(TablaCosechas[[#This Row],[COSECHA]],"MMMM"))</f>
        <v>SEPTIEMBRE</v>
      </c>
      <c r="O133" s="9" t="str">
        <f>IF(A133="DO 29","BAP",IF(A133="RO 14","BAP",(VLOOKUP(TablaCosechas[[#This Row],[COD]],Tabla7[[CODIGO]:[CERTIFICACION]],3,0))))</f>
        <v>ASC</v>
      </c>
      <c r="P133" s="180">
        <f>+L133-E133</f>
        <v>22.760000000000218</v>
      </c>
      <c r="Q133" s="181">
        <f>+M133-F133</f>
        <v>-0.44000000000000128</v>
      </c>
      <c r="R133" s="9"/>
    </row>
    <row r="134" spans="1:18" x14ac:dyDescent="0.25">
      <c r="A134" s="9" t="s">
        <v>12</v>
      </c>
      <c r="B134" s="9">
        <f>ROW() - ROW(TablaCosechas[[#Headers],[ID]]) - 4</f>
        <v>129</v>
      </c>
      <c r="C134" s="9" t="str">
        <f>LEFT(A134,2)</f>
        <v>CH</v>
      </c>
      <c r="D134" s="182" t="s">
        <v>366</v>
      </c>
      <c r="E134" s="178">
        <f>24600+400</f>
        <v>25000</v>
      </c>
      <c r="F134" s="19">
        <v>32</v>
      </c>
      <c r="G134" s="195">
        <v>45920</v>
      </c>
      <c r="H134" s="9" t="str">
        <f>VLOOKUP(TablaCosechas[[#This Row],[COD]],DATOS!$E$3:$F$27,2,0)</f>
        <v>CHERNA</v>
      </c>
      <c r="I134" s="9" t="str">
        <f>RIGHT(TablaCosechas[[#This Row],[SECTOR/PISCINA]],2)</f>
        <v>06</v>
      </c>
      <c r="J134" s="9" t="str">
        <f>VLOOKUP(TablaCosechas[[#This Row],[COD]],Tabla7[#All],4,0)</f>
        <v>SANTIAGO OBRIEN</v>
      </c>
      <c r="K134" s="179">
        <f>(TablaCosechas[[#This Row],[libras planta]]*454)/M134</f>
        <v>371937.68225496478</v>
      </c>
      <c r="L134" s="174">
        <f>25198.86+378</f>
        <v>25576.86</v>
      </c>
      <c r="M134" s="19">
        <v>31.22</v>
      </c>
      <c r="N134" s="9" t="str">
        <f>UPPER(TEXT(TablaCosechas[[#This Row],[COSECHA]],"MMMM"))</f>
        <v>SEPTIEMBRE</v>
      </c>
      <c r="O134" s="9" t="str">
        <f>IF(A134="DO 29","BAP",IF(A134="RO 14","BAP",(VLOOKUP(TablaCosechas[[#This Row],[COD]],Tabla7[[CODIGO]:[CERTIFICACION]],3,0))))</f>
        <v>ASC</v>
      </c>
      <c r="P134" s="180">
        <f>+L134-E134</f>
        <v>576.86000000000058</v>
      </c>
      <c r="Q134" s="181">
        <f>+M134-F134</f>
        <v>-0.78000000000000114</v>
      </c>
      <c r="R134" s="9"/>
    </row>
    <row r="135" spans="1:18" x14ac:dyDescent="0.25">
      <c r="A135" s="9" t="s">
        <v>8</v>
      </c>
      <c r="B135" s="9">
        <f>ROW() - ROW(TablaCosechas[[#Headers],[ID]]) - 4</f>
        <v>130</v>
      </c>
      <c r="C135" s="9" t="str">
        <f>LEFT(A135,2)</f>
        <v>CH</v>
      </c>
      <c r="D135" s="182" t="s">
        <v>366</v>
      </c>
      <c r="E135" s="178">
        <f>50150+1650</f>
        <v>51800</v>
      </c>
      <c r="F135" s="19">
        <v>28.5</v>
      </c>
      <c r="G135" s="195">
        <v>45920</v>
      </c>
      <c r="H135" s="9" t="str">
        <f>VLOOKUP(TablaCosechas[[#This Row],[COD]],DATOS!$E$3:$F$27,2,0)</f>
        <v>CHERNA</v>
      </c>
      <c r="I135" s="9" t="str">
        <f>RIGHT(TablaCosechas[[#This Row],[SECTOR/PISCINA]],2)</f>
        <v>02</v>
      </c>
      <c r="J135" s="9" t="str">
        <f>VLOOKUP(TablaCosechas[[#This Row],[COD]],Tabla7[#All],4,0)</f>
        <v>SANTIAGO OBRIEN</v>
      </c>
      <c r="K135" s="179">
        <f>(TablaCosechas[[#This Row],[libras planta]]*454)/M135</f>
        <v>818262.90989660274</v>
      </c>
      <c r="L135" s="174">
        <f>47300.96+1506.44</f>
        <v>48807.4</v>
      </c>
      <c r="M135" s="19">
        <v>27.08</v>
      </c>
      <c r="N135" s="9" t="str">
        <f>UPPER(TEXT(TablaCosechas[[#This Row],[COSECHA]],"MMMM"))</f>
        <v>SEPTIEMBRE</v>
      </c>
      <c r="O135" s="9" t="str">
        <f>IF(A135="DO 29","BAP",IF(A135="RO 14","BAP",(VLOOKUP(TablaCosechas[[#This Row],[COD]],Tabla7[[CODIGO]:[CERTIFICACION]],3,0))))</f>
        <v>ASC</v>
      </c>
      <c r="P135" s="180">
        <f>+L135-E135</f>
        <v>-2992.5999999999985</v>
      </c>
      <c r="Q135" s="181">
        <f>+M135-F135</f>
        <v>-1.4200000000000017</v>
      </c>
      <c r="R135" s="9"/>
    </row>
    <row r="136" spans="1:18" x14ac:dyDescent="0.25">
      <c r="A136" s="9" t="s">
        <v>195</v>
      </c>
      <c r="B136" s="9">
        <f>ROW() - ROW(TablaCosechas[[#Headers],[ID]]) - 4</f>
        <v>131</v>
      </c>
      <c r="C136" s="9" t="str">
        <f>LEFT(A136,2)</f>
        <v>TU</v>
      </c>
      <c r="D136" s="182" t="s">
        <v>367</v>
      </c>
      <c r="E136" s="178">
        <v>7000</v>
      </c>
      <c r="F136" s="19">
        <v>15</v>
      </c>
      <c r="G136" s="195">
        <v>45921</v>
      </c>
      <c r="H136" s="9" t="str">
        <f>VLOOKUP(TablaCosechas[[#This Row],[COD]],DATOS!$E$3:$F$26,2,0)</f>
        <v>TUNA</v>
      </c>
      <c r="I136" s="9" t="str">
        <f>RIGHT(TablaCosechas[[#This Row],[SECTOR/PISCINA]],2)</f>
        <v>01</v>
      </c>
      <c r="J136" s="9" t="str">
        <f>VLOOKUP(TablaCosechas[[#This Row],[COD]],Tabla7[#All],4,0)</f>
        <v>GUSTAVO CARRASCO</v>
      </c>
      <c r="K136" s="179">
        <f>(TablaCosechas[[#This Row],[libras planta]]*454)/M136</f>
        <v>195947.88366013073</v>
      </c>
      <c r="L136" s="174">
        <v>6603.53</v>
      </c>
      <c r="M136" s="19">
        <v>15.3</v>
      </c>
      <c r="N136" s="9" t="str">
        <f>UPPER(TEXT(TablaCosechas[[#This Row],[COSECHA]],"MMMM"))</f>
        <v>SEPTIEMBRE</v>
      </c>
      <c r="O136" s="9" t="str">
        <f>IF(A136="DO 29","BAP",IF(A136="RO 14","BAP",(VLOOKUP(TablaCosechas[[#This Row],[COD]],Tabla7[[CODIGO]:[CERTIFICACION]],3,0))))</f>
        <v>ASC</v>
      </c>
      <c r="P136" s="180">
        <f>+L136-E136</f>
        <v>-396.47000000000025</v>
      </c>
      <c r="Q136" s="181">
        <f>+M136-F136</f>
        <v>0.30000000000000071</v>
      </c>
      <c r="R136" s="9"/>
    </row>
    <row r="137" spans="1:18" x14ac:dyDescent="0.25">
      <c r="A137" s="9" t="s">
        <v>172</v>
      </c>
      <c r="B137" s="9">
        <f>ROW() - ROW(TablaCosechas[[#Headers],[ID]]) - 4</f>
        <v>132</v>
      </c>
      <c r="C137" s="9" t="str">
        <f>LEFT(A137,2)</f>
        <v>TA</v>
      </c>
      <c r="D137" s="182" t="s">
        <v>367</v>
      </c>
      <c r="E137" s="178">
        <v>12000</v>
      </c>
      <c r="F137" s="19">
        <v>19</v>
      </c>
      <c r="G137" s="195">
        <v>45921</v>
      </c>
      <c r="H137" s="9" t="str">
        <f>VLOOKUP(TablaCosechas[[#This Row],[COD]],DATOS!$E$3:$F$26,2,0)</f>
        <v>TAMBULERO</v>
      </c>
      <c r="I137" s="9" t="str">
        <f>RIGHT(TablaCosechas[[#This Row],[SECTOR/PISCINA]],2)</f>
        <v>24</v>
      </c>
      <c r="J137" s="9" t="str">
        <f>VLOOKUP(TablaCosechas[[#This Row],[COD]],Tabla7[#All],4,0)</f>
        <v>ALFONSO GRUNAUER</v>
      </c>
      <c r="K137" s="179">
        <f>(TablaCosechas[[#This Row],[libras planta]]*454)/M137</f>
        <v>301441.97398373985</v>
      </c>
      <c r="L137" s="174">
        <v>12250.23</v>
      </c>
      <c r="M137" s="19">
        <v>18.45</v>
      </c>
      <c r="N137" s="9" t="str">
        <f>UPPER(TEXT(TablaCosechas[[#This Row],[COSECHA]],"MMMM"))</f>
        <v>SEPTIEMBRE</v>
      </c>
      <c r="O137" s="9" t="str">
        <f>IF(A137="DO 29","BAP",IF(A137="RO 14","BAP",(VLOOKUP(TablaCosechas[[#This Row],[COD]],Tabla7[[CODIGO]:[CERTIFICACION]],3,0))))</f>
        <v>CONVENCIONAL</v>
      </c>
      <c r="P137" s="180">
        <f>+L137-E137</f>
        <v>250.22999999999956</v>
      </c>
      <c r="Q137" s="181">
        <f>+M137-F137</f>
        <v>-0.55000000000000071</v>
      </c>
      <c r="R137" s="9"/>
    </row>
    <row r="138" spans="1:18" x14ac:dyDescent="0.25">
      <c r="A138" s="9" t="s">
        <v>176</v>
      </c>
      <c r="B138" s="9">
        <f>ROW() - ROW(TablaCosechas[[#Headers],[ID]]) - 4</f>
        <v>133</v>
      </c>
      <c r="C138" s="9" t="str">
        <f>LEFT(A138,2)</f>
        <v>TA</v>
      </c>
      <c r="D138" s="182" t="s">
        <v>367</v>
      </c>
      <c r="E138" s="178">
        <v>12000</v>
      </c>
      <c r="F138" s="19">
        <v>21</v>
      </c>
      <c r="G138" s="195">
        <v>45921</v>
      </c>
      <c r="H138" s="9" t="str">
        <f>VLOOKUP(TablaCosechas[[#This Row],[COD]],DATOS!$E$3:$F$26,2,0)</f>
        <v>TAMBULERO</v>
      </c>
      <c r="I138" s="9" t="str">
        <f>RIGHT(TablaCosechas[[#This Row],[SECTOR/PISCINA]],2)</f>
        <v>15</v>
      </c>
      <c r="J138" s="9" t="str">
        <f>VLOOKUP(TablaCosechas[[#This Row],[COD]],Tabla7[#All],4,0)</f>
        <v>ALFONSO GRUNAUER</v>
      </c>
      <c r="K138" s="179">
        <f>(TablaCosechas[[#This Row],[libras planta]]*454)/M138</f>
        <v>256048.64011116256</v>
      </c>
      <c r="L138" s="174">
        <v>12176.41</v>
      </c>
      <c r="M138" s="19">
        <v>21.59</v>
      </c>
      <c r="N138" s="9" t="str">
        <f>UPPER(TEXT(TablaCosechas[[#This Row],[COSECHA]],"MMMM"))</f>
        <v>SEPTIEMBRE</v>
      </c>
      <c r="O138" s="9" t="str">
        <f>IF(A138="DO 29","BAP",IF(A138="RO 14","BAP",(VLOOKUP(TablaCosechas[[#This Row],[COD]],Tabla7[[CODIGO]:[CERTIFICACION]],3,0))))</f>
        <v>CONVENCIONAL</v>
      </c>
      <c r="P138" s="180">
        <f>+L138-E138</f>
        <v>176.40999999999985</v>
      </c>
      <c r="Q138" s="181">
        <f>+M138-F138</f>
        <v>0.58999999999999986</v>
      </c>
      <c r="R138" s="9"/>
    </row>
    <row r="139" spans="1:18" x14ac:dyDescent="0.25">
      <c r="A139" s="9" t="s">
        <v>272</v>
      </c>
      <c r="B139" s="9">
        <f>ROW() - ROW(TablaCosechas[[#Headers],[ID]]) - 4</f>
        <v>134</v>
      </c>
      <c r="C139" s="9" t="str">
        <f>LEFT(A139,2)</f>
        <v>PR</v>
      </c>
      <c r="D139" s="182" t="s">
        <v>366</v>
      </c>
      <c r="E139" s="178">
        <v>21250</v>
      </c>
      <c r="F139" s="19">
        <v>21.5</v>
      </c>
      <c r="G139" s="195">
        <v>45921</v>
      </c>
      <c r="H139" s="9" t="str">
        <f>VLOOKUP(TablaCosechas[[#This Row],[COD]],DATOS!$E$3:$F$27,2,0)</f>
        <v>PARGO ROJO</v>
      </c>
      <c r="I139" s="9" t="str">
        <f>RIGHT(TablaCosechas[[#This Row],[SECTOR/PISCINA]],2)</f>
        <v>07</v>
      </c>
      <c r="J139" s="9" t="str">
        <f>VLOOKUP(TablaCosechas[[#This Row],[COD]],Tabla7[#All],4,0)</f>
        <v>WILMER TORRES</v>
      </c>
      <c r="K139" s="179">
        <f>(TablaCosechas[[#This Row],[libras planta]]*454)/M139</f>
        <v>493120.06179286336</v>
      </c>
      <c r="L139" s="174">
        <v>24960.13</v>
      </c>
      <c r="M139" s="19">
        <v>22.98</v>
      </c>
      <c r="N139" s="9" t="str">
        <f>UPPER(TEXT(TablaCosechas[[#This Row],[COSECHA]],"MMMM"))</f>
        <v>SEPTIEMBRE</v>
      </c>
      <c r="O139" s="9" t="str">
        <f>IF(A139="DO 29","BAP",IF(A139="RO 14","BAP",(VLOOKUP(TablaCosechas[[#This Row],[COD]],Tabla7[[CODIGO]:[CERTIFICACION]],3,0))))</f>
        <v>CONVENCIONAL</v>
      </c>
      <c r="P139" s="180">
        <f>+L139-E139</f>
        <v>3710.130000000001</v>
      </c>
      <c r="Q139" s="181">
        <f>+M139-F139</f>
        <v>1.4800000000000004</v>
      </c>
      <c r="R139" s="9"/>
    </row>
    <row r="140" spans="1:18" x14ac:dyDescent="0.25">
      <c r="A140" s="9" t="s">
        <v>175</v>
      </c>
      <c r="B140" s="9">
        <f>ROW() - ROW(TablaCosechas[[#Headers],[ID]]) - 4</f>
        <v>135</v>
      </c>
      <c r="C140" s="9" t="str">
        <f>LEFT(A140,2)</f>
        <v>PA</v>
      </c>
      <c r="D140" s="182" t="s">
        <v>367</v>
      </c>
      <c r="E140" s="178">
        <v>3900</v>
      </c>
      <c r="F140" s="19">
        <v>20</v>
      </c>
      <c r="G140" s="195">
        <v>45921</v>
      </c>
      <c r="H140" s="9" t="str">
        <f>VLOOKUP(TablaCosechas[[#This Row],[COD]],DATOS!$E$3:$F$27,2,0)</f>
        <v>PAMPANO</v>
      </c>
      <c r="I140" s="9" t="str">
        <f>RIGHT(TablaCosechas[[#This Row],[SECTOR/PISCINA]],2)</f>
        <v>09</v>
      </c>
      <c r="J140" s="9" t="str">
        <f>VLOOKUP(TablaCosechas[[#This Row],[COD]],Tabla7[#All],4,0)</f>
        <v>GUSTAVO CARRASCO</v>
      </c>
      <c r="K140" s="179">
        <f>(TablaCosechas[[#This Row],[libras planta]]*454)/M140</f>
        <v>101632.09663865546</v>
      </c>
      <c r="L140" s="174">
        <v>4262.28</v>
      </c>
      <c r="M140" s="19">
        <v>19.04</v>
      </c>
      <c r="N140" s="9" t="str">
        <f>UPPER(TEXT(TablaCosechas[[#This Row],[COSECHA]],"MMMM"))</f>
        <v>SEPTIEMBRE</v>
      </c>
      <c r="O140" s="9" t="str">
        <f>IF(A140="DO 29","BAP",IF(A140="RO 14","BAP",(VLOOKUP(TablaCosechas[[#This Row],[COD]],Tabla7[[CODIGO]:[CERTIFICACION]],3,0))))</f>
        <v>ASC</v>
      </c>
      <c r="P140" s="180">
        <f>+L140-E140</f>
        <v>362.27999999999975</v>
      </c>
      <c r="Q140" s="181">
        <f>+M140-F140</f>
        <v>-0.96000000000000085</v>
      </c>
      <c r="R140" s="9"/>
    </row>
    <row r="141" spans="1:18" x14ac:dyDescent="0.25">
      <c r="A141" s="9" t="s">
        <v>138</v>
      </c>
      <c r="B141" s="9">
        <f>ROW() - ROW(TablaCosechas[[#Headers],[ID]]) - 4</f>
        <v>136</v>
      </c>
      <c r="C141" s="9" t="str">
        <f>LEFT(A141,2)</f>
        <v>GT</v>
      </c>
      <c r="D141" s="182" t="s">
        <v>367</v>
      </c>
      <c r="E141" s="178">
        <v>6600</v>
      </c>
      <c r="F141" s="19">
        <v>23</v>
      </c>
      <c r="G141" s="195">
        <v>45921</v>
      </c>
      <c r="H141" s="9" t="str">
        <f>VLOOKUP(TablaCosechas[[#This Row],[COD]],DATOS!$E$3:$F$27,2,0)</f>
        <v>GUATO</v>
      </c>
      <c r="I141" s="9" t="str">
        <f>RIGHT(TablaCosechas[[#This Row],[SECTOR/PISCINA]],2)</f>
        <v>04</v>
      </c>
      <c r="J141" s="9" t="str">
        <f>VLOOKUP(TablaCosechas[[#This Row],[COD]],Tabla7[#All],4,0)</f>
        <v>JULIO SANTOS</v>
      </c>
      <c r="K141" s="179">
        <f>(TablaCosechas[[#This Row],[libras planta]]*454)/M141</f>
        <v>110673.5011820331</v>
      </c>
      <c r="L141" s="174">
        <v>6186.99</v>
      </c>
      <c r="M141" s="19">
        <v>25.38</v>
      </c>
      <c r="N141" s="9" t="str">
        <f>UPPER(TEXT(TablaCosechas[[#This Row],[COSECHA]],"MMMM"))</f>
        <v>SEPTIEMBRE</v>
      </c>
      <c r="O141" s="9" t="str">
        <f>IF(A141="DO 29","BAP",IF(A141="RO 14","BAP",(VLOOKUP(TablaCosechas[[#This Row],[COD]],Tabla7[[CODIGO]:[CERTIFICACION]],3,0))))</f>
        <v>CONVENCIONAL</v>
      </c>
      <c r="P141" s="180">
        <f>+L141-E141</f>
        <v>-413.01000000000022</v>
      </c>
      <c r="Q141" s="181">
        <f>+M141-F141</f>
        <v>2.379999999999999</v>
      </c>
      <c r="R141" s="9"/>
    </row>
    <row r="142" spans="1:18" x14ac:dyDescent="0.25">
      <c r="A142" s="9" t="s">
        <v>183</v>
      </c>
      <c r="B142" s="9">
        <f>ROW() - ROW(TablaCosechas[[#Headers],[ID]]) - 4</f>
        <v>137</v>
      </c>
      <c r="C142" s="9" t="str">
        <f>LEFT(A142,2)</f>
        <v>DO</v>
      </c>
      <c r="D142" s="182" t="s">
        <v>367</v>
      </c>
      <c r="E142" s="178">
        <v>8000</v>
      </c>
      <c r="F142" s="19">
        <v>19</v>
      </c>
      <c r="G142" s="195">
        <v>45921</v>
      </c>
      <c r="H142" s="9" t="str">
        <f>VLOOKUP(TablaCosechas[[#This Row],[COD]],DATOS!$E$3:$F$27,2,0)</f>
        <v>DORADO</v>
      </c>
      <c r="I142" s="9" t="str">
        <f>RIGHT(TablaCosechas[[#This Row],[SECTOR/PISCINA]],2)</f>
        <v>05</v>
      </c>
      <c r="J142" s="9" t="str">
        <f>VLOOKUP(TablaCosechas[[#This Row],[COD]],Tabla7[#All],4,0)</f>
        <v>JOSE CEDEÑO</v>
      </c>
      <c r="K142" s="179">
        <f>(TablaCosechas[[#This Row],[libras planta]]*454)/M142</f>
        <v>178299.91206543968</v>
      </c>
      <c r="L142" s="174">
        <v>7681.82</v>
      </c>
      <c r="M142" s="19">
        <v>19.559999999999999</v>
      </c>
      <c r="N142" s="9" t="str">
        <f>UPPER(TEXT(TablaCosechas[[#This Row],[COSECHA]],"MMMM"))</f>
        <v>SEPTIEMBRE</v>
      </c>
      <c r="O142" s="9" t="str">
        <f>IF(A142="DO 29","BAP",IF(A142="RO 14","BAP",(VLOOKUP(TablaCosechas[[#This Row],[COD]],Tabla7[[CODIGO]:[CERTIFICACION]],3,0))))</f>
        <v>ASC</v>
      </c>
      <c r="P142" s="180">
        <f>+L142-E142</f>
        <v>-318.18000000000029</v>
      </c>
      <c r="Q142" s="181">
        <f>+M142-F142</f>
        <v>0.55999999999999872</v>
      </c>
      <c r="R142" s="9"/>
    </row>
    <row r="143" spans="1:18" x14ac:dyDescent="0.25">
      <c r="A143" s="9" t="s">
        <v>322</v>
      </c>
      <c r="B143" s="9">
        <f>ROW() - ROW(TablaCosechas[[#Headers],[ID]]) - 4</f>
        <v>138</v>
      </c>
      <c r="C143" s="9" t="str">
        <f>LEFT(A143,2)</f>
        <v>TI</v>
      </c>
      <c r="D143" s="182" t="s">
        <v>366</v>
      </c>
      <c r="E143" s="178">
        <v>18700</v>
      </c>
      <c r="F143" s="19">
        <v>37.5</v>
      </c>
      <c r="G143" s="195">
        <v>45922</v>
      </c>
      <c r="H143" s="9" t="str">
        <f>VLOOKUP(TablaCosechas[[#This Row],[COD]],DATOS!$E$3:$F$27,2,0)</f>
        <v>TIBURON</v>
      </c>
      <c r="I143" s="9" t="str">
        <f>RIGHT(TablaCosechas[[#This Row],[SECTOR/PISCINA]],2)</f>
        <v>12</v>
      </c>
      <c r="J143" s="9" t="str">
        <f>VLOOKUP(TablaCosechas[[#This Row],[COD]],Tabla7[#All],4,0)</f>
        <v>ALFONSO GRUNAUER</v>
      </c>
      <c r="K143" s="179">
        <f>(TablaCosechas[[#This Row],[libras planta]]*454)/M143</f>
        <v>256101.47414262383</v>
      </c>
      <c r="L143" s="174">
        <v>20725.04</v>
      </c>
      <c r="M143" s="19">
        <v>36.74</v>
      </c>
      <c r="N143" s="9" t="str">
        <f>UPPER(TEXT(TablaCosechas[[#This Row],[COSECHA]],"MMMM"))</f>
        <v>SEPTIEMBRE</v>
      </c>
      <c r="O143" s="9" t="str">
        <f>IF(A143="DO 29","BAP",IF(A143="RO 14","BAP",(VLOOKUP(TablaCosechas[[#This Row],[COD]],Tabla7[[CODIGO]:[CERTIFICACION]],3,0))))</f>
        <v>ASC</v>
      </c>
      <c r="P143" s="180">
        <f>+L143-E143</f>
        <v>2025.0400000000009</v>
      </c>
      <c r="Q143" s="181">
        <f>+M143-F143</f>
        <v>-0.75999999999999801</v>
      </c>
      <c r="R143" s="9"/>
    </row>
    <row r="144" spans="1:18" x14ac:dyDescent="0.25">
      <c r="A144" s="9" t="s">
        <v>299</v>
      </c>
      <c r="B144" s="9">
        <f>ROW() - ROW(TablaCosechas[[#Headers],[ID]]) - 4</f>
        <v>139</v>
      </c>
      <c r="C144" s="9" t="str">
        <f>LEFT(A144,2)</f>
        <v>PR</v>
      </c>
      <c r="D144" s="182" t="s">
        <v>366</v>
      </c>
      <c r="E144" s="178">
        <v>49600</v>
      </c>
      <c r="F144" s="19">
        <v>25</v>
      </c>
      <c r="G144" s="195">
        <v>45922</v>
      </c>
      <c r="H144" s="9" t="str">
        <f>VLOOKUP(TablaCosechas[[#This Row],[COD]],DATOS!$E$3:$F$27,2,0)</f>
        <v>PARGO ROJO</v>
      </c>
      <c r="I144" s="9" t="str">
        <f>RIGHT(TablaCosechas[[#This Row],[SECTOR/PISCINA]],2)</f>
        <v>13</v>
      </c>
      <c r="J144" s="9" t="str">
        <f>VLOOKUP(TablaCosechas[[#This Row],[COD]],Tabla7[#All],4,0)</f>
        <v>WILMER TORRES</v>
      </c>
      <c r="K144" s="179">
        <f>(TablaCosechas[[#This Row],[libras planta]]*454)/M144</f>
        <v>983796.44185110647</v>
      </c>
      <c r="L144" s="174">
        <v>53848.77</v>
      </c>
      <c r="M144" s="19">
        <v>24.85</v>
      </c>
      <c r="N144" s="9" t="str">
        <f>UPPER(TEXT(TablaCosechas[[#This Row],[COSECHA]],"MMMM"))</f>
        <v>SEPTIEMBRE</v>
      </c>
      <c r="O144" s="9" t="str">
        <f>IF(A144="DO 29","BAP",IF(A144="RO 14","BAP",(VLOOKUP(TablaCosechas[[#This Row],[COD]],Tabla7[[CODIGO]:[CERTIFICACION]],3,0))))</f>
        <v>CONVENCIONAL</v>
      </c>
      <c r="P144" s="180">
        <f>+L144-E144</f>
        <v>4248.7699999999968</v>
      </c>
      <c r="Q144" s="181">
        <f>+M144-F144</f>
        <v>-0.14999999999999858</v>
      </c>
      <c r="R144" s="9"/>
    </row>
    <row r="145" spans="1:18" x14ac:dyDescent="0.25">
      <c r="A145" s="9" t="s">
        <v>153</v>
      </c>
      <c r="B145" s="9">
        <f>ROW() - ROW(TablaCosechas[[#Headers],[ID]]) - 4</f>
        <v>140</v>
      </c>
      <c r="C145" s="9" t="str">
        <f>LEFT(A145,2)</f>
        <v>GT</v>
      </c>
      <c r="D145" s="182" t="s">
        <v>367</v>
      </c>
      <c r="E145" s="178">
        <v>4500</v>
      </c>
      <c r="F145" s="19">
        <v>25</v>
      </c>
      <c r="G145" s="195">
        <v>45922</v>
      </c>
      <c r="H145" s="9" t="str">
        <f>VLOOKUP(TablaCosechas[[#This Row],[COD]],DATOS!$E$3:$F$27,2,0)</f>
        <v>GUATO</v>
      </c>
      <c r="I145" s="9" t="str">
        <f>RIGHT(TablaCosechas[[#This Row],[SECTOR/PISCINA]],2)</f>
        <v>05</v>
      </c>
      <c r="J145" s="9" t="str">
        <f>VLOOKUP(TablaCosechas[[#This Row],[COD]],Tabla7[#All],4,0)</f>
        <v>JULIO SANTOS</v>
      </c>
      <c r="K145" s="179">
        <f>(TablaCosechas[[#This Row],[libras planta]]*454)/M145</f>
        <v>85683.208110175969</v>
      </c>
      <c r="L145" s="174">
        <v>4933.3900000000003</v>
      </c>
      <c r="M145" s="19">
        <v>26.14</v>
      </c>
      <c r="N145" s="9" t="str">
        <f>UPPER(TEXT(TablaCosechas[[#This Row],[COSECHA]],"MMMM"))</f>
        <v>SEPTIEMBRE</v>
      </c>
      <c r="O145" s="9" t="str">
        <f>IF(A145="DO 29","BAP",IF(A145="RO 14","BAP",(VLOOKUP(TablaCosechas[[#This Row],[COD]],Tabla7[[CODIGO]:[CERTIFICACION]],3,0))))</f>
        <v>CONVENCIONAL</v>
      </c>
      <c r="P145" s="180">
        <f>+L145-E145</f>
        <v>433.39000000000033</v>
      </c>
      <c r="Q145" s="181">
        <f>+M145-F145</f>
        <v>1.1400000000000006</v>
      </c>
      <c r="R145" s="9"/>
    </row>
    <row r="146" spans="1:18" x14ac:dyDescent="0.25">
      <c r="A146" s="9" t="s">
        <v>184</v>
      </c>
      <c r="B146" s="9">
        <f>ROW() - ROW(TablaCosechas[[#Headers],[ID]]) - 4</f>
        <v>141</v>
      </c>
      <c r="C146" s="9" t="str">
        <f>LEFT(A146,2)</f>
        <v>DO</v>
      </c>
      <c r="D146" s="182" t="s">
        <v>367</v>
      </c>
      <c r="E146" s="178">
        <v>12800</v>
      </c>
      <c r="F146" s="19">
        <v>22</v>
      </c>
      <c r="G146" s="195">
        <v>45922</v>
      </c>
      <c r="H146" s="9" t="str">
        <f>VLOOKUP(TablaCosechas[[#This Row],[COD]],DATOS!$E$3:$F$27,2,0)</f>
        <v>DORADO</v>
      </c>
      <c r="I146" s="9" t="str">
        <f>RIGHT(TablaCosechas[[#This Row],[SECTOR/PISCINA]],2)</f>
        <v>19</v>
      </c>
      <c r="J146" s="9" t="str">
        <f>VLOOKUP(TablaCosechas[[#This Row],[COD]],Tabla7[#All],4,0)</f>
        <v>JOSE CEDEÑO</v>
      </c>
      <c r="K146" s="179">
        <f>(TablaCosechas[[#This Row],[libras planta]]*454)/M146</f>
        <v>256593.91755319151</v>
      </c>
      <c r="L146" s="174">
        <v>12750.57</v>
      </c>
      <c r="M146" s="19">
        <v>22.56</v>
      </c>
      <c r="N146" s="9" t="str">
        <f>UPPER(TEXT(TablaCosechas[[#This Row],[COSECHA]],"MMMM"))</f>
        <v>SEPTIEMBRE</v>
      </c>
      <c r="O146" s="9" t="str">
        <f>IF(A146="DO 29","BAP",IF(A146="RO 14","BAP",(VLOOKUP(TablaCosechas[[#This Row],[COD]],Tabla7[[CODIGO]:[CERTIFICACION]],3,0))))</f>
        <v>ASC</v>
      </c>
      <c r="P146" s="180">
        <f>+L146-E146</f>
        <v>-49.430000000000291</v>
      </c>
      <c r="Q146" s="181">
        <f>+M146-F146</f>
        <v>0.55999999999999872</v>
      </c>
      <c r="R146" s="9"/>
    </row>
    <row r="147" spans="1:18" x14ac:dyDescent="0.25">
      <c r="A147" s="9" t="s">
        <v>193</v>
      </c>
      <c r="B147" s="9">
        <f>ROW() - ROW(TablaCosechas[[#Headers],[ID]]) - 4</f>
        <v>142</v>
      </c>
      <c r="C147" s="9" t="str">
        <f>LEFT(A147,2)</f>
        <v>DE</v>
      </c>
      <c r="D147" s="182" t="s">
        <v>367</v>
      </c>
      <c r="E147" s="178">
        <v>4400</v>
      </c>
      <c r="F147" s="19">
        <v>19</v>
      </c>
      <c r="G147" s="195">
        <v>45922</v>
      </c>
      <c r="H147" s="9" t="str">
        <f>VLOOKUP(TablaCosechas[[#This Row],[COD]],DATOS!$E$3:$F$26,2,0)</f>
        <v>DELFIN</v>
      </c>
      <c r="I147" s="9" t="str">
        <f>RIGHT(TablaCosechas[[#This Row],[SECTOR/PISCINA]],2)</f>
        <v>21</v>
      </c>
      <c r="J147" s="9" t="str">
        <f>VLOOKUP(TablaCosechas[[#This Row],[COD]],Tabla7[#All],4,0)</f>
        <v>CARLOS FLORES</v>
      </c>
      <c r="K147" s="179">
        <f>(TablaCosechas[[#This Row],[libras planta]]*454)/M147</f>
        <v>116364.57741046834</v>
      </c>
      <c r="L147" s="174">
        <v>4652.0200000000004</v>
      </c>
      <c r="M147" s="19">
        <v>18.149999999999999</v>
      </c>
      <c r="N147" s="9" t="str">
        <f>UPPER(TEXT(TablaCosechas[[#This Row],[COSECHA]],"MMMM"))</f>
        <v>SEPTIEMBRE</v>
      </c>
      <c r="O147" s="9" t="str">
        <f>IF(A147="DO 29","BAP",IF(A147="RO 14","BAP",(VLOOKUP(TablaCosechas[[#This Row],[COD]],Tabla7[[CODIGO]:[CERTIFICACION]],3,0))))</f>
        <v>CONVENCIONAL</v>
      </c>
      <c r="P147" s="180">
        <f>+L147-E147</f>
        <v>252.02000000000044</v>
      </c>
      <c r="Q147" s="181">
        <f>+M147-F147</f>
        <v>-0.85000000000000142</v>
      </c>
      <c r="R147" s="9"/>
    </row>
    <row r="148" spans="1:18" x14ac:dyDescent="0.25">
      <c r="A148" s="9" t="s">
        <v>22</v>
      </c>
      <c r="B148" s="9">
        <f>ROW() - ROW(TablaCosechas[[#Headers],[ID]]) - 4</f>
        <v>143</v>
      </c>
      <c r="C148" s="9" t="str">
        <f>LEFT(A148,2)</f>
        <v>CH</v>
      </c>
      <c r="D148" s="182" t="s">
        <v>367</v>
      </c>
      <c r="E148" s="178">
        <v>10300</v>
      </c>
      <c r="F148" s="19">
        <v>18</v>
      </c>
      <c r="G148" s="195">
        <v>45922</v>
      </c>
      <c r="H148" s="9" t="str">
        <f>VLOOKUP(TablaCosechas[[#This Row],[COD]],DATOS!$E$3:$F$27,2,0)</f>
        <v>CHERNA</v>
      </c>
      <c r="I148" s="9" t="str">
        <f>RIGHT(TablaCosechas[[#This Row],[SECTOR/PISCINA]],2)</f>
        <v>16</v>
      </c>
      <c r="J148" s="9" t="str">
        <f>VLOOKUP(TablaCosechas[[#This Row],[COD]],Tabla7[#All],4,0)</f>
        <v>SANTIAGO OBRIEN</v>
      </c>
      <c r="K148" s="179">
        <f>(TablaCosechas[[#This Row],[libras planta]]*454)/M148</f>
        <v>268099.91869918699</v>
      </c>
      <c r="L148" s="174">
        <v>10168.9</v>
      </c>
      <c r="M148" s="19">
        <v>17.22</v>
      </c>
      <c r="N148" s="9" t="str">
        <f>UPPER(TEXT(TablaCosechas[[#This Row],[COSECHA]],"MMMM"))</f>
        <v>SEPTIEMBRE</v>
      </c>
      <c r="O148" s="9" t="str">
        <f>IF(A148="DO 29","BAP",IF(A148="RO 14","BAP",(VLOOKUP(TablaCosechas[[#This Row],[COD]],Tabla7[[CODIGO]:[CERTIFICACION]],3,0))))</f>
        <v>ASC</v>
      </c>
      <c r="P148" s="180">
        <f>+L148-E148</f>
        <v>-131.10000000000036</v>
      </c>
      <c r="Q148" s="181">
        <f>+M148-F148</f>
        <v>-0.78000000000000114</v>
      </c>
      <c r="R148" s="9"/>
    </row>
    <row r="149" spans="1:18" x14ac:dyDescent="0.25">
      <c r="A149" s="9" t="s">
        <v>189</v>
      </c>
      <c r="B149" s="9">
        <f>ROW() - ROW(TablaCosechas[[#Headers],[ID]]) - 4</f>
        <v>144</v>
      </c>
      <c r="C149" s="9" t="str">
        <f>LEFT(A149,2)</f>
        <v>TU</v>
      </c>
      <c r="D149" s="182" t="s">
        <v>367</v>
      </c>
      <c r="E149" s="178">
        <v>4000</v>
      </c>
      <c r="F149" s="19">
        <v>18</v>
      </c>
      <c r="G149" s="195">
        <v>45923</v>
      </c>
      <c r="H149" s="9" t="str">
        <f>VLOOKUP(TablaCosechas[[#This Row],[COD]],DATOS!$E$3:$F$27,2,0)</f>
        <v>TUNA</v>
      </c>
      <c r="I149" s="9" t="str">
        <f>RIGHT(TablaCosechas[[#This Row],[SECTOR/PISCINA]],2)</f>
        <v>03</v>
      </c>
      <c r="J149" s="9" t="str">
        <f>VLOOKUP(TablaCosechas[[#This Row],[COD]],Tabla7[#All],4,0)</f>
        <v>GUSTAVO CARRASCO</v>
      </c>
      <c r="K149" s="179">
        <f>(TablaCosechas[[#This Row],[libras planta]]*454)/M149</f>
        <v>88389.676986584105</v>
      </c>
      <c r="L149" s="174">
        <v>3773.11</v>
      </c>
      <c r="M149" s="19">
        <v>19.38</v>
      </c>
      <c r="N149" s="9" t="str">
        <f>UPPER(TEXT(TablaCosechas[[#This Row],[COSECHA]],"MMMM"))</f>
        <v>SEPTIEMBRE</v>
      </c>
      <c r="O149" s="9" t="str">
        <f>IF(A149="DO 29","BAP",IF(A149="RO 14","BAP",(VLOOKUP(TablaCosechas[[#This Row],[COD]],Tabla7[[CODIGO]:[CERTIFICACION]],3,0))))</f>
        <v>ASC</v>
      </c>
      <c r="P149" s="180">
        <f>+L149-E149</f>
        <v>-226.88999999999987</v>
      </c>
      <c r="Q149" s="181">
        <f>+M149-F149</f>
        <v>1.379999999999999</v>
      </c>
      <c r="R149" s="9"/>
    </row>
    <row r="150" spans="1:18" x14ac:dyDescent="0.25">
      <c r="A150" s="9" t="s">
        <v>192</v>
      </c>
      <c r="B150" s="9">
        <f>ROW() - ROW(TablaCosechas[[#Headers],[ID]]) - 4</f>
        <v>145</v>
      </c>
      <c r="C150" s="9" t="str">
        <f>LEFT(A150,2)</f>
        <v>TU</v>
      </c>
      <c r="D150" s="182" t="s">
        <v>367</v>
      </c>
      <c r="E150" s="178">
        <v>5300</v>
      </c>
      <c r="F150" s="19">
        <v>18</v>
      </c>
      <c r="G150" s="195">
        <v>45923</v>
      </c>
      <c r="H150" s="9" t="str">
        <f>VLOOKUP(TablaCosechas[[#This Row],[COD]],DATOS!$E$3:$F$26,2,0)</f>
        <v>TUNA</v>
      </c>
      <c r="I150" s="9" t="str">
        <f>RIGHT(TablaCosechas[[#This Row],[SECTOR/PISCINA]],2)</f>
        <v>02</v>
      </c>
      <c r="J150" s="9" t="str">
        <f>VLOOKUP(TablaCosechas[[#This Row],[COD]],Tabla7[#All],4,0)</f>
        <v>GUSTAVO CARRASCO</v>
      </c>
      <c r="K150" s="179">
        <f>(TablaCosechas[[#This Row],[libras planta]]*454)/M150</f>
        <v>112157.80842527583</v>
      </c>
      <c r="L150" s="174">
        <v>4926.05</v>
      </c>
      <c r="M150" s="19">
        <v>19.940000000000001</v>
      </c>
      <c r="N150" s="9" t="str">
        <f>UPPER(TEXT(TablaCosechas[[#This Row],[COSECHA]],"MMMM"))</f>
        <v>SEPTIEMBRE</v>
      </c>
      <c r="O150" s="9" t="str">
        <f>IF(A150="DO 29","BAP",IF(A150="RO 14","BAP",(VLOOKUP(TablaCosechas[[#This Row],[COD]],Tabla7[[CODIGO]:[CERTIFICACION]],3,0))))</f>
        <v>ASC</v>
      </c>
      <c r="P150" s="180">
        <f>+L150-E150</f>
        <v>-373.94999999999982</v>
      </c>
      <c r="Q150" s="181">
        <f>+M150-F150</f>
        <v>1.9400000000000013</v>
      </c>
      <c r="R150" s="9"/>
    </row>
    <row r="151" spans="1:18" x14ac:dyDescent="0.25">
      <c r="A151" s="9" t="s">
        <v>326</v>
      </c>
      <c r="B151" s="9">
        <f>ROW() - ROW(TablaCosechas[[#Headers],[ID]]) - 4</f>
        <v>146</v>
      </c>
      <c r="C151" s="9" t="str">
        <f>LEFT(A151,2)</f>
        <v>GT</v>
      </c>
      <c r="D151" s="182" t="s">
        <v>366</v>
      </c>
      <c r="E151" s="178">
        <f>46000+1200</f>
        <v>47200</v>
      </c>
      <c r="F151" s="19">
        <v>32</v>
      </c>
      <c r="G151" s="195">
        <v>45923</v>
      </c>
      <c r="H151" s="9" t="str">
        <f>VLOOKUP(TablaCosechas[[#This Row],[COD]],DATOS!$E$3:$F$27,2,0)</f>
        <v>GUATO</v>
      </c>
      <c r="I151" s="9" t="str">
        <f>RIGHT(TablaCosechas[[#This Row],[SECTOR/PISCINA]],2)</f>
        <v>03</v>
      </c>
      <c r="J151" s="9" t="str">
        <f>VLOOKUP(TablaCosechas[[#This Row],[COD]],Tabla7[#All],4,0)</f>
        <v>JULIO SANTOS</v>
      </c>
      <c r="K151" s="179">
        <f>(TablaCosechas[[#This Row],[libras planta]]*454)/M151</f>
        <v>714201.74443738069</v>
      </c>
      <c r="L151" s="174">
        <f>48290.72+1200</f>
        <v>49490.720000000001</v>
      </c>
      <c r="M151" s="19">
        <v>31.46</v>
      </c>
      <c r="N151" s="9" t="str">
        <f>UPPER(TEXT(TablaCosechas[[#This Row],[COSECHA]],"MMMM"))</f>
        <v>SEPTIEMBRE</v>
      </c>
      <c r="O151" s="9" t="str">
        <f>IF(A151="DO 29","BAP",IF(A151="RO 14","BAP",(VLOOKUP(TablaCosechas[[#This Row],[COD]],Tabla7[[CODIGO]:[CERTIFICACION]],3,0))))</f>
        <v>CONVENCIONAL</v>
      </c>
      <c r="P151" s="180">
        <f>+L151-E151</f>
        <v>2290.7200000000012</v>
      </c>
      <c r="Q151" s="181">
        <f>+M151-F151</f>
        <v>-0.53999999999999915</v>
      </c>
      <c r="R151" s="9"/>
    </row>
    <row r="152" spans="1:18" x14ac:dyDescent="0.25">
      <c r="A152" s="9" t="s">
        <v>144</v>
      </c>
      <c r="B152" s="9">
        <f>ROW() - ROW(TablaCosechas[[#Headers],[ID]]) - 4</f>
        <v>147</v>
      </c>
      <c r="C152" s="9" t="str">
        <f>LEFT(A152,2)</f>
        <v>DO</v>
      </c>
      <c r="D152" s="182" t="s">
        <v>367</v>
      </c>
      <c r="E152" s="178">
        <v>10200</v>
      </c>
      <c r="F152" s="19">
        <v>20</v>
      </c>
      <c r="G152" s="195">
        <v>45923</v>
      </c>
      <c r="H152" s="9" t="str">
        <f>VLOOKUP(TablaCosechas[[#This Row],[COD]],DATOS!$E$3:$F$27,2,0)</f>
        <v>DORADO</v>
      </c>
      <c r="I152" s="9" t="str">
        <f>RIGHT(TablaCosechas[[#This Row],[SECTOR/PISCINA]],2)</f>
        <v>09</v>
      </c>
      <c r="J152" s="9" t="str">
        <f>VLOOKUP(TablaCosechas[[#This Row],[COD]],Tabla7[#All],4,0)</f>
        <v>JOSE CEDEÑO</v>
      </c>
      <c r="K152" s="179">
        <f>(TablaCosechas[[#This Row],[libras planta]]*454)/M152</f>
        <v>199898.36970243463</v>
      </c>
      <c r="L152" s="174">
        <v>9765.9599999999991</v>
      </c>
      <c r="M152" s="19">
        <v>22.18</v>
      </c>
      <c r="N152" s="9" t="str">
        <f>UPPER(TEXT(TablaCosechas[[#This Row],[COSECHA]],"MMMM"))</f>
        <v>SEPTIEMBRE</v>
      </c>
      <c r="O152" s="9" t="str">
        <f>IF(A152="DO 29","BAP",IF(A152="RO 14","BAP",(VLOOKUP(TablaCosechas[[#This Row],[COD]],Tabla7[[CODIGO]:[CERTIFICACION]],3,0))))</f>
        <v>ASC</v>
      </c>
      <c r="P152" s="180">
        <f>+L152-E152</f>
        <v>-434.04000000000087</v>
      </c>
      <c r="Q152" s="181">
        <f>+M152-F152</f>
        <v>2.1799999999999997</v>
      </c>
      <c r="R152" s="9"/>
    </row>
    <row r="153" spans="1:18" x14ac:dyDescent="0.25">
      <c r="A153" s="9" t="s">
        <v>252</v>
      </c>
      <c r="B153" s="9">
        <f>ROW() - ROW(TablaCosechas[[#Headers],[ID]]) - 4</f>
        <v>148</v>
      </c>
      <c r="C153" s="9" t="str">
        <f>LEFT(A153,2)</f>
        <v>DE</v>
      </c>
      <c r="D153" s="182" t="s">
        <v>366</v>
      </c>
      <c r="E153" s="178">
        <v>23600</v>
      </c>
      <c r="F153" s="19">
        <v>30</v>
      </c>
      <c r="G153" s="195">
        <v>45923</v>
      </c>
      <c r="H153" s="9" t="str">
        <f>VLOOKUP(TablaCosechas[[#This Row],[COD]],DATOS!$E$3:$F$27,2,0)</f>
        <v>DELFIN</v>
      </c>
      <c r="I153" s="9" t="str">
        <f>RIGHT(TablaCosechas[[#This Row],[SECTOR/PISCINA]],2)</f>
        <v>13</v>
      </c>
      <c r="J153" s="9" t="str">
        <f>VLOOKUP(TablaCosechas[[#This Row],[COD]],Tabla7[#All],4,0)</f>
        <v>CARLOS FLORES</v>
      </c>
      <c r="K153" s="179">
        <f>(TablaCosechas[[#This Row],[libras planta]]*454)/M153</f>
        <v>355957.39267015707</v>
      </c>
      <c r="L153" s="174">
        <v>23960.48</v>
      </c>
      <c r="M153" s="19">
        <v>30.56</v>
      </c>
      <c r="N153" s="9" t="str">
        <f>UPPER(TEXT(TablaCosechas[[#This Row],[COSECHA]],"MMMM"))</f>
        <v>SEPTIEMBRE</v>
      </c>
      <c r="O153" s="9" t="str">
        <f>IF(A153="DO 29","BAP",IF(A153="RO 14","BAP",(VLOOKUP(TablaCosechas[[#This Row],[COD]],Tabla7[[CODIGO]:[CERTIFICACION]],3,0))))</f>
        <v>CONVENCIONAL</v>
      </c>
      <c r="P153" s="180">
        <f>+L153-E153</f>
        <v>360.47999999999956</v>
      </c>
      <c r="Q153" s="181">
        <f>+M153-F153</f>
        <v>0.55999999999999872</v>
      </c>
      <c r="R153" s="9"/>
    </row>
    <row r="154" spans="1:18" x14ac:dyDescent="0.25">
      <c r="A154" s="9" t="s">
        <v>185</v>
      </c>
      <c r="B154" s="9">
        <f>ROW() - ROW(TablaCosechas[[#Headers],[ID]]) - 4</f>
        <v>149</v>
      </c>
      <c r="C154" s="9" t="str">
        <f>LEFT(A154,2)</f>
        <v>TU</v>
      </c>
      <c r="D154" s="182" t="s">
        <v>367</v>
      </c>
      <c r="E154" s="178">
        <v>7600</v>
      </c>
      <c r="F154" s="19">
        <v>18</v>
      </c>
      <c r="G154" s="195">
        <v>45924</v>
      </c>
      <c r="H154" s="9" t="str">
        <f>VLOOKUP(TablaCosechas[[#This Row],[COD]],DATOS!$E$3:$F$27,2,0)</f>
        <v>TUNA</v>
      </c>
      <c r="I154" s="9" t="str">
        <f>RIGHT(TablaCosechas[[#This Row],[SECTOR/PISCINA]],2)</f>
        <v>4A</v>
      </c>
      <c r="J154" s="9" t="str">
        <f>VLOOKUP(TablaCosechas[[#This Row],[COD]],Tabla7[#All],4,0)</f>
        <v>GUSTAVO CARRASCO</v>
      </c>
      <c r="K154" s="179">
        <f>(TablaCosechas[[#This Row],[libras planta]]*454)/M154</f>
        <v>154772.72727272729</v>
      </c>
      <c r="L154" s="174">
        <v>6900</v>
      </c>
      <c r="M154" s="19">
        <v>20.239999999999998</v>
      </c>
      <c r="N154" s="9" t="str">
        <f>UPPER(TEXT(TablaCosechas[[#This Row],[COSECHA]],"MMMM"))</f>
        <v>SEPTIEMBRE</v>
      </c>
      <c r="O154" s="9" t="str">
        <f>IF(A154="DO 29","BAP",IF(A154="RO 14","BAP",(VLOOKUP(TablaCosechas[[#This Row],[COD]],Tabla7[[CODIGO]:[CERTIFICACION]],3,0))))</f>
        <v>ASC</v>
      </c>
      <c r="P154" s="180">
        <f>+L154-E154</f>
        <v>-700</v>
      </c>
      <c r="Q154" s="181">
        <f>+M154-F154</f>
        <v>2.2399999999999984</v>
      </c>
      <c r="R154" s="9"/>
    </row>
    <row r="155" spans="1:18" x14ac:dyDescent="0.25">
      <c r="A155" s="9" t="s">
        <v>180</v>
      </c>
      <c r="B155" s="9">
        <f>ROW() - ROW(TablaCosechas[[#Headers],[ID]]) - 4</f>
        <v>150</v>
      </c>
      <c r="C155" s="9" t="str">
        <f>LEFT(A155,2)</f>
        <v>TA</v>
      </c>
      <c r="D155" s="182" t="s">
        <v>367</v>
      </c>
      <c r="E155" s="178">
        <v>5100</v>
      </c>
      <c r="F155" s="19">
        <v>22</v>
      </c>
      <c r="G155" s="195">
        <v>45924</v>
      </c>
      <c r="H155" s="9" t="str">
        <f>VLOOKUP(TablaCosechas[[#This Row],[COD]],DATOS!$E$3:$F$26,2,0)</f>
        <v>TAMBULERO</v>
      </c>
      <c r="I155" s="9" t="str">
        <f>RIGHT(TablaCosechas[[#This Row],[SECTOR/PISCINA]],2)</f>
        <v>03</v>
      </c>
      <c r="J155" s="9" t="str">
        <f>VLOOKUP(TablaCosechas[[#This Row],[COD]],Tabla7[#All],4,0)</f>
        <v>ALFONSO GRUNAUER</v>
      </c>
      <c r="K155" s="179">
        <f>(TablaCosechas[[#This Row],[libras planta]]*454)/M155</f>
        <v>102872.94369547979</v>
      </c>
      <c r="L155" s="174">
        <v>5714.66</v>
      </c>
      <c r="M155" s="19">
        <v>25.22</v>
      </c>
      <c r="N155" s="9" t="str">
        <f>UPPER(TEXT(TablaCosechas[[#This Row],[COSECHA]],"MMMM"))</f>
        <v>SEPTIEMBRE</v>
      </c>
      <c r="O155" s="9" t="str">
        <f>IF(A155="DO 29","BAP",IF(A155="RO 14","BAP",(VLOOKUP(TablaCosechas[[#This Row],[COD]],Tabla7[[CODIGO]:[CERTIFICACION]],3,0))))</f>
        <v>CONVENCIONAL</v>
      </c>
      <c r="P155" s="180">
        <f>+L155-E155</f>
        <v>614.65999999999985</v>
      </c>
      <c r="Q155" s="181">
        <f>+M155-F155</f>
        <v>3.2199999999999989</v>
      </c>
      <c r="R155" s="9"/>
    </row>
    <row r="156" spans="1:18" x14ac:dyDescent="0.25">
      <c r="A156" s="9" t="s">
        <v>166</v>
      </c>
      <c r="B156" s="9">
        <f>ROW() - ROW(TablaCosechas[[#Headers],[ID]]) - 4</f>
        <v>151</v>
      </c>
      <c r="C156" s="9" t="str">
        <f>LEFT(A156,2)</f>
        <v>TA</v>
      </c>
      <c r="D156" s="182" t="s">
        <v>367</v>
      </c>
      <c r="E156" s="178">
        <v>3400</v>
      </c>
      <c r="F156" s="19">
        <v>22</v>
      </c>
      <c r="G156" s="195">
        <v>45924</v>
      </c>
      <c r="H156" s="9" t="str">
        <f>VLOOKUP(TablaCosechas[[#This Row],[COD]],DATOS!$E$3:$F$26,2,0)</f>
        <v>TAMBULERO</v>
      </c>
      <c r="I156" s="9" t="str">
        <f>RIGHT(TablaCosechas[[#This Row],[SECTOR/PISCINA]],2)</f>
        <v>01</v>
      </c>
      <c r="J156" s="9" t="str">
        <f>VLOOKUP(TablaCosechas[[#This Row],[COD]],Tabla7[#All],4,0)</f>
        <v>ALFONSO GRUNAUER</v>
      </c>
      <c r="K156" s="179">
        <f>(TablaCosechas[[#This Row],[libras planta]]*454)/M156</f>
        <v>71595.443766346987</v>
      </c>
      <c r="L156" s="174">
        <v>3617.62</v>
      </c>
      <c r="M156" s="19">
        <v>22.94</v>
      </c>
      <c r="N156" s="9" t="str">
        <f>UPPER(TEXT(TablaCosechas[[#This Row],[COSECHA]],"MMMM"))</f>
        <v>SEPTIEMBRE</v>
      </c>
      <c r="O156" s="9" t="str">
        <f>IF(A156="DO 29","BAP",IF(A156="RO 14","BAP",(VLOOKUP(TablaCosechas[[#This Row],[COD]],Tabla7[[CODIGO]:[CERTIFICACION]],3,0))))</f>
        <v>CONVENCIONAL</v>
      </c>
      <c r="P156" s="180">
        <f>+L156-E156</f>
        <v>217.61999999999989</v>
      </c>
      <c r="Q156" s="181">
        <f>+M156-F156</f>
        <v>0.94000000000000128</v>
      </c>
      <c r="R156" s="9"/>
    </row>
    <row r="157" spans="1:18" x14ac:dyDescent="0.25">
      <c r="A157" s="9" t="s">
        <v>321</v>
      </c>
      <c r="B157" s="9">
        <f>ROW() - ROW(TablaCosechas[[#Headers],[ID]]) - 4</f>
        <v>152</v>
      </c>
      <c r="C157" s="9" t="str">
        <f>LEFT(A157,2)</f>
        <v>GT</v>
      </c>
      <c r="D157" s="182" t="s">
        <v>366</v>
      </c>
      <c r="E157" s="178">
        <v>21700</v>
      </c>
      <c r="F157" s="19">
        <v>34</v>
      </c>
      <c r="G157" s="195">
        <v>45924</v>
      </c>
      <c r="H157" s="9" t="str">
        <f>VLOOKUP(TablaCosechas[[#This Row],[COD]],DATOS!$E$3:$F$27,2,0)</f>
        <v>GUATO</v>
      </c>
      <c r="I157" s="9" t="str">
        <f>RIGHT(TablaCosechas[[#This Row],[SECTOR/PISCINA]],2)</f>
        <v>02</v>
      </c>
      <c r="J157" s="9" t="str">
        <f>VLOOKUP(TablaCosechas[[#This Row],[COD]],Tabla7[#All],4,0)</f>
        <v>JULIO SANTOS</v>
      </c>
      <c r="K157" s="179">
        <f>(TablaCosechas[[#This Row],[libras planta]]*454)/M157</f>
        <v>302594.0248334342</v>
      </c>
      <c r="L157" s="174">
        <v>22008.05</v>
      </c>
      <c r="M157" s="19">
        <v>33.020000000000003</v>
      </c>
      <c r="N157" s="9" t="str">
        <f>UPPER(TEXT(TablaCosechas[[#This Row],[COSECHA]],"MMMM"))</f>
        <v>SEPTIEMBRE</v>
      </c>
      <c r="O157" s="9" t="str">
        <f>IF(A157="DO 29","BAP",IF(A157="RO 14","BAP",(VLOOKUP(TablaCosechas[[#This Row],[COD]],Tabla7[[CODIGO]:[CERTIFICACION]],3,0))))</f>
        <v>CONVENCIONAL</v>
      </c>
      <c r="P157" s="180">
        <f>+L157-E157</f>
        <v>308.04999999999927</v>
      </c>
      <c r="Q157" s="181">
        <f>+M157-F157</f>
        <v>-0.97999999999999687</v>
      </c>
      <c r="R157" s="9"/>
    </row>
    <row r="158" spans="1:18" x14ac:dyDescent="0.25">
      <c r="A158" s="9" t="s">
        <v>331</v>
      </c>
      <c r="B158" s="9">
        <f>ROW() - ROW(TablaCosechas[[#Headers],[ID]]) - 4</f>
        <v>153</v>
      </c>
      <c r="C158" s="9" t="str">
        <f>LEFT(A158,2)</f>
        <v>DO</v>
      </c>
      <c r="D158" s="182" t="s">
        <v>366</v>
      </c>
      <c r="E158" s="178">
        <f>78400+500</f>
        <v>78900</v>
      </c>
      <c r="F158" s="19">
        <v>34</v>
      </c>
      <c r="G158" s="195">
        <v>45924</v>
      </c>
      <c r="H158" s="9" t="str">
        <f>VLOOKUP(TablaCosechas[[#This Row],[COD]],DATOS!$E$3:$F$27,2,0)</f>
        <v>DORADO</v>
      </c>
      <c r="I158" s="9" t="str">
        <f>RIGHT(TablaCosechas[[#This Row],[SECTOR/PISCINA]],2)</f>
        <v>25</v>
      </c>
      <c r="J158" s="9" t="str">
        <f>VLOOKUP(TablaCosechas[[#This Row],[COD]],Tabla7[#All],4,0)</f>
        <v>JOSE CEDEÑO</v>
      </c>
      <c r="K158" s="179">
        <f>(TablaCosechas[[#This Row],[libras planta]]*454)/M158</f>
        <v>1099599.7239536957</v>
      </c>
      <c r="L158" s="174">
        <f>81146.75+451.3</f>
        <v>81598.05</v>
      </c>
      <c r="M158" s="19">
        <v>33.69</v>
      </c>
      <c r="N158" s="9" t="str">
        <f>UPPER(TEXT(TablaCosechas[[#This Row],[COSECHA]],"MMMM"))</f>
        <v>SEPTIEMBRE</v>
      </c>
      <c r="O158" s="9" t="str">
        <f>IF(A158="DO 29","BAP",IF(A158="RO 14","BAP",(VLOOKUP(TablaCosechas[[#This Row],[COD]],Tabla7[[CODIGO]:[CERTIFICACION]],3,0))))</f>
        <v>ASC</v>
      </c>
      <c r="P158" s="180">
        <f>+L158-E158</f>
        <v>2698.0500000000029</v>
      </c>
      <c r="Q158" s="181">
        <f>+M158-F158</f>
        <v>-0.31000000000000227</v>
      </c>
      <c r="R158" s="9"/>
    </row>
    <row r="159" spans="1:18" x14ac:dyDescent="0.25">
      <c r="A159" s="9" t="s">
        <v>182</v>
      </c>
      <c r="B159" s="9">
        <f>ROW() - ROW(TablaCosechas[[#Headers],[ID]]) - 4</f>
        <v>154</v>
      </c>
      <c r="C159" s="9" t="str">
        <f>LEFT(A159,2)</f>
        <v>DE</v>
      </c>
      <c r="D159" s="182" t="s">
        <v>367</v>
      </c>
      <c r="E159" s="178">
        <v>4550</v>
      </c>
      <c r="F159" s="19">
        <v>19</v>
      </c>
      <c r="G159" s="195">
        <v>45924</v>
      </c>
      <c r="H159" s="9" t="str">
        <f>VLOOKUP(TablaCosechas[[#This Row],[COD]],DATOS!$E$3:$F$27,2,0)</f>
        <v>DELFIN</v>
      </c>
      <c r="I159" s="9" t="str">
        <f>RIGHT(TablaCosechas[[#This Row],[SECTOR/PISCINA]],2)</f>
        <v>24</v>
      </c>
      <c r="J159" s="9" t="str">
        <f>VLOOKUP(TablaCosechas[[#This Row],[COD]],Tabla7[#All],4,0)</f>
        <v>CARLOS FLORES</v>
      </c>
      <c r="K159" s="179">
        <f>(TablaCosechas[[#This Row],[libras planta]]*454)/M159</f>
        <v>122157.23853211009</v>
      </c>
      <c r="L159" s="174">
        <v>5279.13</v>
      </c>
      <c r="M159" s="19">
        <v>19.62</v>
      </c>
      <c r="N159" s="9" t="str">
        <f>UPPER(TEXT(TablaCosechas[[#This Row],[COSECHA]],"MMMM"))</f>
        <v>SEPTIEMBRE</v>
      </c>
      <c r="O159" s="9" t="str">
        <f>IF(A159="DO 29","BAP",IF(A159="RO 14","BAP",(VLOOKUP(TablaCosechas[[#This Row],[COD]],Tabla7[[CODIGO]:[CERTIFICACION]],3,0))))</f>
        <v>CONVENCIONAL</v>
      </c>
      <c r="P159" s="180">
        <f>+L159-E159</f>
        <v>729.13000000000011</v>
      </c>
      <c r="Q159" s="181">
        <f>+M159-F159</f>
        <v>0.62000000000000099</v>
      </c>
      <c r="R159" s="9"/>
    </row>
    <row r="160" spans="1:18" x14ac:dyDescent="0.25">
      <c r="A160" s="9" t="s">
        <v>254</v>
      </c>
      <c r="B160" s="9">
        <f>ROW() - ROW(TablaCosechas[[#Headers],[ID]]) - 4</f>
        <v>155</v>
      </c>
      <c r="C160" s="9" t="str">
        <f>LEFT(A160,2)</f>
        <v>DE</v>
      </c>
      <c r="D160" s="182" t="s">
        <v>366</v>
      </c>
      <c r="E160" s="178">
        <v>20000</v>
      </c>
      <c r="F160" s="19">
        <v>29</v>
      </c>
      <c r="G160" s="195">
        <v>45924</v>
      </c>
      <c r="H160" s="9" t="str">
        <f>VLOOKUP(TablaCosechas[[#This Row],[COD]],DATOS!$E$3:$F$27,2,0)</f>
        <v>DELFIN</v>
      </c>
      <c r="I160" s="9" t="str">
        <f>RIGHT(TablaCosechas[[#This Row],[SECTOR/PISCINA]],2)</f>
        <v>12</v>
      </c>
      <c r="J160" s="9" t="str">
        <f>VLOOKUP(TablaCosechas[[#This Row],[COD]],Tabla7[#All],4,0)</f>
        <v>CARLOS FLORES</v>
      </c>
      <c r="K160" s="179">
        <f>(TablaCosechas[[#This Row],[libras planta]]*454)/M160</f>
        <v>348881.52578068268</v>
      </c>
      <c r="L160" s="174">
        <v>21163.43</v>
      </c>
      <c r="M160" s="19">
        <v>27.54</v>
      </c>
      <c r="N160" s="9" t="str">
        <f>UPPER(TEXT(TablaCosechas[[#This Row],[COSECHA]],"MMMM"))</f>
        <v>SEPTIEMBRE</v>
      </c>
      <c r="O160" s="9" t="str">
        <f>IF(A160="DO 29","BAP",IF(A160="RO 14","BAP",(VLOOKUP(TablaCosechas[[#This Row],[COD]],Tabla7[[CODIGO]:[CERTIFICACION]],3,0))))</f>
        <v>CONVENCIONAL</v>
      </c>
      <c r="P160" s="180">
        <f>+L160-E160</f>
        <v>1163.4300000000003</v>
      </c>
      <c r="Q160" s="181">
        <f>+M160-F160</f>
        <v>-1.4600000000000009</v>
      </c>
      <c r="R160" s="9"/>
    </row>
    <row r="161" spans="1:18" x14ac:dyDescent="0.25">
      <c r="A161" s="9" t="s">
        <v>20</v>
      </c>
      <c r="B161" s="9">
        <f>ROW() - ROW(TablaCosechas[[#Headers],[ID]]) - 4</f>
        <v>156</v>
      </c>
      <c r="C161" s="9" t="str">
        <f>LEFT(A161,2)</f>
        <v>CH</v>
      </c>
      <c r="D161" s="182" t="s">
        <v>366</v>
      </c>
      <c r="E161" s="178">
        <v>32100</v>
      </c>
      <c r="F161" s="19">
        <v>32</v>
      </c>
      <c r="G161" s="195">
        <v>45924</v>
      </c>
      <c r="H161" s="9" t="str">
        <f>VLOOKUP(TablaCosechas[[#This Row],[COD]],DATOS!$E$3:$F$27,2,0)</f>
        <v>CHERNA</v>
      </c>
      <c r="I161" s="9" t="str">
        <f>RIGHT(TablaCosechas[[#This Row],[SECTOR/PISCINA]],2)</f>
        <v>14</v>
      </c>
      <c r="J161" s="9" t="str">
        <f>VLOOKUP(TablaCosechas[[#This Row],[COD]],Tabla7[#All],4,0)</f>
        <v>SANTIAGO OBRIEN</v>
      </c>
      <c r="K161" s="179">
        <f>(TablaCosechas[[#This Row],[libras planta]]*454)/M161</f>
        <v>427746.28571428568</v>
      </c>
      <c r="L161" s="174">
        <v>29942.239999999998</v>
      </c>
      <c r="M161" s="19">
        <v>31.78</v>
      </c>
      <c r="N161" s="9" t="str">
        <f>UPPER(TEXT(TablaCosechas[[#This Row],[COSECHA]],"MMMM"))</f>
        <v>SEPTIEMBRE</v>
      </c>
      <c r="O161" s="9" t="str">
        <f>IF(A161="DO 29","BAP",IF(A161="RO 14","BAP",(VLOOKUP(TablaCosechas[[#This Row],[COD]],Tabla7[[CODIGO]:[CERTIFICACION]],3,0))))</f>
        <v>ASC</v>
      </c>
      <c r="P161" s="180">
        <f>+L161-E161</f>
        <v>-2157.760000000002</v>
      </c>
      <c r="Q161" s="181">
        <f>+M161-F161</f>
        <v>-0.21999999999999886</v>
      </c>
      <c r="R161" s="9"/>
    </row>
    <row r="162" spans="1:18" x14ac:dyDescent="0.25">
      <c r="A162" s="9" t="s">
        <v>295</v>
      </c>
      <c r="B162" s="9">
        <f>ROW() - ROW(TablaCosechas[[#Headers],[ID]]) - 4</f>
        <v>157</v>
      </c>
      <c r="C162" s="9" t="str">
        <f>LEFT(A162,2)</f>
        <v>CA</v>
      </c>
      <c r="D162" s="182" t="s">
        <v>366</v>
      </c>
      <c r="E162" s="178">
        <v>9800</v>
      </c>
      <c r="F162" s="19">
        <v>33</v>
      </c>
      <c r="G162" s="195">
        <v>45924</v>
      </c>
      <c r="H162" s="9" t="str">
        <f>VLOOKUP(TablaCosechas[[#This Row],[COD]],DATOS!$E$3:$F$27,2,0)</f>
        <v>CATANUDA</v>
      </c>
      <c r="I162" s="9" t="str">
        <f>RIGHT(TablaCosechas[[#This Row],[SECTOR/PISCINA]],2)</f>
        <v>14</v>
      </c>
      <c r="J162" s="9" t="str">
        <f>VLOOKUP(TablaCosechas[[#This Row],[COD]],Tabla7[#All],4,0)</f>
        <v>VICTOR QUINTANA</v>
      </c>
      <c r="K162" s="179">
        <f>(TablaCosechas[[#This Row],[libras planta]]*454)/M162</f>
        <v>140638.0681421083</v>
      </c>
      <c r="L162" s="174">
        <v>10637.69</v>
      </c>
      <c r="M162" s="19">
        <v>34.340000000000003</v>
      </c>
      <c r="N162" s="9" t="str">
        <f>UPPER(TEXT(TablaCosechas[[#This Row],[COSECHA]],"MMMM"))</f>
        <v>SEPTIEMBRE</v>
      </c>
      <c r="O162" s="9" t="str">
        <f>IF(A162="DO 29","BAP",IF(A162="RO 14","BAP",(VLOOKUP(TablaCosechas[[#This Row],[COD]],Tabla7[[CODIGO]:[CERTIFICACION]],3,0))))</f>
        <v>ASC</v>
      </c>
      <c r="P162" s="180">
        <f>+L162-E162</f>
        <v>837.69000000000051</v>
      </c>
      <c r="Q162" s="181">
        <f>+M162-F162</f>
        <v>1.3400000000000034</v>
      </c>
      <c r="R162" s="9"/>
    </row>
    <row r="163" spans="1:18" x14ac:dyDescent="0.25">
      <c r="A163" s="9" t="s">
        <v>181</v>
      </c>
      <c r="B163" s="9">
        <f>ROW() - ROW(TablaCosechas[[#Headers],[ID]]) - 4</f>
        <v>158</v>
      </c>
      <c r="C163" s="9" t="str">
        <f>LEFT(A163,2)</f>
        <v>TA</v>
      </c>
      <c r="D163" s="182" t="s">
        <v>366</v>
      </c>
      <c r="E163" s="178">
        <v>54000</v>
      </c>
      <c r="F163" s="19">
        <v>36</v>
      </c>
      <c r="G163" s="195">
        <v>45925</v>
      </c>
      <c r="H163" s="9" t="str">
        <f>VLOOKUP(TablaCosechas[[#This Row],[COD]],DATOS!$E$3:$F$27,2,0)</f>
        <v>TAMBULERO</v>
      </c>
      <c r="I163" s="9" t="str">
        <f>RIGHT(TablaCosechas[[#This Row],[SECTOR/PISCINA]],2)</f>
        <v>10</v>
      </c>
      <c r="J163" s="9" t="str">
        <f>VLOOKUP(TablaCosechas[[#This Row],[COD]],Tabla7[#All],4,0)</f>
        <v>ALFONSO GRUNAUER</v>
      </c>
      <c r="K163" s="179">
        <f>(TablaCosechas[[#This Row],[libras planta]]*454)/M163</f>
        <v>707194.08430232562</v>
      </c>
      <c r="L163" s="174">
        <v>53584.75</v>
      </c>
      <c r="M163" s="19">
        <v>34.4</v>
      </c>
      <c r="N163" s="9" t="str">
        <f>UPPER(TEXT(TablaCosechas[[#This Row],[COSECHA]],"MMMM"))</f>
        <v>SEPTIEMBRE</v>
      </c>
      <c r="O163" s="9" t="str">
        <f>IF(A163="DO 29","BAP",IF(A163="RO 14","BAP",(VLOOKUP(TablaCosechas[[#This Row],[COD]],Tabla7[[CODIGO]:[CERTIFICACION]],3,0))))</f>
        <v>CONVENCIONAL</v>
      </c>
      <c r="P163" s="180">
        <f>+L163-E163</f>
        <v>-415.25</v>
      </c>
      <c r="Q163" s="181">
        <f>+M163-F163</f>
        <v>-1.6000000000000014</v>
      </c>
      <c r="R163" s="9"/>
    </row>
    <row r="164" spans="1:18" x14ac:dyDescent="0.25">
      <c r="A164" s="9" t="s">
        <v>327</v>
      </c>
      <c r="B164" s="9">
        <f>ROW() - ROW(TablaCosechas[[#Headers],[ID]]) - 4</f>
        <v>159</v>
      </c>
      <c r="C164" s="9" t="str">
        <f>LEFT(A164,2)</f>
        <v>GT</v>
      </c>
      <c r="D164" s="182" t="s">
        <v>366</v>
      </c>
      <c r="E164" s="178">
        <v>19500</v>
      </c>
      <c r="F164" s="19">
        <v>33</v>
      </c>
      <c r="G164" s="195">
        <v>45925</v>
      </c>
      <c r="H164" s="9" t="str">
        <f>VLOOKUP(TablaCosechas[[#This Row],[COD]],DATOS!$E$3:$F$27,2,0)</f>
        <v>GUATO</v>
      </c>
      <c r="I164" s="9" t="str">
        <f>RIGHT(TablaCosechas[[#This Row],[SECTOR/PISCINA]],2)</f>
        <v>08</v>
      </c>
      <c r="J164" s="9" t="str">
        <f>VLOOKUP(TablaCosechas[[#This Row],[COD]],Tabla7[#All],4,0)</f>
        <v>JULIO SANTOS</v>
      </c>
      <c r="K164" s="179">
        <f>(TablaCosechas[[#This Row],[libras planta]]*454)/M164</f>
        <v>250631.23727810654</v>
      </c>
      <c r="L164" s="174">
        <v>18659.330000000002</v>
      </c>
      <c r="M164" s="19">
        <v>33.799999999999997</v>
      </c>
      <c r="N164" s="9" t="str">
        <f>UPPER(TEXT(TablaCosechas[[#This Row],[COSECHA]],"MMMM"))</f>
        <v>SEPTIEMBRE</v>
      </c>
      <c r="O164" s="9" t="str">
        <f>IF(A164="DO 29","BAP",IF(A164="RO 14","BAP",(VLOOKUP(TablaCosechas[[#This Row],[COD]],Tabla7[[CODIGO]:[CERTIFICACION]],3,0))))</f>
        <v>CONVENCIONAL</v>
      </c>
      <c r="P164" s="180">
        <f>+L164-E164</f>
        <v>-840.66999999999825</v>
      </c>
      <c r="Q164" s="181">
        <f>+M164-F164</f>
        <v>0.79999999999999716</v>
      </c>
      <c r="R164" s="9"/>
    </row>
    <row r="165" spans="1:18" x14ac:dyDescent="0.25">
      <c r="A165" s="9" t="s">
        <v>187</v>
      </c>
      <c r="B165" s="9">
        <f>ROW() - ROW(TablaCosechas[[#Headers],[ID]]) - 4</f>
        <v>160</v>
      </c>
      <c r="C165" s="9" t="str">
        <f>LEFT(A165,2)</f>
        <v>DE</v>
      </c>
      <c r="D165" s="182" t="s">
        <v>367</v>
      </c>
      <c r="E165" s="178">
        <v>4200</v>
      </c>
      <c r="F165" s="19">
        <v>21</v>
      </c>
      <c r="G165" s="195">
        <v>45925</v>
      </c>
      <c r="H165" s="9" t="str">
        <f>VLOOKUP(TablaCosechas[[#This Row],[COD]],DATOS!$E$3:$F$27,2,0)</f>
        <v>DELFIN</v>
      </c>
      <c r="I165" s="9" t="str">
        <f>RIGHT(TablaCosechas[[#This Row],[SECTOR/PISCINA]],2)</f>
        <v>22</v>
      </c>
      <c r="J165" s="9" t="str">
        <f>VLOOKUP(TablaCosechas[[#This Row],[COD]],Tabla7[#All],4,0)</f>
        <v>CARLOS FLORES</v>
      </c>
      <c r="K165" s="179">
        <f>(TablaCosechas[[#This Row],[libras planta]]*454)/M165</f>
        <v>92431.438677078535</v>
      </c>
      <c r="L165" s="174">
        <v>4432.2299999999996</v>
      </c>
      <c r="M165" s="19">
        <v>21.77</v>
      </c>
      <c r="N165" s="9" t="str">
        <f>UPPER(TEXT(TablaCosechas[[#This Row],[COSECHA]],"MMMM"))</f>
        <v>SEPTIEMBRE</v>
      </c>
      <c r="O165" s="9" t="str">
        <f>IF(A165="DO 29","BAP",IF(A165="RO 14","BAP",(VLOOKUP(TablaCosechas[[#This Row],[COD]],Tabla7[[CODIGO]:[CERTIFICACION]],3,0))))</f>
        <v>CONVENCIONAL</v>
      </c>
      <c r="P165" s="180">
        <f>+L165-E165</f>
        <v>232.22999999999956</v>
      </c>
      <c r="Q165" s="181">
        <f>+M165-F165</f>
        <v>0.76999999999999957</v>
      </c>
      <c r="R165" s="9"/>
    </row>
    <row r="166" spans="1:18" x14ac:dyDescent="0.25">
      <c r="A166" s="9" t="s">
        <v>115</v>
      </c>
      <c r="B166" s="9">
        <f>ROW() - ROW(TablaCosechas[[#Headers],[ID]]) - 4</f>
        <v>161</v>
      </c>
      <c r="C166" s="9" t="str">
        <f>LEFT(A166,2)</f>
        <v>DE</v>
      </c>
      <c r="D166" s="182" t="s">
        <v>366</v>
      </c>
      <c r="E166" s="178">
        <v>26100</v>
      </c>
      <c r="F166" s="19">
        <v>34</v>
      </c>
      <c r="G166" s="195">
        <v>45925</v>
      </c>
      <c r="H166" s="9" t="str">
        <f>VLOOKUP(TablaCosechas[[#This Row],[COD]],DATOS!$E$3:$F$27,2,0)</f>
        <v>DELFIN</v>
      </c>
      <c r="I166" s="9" t="str">
        <f>RIGHT(TablaCosechas[[#This Row],[SECTOR/PISCINA]],2)</f>
        <v>19</v>
      </c>
      <c r="J166" s="9" t="str">
        <f>VLOOKUP(TablaCosechas[[#This Row],[COD]],Tabla7[#All],4,0)</f>
        <v>CARLOS FLORES</v>
      </c>
      <c r="K166" s="179">
        <f>(TablaCosechas[[#This Row],[libras planta]]*454)/M166</f>
        <v>372282.74818401941</v>
      </c>
      <c r="L166" s="174">
        <v>27093</v>
      </c>
      <c r="M166" s="19">
        <v>33.04</v>
      </c>
      <c r="N166" s="9" t="str">
        <f>UPPER(TEXT(TablaCosechas[[#This Row],[COSECHA]],"MMMM"))</f>
        <v>SEPTIEMBRE</v>
      </c>
      <c r="O166" s="9" t="str">
        <f>IF(A166="DO 29","BAP",IF(A166="RO 14","BAP",(VLOOKUP(TablaCosechas[[#This Row],[COD]],Tabla7[[CODIGO]:[CERTIFICACION]],3,0))))</f>
        <v>CONVENCIONAL</v>
      </c>
      <c r="P166" s="180">
        <f>+L166-E166</f>
        <v>993</v>
      </c>
      <c r="Q166" s="181">
        <f>+M166-F166</f>
        <v>-0.96000000000000085</v>
      </c>
      <c r="R166" s="9"/>
    </row>
    <row r="167" spans="1:18" x14ac:dyDescent="0.25">
      <c r="A167" s="9" t="s">
        <v>26</v>
      </c>
      <c r="B167" s="9">
        <f>ROW() - ROW(TablaCosechas[[#Headers],[ID]]) - 4</f>
        <v>162</v>
      </c>
      <c r="C167" s="9" t="str">
        <f>LEFT(A167,2)</f>
        <v>CH</v>
      </c>
      <c r="D167" s="182" t="s">
        <v>367</v>
      </c>
      <c r="E167" s="178">
        <v>10350</v>
      </c>
      <c r="F167" s="19">
        <v>20</v>
      </c>
      <c r="G167" s="195">
        <v>45925</v>
      </c>
      <c r="H167" s="9" t="str">
        <f>VLOOKUP(TablaCosechas[[#This Row],[COD]],DATOS!$E$3:$F$26,2,0)</f>
        <v>CHERNA</v>
      </c>
      <c r="I167" s="9" t="str">
        <f>RIGHT(TablaCosechas[[#This Row],[SECTOR/PISCINA]],2)</f>
        <v>23</v>
      </c>
      <c r="J167" s="9" t="str">
        <f>VLOOKUP(TablaCosechas[[#This Row],[COD]],Tabla7[#All],4,0)</f>
        <v>SANTIAGO OBRIEN</v>
      </c>
      <c r="K167" s="179">
        <f>(TablaCosechas[[#This Row],[libras planta]]*454)/M167</f>
        <v>232846.05496453901</v>
      </c>
      <c r="L167" s="174">
        <v>11570.5</v>
      </c>
      <c r="M167" s="19">
        <v>22.56</v>
      </c>
      <c r="N167" s="9" t="str">
        <f>UPPER(TEXT(TablaCosechas[[#This Row],[COSECHA]],"MMMM"))</f>
        <v>SEPTIEMBRE</v>
      </c>
      <c r="O167" s="9" t="str">
        <f>IF(A167="DO 29","BAP",IF(A167="RO 14","BAP",(VLOOKUP(TablaCosechas[[#This Row],[COD]],Tabla7[[CODIGO]:[CERTIFICACION]],3,0))))</f>
        <v>ASC</v>
      </c>
      <c r="P167" s="180">
        <f>+L167-E167</f>
        <v>1220.5</v>
      </c>
      <c r="Q167" s="181">
        <f>+M167-F167</f>
        <v>2.5599999999999987</v>
      </c>
      <c r="R167" s="9"/>
    </row>
    <row r="168" spans="1:18" x14ac:dyDescent="0.25">
      <c r="A168" s="9" t="s">
        <v>16</v>
      </c>
      <c r="B168" s="9">
        <f>ROW() - ROW(TablaCosechas[[#Headers],[ID]]) - 4</f>
        <v>163</v>
      </c>
      <c r="C168" s="9" t="str">
        <f>LEFT(A168,2)</f>
        <v>CH</v>
      </c>
      <c r="D168" s="182" t="s">
        <v>366</v>
      </c>
      <c r="E168" s="178">
        <v>46900</v>
      </c>
      <c r="F168" s="19">
        <v>31</v>
      </c>
      <c r="G168" s="195">
        <v>45925</v>
      </c>
      <c r="H168" s="9" t="str">
        <f>VLOOKUP(TablaCosechas[[#This Row],[COD]],DATOS!$E$3:$F$27,2,0)</f>
        <v>CHERNA</v>
      </c>
      <c r="I168" s="9" t="str">
        <f>RIGHT(TablaCosechas[[#This Row],[SECTOR/PISCINA]],2)</f>
        <v>10</v>
      </c>
      <c r="J168" s="9" t="str">
        <f>VLOOKUP(TablaCosechas[[#This Row],[COD]],Tabla7[#All],4,0)</f>
        <v>SANTIAGO OBRIEN</v>
      </c>
      <c r="K168" s="179">
        <f>(TablaCosechas[[#This Row],[libras planta]]*454)/M168</f>
        <v>707638.12129471893</v>
      </c>
      <c r="L168" s="174">
        <v>45747.090000000004</v>
      </c>
      <c r="M168" s="19">
        <v>29.35</v>
      </c>
      <c r="N168" s="9" t="str">
        <f>UPPER(TEXT(TablaCosechas[[#This Row],[COSECHA]],"MMMM"))</f>
        <v>SEPTIEMBRE</v>
      </c>
      <c r="O168" s="9" t="str">
        <f>IF(A168="DO 29","BAP",IF(A168="RO 14","BAP",(VLOOKUP(TablaCosechas[[#This Row],[COD]],Tabla7[[CODIGO]:[CERTIFICACION]],3,0))))</f>
        <v>ASC</v>
      </c>
      <c r="P168" s="180">
        <f>+L168-E168</f>
        <v>-1152.9099999999962</v>
      </c>
      <c r="Q168" s="181">
        <f>+M168-F168</f>
        <v>-1.6499999999999986</v>
      </c>
      <c r="R168" s="9"/>
    </row>
    <row r="169" spans="1:18" x14ac:dyDescent="0.25">
      <c r="A169" s="9" t="s">
        <v>317</v>
      </c>
      <c r="B169" s="9">
        <f>ROW() - ROW(TablaCosechas[[#Headers],[ID]]) - 4</f>
        <v>164</v>
      </c>
      <c r="C169" s="9" t="str">
        <f>LEFT(A169,2)</f>
        <v>CA</v>
      </c>
      <c r="D169" s="182" t="s">
        <v>366</v>
      </c>
      <c r="E169" s="178">
        <f>3900+400</f>
        <v>4300</v>
      </c>
      <c r="F169" s="19">
        <v>27</v>
      </c>
      <c r="G169" s="195">
        <v>45925</v>
      </c>
      <c r="H169" s="9" t="str">
        <f>VLOOKUP(TablaCosechas[[#This Row],[COD]],DATOS!$E$3:$F$27,2,0)</f>
        <v>CATANUDA</v>
      </c>
      <c r="I169" s="9" t="str">
        <f>RIGHT(TablaCosechas[[#This Row],[SECTOR/PISCINA]],2)</f>
        <v>13</v>
      </c>
      <c r="J169" s="9" t="str">
        <f>VLOOKUP(TablaCosechas[[#This Row],[COD]],Tabla7[#All],4,0)</f>
        <v>VICTOR QUINTANA</v>
      </c>
      <c r="K169" s="179">
        <f>(TablaCosechas[[#This Row],[libras planta]]*454)/M169</f>
        <v>82730.66247224278</v>
      </c>
      <c r="L169" s="174">
        <f>4493.85+429.9</f>
        <v>4923.75</v>
      </c>
      <c r="M169" s="19">
        <v>27.02</v>
      </c>
      <c r="N169" s="9" t="str">
        <f>UPPER(TEXT(TablaCosechas[[#This Row],[COSECHA]],"MMMM"))</f>
        <v>SEPTIEMBRE</v>
      </c>
      <c r="O169" s="9" t="str">
        <f>IF(A169="DO 29","BAP",IF(A169="RO 14","BAP",(VLOOKUP(TablaCosechas[[#This Row],[COD]],Tabla7[[CODIGO]:[CERTIFICACION]],3,0))))</f>
        <v>ASC</v>
      </c>
      <c r="P169" s="180">
        <f>+L169-E169</f>
        <v>623.75</v>
      </c>
      <c r="Q169" s="181">
        <f>+M169-F169</f>
        <v>1.9999999999999574E-2</v>
      </c>
      <c r="R169" s="9"/>
    </row>
    <row r="170" spans="1:18" x14ac:dyDescent="0.25">
      <c r="A170" s="9" t="s">
        <v>316</v>
      </c>
      <c r="B170" s="9">
        <f>ROW() - ROW(TablaCosechas[[#Headers],[ID]]) - 4</f>
        <v>165</v>
      </c>
      <c r="C170" s="9" t="str">
        <f>LEFT(A170,2)</f>
        <v>CA</v>
      </c>
      <c r="D170" s="182" t="s">
        <v>366</v>
      </c>
      <c r="E170" s="178">
        <f>2700+400</f>
        <v>3100</v>
      </c>
      <c r="F170" s="19">
        <v>27.5</v>
      </c>
      <c r="G170" s="195">
        <v>45925</v>
      </c>
      <c r="H170" s="9" t="str">
        <f>VLOOKUP(TablaCosechas[[#This Row],[COD]],DATOS!$E$3:$F$27,2,0)</f>
        <v>CATANUDA</v>
      </c>
      <c r="I170" s="9" t="str">
        <f>RIGHT(TablaCosechas[[#This Row],[SECTOR/PISCINA]],2)</f>
        <v>12</v>
      </c>
      <c r="J170" s="9" t="str">
        <f>VLOOKUP(TablaCosechas[[#This Row],[COD]],Tabla7[#All],4,0)</f>
        <v>VICTOR QUINTANA</v>
      </c>
      <c r="K170" s="179">
        <f>(TablaCosechas[[#This Row],[libras planta]]*454)/M170</f>
        <v>50978.586477400073</v>
      </c>
      <c r="L170" s="174">
        <f>2556.34+449.6</f>
        <v>3005.94</v>
      </c>
      <c r="M170" s="19">
        <v>26.77</v>
      </c>
      <c r="N170" s="9" t="str">
        <f>UPPER(TEXT(TablaCosechas[[#This Row],[COSECHA]],"MMMM"))</f>
        <v>SEPTIEMBRE</v>
      </c>
      <c r="O170" s="9" t="str">
        <f>IF(A170="DO 29","BAP",IF(A170="RO 14","BAP",(VLOOKUP(TablaCosechas[[#This Row],[COD]],Tabla7[[CODIGO]:[CERTIFICACION]],3,0))))</f>
        <v>ASC</v>
      </c>
      <c r="P170" s="180">
        <f>+L170-E170</f>
        <v>-94.059999999999945</v>
      </c>
      <c r="Q170" s="181">
        <f>+M170-F170</f>
        <v>-0.73000000000000043</v>
      </c>
      <c r="R170" s="9"/>
    </row>
    <row r="171" spans="1:18" x14ac:dyDescent="0.25">
      <c r="A171" s="9" t="s">
        <v>209</v>
      </c>
      <c r="B171" s="9">
        <f>ROW() - ROW(TablaCosechas[[#Headers],[ID]]) - 4</f>
        <v>166</v>
      </c>
      <c r="C171" s="9" t="str">
        <f>LEFT(A171,2)</f>
        <v>BA</v>
      </c>
      <c r="D171" s="182" t="s">
        <v>367</v>
      </c>
      <c r="E171" s="178">
        <v>4800</v>
      </c>
      <c r="F171" s="19">
        <v>18</v>
      </c>
      <c r="G171" s="195">
        <v>45925</v>
      </c>
      <c r="H171" s="9" t="str">
        <f>VLOOKUP(TablaCosechas[[#This Row],[COD]],DATOS!$E$3:$F$26,2,0)</f>
        <v>BARRACUDA</v>
      </c>
      <c r="I171" s="9" t="str">
        <f>RIGHT(TablaCosechas[[#This Row],[SECTOR/PISCINA]],2)</f>
        <v>05</v>
      </c>
      <c r="J171" s="9" t="str">
        <f>VLOOKUP(TablaCosechas[[#This Row],[COD]],Tabla7[#All],4,0)</f>
        <v>GUSTAVO CARRASCO</v>
      </c>
      <c r="K171" s="179">
        <f>(TablaCosechas[[#This Row],[libras planta]]*454)/M171</f>
        <v>100672.92864749732</v>
      </c>
      <c r="L171" s="174">
        <v>4164.3999999999996</v>
      </c>
      <c r="M171" s="19">
        <v>18.78</v>
      </c>
      <c r="N171" s="9" t="str">
        <f>UPPER(TEXT(TablaCosechas[[#This Row],[COSECHA]],"MMMM"))</f>
        <v>SEPTIEMBRE</v>
      </c>
      <c r="O171" s="9" t="str">
        <f>IF(A171="DO 29","BAP",IF(A171="RO 14","BAP",(VLOOKUP(TablaCosechas[[#This Row],[COD]],Tabla7[[CODIGO]:[CERTIFICACION]],3,0))))</f>
        <v>CONVENCIONAL</v>
      </c>
      <c r="P171" s="180">
        <f>+L171-E171</f>
        <v>-635.60000000000036</v>
      </c>
      <c r="Q171" s="181">
        <f>+M171-F171</f>
        <v>0.78000000000000114</v>
      </c>
      <c r="R171" s="9"/>
    </row>
    <row r="172" spans="1:18" x14ac:dyDescent="0.25">
      <c r="A172" s="9" t="s">
        <v>205</v>
      </c>
      <c r="B172" s="9">
        <f>ROW() - ROW(TablaCosechas[[#Headers],[ID]]) - 4</f>
        <v>167</v>
      </c>
      <c r="C172" s="9" t="str">
        <f>LEFT(A172,2)</f>
        <v>BA</v>
      </c>
      <c r="D172" s="182" t="s">
        <v>367</v>
      </c>
      <c r="E172" s="178">
        <v>3700</v>
      </c>
      <c r="F172" s="19">
        <v>18</v>
      </c>
      <c r="G172" s="195">
        <v>45925</v>
      </c>
      <c r="H172" s="9" t="str">
        <f>VLOOKUP(TablaCosechas[[#This Row],[COD]],DATOS!$E$3:$F$27,2,0)</f>
        <v>BARRACUDA</v>
      </c>
      <c r="I172" s="9" t="str">
        <f>RIGHT(TablaCosechas[[#This Row],[SECTOR/PISCINA]],2)</f>
        <v>03</v>
      </c>
      <c r="J172" s="9" t="str">
        <f>VLOOKUP(TablaCosechas[[#This Row],[COD]],Tabla7[#All],4,0)</f>
        <v>GUSTAVO CARRASCO</v>
      </c>
      <c r="K172" s="179">
        <f>(TablaCosechas[[#This Row],[libras planta]]*454)/M172</f>
        <v>87999.278745644609</v>
      </c>
      <c r="L172" s="174">
        <v>3337.77</v>
      </c>
      <c r="M172" s="19">
        <v>17.22</v>
      </c>
      <c r="N172" s="9" t="str">
        <f>UPPER(TEXT(TablaCosechas[[#This Row],[COSECHA]],"MMMM"))</f>
        <v>SEPTIEMBRE</v>
      </c>
      <c r="O172" s="9" t="str">
        <f>IF(A172="DO 29","BAP",IF(A172="RO 14","BAP",(VLOOKUP(TablaCosechas[[#This Row],[COD]],Tabla7[[CODIGO]:[CERTIFICACION]],3,0))))</f>
        <v>CONVENCIONAL</v>
      </c>
      <c r="P172" s="180">
        <f>+L172-E172</f>
        <v>-362.23</v>
      </c>
      <c r="Q172" s="181">
        <f>+M172-F172</f>
        <v>-0.78000000000000114</v>
      </c>
      <c r="R172" s="9"/>
    </row>
    <row r="173" spans="1:18" x14ac:dyDescent="0.25">
      <c r="A173" s="9" t="s">
        <v>198</v>
      </c>
      <c r="B173" s="9">
        <f>ROW() - ROW(TablaCosechas[[#Headers],[ID]]) - 4</f>
        <v>168</v>
      </c>
      <c r="C173" s="9" t="str">
        <f>LEFT(A173,2)</f>
        <v>RO</v>
      </c>
      <c r="D173" s="182" t="s">
        <v>367</v>
      </c>
      <c r="E173" s="178">
        <v>14000</v>
      </c>
      <c r="F173" s="19">
        <v>19</v>
      </c>
      <c r="G173" s="195">
        <v>45926</v>
      </c>
      <c r="H173" s="9" t="str">
        <f>VLOOKUP(TablaCosechas[[#This Row],[COD]],DATOS!$E$3:$F$26,2,0)</f>
        <v>ROBALO</v>
      </c>
      <c r="I173" s="9" t="str">
        <f>RIGHT(TablaCosechas[[#This Row],[SECTOR/PISCINA]],2)</f>
        <v>14</v>
      </c>
      <c r="J173" s="9" t="str">
        <f>VLOOKUP(TablaCosechas[[#This Row],[COD]],Tabla7[#All],4,0)</f>
        <v>VICTOR QUINTANA</v>
      </c>
      <c r="K173" s="179">
        <f>(TablaCosechas[[#This Row],[libras planta]]*454)/M173</f>
        <v>306952.37878082832</v>
      </c>
      <c r="L173" s="174">
        <v>14529.53</v>
      </c>
      <c r="M173" s="19">
        <v>21.49</v>
      </c>
      <c r="N173" s="9" t="str">
        <f>UPPER(TEXT(TablaCosechas[[#This Row],[COSECHA]],"MMMM"))</f>
        <v>SEPTIEMBRE</v>
      </c>
      <c r="O173" s="9" t="str">
        <f>IF(A173="DO 29","BAP",IF(A173="RO 14","BAP",(VLOOKUP(TablaCosechas[[#This Row],[COD]],Tabla7[[CODIGO]:[CERTIFICACION]],3,0))))</f>
        <v>BAP</v>
      </c>
      <c r="P173" s="180">
        <f>+L173-E173</f>
        <v>529.53000000000065</v>
      </c>
      <c r="Q173" s="181">
        <f>+M173-F173</f>
        <v>2.4899999999999984</v>
      </c>
      <c r="R173" s="9"/>
    </row>
    <row r="174" spans="1:18" x14ac:dyDescent="0.25">
      <c r="A174" s="9" t="s">
        <v>329</v>
      </c>
      <c r="B174" s="9">
        <f>ROW() - ROW(TablaCosechas[[#Headers],[ID]]) - 4</f>
        <v>169</v>
      </c>
      <c r="C174" s="9" t="str">
        <f>LEFT(A174,2)</f>
        <v>GT</v>
      </c>
      <c r="D174" s="182" t="s">
        <v>366</v>
      </c>
      <c r="E174" s="178">
        <v>24200</v>
      </c>
      <c r="F174" s="19">
        <v>32</v>
      </c>
      <c r="G174" s="195">
        <v>45926</v>
      </c>
      <c r="H174" s="9" t="str">
        <f>VLOOKUP(TablaCosechas[[#This Row],[COD]],DATOS!$E$3:$F$27,2,0)</f>
        <v>GUATO</v>
      </c>
      <c r="I174" s="9" t="str">
        <f>RIGHT(TablaCosechas[[#This Row],[SECTOR/PISCINA]],2)</f>
        <v>09</v>
      </c>
      <c r="J174" s="9" t="str">
        <f>VLOOKUP(TablaCosechas[[#This Row],[COD]],Tabla7[#All],4,0)</f>
        <v>JULIO SANTOS</v>
      </c>
      <c r="K174" s="179">
        <f>(TablaCosechas[[#This Row],[libras planta]]*454)/M174</f>
        <v>323314.66730098322</v>
      </c>
      <c r="L174" s="174">
        <v>22453.99</v>
      </c>
      <c r="M174" s="19">
        <v>31.53</v>
      </c>
      <c r="N174" s="9" t="str">
        <f>UPPER(TEXT(TablaCosechas[[#This Row],[COSECHA]],"MMMM"))</f>
        <v>SEPTIEMBRE</v>
      </c>
      <c r="O174" s="9" t="str">
        <f>IF(A174="DO 29","BAP",IF(A174="RO 14","BAP",(VLOOKUP(TablaCosechas[[#This Row],[COD]],Tabla7[[CODIGO]:[CERTIFICACION]],3,0))))</f>
        <v>CONVENCIONAL</v>
      </c>
      <c r="P174" s="180">
        <f>+L174-E174</f>
        <v>-1746.0099999999984</v>
      </c>
      <c r="Q174" s="181">
        <f>+M174-F174</f>
        <v>-0.46999999999999886</v>
      </c>
      <c r="R174" s="9"/>
    </row>
    <row r="175" spans="1:18" x14ac:dyDescent="0.25">
      <c r="A175" s="9" t="s">
        <v>137</v>
      </c>
      <c r="B175" s="9">
        <f>ROW() - ROW(TablaCosechas[[#Headers],[ID]]) - 4</f>
        <v>170</v>
      </c>
      <c r="C175" s="9" t="str">
        <f>LEFT(A175,2)</f>
        <v>DO</v>
      </c>
      <c r="D175" s="182" t="s">
        <v>367</v>
      </c>
      <c r="E175" s="178">
        <v>13000</v>
      </c>
      <c r="F175" s="19">
        <v>22</v>
      </c>
      <c r="G175" s="195">
        <v>45926</v>
      </c>
      <c r="H175" s="9" t="str">
        <f>VLOOKUP(TablaCosechas[[#This Row],[COD]],DATOS!$E$3:$F$27,2,0)</f>
        <v>DORADO</v>
      </c>
      <c r="I175" s="9" t="str">
        <f>RIGHT(TablaCosechas[[#This Row],[SECTOR/PISCINA]],2)</f>
        <v>20</v>
      </c>
      <c r="J175" s="9" t="str">
        <f>VLOOKUP(TablaCosechas[[#This Row],[COD]],Tabla7[#All],4,0)</f>
        <v>JOSE CEDEÑO</v>
      </c>
      <c r="K175" s="179">
        <f>(TablaCosechas[[#This Row],[libras planta]]*454)/M175</f>
        <v>266434.05925250682</v>
      </c>
      <c r="L175" s="174">
        <v>12875.69</v>
      </c>
      <c r="M175" s="19">
        <v>21.94</v>
      </c>
      <c r="N175" s="9" t="str">
        <f>UPPER(TEXT(TablaCosechas[[#This Row],[COSECHA]],"MMMM"))</f>
        <v>SEPTIEMBRE</v>
      </c>
      <c r="O175" s="9" t="str">
        <f>IF(A175="DO 29","BAP",IF(A175="RO 14","BAP",(VLOOKUP(TablaCosechas[[#This Row],[COD]],Tabla7[[CODIGO]:[CERTIFICACION]],3,0))))</f>
        <v>ASC</v>
      </c>
      <c r="P175" s="180">
        <f>+L175-E175</f>
        <v>-124.30999999999949</v>
      </c>
      <c r="Q175" s="181">
        <f>+M175-F175</f>
        <v>-5.9999999999998721E-2</v>
      </c>
      <c r="R175" s="9"/>
    </row>
    <row r="176" spans="1:18" x14ac:dyDescent="0.25">
      <c r="A176" s="9" t="s">
        <v>302</v>
      </c>
      <c r="B176" s="9">
        <f>ROW() - ROW(TablaCosechas[[#Headers],[ID]]) - 4</f>
        <v>171</v>
      </c>
      <c r="C176" s="9" t="str">
        <f>LEFT(A176,2)</f>
        <v>DE</v>
      </c>
      <c r="D176" s="182" t="s">
        <v>366</v>
      </c>
      <c r="E176" s="178">
        <v>18400</v>
      </c>
      <c r="F176" s="19">
        <v>36</v>
      </c>
      <c r="G176" s="195">
        <v>45926</v>
      </c>
      <c r="H176" s="9" t="str">
        <f>VLOOKUP(TablaCosechas[[#This Row],[COD]],DATOS!$E$3:$F$27,2,0)</f>
        <v>DELFIN</v>
      </c>
      <c r="I176" s="9" t="str">
        <f>RIGHT(TablaCosechas[[#This Row],[SECTOR/PISCINA]],2)</f>
        <v>23</v>
      </c>
      <c r="J176" s="9" t="str">
        <f>VLOOKUP(TablaCosechas[[#This Row],[COD]],Tabla7[#All],4,0)</f>
        <v>CARLOS FLORES</v>
      </c>
      <c r="K176" s="179">
        <f>(TablaCosechas[[#This Row],[libras planta]]*454)/M176</f>
        <v>241301.39341421146</v>
      </c>
      <c r="L176" s="174">
        <v>18400.560000000001</v>
      </c>
      <c r="M176" s="19">
        <v>34.619999999999997</v>
      </c>
      <c r="N176" s="9" t="str">
        <f>UPPER(TEXT(TablaCosechas[[#This Row],[COSECHA]],"MMMM"))</f>
        <v>SEPTIEMBRE</v>
      </c>
      <c r="O176" s="9" t="str">
        <f>IF(A176="DO 29","BAP",IF(A176="RO 14","BAP",(VLOOKUP(TablaCosechas[[#This Row],[COD]],Tabla7[[CODIGO]:[CERTIFICACION]],3,0))))</f>
        <v>CONVENCIONAL</v>
      </c>
      <c r="P176" s="180">
        <f>+L176-E176</f>
        <v>0.56000000000130967</v>
      </c>
      <c r="Q176" s="181">
        <f>+M176-F176</f>
        <v>-1.3800000000000026</v>
      </c>
      <c r="R176" s="9"/>
    </row>
    <row r="177" spans="1:18" x14ac:dyDescent="0.25">
      <c r="A177" s="9" t="s">
        <v>174</v>
      </c>
      <c r="B177" s="9">
        <f>ROW() - ROW(TablaCosechas[[#Headers],[ID]]) - 4</f>
        <v>172</v>
      </c>
      <c r="C177" s="9" t="str">
        <f>LEFT(A177,2)</f>
        <v>DE</v>
      </c>
      <c r="D177" s="182" t="s">
        <v>367</v>
      </c>
      <c r="E177" s="178">
        <v>10000</v>
      </c>
      <c r="F177" s="19">
        <v>24</v>
      </c>
      <c r="G177" s="195">
        <v>45926</v>
      </c>
      <c r="H177" s="9" t="str">
        <f>VLOOKUP(TablaCosechas[[#This Row],[COD]],DATOS!$E$3:$F$26,2,0)</f>
        <v>DELFIN</v>
      </c>
      <c r="I177" s="9" t="str">
        <f>RIGHT(TablaCosechas[[#This Row],[SECTOR/PISCINA]],2)</f>
        <v>07</v>
      </c>
      <c r="J177" s="9" t="str">
        <f>VLOOKUP(TablaCosechas[[#This Row],[COD]],Tabla7[#All],4,0)</f>
        <v>CARLOS FLORES</v>
      </c>
      <c r="K177" s="179">
        <f>(TablaCosechas[[#This Row],[libras planta]]*454)/M177</f>
        <v>192804.72</v>
      </c>
      <c r="L177" s="174">
        <v>9979.98</v>
      </c>
      <c r="M177" s="19">
        <v>23.5</v>
      </c>
      <c r="N177" s="9" t="str">
        <f>UPPER(TEXT(TablaCosechas[[#This Row],[COSECHA]],"MMMM"))</f>
        <v>SEPTIEMBRE</v>
      </c>
      <c r="O177" s="9" t="str">
        <f>IF(A177="DO 29","BAP",IF(A177="RO 14","BAP",(VLOOKUP(TablaCosechas[[#This Row],[COD]],Tabla7[[CODIGO]:[CERTIFICACION]],3,0))))</f>
        <v>CONVENCIONAL</v>
      </c>
      <c r="P177" s="180">
        <f>+L177-E177</f>
        <v>-20.020000000000437</v>
      </c>
      <c r="Q177" s="181">
        <f>+M177-F177</f>
        <v>-0.5</v>
      </c>
      <c r="R177" s="9"/>
    </row>
    <row r="178" spans="1:18" x14ac:dyDescent="0.25">
      <c r="A178" s="9" t="s">
        <v>202</v>
      </c>
      <c r="B178" s="9">
        <f>ROW() - ROW(TablaCosechas[[#Headers],[ID]]) - 4</f>
        <v>173</v>
      </c>
      <c r="C178" s="9" t="str">
        <f>LEFT(A178,2)</f>
        <v>BA</v>
      </c>
      <c r="D178" s="182" t="s">
        <v>367</v>
      </c>
      <c r="E178" s="178">
        <v>11500</v>
      </c>
      <c r="F178" s="19">
        <v>17</v>
      </c>
      <c r="G178" s="195">
        <v>45926</v>
      </c>
      <c r="H178" s="9" t="str">
        <f>VLOOKUP(TablaCosechas[[#This Row],[COD]],DATOS!$E$3:$F$26,2,0)</f>
        <v>BARRACUDA</v>
      </c>
      <c r="I178" s="9" t="str">
        <f>RIGHT(TablaCosechas[[#This Row],[SECTOR/PISCINA]],2)</f>
        <v>04</v>
      </c>
      <c r="J178" s="9" t="str">
        <f>VLOOKUP(TablaCosechas[[#This Row],[COD]],Tabla7[#All],4,0)</f>
        <v>GUSTAVO CARRASCO</v>
      </c>
      <c r="K178" s="179">
        <f>(TablaCosechas[[#This Row],[libras planta]]*454)/M178</f>
        <v>230647.98591549296</v>
      </c>
      <c r="L178" s="174">
        <v>10099.74</v>
      </c>
      <c r="M178" s="19">
        <v>19.88</v>
      </c>
      <c r="N178" s="9" t="str">
        <f>UPPER(TEXT(TablaCosechas[[#This Row],[COSECHA]],"MMMM"))</f>
        <v>SEPTIEMBRE</v>
      </c>
      <c r="O178" s="9" t="str">
        <f>IF(A178="DO 29","BAP",IF(A178="RO 14","BAP",(VLOOKUP(TablaCosechas[[#This Row],[COD]],Tabla7[[CODIGO]:[CERTIFICACION]],3,0))))</f>
        <v>CONVENCIONAL</v>
      </c>
      <c r="P178" s="180">
        <f>+L178-E178</f>
        <v>-1400.2600000000002</v>
      </c>
      <c r="Q178" s="181">
        <f>+M178-F178</f>
        <v>2.879999999999999</v>
      </c>
      <c r="R178" s="9"/>
    </row>
    <row r="179" spans="1:18" x14ac:dyDescent="0.25">
      <c r="A179" s="9" t="s">
        <v>207</v>
      </c>
      <c r="B179" s="9">
        <f>ROW() - ROW(TablaCosechas[[#Headers],[ID]]) - 4</f>
        <v>174</v>
      </c>
      <c r="C179" s="9" t="str">
        <f>LEFT(A179,2)</f>
        <v>BA</v>
      </c>
      <c r="D179" s="182" t="s">
        <v>367</v>
      </c>
      <c r="E179" s="178">
        <v>4300</v>
      </c>
      <c r="F179" s="19">
        <v>18</v>
      </c>
      <c r="G179" s="195">
        <v>45926</v>
      </c>
      <c r="H179" s="9" t="str">
        <f>VLOOKUP(TablaCosechas[[#This Row],[COD]],DATOS!$E$3:$F$26,2,0)</f>
        <v>BARRACUDA</v>
      </c>
      <c r="I179" s="9" t="str">
        <f>RIGHT(TablaCosechas[[#This Row],[SECTOR/PISCINA]],2)</f>
        <v>02</v>
      </c>
      <c r="J179" s="9" t="str">
        <f>VLOOKUP(TablaCosechas[[#This Row],[COD]],Tabla7[#All],4,0)</f>
        <v>GUSTAVO CARRASCO</v>
      </c>
      <c r="K179" s="179">
        <f>(TablaCosechas[[#This Row],[libras planta]]*454)/M179</f>
        <v>101850.02609727165</v>
      </c>
      <c r="L179" s="174">
        <v>3782.36</v>
      </c>
      <c r="M179" s="19">
        <v>16.86</v>
      </c>
      <c r="N179" s="9" t="str">
        <f>UPPER(TEXT(TablaCosechas[[#This Row],[COSECHA]],"MMMM"))</f>
        <v>SEPTIEMBRE</v>
      </c>
      <c r="O179" s="9" t="str">
        <f>IF(A179="DO 29","BAP",IF(A179="RO 14","BAP",(VLOOKUP(TablaCosechas[[#This Row],[COD]],Tabla7[[CODIGO]:[CERTIFICACION]],3,0))))</f>
        <v>CONVENCIONAL</v>
      </c>
      <c r="P179" s="180">
        <f>+L179-E179</f>
        <v>-517.63999999999987</v>
      </c>
      <c r="Q179" s="181">
        <f>+M179-F179</f>
        <v>-1.1400000000000006</v>
      </c>
      <c r="R179" s="9"/>
    </row>
    <row r="180" spans="1:18" x14ac:dyDescent="0.25">
      <c r="A180" s="9" t="s">
        <v>118</v>
      </c>
      <c r="B180" s="9">
        <f>ROW() - ROW(TablaCosechas[[#Headers],[ID]]) - 4</f>
        <v>175</v>
      </c>
      <c r="C180" s="9" t="str">
        <f>LEFT(A180,2)</f>
        <v>TI</v>
      </c>
      <c r="D180" s="182" t="s">
        <v>366</v>
      </c>
      <c r="E180" s="178">
        <v>37800</v>
      </c>
      <c r="F180" s="19">
        <v>37</v>
      </c>
      <c r="G180" s="195">
        <v>45927</v>
      </c>
      <c r="H180" s="9" t="str">
        <f>VLOOKUP(TablaCosechas[[#This Row],[COD]],DATOS!$E$3:$F$27,2,0)</f>
        <v>TIBURON</v>
      </c>
      <c r="I180" s="9" t="str">
        <f>RIGHT(TablaCosechas[[#This Row],[SECTOR/PISCINA]],2)</f>
        <v>06</v>
      </c>
      <c r="J180" s="9" t="str">
        <f>VLOOKUP(TablaCosechas[[#This Row],[COD]],Tabla7[#All],4,0)</f>
        <v>ALFONSO GRUNAUER</v>
      </c>
      <c r="K180" s="179">
        <f>(TablaCosechas[[#This Row],[libras planta]]*454)/M180</f>
        <v>435033.09984317824</v>
      </c>
      <c r="L180" s="174">
        <v>36661.599999999999</v>
      </c>
      <c r="M180" s="19">
        <v>38.26</v>
      </c>
      <c r="N180" s="9" t="str">
        <f>UPPER(TEXT(TablaCosechas[[#This Row],[COSECHA]],"MMMM"))</f>
        <v>SEPTIEMBRE</v>
      </c>
      <c r="O180" s="9" t="str">
        <f>IF(A180="DO 29","BAP",IF(A180="RO 14","BAP",(VLOOKUP(TablaCosechas[[#This Row],[COD]],Tabla7[[CODIGO]:[CERTIFICACION]],3,0))))</f>
        <v>ASC</v>
      </c>
      <c r="P180" s="180">
        <f>+L180-E180</f>
        <v>-1138.4000000000015</v>
      </c>
      <c r="Q180" s="181">
        <f>+M180-F180</f>
        <v>1.259999999999998</v>
      </c>
      <c r="R180" s="9"/>
    </row>
    <row r="181" spans="1:18" x14ac:dyDescent="0.25">
      <c r="A181" s="9" t="s">
        <v>244</v>
      </c>
      <c r="B181" s="9">
        <f>ROW() - ROW(TablaCosechas[[#Headers],[ID]]) - 4</f>
        <v>176</v>
      </c>
      <c r="C181" s="9" t="str">
        <f>LEFT(A181,2)</f>
        <v>PA</v>
      </c>
      <c r="D181" s="182" t="s">
        <v>367</v>
      </c>
      <c r="E181" s="178">
        <v>9000</v>
      </c>
      <c r="F181" s="19">
        <v>18</v>
      </c>
      <c r="G181" s="195">
        <v>45927</v>
      </c>
      <c r="H181" s="9" t="str">
        <f>VLOOKUP(TablaCosechas[[#This Row],[COD]],DATOS!$E$3:$F$26,2,0)</f>
        <v>PAMPANO</v>
      </c>
      <c r="I181" s="9" t="str">
        <f>RIGHT(TablaCosechas[[#This Row],[SECTOR/PISCINA]],2)</f>
        <v>03</v>
      </c>
      <c r="J181" s="9" t="str">
        <f>VLOOKUP(TablaCosechas[[#This Row],[COD]],Tabla7[#All],4,0)</f>
        <v>GUSTAVO CARRASCO</v>
      </c>
      <c r="K181" s="179">
        <f>(TablaCosechas[[#This Row],[libras planta]]*454)/M181</f>
        <v>184166.75</v>
      </c>
      <c r="L181" s="174">
        <v>7366.67</v>
      </c>
      <c r="M181" s="19">
        <v>18.16</v>
      </c>
      <c r="N181" s="9" t="str">
        <f>UPPER(TEXT(TablaCosechas[[#This Row],[COSECHA]],"MMMM"))</f>
        <v>SEPTIEMBRE</v>
      </c>
      <c r="O181" s="9" t="str">
        <f>IF(A181="DO 29","BAP",IF(A181="RO 14","BAP",(VLOOKUP(TablaCosechas[[#This Row],[COD]],Tabla7[[CODIGO]:[CERTIFICACION]],3,0))))</f>
        <v>ASC</v>
      </c>
      <c r="P181" s="180">
        <f>+L181-E181</f>
        <v>-1633.33</v>
      </c>
      <c r="Q181" s="181">
        <f>+M181-F181</f>
        <v>0.16000000000000014</v>
      </c>
      <c r="R181" s="9"/>
    </row>
    <row r="182" spans="1:18" x14ac:dyDescent="0.25">
      <c r="A182" s="9" t="s">
        <v>301</v>
      </c>
      <c r="B182" s="9">
        <f>ROW() - ROW(TablaCosechas[[#Headers],[ID]]) - 4</f>
        <v>177</v>
      </c>
      <c r="C182" s="9" t="str">
        <f>LEFT(A182,2)</f>
        <v>DE</v>
      </c>
      <c r="D182" s="182" t="s">
        <v>366</v>
      </c>
      <c r="E182" s="178">
        <v>26400</v>
      </c>
      <c r="F182" s="19">
        <v>29</v>
      </c>
      <c r="G182" s="195">
        <v>45927</v>
      </c>
      <c r="H182" s="9" t="str">
        <f>VLOOKUP(TablaCosechas[[#This Row],[COD]],DATOS!$E$3:$F$27,2,0)</f>
        <v>DELFIN</v>
      </c>
      <c r="I182" s="9" t="str">
        <f>RIGHT(TablaCosechas[[#This Row],[SECTOR/PISCINA]],2)</f>
        <v>02</v>
      </c>
      <c r="J182" s="9" t="str">
        <f>VLOOKUP(TablaCosechas[[#This Row],[COD]],Tabla7[#All],4,0)</f>
        <v>CARLOS FLORES</v>
      </c>
      <c r="K182" s="179">
        <f>(TablaCosechas[[#This Row],[libras planta]]*454)/M182</f>
        <v>456331.30169242085</v>
      </c>
      <c r="L182" s="174">
        <v>27319.57</v>
      </c>
      <c r="M182" s="19">
        <v>27.18</v>
      </c>
      <c r="N182" s="9" t="str">
        <f>UPPER(TEXT(TablaCosechas[[#This Row],[COSECHA]],"MMMM"))</f>
        <v>SEPTIEMBRE</v>
      </c>
      <c r="O182" s="9" t="str">
        <f>IF(A182="DO 29","BAP",IF(A182="RO 14","BAP",(VLOOKUP(TablaCosechas[[#This Row],[COD]],Tabla7[[CODIGO]:[CERTIFICACION]],3,0))))</f>
        <v>CONVENCIONAL</v>
      </c>
      <c r="P182" s="180">
        <f>+L182-E182</f>
        <v>919.56999999999971</v>
      </c>
      <c r="Q182" s="181">
        <f>+M182-F182</f>
        <v>-1.8200000000000003</v>
      </c>
      <c r="R182" s="9"/>
    </row>
    <row r="183" spans="1:18" x14ac:dyDescent="0.25">
      <c r="A183" s="9" t="s">
        <v>320</v>
      </c>
      <c r="B183" s="9">
        <f>ROW() - ROW(TablaCosechas[[#Headers],[ID]]) - 4</f>
        <v>178</v>
      </c>
      <c r="C183" s="9" t="str">
        <f>LEFT(A183,2)</f>
        <v>CA</v>
      </c>
      <c r="D183" s="182" t="s">
        <v>366</v>
      </c>
      <c r="E183" s="178">
        <v>19400</v>
      </c>
      <c r="F183" s="19">
        <v>33</v>
      </c>
      <c r="G183" s="195">
        <v>45927</v>
      </c>
      <c r="H183" s="9" t="str">
        <f>VLOOKUP(TablaCosechas[[#This Row],[COD]],DATOS!$E$3:$F$27,2,0)</f>
        <v>CATANUDA</v>
      </c>
      <c r="I183" s="9" t="str">
        <f>RIGHT(TablaCosechas[[#This Row],[SECTOR/PISCINA]],2)</f>
        <v>21</v>
      </c>
      <c r="J183" s="9" t="str">
        <f>VLOOKUP(TablaCosechas[[#This Row],[COD]],Tabla7[#All],4,0)</f>
        <v>VICTOR QUINTANA</v>
      </c>
      <c r="K183" s="179">
        <f>(TablaCosechas[[#This Row],[libras planta]]*454)/M183</f>
        <v>270408.92154696136</v>
      </c>
      <c r="L183" s="174">
        <v>21561.24</v>
      </c>
      <c r="M183" s="19">
        <v>36.200000000000003</v>
      </c>
      <c r="N183" s="9" t="str">
        <f>UPPER(TEXT(TablaCosechas[[#This Row],[COSECHA]],"MMMM"))</f>
        <v>SEPTIEMBRE</v>
      </c>
      <c r="O183" s="9" t="str">
        <f>IF(A183="DO 29","BAP",IF(A183="RO 14","BAP",(VLOOKUP(TablaCosechas[[#This Row],[COD]],Tabla7[[CODIGO]:[CERTIFICACION]],3,0))))</f>
        <v>ASC</v>
      </c>
      <c r="P183" s="180">
        <f>+L183-E183</f>
        <v>2161.2400000000016</v>
      </c>
      <c r="Q183" s="181">
        <f>+M183-F183</f>
        <v>3.2000000000000028</v>
      </c>
      <c r="R183" s="9"/>
    </row>
    <row r="184" spans="1:18" x14ac:dyDescent="0.25">
      <c r="A184" s="9" t="s">
        <v>218</v>
      </c>
      <c r="B184" s="9">
        <f>ROW() - ROW(TablaCosechas[[#Headers],[ID]]) - 4</f>
        <v>179</v>
      </c>
      <c r="C184" s="9" t="str">
        <f>LEFT(A184,2)</f>
        <v>TU</v>
      </c>
      <c r="D184" s="182" t="s">
        <v>367</v>
      </c>
      <c r="E184" s="178">
        <v>4800</v>
      </c>
      <c r="F184" s="19">
        <v>15</v>
      </c>
      <c r="G184" s="195">
        <v>45928</v>
      </c>
      <c r="H184" s="9" t="str">
        <f>VLOOKUP(TablaCosechas[[#This Row],[COD]],DATOS!$E$3:$F$26,2,0)</f>
        <v>TUNA</v>
      </c>
      <c r="I184" s="9" t="str">
        <f>RIGHT(TablaCosechas[[#This Row],[SECTOR/PISCINA]],2)</f>
        <v>06</v>
      </c>
      <c r="J184" s="9" t="str">
        <f>VLOOKUP(TablaCosechas[[#This Row],[COD]],Tabla7[#All],4,0)</f>
        <v>GUSTAVO CARRASCO</v>
      </c>
      <c r="K184" s="179">
        <f>(TablaCosechas[[#This Row],[libras planta]]*454)/M184</f>
        <v>122244.56237879768</v>
      </c>
      <c r="L184" s="174">
        <v>4165.47</v>
      </c>
      <c r="M184" s="19">
        <v>15.47</v>
      </c>
      <c r="N184" s="9" t="str">
        <f>UPPER(TEXT(TablaCosechas[[#This Row],[COSECHA]],"MMMM"))</f>
        <v>SEPTIEMBRE</v>
      </c>
      <c r="O184" s="9" t="str">
        <f>IF(A184="DO 29","BAP",IF(A184="RO 14","BAP",(VLOOKUP(TablaCosechas[[#This Row],[COD]],Tabla7[[CODIGO]:[CERTIFICACION]],3,0))))</f>
        <v>ASC</v>
      </c>
      <c r="P184" s="180">
        <f>+L184-E184</f>
        <v>-634.52999999999975</v>
      </c>
      <c r="Q184" s="181">
        <f>+M184-F184</f>
        <v>0.47000000000000064</v>
      </c>
      <c r="R184" s="9"/>
    </row>
    <row r="185" spans="1:18" x14ac:dyDescent="0.25">
      <c r="A185" s="9" t="s">
        <v>122</v>
      </c>
      <c r="B185" s="9">
        <f>ROW() - ROW(TablaCosechas[[#Headers],[ID]]) - 4</f>
        <v>180</v>
      </c>
      <c r="C185" s="9" t="str">
        <f>LEFT(A185,2)</f>
        <v>TI</v>
      </c>
      <c r="D185" s="182" t="s">
        <v>366</v>
      </c>
      <c r="E185" s="178">
        <v>19750</v>
      </c>
      <c r="F185" s="19">
        <v>38</v>
      </c>
      <c r="G185" s="195">
        <v>45928</v>
      </c>
      <c r="H185" s="9" t="str">
        <f>VLOOKUP(TablaCosechas[[#This Row],[COD]],DATOS!$E$3:$F$27,2,0)</f>
        <v>TIBURON</v>
      </c>
      <c r="I185" s="9" t="str">
        <f>RIGHT(TablaCosechas[[#This Row],[SECTOR/PISCINA]],2)</f>
        <v>07</v>
      </c>
      <c r="J185" s="9" t="str">
        <f>VLOOKUP(TablaCosechas[[#This Row],[COD]],Tabla7[#All],4,0)</f>
        <v>ALFONSO GRUNAUER</v>
      </c>
      <c r="K185" s="179">
        <f>(TablaCosechas[[#This Row],[libras planta]]*454)/M185</f>
        <v>234751.5670212766</v>
      </c>
      <c r="L185" s="174">
        <v>19441.98</v>
      </c>
      <c r="M185" s="19">
        <v>37.6</v>
      </c>
      <c r="N185" s="9" t="str">
        <f>UPPER(TEXT(TablaCosechas[[#This Row],[COSECHA]],"MMMM"))</f>
        <v>SEPTIEMBRE</v>
      </c>
      <c r="O185" s="9" t="str">
        <f>IF(A185="DO 29","BAP",IF(A185="RO 14","BAP",(VLOOKUP(TablaCosechas[[#This Row],[COD]],Tabla7[[CODIGO]:[CERTIFICACION]],3,0))))</f>
        <v>ASC</v>
      </c>
      <c r="P185" s="180">
        <f>+L185-E185</f>
        <v>-308.02000000000044</v>
      </c>
      <c r="Q185" s="181">
        <f>+M185-F185</f>
        <v>-0.39999999999999858</v>
      </c>
      <c r="R185" s="9"/>
    </row>
    <row r="186" spans="1:18" x14ac:dyDescent="0.25">
      <c r="A186" s="9" t="s">
        <v>150</v>
      </c>
      <c r="B186" s="9">
        <f>ROW() - ROW(TablaCosechas[[#Headers],[ID]]) - 4</f>
        <v>181</v>
      </c>
      <c r="C186" s="9" t="str">
        <f>LEFT(A186,2)</f>
        <v>RO</v>
      </c>
      <c r="D186" s="182" t="s">
        <v>367</v>
      </c>
      <c r="E186" s="178">
        <v>16500</v>
      </c>
      <c r="F186" s="19">
        <v>21</v>
      </c>
      <c r="G186" s="195">
        <v>45928</v>
      </c>
      <c r="H186" s="9" t="str">
        <f>VLOOKUP(TablaCosechas[[#This Row],[COD]],DATOS!$E$3:$F$26,2,0)</f>
        <v>ROBALO</v>
      </c>
      <c r="I186" s="9" t="str">
        <f>RIGHT(TablaCosechas[[#This Row],[SECTOR/PISCINA]],2)</f>
        <v>07</v>
      </c>
      <c r="J186" s="9" t="str">
        <f>VLOOKUP(TablaCosechas[[#This Row],[COD]],Tabla7[#All],4,0)</f>
        <v>VICTOR QUINTANA</v>
      </c>
      <c r="K186" s="179">
        <f>(TablaCosechas[[#This Row],[libras planta]]*454)/M186</f>
        <v>380467.60212971928</v>
      </c>
      <c r="L186" s="174">
        <v>17313.79</v>
      </c>
      <c r="M186" s="19">
        <v>20.66</v>
      </c>
      <c r="N186" s="9" t="str">
        <f>UPPER(TEXT(TablaCosechas[[#This Row],[COSECHA]],"MMMM"))</f>
        <v>SEPTIEMBRE</v>
      </c>
      <c r="O186" s="9" t="str">
        <f>IF(A186="DO 29","BAP",IF(A186="RO 14","BAP",(VLOOKUP(TablaCosechas[[#This Row],[COD]],Tabla7[[CODIGO]:[CERTIFICACION]],3,0))))</f>
        <v>ASC</v>
      </c>
      <c r="P186" s="180">
        <f>+L186-E186</f>
        <v>813.79000000000087</v>
      </c>
      <c r="Q186" s="181">
        <f>+M186-F186</f>
        <v>-0.33999999999999986</v>
      </c>
      <c r="R186" s="9"/>
    </row>
    <row r="187" spans="1:18" x14ac:dyDescent="0.25">
      <c r="A187" s="9" t="s">
        <v>259</v>
      </c>
      <c r="B187" s="9">
        <f>ROW() - ROW(TablaCosechas[[#Headers],[ID]]) - 4</f>
        <v>182</v>
      </c>
      <c r="C187" s="9" t="str">
        <f>LEFT(A187,2)</f>
        <v>PA</v>
      </c>
      <c r="D187" s="182" t="s">
        <v>367</v>
      </c>
      <c r="E187" s="178">
        <v>5100</v>
      </c>
      <c r="F187" s="19">
        <v>16</v>
      </c>
      <c r="G187" s="195">
        <v>45928</v>
      </c>
      <c r="H187" s="9" t="str">
        <f>VLOOKUP(TablaCosechas[[#This Row],[COD]],DATOS!$E$3:$F$27,2,0)</f>
        <v>PAMPANO</v>
      </c>
      <c r="I187" s="9" t="str">
        <f>RIGHT(TablaCosechas[[#This Row],[SECTOR/PISCINA]],2)</f>
        <v>19</v>
      </c>
      <c r="J187" s="9" t="str">
        <f>VLOOKUP(TablaCosechas[[#This Row],[COD]],Tabla7[#All],4,0)</f>
        <v>GUSTAVO CARRASCO</v>
      </c>
      <c r="K187" s="179">
        <f>(TablaCosechas[[#This Row],[libras planta]]*454)/M187</f>
        <v>124354.80422622745</v>
      </c>
      <c r="L187" s="174">
        <v>4407.2</v>
      </c>
      <c r="M187" s="19">
        <v>16.09</v>
      </c>
      <c r="N187" s="9" t="str">
        <f>UPPER(TEXT(TablaCosechas[[#This Row],[COSECHA]],"MMMM"))</f>
        <v>SEPTIEMBRE</v>
      </c>
      <c r="O187" s="9" t="str">
        <f>IF(A187="DO 29","BAP",IF(A187="RO 14","BAP",(VLOOKUP(TablaCosechas[[#This Row],[COD]],Tabla7[[CODIGO]:[CERTIFICACION]],3,0))))</f>
        <v>ASC</v>
      </c>
      <c r="P187" s="180">
        <f>+L187-E187</f>
        <v>-692.80000000000018</v>
      </c>
      <c r="Q187" s="181">
        <f>+M187-F187</f>
        <v>8.9999999999999858E-2</v>
      </c>
      <c r="R187" s="9"/>
    </row>
    <row r="188" spans="1:18" x14ac:dyDescent="0.25">
      <c r="A188" s="9" t="s">
        <v>144</v>
      </c>
      <c r="B188" s="9">
        <f>ROW() - ROW(TablaCosechas[[#Headers],[ID]]) - 4</f>
        <v>183</v>
      </c>
      <c r="C188" s="9" t="str">
        <f>LEFT(A188,2)</f>
        <v>DO</v>
      </c>
      <c r="D188" s="182" t="s">
        <v>367</v>
      </c>
      <c r="E188" s="178">
        <v>10500</v>
      </c>
      <c r="F188" s="19">
        <v>22</v>
      </c>
      <c r="G188" s="195">
        <v>45928</v>
      </c>
      <c r="H188" s="9" t="str">
        <f>VLOOKUP(TablaCosechas[[#This Row],[COD]],DATOS!$E$3:$F$27,2,0)</f>
        <v>DORADO</v>
      </c>
      <c r="I188" s="9" t="str">
        <f>RIGHT(TablaCosechas[[#This Row],[SECTOR/PISCINA]],2)</f>
        <v>09</v>
      </c>
      <c r="J188" s="9" t="str">
        <f>VLOOKUP(TablaCosechas[[#This Row],[COD]],Tabla7[#All],4,0)</f>
        <v>JOSE CEDEÑO</v>
      </c>
      <c r="K188" s="179">
        <f>(TablaCosechas[[#This Row],[libras planta]]*454)/M188</f>
        <v>188097.50392327813</v>
      </c>
      <c r="L188" s="174">
        <v>9504.31</v>
      </c>
      <c r="M188" s="19">
        <v>22.94</v>
      </c>
      <c r="N188" s="9" t="str">
        <f>UPPER(TEXT(TablaCosechas[[#This Row],[COSECHA]],"MMMM"))</f>
        <v>SEPTIEMBRE</v>
      </c>
      <c r="O188" s="9" t="str">
        <f>IF(A188="DO 29","BAP",IF(A188="RO 14","BAP",(VLOOKUP(TablaCosechas[[#This Row],[COD]],Tabla7[[CODIGO]:[CERTIFICACION]],3,0))))</f>
        <v>ASC</v>
      </c>
      <c r="P188" s="180">
        <f>+L188-E188</f>
        <v>-995.69000000000051</v>
      </c>
      <c r="Q188" s="181">
        <f>+M188-F188</f>
        <v>0.94000000000000128</v>
      </c>
      <c r="R188" s="9"/>
    </row>
    <row r="189" spans="1:18" x14ac:dyDescent="0.25">
      <c r="A189" s="9" t="s">
        <v>126</v>
      </c>
      <c r="B189" s="9">
        <f>ROW() - ROW(TablaCosechas[[#Headers],[ID]]) - 4</f>
        <v>184</v>
      </c>
      <c r="C189" s="9" t="str">
        <f>LEFT(A189,2)</f>
        <v>DO</v>
      </c>
      <c r="D189" s="182" t="s">
        <v>366</v>
      </c>
      <c r="E189" s="178">
        <f>11700+15400</f>
        <v>27100</v>
      </c>
      <c r="F189" s="19">
        <v>38</v>
      </c>
      <c r="G189" s="195">
        <v>45928</v>
      </c>
      <c r="H189" s="9" t="str">
        <f>VLOOKUP(TablaCosechas[[#This Row],[COD]],DATOS!$E$3:$F$27,2,0)</f>
        <v>DORADO</v>
      </c>
      <c r="I189" s="9" t="str">
        <f>RIGHT(TablaCosechas[[#This Row],[SECTOR/PISCINA]],2)</f>
        <v>06</v>
      </c>
      <c r="J189" s="9" t="str">
        <f>VLOOKUP(TablaCosechas[[#This Row],[COD]],Tabla7[#All],4,0)</f>
        <v>JOSE CEDEÑO</v>
      </c>
      <c r="K189" s="179">
        <f>(TablaCosechas[[#This Row],[libras planta]]*454)/M189</f>
        <v>287618.32112121955</v>
      </c>
      <c r="L189" s="174">
        <v>25765.279999999999</v>
      </c>
      <c r="M189" s="19">
        <v>40.67</v>
      </c>
      <c r="N189" s="9" t="str">
        <f>UPPER(TEXT(TablaCosechas[[#This Row],[COSECHA]],"MMMM"))</f>
        <v>SEPTIEMBRE</v>
      </c>
      <c r="O189" s="9" t="str">
        <f>IF(A189="DO 29","BAP",IF(A189="RO 14","BAP",(VLOOKUP(TablaCosechas[[#This Row],[COD]],Tabla7[[CODIGO]:[CERTIFICACION]],3,0))))</f>
        <v>ASC</v>
      </c>
      <c r="P189" s="180">
        <f>+L189-E189</f>
        <v>-1334.7200000000012</v>
      </c>
      <c r="Q189" s="181">
        <f>+M189-F189</f>
        <v>2.6700000000000017</v>
      </c>
      <c r="R189" s="9"/>
    </row>
    <row r="190" spans="1:18" x14ac:dyDescent="0.25">
      <c r="A190" s="9" t="s">
        <v>130</v>
      </c>
      <c r="B190" s="9">
        <f>ROW() - ROW(TablaCosechas[[#Headers],[ID]]) - 4</f>
        <v>185</v>
      </c>
      <c r="C190" s="9" t="str">
        <f>LEFT(A190,2)</f>
        <v>DE</v>
      </c>
      <c r="D190" s="182" t="s">
        <v>366</v>
      </c>
      <c r="E190" s="178">
        <v>28900</v>
      </c>
      <c r="F190" s="19">
        <v>32</v>
      </c>
      <c r="G190" s="195">
        <v>45928</v>
      </c>
      <c r="H190" s="9" t="str">
        <f>VLOOKUP(TablaCosechas[[#This Row],[COD]],DATOS!$E$3:$F$27,2,0)</f>
        <v>DELFIN</v>
      </c>
      <c r="I190" s="9" t="str">
        <f>RIGHT(TablaCosechas[[#This Row],[SECTOR/PISCINA]],2)</f>
        <v>27</v>
      </c>
      <c r="J190" s="9" t="str">
        <f>VLOOKUP(TablaCosechas[[#This Row],[COD]],Tabla7[#All],4,0)</f>
        <v>CARLOS FLORES</v>
      </c>
      <c r="K190" s="179">
        <f>(TablaCosechas[[#This Row],[libras planta]]*454)/M190</f>
        <v>411681.23218673217</v>
      </c>
      <c r="L190" s="174">
        <v>29524.98</v>
      </c>
      <c r="M190" s="19">
        <v>32.56</v>
      </c>
      <c r="N190" s="9" t="str">
        <f>UPPER(TEXT(TablaCosechas[[#This Row],[COSECHA]],"MMMM"))</f>
        <v>SEPTIEMBRE</v>
      </c>
      <c r="O190" s="9" t="str">
        <f>IF(A190="DO 29","BAP",IF(A190="RO 14","BAP",(VLOOKUP(TablaCosechas[[#This Row],[COD]],Tabla7[[CODIGO]:[CERTIFICACION]],3,0))))</f>
        <v>CONVENCIONAL</v>
      </c>
      <c r="P190" s="180">
        <f>+L190-E190</f>
        <v>624.97999999999956</v>
      </c>
      <c r="Q190" s="181">
        <f>+M190-F190</f>
        <v>0.56000000000000227</v>
      </c>
      <c r="R190" s="9"/>
    </row>
    <row r="191" spans="1:18" x14ac:dyDescent="0.25">
      <c r="A191" s="9" t="s">
        <v>25</v>
      </c>
      <c r="B191" s="9">
        <f>ROW() - ROW(TablaCosechas[[#Headers],[ID]]) - 4</f>
        <v>186</v>
      </c>
      <c r="C191" s="9" t="str">
        <f>LEFT(A191,2)</f>
        <v>CH</v>
      </c>
      <c r="D191" s="182" t="s">
        <v>367</v>
      </c>
      <c r="E191" s="178">
        <v>8800</v>
      </c>
      <c r="F191" s="19">
        <v>21.5</v>
      </c>
      <c r="G191" s="195">
        <v>45928</v>
      </c>
      <c r="H191" s="9" t="str">
        <f>VLOOKUP(TablaCosechas[[#This Row],[COD]],DATOS!$E$3:$F$26,2,0)</f>
        <v>CHERNA</v>
      </c>
      <c r="I191" s="9" t="str">
        <f>RIGHT(TablaCosechas[[#This Row],[SECTOR/PISCINA]],2)</f>
        <v>21</v>
      </c>
      <c r="J191" s="9" t="str">
        <f>VLOOKUP(TablaCosechas[[#This Row],[COD]],Tabla7[#All],4,0)</f>
        <v>SANTIAGO OBRIEN</v>
      </c>
      <c r="K191" s="179">
        <f>(TablaCosechas[[#This Row],[libras planta]]*454)/M191</f>
        <v>177168.90147329652</v>
      </c>
      <c r="L191" s="174">
        <v>8476.01</v>
      </c>
      <c r="M191" s="19">
        <v>21.72</v>
      </c>
      <c r="N191" s="9" t="str">
        <f>UPPER(TEXT(TablaCosechas[[#This Row],[COSECHA]],"MMMM"))</f>
        <v>SEPTIEMBRE</v>
      </c>
      <c r="O191" s="9" t="str">
        <f>IF(A191="DO 29","BAP",IF(A191="RO 14","BAP",(VLOOKUP(TablaCosechas[[#This Row],[COD]],Tabla7[[CODIGO]:[CERTIFICACION]],3,0))))</f>
        <v>ASC</v>
      </c>
      <c r="P191" s="180">
        <f>+L191-E191</f>
        <v>-323.98999999999978</v>
      </c>
      <c r="Q191" s="181">
        <f>+M191-F191</f>
        <v>0.21999999999999886</v>
      </c>
      <c r="R191" s="9"/>
    </row>
    <row r="192" spans="1:18" x14ac:dyDescent="0.25">
      <c r="A192" s="9" t="s">
        <v>164</v>
      </c>
      <c r="B192" s="9">
        <f>ROW() - ROW(TablaCosechas[[#Headers],[ID]]) - 4</f>
        <v>187</v>
      </c>
      <c r="C192" s="9" t="str">
        <f>LEFT(A192,2)</f>
        <v>PA</v>
      </c>
      <c r="D192" s="182" t="s">
        <v>367</v>
      </c>
      <c r="E192" s="178">
        <v>8350</v>
      </c>
      <c r="F192" s="19">
        <v>27</v>
      </c>
      <c r="G192" s="195">
        <v>45929</v>
      </c>
      <c r="H192" s="9" t="str">
        <f>VLOOKUP(TablaCosechas[[#This Row],[COD]],DATOS!$E$3:$F$26,2,0)</f>
        <v>PAMPANO</v>
      </c>
      <c r="I192" s="9" t="str">
        <f>RIGHT(TablaCosechas[[#This Row],[SECTOR/PISCINA]],2)</f>
        <v>11</v>
      </c>
      <c r="J192" s="9" t="str">
        <f>VLOOKUP(TablaCosechas[[#This Row],[COD]],Tabla7[#All],4,0)</f>
        <v>GUSTAVO CARRASCO</v>
      </c>
      <c r="K192" s="179">
        <f>(TablaCosechas[[#This Row],[libras planta]]*454)/M192</f>
        <v>125105.29129793509</v>
      </c>
      <c r="L192" s="174">
        <v>7473.25</v>
      </c>
      <c r="M192" s="19">
        <v>27.12</v>
      </c>
      <c r="N192" s="9" t="str">
        <f>UPPER(TEXT(TablaCosechas[[#This Row],[COSECHA]],"MMMM"))</f>
        <v>SEPTIEMBRE</v>
      </c>
      <c r="O192" s="9" t="str">
        <f>IF(A192="DO 29","BAP",IF(A192="RO 14","BAP",(VLOOKUP(TablaCosechas[[#This Row],[COD]],Tabla7[[CODIGO]:[CERTIFICACION]],3,0))))</f>
        <v>ASC</v>
      </c>
      <c r="P192" s="180">
        <f>+L192-E192</f>
        <v>-876.75</v>
      </c>
      <c r="Q192" s="181">
        <f>+M192-F192</f>
        <v>0.12000000000000099</v>
      </c>
      <c r="R192" s="9"/>
    </row>
    <row r="193" spans="1:18" x14ac:dyDescent="0.25">
      <c r="A193" s="9" t="s">
        <v>167</v>
      </c>
      <c r="B193" s="9">
        <f>ROW() - ROW(TablaCosechas[[#Headers],[ID]]) - 4</f>
        <v>188</v>
      </c>
      <c r="C193" s="9" t="str">
        <f>LEFT(A193,2)</f>
        <v>PA</v>
      </c>
      <c r="D193" s="182" t="s">
        <v>367</v>
      </c>
      <c r="E193" s="178">
        <v>3800</v>
      </c>
      <c r="F193" s="19">
        <v>28</v>
      </c>
      <c r="G193" s="195">
        <v>45929</v>
      </c>
      <c r="H193" s="9" t="str">
        <f>VLOOKUP(TablaCosechas[[#This Row],[COD]],DATOS!$E$3:$F$26,2,0)</f>
        <v>PAMPANO</v>
      </c>
      <c r="I193" s="9" t="str">
        <f>RIGHT(TablaCosechas[[#This Row],[SECTOR/PISCINA]],2)</f>
        <v>10</v>
      </c>
      <c r="J193" s="9" t="str">
        <f>VLOOKUP(TablaCosechas[[#This Row],[COD]],Tabla7[#All],4,0)</f>
        <v>GUSTAVO CARRASCO</v>
      </c>
      <c r="K193" s="179">
        <f>(TablaCosechas[[#This Row],[libras planta]]*454)/M193</f>
        <v>48373.559006211181</v>
      </c>
      <c r="L193" s="174">
        <v>3087.81</v>
      </c>
      <c r="M193" s="19">
        <v>28.98</v>
      </c>
      <c r="N193" s="9" t="str">
        <f>UPPER(TEXT(TablaCosechas[[#This Row],[COSECHA]],"MMMM"))</f>
        <v>SEPTIEMBRE</v>
      </c>
      <c r="O193" s="9" t="str">
        <f>IF(A193="DO 29","BAP",IF(A193="RO 14","BAP",(VLOOKUP(TablaCosechas[[#This Row],[COD]],Tabla7[[CODIGO]:[CERTIFICACION]],3,0))))</f>
        <v>ASC</v>
      </c>
      <c r="P193" s="180">
        <f>+L193-E193</f>
        <v>-712.19</v>
      </c>
      <c r="Q193" s="181">
        <f>+M193-F193</f>
        <v>0.98000000000000043</v>
      </c>
      <c r="R193" s="9"/>
    </row>
    <row r="194" spans="1:18" x14ac:dyDescent="0.25">
      <c r="A194" s="9" t="s">
        <v>280</v>
      </c>
      <c r="B194" s="9">
        <f>ROW() - ROW(TablaCosechas[[#Headers],[ID]]) - 4</f>
        <v>189</v>
      </c>
      <c r="C194" s="9" t="str">
        <f>LEFT(A194,2)</f>
        <v>GT</v>
      </c>
      <c r="D194" s="182" t="s">
        <v>366</v>
      </c>
      <c r="E194" s="178">
        <v>26600</v>
      </c>
      <c r="F194" s="19">
        <v>33</v>
      </c>
      <c r="G194" s="195">
        <v>45929</v>
      </c>
      <c r="H194" s="9" t="str">
        <f>VLOOKUP(TablaCosechas[[#This Row],[COD]],DATOS!$E$3:$F$27,2,0)</f>
        <v>GUATO</v>
      </c>
      <c r="I194" s="9" t="str">
        <f>RIGHT(TablaCosechas[[#This Row],[SECTOR/PISCINA]],2)</f>
        <v>01</v>
      </c>
      <c r="J194" s="9" t="str">
        <f>VLOOKUP(TablaCosechas[[#This Row],[COD]],Tabla7[#All],4,0)</f>
        <v>JULIO SANTOS</v>
      </c>
      <c r="K194" s="179">
        <f>(TablaCosechas[[#This Row],[libras planta]]*454)/M194</f>
        <v>370692.76812462555</v>
      </c>
      <c r="L194" s="174">
        <v>27254.9</v>
      </c>
      <c r="M194" s="19">
        <v>33.380000000000003</v>
      </c>
      <c r="N194" s="9" t="str">
        <f>UPPER(TEXT(TablaCosechas[[#This Row],[COSECHA]],"MMMM"))</f>
        <v>SEPTIEMBRE</v>
      </c>
      <c r="O194" s="9" t="str">
        <f>IF(A194="DO 29","BAP",IF(A194="RO 14","BAP",(VLOOKUP(TablaCosechas[[#This Row],[COD]],Tabla7[[CODIGO]:[CERTIFICACION]],3,0))))</f>
        <v>CONVENCIONAL</v>
      </c>
      <c r="P194" s="180">
        <f>+L194-E194</f>
        <v>654.90000000000146</v>
      </c>
      <c r="Q194" s="181">
        <f>+M194-F194</f>
        <v>0.38000000000000256</v>
      </c>
      <c r="R194" s="9"/>
    </row>
    <row r="195" spans="1:18" x14ac:dyDescent="0.25">
      <c r="A195" s="9" t="s">
        <v>184</v>
      </c>
      <c r="B195" s="9">
        <f>ROW() - ROW(TablaCosechas[[#Headers],[ID]]) - 4</f>
        <v>190</v>
      </c>
      <c r="C195" s="9" t="str">
        <f>LEFT(A195,2)</f>
        <v>DO</v>
      </c>
      <c r="D195" s="182" t="s">
        <v>367</v>
      </c>
      <c r="E195" s="178">
        <v>15700</v>
      </c>
      <c r="F195" s="19">
        <v>25</v>
      </c>
      <c r="G195" s="195">
        <v>45929</v>
      </c>
      <c r="H195" s="9" t="str">
        <f>VLOOKUP(TablaCosechas[[#This Row],[COD]],DATOS!$E$3:$F$27,2,0)</f>
        <v>DORADO</v>
      </c>
      <c r="I195" s="9" t="str">
        <f>RIGHT(TablaCosechas[[#This Row],[SECTOR/PISCINA]],2)</f>
        <v>19</v>
      </c>
      <c r="J195" s="9" t="str">
        <f>VLOOKUP(TablaCosechas[[#This Row],[COD]],Tabla7[#All],4,0)</f>
        <v>JOSE CEDEÑO</v>
      </c>
      <c r="K195" s="179">
        <f>(TablaCosechas[[#This Row],[libras planta]]*454)/M195</f>
        <v>226079.93297380584</v>
      </c>
      <c r="L195" s="174">
        <v>12927.39</v>
      </c>
      <c r="M195" s="19">
        <v>25.96</v>
      </c>
      <c r="N195" s="9" t="str">
        <f>UPPER(TEXT(TablaCosechas[[#This Row],[COSECHA]],"MMMM"))</f>
        <v>SEPTIEMBRE</v>
      </c>
      <c r="O195" s="9" t="str">
        <f>IF(A195="DO 29","BAP",IF(A195="RO 14","BAP",(VLOOKUP(TablaCosechas[[#This Row],[COD]],Tabla7[[CODIGO]:[CERTIFICACION]],3,0))))</f>
        <v>ASC</v>
      </c>
      <c r="P195" s="180">
        <f>+L195-E195</f>
        <v>-2772.6100000000006</v>
      </c>
      <c r="Q195" s="181">
        <f>+M195-F195</f>
        <v>0.96000000000000085</v>
      </c>
      <c r="R195" s="9"/>
    </row>
    <row r="196" spans="1:18" x14ac:dyDescent="0.25">
      <c r="A196" s="9" t="s">
        <v>183</v>
      </c>
      <c r="B196" s="9">
        <f>ROW() - ROW(TablaCosechas[[#Headers],[ID]]) - 4</f>
        <v>191</v>
      </c>
      <c r="C196" s="9" t="str">
        <f>LEFT(A196,2)</f>
        <v>DO</v>
      </c>
      <c r="D196" s="182" t="s">
        <v>367</v>
      </c>
      <c r="E196" s="178">
        <v>6100</v>
      </c>
      <c r="F196" s="19">
        <v>24</v>
      </c>
      <c r="G196" s="195">
        <v>45929</v>
      </c>
      <c r="H196" s="9" t="str">
        <f>VLOOKUP(TablaCosechas[[#This Row],[COD]],DATOS!$E$3:$F$27,2,0)</f>
        <v>DORADO</v>
      </c>
      <c r="I196" s="9" t="str">
        <f>RIGHT(TablaCosechas[[#This Row],[SECTOR/PISCINA]],2)</f>
        <v>05</v>
      </c>
      <c r="J196" s="9" t="str">
        <f>VLOOKUP(TablaCosechas[[#This Row],[COD]],Tabla7[#All],4,0)</f>
        <v>JOSE CEDEÑO</v>
      </c>
      <c r="K196" s="179">
        <f>(TablaCosechas[[#This Row],[libras planta]]*454)/M196</f>
        <v>103640.61407972859</v>
      </c>
      <c r="L196" s="174">
        <v>5382.92</v>
      </c>
      <c r="M196" s="19">
        <v>23.58</v>
      </c>
      <c r="N196" s="9" t="str">
        <f>UPPER(TEXT(TablaCosechas[[#This Row],[COSECHA]],"MMMM"))</f>
        <v>SEPTIEMBRE</v>
      </c>
      <c r="O196" s="9" t="str">
        <f>IF(A196="DO 29","BAP",IF(A196="RO 14","BAP",(VLOOKUP(TablaCosechas[[#This Row],[COD]],Tabla7[[CODIGO]:[CERTIFICACION]],3,0))))</f>
        <v>ASC</v>
      </c>
      <c r="P196" s="180">
        <f>+L196-E196</f>
        <v>-717.07999999999993</v>
      </c>
      <c r="Q196" s="181">
        <f>+M196-F196</f>
        <v>-0.42000000000000171</v>
      </c>
      <c r="R196" s="9"/>
    </row>
    <row r="197" spans="1:18" x14ac:dyDescent="0.25">
      <c r="A197" s="9" t="s">
        <v>283</v>
      </c>
      <c r="B197" s="9">
        <f>ROW() - ROW(TablaCosechas[[#Headers],[ID]]) - 4</f>
        <v>192</v>
      </c>
      <c r="C197" s="9" t="str">
        <f>LEFT(A197,2)</f>
        <v>DE</v>
      </c>
      <c r="D197" s="182" t="s">
        <v>367</v>
      </c>
      <c r="E197" s="178">
        <v>8750</v>
      </c>
      <c r="F197" s="19">
        <v>20</v>
      </c>
      <c r="G197" s="195">
        <v>45929</v>
      </c>
      <c r="H197" s="9" t="str">
        <f>VLOOKUP(TablaCosechas[[#This Row],[COD]],DATOS!$E$3:$F$27,2,0)</f>
        <v>DELFIN</v>
      </c>
      <c r="I197" s="9" t="str">
        <f>RIGHT(TablaCosechas[[#This Row],[SECTOR/PISCINA]],2)</f>
        <v>10</v>
      </c>
      <c r="J197" s="9" t="str">
        <f>VLOOKUP(TablaCosechas[[#This Row],[COD]],Tabla7[#All],4,0)</f>
        <v>CARLOS FLORES</v>
      </c>
      <c r="K197" s="179">
        <f>(TablaCosechas[[#This Row],[libras planta]]*454)/M197</f>
        <v>188867.87644399799</v>
      </c>
      <c r="L197" s="174">
        <v>8282.73</v>
      </c>
      <c r="M197" s="19">
        <v>19.91</v>
      </c>
      <c r="N197" s="9" t="str">
        <f>UPPER(TEXT(TablaCosechas[[#This Row],[COSECHA]],"MMMM"))</f>
        <v>SEPTIEMBRE</v>
      </c>
      <c r="O197" s="9" t="str">
        <f>IF(A197="DO 29","BAP",IF(A197="RO 14","BAP",(VLOOKUP(TablaCosechas[[#This Row],[COD]],Tabla7[[CODIGO]:[CERTIFICACION]],3,0))))</f>
        <v>CONVENCIONAL</v>
      </c>
      <c r="P197" s="180">
        <f>+L197-E197</f>
        <v>-467.27000000000044</v>
      </c>
      <c r="Q197" s="181">
        <f>+M197-F197</f>
        <v>-8.9999999999999858E-2</v>
      </c>
      <c r="R197" s="9"/>
    </row>
    <row r="198" spans="1:18" x14ac:dyDescent="0.25">
      <c r="A198" s="9" t="s">
        <v>11</v>
      </c>
      <c r="B198" s="9">
        <f>ROW() - ROW(TablaCosechas[[#Headers],[ID]]) - 4</f>
        <v>193</v>
      </c>
      <c r="C198" s="9" t="str">
        <f>LEFT(A198,2)</f>
        <v>CH</v>
      </c>
      <c r="D198" s="182" t="s">
        <v>367</v>
      </c>
      <c r="E198" s="178">
        <v>9800</v>
      </c>
      <c r="F198" s="19">
        <v>23</v>
      </c>
      <c r="G198" s="195">
        <v>45929</v>
      </c>
      <c r="H198" s="9" t="str">
        <f>VLOOKUP(TablaCosechas[[#This Row],[COD]],DATOS!$E$3:$F$26,2,0)</f>
        <v>CHERNA</v>
      </c>
      <c r="I198" s="9" t="str">
        <f>RIGHT(TablaCosechas[[#This Row],[SECTOR/PISCINA]],2)</f>
        <v>05</v>
      </c>
      <c r="J198" s="9" t="str">
        <f>VLOOKUP(TablaCosechas[[#This Row],[COD]],Tabla7[#All],4,0)</f>
        <v>SANTIAGO OBRIEN</v>
      </c>
      <c r="K198" s="179">
        <f>(TablaCosechas[[#This Row],[libras planta]]*454)/M198</f>
        <v>229384.21900452487</v>
      </c>
      <c r="L198" s="174">
        <v>11166.06</v>
      </c>
      <c r="M198" s="19">
        <v>22.1</v>
      </c>
      <c r="N198" s="9" t="str">
        <f>UPPER(TEXT(TablaCosechas[[#This Row],[COSECHA]],"MMMM"))</f>
        <v>SEPTIEMBRE</v>
      </c>
      <c r="O198" s="9" t="str">
        <f>IF(A198="DO 29","BAP",IF(A198="RO 14","BAP",(VLOOKUP(TablaCosechas[[#This Row],[COD]],Tabla7[[CODIGO]:[CERTIFICACION]],3,0))))</f>
        <v>ASC</v>
      </c>
      <c r="P198" s="180">
        <f>+L198-E198</f>
        <v>1366.0599999999995</v>
      </c>
      <c r="Q198" s="181">
        <f>+M198-F198</f>
        <v>-0.89999999999999858</v>
      </c>
      <c r="R198" s="9"/>
    </row>
    <row r="199" spans="1:18" x14ac:dyDescent="0.25">
      <c r="A199" s="9" t="s">
        <v>158</v>
      </c>
      <c r="B199" s="9">
        <f>ROW() - ROW(TablaCosechas[[#Headers],[ID]]) - 4</f>
        <v>194</v>
      </c>
      <c r="C199" s="9" t="str">
        <f>LEFT(A199,2)</f>
        <v>WA</v>
      </c>
      <c r="D199" s="182" t="s">
        <v>366</v>
      </c>
      <c r="E199" s="178">
        <v>8300</v>
      </c>
      <c r="F199" s="19">
        <v>24</v>
      </c>
      <c r="G199" s="195">
        <v>45930</v>
      </c>
      <c r="H199" s="9" t="str">
        <f>VLOOKUP(TablaCosechas[[#This Row],[COD]],DATOS!$E$3:$F$27,2,0)</f>
        <v>WAHOO</v>
      </c>
      <c r="I199" s="9" t="str">
        <f>RIGHT(TablaCosechas[[#This Row],[SECTOR/PISCINA]],2)</f>
        <v>04</v>
      </c>
      <c r="J199" s="9" t="str">
        <f>VLOOKUP(TablaCosechas[[#This Row],[COD]],Tabla7[#All],4,0)</f>
        <v>JUNIOR ESQUIVEL</v>
      </c>
      <c r="K199" s="179">
        <f>(TablaCosechas[[#This Row],[libras planta]]*454)/M199</f>
        <v>168745.6090909091</v>
      </c>
      <c r="L199" s="174">
        <v>8994.81</v>
      </c>
      <c r="M199" s="19">
        <v>24.2</v>
      </c>
      <c r="N199" s="9" t="str">
        <f>UPPER(TEXT(TablaCosechas[[#This Row],[COSECHA]],"MMMM"))</f>
        <v>SEPTIEMBRE</v>
      </c>
      <c r="O199" s="9" t="str">
        <f>IF(A199="DO 29","BAP",IF(A199="RO 14","BAP",(VLOOKUP(TablaCosechas[[#This Row],[COD]],Tabla7[[CODIGO]:[CERTIFICACION]],3,0))))</f>
        <v>CONVENCIONAL</v>
      </c>
      <c r="P199" s="180">
        <f>+L199-E199</f>
        <v>694.80999999999949</v>
      </c>
      <c r="Q199" s="181">
        <f>+M199-F199</f>
        <v>0.19999999999999929</v>
      </c>
      <c r="R199" s="9"/>
    </row>
    <row r="200" spans="1:18" x14ac:dyDescent="0.25">
      <c r="A200" s="9" t="s">
        <v>157</v>
      </c>
      <c r="B200" s="9">
        <f>ROW() - ROW(TablaCosechas[[#Headers],[ID]]) - 4</f>
        <v>195</v>
      </c>
      <c r="C200" s="9" t="str">
        <f>LEFT(A200,2)</f>
        <v>WA</v>
      </c>
      <c r="D200" s="182" t="s">
        <v>366</v>
      </c>
      <c r="E200" s="178">
        <f>21800+1550</f>
        <v>23350</v>
      </c>
      <c r="F200" s="19">
        <v>26</v>
      </c>
      <c r="G200" s="195">
        <v>45930</v>
      </c>
      <c r="H200" s="9" t="str">
        <f>VLOOKUP(TablaCosechas[[#This Row],[COD]],DATOS!$E$3:$F$27,2,0)</f>
        <v>WAHOO</v>
      </c>
      <c r="I200" s="9" t="str">
        <f>RIGHT(TablaCosechas[[#This Row],[SECTOR/PISCINA]],2)</f>
        <v>04</v>
      </c>
      <c r="J200" s="9" t="str">
        <f>VLOOKUP(TablaCosechas[[#This Row],[COD]],Tabla7[#All],4,0)</f>
        <v>JUNIOR ESQUIVEL</v>
      </c>
      <c r="K200" s="179">
        <f>(TablaCosechas[[#This Row],[libras planta]]*454)/M200</f>
        <v>408164.25378089264</v>
      </c>
      <c r="L200" s="174">
        <f>22900.37+1472.61</f>
        <v>24372.98</v>
      </c>
      <c r="M200" s="19">
        <v>27.11</v>
      </c>
      <c r="N200" s="9" t="str">
        <f>UPPER(TEXT(TablaCosechas[[#This Row],[COSECHA]],"MMMM"))</f>
        <v>SEPTIEMBRE</v>
      </c>
      <c r="O200" s="9" t="str">
        <f>IF(A200="DO 29","BAP",IF(A200="RO 14","BAP",(VLOOKUP(TablaCosechas[[#This Row],[COD]],Tabla7[[CODIGO]:[CERTIFICACION]],3,0))))</f>
        <v>CONVENCIONAL</v>
      </c>
      <c r="P200" s="180">
        <f>+L200-E200</f>
        <v>1022.9799999999996</v>
      </c>
      <c r="Q200" s="181">
        <f>+M200-F200</f>
        <v>1.1099999999999994</v>
      </c>
      <c r="R200" s="9"/>
    </row>
    <row r="201" spans="1:18" x14ac:dyDescent="0.25">
      <c r="A201" s="9" t="s">
        <v>162</v>
      </c>
      <c r="B201" s="9">
        <f>ROW() - ROW(TablaCosechas[[#Headers],[ID]]) - 4</f>
        <v>196</v>
      </c>
      <c r="C201" s="9" t="str">
        <f>LEFT(A201,2)</f>
        <v>TA</v>
      </c>
      <c r="D201" s="182" t="s">
        <v>367</v>
      </c>
      <c r="E201" s="178">
        <v>8000</v>
      </c>
      <c r="F201" s="19">
        <v>20.100000000000001</v>
      </c>
      <c r="G201" s="195">
        <v>45930</v>
      </c>
      <c r="H201" s="9" t="str">
        <f>VLOOKUP(TablaCosechas[[#This Row],[COD]],DATOS!$E$3:$F$26,2,0)</f>
        <v>TAMBULERO</v>
      </c>
      <c r="I201" s="9" t="str">
        <f>RIGHT(TablaCosechas[[#This Row],[SECTOR/PISCINA]],2)</f>
        <v>06</v>
      </c>
      <c r="J201" s="9" t="str">
        <f>VLOOKUP(TablaCosechas[[#This Row],[COD]],Tabla7[#All],4,0)</f>
        <v>ALFONSO GRUNAUER</v>
      </c>
      <c r="K201" s="179">
        <f>(TablaCosechas[[#This Row],[libras planta]]*454)/M201</f>
        <v>180547.48671726754</v>
      </c>
      <c r="L201" s="174">
        <v>8383.1299999999992</v>
      </c>
      <c r="M201" s="19">
        <v>21.08</v>
      </c>
      <c r="N201" s="9" t="str">
        <f>UPPER(TEXT(TablaCosechas[[#This Row],[COSECHA]],"MMMM"))</f>
        <v>SEPTIEMBRE</v>
      </c>
      <c r="O201" s="9" t="str">
        <f>IF(A201="DO 29","BAP",IF(A201="RO 14","BAP",(VLOOKUP(TablaCosechas[[#This Row],[COD]],Tabla7[[CODIGO]:[CERTIFICACION]],3,0))))</f>
        <v>CONVENCIONAL</v>
      </c>
      <c r="P201" s="180">
        <f>+L201-E201</f>
        <v>383.1299999999992</v>
      </c>
      <c r="Q201" s="181">
        <f>+M201-F201</f>
        <v>0.97999999999999687</v>
      </c>
      <c r="R201" s="9"/>
    </row>
    <row r="202" spans="1:18" x14ac:dyDescent="0.25">
      <c r="A202" s="9" t="s">
        <v>129</v>
      </c>
      <c r="B202" s="9">
        <f>ROW() - ROW(TablaCosechas[[#Headers],[ID]]) - 4</f>
        <v>197</v>
      </c>
      <c r="C202" s="9" t="str">
        <f>LEFT(A202,2)</f>
        <v>RO</v>
      </c>
      <c r="D202" s="182" t="s">
        <v>366</v>
      </c>
      <c r="E202" s="178">
        <v>12000</v>
      </c>
      <c r="F202" s="19">
        <v>24</v>
      </c>
      <c r="G202" s="195">
        <v>45930</v>
      </c>
      <c r="H202" s="9" t="str">
        <f>VLOOKUP(TablaCosechas[[#This Row],[COD]],DATOS!$E$3:$F$27,2,0)</f>
        <v>ROBALO</v>
      </c>
      <c r="I202" s="9" t="str">
        <f>RIGHT(TablaCosechas[[#This Row],[SECTOR/PISCINA]],2)</f>
        <v>11</v>
      </c>
      <c r="J202" s="9" t="str">
        <f>VLOOKUP(TablaCosechas[[#This Row],[COD]],Tabla7[#All],4,0)</f>
        <v>VICTOR QUINTANA</v>
      </c>
      <c r="K202" s="179">
        <f>(TablaCosechas[[#This Row],[libras planta]]*454)/M202</f>
        <v>250294.76225490196</v>
      </c>
      <c r="L202" s="174">
        <v>13496.07</v>
      </c>
      <c r="M202" s="19">
        <v>24.48</v>
      </c>
      <c r="N202" s="9" t="str">
        <f>UPPER(TEXT(TablaCosechas[[#This Row],[COSECHA]],"MMMM"))</f>
        <v>SEPTIEMBRE</v>
      </c>
      <c r="O202" s="9" t="str">
        <f>IF(A202="DO 29","BAP",IF(A202="RO 14","BAP",(VLOOKUP(TablaCosechas[[#This Row],[COD]],Tabla7[[CODIGO]:[CERTIFICACION]],3,0))))</f>
        <v>ASC</v>
      </c>
      <c r="P202" s="180">
        <f>+L202-E202</f>
        <v>1496.0699999999997</v>
      </c>
      <c r="Q202" s="181">
        <f>+M202-F202</f>
        <v>0.48000000000000043</v>
      </c>
      <c r="R202" s="9"/>
    </row>
    <row r="203" spans="1:18" x14ac:dyDescent="0.25">
      <c r="A203" s="9" t="s">
        <v>247</v>
      </c>
      <c r="B203" s="9">
        <f>ROW() - ROW(TablaCosechas[[#Headers],[ID]]) - 4</f>
        <v>198</v>
      </c>
      <c r="C203" s="9" t="str">
        <f>LEFT(A203,2)</f>
        <v>PA</v>
      </c>
      <c r="D203" s="182" t="s">
        <v>367</v>
      </c>
      <c r="E203" s="178">
        <v>19250</v>
      </c>
      <c r="F203" s="19">
        <v>15</v>
      </c>
      <c r="G203" s="195">
        <v>45930</v>
      </c>
      <c r="H203" s="9" t="str">
        <f>VLOOKUP(TablaCosechas[[#This Row],[COD]],DATOS!$E$3:$F$26,2,0)</f>
        <v>PAMPANO</v>
      </c>
      <c r="I203" s="9" t="str">
        <f>RIGHT(TablaCosechas[[#This Row],[SECTOR/PISCINA]],2)</f>
        <v>18</v>
      </c>
      <c r="J203" s="9" t="str">
        <f>VLOOKUP(TablaCosechas[[#This Row],[COD]],Tabla7[#All],4,0)</f>
        <v>GUSTAVO CARRASCO</v>
      </c>
      <c r="K203" s="179">
        <f>(TablaCosechas[[#This Row],[libras planta]]*454)/M203</f>
        <v>463770.29404466494</v>
      </c>
      <c r="L203" s="174">
        <v>16466.91</v>
      </c>
      <c r="M203" s="19">
        <v>16.12</v>
      </c>
      <c r="N203" s="9" t="str">
        <f>UPPER(TEXT(TablaCosechas[[#This Row],[COSECHA]],"MMMM"))</f>
        <v>SEPTIEMBRE</v>
      </c>
      <c r="O203" s="9" t="str">
        <f>IF(A203="DO 29","BAP",IF(A203="RO 14","BAP",(VLOOKUP(TablaCosechas[[#This Row],[COD]],Tabla7[[CODIGO]:[CERTIFICACION]],3,0))))</f>
        <v>ASC</v>
      </c>
      <c r="P203" s="180">
        <f>+L203-E203</f>
        <v>-2783.09</v>
      </c>
      <c r="Q203" s="181">
        <f>+M203-F203</f>
        <v>1.120000000000001</v>
      </c>
      <c r="R203" s="9"/>
    </row>
    <row r="204" spans="1:18" x14ac:dyDescent="0.25">
      <c r="A204" s="9" t="s">
        <v>145</v>
      </c>
      <c r="B204" s="9">
        <f>ROW() - ROW(TablaCosechas[[#Headers],[ID]]) - 4</f>
        <v>199</v>
      </c>
      <c r="C204" s="9" t="str">
        <f>LEFT(A204,2)</f>
        <v>GT</v>
      </c>
      <c r="D204" s="182" t="s">
        <v>367</v>
      </c>
      <c r="E204" s="178">
        <v>2700</v>
      </c>
      <c r="F204" s="19">
        <v>25</v>
      </c>
      <c r="G204" s="195">
        <v>45930</v>
      </c>
      <c r="H204" s="9" t="str">
        <f>VLOOKUP(TablaCosechas[[#This Row],[COD]],DATOS!$E$3:$F$26,2,0)</f>
        <v>GUATO</v>
      </c>
      <c r="I204" s="9" t="str">
        <f>RIGHT(TablaCosechas[[#This Row],[SECTOR/PISCINA]],2)</f>
        <v>15</v>
      </c>
      <c r="J204" s="9" t="str">
        <f>VLOOKUP(TablaCosechas[[#This Row],[COD]],Tabla7[#All],4,0)</f>
        <v>JULIO SANTOS</v>
      </c>
      <c r="K204" s="179">
        <f>(TablaCosechas[[#This Row],[libras planta]]*454)/M204</f>
        <v>51354.903686087986</v>
      </c>
      <c r="L204" s="174">
        <v>2853.93</v>
      </c>
      <c r="M204" s="19">
        <v>25.23</v>
      </c>
      <c r="N204" s="9" t="str">
        <f>UPPER(TEXT(TablaCosechas[[#This Row],[COSECHA]],"MMMM"))</f>
        <v>SEPTIEMBRE</v>
      </c>
      <c r="O204" s="9" t="str">
        <f>IF(A204="DO 29","BAP",IF(A204="RO 14","BAP",(VLOOKUP(TablaCosechas[[#This Row],[COD]],Tabla7[[CODIGO]:[CERTIFICACION]],3,0))))</f>
        <v>CONVENCIONAL</v>
      </c>
      <c r="P204" s="180">
        <f>+L204-E204</f>
        <v>153.92999999999984</v>
      </c>
      <c r="Q204" s="181">
        <f>+M204-F204</f>
        <v>0.23000000000000043</v>
      </c>
      <c r="R204" s="9"/>
    </row>
    <row r="205" spans="1:18" x14ac:dyDescent="0.25">
      <c r="A205" s="9" t="s">
        <v>127</v>
      </c>
      <c r="B205" s="9">
        <f>ROW() - ROW(TablaCosechas[[#Headers],[ID]]) - 4</f>
        <v>200</v>
      </c>
      <c r="C205" s="9" t="str">
        <f>LEFT(A205,2)</f>
        <v>DO</v>
      </c>
      <c r="D205" s="182" t="s">
        <v>366</v>
      </c>
      <c r="E205" s="178">
        <v>39000</v>
      </c>
      <c r="F205" s="19">
        <v>32.799999999999997</v>
      </c>
      <c r="G205" s="195">
        <v>45930</v>
      </c>
      <c r="H205" s="9" t="str">
        <f>VLOOKUP(TablaCosechas[[#This Row],[COD]],DATOS!$E$3:$F$27,2,0)</f>
        <v>DORADO</v>
      </c>
      <c r="I205" s="9" t="str">
        <f>RIGHT(TablaCosechas[[#This Row],[SECTOR/PISCINA]],2)</f>
        <v>07</v>
      </c>
      <c r="J205" s="9" t="str">
        <f>VLOOKUP(TablaCosechas[[#This Row],[COD]],Tabla7[#All],4,0)</f>
        <v>JOSE CEDEÑO</v>
      </c>
      <c r="K205" s="179">
        <f>(TablaCosechas[[#This Row],[libras planta]]*454)/M205</f>
        <v>508293.41906474822</v>
      </c>
      <c r="L205" s="174">
        <v>37349.49</v>
      </c>
      <c r="M205" s="19">
        <v>33.36</v>
      </c>
      <c r="N205" s="9" t="str">
        <f>UPPER(TEXT(TablaCosechas[[#This Row],[COSECHA]],"MMMM"))</f>
        <v>SEPTIEMBRE</v>
      </c>
      <c r="O205" s="9" t="str">
        <f>IF(A205="DO 29","BAP",IF(A205="RO 14","BAP",(VLOOKUP(TablaCosechas[[#This Row],[COD]],Tabla7[[CODIGO]:[CERTIFICACION]],3,0))))</f>
        <v>ASC</v>
      </c>
      <c r="P205" s="180">
        <f>+L205-E205</f>
        <v>-1650.510000000002</v>
      </c>
      <c r="Q205" s="181">
        <f>+M205-F205</f>
        <v>0.56000000000000227</v>
      </c>
      <c r="R205" s="9"/>
    </row>
    <row r="206" spans="1:18" x14ac:dyDescent="0.25">
      <c r="A206" s="9" t="s">
        <v>270</v>
      </c>
      <c r="B206" s="9">
        <f>ROW() - ROW(TablaCosechas[[#Headers],[ID]]) - 4</f>
        <v>201</v>
      </c>
      <c r="C206" s="9" t="str">
        <f>LEFT(A206,2)</f>
        <v>DO</v>
      </c>
      <c r="D206" s="182" t="s">
        <v>366</v>
      </c>
      <c r="E206" s="178">
        <v>24400</v>
      </c>
      <c r="F206" s="19">
        <v>38</v>
      </c>
      <c r="G206" s="195">
        <v>45930</v>
      </c>
      <c r="H206" s="9" t="str">
        <f>VLOOKUP(TablaCosechas[[#This Row],[COD]],DATOS!$E$3:$F$27,2,0)</f>
        <v>DORADO</v>
      </c>
      <c r="I206" s="9" t="str">
        <f>RIGHT(TablaCosechas[[#This Row],[SECTOR/PISCINA]],2)</f>
        <v>01</v>
      </c>
      <c r="J206" s="9" t="str">
        <f>VLOOKUP(TablaCosechas[[#This Row],[COD]],Tabla7[#All],4,0)</f>
        <v>JOSE CEDEÑO</v>
      </c>
      <c r="K206" s="179">
        <f>(TablaCosechas[[#This Row],[libras planta]]*454)/M206</f>
        <v>306710.90259740263</v>
      </c>
      <c r="L206" s="174">
        <v>24969.24</v>
      </c>
      <c r="M206" s="19">
        <v>36.96</v>
      </c>
      <c r="N206" s="9" t="str">
        <f>UPPER(TEXT(TablaCosechas[[#This Row],[COSECHA]],"MMMM"))</f>
        <v>SEPTIEMBRE</v>
      </c>
      <c r="O206" s="9" t="str">
        <f>IF(A206="DO 29","BAP",IF(A206="RO 14","BAP",(VLOOKUP(TablaCosechas[[#This Row],[COD]],Tabla7[[CODIGO]:[CERTIFICACION]],3,0))))</f>
        <v>ASC</v>
      </c>
      <c r="P206" s="180">
        <f>+L206-E206</f>
        <v>569.2400000000016</v>
      </c>
      <c r="Q206" s="181">
        <f>+M206-F206</f>
        <v>-1.0399999999999991</v>
      </c>
      <c r="R206" s="9"/>
    </row>
    <row r="207" spans="1:18" x14ac:dyDescent="0.25">
      <c r="A207" s="9" t="s">
        <v>194</v>
      </c>
      <c r="B207" s="9">
        <f>ROW() - ROW(TablaCosechas[[#Headers],[ID]]) - 4</f>
        <v>202</v>
      </c>
      <c r="C207" s="9" t="str">
        <f>LEFT(A207,2)</f>
        <v>DE</v>
      </c>
      <c r="D207" s="182" t="s">
        <v>367</v>
      </c>
      <c r="E207" s="178">
        <v>2000</v>
      </c>
      <c r="F207" s="19">
        <v>24</v>
      </c>
      <c r="G207" s="195">
        <v>45930</v>
      </c>
      <c r="H207" s="9" t="str">
        <f>VLOOKUP(TablaCosechas[[#This Row],[COD]],DATOS!$E$3:$F$26,2,0)</f>
        <v>DELFIN</v>
      </c>
      <c r="I207" s="9" t="str">
        <f>RIGHT(TablaCosechas[[#This Row],[SECTOR/PISCINA]],2)</f>
        <v>20</v>
      </c>
      <c r="J207" s="9" t="str">
        <f>VLOOKUP(TablaCosechas[[#This Row],[COD]],Tabla7[#All],4,0)</f>
        <v>CARLOS FLORES</v>
      </c>
      <c r="K207" s="179">
        <f>(TablaCosechas[[#This Row],[libras planta]]*454)/M207</f>
        <v>30202.678985507242</v>
      </c>
      <c r="L207" s="174">
        <v>1836.11</v>
      </c>
      <c r="M207" s="19">
        <v>27.6</v>
      </c>
      <c r="N207" s="9" t="str">
        <f>UPPER(TEXT(TablaCosechas[[#This Row],[COSECHA]],"MMMM"))</f>
        <v>SEPTIEMBRE</v>
      </c>
      <c r="O207" s="9" t="str">
        <f>IF(A207="DO 29","BAP",IF(A207="RO 14","BAP",(VLOOKUP(TablaCosechas[[#This Row],[COD]],Tabla7[[CODIGO]:[CERTIFICACION]],3,0))))</f>
        <v>CONVENCIONAL</v>
      </c>
      <c r="P207" s="180">
        <f>+L207-E207</f>
        <v>-163.8900000000001</v>
      </c>
      <c r="Q207" s="181">
        <f>+M207-F207</f>
        <v>3.6000000000000014</v>
      </c>
      <c r="R207" s="9"/>
    </row>
    <row r="208" spans="1:18" x14ac:dyDescent="0.25">
      <c r="A208" s="9" t="s">
        <v>196</v>
      </c>
      <c r="B208" s="9">
        <f>ROW() - ROW(TablaCosechas[[#Headers],[ID]]) - 4</f>
        <v>203</v>
      </c>
      <c r="C208" s="9" t="str">
        <f>LEFT(A208,2)</f>
        <v>DE</v>
      </c>
      <c r="D208" s="182" t="s">
        <v>367</v>
      </c>
      <c r="E208" s="178">
        <v>8000</v>
      </c>
      <c r="F208" s="19">
        <v>23</v>
      </c>
      <c r="G208" s="195">
        <v>45930</v>
      </c>
      <c r="H208" s="9" t="str">
        <f>VLOOKUP(TablaCosechas[[#This Row],[COD]],DATOS!$E$3:$F$27,2,0)</f>
        <v>DELFIN</v>
      </c>
      <c r="I208" s="9" t="str">
        <f>RIGHT(TablaCosechas[[#This Row],[SECTOR/PISCINA]],2)</f>
        <v>03</v>
      </c>
      <c r="J208" s="9" t="str">
        <f>VLOOKUP(TablaCosechas[[#This Row],[COD]],Tabla7[#All],4,0)</f>
        <v>CARLOS FLORES</v>
      </c>
      <c r="K208" s="179">
        <f>(TablaCosechas[[#This Row],[libras planta]]*454)/M208</f>
        <v>131297.05858421483</v>
      </c>
      <c r="L208" s="174">
        <v>7108.55</v>
      </c>
      <c r="M208" s="19">
        <v>24.58</v>
      </c>
      <c r="N208" s="9" t="str">
        <f>UPPER(TEXT(TablaCosechas[[#This Row],[COSECHA]],"MMMM"))</f>
        <v>SEPTIEMBRE</v>
      </c>
      <c r="O208" s="9" t="str">
        <f>IF(A208="DO 29","BAP",IF(A208="RO 14","BAP",(VLOOKUP(TablaCosechas[[#This Row],[COD]],Tabla7[[CODIGO]:[CERTIFICACION]],3,0))))</f>
        <v>CONVENCIONAL</v>
      </c>
      <c r="P208" s="180">
        <f>+L208-E208</f>
        <v>-891.44999999999982</v>
      </c>
      <c r="Q208" s="181">
        <f>+M208-F208</f>
        <v>1.5799999999999983</v>
      </c>
      <c r="R208" s="9"/>
    </row>
    <row r="209" spans="1:18" x14ac:dyDescent="0.25">
      <c r="A209" s="9" t="s">
        <v>168</v>
      </c>
      <c r="B209" s="9">
        <f>ROW() - ROW(TablaCosechas[[#Headers],[ID]]) - 4</f>
        <v>204</v>
      </c>
      <c r="C209" s="9" t="str">
        <f>LEFT(A209,2)</f>
        <v>TA</v>
      </c>
      <c r="D209" s="182" t="s">
        <v>367</v>
      </c>
      <c r="E209" s="178">
        <v>9350</v>
      </c>
      <c r="F209" s="19">
        <v>19</v>
      </c>
      <c r="G209" s="195">
        <v>45931</v>
      </c>
      <c r="H209" s="9" t="str">
        <f>VLOOKUP(TablaCosechas[[#This Row],[COD]],DATOS!$E$3:$F$26,2,0)</f>
        <v>TAMBULERO</v>
      </c>
      <c r="I209" s="9" t="str">
        <f>RIGHT(TablaCosechas[[#This Row],[SECTOR/PISCINA]],2)</f>
        <v>27</v>
      </c>
      <c r="J209" s="9" t="str">
        <f>VLOOKUP(TablaCosechas[[#This Row],[COD]],Tabla7[#All],4,0)</f>
        <v>ALFONSO GRUNAUER</v>
      </c>
      <c r="K209" s="179">
        <f>(TablaCosechas[[#This Row],[libras planta]]*454)/M209</f>
        <v>220562.80604534</v>
      </c>
      <c r="L209" s="174">
        <v>9643.5499999999993</v>
      </c>
      <c r="M209" s="19">
        <v>19.850000000000001</v>
      </c>
      <c r="N209" s="9" t="str">
        <f>UPPER(TEXT(TablaCosechas[[#This Row],[COSECHA]],"MMMM"))</f>
        <v>OCTUBRE</v>
      </c>
      <c r="O209" s="9" t="str">
        <f>IF(A209="DO 29","BAP",IF(A209="RO 14","BAP",(VLOOKUP(TablaCosechas[[#This Row],[COD]],Tabla7[[CODIGO]:[CERTIFICACION]],3,0))))</f>
        <v>CONVENCIONAL</v>
      </c>
      <c r="P209" s="180">
        <f>+L209-E209</f>
        <v>293.54999999999927</v>
      </c>
      <c r="Q209" s="181">
        <f>+M209-F209</f>
        <v>0.85000000000000142</v>
      </c>
      <c r="R209" s="9"/>
    </row>
    <row r="210" spans="1:18" x14ac:dyDescent="0.25">
      <c r="A210" s="9" t="s">
        <v>131</v>
      </c>
      <c r="B210" s="9">
        <f>ROW() - ROW(TablaCosechas[[#Headers],[ID]]) - 4</f>
        <v>205</v>
      </c>
      <c r="C210" s="9" t="str">
        <f>LEFT(A210,2)</f>
        <v>RO</v>
      </c>
      <c r="D210" s="182" t="s">
        <v>366</v>
      </c>
      <c r="E210" s="178">
        <v>23850</v>
      </c>
      <c r="F210" s="19">
        <v>30</v>
      </c>
      <c r="G210" s="195">
        <v>45931</v>
      </c>
      <c r="H210" s="9" t="str">
        <f>VLOOKUP(TablaCosechas[[#This Row],[COD]],DATOS!$E$3:$F$27,2,0)</f>
        <v>ROBALO</v>
      </c>
      <c r="I210" s="9" t="str">
        <f>RIGHT(TablaCosechas[[#This Row],[SECTOR/PISCINA]],2)</f>
        <v>13</v>
      </c>
      <c r="J210" s="9" t="str">
        <f>VLOOKUP(TablaCosechas[[#This Row],[COD]],Tabla7[#All],4,0)</f>
        <v>VICTOR QUINTANA</v>
      </c>
      <c r="K210" s="179">
        <f>(TablaCosechas[[#This Row],[libras planta]]*454)/M210</f>
        <v>414100.46770904143</v>
      </c>
      <c r="L210" s="174">
        <v>26834.44</v>
      </c>
      <c r="M210" s="19">
        <v>29.42</v>
      </c>
      <c r="N210" s="9" t="str">
        <f>UPPER(TEXT(TablaCosechas[[#This Row],[COSECHA]],"MMMM"))</f>
        <v>OCTUBRE</v>
      </c>
      <c r="O210" s="9" t="str">
        <f>IF(A210="DO 29","BAP",IF(A210="RO 14","BAP",(VLOOKUP(TablaCosechas[[#This Row],[COD]],Tabla7[[CODIGO]:[CERTIFICACION]],3,0))))</f>
        <v>ASC</v>
      </c>
      <c r="P210" s="180">
        <f>+L210-E210</f>
        <v>2984.4399999999987</v>
      </c>
      <c r="Q210" s="181">
        <f>+M210-F210</f>
        <v>-0.57999999999999829</v>
      </c>
      <c r="R210" s="9"/>
    </row>
    <row r="211" spans="1:18" x14ac:dyDescent="0.25">
      <c r="A211" s="9" t="s">
        <v>128</v>
      </c>
      <c r="B211" s="9">
        <f>ROW() - ROW(TablaCosechas[[#Headers],[ID]]) - 4</f>
        <v>206</v>
      </c>
      <c r="C211" s="9" t="str">
        <f>LEFT(A211,2)</f>
        <v>PA</v>
      </c>
      <c r="D211" s="182" t="s">
        <v>367</v>
      </c>
      <c r="E211" s="178">
        <v>12000</v>
      </c>
      <c r="F211" s="19">
        <v>25</v>
      </c>
      <c r="G211" s="195">
        <v>45931</v>
      </c>
      <c r="H211" s="9" t="str">
        <f>VLOOKUP(TablaCosechas[[#This Row],[COD]],DATOS!$E$3:$F$26,2,0)</f>
        <v>PAMPANO</v>
      </c>
      <c r="I211" s="9" t="str">
        <f>RIGHT(TablaCosechas[[#This Row],[SECTOR/PISCINA]],2)</f>
        <v>14</v>
      </c>
      <c r="J211" s="9" t="str">
        <f>VLOOKUP(TablaCosechas[[#This Row],[COD]],Tabla7[#All],4,0)</f>
        <v>GUSTAVO CARRASCO</v>
      </c>
      <c r="K211" s="179">
        <f>(TablaCosechas[[#This Row],[libras planta]]*454)/M211</f>
        <v>186537.31461100568</v>
      </c>
      <c r="L211" s="174">
        <v>10826.56</v>
      </c>
      <c r="M211" s="19">
        <v>26.35</v>
      </c>
      <c r="N211" s="9" t="str">
        <f>UPPER(TEXT(TablaCosechas[[#This Row],[COSECHA]],"MMMM"))</f>
        <v>OCTUBRE</v>
      </c>
      <c r="O211" s="9" t="str">
        <f>IF(A211="DO 29","BAP",IF(A211="RO 14","BAP",(VLOOKUP(TablaCosechas[[#This Row],[COD]],Tabla7[[CODIGO]:[CERTIFICACION]],3,0))))</f>
        <v>ASC</v>
      </c>
      <c r="P211" s="180">
        <f>+L211-E211</f>
        <v>-1173.4400000000005</v>
      </c>
      <c r="Q211" s="181">
        <f>+M211-F211</f>
        <v>1.3500000000000014</v>
      </c>
      <c r="R211" s="9"/>
    </row>
    <row r="212" spans="1:18" x14ac:dyDescent="0.25">
      <c r="A212" s="9" t="s">
        <v>169</v>
      </c>
      <c r="B212" s="9">
        <f>ROW() - ROW(TablaCosechas[[#Headers],[ID]]) - 4</f>
        <v>207</v>
      </c>
      <c r="C212" s="9" t="str">
        <f>LEFT(A212,2)</f>
        <v>DO</v>
      </c>
      <c r="D212" s="182" t="s">
        <v>367</v>
      </c>
      <c r="E212" s="178">
        <v>20200</v>
      </c>
      <c r="F212" s="19">
        <v>24</v>
      </c>
      <c r="G212" s="195">
        <v>45931</v>
      </c>
      <c r="H212" s="9" t="str">
        <f>VLOOKUP(TablaCosechas[[#This Row],[COD]],DATOS!$E$3:$F$27,2,0)</f>
        <v>DORADO</v>
      </c>
      <c r="I212" s="9" t="str">
        <f>RIGHT(TablaCosechas[[#This Row],[SECTOR/PISCINA]],2)</f>
        <v>12</v>
      </c>
      <c r="J212" s="9" t="str">
        <f>VLOOKUP(TablaCosechas[[#This Row],[COD]],Tabla7[#All],4,0)</f>
        <v>JOSE CEDEÑO</v>
      </c>
      <c r="K212" s="179">
        <f>(TablaCosechas[[#This Row],[libras planta]]*454)/M212</f>
        <v>325393.12434061791</v>
      </c>
      <c r="L212" s="174">
        <v>19021.88</v>
      </c>
      <c r="M212" s="19">
        <v>26.54</v>
      </c>
      <c r="N212" s="9" t="str">
        <f>UPPER(TEXT(TablaCosechas[[#This Row],[COSECHA]],"MMMM"))</f>
        <v>OCTUBRE</v>
      </c>
      <c r="O212" s="9" t="str">
        <f>IF(A212="DO 29","BAP",IF(A212="RO 14","BAP",(VLOOKUP(TablaCosechas[[#This Row],[COD]],Tabla7[[CODIGO]:[CERTIFICACION]],3,0))))</f>
        <v>ASC</v>
      </c>
      <c r="P212" s="180">
        <f>+L212-E212</f>
        <v>-1178.119999999999</v>
      </c>
      <c r="Q212" s="181">
        <f>+M212-F212</f>
        <v>2.5399999999999991</v>
      </c>
      <c r="R212" s="9"/>
    </row>
    <row r="213" spans="1:18" x14ac:dyDescent="0.25">
      <c r="A213" s="9" t="s">
        <v>260</v>
      </c>
      <c r="B213" s="9">
        <f>ROW() - ROW(TablaCosechas[[#Headers],[ID]]) - 4</f>
        <v>208</v>
      </c>
      <c r="C213" s="9" t="str">
        <f>LEFT(A213,2)</f>
        <v>DO</v>
      </c>
      <c r="D213" s="182" t="s">
        <v>366</v>
      </c>
      <c r="E213" s="178">
        <v>21600</v>
      </c>
      <c r="F213" s="19">
        <v>33</v>
      </c>
      <c r="G213" s="195">
        <v>45931</v>
      </c>
      <c r="H213" s="9" t="str">
        <f>VLOOKUP(TablaCosechas[[#This Row],[COD]],DATOS!$E$3:$F$27,2,0)</f>
        <v>DORADO</v>
      </c>
      <c r="I213" s="9" t="str">
        <f>RIGHT(TablaCosechas[[#This Row],[SECTOR/PISCINA]],2)</f>
        <v>03</v>
      </c>
      <c r="J213" s="9" t="str">
        <f>VLOOKUP(TablaCosechas[[#This Row],[COD]],Tabla7[#All],4,0)</f>
        <v>JOSE CEDEÑO</v>
      </c>
      <c r="K213" s="179">
        <f>(TablaCosechas[[#This Row],[libras planta]]*454)/M213</f>
        <v>291521.29211469536</v>
      </c>
      <c r="L213" s="174">
        <v>21498.09</v>
      </c>
      <c r="M213" s="19">
        <v>33.479999999999997</v>
      </c>
      <c r="N213" s="9" t="str">
        <f>UPPER(TEXT(TablaCosechas[[#This Row],[COSECHA]],"MMMM"))</f>
        <v>OCTUBRE</v>
      </c>
      <c r="O213" s="9" t="str">
        <f>IF(A213="DO 29","BAP",IF(A213="RO 14","BAP",(VLOOKUP(TablaCosechas[[#This Row],[COD]],Tabla7[[CODIGO]:[CERTIFICACION]],3,0))))</f>
        <v>ASC</v>
      </c>
      <c r="P213" s="180">
        <f>+L213-E213</f>
        <v>-101.90999999999985</v>
      </c>
      <c r="Q213" s="181">
        <f>+M213-F213</f>
        <v>0.47999999999999687</v>
      </c>
      <c r="R213" s="9"/>
    </row>
    <row r="214" spans="1:18" x14ac:dyDescent="0.25">
      <c r="A214" s="9" t="s">
        <v>125</v>
      </c>
      <c r="B214" s="9">
        <f>ROW() - ROW(TablaCosechas[[#Headers],[ID]]) - 4</f>
        <v>209</v>
      </c>
      <c r="C214" s="9" t="str">
        <f>LEFT(A214,2)</f>
        <v>DE</v>
      </c>
      <c r="D214" s="182" t="s">
        <v>367</v>
      </c>
      <c r="E214" s="178">
        <v>8800</v>
      </c>
      <c r="F214" s="19">
        <v>20</v>
      </c>
      <c r="G214" s="195">
        <v>45931</v>
      </c>
      <c r="H214" s="9" t="str">
        <f>VLOOKUP(TablaCosechas[[#This Row],[COD]],DATOS!$E$3:$F$27,2,0)</f>
        <v>DELFIN</v>
      </c>
      <c r="I214" s="9" t="str">
        <f>RIGHT(TablaCosechas[[#This Row],[SECTOR/PISCINA]],2)</f>
        <v>15</v>
      </c>
      <c r="J214" s="9" t="str">
        <f>VLOOKUP(TablaCosechas[[#This Row],[COD]],Tabla7[#All],4,0)</f>
        <v>CARLOS FLORES</v>
      </c>
      <c r="K214" s="179">
        <f>(TablaCosechas[[#This Row],[libras planta]]*454)/M214</f>
        <v>183579.69011313329</v>
      </c>
      <c r="L214" s="174">
        <v>8220.65</v>
      </c>
      <c r="M214" s="19">
        <v>20.329999999999998</v>
      </c>
      <c r="N214" s="9" t="str">
        <f>UPPER(TEXT(TablaCosechas[[#This Row],[COSECHA]],"MMMM"))</f>
        <v>OCTUBRE</v>
      </c>
      <c r="O214" s="9" t="str">
        <f>IF(A214="DO 29","BAP",IF(A214="RO 14","BAP",(VLOOKUP(TablaCosechas[[#This Row],[COD]],Tabla7[[CODIGO]:[CERTIFICACION]],3,0))))</f>
        <v>CONVENCIONAL</v>
      </c>
      <c r="P214" s="180">
        <f>+L214-E214</f>
        <v>-579.35000000000036</v>
      </c>
      <c r="Q214" s="181">
        <f>+M214-F214</f>
        <v>0.32999999999999829</v>
      </c>
      <c r="R214" s="9"/>
    </row>
    <row r="215" spans="1:18" x14ac:dyDescent="0.25">
      <c r="A215" s="9" t="s">
        <v>177</v>
      </c>
      <c r="B215" s="9">
        <f>ROW() - ROW(TablaCosechas[[#Headers],[ID]]) - 4</f>
        <v>210</v>
      </c>
      <c r="C215" s="9" t="str">
        <f>LEFT(A215,2)</f>
        <v>DE</v>
      </c>
      <c r="D215" s="182" t="s">
        <v>367</v>
      </c>
      <c r="E215" s="178">
        <v>8000</v>
      </c>
      <c r="F215" s="19">
        <v>26</v>
      </c>
      <c r="G215" s="195">
        <v>45931</v>
      </c>
      <c r="H215" s="9" t="str">
        <f>VLOOKUP(TablaCosechas[[#This Row],[COD]],DATOS!$E$3:$F$27,2,0)</f>
        <v>DELFIN</v>
      </c>
      <c r="I215" s="9" t="str">
        <f>RIGHT(TablaCosechas[[#This Row],[SECTOR/PISCINA]],2)</f>
        <v>09</v>
      </c>
      <c r="J215" s="9" t="str">
        <f>VLOOKUP(TablaCosechas[[#This Row],[COD]],Tabla7[#All],4,0)</f>
        <v>CARLOS FLORES</v>
      </c>
      <c r="K215" s="179">
        <f>(TablaCosechas[[#This Row],[libras planta]]*454)/M215</f>
        <v>136209.61937192586</v>
      </c>
      <c r="L215" s="174">
        <v>7929.56</v>
      </c>
      <c r="M215" s="19">
        <v>26.43</v>
      </c>
      <c r="N215" s="9" t="str">
        <f>UPPER(TEXT(TablaCosechas[[#This Row],[COSECHA]],"MMMM"))</f>
        <v>OCTUBRE</v>
      </c>
      <c r="O215" s="9" t="str">
        <f>IF(A215="DO 29","BAP",IF(A215="RO 14","BAP",(VLOOKUP(TablaCosechas[[#This Row],[COD]],Tabla7[[CODIGO]:[CERTIFICACION]],3,0))))</f>
        <v>CONVENCIONAL</v>
      </c>
      <c r="P215" s="180">
        <f>+L215-E215</f>
        <v>-70.4399999999996</v>
      </c>
      <c r="Q215" s="181">
        <f>+M215-F215</f>
        <v>0.42999999999999972</v>
      </c>
      <c r="R215" s="9"/>
    </row>
    <row r="216" spans="1:18" x14ac:dyDescent="0.25">
      <c r="A216" s="9" t="s">
        <v>324</v>
      </c>
      <c r="B216" s="9">
        <f>ROW() - ROW(TablaCosechas[[#Headers],[ID]]) - 4</f>
        <v>211</v>
      </c>
      <c r="C216" s="9" t="str">
        <f>LEFT(A216,2)</f>
        <v>WA</v>
      </c>
      <c r="D216" s="182" t="s">
        <v>367</v>
      </c>
      <c r="E216" s="178">
        <v>15200</v>
      </c>
      <c r="F216" s="19">
        <v>16</v>
      </c>
      <c r="G216" s="195">
        <v>45932</v>
      </c>
      <c r="H216" s="9" t="str">
        <f>VLOOKUP(TablaCosechas[[#This Row],[COD]],DATOS!$E$3:$F$27,2,0)</f>
        <v>WAHOO</v>
      </c>
      <c r="I216" s="9" t="str">
        <f>RIGHT(TablaCosechas[[#This Row],[SECTOR/PISCINA]],2)</f>
        <v>11</v>
      </c>
      <c r="J216" s="9" t="str">
        <f>VLOOKUP(TablaCosechas[[#This Row],[COD]],Tabla7[#All],4,0)</f>
        <v>JUNIOR ESQUIVEL</v>
      </c>
      <c r="K216" s="179">
        <f>(TablaCosechas[[#This Row],[libras planta]]*454)/M216</f>
        <v>366286.17977528088</v>
      </c>
      <c r="L216" s="174">
        <v>14361</v>
      </c>
      <c r="M216" s="19">
        <v>17.8</v>
      </c>
      <c r="N216" s="9" t="str">
        <f>UPPER(TEXT(TablaCosechas[[#This Row],[COSECHA]],"MMMM"))</f>
        <v>OCTUBRE</v>
      </c>
      <c r="O216" s="9" t="str">
        <f>IF(A216="DO 29","BAP",IF(A216="RO 14","BAP",(VLOOKUP(TablaCosechas[[#This Row],[COD]],Tabla7[[CODIGO]:[CERTIFICACION]],3,0))))</f>
        <v>CONVENCIONAL</v>
      </c>
      <c r="P216" s="180">
        <f>+L216-E216</f>
        <v>-839</v>
      </c>
      <c r="Q216" s="181">
        <f>+M216-F216</f>
        <v>1.8000000000000007</v>
      </c>
      <c r="R216" s="9"/>
    </row>
    <row r="217" spans="1:18" x14ac:dyDescent="0.25">
      <c r="A217" s="9" t="s">
        <v>171</v>
      </c>
      <c r="B217" s="9">
        <f>ROW() - ROW(TablaCosechas[[#Headers],[ID]]) - 4</f>
        <v>212</v>
      </c>
      <c r="C217" s="9" t="str">
        <f>LEFT(A217,2)</f>
        <v>TA</v>
      </c>
      <c r="D217" s="182" t="s">
        <v>367</v>
      </c>
      <c r="E217" s="178">
        <v>8400</v>
      </c>
      <c r="F217" s="19">
        <v>26.5</v>
      </c>
      <c r="G217" s="195">
        <v>45932</v>
      </c>
      <c r="H217" s="9" t="str">
        <f>VLOOKUP(TablaCosechas[[#This Row],[COD]],DATOS!$E$3:$F$27,2,0)</f>
        <v>TAMBULERO</v>
      </c>
      <c r="I217" s="9" t="str">
        <f>RIGHT(TablaCosechas[[#This Row],[SECTOR/PISCINA]],2)</f>
        <v>13</v>
      </c>
      <c r="J217" s="9" t="str">
        <f>VLOOKUP(TablaCosechas[[#This Row],[COD]],Tabla7[#All],4,0)</f>
        <v>ALFONSO GRUNAUER</v>
      </c>
      <c r="K217" s="179">
        <f>(TablaCosechas[[#This Row],[libras planta]]*454)/M217</f>
        <v>150902.08764639214</v>
      </c>
      <c r="L217" s="174">
        <v>8798.19</v>
      </c>
      <c r="M217" s="19">
        <v>26.47</v>
      </c>
      <c r="N217" s="9" t="str">
        <f>UPPER(TEXT(TablaCosechas[[#This Row],[COSECHA]],"MMMM"))</f>
        <v>OCTUBRE</v>
      </c>
      <c r="O217" s="9" t="str">
        <f>IF(A217="DO 29","BAP",IF(A217="RO 14","BAP",(VLOOKUP(TablaCosechas[[#This Row],[COD]],Tabla7[[CODIGO]:[CERTIFICACION]],3,0))))</f>
        <v>CONVENCIONAL</v>
      </c>
      <c r="P217" s="180">
        <f>+L217-E217</f>
        <v>398.19000000000051</v>
      </c>
      <c r="Q217" s="181">
        <f>+M217-F217</f>
        <v>-3.0000000000001137E-2</v>
      </c>
      <c r="R217" s="9"/>
    </row>
    <row r="218" spans="1:18" x14ac:dyDescent="0.25">
      <c r="A218" s="9" t="s">
        <v>170</v>
      </c>
      <c r="B218" s="9">
        <f>ROW() - ROW(TablaCosechas[[#Headers],[ID]]) - 4</f>
        <v>213</v>
      </c>
      <c r="C218" s="9" t="str">
        <f>LEFT(A218,2)</f>
        <v>PA</v>
      </c>
      <c r="D218" s="182" t="s">
        <v>367</v>
      </c>
      <c r="E218" s="178">
        <v>5200</v>
      </c>
      <c r="F218" s="19">
        <v>26</v>
      </c>
      <c r="G218" s="195">
        <v>45932</v>
      </c>
      <c r="H218" s="9" t="str">
        <f>VLOOKUP(TablaCosechas[[#This Row],[COD]],DATOS!$E$3:$F$26,2,0)</f>
        <v>PAMPANO</v>
      </c>
      <c r="I218" s="9" t="str">
        <f>RIGHT(TablaCosechas[[#This Row],[SECTOR/PISCINA]],2)</f>
        <v>08</v>
      </c>
      <c r="J218" s="9" t="str">
        <f>VLOOKUP(TablaCosechas[[#This Row],[COD]],Tabla7[#All],4,0)</f>
        <v>GUSTAVO CARRASCO</v>
      </c>
      <c r="K218" s="179">
        <f>(TablaCosechas[[#This Row],[libras planta]]*454)/M218</f>
        <v>89795.990437660905</v>
      </c>
      <c r="L218" s="174">
        <v>5377.87</v>
      </c>
      <c r="M218" s="19">
        <v>27.19</v>
      </c>
      <c r="N218" s="9" t="str">
        <f>UPPER(TEXT(TablaCosechas[[#This Row],[COSECHA]],"MMMM"))</f>
        <v>OCTUBRE</v>
      </c>
      <c r="O218" s="9" t="str">
        <f>IF(A218="DO 29","BAP",IF(A218="RO 14","BAP",(VLOOKUP(TablaCosechas[[#This Row],[COD]],Tabla7[[CODIGO]:[CERTIFICACION]],3,0))))</f>
        <v>ASC</v>
      </c>
      <c r="P218" s="180">
        <f>+L218-E218</f>
        <v>177.86999999999989</v>
      </c>
      <c r="Q218" s="181">
        <f>+M218-F218</f>
        <v>1.1900000000000013</v>
      </c>
      <c r="R218" s="9"/>
    </row>
    <row r="219" spans="1:18" x14ac:dyDescent="0.25">
      <c r="A219" s="9" t="s">
        <v>206</v>
      </c>
      <c r="B219" s="9">
        <f>ROW() - ROW(TablaCosechas[[#Headers],[ID]]) - 4</f>
        <v>214</v>
      </c>
      <c r="C219" s="9" t="str">
        <f>LEFT(A219,2)</f>
        <v>DO</v>
      </c>
      <c r="D219" s="182" t="s">
        <v>367</v>
      </c>
      <c r="E219" s="178">
        <v>7200</v>
      </c>
      <c r="F219" s="19">
        <v>19</v>
      </c>
      <c r="G219" s="195">
        <v>45932</v>
      </c>
      <c r="H219" s="9" t="str">
        <f>VLOOKUP(TablaCosechas[[#This Row],[COD]],DATOS!$E$3:$F$27,2,0)</f>
        <v>DORADO</v>
      </c>
      <c r="I219" s="9" t="str">
        <f>RIGHT(TablaCosechas[[#This Row],[SECTOR/PISCINA]],2)</f>
        <v>27</v>
      </c>
      <c r="J219" s="9" t="str">
        <f>VLOOKUP(TablaCosechas[[#This Row],[COD]],Tabla7[#All],4,0)</f>
        <v>JOSE CEDEÑO</v>
      </c>
      <c r="K219" s="179">
        <f>(TablaCosechas[[#This Row],[libras planta]]*454)/M219</f>
        <v>166721.10257816786</v>
      </c>
      <c r="L219" s="174">
        <v>6694.55</v>
      </c>
      <c r="M219" s="19">
        <v>18.23</v>
      </c>
      <c r="N219" s="9" t="str">
        <f>UPPER(TEXT(TablaCosechas[[#This Row],[COSECHA]],"MMMM"))</f>
        <v>OCTUBRE</v>
      </c>
      <c r="O219" s="9" t="str">
        <f>IF(A219="DO 29","BAP",IF(A219="RO 14","BAP",(VLOOKUP(TablaCosechas[[#This Row],[COD]],Tabla7[[CODIGO]:[CERTIFICACION]],3,0))))</f>
        <v>ASC</v>
      </c>
      <c r="P219" s="180">
        <f>+L219-E219</f>
        <v>-505.44999999999982</v>
      </c>
      <c r="Q219" s="181">
        <f>+M219-F219</f>
        <v>-0.76999999999999957</v>
      </c>
      <c r="R219" s="9"/>
    </row>
    <row r="220" spans="1:18" x14ac:dyDescent="0.25">
      <c r="A220" s="9" t="s">
        <v>159</v>
      </c>
      <c r="B220" s="9">
        <f>ROW() - ROW(TablaCosechas[[#Headers],[ID]]) - 4</f>
        <v>215</v>
      </c>
      <c r="C220" s="9" t="str">
        <f>LEFT(A220,2)</f>
        <v>DO</v>
      </c>
      <c r="D220" s="182" t="s">
        <v>367</v>
      </c>
      <c r="E220" s="178">
        <v>500</v>
      </c>
      <c r="F220" s="19">
        <v>36</v>
      </c>
      <c r="G220" s="195">
        <v>45932</v>
      </c>
      <c r="H220" s="9" t="str">
        <f>VLOOKUP(TablaCosechas[[#This Row],[COD]],DATOS!$E$3:$F$27,2,0)</f>
        <v>DORADO</v>
      </c>
      <c r="I220" s="9" t="str">
        <f>RIGHT(TablaCosechas[[#This Row],[SECTOR/PISCINA]],2)</f>
        <v>23</v>
      </c>
      <c r="J220" s="9" t="str">
        <f>VLOOKUP(TablaCosechas[[#This Row],[COD]],Tabla7[#All],4,0)</f>
        <v>JOSE CEDEÑO</v>
      </c>
      <c r="K220" s="179">
        <f>(TablaCosechas[[#This Row],[libras planta]]*454)/M220</f>
        <v>5988.1034482758623</v>
      </c>
      <c r="L220" s="174">
        <v>459</v>
      </c>
      <c r="M220" s="19">
        <v>34.799999999999997</v>
      </c>
      <c r="N220" s="9" t="str">
        <f>UPPER(TEXT(TablaCosechas[[#This Row],[COSECHA]],"MMMM"))</f>
        <v>OCTUBRE</v>
      </c>
      <c r="O220" s="9" t="str">
        <f>IF(A220="DO 29","BAP",IF(A220="RO 14","BAP",(VLOOKUP(TablaCosechas[[#This Row],[COD]],Tabla7[[CODIGO]:[CERTIFICACION]],3,0))))</f>
        <v>ASC</v>
      </c>
      <c r="P220" s="180">
        <f>+L220-E220</f>
        <v>-41</v>
      </c>
      <c r="Q220" s="181">
        <f>+M220-F220</f>
        <v>-1.2000000000000028</v>
      </c>
      <c r="R220" s="9"/>
    </row>
    <row r="221" spans="1:18" x14ac:dyDescent="0.25">
      <c r="A221" s="9" t="s">
        <v>130</v>
      </c>
      <c r="B221" s="9">
        <f>ROW() - ROW(TablaCosechas[[#Headers],[ID]]) - 4</f>
        <v>216</v>
      </c>
      <c r="C221" s="9" t="str">
        <f>LEFT(A221,2)</f>
        <v>DE</v>
      </c>
      <c r="D221" s="182" t="s">
        <v>366</v>
      </c>
      <c r="E221" s="178">
        <v>450</v>
      </c>
      <c r="F221" s="19">
        <v>33</v>
      </c>
      <c r="G221" s="195">
        <v>45932</v>
      </c>
      <c r="H221" s="9" t="str">
        <f>VLOOKUP(TablaCosechas[[#This Row],[COD]],DATOS!$E$3:$F$27,2,0)</f>
        <v>DELFIN</v>
      </c>
      <c r="I221" s="9" t="str">
        <f>RIGHT(TablaCosechas[[#This Row],[SECTOR/PISCINA]],2)</f>
        <v>27</v>
      </c>
      <c r="J221" s="9" t="str">
        <f>VLOOKUP(TablaCosechas[[#This Row],[COD]],Tabla7[#All],4,0)</f>
        <v>CARLOS FLORES</v>
      </c>
      <c r="K221" s="179">
        <f>(TablaCosechas[[#This Row],[libras planta]]*454)/M221</f>
        <v>6316.2610565110563</v>
      </c>
      <c r="L221" s="174">
        <v>452.99</v>
      </c>
      <c r="M221" s="19">
        <v>32.56</v>
      </c>
      <c r="N221" s="9" t="str">
        <f>UPPER(TEXT(TablaCosechas[[#This Row],[COSECHA]],"MMMM"))</f>
        <v>OCTUBRE</v>
      </c>
      <c r="O221" s="9" t="str">
        <f>IF(A221="DO 29","BAP",IF(A221="RO 14","BAP",(VLOOKUP(TablaCosechas[[#This Row],[COD]],Tabla7[[CODIGO]:[CERTIFICACION]],3,0))))</f>
        <v>CONVENCIONAL</v>
      </c>
      <c r="P221" s="180">
        <f>+L221-E221</f>
        <v>2.9900000000000091</v>
      </c>
      <c r="Q221" s="181">
        <f>+M221-F221</f>
        <v>-0.43999999999999773</v>
      </c>
      <c r="R221" s="9"/>
    </row>
    <row r="222" spans="1:18" x14ac:dyDescent="0.25">
      <c r="A222" s="9" t="s">
        <v>182</v>
      </c>
      <c r="B222" s="9">
        <f>ROW() - ROW(TablaCosechas[[#Headers],[ID]]) - 4</f>
        <v>217</v>
      </c>
      <c r="C222" s="9" t="str">
        <f>LEFT(A222,2)</f>
        <v>DE</v>
      </c>
      <c r="D222" s="182" t="s">
        <v>367</v>
      </c>
      <c r="E222" s="178">
        <v>3900</v>
      </c>
      <c r="F222" s="19">
        <v>23</v>
      </c>
      <c r="G222" s="195">
        <v>45932</v>
      </c>
      <c r="H222" s="9" t="str">
        <f>VLOOKUP(TablaCosechas[[#This Row],[COD]],DATOS!$E$3:$F$26,2,0)</f>
        <v>DELFIN</v>
      </c>
      <c r="I222" s="9" t="str">
        <f>RIGHT(TablaCosechas[[#This Row],[SECTOR/PISCINA]],2)</f>
        <v>24</v>
      </c>
      <c r="J222" s="9" t="str">
        <f>VLOOKUP(TablaCosechas[[#This Row],[COD]],Tabla7[#All],4,0)</f>
        <v>CARLOS FLORES</v>
      </c>
      <c r="K222" s="179">
        <f>(TablaCosechas[[#This Row],[libras planta]]*454)/M222</f>
        <v>74620.072278536798</v>
      </c>
      <c r="L222" s="174">
        <v>3729.36</v>
      </c>
      <c r="M222" s="19">
        <v>22.69</v>
      </c>
      <c r="N222" s="9" t="str">
        <f>UPPER(TEXT(TablaCosechas[[#This Row],[COSECHA]],"MMMM"))</f>
        <v>OCTUBRE</v>
      </c>
      <c r="O222" s="9" t="str">
        <f>IF(A222="DO 29","BAP",IF(A222="RO 14","BAP",(VLOOKUP(TablaCosechas[[#This Row],[COD]],Tabla7[[CODIGO]:[CERTIFICACION]],3,0))))</f>
        <v>CONVENCIONAL</v>
      </c>
      <c r="P222" s="180">
        <f>+L222-E222</f>
        <v>-170.63999999999987</v>
      </c>
      <c r="Q222" s="181">
        <f>+M222-F222</f>
        <v>-0.30999999999999872</v>
      </c>
      <c r="R222" s="9"/>
    </row>
    <row r="223" spans="1:18" x14ac:dyDescent="0.25">
      <c r="A223" s="9" t="s">
        <v>114</v>
      </c>
      <c r="B223" s="9">
        <f>ROW() - ROW(TablaCosechas[[#Headers],[ID]]) - 4</f>
        <v>218</v>
      </c>
      <c r="C223" s="9" t="str">
        <f>LEFT(A223,2)</f>
        <v>CA</v>
      </c>
      <c r="D223" s="182" t="s">
        <v>366</v>
      </c>
      <c r="E223" s="178">
        <f>31900+1400</f>
        <v>33300</v>
      </c>
      <c r="F223" s="19">
        <v>32</v>
      </c>
      <c r="G223" s="195">
        <v>45932</v>
      </c>
      <c r="H223" s="9" t="str">
        <f>VLOOKUP(TablaCosechas[[#This Row],[COD]],DATOS!$E$3:$F$27,2,0)</f>
        <v>CATANUDA</v>
      </c>
      <c r="I223" s="9" t="str">
        <f>RIGHT(TablaCosechas[[#This Row],[SECTOR/PISCINA]],2)</f>
        <v>18</v>
      </c>
      <c r="J223" s="9" t="str">
        <f>VLOOKUP(TablaCosechas[[#This Row],[COD]],Tabla7[#All],4,0)</f>
        <v>VICTOR QUINTANA</v>
      </c>
      <c r="K223" s="179">
        <f>(TablaCosechas[[#This Row],[libras planta]]*454)/M223</f>
        <v>486114.936621917</v>
      </c>
      <c r="L223" s="174">
        <f>32773.57+1522.16</f>
        <v>34295.730000000003</v>
      </c>
      <c r="M223" s="19">
        <v>32.03</v>
      </c>
      <c r="N223" s="9" t="str">
        <f>UPPER(TEXT(TablaCosechas[[#This Row],[COSECHA]],"MMMM"))</f>
        <v>OCTUBRE</v>
      </c>
      <c r="O223" s="9" t="str">
        <f>IF(A223="DO 29","BAP",IF(A223="RO 14","BAP",(VLOOKUP(TablaCosechas[[#This Row],[COD]],Tabla7[[CODIGO]:[CERTIFICACION]],3,0))))</f>
        <v>ASC</v>
      </c>
      <c r="P223" s="180">
        <f>+L223-E223</f>
        <v>995.7300000000032</v>
      </c>
      <c r="Q223" s="181">
        <f>+M223-F223</f>
        <v>3.0000000000001137E-2</v>
      </c>
      <c r="R223" s="9"/>
    </row>
    <row r="224" spans="1:18" x14ac:dyDescent="0.25">
      <c r="A224" s="9" t="s">
        <v>136</v>
      </c>
      <c r="B224" s="9">
        <f>ROW() - ROW(TablaCosechas[[#Headers],[ID]]) - 4</f>
        <v>219</v>
      </c>
      <c r="C224" s="9" t="str">
        <f>LEFT(A224,2)</f>
        <v>CA</v>
      </c>
      <c r="D224" s="182" t="s">
        <v>367</v>
      </c>
      <c r="E224" s="178">
        <v>6400</v>
      </c>
      <c r="F224" s="19">
        <v>26</v>
      </c>
      <c r="G224" s="195">
        <v>45932</v>
      </c>
      <c r="H224" s="9" t="str">
        <f>VLOOKUP(TablaCosechas[[#This Row],[COD]],DATOS!$E$3:$F$27,2,0)</f>
        <v>CATANUDA</v>
      </c>
      <c r="I224" s="9" t="str">
        <f>RIGHT(TablaCosechas[[#This Row],[SECTOR/PISCINA]],2)</f>
        <v>10</v>
      </c>
      <c r="J224" s="9" t="str">
        <f>VLOOKUP(TablaCosechas[[#This Row],[COD]],Tabla7[#All],4,0)</f>
        <v>VICTOR QUINTANA</v>
      </c>
      <c r="K224" s="179">
        <f>(TablaCosechas[[#This Row],[libras planta]]*454)/M224</f>
        <v>99388.546967071059</v>
      </c>
      <c r="L224" s="174">
        <v>6315.77</v>
      </c>
      <c r="M224" s="19">
        <v>28.85</v>
      </c>
      <c r="N224" s="9" t="str">
        <f>UPPER(TEXT(TablaCosechas[[#This Row],[COSECHA]],"MMMM"))</f>
        <v>OCTUBRE</v>
      </c>
      <c r="O224" s="9" t="str">
        <f>IF(A224="DO 29","BAP",IF(A224="RO 14","BAP",(VLOOKUP(TablaCosechas[[#This Row],[COD]],Tabla7[[CODIGO]:[CERTIFICACION]],3,0))))</f>
        <v>ASC</v>
      </c>
      <c r="P224" s="180">
        <f>+L224-E224</f>
        <v>-84.229999999999563</v>
      </c>
      <c r="Q224" s="181">
        <f>+M224-F224</f>
        <v>2.8500000000000014</v>
      </c>
      <c r="R224" s="9"/>
    </row>
    <row r="225" spans="1:18" x14ac:dyDescent="0.25">
      <c r="A225" s="9" t="s">
        <v>214</v>
      </c>
      <c r="B225" s="9">
        <f>ROW() - ROW(TablaCosechas[[#Headers],[ID]]) - 4</f>
        <v>220</v>
      </c>
      <c r="C225" s="9" t="str">
        <f>LEFT(A225,2)</f>
        <v>WA</v>
      </c>
      <c r="D225" s="182" t="s">
        <v>366</v>
      </c>
      <c r="E225" s="178">
        <v>39600</v>
      </c>
      <c r="F225" s="19">
        <v>22.5</v>
      </c>
      <c r="G225" s="195">
        <v>45933</v>
      </c>
      <c r="H225" s="9" t="str">
        <f>VLOOKUP(TablaCosechas[[#This Row],[COD]],DATOS!$E$3:$F$27,2,0)</f>
        <v>WAHOO</v>
      </c>
      <c r="I225" s="9" t="str">
        <f>RIGHT(TablaCosechas[[#This Row],[SECTOR/PISCINA]],2)</f>
        <v>30</v>
      </c>
      <c r="J225" s="9" t="str">
        <f>VLOOKUP(TablaCosechas[[#This Row],[COD]],Tabla7[#All],4,0)</f>
        <v>JUNIOR ESQUIVEL</v>
      </c>
      <c r="K225" s="179">
        <f>(TablaCosechas[[#This Row],[libras planta]]*454)/M225</f>
        <v>708378.64006514661</v>
      </c>
      <c r="L225" s="174">
        <v>38321.1</v>
      </c>
      <c r="M225" s="19">
        <v>24.56</v>
      </c>
      <c r="N225" s="9" t="str">
        <f>UPPER(TEXT(TablaCosechas[[#This Row],[COSECHA]],"MMMM"))</f>
        <v>OCTUBRE</v>
      </c>
      <c r="O225" s="9" t="str">
        <f>IF(A225="DO 29","BAP",IF(A225="RO 14","BAP",(VLOOKUP(TablaCosechas[[#This Row],[COD]],Tabla7[[CODIGO]:[CERTIFICACION]],3,0))))</f>
        <v>CONVENCIONAL</v>
      </c>
      <c r="P225" s="180">
        <f>+L225-E225</f>
        <v>-1278.9000000000015</v>
      </c>
      <c r="Q225" s="181">
        <f>+M225-F225</f>
        <v>2.0599999999999987</v>
      </c>
      <c r="R225" s="9"/>
    </row>
    <row r="226" spans="1:18" x14ac:dyDescent="0.25">
      <c r="A226" s="9" t="s">
        <v>189</v>
      </c>
      <c r="B226" s="9">
        <f>ROW() - ROW(TablaCosechas[[#Headers],[ID]]) - 4</f>
        <v>221</v>
      </c>
      <c r="C226" s="9" t="str">
        <f>LEFT(A226,2)</f>
        <v>TU</v>
      </c>
      <c r="D226" s="182" t="s">
        <v>367</v>
      </c>
      <c r="E226" s="178">
        <v>5200</v>
      </c>
      <c r="F226" s="19">
        <v>24</v>
      </c>
      <c r="G226" s="195">
        <v>45933</v>
      </c>
      <c r="H226" s="9" t="str">
        <f>VLOOKUP(TablaCosechas[[#This Row],[COD]],DATOS!$E$3:$F$26,2,0)</f>
        <v>TUNA</v>
      </c>
      <c r="I226" s="9" t="str">
        <f>RIGHT(TablaCosechas[[#This Row],[SECTOR/PISCINA]],2)</f>
        <v>03</v>
      </c>
      <c r="J226" s="9" t="str">
        <f>VLOOKUP(TablaCosechas[[#This Row],[COD]],Tabla7[#All],4,0)</f>
        <v>GUSTAVO CARRASCO</v>
      </c>
      <c r="K226" s="179">
        <f>(TablaCosechas[[#This Row],[libras planta]]*454)/M226</f>
        <v>104046.81982758622</v>
      </c>
      <c r="L226" s="174">
        <v>5316.93</v>
      </c>
      <c r="M226" s="19">
        <v>23.2</v>
      </c>
      <c r="N226" s="9" t="str">
        <f>UPPER(TEXT(TablaCosechas[[#This Row],[COSECHA]],"MMMM"))</f>
        <v>OCTUBRE</v>
      </c>
      <c r="O226" s="9" t="str">
        <f>IF(A226="DO 29","BAP",IF(A226="RO 14","BAP",(VLOOKUP(TablaCosechas[[#This Row],[COD]],Tabla7[[CODIGO]:[CERTIFICACION]],3,0))))</f>
        <v>ASC</v>
      </c>
      <c r="P226" s="180">
        <f>+L226-E226</f>
        <v>116.93000000000029</v>
      </c>
      <c r="Q226" s="181">
        <f>+M226-F226</f>
        <v>-0.80000000000000071</v>
      </c>
      <c r="R226" s="9"/>
    </row>
    <row r="227" spans="1:18" x14ac:dyDescent="0.25">
      <c r="A227" s="9" t="s">
        <v>192</v>
      </c>
      <c r="B227" s="9">
        <f>ROW() - ROW(TablaCosechas[[#Headers],[ID]]) - 4</f>
        <v>222</v>
      </c>
      <c r="C227" s="9" t="str">
        <f>LEFT(A227,2)</f>
        <v>TU</v>
      </c>
      <c r="D227" s="182" t="s">
        <v>367</v>
      </c>
      <c r="E227" s="178">
        <v>6800</v>
      </c>
      <c r="F227" s="19">
        <v>24</v>
      </c>
      <c r="G227" s="195">
        <v>45933</v>
      </c>
      <c r="H227" s="9" t="str">
        <f>VLOOKUP(TablaCosechas[[#This Row],[COD]],DATOS!$E$3:$F$27,2,0)</f>
        <v>TUNA</v>
      </c>
      <c r="I227" s="9" t="str">
        <f>RIGHT(TablaCosechas[[#This Row],[SECTOR/PISCINA]],2)</f>
        <v>02</v>
      </c>
      <c r="J227" s="9" t="str">
        <f>VLOOKUP(TablaCosechas[[#This Row],[COD]],Tabla7[#All],4,0)</f>
        <v>GUSTAVO CARRASCO</v>
      </c>
      <c r="K227" s="179">
        <f>(TablaCosechas[[#This Row],[libras planta]]*454)/M227</f>
        <v>129682.54770017037</v>
      </c>
      <c r="L227" s="174">
        <v>6706.93</v>
      </c>
      <c r="M227" s="19">
        <v>23.48</v>
      </c>
      <c r="N227" s="9" t="str">
        <f>UPPER(TEXT(TablaCosechas[[#This Row],[COSECHA]],"MMMM"))</f>
        <v>OCTUBRE</v>
      </c>
      <c r="O227" s="9" t="str">
        <f>IF(A227="DO 29","BAP",IF(A227="RO 14","BAP",(VLOOKUP(TablaCosechas[[#This Row],[COD]],Tabla7[[CODIGO]:[CERTIFICACION]],3,0))))</f>
        <v>ASC</v>
      </c>
      <c r="P227" s="180">
        <f>+L227-E227</f>
        <v>-93.069999999999709</v>
      </c>
      <c r="Q227" s="181">
        <f>+M227-F227</f>
        <v>-0.51999999999999957</v>
      </c>
      <c r="R227" s="9"/>
    </row>
    <row r="228" spans="1:18" x14ac:dyDescent="0.25">
      <c r="A228" s="9" t="s">
        <v>172</v>
      </c>
      <c r="B228" s="9">
        <f>ROW() - ROW(TablaCosechas[[#Headers],[ID]]) - 4</f>
        <v>223</v>
      </c>
      <c r="C228" s="9" t="str">
        <f>LEFT(A228,2)</f>
        <v>TA</v>
      </c>
      <c r="D228" s="182" t="s">
        <v>367</v>
      </c>
      <c r="E228" s="178">
        <v>14700</v>
      </c>
      <c r="F228" s="19">
        <v>23</v>
      </c>
      <c r="G228" s="195">
        <v>45933</v>
      </c>
      <c r="H228" s="9" t="str">
        <f>VLOOKUP(TablaCosechas[[#This Row],[COD]],DATOS!$E$3:$F$27,2,0)</f>
        <v>TAMBULERO</v>
      </c>
      <c r="I228" s="9" t="str">
        <f>RIGHT(TablaCosechas[[#This Row],[SECTOR/PISCINA]],2)</f>
        <v>24</v>
      </c>
      <c r="J228" s="9" t="str">
        <f>VLOOKUP(TablaCosechas[[#This Row],[COD]],Tabla7[#All],4,0)</f>
        <v>ALFONSO GRUNAUER</v>
      </c>
      <c r="K228" s="179">
        <f>(TablaCosechas[[#This Row],[libras planta]]*454)/M228</f>
        <v>305732.02351916372</v>
      </c>
      <c r="L228" s="174">
        <v>15461.69</v>
      </c>
      <c r="M228" s="19">
        <v>22.96</v>
      </c>
      <c r="N228" s="9" t="str">
        <f>UPPER(TEXT(TablaCosechas[[#This Row],[COSECHA]],"MMMM"))</f>
        <v>OCTUBRE</v>
      </c>
      <c r="O228" s="9" t="str">
        <f>IF(A228="DO 29","BAP",IF(A228="RO 14","BAP",(VLOOKUP(TablaCosechas[[#This Row],[COD]],Tabla7[[CODIGO]:[CERTIFICACION]],3,0))))</f>
        <v>CONVENCIONAL</v>
      </c>
      <c r="P228" s="180">
        <f>+L228-E228</f>
        <v>761.69000000000051</v>
      </c>
      <c r="Q228" s="181">
        <f>+M228-F228</f>
        <v>-3.9999999999999147E-2</v>
      </c>
      <c r="R228" s="9"/>
    </row>
    <row r="229" spans="1:18" x14ac:dyDescent="0.25">
      <c r="A229" s="9" t="s">
        <v>176</v>
      </c>
      <c r="B229" s="9">
        <f>ROW() - ROW(TablaCosechas[[#Headers],[ID]]) - 4</f>
        <v>224</v>
      </c>
      <c r="C229" s="9" t="str">
        <f>LEFT(A229,2)</f>
        <v>TA</v>
      </c>
      <c r="D229" s="182" t="s">
        <v>367</v>
      </c>
      <c r="E229" s="178">
        <v>13600</v>
      </c>
      <c r="F229" s="19">
        <v>26</v>
      </c>
      <c r="G229" s="195">
        <v>45933</v>
      </c>
      <c r="H229" s="9" t="str">
        <f>VLOOKUP(TablaCosechas[[#This Row],[COD]],DATOS!$E$3:$F$27,2,0)</f>
        <v>TAMBULERO</v>
      </c>
      <c r="I229" s="9" t="str">
        <f>RIGHT(TablaCosechas[[#This Row],[SECTOR/PISCINA]],2)</f>
        <v>15</v>
      </c>
      <c r="J229" s="9" t="str">
        <f>VLOOKUP(TablaCosechas[[#This Row],[COD]],Tabla7[#All],4,0)</f>
        <v>ALFONSO GRUNAUER</v>
      </c>
      <c r="K229" s="179">
        <f>(TablaCosechas[[#This Row],[libras planta]]*454)/M229</f>
        <v>233749.76535087719</v>
      </c>
      <c r="L229" s="174">
        <v>14086.77</v>
      </c>
      <c r="M229" s="19">
        <v>27.36</v>
      </c>
      <c r="N229" s="9" t="str">
        <f>UPPER(TEXT(TablaCosechas[[#This Row],[COSECHA]],"MMMM"))</f>
        <v>OCTUBRE</v>
      </c>
      <c r="O229" s="9" t="str">
        <f>IF(A229="DO 29","BAP",IF(A229="RO 14","BAP",(VLOOKUP(TablaCosechas[[#This Row],[COD]],Tabla7[[CODIGO]:[CERTIFICACION]],3,0))))</f>
        <v>CONVENCIONAL</v>
      </c>
      <c r="P229" s="180">
        <f>+L229-E229</f>
        <v>486.77000000000044</v>
      </c>
      <c r="Q229" s="181">
        <f>+M229-F229</f>
        <v>1.3599999999999994</v>
      </c>
      <c r="R229" s="9"/>
    </row>
    <row r="230" spans="1:18" x14ac:dyDescent="0.25">
      <c r="A230" s="9" t="s">
        <v>135</v>
      </c>
      <c r="B230" s="9">
        <f>ROW() - ROW(TablaCosechas[[#Headers],[ID]]) - 4</f>
        <v>225</v>
      </c>
      <c r="C230" s="9" t="str">
        <f>LEFT(A230,2)</f>
        <v>RO</v>
      </c>
      <c r="D230" s="182" t="s">
        <v>366</v>
      </c>
      <c r="E230" s="178">
        <v>42100</v>
      </c>
      <c r="F230" s="19">
        <v>32</v>
      </c>
      <c r="G230" s="195">
        <v>45933</v>
      </c>
      <c r="H230" s="9" t="str">
        <f>VLOOKUP(TablaCosechas[[#This Row],[COD]],DATOS!$E$3:$F$27,2,0)</f>
        <v>ROBALO</v>
      </c>
      <c r="I230" s="9" t="str">
        <f>RIGHT(TablaCosechas[[#This Row],[SECTOR/PISCINA]],2)</f>
        <v>12</v>
      </c>
      <c r="J230" s="9" t="str">
        <f>VLOOKUP(TablaCosechas[[#This Row],[COD]],Tabla7[#All],4,0)</f>
        <v>VICTOR QUINTANA</v>
      </c>
      <c r="K230" s="179">
        <f>(TablaCosechas[[#This Row],[libras planta]]*454)/M230</f>
        <v>561578.05151515163</v>
      </c>
      <c r="L230" s="174">
        <v>40819.550000000003</v>
      </c>
      <c r="M230" s="19">
        <v>33</v>
      </c>
      <c r="N230" s="9" t="str">
        <f>UPPER(TEXT(TablaCosechas[[#This Row],[COSECHA]],"MMMM"))</f>
        <v>OCTUBRE</v>
      </c>
      <c r="O230" s="9" t="str">
        <f>IF(A230="DO 29","BAP",IF(A230="RO 14","BAP",(VLOOKUP(TablaCosechas[[#This Row],[COD]],Tabla7[[CODIGO]:[CERTIFICACION]],3,0))))</f>
        <v>ASC</v>
      </c>
      <c r="P230" s="180">
        <f>+L230-E230</f>
        <v>-1280.4499999999971</v>
      </c>
      <c r="Q230" s="181">
        <f>+M230-F230</f>
        <v>1</v>
      </c>
      <c r="R230" s="9"/>
    </row>
    <row r="231" spans="1:18" x14ac:dyDescent="0.25">
      <c r="A231" s="9" t="s">
        <v>199</v>
      </c>
      <c r="B231" s="9">
        <f>ROW() - ROW(TablaCosechas[[#Headers],[ID]]) - 4</f>
        <v>226</v>
      </c>
      <c r="C231" s="9" t="str">
        <f>LEFT(A231,2)</f>
        <v>RO</v>
      </c>
      <c r="D231" s="182" t="s">
        <v>367</v>
      </c>
      <c r="E231" s="178">
        <v>23000</v>
      </c>
      <c r="F231" s="19">
        <v>16.5</v>
      </c>
      <c r="G231" s="195">
        <v>45933</v>
      </c>
      <c r="H231" s="9" t="str">
        <f>VLOOKUP(TablaCosechas[[#This Row],[COD]],DATOS!$E$3:$F$26,2,0)</f>
        <v>ROBALO</v>
      </c>
      <c r="I231" s="9" t="str">
        <f>RIGHT(TablaCosechas[[#This Row],[SECTOR/PISCINA]],2)</f>
        <v>08</v>
      </c>
      <c r="J231" s="9" t="str">
        <f>VLOOKUP(TablaCosechas[[#This Row],[COD]],Tabla7[#All],4,0)</f>
        <v>VICTOR QUINTANA</v>
      </c>
      <c r="K231" s="179">
        <f>(TablaCosechas[[#This Row],[libras planta]]*454)/M231</f>
        <v>635695.60737656162</v>
      </c>
      <c r="L231" s="174">
        <v>23537.54</v>
      </c>
      <c r="M231" s="19">
        <v>16.809999999999999</v>
      </c>
      <c r="N231" s="9" t="str">
        <f>UPPER(TEXT(TablaCosechas[[#This Row],[COSECHA]],"MMMM"))</f>
        <v>OCTUBRE</v>
      </c>
      <c r="O231" s="9" t="str">
        <f>IF(A231="DO 29","BAP",IF(A231="RO 14","BAP",(VLOOKUP(TablaCosechas[[#This Row],[COD]],Tabla7[[CODIGO]:[CERTIFICACION]],3,0))))</f>
        <v>ASC</v>
      </c>
      <c r="P231" s="180">
        <f>+L231-E231</f>
        <v>537.54000000000087</v>
      </c>
      <c r="Q231" s="181">
        <f>+M231-F231</f>
        <v>0.30999999999999872</v>
      </c>
      <c r="R231" s="9"/>
    </row>
    <row r="232" spans="1:18" x14ac:dyDescent="0.25">
      <c r="A232" s="9" t="s">
        <v>298</v>
      </c>
      <c r="B232" s="9">
        <f>ROW() - ROW(TablaCosechas[[#Headers],[ID]]) - 4</f>
        <v>227</v>
      </c>
      <c r="C232" s="9" t="str">
        <f>LEFT(A232,2)</f>
        <v>PR</v>
      </c>
      <c r="D232" s="182" t="s">
        <v>366</v>
      </c>
      <c r="E232" s="178">
        <v>12000</v>
      </c>
      <c r="F232" s="19">
        <v>21</v>
      </c>
      <c r="G232" s="195">
        <v>45933</v>
      </c>
      <c r="H232" s="9" t="str">
        <f>VLOOKUP(TablaCosechas[[#This Row],[COD]],DATOS!$E$3:$F$27,2,0)</f>
        <v>PARGO ROJO</v>
      </c>
      <c r="I232" s="9" t="str">
        <f>RIGHT(TablaCosechas[[#This Row],[SECTOR/PISCINA]],2)</f>
        <v>19</v>
      </c>
      <c r="J232" s="9" t="str">
        <f>VLOOKUP(TablaCosechas[[#This Row],[COD]],Tabla7[#All],4,0)</f>
        <v>WILMER TORRES</v>
      </c>
      <c r="K232" s="179">
        <f>(TablaCosechas[[#This Row],[libras planta]]*454)/M232</f>
        <v>280027.52750225429</v>
      </c>
      <c r="L232" s="174">
        <v>13680.64</v>
      </c>
      <c r="M232" s="19">
        <v>22.18</v>
      </c>
      <c r="N232" s="9" t="str">
        <f>UPPER(TEXT(TablaCosechas[[#This Row],[COSECHA]],"MMMM"))</f>
        <v>OCTUBRE</v>
      </c>
      <c r="O232" s="9" t="str">
        <f>IF(A232="DO 29","BAP",IF(A232="RO 14","BAP",(VLOOKUP(TablaCosechas[[#This Row],[COD]],Tabla7[[CODIGO]:[CERTIFICACION]],3,0))))</f>
        <v>CONVENCIONAL</v>
      </c>
      <c r="P232" s="180">
        <f>+L232-E232</f>
        <v>1680.6399999999994</v>
      </c>
      <c r="Q232" s="181">
        <f>+M232-F232</f>
        <v>1.1799999999999997</v>
      </c>
      <c r="R232" s="9"/>
    </row>
    <row r="233" spans="1:18" x14ac:dyDescent="0.25">
      <c r="A233" s="9" t="s">
        <v>140</v>
      </c>
      <c r="B233" s="9">
        <f>ROW() - ROW(TablaCosechas[[#Headers],[ID]]) - 4</f>
        <v>228</v>
      </c>
      <c r="C233" s="9" t="str">
        <f>LEFT(A233,2)</f>
        <v>GT</v>
      </c>
      <c r="D233" s="182" t="s">
        <v>367</v>
      </c>
      <c r="E233" s="178">
        <v>4800</v>
      </c>
      <c r="F233" s="19">
        <v>28</v>
      </c>
      <c r="G233" s="195">
        <v>45933</v>
      </c>
      <c r="H233" s="9" t="str">
        <f>VLOOKUP(TablaCosechas[[#This Row],[COD]],DATOS!$E$3:$F$27,2,0)</f>
        <v>GUATO</v>
      </c>
      <c r="I233" s="9" t="str">
        <f>RIGHT(TablaCosechas[[#This Row],[SECTOR/PISCINA]],2)</f>
        <v>18</v>
      </c>
      <c r="J233" s="9" t="str">
        <f>VLOOKUP(TablaCosechas[[#This Row],[COD]],Tabla7[#All],4,0)</f>
        <v>JULIO SANTOS</v>
      </c>
      <c r="K233" s="179">
        <f>(TablaCosechas[[#This Row],[libras planta]]*454)/M233</f>
        <v>80300.839363241685</v>
      </c>
      <c r="L233" s="174">
        <v>4888.8</v>
      </c>
      <c r="M233" s="19">
        <v>27.64</v>
      </c>
      <c r="N233" s="9" t="str">
        <f>UPPER(TEXT(TablaCosechas[[#This Row],[COSECHA]],"MMMM"))</f>
        <v>OCTUBRE</v>
      </c>
      <c r="O233" s="9" t="str">
        <f>IF(A233="DO 29","BAP",IF(A233="RO 14","BAP",(VLOOKUP(TablaCosechas[[#This Row],[COD]],Tabla7[[CODIGO]:[CERTIFICACION]],3,0))))</f>
        <v>CONVENCIONAL</v>
      </c>
      <c r="P233" s="180">
        <f>+L233-E233</f>
        <v>88.800000000000182</v>
      </c>
      <c r="Q233" s="181">
        <f>+M233-F233</f>
        <v>-0.35999999999999943</v>
      </c>
      <c r="R233" s="9"/>
    </row>
    <row r="234" spans="1:18" x14ac:dyDescent="0.25">
      <c r="A234" s="9" t="s">
        <v>147</v>
      </c>
      <c r="B234" s="9">
        <f>ROW() - ROW(TablaCosechas[[#Headers],[ID]]) - 4</f>
        <v>229</v>
      </c>
      <c r="C234" s="9" t="str">
        <f>LEFT(A234,2)</f>
        <v>DO</v>
      </c>
      <c r="D234" s="182" t="s">
        <v>367</v>
      </c>
      <c r="E234" s="178">
        <v>19500</v>
      </c>
      <c r="F234" s="19">
        <v>26.5</v>
      </c>
      <c r="G234" s="195">
        <v>45933</v>
      </c>
      <c r="H234" s="9" t="str">
        <f>VLOOKUP(TablaCosechas[[#This Row],[COD]],DATOS!$E$3:$F$27,2,0)</f>
        <v>DORADO</v>
      </c>
      <c r="I234" s="9" t="str">
        <f>RIGHT(TablaCosechas[[#This Row],[SECTOR/PISCINA]],2)</f>
        <v>08</v>
      </c>
      <c r="J234" s="9" t="str">
        <f>VLOOKUP(TablaCosechas[[#This Row],[COD]],Tabla7[#All],4,0)</f>
        <v>JOSE CEDEÑO</v>
      </c>
      <c r="K234" s="179">
        <f>(TablaCosechas[[#This Row],[libras planta]]*454)/M234</f>
        <v>316486.73922734021</v>
      </c>
      <c r="L234" s="174">
        <v>18766.13</v>
      </c>
      <c r="M234" s="19">
        <v>26.92</v>
      </c>
      <c r="N234" s="9" t="str">
        <f>UPPER(TEXT(TablaCosechas[[#This Row],[COSECHA]],"MMMM"))</f>
        <v>OCTUBRE</v>
      </c>
      <c r="O234" s="9" t="str">
        <f>IF(A234="DO 29","BAP",IF(A234="RO 14","BAP",(VLOOKUP(TablaCosechas[[#This Row],[COD]],Tabla7[[CODIGO]:[CERTIFICACION]],3,0))))</f>
        <v>ASC</v>
      </c>
      <c r="P234" s="180">
        <f>+L234-E234</f>
        <v>-733.86999999999898</v>
      </c>
      <c r="Q234" s="181">
        <f>+M234-F234</f>
        <v>0.42000000000000171</v>
      </c>
      <c r="R234" s="9"/>
    </row>
    <row r="235" spans="1:18" x14ac:dyDescent="0.25">
      <c r="A235" s="9" t="s">
        <v>127</v>
      </c>
      <c r="B235" s="9">
        <f>ROW() - ROW(TablaCosechas[[#Headers],[ID]]) - 4</f>
        <v>230</v>
      </c>
      <c r="C235" s="9" t="str">
        <f>LEFT(A235,2)</f>
        <v>DO</v>
      </c>
      <c r="D235" s="182" t="s">
        <v>366</v>
      </c>
      <c r="E235" s="178">
        <v>3000</v>
      </c>
      <c r="F235" s="19">
        <v>33</v>
      </c>
      <c r="G235" s="195">
        <v>45933</v>
      </c>
      <c r="H235" s="9" t="str">
        <f>VLOOKUP(TablaCosechas[[#This Row],[COD]],DATOS!$E$3:$F$27,2,0)</f>
        <v>DORADO</v>
      </c>
      <c r="I235" s="9" t="str">
        <f>RIGHT(TablaCosechas[[#This Row],[SECTOR/PISCINA]],2)</f>
        <v>07</v>
      </c>
      <c r="J235" s="9" t="str">
        <f>VLOOKUP(TablaCosechas[[#This Row],[COD]],Tabla7[#All],4,0)</f>
        <v>JOSE CEDEÑO</v>
      </c>
      <c r="K235" s="179">
        <f>(TablaCosechas[[#This Row],[libras planta]]*454)/M235</f>
        <v>38603.200839328536</v>
      </c>
      <c r="L235" s="174">
        <v>2836.57</v>
      </c>
      <c r="M235" s="19">
        <v>33.36</v>
      </c>
      <c r="N235" s="9" t="str">
        <f>UPPER(TEXT(TablaCosechas[[#This Row],[COSECHA]],"MMMM"))</f>
        <v>OCTUBRE</v>
      </c>
      <c r="O235" s="9" t="str">
        <f>IF(A235="DO 29","BAP",IF(A235="RO 14","BAP",(VLOOKUP(TablaCosechas[[#This Row],[COD]],Tabla7[[CODIGO]:[CERTIFICACION]],3,0))))</f>
        <v>ASC</v>
      </c>
      <c r="P235" s="180">
        <f>+L235-E235</f>
        <v>-163.42999999999984</v>
      </c>
      <c r="Q235" s="181">
        <f>+M235-F235</f>
        <v>0.35999999999999943</v>
      </c>
      <c r="R235" s="9"/>
    </row>
    <row r="236" spans="1:18" x14ac:dyDescent="0.25">
      <c r="A236" s="9" t="s">
        <v>309</v>
      </c>
      <c r="B236" s="9">
        <f>ROW() - ROW(TablaCosechas[[#Headers],[ID]]) - 4</f>
        <v>231</v>
      </c>
      <c r="C236" s="9" t="str">
        <f>LEFT(A236,2)</f>
        <v>DE</v>
      </c>
      <c r="D236" s="182" t="s">
        <v>366</v>
      </c>
      <c r="E236" s="178">
        <v>30400</v>
      </c>
      <c r="F236" s="19">
        <v>36</v>
      </c>
      <c r="G236" s="195">
        <v>45933</v>
      </c>
      <c r="H236" s="9" t="str">
        <f>VLOOKUP(TablaCosechas[[#This Row],[COD]],DATOS!$E$3:$F$27,2,0)</f>
        <v>DELFIN</v>
      </c>
      <c r="I236" s="9" t="str">
        <f>RIGHT(TablaCosechas[[#This Row],[SECTOR/PISCINA]],2)</f>
        <v>05</v>
      </c>
      <c r="J236" s="9" t="str">
        <f>VLOOKUP(TablaCosechas[[#This Row],[COD]],Tabla7[#All],4,0)</f>
        <v>CARLOS FLORES</v>
      </c>
      <c r="K236" s="179">
        <f>(TablaCosechas[[#This Row],[libras planta]]*454)/M236</f>
        <v>428855.4345340195</v>
      </c>
      <c r="L236" s="174">
        <v>33042.65</v>
      </c>
      <c r="M236" s="19">
        <v>34.979999999999997</v>
      </c>
      <c r="N236" s="9" t="str">
        <f>UPPER(TEXT(TablaCosechas[[#This Row],[COSECHA]],"MMMM"))</f>
        <v>OCTUBRE</v>
      </c>
      <c r="O236" s="9" t="str">
        <f>IF(A236="DO 29","BAP",IF(A236="RO 14","BAP",(VLOOKUP(TablaCosechas[[#This Row],[COD]],Tabla7[[CODIGO]:[CERTIFICACION]],3,0))))</f>
        <v>CONVENCIONAL</v>
      </c>
      <c r="P236" s="180">
        <f>+L236-E236</f>
        <v>2642.6500000000015</v>
      </c>
      <c r="Q236" s="181">
        <f>+M236-F236</f>
        <v>-1.0200000000000031</v>
      </c>
      <c r="R236" s="9"/>
    </row>
    <row r="237" spans="1:18" x14ac:dyDescent="0.25">
      <c r="A237" s="9" t="s">
        <v>24</v>
      </c>
      <c r="B237" s="9">
        <f>ROW() - ROW(TablaCosechas[[#Headers],[ID]]) - 4</f>
        <v>232</v>
      </c>
      <c r="C237" s="9" t="str">
        <f>LEFT(A237,2)</f>
        <v>CH</v>
      </c>
      <c r="D237" s="182" t="s">
        <v>366</v>
      </c>
      <c r="E237" s="178">
        <f>44100+2500</f>
        <v>46600</v>
      </c>
      <c r="F237" s="19">
        <v>33</v>
      </c>
      <c r="G237" s="195">
        <v>45933</v>
      </c>
      <c r="H237" s="9" t="str">
        <f>VLOOKUP(TablaCosechas[[#This Row],[COD]],DATOS!$E$3:$F$27,2,0)</f>
        <v>CHERNA</v>
      </c>
      <c r="I237" s="9" t="str">
        <f>RIGHT(TablaCosechas[[#This Row],[SECTOR/PISCINA]],2)</f>
        <v>20</v>
      </c>
      <c r="J237" s="9" t="str">
        <f>VLOOKUP(TablaCosechas[[#This Row],[COD]],Tabla7[#All],4,0)</f>
        <v>SANTIAGO OBRIEN</v>
      </c>
      <c r="K237" s="179">
        <f>(TablaCosechas[[#This Row],[libras planta]]*454)/M237</f>
        <v>631674.84411583492</v>
      </c>
      <c r="L237" s="174">
        <f>42657.79+2505.57</f>
        <v>45163.360000000001</v>
      </c>
      <c r="M237" s="19">
        <v>32.46</v>
      </c>
      <c r="N237" s="9" t="str">
        <f>UPPER(TEXT(TablaCosechas[[#This Row],[COSECHA]],"MMMM"))</f>
        <v>OCTUBRE</v>
      </c>
      <c r="O237" s="9" t="str">
        <f>IF(A237="DO 29","BAP",IF(A237="RO 14","BAP",(VLOOKUP(TablaCosechas[[#This Row],[COD]],Tabla7[[CODIGO]:[CERTIFICACION]],3,0))))</f>
        <v>ASC</v>
      </c>
      <c r="P237" s="180">
        <f>+L237-E237</f>
        <v>-1436.6399999999994</v>
      </c>
      <c r="Q237" s="181">
        <f>+M237-F237</f>
        <v>-0.53999999999999915</v>
      </c>
      <c r="R237" s="9"/>
    </row>
    <row r="238" spans="1:18" x14ac:dyDescent="0.25">
      <c r="A238" s="9" t="s">
        <v>191</v>
      </c>
      <c r="B238" s="9">
        <f>ROW() - ROW(TablaCosechas[[#Headers],[ID]]) - 4</f>
        <v>233</v>
      </c>
      <c r="C238" s="9" t="str">
        <f>LEFT(A238,2)</f>
        <v>WA</v>
      </c>
      <c r="D238" s="182" t="s">
        <v>367</v>
      </c>
      <c r="E238" s="178">
        <v>4350</v>
      </c>
      <c r="F238" s="19">
        <v>18</v>
      </c>
      <c r="G238" s="195">
        <v>45934</v>
      </c>
      <c r="H238" s="9" t="str">
        <f>VLOOKUP(TablaCosechas[[#This Row],[COD]],DATOS!$E$3:$F$27,2,0)</f>
        <v>WAHOO</v>
      </c>
      <c r="I238" s="9" t="str">
        <f>RIGHT(TablaCosechas[[#This Row],[SECTOR/PISCINA]],2)</f>
        <v>26</v>
      </c>
      <c r="J238" s="9" t="str">
        <f>VLOOKUP(TablaCosechas[[#This Row],[COD]],Tabla7[#All],4,0)</f>
        <v>JUNIOR ESQUIVEL</v>
      </c>
      <c r="K238" s="179">
        <f>(TablaCosechas[[#This Row],[libras planta]]*454)/M238</f>
        <v>100596.81854043392</v>
      </c>
      <c r="L238" s="174">
        <v>4493.62</v>
      </c>
      <c r="M238" s="19">
        <v>20.28</v>
      </c>
      <c r="N238" s="9" t="str">
        <f>UPPER(TEXT(TablaCosechas[[#This Row],[COSECHA]],"MMMM"))</f>
        <v>OCTUBRE</v>
      </c>
      <c r="O238" s="9" t="str">
        <f>IF(A238="DO 29","BAP",IF(A238="RO 14","BAP",(VLOOKUP(TablaCosechas[[#This Row],[COD]],Tabla7[[CODIGO]:[CERTIFICACION]],3,0))))</f>
        <v>CONVENCIONAL</v>
      </c>
      <c r="P238" s="180">
        <f>+L238-E238</f>
        <v>143.61999999999989</v>
      </c>
      <c r="Q238" s="181">
        <f>+M238-F238</f>
        <v>2.2800000000000011</v>
      </c>
      <c r="R238" s="9"/>
    </row>
    <row r="239" spans="1:18" x14ac:dyDescent="0.25">
      <c r="A239" s="9" t="s">
        <v>190</v>
      </c>
      <c r="B239" s="9">
        <f>ROW() - ROW(TablaCosechas[[#Headers],[ID]]) - 4</f>
        <v>234</v>
      </c>
      <c r="C239" s="9" t="str">
        <f>LEFT(A239,2)</f>
        <v>WA</v>
      </c>
      <c r="D239" s="182" t="s">
        <v>367</v>
      </c>
      <c r="E239" s="178">
        <v>4950</v>
      </c>
      <c r="F239" s="19">
        <v>15</v>
      </c>
      <c r="G239" s="195">
        <v>45934</v>
      </c>
      <c r="H239" s="9" t="str">
        <f>VLOOKUP(TablaCosechas[[#This Row],[COD]],DATOS!$E$3:$F$27,2,0)</f>
        <v>WAHOO</v>
      </c>
      <c r="I239" s="9" t="str">
        <f>RIGHT(TablaCosechas[[#This Row],[SECTOR/PISCINA]],2)</f>
        <v>25</v>
      </c>
      <c r="J239" s="9" t="str">
        <f>VLOOKUP(TablaCosechas[[#This Row],[COD]],Tabla7[#All],4,0)</f>
        <v>JUNIOR ESQUIVEL</v>
      </c>
      <c r="K239" s="179">
        <f>(TablaCosechas[[#This Row],[libras planta]]*454)/M239</f>
        <v>130238.88680351905</v>
      </c>
      <c r="L239" s="174">
        <v>4891.13</v>
      </c>
      <c r="M239" s="19">
        <v>17.05</v>
      </c>
      <c r="N239" s="9" t="str">
        <f>UPPER(TEXT(TablaCosechas[[#This Row],[COSECHA]],"MMMM"))</f>
        <v>OCTUBRE</v>
      </c>
      <c r="O239" s="9" t="str">
        <f>IF(A239="DO 29","BAP",IF(A239="RO 14","BAP",(VLOOKUP(TablaCosechas[[#This Row],[COD]],Tabla7[[CODIGO]:[CERTIFICACION]],3,0))))</f>
        <v>CONVENCIONAL</v>
      </c>
      <c r="P239" s="180">
        <f>+L239-E239</f>
        <v>-58.869999999999891</v>
      </c>
      <c r="Q239" s="181">
        <f>+M239-F239</f>
        <v>2.0500000000000007</v>
      </c>
      <c r="R239" s="9"/>
    </row>
    <row r="240" spans="1:18" x14ac:dyDescent="0.25">
      <c r="A240" s="9" t="s">
        <v>185</v>
      </c>
      <c r="B240" s="9">
        <f>ROW() - ROW(TablaCosechas[[#Headers],[ID]]) - 4</f>
        <v>235</v>
      </c>
      <c r="C240" s="9" t="str">
        <f>LEFT(A240,2)</f>
        <v>TU</v>
      </c>
      <c r="D240" s="182" t="s">
        <v>367</v>
      </c>
      <c r="E240" s="178">
        <v>9200</v>
      </c>
      <c r="F240" s="19">
        <v>23</v>
      </c>
      <c r="G240" s="195">
        <v>45934</v>
      </c>
      <c r="H240" s="9" t="str">
        <f>VLOOKUP(TablaCosechas[[#This Row],[COD]],DATOS!$E$3:$F$26,2,0)</f>
        <v>TUNA</v>
      </c>
      <c r="I240" s="9" t="str">
        <f>RIGHT(TablaCosechas[[#This Row],[SECTOR/PISCINA]],2)</f>
        <v>4A</v>
      </c>
      <c r="J240" s="9" t="str">
        <f>VLOOKUP(TablaCosechas[[#This Row],[COD]],Tabla7[#All],4,0)</f>
        <v>GUSTAVO CARRASCO</v>
      </c>
      <c r="K240" s="179">
        <f>(TablaCosechas[[#This Row],[libras planta]]*454)/M240</f>
        <v>170158.43865842896</v>
      </c>
      <c r="L240" s="174">
        <v>8492.93</v>
      </c>
      <c r="M240" s="19">
        <v>22.66</v>
      </c>
      <c r="N240" s="9" t="str">
        <f>UPPER(TEXT(TablaCosechas[[#This Row],[COSECHA]],"MMMM"))</f>
        <v>OCTUBRE</v>
      </c>
      <c r="O240" s="9" t="str">
        <f>IF(A240="DO 29","BAP",IF(A240="RO 14","BAP",(VLOOKUP(TablaCosechas[[#This Row],[COD]],Tabla7[[CODIGO]:[CERTIFICACION]],3,0))))</f>
        <v>ASC</v>
      </c>
      <c r="P240" s="180">
        <f>+L240-E240</f>
        <v>-707.06999999999971</v>
      </c>
      <c r="Q240" s="181">
        <f>+M240-F240</f>
        <v>-0.33999999999999986</v>
      </c>
      <c r="R240" s="9"/>
    </row>
    <row r="241" spans="1:18" x14ac:dyDescent="0.25">
      <c r="A241" s="9" t="s">
        <v>195</v>
      </c>
      <c r="B241" s="9">
        <f>ROW() - ROW(TablaCosechas[[#Headers],[ID]]) - 4</f>
        <v>236</v>
      </c>
      <c r="C241" s="9" t="str">
        <f>LEFT(A241,2)</f>
        <v>TU</v>
      </c>
      <c r="D241" s="182" t="s">
        <v>367</v>
      </c>
      <c r="E241" s="178">
        <v>10800</v>
      </c>
      <c r="F241" s="19">
        <v>21</v>
      </c>
      <c r="G241" s="195">
        <v>45934</v>
      </c>
      <c r="H241" s="9" t="str">
        <f>VLOOKUP(TablaCosechas[[#This Row],[COD]],DATOS!$E$3:$F$26,2,0)</f>
        <v>TUNA</v>
      </c>
      <c r="I241" s="9" t="str">
        <f>RIGHT(TablaCosechas[[#This Row],[SECTOR/PISCINA]],2)</f>
        <v>01</v>
      </c>
      <c r="J241" s="9" t="str">
        <f>VLOOKUP(TablaCosechas[[#This Row],[COD]],Tabla7[#All],4,0)</f>
        <v>GUSTAVO CARRASCO</v>
      </c>
      <c r="K241" s="179">
        <f>(TablaCosechas[[#This Row],[libras planta]]*454)/M241</f>
        <v>204454.39416745061</v>
      </c>
      <c r="L241" s="174">
        <v>9574.23</v>
      </c>
      <c r="M241" s="19">
        <v>21.26</v>
      </c>
      <c r="N241" s="9" t="str">
        <f>UPPER(TEXT(TablaCosechas[[#This Row],[COSECHA]],"MMMM"))</f>
        <v>OCTUBRE</v>
      </c>
      <c r="O241" s="9" t="str">
        <f>IF(A241="DO 29","BAP",IF(A241="RO 14","BAP",(VLOOKUP(TablaCosechas[[#This Row],[COD]],Tabla7[[CODIGO]:[CERTIFICACION]],3,0))))</f>
        <v>ASC</v>
      </c>
      <c r="P241" s="180">
        <f>+L241-E241</f>
        <v>-1225.7700000000004</v>
      </c>
      <c r="Q241" s="181">
        <f>+M241-F241</f>
        <v>0.26000000000000156</v>
      </c>
      <c r="R241" s="9"/>
    </row>
    <row r="242" spans="1:18" x14ac:dyDescent="0.25">
      <c r="A242" s="9" t="s">
        <v>166</v>
      </c>
      <c r="B242" s="9">
        <f>ROW() - ROW(TablaCosechas[[#Headers],[ID]]) - 4</f>
        <v>237</v>
      </c>
      <c r="C242" s="9" t="str">
        <f>LEFT(A242,2)</f>
        <v>TA</v>
      </c>
      <c r="D242" s="182" t="s">
        <v>367</v>
      </c>
      <c r="E242" s="178">
        <v>5400</v>
      </c>
      <c r="F242" s="19">
        <v>26.5</v>
      </c>
      <c r="G242" s="195">
        <v>45934</v>
      </c>
      <c r="H242" s="9" t="str">
        <f>VLOOKUP(TablaCosechas[[#This Row],[COD]],DATOS!$E$3:$F$27,2,0)</f>
        <v>TAMBULERO</v>
      </c>
      <c r="I242" s="9" t="str">
        <f>RIGHT(TablaCosechas[[#This Row],[SECTOR/PISCINA]],2)</f>
        <v>01</v>
      </c>
      <c r="J242" s="9" t="str">
        <f>VLOOKUP(TablaCosechas[[#This Row],[COD]],Tabla7[#All],4,0)</f>
        <v>ALFONSO GRUNAUER</v>
      </c>
      <c r="K242" s="179">
        <f>(TablaCosechas[[#This Row],[libras planta]]*454)/M242</f>
        <v>94216.323867996951</v>
      </c>
      <c r="L242" s="174">
        <v>5408.1</v>
      </c>
      <c r="M242" s="19">
        <v>26.06</v>
      </c>
      <c r="N242" s="9" t="str">
        <f>UPPER(TEXT(TablaCosechas[[#This Row],[COSECHA]],"MMMM"))</f>
        <v>OCTUBRE</v>
      </c>
      <c r="O242" s="9" t="str">
        <f>IF(A242="DO 29","BAP",IF(A242="RO 14","BAP",(VLOOKUP(TablaCosechas[[#This Row],[COD]],Tabla7[[CODIGO]:[CERTIFICACION]],3,0))))</f>
        <v>CONVENCIONAL</v>
      </c>
      <c r="P242" s="180">
        <f>+L242-E242</f>
        <v>8.1000000000003638</v>
      </c>
      <c r="Q242" s="181">
        <f>+M242-F242</f>
        <v>-0.44000000000000128</v>
      </c>
      <c r="R242" s="9"/>
    </row>
    <row r="243" spans="1:18" x14ac:dyDescent="0.25">
      <c r="A243" s="9" t="s">
        <v>215</v>
      </c>
      <c r="B243" s="9">
        <f>ROW() - ROW(TablaCosechas[[#Headers],[ID]]) - 4</f>
        <v>238</v>
      </c>
      <c r="C243" s="9" t="str">
        <f>LEFT(A243,2)</f>
        <v>RO</v>
      </c>
      <c r="D243" s="182" t="s">
        <v>367</v>
      </c>
      <c r="E243" s="178">
        <v>17800</v>
      </c>
      <c r="F243" s="19">
        <v>21</v>
      </c>
      <c r="G243" s="195">
        <v>45934</v>
      </c>
      <c r="H243" s="9" t="str">
        <f>VLOOKUP(TablaCosechas[[#This Row],[COD]],DATOS!$E$3:$F$27,2,0)</f>
        <v>ROBALO</v>
      </c>
      <c r="I243" s="9" t="str">
        <f>RIGHT(TablaCosechas[[#This Row],[SECTOR/PISCINA]],2)</f>
        <v>03</v>
      </c>
      <c r="J243" s="9" t="str">
        <f>VLOOKUP(TablaCosechas[[#This Row],[COD]],Tabla7[#All],4,0)</f>
        <v>VICTOR QUINTANA</v>
      </c>
      <c r="K243" s="179">
        <f>(TablaCosechas[[#This Row],[libras planta]]*454)/M243</f>
        <v>294772.67654123297</v>
      </c>
      <c r="L243" s="174">
        <v>16218.99</v>
      </c>
      <c r="M243" s="19">
        <v>24.98</v>
      </c>
      <c r="N243" s="9" t="str">
        <f>UPPER(TEXT(TablaCosechas[[#This Row],[COSECHA]],"MMMM"))</f>
        <v>OCTUBRE</v>
      </c>
      <c r="O243" s="9" t="str">
        <f>IF(A243="DO 29","BAP",IF(A243="RO 14","BAP",(VLOOKUP(TablaCosechas[[#This Row],[COD]],Tabla7[[CODIGO]:[CERTIFICACION]],3,0))))</f>
        <v>ASC</v>
      </c>
      <c r="P243" s="180">
        <f>+L243-E243</f>
        <v>-1581.0100000000002</v>
      </c>
      <c r="Q243" s="181">
        <f>+M243-F243</f>
        <v>3.9800000000000004</v>
      </c>
      <c r="R243" s="9"/>
    </row>
    <row r="244" spans="1:18" x14ac:dyDescent="0.25">
      <c r="A244" s="9" t="s">
        <v>279</v>
      </c>
      <c r="B244" s="9">
        <f>ROW() - ROW(TablaCosechas[[#Headers],[ID]]) - 4</f>
        <v>239</v>
      </c>
      <c r="C244" s="9" t="str">
        <f>LEFT(A244,2)</f>
        <v>PR</v>
      </c>
      <c r="D244" s="182" t="s">
        <v>366</v>
      </c>
      <c r="E244" s="178">
        <v>23500</v>
      </c>
      <c r="F244" s="19">
        <v>15</v>
      </c>
      <c r="G244" s="195">
        <v>45934</v>
      </c>
      <c r="H244" s="9" t="str">
        <f>VLOOKUP(TablaCosechas[[#This Row],[COD]],DATOS!$E$3:$F$27,2,0)</f>
        <v>PARGO ROJO</v>
      </c>
      <c r="I244" s="9" t="str">
        <f>RIGHT(TablaCosechas[[#This Row],[SECTOR/PISCINA]],2)</f>
        <v>30</v>
      </c>
      <c r="J244" s="9" t="str">
        <f>VLOOKUP(TablaCosechas[[#This Row],[COD]],Tabla7[#All],4,0)</f>
        <v>WILMER TORRES</v>
      </c>
      <c r="K244" s="179">
        <f>(TablaCosechas[[#This Row],[libras planta]]*454)/M244</f>
        <v>781225.84968152863</v>
      </c>
      <c r="L244" s="174">
        <v>27015.96</v>
      </c>
      <c r="M244" s="19">
        <v>15.7</v>
      </c>
      <c r="N244" s="9" t="str">
        <f>UPPER(TEXT(TablaCosechas[[#This Row],[COSECHA]],"MMMM"))</f>
        <v>OCTUBRE</v>
      </c>
      <c r="O244" s="9" t="str">
        <f>IF(A244="DO 29","BAP",IF(A244="RO 14","BAP",(VLOOKUP(TablaCosechas[[#This Row],[COD]],Tabla7[[CODIGO]:[CERTIFICACION]],3,0))))</f>
        <v>CONVENCIONAL</v>
      </c>
      <c r="P244" s="180">
        <f>+L244-E244</f>
        <v>3515.9599999999991</v>
      </c>
      <c r="Q244" s="181">
        <f>+M244-F244</f>
        <v>0.69999999999999929</v>
      </c>
      <c r="R244" s="9"/>
    </row>
    <row r="245" spans="1:18" x14ac:dyDescent="0.25">
      <c r="A245" s="9" t="s">
        <v>134</v>
      </c>
      <c r="B245" s="9">
        <f>ROW() - ROW(TablaCosechas[[#Headers],[ID]]) - 4</f>
        <v>240</v>
      </c>
      <c r="C245" s="9" t="str">
        <f>LEFT(A245,2)</f>
        <v>GT</v>
      </c>
      <c r="D245" s="182" t="s">
        <v>367</v>
      </c>
      <c r="E245" s="178">
        <v>3500</v>
      </c>
      <c r="F245" s="19">
        <v>28</v>
      </c>
      <c r="G245" s="195">
        <v>45934</v>
      </c>
      <c r="H245" s="9" t="str">
        <f>VLOOKUP(TablaCosechas[[#This Row],[COD]],DATOS!$E$3:$F$27,2,0)</f>
        <v>GUATO</v>
      </c>
      <c r="I245" s="9" t="str">
        <f>RIGHT(TablaCosechas[[#This Row],[SECTOR/PISCINA]],2)</f>
        <v>21</v>
      </c>
      <c r="J245" s="9" t="str">
        <f>VLOOKUP(TablaCosechas[[#This Row],[COD]],Tabla7[#All],4,0)</f>
        <v>JULIO SANTOS</v>
      </c>
      <c r="K245" s="179">
        <f>(TablaCosechas[[#This Row],[libras planta]]*454)/M245</f>
        <v>56049.363321799312</v>
      </c>
      <c r="L245" s="174">
        <v>3567.9</v>
      </c>
      <c r="M245" s="19">
        <v>28.9</v>
      </c>
      <c r="N245" s="9" t="str">
        <f>UPPER(TEXT(TablaCosechas[[#This Row],[COSECHA]],"MMMM"))</f>
        <v>OCTUBRE</v>
      </c>
      <c r="O245" s="9" t="str">
        <f>IF(A245="DO 29","BAP",IF(A245="RO 14","BAP",(VLOOKUP(TablaCosechas[[#This Row],[COD]],Tabla7[[CODIGO]:[CERTIFICACION]],3,0))))</f>
        <v>CONVENCIONAL</v>
      </c>
      <c r="P245" s="180">
        <f>+L245-E245</f>
        <v>67.900000000000091</v>
      </c>
      <c r="Q245" s="181">
        <f>+M245-F245</f>
        <v>0.89999999999999858</v>
      </c>
      <c r="R245" s="9"/>
    </row>
    <row r="246" spans="1:18" x14ac:dyDescent="0.25">
      <c r="A246" s="9" t="s">
        <v>132</v>
      </c>
      <c r="B246" s="9">
        <f>ROW() - ROW(TablaCosechas[[#Headers],[ID]]) - 4</f>
        <v>241</v>
      </c>
      <c r="C246" s="9" t="str">
        <f>LEFT(A246,2)</f>
        <v>DO</v>
      </c>
      <c r="D246" s="182" t="s">
        <v>366</v>
      </c>
      <c r="E246" s="178">
        <v>41500</v>
      </c>
      <c r="F246" s="19">
        <v>33</v>
      </c>
      <c r="G246" s="195">
        <v>45934</v>
      </c>
      <c r="H246" s="9" t="str">
        <f>VLOOKUP(TablaCosechas[[#This Row],[COD]],DATOS!$E$3:$F$27,2,0)</f>
        <v>DORADO</v>
      </c>
      <c r="I246" s="9" t="str">
        <f>RIGHT(TablaCosechas[[#This Row],[SECTOR/PISCINA]],2)</f>
        <v>28</v>
      </c>
      <c r="J246" s="9" t="str">
        <f>VLOOKUP(TablaCosechas[[#This Row],[COD]],Tabla7[#All],4,0)</f>
        <v>JOSE CEDEÑO</v>
      </c>
      <c r="K246" s="179">
        <f>(TablaCosechas[[#This Row],[libras planta]]*454)/M246</f>
        <v>575964.56274217588</v>
      </c>
      <c r="L246" s="174">
        <v>42563.02</v>
      </c>
      <c r="M246" s="19">
        <v>33.549999999999997</v>
      </c>
      <c r="N246" s="9" t="str">
        <f>UPPER(TEXT(TablaCosechas[[#This Row],[COSECHA]],"MMMM"))</f>
        <v>OCTUBRE</v>
      </c>
      <c r="O246" s="9" t="str">
        <f>IF(A246="DO 29","BAP",IF(A246="RO 14","BAP",(VLOOKUP(TablaCosechas[[#This Row],[COD]],Tabla7[[CODIGO]:[CERTIFICACION]],3,0))))</f>
        <v>ASC</v>
      </c>
      <c r="P246" s="180">
        <f>+L246-E246</f>
        <v>1063.0199999999968</v>
      </c>
      <c r="Q246" s="181">
        <f>+M246-F246</f>
        <v>0.54999999999999716</v>
      </c>
      <c r="R246" s="9"/>
    </row>
    <row r="247" spans="1:18" x14ac:dyDescent="0.25">
      <c r="A247" s="9" t="s">
        <v>369</v>
      </c>
      <c r="B247" s="9">
        <f>ROW() - ROW(TablaCosechas[[#Headers],[ID]]) - 4</f>
        <v>242</v>
      </c>
      <c r="C247" s="9" t="str">
        <f>LEFT(A247,2)</f>
        <v>WA</v>
      </c>
      <c r="D247" s="182" t="s">
        <v>366</v>
      </c>
      <c r="E247" s="178">
        <v>900</v>
      </c>
      <c r="F247" s="19">
        <v>28.5</v>
      </c>
      <c r="G247" s="195">
        <v>45935</v>
      </c>
      <c r="H247" s="9" t="str">
        <f>VLOOKUP(TablaCosechas[[#This Row],[COD]],DATOS!$E$3:$F$27,2,0)</f>
        <v>WAHOO</v>
      </c>
      <c r="I247" s="9" t="str">
        <f>RIGHT(TablaCosechas[[#This Row],[SECTOR/PISCINA]],2)</f>
        <v>10</v>
      </c>
      <c r="J247" s="9" t="str">
        <f>VLOOKUP(TablaCosechas[[#This Row],[COD]],Tabla7[#All],4,0)</f>
        <v>JUNIOR ESQUIVEL</v>
      </c>
      <c r="K247" s="179">
        <f>(TablaCosechas[[#This Row],[libras planta]]*454)/M247</f>
        <v>12652.851004851005</v>
      </c>
      <c r="L247" s="174">
        <v>804.32</v>
      </c>
      <c r="M247" s="19">
        <v>28.86</v>
      </c>
      <c r="N247" s="9" t="str">
        <f>UPPER(TEXT(TablaCosechas[[#This Row],[COSECHA]],"MMMM"))</f>
        <v>OCTUBRE</v>
      </c>
      <c r="O247" s="9" t="str">
        <f>IF(A247="DO 29","BAP",IF(A247="RO 14","BAP",(VLOOKUP(TablaCosechas[[#This Row],[COD]],Tabla7[[CODIGO]:[CERTIFICACION]],3,0))))</f>
        <v>CONVENCIONAL</v>
      </c>
      <c r="P247" s="180">
        <f>+L247-E247</f>
        <v>-95.67999999999995</v>
      </c>
      <c r="Q247" s="181">
        <f>+M247-F247</f>
        <v>0.35999999999999943</v>
      </c>
      <c r="R247" s="9"/>
    </row>
    <row r="248" spans="1:18" x14ac:dyDescent="0.25">
      <c r="A248" s="9" t="s">
        <v>163</v>
      </c>
      <c r="B248" s="9">
        <f>ROW() - ROW(TablaCosechas[[#Headers],[ID]]) - 4</f>
        <v>243</v>
      </c>
      <c r="C248" s="9" t="str">
        <f>LEFT(A248,2)</f>
        <v>WA</v>
      </c>
      <c r="D248" s="182" t="s">
        <v>366</v>
      </c>
      <c r="E248" s="178">
        <f>26400+3000</f>
        <v>29400</v>
      </c>
      <c r="F248" s="19">
        <v>26.5</v>
      </c>
      <c r="G248" s="195">
        <v>45935</v>
      </c>
      <c r="H248" s="9" t="str">
        <f>VLOOKUP(TablaCosechas[[#This Row],[COD]],DATOS!$E$3:$F$27,2,0)</f>
        <v>WAHOO</v>
      </c>
      <c r="I248" s="9" t="str">
        <f>RIGHT(TablaCosechas[[#This Row],[SECTOR/PISCINA]],2)</f>
        <v>37</v>
      </c>
      <c r="J248" s="9" t="str">
        <f>VLOOKUP(TablaCosechas[[#This Row],[COD]],Tabla7[#All],4,0)</f>
        <v>JUNIOR ESQUIVEL</v>
      </c>
      <c r="K248" s="179">
        <f>(TablaCosechas[[#This Row],[libras planta]]*454)/M248</f>
        <v>509324.76787030208</v>
      </c>
      <c r="L248" s="174">
        <f>27163.93+3283.37</f>
        <v>30447.3</v>
      </c>
      <c r="M248" s="19">
        <v>27.14</v>
      </c>
      <c r="N248" s="9" t="str">
        <f>UPPER(TEXT(TablaCosechas[[#This Row],[COSECHA]],"MMMM"))</f>
        <v>OCTUBRE</v>
      </c>
      <c r="O248" s="9" t="str">
        <f>IF(A248="DO 29","BAP",IF(A248="RO 14","BAP",(VLOOKUP(TablaCosechas[[#This Row],[COD]],Tabla7[[CODIGO]:[CERTIFICACION]],3,0))))</f>
        <v>CONVENCIONAL</v>
      </c>
      <c r="P248" s="180">
        <f>+L248-E248</f>
        <v>1047.2999999999993</v>
      </c>
      <c r="Q248" s="181">
        <f>+M248-F248</f>
        <v>0.64000000000000057</v>
      </c>
      <c r="R248" s="9"/>
    </row>
    <row r="249" spans="1:18" x14ac:dyDescent="0.25">
      <c r="A249" s="9" t="s">
        <v>23</v>
      </c>
      <c r="B249" s="9">
        <f>ROW() - ROW(TablaCosechas[[#Headers],[ID]]) - 4</f>
        <v>244</v>
      </c>
      <c r="C249" s="9" t="str">
        <f>LEFT(A249,2)</f>
        <v>CH</v>
      </c>
      <c r="D249" s="182" t="s">
        <v>366</v>
      </c>
      <c r="E249" s="178">
        <f>48200+300</f>
        <v>48500</v>
      </c>
      <c r="F249" s="19">
        <v>32</v>
      </c>
      <c r="G249" s="195">
        <v>45935</v>
      </c>
      <c r="H249" s="9" t="str">
        <f>VLOOKUP(TablaCosechas[[#This Row],[COD]],DATOS!$E$3:$F$27,2,0)</f>
        <v>CHERNA</v>
      </c>
      <c r="I249" s="9" t="str">
        <f>RIGHT(TablaCosechas[[#This Row],[SECTOR/PISCINA]],2)</f>
        <v>18</v>
      </c>
      <c r="J249" s="9" t="str">
        <f>VLOOKUP(TablaCosechas[[#This Row],[COD]],Tabla7[#All],4,0)</f>
        <v>SANTIAGO OBRIEN</v>
      </c>
      <c r="K249" s="179">
        <f>(TablaCosechas[[#This Row],[libras planta]]*454)/M249</f>
        <v>673665.16605839413</v>
      </c>
      <c r="L249" s="174">
        <f>48603.03+185.76</f>
        <v>48788.79</v>
      </c>
      <c r="M249" s="19">
        <v>32.880000000000003</v>
      </c>
      <c r="N249" s="9" t="str">
        <f>UPPER(TEXT(TablaCosechas[[#This Row],[COSECHA]],"MMMM"))</f>
        <v>OCTUBRE</v>
      </c>
      <c r="O249" s="9" t="str">
        <f>IF(A249="DO 29","BAP",IF(A249="RO 14","BAP",(VLOOKUP(TablaCosechas[[#This Row],[COD]],Tabla7[[CODIGO]:[CERTIFICACION]],3,0))))</f>
        <v>ASC</v>
      </c>
      <c r="P249" s="180">
        <f>+L249-E249</f>
        <v>288.79000000000087</v>
      </c>
      <c r="Q249" s="181">
        <f>+M249-F249</f>
        <v>0.88000000000000256</v>
      </c>
      <c r="R249" s="9"/>
    </row>
    <row r="250" spans="1:18" x14ac:dyDescent="0.25">
      <c r="A250" s="9" t="s">
        <v>110</v>
      </c>
      <c r="B250" s="9">
        <f>ROW() - ROW(TablaCosechas[[#Headers],[ID]]) - 4</f>
        <v>245</v>
      </c>
      <c r="C250" s="9" t="str">
        <f>LEFT(A250,2)</f>
        <v>CA</v>
      </c>
      <c r="D250" s="182" t="s">
        <v>366</v>
      </c>
      <c r="E250" s="178">
        <v>37600</v>
      </c>
      <c r="F250" s="19">
        <v>28.5</v>
      </c>
      <c r="G250" s="195">
        <v>45935</v>
      </c>
      <c r="H250" s="9" t="str">
        <f>VLOOKUP(TablaCosechas[[#This Row],[COD]],DATOS!$E$3:$F$27,2,0)</f>
        <v>CATANUDA</v>
      </c>
      <c r="I250" s="9" t="str">
        <f>RIGHT(TablaCosechas[[#This Row],[SECTOR/PISCINA]],2)</f>
        <v>17</v>
      </c>
      <c r="J250" s="9" t="str">
        <f>VLOOKUP(TablaCosechas[[#This Row],[COD]],Tabla7[#All],4,0)</f>
        <v>VICTOR QUINTANA</v>
      </c>
      <c r="K250" s="179">
        <f>(TablaCosechas[[#This Row],[libras planta]]*454)/M250</f>
        <v>601499.23100490193</v>
      </c>
      <c r="L250" s="174">
        <v>43244.35</v>
      </c>
      <c r="M250" s="19">
        <v>32.64</v>
      </c>
      <c r="N250" s="9" t="str">
        <f>UPPER(TEXT(TablaCosechas[[#This Row],[COSECHA]],"MMMM"))</f>
        <v>OCTUBRE</v>
      </c>
      <c r="O250" s="9" t="str">
        <f>IF(A250="DO 29","BAP",IF(A250="RO 14","BAP",(VLOOKUP(TablaCosechas[[#This Row],[COD]],Tabla7[[CODIGO]:[CERTIFICACION]],3,0))))</f>
        <v>ASC</v>
      </c>
      <c r="P250" s="180">
        <f>+L250-E250</f>
        <v>5644.3499999999985</v>
      </c>
      <c r="Q250" s="181">
        <f>+M250-F250</f>
        <v>4.1400000000000006</v>
      </c>
      <c r="R250" s="9"/>
    </row>
    <row r="251" spans="1:18" x14ac:dyDescent="0.25">
      <c r="A251" s="9" t="s">
        <v>188</v>
      </c>
      <c r="B251" s="9">
        <f>ROW() - ROW(TablaCosechas[[#Headers],[ID]]) - 4</f>
        <v>246</v>
      </c>
      <c r="C251" s="9" t="str">
        <f>LEFT(A251,2)</f>
        <v>TI</v>
      </c>
      <c r="D251" s="182" t="s">
        <v>367</v>
      </c>
      <c r="E251" s="178">
        <v>13000</v>
      </c>
      <c r="F251" s="19">
        <v>24.5</v>
      </c>
      <c r="G251" s="195">
        <v>45936</v>
      </c>
      <c r="H251" s="9" t="str">
        <f>VLOOKUP(TablaCosechas[[#This Row],[COD]],DATOS!$E$3:$F$26,2,0)</f>
        <v>TIBURON</v>
      </c>
      <c r="I251" s="9" t="str">
        <f>RIGHT(TablaCosechas[[#This Row],[SECTOR/PISCINA]],2)</f>
        <v>03</v>
      </c>
      <c r="J251" s="9" t="str">
        <f>VLOOKUP(TablaCosechas[[#This Row],[COD]],Tabla7[#All],4,0)</f>
        <v>ALFONSO GRUNAUER</v>
      </c>
      <c r="K251" s="179">
        <f>(TablaCosechas[[#This Row],[libras planta]]*454)/M251</f>
        <v>233085.80642504117</v>
      </c>
      <c r="L251" s="174">
        <v>12465.47</v>
      </c>
      <c r="M251" s="19">
        <v>24.28</v>
      </c>
      <c r="N251" s="9" t="str">
        <f>UPPER(TEXT(TablaCosechas[[#This Row],[COSECHA]],"MMMM"))</f>
        <v>OCTUBRE</v>
      </c>
      <c r="O251" s="9" t="str">
        <f>IF(A251="DO 29","BAP",IF(A251="RO 14","BAP",(VLOOKUP(TablaCosechas[[#This Row],[COD]],Tabla7[[CODIGO]:[CERTIFICACION]],3,0))))</f>
        <v>ASC</v>
      </c>
      <c r="P251" s="180">
        <f>+L251-E251</f>
        <v>-534.53000000000065</v>
      </c>
      <c r="Q251" s="181">
        <f>+M251-F251</f>
        <v>-0.21999999999999886</v>
      </c>
      <c r="R251" s="9"/>
    </row>
    <row r="252" spans="1:18" x14ac:dyDescent="0.25">
      <c r="A252" s="9" t="s">
        <v>187</v>
      </c>
      <c r="B252" s="9">
        <f>ROW() - ROW(TablaCosechas[[#Headers],[ID]]) - 4</f>
        <v>247</v>
      </c>
      <c r="C252" s="9" t="str">
        <f>LEFT(A252,2)</f>
        <v>DE</v>
      </c>
      <c r="D252" s="182" t="s">
        <v>367</v>
      </c>
      <c r="E252" s="178">
        <v>4000</v>
      </c>
      <c r="F252" s="19">
        <v>27</v>
      </c>
      <c r="G252" s="195">
        <v>45936</v>
      </c>
      <c r="H252" s="9" t="str">
        <f>VLOOKUP(TablaCosechas[[#This Row],[COD]],DATOS!$E$3:$F$26,2,0)</f>
        <v>DELFIN</v>
      </c>
      <c r="I252" s="9" t="str">
        <f>RIGHT(TablaCosechas[[#This Row],[SECTOR/PISCINA]],2)</f>
        <v>22</v>
      </c>
      <c r="J252" s="9" t="str">
        <f>VLOOKUP(TablaCosechas[[#This Row],[COD]],Tabla7[#All],4,0)</f>
        <v>CARLOS FLORES</v>
      </c>
      <c r="K252" s="179">
        <f>(TablaCosechas[[#This Row],[libras planta]]*454)/M252</f>
        <v>72741.641791044778</v>
      </c>
      <c r="L252" s="174">
        <v>4294</v>
      </c>
      <c r="M252" s="19">
        <v>26.8</v>
      </c>
      <c r="N252" s="9" t="str">
        <f>UPPER(TEXT(TablaCosechas[[#This Row],[COSECHA]],"MMMM"))</f>
        <v>OCTUBRE</v>
      </c>
      <c r="O252" s="9" t="str">
        <f>IF(A252="DO 29","BAP",IF(A252="RO 14","BAP",(VLOOKUP(TablaCosechas[[#This Row],[COD]],Tabla7[[CODIGO]:[CERTIFICACION]],3,0))))</f>
        <v>CONVENCIONAL</v>
      </c>
      <c r="P252" s="180">
        <f>+L252-E252</f>
        <v>294</v>
      </c>
      <c r="Q252" s="181">
        <f>+M252-F252</f>
        <v>-0.19999999999999929</v>
      </c>
      <c r="R252" s="9"/>
    </row>
    <row r="253" spans="1:18" x14ac:dyDescent="0.25">
      <c r="A253" s="9" t="s">
        <v>193</v>
      </c>
      <c r="B253" s="9">
        <f>ROW() - ROW(TablaCosechas[[#Headers],[ID]]) - 4</f>
        <v>248</v>
      </c>
      <c r="C253" s="9" t="str">
        <f>LEFT(A253,2)</f>
        <v>DE</v>
      </c>
      <c r="D253" s="182" t="s">
        <v>367</v>
      </c>
      <c r="E253" s="178">
        <v>4000</v>
      </c>
      <c r="F253" s="19">
        <v>26</v>
      </c>
      <c r="G253" s="195">
        <v>45936</v>
      </c>
      <c r="H253" s="9" t="str">
        <f>VLOOKUP(TablaCosechas[[#This Row],[COD]],DATOS!$E$3:$F$26,2,0)</f>
        <v>DELFIN</v>
      </c>
      <c r="I253" s="9" t="str">
        <f>RIGHT(TablaCosechas[[#This Row],[SECTOR/PISCINA]],2)</f>
        <v>21</v>
      </c>
      <c r="J253" s="9" t="str">
        <f>VLOOKUP(TablaCosechas[[#This Row],[COD]],Tabla7[#All],4,0)</f>
        <v>CARLOS FLORES</v>
      </c>
      <c r="K253" s="179">
        <f>(TablaCosechas[[#This Row],[libras planta]]*454)/M253</f>
        <v>67632.393778452199</v>
      </c>
      <c r="L253" s="174">
        <v>3926.85</v>
      </c>
      <c r="M253" s="19">
        <v>26.36</v>
      </c>
      <c r="N253" s="9" t="str">
        <f>UPPER(TEXT(TablaCosechas[[#This Row],[COSECHA]],"MMMM"))</f>
        <v>OCTUBRE</v>
      </c>
      <c r="O253" s="9" t="str">
        <f>IF(A253="DO 29","BAP",IF(A253="RO 14","BAP",(VLOOKUP(TablaCosechas[[#This Row],[COD]],Tabla7[[CODIGO]:[CERTIFICACION]],3,0))))</f>
        <v>CONVENCIONAL</v>
      </c>
      <c r="P253" s="180">
        <f>+L253-E253</f>
        <v>-73.150000000000091</v>
      </c>
      <c r="Q253" s="181">
        <f>+M253-F253</f>
        <v>0.35999999999999943</v>
      </c>
      <c r="R253" s="9"/>
    </row>
    <row r="254" spans="1:18" x14ac:dyDescent="0.25">
      <c r="A254" s="9" t="s">
        <v>22</v>
      </c>
      <c r="B254" s="9">
        <f>ROW() - ROW(TablaCosechas[[#Headers],[ID]]) - 4</f>
        <v>249</v>
      </c>
      <c r="C254" s="9" t="str">
        <f>LEFT(A254,2)</f>
        <v>CH</v>
      </c>
      <c r="D254" s="182" t="s">
        <v>367</v>
      </c>
      <c r="E254" s="178">
        <v>12000</v>
      </c>
      <c r="F254" s="19">
        <v>25</v>
      </c>
      <c r="G254" s="195">
        <v>45936</v>
      </c>
      <c r="H254" s="9" t="str">
        <f>VLOOKUP(TablaCosechas[[#This Row],[COD]],DATOS!$E$3:$F$26,2,0)</f>
        <v>CHERNA</v>
      </c>
      <c r="I254" s="9" t="str">
        <f>RIGHT(TablaCosechas[[#This Row],[SECTOR/PISCINA]],2)</f>
        <v>16</v>
      </c>
      <c r="J254" s="9" t="str">
        <f>VLOOKUP(TablaCosechas[[#This Row],[COD]],Tabla7[#All],4,0)</f>
        <v>SANTIAGO OBRIEN</v>
      </c>
      <c r="K254" s="179">
        <f>(TablaCosechas[[#This Row],[libras planta]]*454)/M254</f>
        <v>217140.28054662378</v>
      </c>
      <c r="L254" s="174">
        <v>11899.67</v>
      </c>
      <c r="M254" s="19">
        <v>24.88</v>
      </c>
      <c r="N254" s="9" t="str">
        <f>UPPER(TEXT(TablaCosechas[[#This Row],[COSECHA]],"MMMM"))</f>
        <v>OCTUBRE</v>
      </c>
      <c r="O254" s="9" t="str">
        <f>IF(A254="DO 29","BAP",IF(A254="RO 14","BAP",(VLOOKUP(TablaCosechas[[#This Row],[COD]],Tabla7[[CODIGO]:[CERTIFICACION]],3,0))))</f>
        <v>ASC</v>
      </c>
      <c r="P254" s="180">
        <f>+L254-E254</f>
        <v>-100.32999999999993</v>
      </c>
      <c r="Q254" s="181">
        <f>+M254-F254</f>
        <v>-0.12000000000000099</v>
      </c>
      <c r="R254" s="9"/>
    </row>
    <row r="255" spans="1:18" x14ac:dyDescent="0.25">
      <c r="A255" s="9" t="s">
        <v>200</v>
      </c>
      <c r="B255" s="9">
        <f>ROW() - ROW(TablaCosechas[[#Headers],[ID]]) - 4</f>
        <v>250</v>
      </c>
      <c r="C255" s="9" t="str">
        <f>LEFT(A255,2)</f>
        <v>CA</v>
      </c>
      <c r="D255" s="182" t="s">
        <v>367</v>
      </c>
      <c r="E255" s="178">
        <v>20000</v>
      </c>
      <c r="F255" s="19">
        <v>25</v>
      </c>
      <c r="G255" s="195">
        <v>45936</v>
      </c>
      <c r="H255" s="9" t="str">
        <f>VLOOKUP(TablaCosechas[[#This Row],[COD]],DATOS!$E$3:$F$27,2,0)</f>
        <v>CATANUDA</v>
      </c>
      <c r="I255" s="9" t="str">
        <f>RIGHT(TablaCosechas[[#This Row],[SECTOR/PISCINA]],2)</f>
        <v>03</v>
      </c>
      <c r="J255" s="9" t="str">
        <f>VLOOKUP(TablaCosechas[[#This Row],[COD]],Tabla7[#All],4,0)</f>
        <v>VICTOR QUINTANA</v>
      </c>
      <c r="K255" s="179">
        <f>(TablaCosechas[[#This Row],[libras planta]]*454)/M255</f>
        <v>320176.80383480823</v>
      </c>
      <c r="L255" s="174">
        <v>19125.98</v>
      </c>
      <c r="M255" s="19">
        <v>27.12</v>
      </c>
      <c r="N255" s="9" t="str">
        <f>UPPER(TEXT(TablaCosechas[[#This Row],[COSECHA]],"MMMM"))</f>
        <v>OCTUBRE</v>
      </c>
      <c r="O255" s="9" t="str">
        <f>IF(A255="DO 29","BAP",IF(A255="RO 14","BAP",(VLOOKUP(TablaCosechas[[#This Row],[COD]],Tabla7[[CODIGO]:[CERTIFICACION]],3,0))))</f>
        <v>ASC</v>
      </c>
      <c r="P255" s="180">
        <f>+L255-E255</f>
        <v>-874.02000000000044</v>
      </c>
      <c r="Q255" s="181">
        <f>+M255-F255</f>
        <v>2.120000000000001</v>
      </c>
      <c r="R255" s="9"/>
    </row>
    <row r="256" spans="1:18" x14ac:dyDescent="0.25">
      <c r="A256" s="9" t="s">
        <v>209</v>
      </c>
      <c r="B256" s="9">
        <f>ROW() - ROW(TablaCosechas[[#Headers],[ID]]) - 4</f>
        <v>251</v>
      </c>
      <c r="C256" s="9" t="str">
        <f>LEFT(A256,2)</f>
        <v>BA</v>
      </c>
      <c r="D256" s="182" t="s">
        <v>367</v>
      </c>
      <c r="E256" s="178">
        <v>5700</v>
      </c>
      <c r="F256" s="19">
        <v>22</v>
      </c>
      <c r="G256" s="195">
        <v>45936</v>
      </c>
      <c r="H256" s="9" t="str">
        <f>VLOOKUP(TablaCosechas[[#This Row],[COD]],DATOS!$E$3:$F$27,2,0)</f>
        <v>BARRACUDA</v>
      </c>
      <c r="I256" s="9" t="str">
        <f>RIGHT(TablaCosechas[[#This Row],[SECTOR/PISCINA]],2)</f>
        <v>05</v>
      </c>
      <c r="J256" s="9" t="str">
        <f>VLOOKUP(TablaCosechas[[#This Row],[COD]],Tabla7[#All],4,0)</f>
        <v>GUSTAVO CARRASCO</v>
      </c>
      <c r="K256" s="179">
        <f>(TablaCosechas[[#This Row],[libras planta]]*454)/M256</f>
        <v>111894.92920353984</v>
      </c>
      <c r="L256" s="174">
        <v>5570.1</v>
      </c>
      <c r="M256" s="19">
        <v>22.6</v>
      </c>
      <c r="N256" s="9" t="str">
        <f>UPPER(TEXT(TablaCosechas[[#This Row],[COSECHA]],"MMMM"))</f>
        <v>OCTUBRE</v>
      </c>
      <c r="O256" s="9" t="str">
        <f>IF(A256="DO 29","BAP",IF(A256="RO 14","BAP",(VLOOKUP(TablaCosechas[[#This Row],[COD]],Tabla7[[CODIGO]:[CERTIFICACION]],3,0))))</f>
        <v>CONVENCIONAL</v>
      </c>
      <c r="P256" s="180">
        <f>+L256-E256</f>
        <v>-129.89999999999964</v>
      </c>
      <c r="Q256" s="181">
        <f>+M256-F256</f>
        <v>0.60000000000000142</v>
      </c>
      <c r="R256" s="9"/>
    </row>
    <row r="257" spans="1:18" x14ac:dyDescent="0.25">
      <c r="A257" s="9" t="s">
        <v>202</v>
      </c>
      <c r="B257" s="9">
        <f>ROW() - ROW(TablaCosechas[[#Headers],[ID]]) - 4</f>
        <v>252</v>
      </c>
      <c r="C257" s="9" t="str">
        <f>LEFT(A257,2)</f>
        <v>BA</v>
      </c>
      <c r="D257" s="182" t="s">
        <v>367</v>
      </c>
      <c r="E257" s="178">
        <v>14000</v>
      </c>
      <c r="F257" s="19">
        <v>22</v>
      </c>
      <c r="G257" s="195">
        <v>45936</v>
      </c>
      <c r="H257" s="9" t="str">
        <f>VLOOKUP(TablaCosechas[[#This Row],[COD]],DATOS!$E$3:$F$26,2,0)</f>
        <v>BARRACUDA</v>
      </c>
      <c r="I257" s="9" t="str">
        <f>RIGHT(TablaCosechas[[#This Row],[SECTOR/PISCINA]],2)</f>
        <v>04</v>
      </c>
      <c r="J257" s="9" t="str">
        <f>VLOOKUP(TablaCosechas[[#This Row],[COD]],Tabla7[#All],4,0)</f>
        <v>GUSTAVO CARRASCO</v>
      </c>
      <c r="K257" s="179">
        <f>(TablaCosechas[[#This Row],[libras planta]]*454)/M257</f>
        <v>277041.53727506427</v>
      </c>
      <c r="L257" s="174">
        <v>14242.62</v>
      </c>
      <c r="M257" s="19">
        <v>23.34</v>
      </c>
      <c r="N257" s="9" t="str">
        <f>UPPER(TEXT(TablaCosechas[[#This Row],[COSECHA]],"MMMM"))</f>
        <v>OCTUBRE</v>
      </c>
      <c r="O257" s="9" t="str">
        <f>IF(A257="DO 29","BAP",IF(A257="RO 14","BAP",(VLOOKUP(TablaCosechas[[#This Row],[COD]],Tabla7[[CODIGO]:[CERTIFICACION]],3,0))))</f>
        <v>CONVENCIONAL</v>
      </c>
      <c r="P257" s="180">
        <f>+L257-E257</f>
        <v>242.6200000000008</v>
      </c>
      <c r="Q257" s="181">
        <f>+M257-F257</f>
        <v>1.3399999999999999</v>
      </c>
      <c r="R257" s="9"/>
    </row>
    <row r="258" spans="1:18" x14ac:dyDescent="0.25">
      <c r="A258" s="9" t="s">
        <v>232</v>
      </c>
      <c r="B258" s="9">
        <f>ROW() - ROW(TablaCosechas[[#Headers],[ID]]) - 4</f>
        <v>253</v>
      </c>
      <c r="C258" s="9" t="str">
        <f>LEFT(A258,2)</f>
        <v>TI</v>
      </c>
      <c r="D258" s="182" t="s">
        <v>367</v>
      </c>
      <c r="E258" s="178">
        <v>10150</v>
      </c>
      <c r="F258" s="19">
        <v>20</v>
      </c>
      <c r="G258" s="195">
        <v>45937</v>
      </c>
      <c r="H258" s="9" t="str">
        <f>VLOOKUP(TablaCosechas[[#This Row],[COD]],DATOS!$E$3:$F$26,2,0)</f>
        <v>TIBURON</v>
      </c>
      <c r="I258" s="9" t="str">
        <f>RIGHT(TablaCosechas[[#This Row],[SECTOR/PISCINA]],2)</f>
        <v>09</v>
      </c>
      <c r="J258" s="9" t="str">
        <f>VLOOKUP(TablaCosechas[[#This Row],[COD]],Tabla7[#All],4,0)</f>
        <v>ALFONSO GRUNAUER</v>
      </c>
      <c r="K258" s="179">
        <f>(TablaCosechas[[#This Row],[libras planta]]*454)/M258</f>
        <v>227022.55515041022</v>
      </c>
      <c r="L258" s="174">
        <v>10971.09</v>
      </c>
      <c r="M258" s="19">
        <v>21.94</v>
      </c>
      <c r="N258" s="9" t="str">
        <f>UPPER(TEXT(TablaCosechas[[#This Row],[COSECHA]],"MMMM"))</f>
        <v>OCTUBRE</v>
      </c>
      <c r="O258" s="9" t="str">
        <f>IF(A258="DO 29","BAP",IF(A258="RO 14","BAP",(VLOOKUP(TablaCosechas[[#This Row],[COD]],Tabla7[[CODIGO]:[CERTIFICACION]],3,0))))</f>
        <v>ASC</v>
      </c>
      <c r="P258" s="180">
        <f>+L258-E258</f>
        <v>821.09000000000015</v>
      </c>
      <c r="Q258" s="181">
        <f>+M258-F258</f>
        <v>1.9400000000000013</v>
      </c>
      <c r="R258" s="9"/>
    </row>
    <row r="259" spans="1:18" x14ac:dyDescent="0.25">
      <c r="A259" s="9" t="s">
        <v>216</v>
      </c>
      <c r="B259" s="9">
        <f>ROW() - ROW(TablaCosechas[[#Headers],[ID]]) - 4</f>
        <v>254</v>
      </c>
      <c r="C259" s="9" t="str">
        <f>LEFT(A259,2)</f>
        <v>DO</v>
      </c>
      <c r="D259" s="182" t="s">
        <v>367</v>
      </c>
      <c r="E259" s="178">
        <v>25200</v>
      </c>
      <c r="F259" s="19">
        <v>23</v>
      </c>
      <c r="G259" s="195">
        <v>45937</v>
      </c>
      <c r="H259" s="9" t="str">
        <f>VLOOKUP(TablaCosechas[[#This Row],[COD]],DATOS!$E$3:$F$27,2,0)</f>
        <v>DORADO</v>
      </c>
      <c r="I259" s="9" t="str">
        <f>RIGHT(TablaCosechas[[#This Row],[SECTOR/PISCINA]],2)</f>
        <v>21</v>
      </c>
      <c r="J259" s="9" t="str">
        <f>VLOOKUP(TablaCosechas[[#This Row],[COD]],Tabla7[#All],4,0)</f>
        <v>JOSE CEDEÑO</v>
      </c>
      <c r="K259" s="179">
        <f>(TablaCosechas[[#This Row],[libras planta]]*454)/M259</f>
        <v>463243.41158059478</v>
      </c>
      <c r="L259" s="174">
        <v>26080.400000000001</v>
      </c>
      <c r="M259" s="19">
        <v>25.56</v>
      </c>
      <c r="N259" s="9" t="str">
        <f>UPPER(TEXT(TablaCosechas[[#This Row],[COSECHA]],"MMMM"))</f>
        <v>OCTUBRE</v>
      </c>
      <c r="O259" s="9" t="str">
        <f>IF(A259="DO 29","BAP",IF(A259="RO 14","BAP",(VLOOKUP(TablaCosechas[[#This Row],[COD]],Tabla7[[CODIGO]:[CERTIFICACION]],3,0))))</f>
        <v>ASC</v>
      </c>
      <c r="P259" s="180">
        <f>+L259-E259</f>
        <v>880.40000000000146</v>
      </c>
      <c r="Q259" s="181">
        <f>+M259-F259</f>
        <v>2.5599999999999987</v>
      </c>
      <c r="R259" s="9"/>
    </row>
    <row r="260" spans="1:18" x14ac:dyDescent="0.25">
      <c r="A260" s="9" t="s">
        <v>27</v>
      </c>
      <c r="B260" s="9">
        <f>ROW() - ROW(TablaCosechas[[#Headers],[ID]]) - 4</f>
        <v>255</v>
      </c>
      <c r="C260" s="9" t="str">
        <f>LEFT(A260,2)</f>
        <v>CH</v>
      </c>
      <c r="D260" s="182" t="s">
        <v>367</v>
      </c>
      <c r="E260" s="178">
        <v>5550</v>
      </c>
      <c r="F260" s="19">
        <v>29.5</v>
      </c>
      <c r="G260" s="195">
        <v>45937</v>
      </c>
      <c r="H260" s="9" t="str">
        <f>VLOOKUP(TablaCosechas[[#This Row],[COD]],DATOS!$E$3:$F$26,2,0)</f>
        <v>CHERNA</v>
      </c>
      <c r="I260" s="9" t="str">
        <f>RIGHT(TablaCosechas[[#This Row],[SECTOR/PISCINA]],2)</f>
        <v>24</v>
      </c>
      <c r="J260" s="9" t="str">
        <f>VLOOKUP(TablaCosechas[[#This Row],[COD]],Tabla7[#All],4,0)</f>
        <v>SANTIAGO OBRIEN</v>
      </c>
      <c r="K260" s="179">
        <f>(TablaCosechas[[#This Row],[libras planta]]*454)/M260</f>
        <v>93982.665485471298</v>
      </c>
      <c r="L260" s="174">
        <v>5841.83</v>
      </c>
      <c r="M260" s="19">
        <v>28.22</v>
      </c>
      <c r="N260" s="9" t="str">
        <f>UPPER(TEXT(TablaCosechas[[#This Row],[COSECHA]],"MMMM"))</f>
        <v>OCTUBRE</v>
      </c>
      <c r="O260" s="9" t="str">
        <f>IF(A260="DO 29","BAP",IF(A260="RO 14","BAP",(VLOOKUP(TablaCosechas[[#This Row],[COD]],Tabla7[[CODIGO]:[CERTIFICACION]],3,0))))</f>
        <v>ASC</v>
      </c>
      <c r="P260" s="180">
        <f>+L260-E260</f>
        <v>291.82999999999993</v>
      </c>
      <c r="Q260" s="181">
        <f>+M260-F260</f>
        <v>-1.2800000000000011</v>
      </c>
      <c r="R260" s="9"/>
    </row>
    <row r="261" spans="1:18" x14ac:dyDescent="0.25">
      <c r="A261" s="9" t="s">
        <v>212</v>
      </c>
      <c r="B261" s="9">
        <f>ROW() - ROW(TablaCosechas[[#Headers],[ID]]) - 4</f>
        <v>256</v>
      </c>
      <c r="C261" s="9" t="str">
        <f>LEFT(A261,2)</f>
        <v>CA</v>
      </c>
      <c r="D261" s="182" t="s">
        <v>367</v>
      </c>
      <c r="E261" s="178">
        <v>17600</v>
      </c>
      <c r="F261" s="19">
        <v>18</v>
      </c>
      <c r="G261" s="195">
        <v>45937</v>
      </c>
      <c r="H261" s="9" t="str">
        <f>VLOOKUP(TablaCosechas[[#This Row],[COD]],DATOS!$E$3:$F$26,2,0)</f>
        <v>CATANUDA</v>
      </c>
      <c r="I261" s="9" t="str">
        <f>RIGHT(TablaCosechas[[#This Row],[SECTOR/PISCINA]],2)</f>
        <v>09</v>
      </c>
      <c r="J261" s="9" t="str">
        <f>VLOOKUP(TablaCosechas[[#This Row],[COD]],Tabla7[#All],4,0)</f>
        <v>VICTOR QUINTANA</v>
      </c>
      <c r="K261" s="179">
        <f>(TablaCosechas[[#This Row],[libras planta]]*454)/M261</f>
        <v>380454.31847725168</v>
      </c>
      <c r="L261" s="174">
        <v>18050.63</v>
      </c>
      <c r="M261" s="19">
        <v>21.54</v>
      </c>
      <c r="N261" s="9" t="str">
        <f>UPPER(TEXT(TablaCosechas[[#This Row],[COSECHA]],"MMMM"))</f>
        <v>OCTUBRE</v>
      </c>
      <c r="O261" s="9" t="str">
        <f>IF(A261="DO 29","BAP",IF(A261="RO 14","BAP",(VLOOKUP(TablaCosechas[[#This Row],[COD]],Tabla7[[CODIGO]:[CERTIFICACION]],3,0))))</f>
        <v>ASC</v>
      </c>
      <c r="P261" s="180">
        <f>+L261-E261</f>
        <v>450.63000000000102</v>
      </c>
      <c r="Q261" s="181">
        <f>+M261-F261</f>
        <v>3.5399999999999991</v>
      </c>
      <c r="R261" s="9"/>
    </row>
    <row r="262" spans="1:18" x14ac:dyDescent="0.25">
      <c r="A262" s="9" t="s">
        <v>241</v>
      </c>
      <c r="B262" s="9">
        <f>ROW() - ROW(TablaCosechas[[#Headers],[ID]]) - 4</f>
        <v>257</v>
      </c>
      <c r="C262" s="9" t="str">
        <f>LEFT(A262,2)</f>
        <v>BA</v>
      </c>
      <c r="D262" s="182" t="s">
        <v>367</v>
      </c>
      <c r="E262" s="178">
        <v>6400</v>
      </c>
      <c r="F262" s="19">
        <v>18</v>
      </c>
      <c r="G262" s="195">
        <v>45937</v>
      </c>
      <c r="H262" s="9" t="str">
        <f>VLOOKUP(TablaCosechas[[#This Row],[COD]],DATOS!$E$3:$F$27,2,0)</f>
        <v>BARRACUDA</v>
      </c>
      <c r="I262" s="9" t="str">
        <f>RIGHT(TablaCosechas[[#This Row],[SECTOR/PISCINA]],2)</f>
        <v>06</v>
      </c>
      <c r="J262" s="9" t="str">
        <f>VLOOKUP(TablaCosechas[[#This Row],[COD]],Tabla7[#All],4,0)</f>
        <v>GUSTAVO CARRASCO</v>
      </c>
      <c r="K262" s="179">
        <f>(TablaCosechas[[#This Row],[libras planta]]*454)/M262</f>
        <v>130438.7505827506</v>
      </c>
      <c r="L262" s="174">
        <v>6162.8</v>
      </c>
      <c r="M262" s="19">
        <v>21.45</v>
      </c>
      <c r="N262" s="9" t="str">
        <f>UPPER(TEXT(TablaCosechas[[#This Row],[COSECHA]],"MMMM"))</f>
        <v>OCTUBRE</v>
      </c>
      <c r="O262" s="9" t="str">
        <f>IF(A262="DO 29","BAP",IF(A262="RO 14","BAP",(VLOOKUP(TablaCosechas[[#This Row],[COD]],Tabla7[[CODIGO]:[CERTIFICACION]],3,0))))</f>
        <v>CONVENCIONAL</v>
      </c>
      <c r="P262" s="180">
        <f>+L262-E262</f>
        <v>-237.19999999999982</v>
      </c>
      <c r="Q262" s="181">
        <f>+M262-F262</f>
        <v>3.4499999999999993</v>
      </c>
      <c r="R262" s="9"/>
    </row>
    <row r="263" spans="1:18" x14ac:dyDescent="0.25">
      <c r="A263" s="9" t="s">
        <v>207</v>
      </c>
      <c r="B263" s="9">
        <f>ROW() - ROW(TablaCosechas[[#Headers],[ID]]) - 4</f>
        <v>258</v>
      </c>
      <c r="C263" s="9" t="str">
        <f>LEFT(A263,2)</f>
        <v>BA</v>
      </c>
      <c r="D263" s="182" t="s">
        <v>367</v>
      </c>
      <c r="E263" s="178">
        <v>4550</v>
      </c>
      <c r="F263" s="19">
        <v>21</v>
      </c>
      <c r="G263" s="195">
        <v>45937</v>
      </c>
      <c r="H263" s="9" t="str">
        <f>VLOOKUP(TablaCosechas[[#This Row],[COD]],DATOS!$E$3:$F$26,2,0)</f>
        <v>BARRACUDA</v>
      </c>
      <c r="I263" s="9" t="str">
        <f>RIGHT(TablaCosechas[[#This Row],[SECTOR/PISCINA]],2)</f>
        <v>02</v>
      </c>
      <c r="J263" s="9" t="str">
        <f>VLOOKUP(TablaCosechas[[#This Row],[COD]],Tabla7[#All],4,0)</f>
        <v>GUSTAVO CARRASCO</v>
      </c>
      <c r="K263" s="179">
        <f>(TablaCosechas[[#This Row],[libras planta]]*454)/M263</f>
        <v>84053.008411214949</v>
      </c>
      <c r="L263" s="174">
        <v>3961.97</v>
      </c>
      <c r="M263" s="19">
        <v>21.4</v>
      </c>
      <c r="N263" s="9" t="str">
        <f>UPPER(TEXT(TablaCosechas[[#This Row],[COSECHA]],"MMMM"))</f>
        <v>OCTUBRE</v>
      </c>
      <c r="O263" s="9" t="str">
        <f>IF(A263="DO 29","BAP",IF(A263="RO 14","BAP",(VLOOKUP(TablaCosechas[[#This Row],[COD]],Tabla7[[CODIGO]:[CERTIFICACION]],3,0))))</f>
        <v>CONVENCIONAL</v>
      </c>
      <c r="P263" s="180">
        <f>+L263-E263</f>
        <v>-588.0300000000002</v>
      </c>
      <c r="Q263" s="181">
        <f>+M263-F263</f>
        <v>0.39999999999999858</v>
      </c>
      <c r="R263" s="9"/>
    </row>
    <row r="264" spans="1:18" x14ac:dyDescent="0.25">
      <c r="A264" s="9" t="s">
        <v>226</v>
      </c>
      <c r="B264" s="9">
        <f>ROW() - ROW(TablaCosechas[[#Headers],[ID]]) - 4</f>
        <v>259</v>
      </c>
      <c r="C264" s="9" t="str">
        <f>LEFT(A264,2)</f>
        <v>BA</v>
      </c>
      <c r="D264" s="182" t="s">
        <v>367</v>
      </c>
      <c r="E264" s="178">
        <v>5000</v>
      </c>
      <c r="F264" s="19">
        <v>16</v>
      </c>
      <c r="G264" s="195">
        <v>45937</v>
      </c>
      <c r="H264" s="9" t="str">
        <f>VLOOKUP(TablaCosechas[[#This Row],[COD]],DATOS!$E$3:$F$27,2,0)</f>
        <v>BARRACUDA</v>
      </c>
      <c r="I264" s="9" t="str">
        <f>RIGHT(TablaCosechas[[#This Row],[SECTOR/PISCINA]],2)</f>
        <v>01</v>
      </c>
      <c r="J264" s="9" t="str">
        <f>VLOOKUP(TablaCosechas[[#This Row],[COD]],Tabla7[#All],4,0)</f>
        <v>GUSTAVO CARRASCO</v>
      </c>
      <c r="K264" s="179">
        <f>(TablaCosechas[[#This Row],[libras planta]]*454)/M264</f>
        <v>126386.09864364982</v>
      </c>
      <c r="L264" s="174">
        <v>4515.38</v>
      </c>
      <c r="M264" s="19">
        <v>16.22</v>
      </c>
      <c r="N264" s="9" t="str">
        <f>UPPER(TEXT(TablaCosechas[[#This Row],[COSECHA]],"MMMM"))</f>
        <v>OCTUBRE</v>
      </c>
      <c r="O264" s="9" t="str">
        <f>IF(A264="DO 29","BAP",IF(A264="RO 14","BAP",(VLOOKUP(TablaCosechas[[#This Row],[COD]],Tabla7[[CODIGO]:[CERTIFICACION]],3,0))))</f>
        <v>CONVENCIONAL</v>
      </c>
      <c r="P264" s="180">
        <f>+L264-E264</f>
        <v>-484.61999999999989</v>
      </c>
      <c r="Q264" s="181">
        <f>+M264-F264</f>
        <v>0.21999999999999886</v>
      </c>
      <c r="R264" s="9"/>
    </row>
    <row r="265" spans="1:18" x14ac:dyDescent="0.25">
      <c r="A265" s="9" t="s">
        <v>164</v>
      </c>
      <c r="B265" s="9">
        <f>ROW() - ROW(TablaCosechas[[#Headers],[ID]]) - 4</f>
        <v>260</v>
      </c>
      <c r="C265" s="9" t="str">
        <f>LEFT(A265,2)</f>
        <v>PA</v>
      </c>
      <c r="D265" s="182" t="s">
        <v>366</v>
      </c>
      <c r="E265" s="178">
        <v>19400</v>
      </c>
      <c r="F265" s="19">
        <v>31</v>
      </c>
      <c r="G265" s="195">
        <v>45938</v>
      </c>
      <c r="H265" s="9" t="str">
        <f>VLOOKUP(TablaCosechas[[#This Row],[COD]],DATOS!$E$3:$F$27,2,0)</f>
        <v>PAMPANO</v>
      </c>
      <c r="I265" s="9" t="str">
        <f>RIGHT(TablaCosechas[[#This Row],[SECTOR/PISCINA]],2)</f>
        <v>11</v>
      </c>
      <c r="J265" s="9" t="str">
        <f>VLOOKUP(TablaCosechas[[#This Row],[COD]],Tabla7[#All],4,0)</f>
        <v>GUSTAVO CARRASCO</v>
      </c>
      <c r="K265" s="179">
        <f>(TablaCosechas[[#This Row],[libras planta]]*454)/M265</f>
        <v>265363</v>
      </c>
      <c r="L265" s="174">
        <v>18271.47</v>
      </c>
      <c r="M265" s="19">
        <v>31.26</v>
      </c>
      <c r="N265" s="9" t="str">
        <f>UPPER(TEXT(TablaCosechas[[#This Row],[COSECHA]],"MMMM"))</f>
        <v>OCTUBRE</v>
      </c>
      <c r="O265" s="9" t="str">
        <f>IF(A265="DO 29","BAP",IF(A265="RO 14","BAP",(VLOOKUP(TablaCosechas[[#This Row],[COD]],Tabla7[[CODIGO]:[CERTIFICACION]],3,0))))</f>
        <v>ASC</v>
      </c>
      <c r="P265" s="180">
        <f>+L265-E265</f>
        <v>-1128.5299999999988</v>
      </c>
      <c r="Q265" s="181">
        <f>+M265-F265</f>
        <v>0.26000000000000156</v>
      </c>
      <c r="R265" s="9"/>
    </row>
    <row r="266" spans="1:18" x14ac:dyDescent="0.25">
      <c r="A266" s="9" t="s">
        <v>167</v>
      </c>
      <c r="B266" s="9">
        <f>ROW() - ROW(TablaCosechas[[#Headers],[ID]]) - 4</f>
        <v>261</v>
      </c>
      <c r="C266" s="9" t="str">
        <f>LEFT(A266,2)</f>
        <v>PA</v>
      </c>
      <c r="D266" s="182" t="s">
        <v>366</v>
      </c>
      <c r="E266" s="178">
        <v>10150</v>
      </c>
      <c r="F266" s="19">
        <v>31</v>
      </c>
      <c r="G266" s="195">
        <v>45938</v>
      </c>
      <c r="H266" s="9" t="str">
        <f>VLOOKUP(TablaCosechas[[#This Row],[COD]],DATOS!$E$3:$F$27,2,0)</f>
        <v>PAMPANO</v>
      </c>
      <c r="I266" s="9" t="str">
        <f>RIGHT(TablaCosechas[[#This Row],[SECTOR/PISCINA]],2)</f>
        <v>10</v>
      </c>
      <c r="J266" s="9" t="str">
        <f>VLOOKUP(TablaCosechas[[#This Row],[COD]],Tabla7[#All],4,0)</f>
        <v>GUSTAVO CARRASCO</v>
      </c>
      <c r="K266" s="179">
        <f>(TablaCosechas[[#This Row],[libras planta]]*454)/M266</f>
        <v>133167.2682611506</v>
      </c>
      <c r="L266" s="174">
        <v>9075.32</v>
      </c>
      <c r="M266" s="19">
        <v>30.94</v>
      </c>
      <c r="N266" s="9" t="str">
        <f>UPPER(TEXT(TablaCosechas[[#This Row],[COSECHA]],"MMMM"))</f>
        <v>OCTUBRE</v>
      </c>
      <c r="O266" s="9" t="str">
        <f>IF(A266="DO 29","BAP",IF(A266="RO 14","BAP",(VLOOKUP(TablaCosechas[[#This Row],[COD]],Tabla7[[CODIGO]:[CERTIFICACION]],3,0))))</f>
        <v>ASC</v>
      </c>
      <c r="P266" s="180">
        <f>+L266-E266</f>
        <v>-1074.6800000000003</v>
      </c>
      <c r="Q266" s="181">
        <f>+M266-F266</f>
        <v>-5.9999999999998721E-2</v>
      </c>
      <c r="R266" s="9"/>
    </row>
    <row r="267" spans="1:18" x14ac:dyDescent="0.25">
      <c r="A267" s="9" t="s">
        <v>148</v>
      </c>
      <c r="B267" s="9">
        <f>ROW() - ROW(TablaCosechas[[#Headers],[ID]]) - 4</f>
        <v>262</v>
      </c>
      <c r="C267" s="9" t="str">
        <f>LEFT(A267,2)</f>
        <v>GT</v>
      </c>
      <c r="D267" s="182" t="s">
        <v>366</v>
      </c>
      <c r="E267" s="178">
        <v>22100</v>
      </c>
      <c r="F267" s="19">
        <v>33</v>
      </c>
      <c r="G267" s="195">
        <v>45938</v>
      </c>
      <c r="H267" s="9" t="str">
        <f>VLOOKUP(TablaCosechas[[#This Row],[COD]],DATOS!$E$3:$F$27,2,0)</f>
        <v>GUATO</v>
      </c>
      <c r="I267" s="9" t="str">
        <f>RIGHT(TablaCosechas[[#This Row],[SECTOR/PISCINA]],2)</f>
        <v>07</v>
      </c>
      <c r="J267" s="9" t="str">
        <f>VLOOKUP(TablaCosechas[[#This Row],[COD]],Tabla7[#All],4,0)</f>
        <v>JULIO SANTOS</v>
      </c>
      <c r="K267" s="179">
        <f>(TablaCosechas[[#This Row],[libras planta]]*454)/M267</f>
        <v>279758.3933845245</v>
      </c>
      <c r="L267" s="174">
        <v>20864.8</v>
      </c>
      <c r="M267" s="19">
        <v>33.86</v>
      </c>
      <c r="N267" s="9" t="str">
        <f>UPPER(TEXT(TablaCosechas[[#This Row],[COSECHA]],"MMMM"))</f>
        <v>OCTUBRE</v>
      </c>
      <c r="O267" s="9" t="str">
        <f>IF(A267="DO 29","BAP",IF(A267="RO 14","BAP",(VLOOKUP(TablaCosechas[[#This Row],[COD]],Tabla7[[CODIGO]:[CERTIFICACION]],3,0))))</f>
        <v>CONVENCIONAL</v>
      </c>
      <c r="P267" s="180">
        <f>+L267-E267</f>
        <v>-1235.2000000000007</v>
      </c>
      <c r="Q267" s="181">
        <f>+M267-F267</f>
        <v>0.85999999999999943</v>
      </c>
      <c r="R267" s="9"/>
    </row>
    <row r="268" spans="1:18" x14ac:dyDescent="0.25">
      <c r="A268" s="9" t="s">
        <v>283</v>
      </c>
      <c r="B268" s="9">
        <f>ROW() - ROW(TablaCosechas[[#Headers],[ID]]) - 4</f>
        <v>263</v>
      </c>
      <c r="C268" s="9" t="str">
        <f>LEFT(A268,2)</f>
        <v>DE</v>
      </c>
      <c r="D268" s="182" t="s">
        <v>367</v>
      </c>
      <c r="E268" s="178">
        <v>7600</v>
      </c>
      <c r="F268" s="19">
        <v>22</v>
      </c>
      <c r="G268" s="195">
        <v>45938</v>
      </c>
      <c r="H268" s="9" t="str">
        <f>VLOOKUP(TablaCosechas[[#This Row],[COD]],DATOS!$E$3:$F$27,2,0)</f>
        <v>DELFIN</v>
      </c>
      <c r="I268" s="9" t="str">
        <f>RIGHT(TablaCosechas[[#This Row],[SECTOR/PISCINA]],2)</f>
        <v>10</v>
      </c>
      <c r="J268" s="9" t="str">
        <f>VLOOKUP(TablaCosechas[[#This Row],[COD]],Tabla7[#All],4,0)</f>
        <v>CARLOS FLORES</v>
      </c>
      <c r="K268" s="179">
        <f>(TablaCosechas[[#This Row],[libras planta]]*454)/M268</f>
        <v>125402.96700706991</v>
      </c>
      <c r="L268" s="174">
        <v>7032.51</v>
      </c>
      <c r="M268" s="19">
        <v>25.46</v>
      </c>
      <c r="N268" s="9" t="str">
        <f>UPPER(TEXT(TablaCosechas[[#This Row],[COSECHA]],"MMMM"))</f>
        <v>OCTUBRE</v>
      </c>
      <c r="O268" s="9" t="str">
        <f>IF(A268="DO 29","BAP",IF(A268="RO 14","BAP",(VLOOKUP(TablaCosechas[[#This Row],[COD]],Tabla7[[CODIGO]:[CERTIFICACION]],3,0))))</f>
        <v>CONVENCIONAL</v>
      </c>
      <c r="P268" s="180">
        <f>+L268-E268</f>
        <v>-567.48999999999978</v>
      </c>
      <c r="Q268" s="181">
        <f>+M268-F268</f>
        <v>3.4600000000000009</v>
      </c>
      <c r="R268" s="9"/>
    </row>
    <row r="269" spans="1:18" x14ac:dyDescent="0.25">
      <c r="A269" s="9" t="s">
        <v>203</v>
      </c>
      <c r="B269" s="9">
        <f>ROW() - ROW(TablaCosechas[[#Headers],[ID]]) - 4</f>
        <v>264</v>
      </c>
      <c r="C269" s="9" t="str">
        <f>LEFT(A269,2)</f>
        <v>CA</v>
      </c>
      <c r="D269" s="182" t="s">
        <v>367</v>
      </c>
      <c r="E269" s="178">
        <v>23200</v>
      </c>
      <c r="F269" s="19">
        <v>21</v>
      </c>
      <c r="G269" s="195">
        <v>45938</v>
      </c>
      <c r="H269" s="9" t="str">
        <f>VLOOKUP(TablaCosechas[[#This Row],[COD]],DATOS!$E$3:$F$27,2,0)</f>
        <v>CATANUDA</v>
      </c>
      <c r="I269" s="9" t="str">
        <f>RIGHT(TablaCosechas[[#This Row],[SECTOR/PISCINA]],2)</f>
        <v>04</v>
      </c>
      <c r="J269" s="9" t="str">
        <f>VLOOKUP(TablaCosechas[[#This Row],[COD]],Tabla7[#All],4,0)</f>
        <v>VICTOR QUINTANA</v>
      </c>
      <c r="K269" s="179">
        <f>(TablaCosechas[[#This Row],[libras planta]]*454)/M269</f>
        <v>403582.98127925117</v>
      </c>
      <c r="L269" s="174">
        <v>22792.66</v>
      </c>
      <c r="M269" s="19">
        <v>25.64</v>
      </c>
      <c r="N269" s="9" t="str">
        <f>UPPER(TEXT(TablaCosechas[[#This Row],[COSECHA]],"MMMM"))</f>
        <v>OCTUBRE</v>
      </c>
      <c r="O269" s="9" t="str">
        <f>IF(A269="DO 29","BAP",IF(A269="RO 14","BAP",(VLOOKUP(TablaCosechas[[#This Row],[COD]],Tabla7[[CODIGO]:[CERTIFICACION]],3,0))))</f>
        <v>ASC</v>
      </c>
      <c r="P269" s="180">
        <f>+L269-E269</f>
        <v>-407.34000000000015</v>
      </c>
      <c r="Q269" s="181">
        <f>+M269-F269</f>
        <v>4.6400000000000006</v>
      </c>
      <c r="R269" s="9"/>
    </row>
    <row r="270" spans="1:18" x14ac:dyDescent="0.25">
      <c r="A270" s="9" t="s">
        <v>236</v>
      </c>
      <c r="B270" s="9">
        <f>ROW() - ROW(TablaCosechas[[#Headers],[ID]]) - 4</f>
        <v>265</v>
      </c>
      <c r="C270" s="9" t="str">
        <f>LEFT(A270,2)</f>
        <v>WA</v>
      </c>
      <c r="D270" s="182" t="s">
        <v>367</v>
      </c>
      <c r="E270" s="178">
        <v>13850</v>
      </c>
      <c r="F270" s="19">
        <v>15</v>
      </c>
      <c r="G270" s="195">
        <v>45939</v>
      </c>
      <c r="H270" s="9" t="str">
        <f>VLOOKUP(TablaCosechas[[#This Row],[COD]],DATOS!$E$3:$F$27,2,0)</f>
        <v>WAHOO</v>
      </c>
      <c r="I270" s="9" t="str">
        <f>RIGHT(TablaCosechas[[#This Row],[SECTOR/PISCINA]],2)</f>
        <v>32</v>
      </c>
      <c r="J270" s="9" t="str">
        <f>VLOOKUP(TablaCosechas[[#This Row],[COD]],Tabla7[#All],4,0)</f>
        <v>JUNIOR ESQUIVEL</v>
      </c>
      <c r="K270" s="179">
        <f>(TablaCosechas[[#This Row],[libras planta]]*454)/M270</f>
        <v>373987.53855140187</v>
      </c>
      <c r="L270" s="174">
        <v>14102.79</v>
      </c>
      <c r="M270" s="19">
        <v>17.12</v>
      </c>
      <c r="N270" s="9" t="str">
        <f>UPPER(TEXT(TablaCosechas[[#This Row],[COSECHA]],"MMMM"))</f>
        <v>OCTUBRE</v>
      </c>
      <c r="O270" s="9" t="str">
        <f>IF(A270="DO 29","BAP",IF(A270="RO 14","BAP",(VLOOKUP(TablaCosechas[[#This Row],[COD]],Tabla7[[CODIGO]:[CERTIFICACION]],3,0))))</f>
        <v>CONVENCIONAL</v>
      </c>
      <c r="P270" s="180">
        <f>+L270-E270</f>
        <v>252.79000000000087</v>
      </c>
      <c r="Q270" s="181">
        <f>+M270-F270</f>
        <v>2.120000000000001</v>
      </c>
      <c r="R270" s="9"/>
    </row>
    <row r="271" spans="1:18" x14ac:dyDescent="0.25">
      <c r="A271" s="9" t="s">
        <v>221</v>
      </c>
      <c r="B271" s="9">
        <f>ROW() - ROW(TablaCosechas[[#Headers],[ID]]) - 4</f>
        <v>266</v>
      </c>
      <c r="C271" s="9" t="str">
        <f>LEFT(A271,2)</f>
        <v>MA</v>
      </c>
      <c r="D271" s="182" t="s">
        <v>367</v>
      </c>
      <c r="E271" s="178">
        <v>4700</v>
      </c>
      <c r="F271" s="19">
        <v>20</v>
      </c>
      <c r="G271" s="195">
        <v>45939</v>
      </c>
      <c r="H271" s="9" t="str">
        <f>VLOOKUP(TablaCosechas[[#This Row],[COD]],DATOS!$E$3:$F$26,2,0)</f>
        <v>MANTARRAYA</v>
      </c>
      <c r="I271" s="9" t="str">
        <f>RIGHT(TablaCosechas[[#This Row],[SECTOR/PISCINA]],2)</f>
        <v>11</v>
      </c>
      <c r="J271" s="9" t="str">
        <f>VLOOKUP(TablaCosechas[[#This Row],[COD]],Tabla7[#All],4,0)</f>
        <v>GUSTAVO CARRASCO</v>
      </c>
      <c r="K271" s="179">
        <f>(TablaCosechas[[#This Row],[libras planta]]*454)/M271</f>
        <v>79162.46666666666</v>
      </c>
      <c r="L271" s="174">
        <v>3661.7</v>
      </c>
      <c r="M271" s="19">
        <v>21</v>
      </c>
      <c r="N271" s="9" t="str">
        <f>UPPER(TEXT(TablaCosechas[[#This Row],[COSECHA]],"MMMM"))</f>
        <v>OCTUBRE</v>
      </c>
      <c r="O271" s="9" t="str">
        <f>IF(A271="DO 29","BAP",IF(A271="RO 14","BAP",(VLOOKUP(TablaCosechas[[#This Row],[COD]],Tabla7[[CODIGO]:[CERTIFICACION]],3,0))))</f>
        <v>ASC</v>
      </c>
      <c r="P271" s="180">
        <f>+L271-E271</f>
        <v>-1038.3000000000002</v>
      </c>
      <c r="Q271" s="181">
        <f>+M271-F271</f>
        <v>1</v>
      </c>
      <c r="R271" s="9"/>
    </row>
    <row r="272" spans="1:18" x14ac:dyDescent="0.25">
      <c r="A272" s="9" t="s">
        <v>147</v>
      </c>
      <c r="B272" s="9">
        <f>ROW() - ROW(TablaCosechas[[#Headers],[ID]]) - 4</f>
        <v>267</v>
      </c>
      <c r="C272" s="9" t="str">
        <f>LEFT(A272,2)</f>
        <v>DO</v>
      </c>
      <c r="D272" s="182" t="s">
        <v>366</v>
      </c>
      <c r="E272" s="178">
        <v>41000</v>
      </c>
      <c r="F272" s="19">
        <v>28</v>
      </c>
      <c r="G272" s="195">
        <v>45939</v>
      </c>
      <c r="H272" s="9" t="str">
        <f>VLOOKUP(TablaCosechas[[#This Row],[COD]],DATOS!$E$3:$F$27,2,0)</f>
        <v>DORADO</v>
      </c>
      <c r="I272" s="9" t="str">
        <f>RIGHT(TablaCosechas[[#This Row],[SECTOR/PISCINA]],2)</f>
        <v>08</v>
      </c>
      <c r="J272" s="9" t="str">
        <f>VLOOKUP(TablaCosechas[[#This Row],[COD]],Tabla7[#All],4,0)</f>
        <v>JOSE CEDEÑO</v>
      </c>
      <c r="K272" s="179">
        <f>(TablaCosechas[[#This Row],[libras planta]]*454)/M272</f>
        <v>631116.67503302509</v>
      </c>
      <c r="L272" s="174">
        <v>42092.98</v>
      </c>
      <c r="M272" s="19">
        <v>30.28</v>
      </c>
      <c r="N272" s="9" t="str">
        <f>UPPER(TEXT(TablaCosechas[[#This Row],[COSECHA]],"MMMM"))</f>
        <v>OCTUBRE</v>
      </c>
      <c r="O272" s="9" t="str">
        <f>IF(A272="DO 29","BAP",IF(A272="RO 14","BAP",(VLOOKUP(TablaCosechas[[#This Row],[COD]],Tabla7[[CODIGO]:[CERTIFICACION]],3,0))))</f>
        <v>ASC</v>
      </c>
      <c r="P272" s="180">
        <f>+L272-E272</f>
        <v>1092.9800000000032</v>
      </c>
      <c r="Q272" s="181">
        <f>+M272-F272</f>
        <v>2.2800000000000011</v>
      </c>
      <c r="R272" s="9"/>
    </row>
    <row r="273" spans="1:18" x14ac:dyDescent="0.25">
      <c r="A273" s="9" t="s">
        <v>213</v>
      </c>
      <c r="B273" s="9">
        <f>ROW() - ROW(TablaCosechas[[#Headers],[ID]]) - 4</f>
        <v>268</v>
      </c>
      <c r="C273" s="9" t="str">
        <f>LEFT(A273,2)</f>
        <v>CA</v>
      </c>
      <c r="D273" s="182" t="s">
        <v>367</v>
      </c>
      <c r="E273" s="178">
        <v>14400</v>
      </c>
      <c r="F273" s="19">
        <v>17</v>
      </c>
      <c r="G273" s="195">
        <v>45939</v>
      </c>
      <c r="H273" s="9" t="str">
        <f>VLOOKUP(TablaCosechas[[#This Row],[COD]],DATOS!$E$3:$F$27,2,0)</f>
        <v>CATANUDA</v>
      </c>
      <c r="I273" s="9" t="str">
        <f>RIGHT(TablaCosechas[[#This Row],[SECTOR/PISCINA]],2)</f>
        <v>07</v>
      </c>
      <c r="J273" s="9" t="str">
        <f>VLOOKUP(TablaCosechas[[#This Row],[COD]],Tabla7[#All],4,0)</f>
        <v>VICTOR QUINTANA</v>
      </c>
      <c r="K273" s="179">
        <f>(TablaCosechas[[#This Row],[libras planta]]*454)/M273</f>
        <v>370387.92564655177</v>
      </c>
      <c r="L273" s="174">
        <v>15141.85</v>
      </c>
      <c r="M273" s="19">
        <v>18.559999999999999</v>
      </c>
      <c r="N273" s="9" t="str">
        <f>UPPER(TEXT(TablaCosechas[[#This Row],[COSECHA]],"MMMM"))</f>
        <v>OCTUBRE</v>
      </c>
      <c r="O273" s="9" t="str">
        <f>IF(A273="DO 29","BAP",IF(A273="RO 14","BAP",(VLOOKUP(TablaCosechas[[#This Row],[COD]],Tabla7[[CODIGO]:[CERTIFICACION]],3,0))))</f>
        <v>ASC</v>
      </c>
      <c r="P273" s="180">
        <f>+L273-E273</f>
        <v>741.85000000000036</v>
      </c>
      <c r="Q273" s="181">
        <f>+M273-F273</f>
        <v>1.5599999999999987</v>
      </c>
      <c r="R273" s="9"/>
    </row>
    <row r="274" spans="1:18" x14ac:dyDescent="0.25">
      <c r="A274" s="9" t="s">
        <v>205</v>
      </c>
      <c r="B274" s="9">
        <f>ROW() - ROW(TablaCosechas[[#Headers],[ID]]) - 4</f>
        <v>269</v>
      </c>
      <c r="C274" s="9" t="str">
        <f>LEFT(A274,2)</f>
        <v>BA</v>
      </c>
      <c r="D274" s="182" t="s">
        <v>367</v>
      </c>
      <c r="E274" s="178">
        <v>4400</v>
      </c>
      <c r="F274" s="19">
        <v>22</v>
      </c>
      <c r="G274" s="195">
        <v>45939</v>
      </c>
      <c r="H274" s="9" t="str">
        <f>VLOOKUP(TablaCosechas[[#This Row],[COD]],DATOS!$E$3:$F$26,2,0)</f>
        <v>BARRACUDA</v>
      </c>
      <c r="I274" s="9" t="str">
        <f>RIGHT(TablaCosechas[[#This Row],[SECTOR/PISCINA]],2)</f>
        <v>03</v>
      </c>
      <c r="J274" s="9" t="str">
        <f>VLOOKUP(TablaCosechas[[#This Row],[COD]],Tabla7[#All],4,0)</f>
        <v>GUSTAVO CARRASCO</v>
      </c>
      <c r="K274" s="179">
        <f>(TablaCosechas[[#This Row],[libras planta]]*454)/M274</f>
        <v>71108.71811535336</v>
      </c>
      <c r="L274" s="174">
        <v>3856.16</v>
      </c>
      <c r="M274" s="19">
        <v>24.62</v>
      </c>
      <c r="N274" s="9" t="str">
        <f>UPPER(TEXT(TablaCosechas[[#This Row],[COSECHA]],"MMMM"))</f>
        <v>OCTUBRE</v>
      </c>
      <c r="O274" s="9" t="str">
        <f>IF(A274="DO 29","BAP",IF(A274="RO 14","BAP",(VLOOKUP(TablaCosechas[[#This Row],[COD]],Tabla7[[CODIGO]:[CERTIFICACION]],3,0))))</f>
        <v>CONVENCIONAL</v>
      </c>
      <c r="P274" s="180">
        <f>+L274-E274</f>
        <v>-543.84000000000015</v>
      </c>
      <c r="Q274" s="181">
        <f>+M274-F274</f>
        <v>2.620000000000001</v>
      </c>
      <c r="R274" s="9"/>
    </row>
    <row r="275" spans="1:18" x14ac:dyDescent="0.25">
      <c r="A275" s="9" t="s">
        <v>211</v>
      </c>
      <c r="B275" s="9">
        <f>ROW() - ROW(TablaCosechas[[#Headers],[ID]]) - 4</f>
        <v>270</v>
      </c>
      <c r="C275" s="9" t="str">
        <f>LEFT(A275,2)</f>
        <v>WA</v>
      </c>
      <c r="D275" s="182" t="s">
        <v>367</v>
      </c>
      <c r="E275" s="178">
        <v>13700</v>
      </c>
      <c r="F275" s="19">
        <v>15</v>
      </c>
      <c r="G275" s="195">
        <v>45940</v>
      </c>
      <c r="H275" s="9" t="str">
        <f>VLOOKUP(TablaCosechas[[#This Row],[COD]],DATOS!$E$3:$F$27,2,0)</f>
        <v>WAHOO</v>
      </c>
      <c r="I275" s="9" t="str">
        <f>RIGHT(TablaCosechas[[#This Row],[SECTOR/PISCINA]],2)</f>
        <v>13</v>
      </c>
      <c r="J275" s="9" t="str">
        <f>VLOOKUP(TablaCosechas[[#This Row],[COD]],Tabla7[#All],4,0)</f>
        <v>JUNIOR ESQUIVEL</v>
      </c>
      <c r="K275" s="179">
        <f>(TablaCosechas[[#This Row],[libras planta]]*454)/M275</f>
        <v>449348.85844155843</v>
      </c>
      <c r="L275" s="174">
        <v>15242.23</v>
      </c>
      <c r="M275" s="19">
        <v>15.4</v>
      </c>
      <c r="N275" s="9" t="str">
        <f>UPPER(TEXT(TablaCosechas[[#This Row],[COSECHA]],"MMMM"))</f>
        <v>OCTUBRE</v>
      </c>
      <c r="O275" s="9" t="str">
        <f>IF(A275="DO 29","BAP",IF(A275="RO 14","BAP",(VLOOKUP(TablaCosechas[[#This Row],[COD]],Tabla7[[CODIGO]:[CERTIFICACION]],3,0))))</f>
        <v>CONVENCIONAL</v>
      </c>
      <c r="P275" s="180">
        <f>+L275-E275</f>
        <v>1542.2299999999996</v>
      </c>
      <c r="Q275" s="181">
        <f>+M275-F275</f>
        <v>0.40000000000000036</v>
      </c>
      <c r="R275" s="9"/>
    </row>
    <row r="276" spans="1:18" x14ac:dyDescent="0.25">
      <c r="A276" s="9" t="s">
        <v>179</v>
      </c>
      <c r="B276" s="9">
        <f>ROW() - ROW(TablaCosechas[[#Headers],[ID]]) - 4</f>
        <v>271</v>
      </c>
      <c r="C276" s="9" t="str">
        <f>LEFT(A276,2)</f>
        <v>TI</v>
      </c>
      <c r="D276" s="182" t="s">
        <v>367</v>
      </c>
      <c r="E276" s="178">
        <v>6400</v>
      </c>
      <c r="F276" s="19">
        <v>22</v>
      </c>
      <c r="G276" s="195">
        <v>45940</v>
      </c>
      <c r="H276" s="9" t="str">
        <f>VLOOKUP(TablaCosechas[[#This Row],[COD]],DATOS!$E$3:$F$26,2,0)</f>
        <v>TIBURON</v>
      </c>
      <c r="I276" s="9" t="str">
        <f>RIGHT(TablaCosechas[[#This Row],[SECTOR/PISCINA]],2)</f>
        <v>13</v>
      </c>
      <c r="J276" s="9" t="str">
        <f>VLOOKUP(TablaCosechas[[#This Row],[COD]],Tabla7[#All],4,0)</f>
        <v>ALFONSO GRUNAUER</v>
      </c>
      <c r="K276" s="179">
        <f>(TablaCosechas[[#This Row],[libras planta]]*454)/M276</f>
        <v>131459.76507092197</v>
      </c>
      <c r="L276" s="174">
        <v>6532.45</v>
      </c>
      <c r="M276" s="19">
        <v>22.56</v>
      </c>
      <c r="N276" s="9" t="str">
        <f>UPPER(TEXT(TablaCosechas[[#This Row],[COSECHA]],"MMMM"))</f>
        <v>OCTUBRE</v>
      </c>
      <c r="O276" s="9" t="str">
        <f>IF(A276="DO 29","BAP",IF(A276="RO 14","BAP",(VLOOKUP(TablaCosechas[[#This Row],[COD]],Tabla7[[CODIGO]:[CERTIFICACION]],3,0))))</f>
        <v>ASC</v>
      </c>
      <c r="P276" s="180">
        <f>+L276-E276</f>
        <v>132.44999999999982</v>
      </c>
      <c r="Q276" s="181">
        <f>+M276-F276</f>
        <v>0.55999999999999872</v>
      </c>
      <c r="R276" s="9"/>
    </row>
    <row r="277" spans="1:18" x14ac:dyDescent="0.25">
      <c r="A277" s="9" t="s">
        <v>107</v>
      </c>
      <c r="B277" s="9">
        <f>ROW() - ROW(TablaCosechas[[#Headers],[ID]]) - 4</f>
        <v>272</v>
      </c>
      <c r="C277" s="9" t="str">
        <f>LEFT(A277,2)</f>
        <v>PR</v>
      </c>
      <c r="D277" s="182" t="s">
        <v>366</v>
      </c>
      <c r="E277" s="178">
        <v>19900</v>
      </c>
      <c r="F277" s="19">
        <v>18</v>
      </c>
      <c r="G277" s="195">
        <v>45940</v>
      </c>
      <c r="H277" s="9" t="str">
        <f>VLOOKUP(TablaCosechas[[#This Row],[COD]],DATOS!$E$3:$F$27,2,0)</f>
        <v>PARGO ROJO</v>
      </c>
      <c r="I277" s="9" t="str">
        <f>RIGHT(TablaCosechas[[#This Row],[SECTOR/PISCINA]],2)</f>
        <v>14</v>
      </c>
      <c r="J277" s="9" t="str">
        <f>VLOOKUP(TablaCosechas[[#This Row],[COD]],Tabla7[#All],4,0)</f>
        <v>WILMER TORRES</v>
      </c>
      <c r="K277" s="179">
        <f>(TablaCosechas[[#This Row],[libras planta]]*454)/M277</f>
        <v>466308.47052740434</v>
      </c>
      <c r="L277" s="174">
        <v>19864.330000000002</v>
      </c>
      <c r="M277" s="19">
        <v>19.34</v>
      </c>
      <c r="N277" s="9" t="str">
        <f>UPPER(TEXT(TablaCosechas[[#This Row],[COSECHA]],"MMMM"))</f>
        <v>OCTUBRE</v>
      </c>
      <c r="O277" s="9" t="str">
        <f>IF(A277="DO 29","BAP",IF(A277="RO 14","BAP",(VLOOKUP(TablaCosechas[[#This Row],[COD]],Tabla7[[CODIGO]:[CERTIFICACION]],3,0))))</f>
        <v>CONVENCIONAL</v>
      </c>
      <c r="P277" s="180">
        <f>+L277-E277</f>
        <v>-35.669999999998254</v>
      </c>
      <c r="Q277" s="181">
        <f>+M277-F277</f>
        <v>1.3399999999999999</v>
      </c>
      <c r="R277" s="9"/>
    </row>
    <row r="278" spans="1:18" x14ac:dyDescent="0.25">
      <c r="A278" s="9" t="s">
        <v>170</v>
      </c>
      <c r="B278" s="9">
        <f>ROW() - ROW(TablaCosechas[[#Headers],[ID]]) - 4</f>
        <v>273</v>
      </c>
      <c r="C278" s="9" t="str">
        <f>LEFT(A278,2)</f>
        <v>PA</v>
      </c>
      <c r="D278" s="182" t="s">
        <v>366</v>
      </c>
      <c r="E278" s="178">
        <f>12200+3950</f>
        <v>16150</v>
      </c>
      <c r="F278" s="19">
        <v>30</v>
      </c>
      <c r="G278" s="195">
        <v>45940</v>
      </c>
      <c r="H278" s="9" t="str">
        <f>VLOOKUP(TablaCosechas[[#This Row],[COD]],DATOS!$E$3:$F$27,2,0)</f>
        <v>PAMPANO</v>
      </c>
      <c r="I278" s="9" t="str">
        <f>RIGHT(TablaCosechas[[#This Row],[SECTOR/PISCINA]],2)</f>
        <v>08</v>
      </c>
      <c r="J278" s="9" t="str">
        <f>VLOOKUP(TablaCosechas[[#This Row],[COD]],Tabla7[#All],4,0)</f>
        <v>GUSTAVO CARRASCO</v>
      </c>
      <c r="K278" s="179">
        <f>(TablaCosechas[[#This Row],[libras planta]]*454)/M278</f>
        <v>229941.98610191929</v>
      </c>
      <c r="L278" s="174">
        <v>15305.83</v>
      </c>
      <c r="M278" s="19">
        <v>30.22</v>
      </c>
      <c r="N278" s="9" t="str">
        <f>UPPER(TEXT(TablaCosechas[[#This Row],[COSECHA]],"MMMM"))</f>
        <v>OCTUBRE</v>
      </c>
      <c r="O278" s="9" t="str">
        <f>IF(A278="DO 29","BAP",IF(A278="RO 14","BAP",(VLOOKUP(TablaCosechas[[#This Row],[COD]],Tabla7[[CODIGO]:[CERTIFICACION]],3,0))))</f>
        <v>ASC</v>
      </c>
      <c r="P278" s="180">
        <f>+L278-E278</f>
        <v>-844.17000000000007</v>
      </c>
      <c r="Q278" s="181">
        <f>+M278-F278</f>
        <v>0.21999999999999886</v>
      </c>
      <c r="R278" s="9"/>
    </row>
    <row r="279" spans="1:18" x14ac:dyDescent="0.25">
      <c r="A279" s="9" t="s">
        <v>152</v>
      </c>
      <c r="B279" s="9">
        <f>ROW() - ROW(TablaCosechas[[#Headers],[ID]]) - 4</f>
        <v>274</v>
      </c>
      <c r="C279" s="9" t="str">
        <f>LEFT(A279,2)</f>
        <v>DO</v>
      </c>
      <c r="D279" s="182" t="s">
        <v>366</v>
      </c>
      <c r="E279" s="178">
        <f>42900+1500</f>
        <v>44400</v>
      </c>
      <c r="F279" s="19">
        <v>40</v>
      </c>
      <c r="G279" s="195">
        <v>45940</v>
      </c>
      <c r="H279" s="9" t="str">
        <f>VLOOKUP(TablaCosechas[[#This Row],[COD]],DATOS!$E$3:$F$27,2,0)</f>
        <v>DORADO</v>
      </c>
      <c r="I279" s="9" t="str">
        <f>RIGHT(TablaCosechas[[#This Row],[SECTOR/PISCINA]],2)</f>
        <v>30</v>
      </c>
      <c r="J279" s="9" t="str">
        <f>VLOOKUP(TablaCosechas[[#This Row],[COD]],Tabla7[#All],4,0)</f>
        <v>JOSE CEDEÑO</v>
      </c>
      <c r="K279" s="179">
        <f>(TablaCosechas[[#This Row],[libras planta]]*454)/M279</f>
        <v>501681.43664122146</v>
      </c>
      <c r="L279" s="174">
        <f>42456.21+971.28</f>
        <v>43427.49</v>
      </c>
      <c r="M279" s="19">
        <v>39.299999999999997</v>
      </c>
      <c r="N279" s="9" t="str">
        <f>UPPER(TEXT(TablaCosechas[[#This Row],[COSECHA]],"MMMM"))</f>
        <v>OCTUBRE</v>
      </c>
      <c r="O279" s="9" t="str">
        <f>IF(A279="DO 29","BAP",IF(A279="RO 14","BAP",(VLOOKUP(TablaCosechas[[#This Row],[COD]],Tabla7[[CODIGO]:[CERTIFICACION]],3,0))))</f>
        <v>ASC</v>
      </c>
      <c r="P279" s="180">
        <f>+L279-E279</f>
        <v>-972.51000000000204</v>
      </c>
      <c r="Q279" s="181">
        <f>+M279-F279</f>
        <v>-0.70000000000000284</v>
      </c>
      <c r="R279" s="9"/>
    </row>
    <row r="280" spans="1:18" x14ac:dyDescent="0.25">
      <c r="A280" s="9" t="s">
        <v>249</v>
      </c>
      <c r="B280" s="9">
        <f>ROW() - ROW(TablaCosechas[[#Headers],[ID]]) - 4</f>
        <v>275</v>
      </c>
      <c r="C280" s="9" t="str">
        <f>LEFT(A280,2)</f>
        <v>DO</v>
      </c>
      <c r="D280" s="182" t="s">
        <v>367</v>
      </c>
      <c r="E280" s="178">
        <v>14400</v>
      </c>
      <c r="F280" s="19">
        <v>22</v>
      </c>
      <c r="G280" s="195">
        <v>45940</v>
      </c>
      <c r="H280" s="9" t="str">
        <f>VLOOKUP(TablaCosechas[[#This Row],[COD]],DATOS!$E$3:$F$27,2,0)</f>
        <v>DORADO</v>
      </c>
      <c r="I280" s="9" t="str">
        <f>RIGHT(TablaCosechas[[#This Row],[SECTOR/PISCINA]],2)</f>
        <v>14</v>
      </c>
      <c r="J280" s="9" t="str">
        <f>VLOOKUP(TablaCosechas[[#This Row],[COD]],Tabla7[#All],4,0)</f>
        <v>JOSE CEDEÑO</v>
      </c>
      <c r="K280" s="179">
        <f>(TablaCosechas[[#This Row],[libras planta]]*454)/M280</f>
        <v>271455.01579384872</v>
      </c>
      <c r="L280" s="174">
        <v>14385.92</v>
      </c>
      <c r="M280" s="19">
        <v>24.06</v>
      </c>
      <c r="N280" s="9" t="str">
        <f>UPPER(TEXT(TablaCosechas[[#This Row],[COSECHA]],"MMMM"))</f>
        <v>OCTUBRE</v>
      </c>
      <c r="O280" s="9" t="str">
        <f>IF(A280="DO 29","BAP",IF(A280="RO 14","BAP",(VLOOKUP(TablaCosechas[[#This Row],[COD]],Tabla7[[CODIGO]:[CERTIFICACION]],3,0))))</f>
        <v>ASC</v>
      </c>
      <c r="P280" s="180">
        <f>+L280-E280</f>
        <v>-14.079999999999927</v>
      </c>
      <c r="Q280" s="181">
        <f>+M280-F280</f>
        <v>2.0599999999999987</v>
      </c>
      <c r="R280" s="9"/>
    </row>
    <row r="281" spans="1:18" x14ac:dyDescent="0.25">
      <c r="A281" s="9" t="s">
        <v>242</v>
      </c>
      <c r="B281" s="9">
        <f>ROW() - ROW(TablaCosechas[[#Headers],[ID]]) - 4</f>
        <v>276</v>
      </c>
      <c r="C281" s="9" t="str">
        <f>LEFT(A281,2)</f>
        <v>DE</v>
      </c>
      <c r="D281" s="182" t="s">
        <v>367</v>
      </c>
      <c r="E281" s="178">
        <v>4800</v>
      </c>
      <c r="F281" s="19">
        <v>17.5</v>
      </c>
      <c r="G281" s="195">
        <v>45940</v>
      </c>
      <c r="H281" s="9" t="str">
        <f>VLOOKUP(TablaCosechas[[#This Row],[COD]],DATOS!$E$3:$F$27,2,0)</f>
        <v>DELFIN</v>
      </c>
      <c r="I281" s="9" t="str">
        <f>RIGHT(TablaCosechas[[#This Row],[SECTOR/PISCINA]],2)</f>
        <v>06</v>
      </c>
      <c r="J281" s="9" t="str">
        <f>VLOOKUP(TablaCosechas[[#This Row],[COD]],Tabla7[#All],4,0)</f>
        <v>CARLOS FLORES</v>
      </c>
      <c r="K281" s="179">
        <f>(TablaCosechas[[#This Row],[libras planta]]*454)/M281</f>
        <v>108966.85015608741</v>
      </c>
      <c r="L281" s="174">
        <v>4613.09</v>
      </c>
      <c r="M281" s="19">
        <v>19.22</v>
      </c>
      <c r="N281" s="9" t="str">
        <f>UPPER(TEXT(TablaCosechas[[#This Row],[COSECHA]],"MMMM"))</f>
        <v>OCTUBRE</v>
      </c>
      <c r="O281" s="9" t="str">
        <f>IF(A281="DO 29","BAP",IF(A281="RO 14","BAP",(VLOOKUP(TablaCosechas[[#This Row],[COD]],Tabla7[[CODIGO]:[CERTIFICACION]],3,0))))</f>
        <v>CONVENCIONAL</v>
      </c>
      <c r="P281" s="180">
        <f>+L281-E281</f>
        <v>-186.90999999999985</v>
      </c>
      <c r="Q281" s="181">
        <f>+M281-F281</f>
        <v>1.7199999999999989</v>
      </c>
      <c r="R281" s="9"/>
    </row>
    <row r="282" spans="1:18" x14ac:dyDescent="0.25">
      <c r="A282" s="9" t="s">
        <v>370</v>
      </c>
      <c r="B282" s="9">
        <f>ROW() - ROW(TablaCosechas[[#Headers],[ID]]) - 4</f>
        <v>277</v>
      </c>
      <c r="C282" s="9" t="str">
        <f>LEFT(A282,2)</f>
        <v>WA</v>
      </c>
      <c r="D282" s="182" t="s">
        <v>366</v>
      </c>
      <c r="E282" s="178">
        <v>3150</v>
      </c>
      <c r="F282" s="19">
        <v>28.5</v>
      </c>
      <c r="G282" s="195">
        <v>45941</v>
      </c>
      <c r="H282" s="9" t="str">
        <f>VLOOKUP(TablaCosechas[[#This Row],[COD]],DATOS!$E$3:$F$27,2,0)</f>
        <v>WAHOO</v>
      </c>
      <c r="I282" s="9" t="str">
        <f>RIGHT(TablaCosechas[[#This Row],[SECTOR/PISCINA]],2)</f>
        <v>27</v>
      </c>
      <c r="J282" s="9" t="str">
        <f>VLOOKUP(TablaCosechas[[#This Row],[COD]],Tabla7[#All],4,0)</f>
        <v>JUNIOR ESQUIVEL</v>
      </c>
      <c r="K282" s="179">
        <f>(TablaCosechas[[#This Row],[libras planta]]*454)/M282</f>
        <v>49482.746075085321</v>
      </c>
      <c r="L282" s="174">
        <v>3193.49</v>
      </c>
      <c r="M282" s="19">
        <v>29.3</v>
      </c>
      <c r="N282" s="9" t="str">
        <f>UPPER(TEXT(TablaCosechas[[#This Row],[COSECHA]],"MMMM"))</f>
        <v>OCTUBRE</v>
      </c>
      <c r="O282" s="9" t="str">
        <f>IF(A282="DO 29","BAP",IF(A282="RO 14","BAP",(VLOOKUP(TablaCosechas[[#This Row],[COD]],Tabla7[[CODIGO]:[CERTIFICACION]],3,0))))</f>
        <v>CONVENCIONAL</v>
      </c>
      <c r="P282" s="180">
        <f>+L282-E282</f>
        <v>43.489999999999782</v>
      </c>
      <c r="Q282" s="181">
        <f>+M282-F282</f>
        <v>0.80000000000000071</v>
      </c>
      <c r="R282" s="9"/>
    </row>
    <row r="283" spans="1:18" x14ac:dyDescent="0.25">
      <c r="A283" s="9" t="s">
        <v>348</v>
      </c>
      <c r="B283" s="9">
        <f>ROW() - ROW(TablaCosechas[[#Headers],[ID]]) - 4</f>
        <v>278</v>
      </c>
      <c r="C283" s="9" t="str">
        <f>LEFT(A283,2)</f>
        <v>WA</v>
      </c>
      <c r="D283" s="182" t="s">
        <v>367</v>
      </c>
      <c r="E283" s="178">
        <v>4000</v>
      </c>
      <c r="F283" s="19">
        <v>14</v>
      </c>
      <c r="G283" s="195">
        <v>45941</v>
      </c>
      <c r="H283" s="9" t="str">
        <f>VLOOKUP(TablaCosechas[[#This Row],[COD]],DATOS!$E$3:$F$27,2,0)</f>
        <v>WAHOO</v>
      </c>
      <c r="I283" s="9" t="str">
        <f>RIGHT(TablaCosechas[[#This Row],[SECTOR/PISCINA]],2)</f>
        <v>10</v>
      </c>
      <c r="J283" s="9" t="str">
        <f>VLOOKUP(TablaCosechas[[#This Row],[COD]],Tabla7[#All],4,0)</f>
        <v>JUNIOR ESQUIVEL</v>
      </c>
      <c r="K283" s="179">
        <f>(TablaCosechas[[#This Row],[libras planta]]*454)/M283</f>
        <v>139733.42507645261</v>
      </c>
      <c r="L283" s="174">
        <v>4025.8</v>
      </c>
      <c r="M283" s="19">
        <v>13.08</v>
      </c>
      <c r="N283" s="9" t="str">
        <f>UPPER(TEXT(TablaCosechas[[#This Row],[COSECHA]],"MMMM"))</f>
        <v>OCTUBRE</v>
      </c>
      <c r="O283" s="9" t="str">
        <f>IF(A283="DO 29","BAP",IF(A283="RO 14","BAP",(VLOOKUP(TablaCosechas[[#This Row],[COD]],Tabla7[[CODIGO]:[CERTIFICACION]],3,0))))</f>
        <v>CONVENCIONAL</v>
      </c>
      <c r="P283" s="180">
        <f>+L283-E283</f>
        <v>25.800000000000182</v>
      </c>
      <c r="Q283" s="181">
        <f>+M283-F283</f>
        <v>-0.91999999999999993</v>
      </c>
      <c r="R283" s="9"/>
    </row>
    <row r="284" spans="1:18" x14ac:dyDescent="0.25">
      <c r="A284" s="9" t="s">
        <v>111</v>
      </c>
      <c r="B284" s="9">
        <f>ROW() - ROW(TablaCosechas[[#Headers],[ID]]) - 4</f>
        <v>279</v>
      </c>
      <c r="C284" s="9" t="str">
        <f>LEFT(A284,2)</f>
        <v>PR</v>
      </c>
      <c r="D284" s="182" t="s">
        <v>366</v>
      </c>
      <c r="E284" s="178">
        <v>22500</v>
      </c>
      <c r="F284" s="19">
        <v>19</v>
      </c>
      <c r="G284" s="195">
        <v>45941</v>
      </c>
      <c r="H284" s="9" t="str">
        <f>VLOOKUP(TablaCosechas[[#This Row],[COD]],DATOS!$E$3:$F$27,2,0)</f>
        <v>PARGO ROJO</v>
      </c>
      <c r="I284" s="9" t="str">
        <f>RIGHT(TablaCosechas[[#This Row],[SECTOR/PISCINA]],2)</f>
        <v>16</v>
      </c>
      <c r="J284" s="9" t="str">
        <f>VLOOKUP(TablaCosechas[[#This Row],[COD]],Tabla7[#All],4,0)</f>
        <v>WILMER TORRES</v>
      </c>
      <c r="K284" s="179">
        <f>(TablaCosechas[[#This Row],[libras planta]]*454)/M284</f>
        <v>586212.31546069751</v>
      </c>
      <c r="L284" s="174">
        <v>24804.27</v>
      </c>
      <c r="M284" s="19">
        <v>19.21</v>
      </c>
      <c r="N284" s="9" t="str">
        <f>UPPER(TEXT(TablaCosechas[[#This Row],[COSECHA]],"MMMM"))</f>
        <v>OCTUBRE</v>
      </c>
      <c r="O284" s="9" t="str">
        <f>IF(A284="DO 29","BAP",IF(A284="RO 14","BAP",(VLOOKUP(TablaCosechas[[#This Row],[COD]],Tabla7[[CODIGO]:[CERTIFICACION]],3,0))))</f>
        <v>CONVENCIONAL</v>
      </c>
      <c r="P284" s="180">
        <f>+L284-E284</f>
        <v>2304.2700000000004</v>
      </c>
      <c r="Q284" s="181">
        <f>+M284-F284</f>
        <v>0.21000000000000085</v>
      </c>
      <c r="R284" s="9"/>
    </row>
    <row r="285" spans="1:18" x14ac:dyDescent="0.25">
      <c r="A285" s="9" t="s">
        <v>244</v>
      </c>
      <c r="B285" s="9">
        <f>ROW() - ROW(TablaCosechas[[#Headers],[ID]]) - 4</f>
        <v>280</v>
      </c>
      <c r="C285" s="9" t="str">
        <f>LEFT(A285,2)</f>
        <v>PA</v>
      </c>
      <c r="D285" s="182" t="s">
        <v>367</v>
      </c>
      <c r="E285" s="178">
        <v>14100</v>
      </c>
      <c r="F285" s="19">
        <v>26</v>
      </c>
      <c r="G285" s="195">
        <v>45941</v>
      </c>
      <c r="H285" s="9" t="str">
        <f>VLOOKUP(TablaCosechas[[#This Row],[COD]],DATOS!$E$3:$F$27,2,0)</f>
        <v>PAMPANO</v>
      </c>
      <c r="I285" s="9" t="str">
        <f>RIGHT(TablaCosechas[[#This Row],[SECTOR/PISCINA]],2)</f>
        <v>03</v>
      </c>
      <c r="J285" s="9" t="str">
        <f>VLOOKUP(TablaCosechas[[#This Row],[COD]],Tabla7[#All],4,0)</f>
        <v>GUSTAVO CARRASCO</v>
      </c>
      <c r="K285" s="179">
        <f>(TablaCosechas[[#This Row],[libras planta]]*454)/M285</f>
        <v>220805.71781033152</v>
      </c>
      <c r="L285" s="174">
        <v>12616.08</v>
      </c>
      <c r="M285" s="19">
        <v>25.94</v>
      </c>
      <c r="N285" s="9" t="str">
        <f>UPPER(TEXT(TablaCosechas[[#This Row],[COSECHA]],"MMMM"))</f>
        <v>OCTUBRE</v>
      </c>
      <c r="O285" s="9" t="str">
        <f>IF(A285="DO 29","BAP",IF(A285="RO 14","BAP",(VLOOKUP(TablaCosechas[[#This Row],[COD]],Tabla7[[CODIGO]:[CERTIFICACION]],3,0))))</f>
        <v>ASC</v>
      </c>
      <c r="P285" s="180">
        <f>+L285-E285</f>
        <v>-1483.92</v>
      </c>
      <c r="Q285" s="181">
        <f>+M285-F285</f>
        <v>-5.9999999999998721E-2</v>
      </c>
      <c r="R285" s="9"/>
    </row>
    <row r="286" spans="1:18" x14ac:dyDescent="0.25">
      <c r="A286" s="9" t="s">
        <v>159</v>
      </c>
      <c r="B286" s="9">
        <f>ROW() - ROW(TablaCosechas[[#Headers],[ID]]) - 4</f>
        <v>281</v>
      </c>
      <c r="C286" s="9" t="str">
        <f>LEFT(A286,2)</f>
        <v>DO</v>
      </c>
      <c r="D286" s="182" t="s">
        <v>366</v>
      </c>
      <c r="E286" s="178">
        <v>52900</v>
      </c>
      <c r="F286" s="19">
        <v>38</v>
      </c>
      <c r="G286" s="195">
        <v>45941</v>
      </c>
      <c r="H286" s="9" t="str">
        <f>VLOOKUP(TablaCosechas[[#This Row],[COD]],DATOS!$E$3:$F$27,2,0)</f>
        <v>DORADO</v>
      </c>
      <c r="I286" s="9" t="str">
        <f>RIGHT(TablaCosechas[[#This Row],[SECTOR/PISCINA]],2)</f>
        <v>23</v>
      </c>
      <c r="J286" s="9" t="str">
        <f>VLOOKUP(TablaCosechas[[#This Row],[COD]],Tabla7[#All],4,0)</f>
        <v>JOSE CEDEÑO</v>
      </c>
      <c r="K286" s="179">
        <f>(TablaCosechas[[#This Row],[libras planta]]*454)/M286</f>
        <v>634786.45555255341</v>
      </c>
      <c r="L286" s="174">
        <v>51747.68</v>
      </c>
      <c r="M286" s="19">
        <v>37.01</v>
      </c>
      <c r="N286" s="9" t="str">
        <f>UPPER(TEXT(TablaCosechas[[#This Row],[COSECHA]],"MMMM"))</f>
        <v>OCTUBRE</v>
      </c>
      <c r="O286" s="9" t="str">
        <f>IF(A286="DO 29","BAP",IF(A286="RO 14","BAP",(VLOOKUP(TablaCosechas[[#This Row],[COD]],Tabla7[[CODIGO]:[CERTIFICACION]],3,0))))</f>
        <v>ASC</v>
      </c>
      <c r="P286" s="180">
        <f>+L286-E286</f>
        <v>-1152.3199999999997</v>
      </c>
      <c r="Q286" s="181">
        <f>+M286-F286</f>
        <v>-0.99000000000000199</v>
      </c>
      <c r="R286" s="9"/>
    </row>
    <row r="287" spans="1:18" x14ac:dyDescent="0.25">
      <c r="A287" s="9" t="s">
        <v>196</v>
      </c>
      <c r="B287" s="9">
        <f>ROW() - ROW(TablaCosechas[[#Headers],[ID]]) - 4</f>
        <v>282</v>
      </c>
      <c r="C287" s="9" t="str">
        <f>LEFT(A287,2)</f>
        <v>DE</v>
      </c>
      <c r="D287" s="182" t="s">
        <v>366</v>
      </c>
      <c r="E287" s="178">
        <v>21900</v>
      </c>
      <c r="F287" s="19">
        <v>30</v>
      </c>
      <c r="G287" s="195">
        <v>45941</v>
      </c>
      <c r="H287" s="9" t="str">
        <f>VLOOKUP(TablaCosechas[[#This Row],[COD]],DATOS!$E$3:$F$27,2,0)</f>
        <v>DELFIN</v>
      </c>
      <c r="I287" s="9" t="str">
        <f>RIGHT(TablaCosechas[[#This Row],[SECTOR/PISCINA]],2)</f>
        <v>03</v>
      </c>
      <c r="J287" s="9" t="str">
        <f>VLOOKUP(TablaCosechas[[#This Row],[COD]],Tabla7[#All],4,0)</f>
        <v>CARLOS FLORES</v>
      </c>
      <c r="K287" s="179">
        <f>(TablaCosechas[[#This Row],[libras planta]]*454)/M287</f>
        <v>353590.78194993414</v>
      </c>
      <c r="L287" s="174">
        <v>23645.41</v>
      </c>
      <c r="M287" s="19">
        <v>30.36</v>
      </c>
      <c r="N287" s="9" t="str">
        <f>UPPER(TEXT(TablaCosechas[[#This Row],[COSECHA]],"MMMM"))</f>
        <v>OCTUBRE</v>
      </c>
      <c r="O287" s="9" t="str">
        <f>IF(A287="DO 29","BAP",IF(A287="RO 14","BAP",(VLOOKUP(TablaCosechas[[#This Row],[COD]],Tabla7[[CODIGO]:[CERTIFICACION]],3,0))))</f>
        <v>CONVENCIONAL</v>
      </c>
      <c r="P287" s="180">
        <f>+L287-E287</f>
        <v>1745.4099999999999</v>
      </c>
      <c r="Q287" s="181">
        <f>+M287-F287</f>
        <v>0.35999999999999943</v>
      </c>
      <c r="R287" s="9"/>
    </row>
    <row r="288" spans="1:18" x14ac:dyDescent="0.25">
      <c r="A288" s="9" t="s">
        <v>21</v>
      </c>
      <c r="B288" s="9">
        <f>ROW() - ROW(TablaCosechas[[#Headers],[ID]]) - 4</f>
        <v>283</v>
      </c>
      <c r="C288" s="9" t="str">
        <f>LEFT(A288,2)</f>
        <v>CH</v>
      </c>
      <c r="D288" s="182" t="s">
        <v>367</v>
      </c>
      <c r="E288" s="178">
        <v>2400</v>
      </c>
      <c r="F288" s="19">
        <v>21</v>
      </c>
      <c r="G288" s="195">
        <v>45941</v>
      </c>
      <c r="H288" s="9" t="str">
        <f>VLOOKUP(TablaCosechas[[#This Row],[COD]],DATOS!$E$3:$F$26,2,0)</f>
        <v>CHERNA</v>
      </c>
      <c r="I288" s="9" t="str">
        <f>RIGHT(TablaCosechas[[#This Row],[SECTOR/PISCINA]],2)</f>
        <v>15</v>
      </c>
      <c r="J288" s="9" t="str">
        <f>VLOOKUP(TablaCosechas[[#This Row],[COD]],Tabla7[#All],4,0)</f>
        <v>SANTIAGO OBRIEN</v>
      </c>
      <c r="K288" s="179">
        <f>(TablaCosechas[[#This Row],[libras planta]]*454)/M288</f>
        <v>58152.738003838778</v>
      </c>
      <c r="L288" s="174">
        <v>2669.39</v>
      </c>
      <c r="M288" s="19">
        <v>20.84</v>
      </c>
      <c r="N288" s="9" t="str">
        <f>UPPER(TEXT(TablaCosechas[[#This Row],[COSECHA]],"MMMM"))</f>
        <v>OCTUBRE</v>
      </c>
      <c r="O288" s="9" t="str">
        <f>IF(A288="DO 29","BAP",IF(A288="RO 14","BAP",(VLOOKUP(TablaCosechas[[#This Row],[COD]],Tabla7[[CODIGO]:[CERTIFICACION]],3,0))))</f>
        <v>ASC</v>
      </c>
      <c r="P288" s="180">
        <f>+L288-E288</f>
        <v>269.38999999999987</v>
      </c>
      <c r="Q288" s="181">
        <f>+M288-F288</f>
        <v>-0.16000000000000014</v>
      </c>
      <c r="R288" s="9"/>
    </row>
    <row r="289" spans="1:18" x14ac:dyDescent="0.25">
      <c r="A289" s="9" t="s">
        <v>14</v>
      </c>
      <c r="B289" s="9">
        <f>ROW() - ROW(TablaCosechas[[#Headers],[ID]]) - 4</f>
        <v>284</v>
      </c>
      <c r="C289" s="9" t="str">
        <f>LEFT(A289,2)</f>
        <v>CH</v>
      </c>
      <c r="D289" s="182" t="s">
        <v>367</v>
      </c>
      <c r="E289" s="178">
        <v>3100</v>
      </c>
      <c r="F289" s="19">
        <v>22</v>
      </c>
      <c r="G289" s="195">
        <v>45941</v>
      </c>
      <c r="H289" s="9" t="str">
        <f>VLOOKUP(TablaCosechas[[#This Row],[COD]],DATOS!$E$3:$F$27,2,0)</f>
        <v>CHERNA</v>
      </c>
      <c r="I289" s="9" t="str">
        <f>RIGHT(TablaCosechas[[#This Row],[SECTOR/PISCINA]],2)</f>
        <v>08</v>
      </c>
      <c r="J289" s="9" t="str">
        <f>VLOOKUP(TablaCosechas[[#This Row],[COD]],Tabla7[#All],4,0)</f>
        <v>SANTIAGO OBRIEN</v>
      </c>
      <c r="K289" s="179">
        <f>(TablaCosechas[[#This Row],[libras planta]]*454)/M289</f>
        <v>61268.286956521741</v>
      </c>
      <c r="L289" s="174">
        <v>3103.9</v>
      </c>
      <c r="M289" s="19">
        <v>23</v>
      </c>
      <c r="N289" s="9" t="str">
        <f>UPPER(TEXT(TablaCosechas[[#This Row],[COSECHA]],"MMMM"))</f>
        <v>OCTUBRE</v>
      </c>
      <c r="O289" s="9" t="str">
        <f>IF(A289="DO 29","BAP",IF(A289="RO 14","BAP",(VLOOKUP(TablaCosechas[[#This Row],[COD]],Tabla7[[CODIGO]:[CERTIFICACION]],3,0))))</f>
        <v>ASC</v>
      </c>
      <c r="P289" s="180">
        <f>+L289-E289</f>
        <v>3.9000000000000909</v>
      </c>
      <c r="Q289" s="181">
        <f>+M289-F289</f>
        <v>1</v>
      </c>
      <c r="R289" s="9"/>
    </row>
    <row r="290" spans="1:18" x14ac:dyDescent="0.25">
      <c r="A290" s="9" t="s">
        <v>328</v>
      </c>
      <c r="B290" s="9">
        <f>ROW() - ROW(TablaCosechas[[#Headers],[ID]]) - 4</f>
        <v>285</v>
      </c>
      <c r="C290" s="9" t="str">
        <f>LEFT(A290,2)</f>
        <v>WA</v>
      </c>
      <c r="D290" s="182" t="s">
        <v>367</v>
      </c>
      <c r="E290" s="178">
        <v>15650</v>
      </c>
      <c r="F290" s="19">
        <v>14.5</v>
      </c>
      <c r="G290" s="195">
        <v>45942</v>
      </c>
      <c r="H290" s="9" t="str">
        <f>VLOOKUP(TablaCosechas[[#This Row],[COD]],DATOS!$E$3:$F$27,2,0)</f>
        <v>WAHOO</v>
      </c>
      <c r="I290" s="9" t="str">
        <f>RIGHT(TablaCosechas[[#This Row],[SECTOR/PISCINA]],2)</f>
        <v>36</v>
      </c>
      <c r="J290" s="9" t="str">
        <f>VLOOKUP(TablaCosechas[[#This Row],[COD]],Tabla7[#All],4,0)</f>
        <v>JUNIOR ESQUIVEL</v>
      </c>
      <c r="K290" s="179">
        <f>(TablaCosechas[[#This Row],[libras planta]]*454)/M290</f>
        <v>530090.85206258891</v>
      </c>
      <c r="L290" s="174">
        <v>16416.47</v>
      </c>
      <c r="M290" s="19">
        <v>14.06</v>
      </c>
      <c r="N290" s="9" t="str">
        <f>UPPER(TEXT(TablaCosechas[[#This Row],[COSECHA]],"MMMM"))</f>
        <v>OCTUBRE</v>
      </c>
      <c r="O290" s="9" t="str">
        <f>IF(A290="DO 29","BAP",IF(A290="RO 14","BAP",(VLOOKUP(TablaCosechas[[#This Row],[COD]],Tabla7[[CODIGO]:[CERTIFICACION]],3,0))))</f>
        <v>CONVENCIONAL</v>
      </c>
      <c r="P290" s="180">
        <f>+L290-E290</f>
        <v>766.47000000000116</v>
      </c>
      <c r="Q290" s="181">
        <f>+M290-F290</f>
        <v>-0.4399999999999995</v>
      </c>
      <c r="R290" s="9"/>
    </row>
    <row r="291" spans="1:18" x14ac:dyDescent="0.25">
      <c r="A291" s="9" t="s">
        <v>109</v>
      </c>
      <c r="B291" s="9">
        <f>ROW() - ROW(TablaCosechas[[#Headers],[ID]]) - 4</f>
        <v>286</v>
      </c>
      <c r="C291" s="9" t="str">
        <f>LEFT(A291,2)</f>
        <v>TI</v>
      </c>
      <c r="D291" s="182" t="s">
        <v>366</v>
      </c>
      <c r="E291" s="178">
        <v>14200</v>
      </c>
      <c r="F291" s="19">
        <v>33</v>
      </c>
      <c r="G291" s="195">
        <v>45942</v>
      </c>
      <c r="H291" s="9" t="str">
        <f>VLOOKUP(TablaCosechas[[#This Row],[COD]],DATOS!$E$3:$F$27,2,0)</f>
        <v>TIBURON</v>
      </c>
      <c r="I291" s="9" t="str">
        <f>RIGHT(TablaCosechas[[#This Row],[SECTOR/PISCINA]],2)</f>
        <v>19</v>
      </c>
      <c r="J291" s="9" t="str">
        <f>VLOOKUP(TablaCosechas[[#This Row],[COD]],Tabla7[#All],4,0)</f>
        <v>ALFONSO GRUNAUER</v>
      </c>
      <c r="K291" s="179">
        <f>(TablaCosechas[[#This Row],[libras planta]]*454)/M291</f>
        <v>202606.06347305389</v>
      </c>
      <c r="L291" s="174">
        <v>14905.38</v>
      </c>
      <c r="M291" s="19">
        <v>33.4</v>
      </c>
      <c r="N291" s="9" t="str">
        <f>UPPER(TEXT(TablaCosechas[[#This Row],[COSECHA]],"MMMM"))</f>
        <v>OCTUBRE</v>
      </c>
      <c r="O291" s="9" t="str">
        <f>IF(A291="DO 29","BAP",IF(A291="RO 14","BAP",(VLOOKUP(TablaCosechas[[#This Row],[COD]],Tabla7[[CODIGO]:[CERTIFICACION]],3,0))))</f>
        <v>ASC</v>
      </c>
      <c r="P291" s="180">
        <f>+L291-E291</f>
        <v>705.3799999999992</v>
      </c>
      <c r="Q291" s="181">
        <f>+M291-F291</f>
        <v>0.39999999999999858</v>
      </c>
      <c r="R291" s="9"/>
    </row>
    <row r="292" spans="1:18" x14ac:dyDescent="0.25">
      <c r="A292" s="9" t="s">
        <v>121</v>
      </c>
      <c r="B292" s="9">
        <f>ROW() - ROW(TablaCosechas[[#Headers],[ID]]) - 4</f>
        <v>287</v>
      </c>
      <c r="C292" s="9" t="str">
        <f>LEFT(A292,2)</f>
        <v>PR</v>
      </c>
      <c r="D292" s="182" t="s">
        <v>366</v>
      </c>
      <c r="E292" s="178">
        <v>32700</v>
      </c>
      <c r="F292" s="19">
        <v>18</v>
      </c>
      <c r="G292" s="195">
        <v>45942</v>
      </c>
      <c r="H292" s="9" t="str">
        <f>VLOOKUP(TablaCosechas[[#This Row],[COD]],DATOS!$E$3:$F$27,2,0)</f>
        <v>PARGO ROJO</v>
      </c>
      <c r="I292" s="9" t="str">
        <f>RIGHT(TablaCosechas[[#This Row],[SECTOR/PISCINA]],2)</f>
        <v>15</v>
      </c>
      <c r="J292" s="9" t="str">
        <f>VLOOKUP(TablaCosechas[[#This Row],[COD]],Tabla7[#All],4,0)</f>
        <v>WILMER TORRES</v>
      </c>
      <c r="K292" s="179">
        <f>(TablaCosechas[[#This Row],[libras planta]]*454)/M292</f>
        <v>878037.4435612082</v>
      </c>
      <c r="L292" s="174">
        <v>36494.639999999999</v>
      </c>
      <c r="M292" s="19">
        <v>18.87</v>
      </c>
      <c r="N292" s="9" t="str">
        <f>UPPER(TEXT(TablaCosechas[[#This Row],[COSECHA]],"MMMM"))</f>
        <v>OCTUBRE</v>
      </c>
      <c r="O292" s="9" t="str">
        <f>IF(A292="DO 29","BAP",IF(A292="RO 14","BAP",(VLOOKUP(TablaCosechas[[#This Row],[COD]],Tabla7[[CODIGO]:[CERTIFICACION]],3,0))))</f>
        <v>CONVENCIONAL</v>
      </c>
      <c r="P292" s="180">
        <f>+L292-E292</f>
        <v>3794.6399999999994</v>
      </c>
      <c r="Q292" s="181">
        <f>+M292-F292</f>
        <v>0.87000000000000099</v>
      </c>
      <c r="R292" s="9"/>
    </row>
    <row r="293" spans="1:18" x14ac:dyDescent="0.25">
      <c r="A293" s="9" t="s">
        <v>175</v>
      </c>
      <c r="B293" s="9">
        <f>ROW() - ROW(TablaCosechas[[#Headers],[ID]]) - 4</f>
        <v>288</v>
      </c>
      <c r="C293" s="9" t="str">
        <f>LEFT(A293,2)</f>
        <v>PA</v>
      </c>
      <c r="D293" s="182" t="s">
        <v>366</v>
      </c>
      <c r="E293" s="178">
        <v>16300</v>
      </c>
      <c r="F293" s="19">
        <v>29</v>
      </c>
      <c r="G293" s="195">
        <v>45942</v>
      </c>
      <c r="H293" s="9" t="str">
        <f>VLOOKUP(TablaCosechas[[#This Row],[COD]],DATOS!$E$3:$F$27,2,0)</f>
        <v>PAMPANO</v>
      </c>
      <c r="I293" s="9" t="str">
        <f>RIGHT(TablaCosechas[[#This Row],[SECTOR/PISCINA]],2)</f>
        <v>09</v>
      </c>
      <c r="J293" s="9" t="str">
        <f>VLOOKUP(TablaCosechas[[#This Row],[COD]],Tabla7[#All],4,0)</f>
        <v>GUSTAVO CARRASCO</v>
      </c>
      <c r="K293" s="179">
        <f>(TablaCosechas[[#This Row],[libras planta]]*454)/M293</f>
        <v>238773.40172642763</v>
      </c>
      <c r="L293" s="174">
        <v>15841.09</v>
      </c>
      <c r="M293" s="19">
        <v>30.12</v>
      </c>
      <c r="N293" s="9" t="str">
        <f>UPPER(TEXT(TablaCosechas[[#This Row],[COSECHA]],"MMMM"))</f>
        <v>OCTUBRE</v>
      </c>
      <c r="O293" s="9" t="str">
        <f>IF(A293="DO 29","BAP",IF(A293="RO 14","BAP",(VLOOKUP(TablaCosechas[[#This Row],[COD]],Tabla7[[CODIGO]:[CERTIFICACION]],3,0))))</f>
        <v>ASC</v>
      </c>
      <c r="P293" s="180">
        <f>+L293-E293</f>
        <v>-458.90999999999985</v>
      </c>
      <c r="Q293" s="181">
        <f>+M293-F293</f>
        <v>1.120000000000001</v>
      </c>
      <c r="R293" s="9"/>
    </row>
    <row r="294" spans="1:18" x14ac:dyDescent="0.25">
      <c r="A294" s="9" t="s">
        <v>125</v>
      </c>
      <c r="B294" s="9">
        <f>ROW() - ROW(TablaCosechas[[#Headers],[ID]]) - 4</f>
        <v>289</v>
      </c>
      <c r="C294" s="9" t="str">
        <f>LEFT(A294,2)</f>
        <v>DE</v>
      </c>
      <c r="D294" s="182" t="s">
        <v>367</v>
      </c>
      <c r="E294" s="178">
        <v>5850</v>
      </c>
      <c r="F294" s="19">
        <v>25</v>
      </c>
      <c r="G294" s="195">
        <v>45942</v>
      </c>
      <c r="H294" s="9" t="str">
        <f>VLOOKUP(TablaCosechas[[#This Row],[COD]],DATOS!$E$3:$F$27,2,0)</f>
        <v>DELFIN</v>
      </c>
      <c r="I294" s="9" t="str">
        <f>RIGHT(TablaCosechas[[#This Row],[SECTOR/PISCINA]],2)</f>
        <v>15</v>
      </c>
      <c r="J294" s="9" t="str">
        <f>VLOOKUP(TablaCosechas[[#This Row],[COD]],Tabla7[#All],4,0)</f>
        <v>CARLOS FLORES</v>
      </c>
      <c r="K294" s="179">
        <f>(TablaCosechas[[#This Row],[libras planta]]*454)/M294</f>
        <v>98967.654670750388</v>
      </c>
      <c r="L294" s="174">
        <v>5693.91</v>
      </c>
      <c r="M294" s="19">
        <v>26.12</v>
      </c>
      <c r="N294" s="9" t="str">
        <f>UPPER(TEXT(TablaCosechas[[#This Row],[COSECHA]],"MMMM"))</f>
        <v>OCTUBRE</v>
      </c>
      <c r="O294" s="9" t="str">
        <f>IF(A294="DO 29","BAP",IF(A294="RO 14","BAP",(VLOOKUP(TablaCosechas[[#This Row],[COD]],Tabla7[[CODIGO]:[CERTIFICACION]],3,0))))</f>
        <v>CONVENCIONAL</v>
      </c>
      <c r="P294" s="180">
        <f>+L294-E294</f>
        <v>-156.09000000000015</v>
      </c>
      <c r="Q294" s="181">
        <f>+M294-F294</f>
        <v>1.120000000000001</v>
      </c>
      <c r="R294" s="9"/>
    </row>
    <row r="295" spans="1:18" x14ac:dyDescent="0.25">
      <c r="A295" s="9" t="s">
        <v>112</v>
      </c>
      <c r="B295" s="9">
        <f>ROW() - ROW(TablaCosechas[[#Headers],[ID]]) - 4</f>
        <v>290</v>
      </c>
      <c r="C295" s="9" t="str">
        <f>LEFT(A295,2)</f>
        <v>TI</v>
      </c>
      <c r="D295" s="182" t="s">
        <v>366</v>
      </c>
      <c r="E295" s="178">
        <v>23800</v>
      </c>
      <c r="F295" s="19">
        <v>39.5</v>
      </c>
      <c r="G295" s="195">
        <v>45943</v>
      </c>
      <c r="H295" s="9" t="str">
        <f>VLOOKUP(TablaCosechas[[#This Row],[COD]],DATOS!$E$3:$F$27,2,0)</f>
        <v>TIBURON</v>
      </c>
      <c r="I295" s="9" t="str">
        <f>RIGHT(TablaCosechas[[#This Row],[SECTOR/PISCINA]],2)</f>
        <v>17</v>
      </c>
      <c r="J295" s="9" t="str">
        <f>VLOOKUP(TablaCosechas[[#This Row],[COD]],Tabla7[#All],4,0)</f>
        <v>ALFONSO GRUNAUER</v>
      </c>
      <c r="K295" s="179">
        <f>(TablaCosechas[[#This Row],[libras planta]]*454)/M295</f>
        <v>278167.44758064515</v>
      </c>
      <c r="L295" s="174">
        <v>24312.080000000002</v>
      </c>
      <c r="M295" s="19">
        <v>39.68</v>
      </c>
      <c r="N295" s="9" t="str">
        <f>UPPER(TEXT(TablaCosechas[[#This Row],[COSECHA]],"MMMM"))</f>
        <v>OCTUBRE</v>
      </c>
      <c r="O295" s="9" t="str">
        <f>IF(A295="DO 29","BAP",IF(A295="RO 14","BAP",(VLOOKUP(TablaCosechas[[#This Row],[COD]],Tabla7[[CODIGO]:[CERTIFICACION]],3,0))))</f>
        <v>ASC</v>
      </c>
      <c r="P295" s="180">
        <f>+L295-E295</f>
        <v>512.08000000000175</v>
      </c>
      <c r="Q295" s="181">
        <f>+M295-F295</f>
        <v>0.17999999999999972</v>
      </c>
      <c r="R295" s="9"/>
    </row>
    <row r="296" spans="1:18" x14ac:dyDescent="0.25">
      <c r="A296" s="9" t="s">
        <v>113</v>
      </c>
      <c r="B296" s="9">
        <f>ROW() - ROW(TablaCosechas[[#Headers],[ID]]) - 4</f>
        <v>291</v>
      </c>
      <c r="C296" s="9" t="str">
        <f>LEFT(A296,2)</f>
        <v>PR</v>
      </c>
      <c r="D296" s="182" t="s">
        <v>366</v>
      </c>
      <c r="E296" s="178">
        <v>10900</v>
      </c>
      <c r="F296" s="19">
        <v>18</v>
      </c>
      <c r="G296" s="195">
        <v>45943</v>
      </c>
      <c r="H296" s="9" t="str">
        <f>VLOOKUP(TablaCosechas[[#This Row],[COD]],DATOS!$E$3:$F$27,2,0)</f>
        <v>PARGO ROJO</v>
      </c>
      <c r="I296" s="9" t="str">
        <f>RIGHT(TablaCosechas[[#This Row],[SECTOR/PISCINA]],2)</f>
        <v>03</v>
      </c>
      <c r="J296" s="9" t="str">
        <f>VLOOKUP(TablaCosechas[[#This Row],[COD]],Tabla7[#All],4,0)</f>
        <v>WILMER TORRES</v>
      </c>
      <c r="K296" s="179">
        <f>(TablaCosechas[[#This Row],[libras planta]]*454)/M296</f>
        <v>272800.69128996693</v>
      </c>
      <c r="L296" s="174">
        <v>10900.01</v>
      </c>
      <c r="M296" s="19">
        <v>18.14</v>
      </c>
      <c r="N296" s="9" t="str">
        <f>UPPER(TEXT(TablaCosechas[[#This Row],[COSECHA]],"MMMM"))</f>
        <v>OCTUBRE</v>
      </c>
      <c r="O296" s="9" t="str">
        <f>IF(A296="DO 29","BAP",IF(A296="RO 14","BAP",(VLOOKUP(TablaCosechas[[#This Row],[COD]],Tabla7[[CODIGO]:[CERTIFICACION]],3,0))))</f>
        <v>CONVENCIONAL</v>
      </c>
      <c r="P296" s="180">
        <f>+L296-E296</f>
        <v>1.0000000000218279E-2</v>
      </c>
      <c r="Q296" s="181">
        <f>+M296-F296</f>
        <v>0.14000000000000057</v>
      </c>
      <c r="R296" s="9"/>
    </row>
    <row r="297" spans="1:18" x14ac:dyDescent="0.25">
      <c r="A297" s="9" t="s">
        <v>154</v>
      </c>
      <c r="B297" s="9">
        <f>ROW() - ROW(TablaCosechas[[#Headers],[ID]]) - 4</f>
        <v>292</v>
      </c>
      <c r="C297" s="9" t="str">
        <f>LEFT(A297,2)</f>
        <v>PR</v>
      </c>
      <c r="D297" s="182" t="s">
        <v>366</v>
      </c>
      <c r="E297" s="178">
        <v>13750</v>
      </c>
      <c r="F297" s="19">
        <v>18</v>
      </c>
      <c r="G297" s="195">
        <v>45943</v>
      </c>
      <c r="H297" s="9" t="str">
        <f>VLOOKUP(TablaCosechas[[#This Row],[COD]],DATOS!$E$3:$F$27,2,0)</f>
        <v>PARGO ROJO</v>
      </c>
      <c r="I297" s="9" t="str">
        <f>RIGHT(TablaCosechas[[#This Row],[SECTOR/PISCINA]],2)</f>
        <v>02</v>
      </c>
      <c r="J297" s="9" t="str">
        <f>VLOOKUP(TablaCosechas[[#This Row],[COD]],Tabla7[#All],4,0)</f>
        <v>WILMER TORRES</v>
      </c>
      <c r="K297" s="179">
        <f>(TablaCosechas[[#This Row],[libras planta]]*454)/M297</f>
        <v>353944.06889128103</v>
      </c>
      <c r="L297" s="174">
        <v>14485.2</v>
      </c>
      <c r="M297" s="19">
        <v>18.579999999999998</v>
      </c>
      <c r="N297" s="9" t="str">
        <f>UPPER(TEXT(TablaCosechas[[#This Row],[COSECHA]],"MMMM"))</f>
        <v>OCTUBRE</v>
      </c>
      <c r="O297" s="9" t="str">
        <f>IF(A297="DO 29","BAP",IF(A297="RO 14","BAP",(VLOOKUP(TablaCosechas[[#This Row],[COD]],Tabla7[[CODIGO]:[CERTIFICACION]],3,0))))</f>
        <v>CONVENCIONAL</v>
      </c>
      <c r="P297" s="180">
        <f>+L297-E297</f>
        <v>735.20000000000073</v>
      </c>
      <c r="Q297" s="181">
        <f>+M297-F297</f>
        <v>0.57999999999999829</v>
      </c>
      <c r="R297" s="9"/>
    </row>
    <row r="298" spans="1:18" x14ac:dyDescent="0.25">
      <c r="A298" s="9" t="s">
        <v>271</v>
      </c>
      <c r="B298" s="9">
        <f>ROW() - ROW(TablaCosechas[[#Headers],[ID]]) - 4</f>
        <v>293</v>
      </c>
      <c r="C298" s="9" t="str">
        <f>LEFT(A298,2)</f>
        <v>MA</v>
      </c>
      <c r="D298" s="182" t="s">
        <v>367</v>
      </c>
      <c r="E298" s="178">
        <v>7350</v>
      </c>
      <c r="F298" s="19">
        <v>15</v>
      </c>
      <c r="G298" s="195">
        <v>45943</v>
      </c>
      <c r="H298" s="9" t="str">
        <f>VLOOKUP(TablaCosechas[[#This Row],[COD]],DATOS!$E$3:$F$27,2,0)</f>
        <v>MANTARRAYA</v>
      </c>
      <c r="I298" s="9" t="str">
        <f>RIGHT(TablaCosechas[[#This Row],[SECTOR/PISCINA]],2)</f>
        <v>01</v>
      </c>
      <c r="J298" s="9" t="str">
        <f>VLOOKUP(TablaCosechas[[#This Row],[COD]],Tabla7[#All],4,0)</f>
        <v>GUSTAVO CARRASCO</v>
      </c>
      <c r="K298" s="179">
        <f>(TablaCosechas[[#This Row],[libras planta]]*454)/M298</f>
        <v>207637.1467391304</v>
      </c>
      <c r="L298" s="174">
        <v>6732.2</v>
      </c>
      <c r="M298" s="19">
        <v>14.72</v>
      </c>
      <c r="N298" s="9" t="str">
        <f>UPPER(TEXT(TablaCosechas[[#This Row],[COSECHA]],"MMMM"))</f>
        <v>OCTUBRE</v>
      </c>
      <c r="O298" s="9" t="str">
        <f>IF(A298="DO 29","BAP",IF(A298="RO 14","BAP",(VLOOKUP(TablaCosechas[[#This Row],[COD]],Tabla7[[CODIGO]:[CERTIFICACION]],3,0))))</f>
        <v>ASC</v>
      </c>
      <c r="P298" s="180">
        <f>+L298-E298</f>
        <v>-617.80000000000018</v>
      </c>
      <c r="Q298" s="181">
        <f>+M298-F298</f>
        <v>-0.27999999999999936</v>
      </c>
      <c r="R298" s="9"/>
    </row>
    <row r="299" spans="1:18" x14ac:dyDescent="0.25">
      <c r="A299" s="9" t="s">
        <v>144</v>
      </c>
      <c r="B299" s="9">
        <f>ROW() - ROW(TablaCosechas[[#Headers],[ID]]) - 4</f>
        <v>294</v>
      </c>
      <c r="C299" s="9" t="str">
        <f>LEFT(A299,2)</f>
        <v>DO</v>
      </c>
      <c r="D299" s="182" t="s">
        <v>366</v>
      </c>
      <c r="E299" s="178">
        <v>39000</v>
      </c>
      <c r="F299" s="19">
        <v>31</v>
      </c>
      <c r="G299" s="195">
        <v>45943</v>
      </c>
      <c r="H299" s="9" t="str">
        <f>VLOOKUP(TablaCosechas[[#This Row],[COD]],DATOS!$E$3:$F$27,2,0)</f>
        <v>DORADO</v>
      </c>
      <c r="I299" s="9" t="str">
        <f>RIGHT(TablaCosechas[[#This Row],[SECTOR/PISCINA]],2)</f>
        <v>09</v>
      </c>
      <c r="J299" s="9" t="str">
        <f>VLOOKUP(TablaCosechas[[#This Row],[COD]],Tabla7[#All],4,0)</f>
        <v>JOSE CEDEÑO</v>
      </c>
      <c r="K299" s="179">
        <f>(TablaCosechas[[#This Row],[libras planta]]*454)/M299</f>
        <v>549368.40149393084</v>
      </c>
      <c r="L299" s="174">
        <v>38879.31</v>
      </c>
      <c r="M299" s="19">
        <v>32.130000000000003</v>
      </c>
      <c r="N299" s="9" t="str">
        <f>UPPER(TEXT(TablaCosechas[[#This Row],[COSECHA]],"MMMM"))</f>
        <v>OCTUBRE</v>
      </c>
      <c r="O299" s="9" t="str">
        <f>IF(A299="DO 29","BAP",IF(A299="RO 14","BAP",(VLOOKUP(TablaCosechas[[#This Row],[COD]],Tabla7[[CODIGO]:[CERTIFICACION]],3,0))))</f>
        <v>ASC</v>
      </c>
      <c r="P299" s="180">
        <f>+L299-E299</f>
        <v>-120.69000000000233</v>
      </c>
      <c r="Q299" s="181">
        <f>+M299-F299</f>
        <v>1.1300000000000026</v>
      </c>
      <c r="R299" s="9"/>
    </row>
    <row r="300" spans="1:18" x14ac:dyDescent="0.25">
      <c r="A300" s="9" t="s">
        <v>136</v>
      </c>
      <c r="B300" s="9">
        <f>ROW() - ROW(TablaCosechas[[#Headers],[ID]]) - 4</f>
        <v>295</v>
      </c>
      <c r="C300" s="9" t="str">
        <f>LEFT(A300,2)</f>
        <v>CA</v>
      </c>
      <c r="D300" s="182" t="s">
        <v>366</v>
      </c>
      <c r="E300" s="178">
        <v>10400</v>
      </c>
      <c r="F300" s="19">
        <v>33</v>
      </c>
      <c r="G300" s="195">
        <v>45943</v>
      </c>
      <c r="H300" s="9" t="str">
        <f>VLOOKUP(TablaCosechas[[#This Row],[COD]],DATOS!$E$3:$F$27,2,0)</f>
        <v>CATANUDA</v>
      </c>
      <c r="I300" s="9" t="str">
        <f>RIGHT(TablaCosechas[[#This Row],[SECTOR/PISCINA]],2)</f>
        <v>10</v>
      </c>
      <c r="J300" s="9" t="str">
        <f>VLOOKUP(TablaCosechas[[#This Row],[COD]],Tabla7[#All],4,0)</f>
        <v>VICTOR QUINTANA</v>
      </c>
      <c r="K300" s="179">
        <f>(TablaCosechas[[#This Row],[libras planta]]*454)/M300</f>
        <v>145210.99875930519</v>
      </c>
      <c r="L300" s="174">
        <v>10311.9</v>
      </c>
      <c r="M300" s="19">
        <v>32.24</v>
      </c>
      <c r="N300" s="9" t="str">
        <f>UPPER(TEXT(TablaCosechas[[#This Row],[COSECHA]],"MMMM"))</f>
        <v>OCTUBRE</v>
      </c>
      <c r="O300" s="9" t="str">
        <f>IF(A300="DO 29","BAP",IF(A300="RO 14","BAP",(VLOOKUP(TablaCosechas[[#This Row],[COD]],Tabla7[[CODIGO]:[CERTIFICACION]],3,0))))</f>
        <v>ASC</v>
      </c>
      <c r="P300" s="180">
        <f>+L300-E300</f>
        <v>-88.100000000000364</v>
      </c>
      <c r="Q300" s="181">
        <f>+M300-F300</f>
        <v>-0.75999999999999801</v>
      </c>
      <c r="R300" s="9"/>
    </row>
    <row r="301" spans="1:18" x14ac:dyDescent="0.25">
      <c r="A301" s="9" t="s">
        <v>195</v>
      </c>
      <c r="B301" s="9">
        <f>ROW() - ROW(TablaCosechas[[#Headers],[ID]]) - 4</f>
        <v>296</v>
      </c>
      <c r="C301" s="9" t="str">
        <f>LEFT(A301,2)</f>
        <v>TU</v>
      </c>
      <c r="D301" s="182" t="s">
        <v>367</v>
      </c>
      <c r="E301" s="178">
        <v>7400</v>
      </c>
      <c r="F301" s="19">
        <v>23</v>
      </c>
      <c r="G301" s="195">
        <v>45944</v>
      </c>
      <c r="H301" s="9" t="str">
        <f>VLOOKUP(TablaCosechas[[#This Row],[COD]],DATOS!$E$3:$F$27,2,0)</f>
        <v>TUNA</v>
      </c>
      <c r="I301" s="9" t="str">
        <f>RIGHT(TablaCosechas[[#This Row],[SECTOR/PISCINA]],2)</f>
        <v>01</v>
      </c>
      <c r="J301" s="9" t="str">
        <f>VLOOKUP(TablaCosechas[[#This Row],[COD]],Tabla7[#All],4,0)</f>
        <v>GUSTAVO CARRASCO</v>
      </c>
      <c r="K301" s="179">
        <f>(TablaCosechas[[#This Row],[libras planta]]*454)/M301</f>
        <v>136378.67455138662</v>
      </c>
      <c r="L301" s="174">
        <v>7365.65</v>
      </c>
      <c r="M301" s="19">
        <v>24.52</v>
      </c>
      <c r="N301" s="9" t="str">
        <f>UPPER(TEXT(TablaCosechas[[#This Row],[COSECHA]],"MMMM"))</f>
        <v>OCTUBRE</v>
      </c>
      <c r="O301" s="9" t="str">
        <f>IF(A301="DO 29","BAP",IF(A301="RO 14","BAP",(VLOOKUP(TablaCosechas[[#This Row],[COD]],Tabla7[[CODIGO]:[CERTIFICACION]],3,0))))</f>
        <v>ASC</v>
      </c>
      <c r="P301" s="180">
        <f>+L301-E301</f>
        <v>-34.350000000000364</v>
      </c>
      <c r="Q301" s="181">
        <f>+M301-F301</f>
        <v>1.5199999999999996</v>
      </c>
      <c r="R301" s="9"/>
    </row>
    <row r="302" spans="1:18" x14ac:dyDescent="0.25">
      <c r="A302" s="9" t="s">
        <v>160</v>
      </c>
      <c r="B302" s="9">
        <f>ROW() - ROW(TablaCosechas[[#Headers],[ID]]) - 4</f>
        <v>297</v>
      </c>
      <c r="C302" s="9" t="str">
        <f>LEFT(A302,2)</f>
        <v>TI</v>
      </c>
      <c r="D302" s="182" t="s">
        <v>366</v>
      </c>
      <c r="E302" s="178">
        <v>30600</v>
      </c>
      <c r="F302" s="19">
        <v>36</v>
      </c>
      <c r="G302" s="195">
        <v>45944</v>
      </c>
      <c r="H302" s="9" t="str">
        <f>VLOOKUP(TablaCosechas[[#This Row],[COD]],DATOS!$E$3:$F$27,2,0)</f>
        <v>TIBURON</v>
      </c>
      <c r="I302" s="9" t="str">
        <f>RIGHT(TablaCosechas[[#This Row],[SECTOR/PISCINA]],2)</f>
        <v>14</v>
      </c>
      <c r="J302" s="9" t="str">
        <f>VLOOKUP(TablaCosechas[[#This Row],[COD]],Tabla7[#All],4,0)</f>
        <v>ALFONSO GRUNAUER</v>
      </c>
      <c r="K302" s="179">
        <f>(TablaCosechas[[#This Row],[libras planta]]*454)/M302</f>
        <v>383067.44029017852</v>
      </c>
      <c r="L302" s="174">
        <v>30240.39</v>
      </c>
      <c r="M302" s="19">
        <v>35.840000000000003</v>
      </c>
      <c r="N302" s="9" t="str">
        <f>UPPER(TEXT(TablaCosechas[[#This Row],[COSECHA]],"MMMM"))</f>
        <v>OCTUBRE</v>
      </c>
      <c r="O302" s="9" t="str">
        <f>IF(A302="DO 29","BAP",IF(A302="RO 14","BAP",(VLOOKUP(TablaCosechas[[#This Row],[COD]],Tabla7[[CODIGO]:[CERTIFICACION]],3,0))))</f>
        <v>ASC</v>
      </c>
      <c r="P302" s="180">
        <f>+L302-E302</f>
        <v>-359.61000000000058</v>
      </c>
      <c r="Q302" s="181">
        <f>+M302-F302</f>
        <v>-0.15999999999999659</v>
      </c>
      <c r="R302" s="9"/>
    </row>
    <row r="303" spans="1:18" x14ac:dyDescent="0.25">
      <c r="A303" s="9" t="s">
        <v>150</v>
      </c>
      <c r="B303" s="9">
        <f>ROW() - ROW(TablaCosechas[[#Headers],[ID]]) - 4</f>
        <v>298</v>
      </c>
      <c r="C303" s="9" t="str">
        <f>LEFT(A303,2)</f>
        <v>RO</v>
      </c>
      <c r="D303" s="182" t="s">
        <v>366</v>
      </c>
      <c r="E303" s="178">
        <v>38800</v>
      </c>
      <c r="F303" s="19">
        <v>25</v>
      </c>
      <c r="G303" s="195">
        <v>45944</v>
      </c>
      <c r="H303" s="9" t="str">
        <f>VLOOKUP(TablaCosechas[[#This Row],[COD]],DATOS!$E$3:$F$27,2,0)</f>
        <v>ROBALO</v>
      </c>
      <c r="I303" s="9" t="str">
        <f>RIGHT(TablaCosechas[[#This Row],[SECTOR/PISCINA]],2)</f>
        <v>07</v>
      </c>
      <c r="J303" s="9" t="str">
        <f>VLOOKUP(TablaCosechas[[#This Row],[COD]],Tabla7[#All],4,0)</f>
        <v>VICTOR QUINTANA</v>
      </c>
      <c r="K303" s="179">
        <f>(TablaCosechas[[#This Row],[libras planta]]*454)/M303</f>
        <v>721697.12789880543</v>
      </c>
      <c r="L303" s="174">
        <v>45241.19</v>
      </c>
      <c r="M303" s="19">
        <v>28.46</v>
      </c>
      <c r="N303" s="9" t="str">
        <f>UPPER(TEXT(TablaCosechas[[#This Row],[COSECHA]],"MMMM"))</f>
        <v>OCTUBRE</v>
      </c>
      <c r="O303" s="9" t="str">
        <f>IF(A303="DO 29","BAP",IF(A303="RO 14","BAP",(VLOOKUP(TablaCosechas[[#This Row],[COD]],Tabla7[[CODIGO]:[CERTIFICACION]],3,0))))</f>
        <v>ASC</v>
      </c>
      <c r="P303" s="180">
        <f>+L303-E303</f>
        <v>6441.1900000000023</v>
      </c>
      <c r="Q303" s="181">
        <f>+M303-F303</f>
        <v>3.4600000000000009</v>
      </c>
      <c r="R303" s="9"/>
    </row>
    <row r="304" spans="1:18" x14ac:dyDescent="0.25">
      <c r="A304" s="9" t="s">
        <v>106</v>
      </c>
      <c r="B304" s="9">
        <f>ROW() - ROW(TablaCosechas[[#Headers],[ID]]) - 4</f>
        <v>299</v>
      </c>
      <c r="C304" s="9" t="str">
        <f>LEFT(A304,2)</f>
        <v>PR</v>
      </c>
      <c r="D304" s="182" t="s">
        <v>366</v>
      </c>
      <c r="E304" s="178">
        <v>33200</v>
      </c>
      <c r="F304" s="19">
        <v>22</v>
      </c>
      <c r="G304" s="195">
        <v>45944</v>
      </c>
      <c r="H304" s="9" t="str">
        <f>VLOOKUP(TablaCosechas[[#This Row],[COD]],DATOS!$E$3:$F$27,2,0)</f>
        <v>PARGO ROJO</v>
      </c>
      <c r="I304" s="9" t="str">
        <f>RIGHT(TablaCosechas[[#This Row],[SECTOR/PISCINA]],2)</f>
        <v>28</v>
      </c>
      <c r="J304" s="9" t="str">
        <f>VLOOKUP(TablaCosechas[[#This Row],[COD]],Tabla7[#All],4,0)</f>
        <v>WILMER TORRES</v>
      </c>
      <c r="K304" s="179">
        <f>(TablaCosechas[[#This Row],[libras planta]]*454)/M304</f>
        <v>776137.5732031943</v>
      </c>
      <c r="L304" s="174">
        <v>38533.35</v>
      </c>
      <c r="M304" s="19">
        <v>22.54</v>
      </c>
      <c r="N304" s="9" t="str">
        <f>UPPER(TEXT(TablaCosechas[[#This Row],[COSECHA]],"MMMM"))</f>
        <v>OCTUBRE</v>
      </c>
      <c r="O304" s="9" t="str">
        <f>IF(A304="DO 29","BAP",IF(A304="RO 14","BAP",(VLOOKUP(TablaCosechas[[#This Row],[COD]],Tabla7[[CODIGO]:[CERTIFICACION]],3,0))))</f>
        <v>CONVENCIONAL</v>
      </c>
      <c r="P304" s="180">
        <f>+L304-E304</f>
        <v>5333.3499999999985</v>
      </c>
      <c r="Q304" s="181">
        <f>+M304-F304</f>
        <v>0.53999999999999915</v>
      </c>
      <c r="R304" s="9"/>
    </row>
    <row r="305" spans="1:18" x14ac:dyDescent="0.25">
      <c r="A305" s="9" t="s">
        <v>259</v>
      </c>
      <c r="B305" s="9">
        <f>ROW() - ROW(TablaCosechas[[#Headers],[ID]]) - 4</f>
        <v>300</v>
      </c>
      <c r="C305" s="9" t="str">
        <f>LEFT(A305,2)</f>
        <v>PA</v>
      </c>
      <c r="D305" s="182" t="s">
        <v>367</v>
      </c>
      <c r="E305" s="178">
        <v>4900</v>
      </c>
      <c r="F305" s="19">
        <v>21</v>
      </c>
      <c r="G305" s="195">
        <v>45944</v>
      </c>
      <c r="H305" s="9" t="str">
        <f>VLOOKUP(TablaCosechas[[#This Row],[COD]],DATOS!$E$3:$F$26,2,0)</f>
        <v>PAMPANO</v>
      </c>
      <c r="I305" s="9" t="str">
        <f>RIGHT(TablaCosechas[[#This Row],[SECTOR/PISCINA]],2)</f>
        <v>19</v>
      </c>
      <c r="J305" s="9" t="str">
        <f>VLOOKUP(TablaCosechas[[#This Row],[COD]],Tabla7[#All],4,0)</f>
        <v>GUSTAVO CARRASCO</v>
      </c>
      <c r="K305" s="179">
        <f>(TablaCosechas[[#This Row],[libras planta]]*454)/M305</f>
        <v>97320.674561403503</v>
      </c>
      <c r="L305" s="174">
        <v>4887.47</v>
      </c>
      <c r="M305" s="19">
        <v>22.8</v>
      </c>
      <c r="N305" s="9" t="str">
        <f>UPPER(TEXT(TablaCosechas[[#This Row],[COSECHA]],"MMMM"))</f>
        <v>OCTUBRE</v>
      </c>
      <c r="O305" s="9" t="str">
        <f>IF(A305="DO 29","BAP",IF(A305="RO 14","BAP",(VLOOKUP(TablaCosechas[[#This Row],[COD]],Tabla7[[CODIGO]:[CERTIFICACION]],3,0))))</f>
        <v>ASC</v>
      </c>
      <c r="P305" s="180">
        <f>+L305-E305</f>
        <v>-12.529999999999745</v>
      </c>
      <c r="Q305" s="181">
        <f>+M305-F305</f>
        <v>1.8000000000000007</v>
      </c>
      <c r="R305" s="9"/>
    </row>
    <row r="306" spans="1:18" x14ac:dyDescent="0.25">
      <c r="A306" s="9" t="s">
        <v>145</v>
      </c>
      <c r="B306" s="9">
        <f>ROW() - ROW(TablaCosechas[[#Headers],[ID]]) - 4</f>
        <v>301</v>
      </c>
      <c r="C306" s="9" t="str">
        <f>LEFT(A306,2)</f>
        <v>GT</v>
      </c>
      <c r="D306" s="182" t="s">
        <v>366</v>
      </c>
      <c r="E306" s="178">
        <v>13450</v>
      </c>
      <c r="F306" s="19">
        <v>30</v>
      </c>
      <c r="G306" s="195">
        <v>45944</v>
      </c>
      <c r="H306" s="9" t="str">
        <f>VLOOKUP(TablaCosechas[[#This Row],[COD]],DATOS!$E$3:$F$27,2,0)</f>
        <v>GUATO</v>
      </c>
      <c r="I306" s="9" t="str">
        <f>RIGHT(TablaCosechas[[#This Row],[SECTOR/PISCINA]],2)</f>
        <v>15</v>
      </c>
      <c r="J306" s="9" t="str">
        <f>VLOOKUP(TablaCosechas[[#This Row],[COD]],Tabla7[#All],4,0)</f>
        <v>JULIO SANTOS</v>
      </c>
      <c r="K306" s="179">
        <f>(TablaCosechas[[#This Row],[libras planta]]*454)/M306</f>
        <v>216389.13964262081</v>
      </c>
      <c r="L306" s="174">
        <v>14403.7</v>
      </c>
      <c r="M306" s="19">
        <v>30.22</v>
      </c>
      <c r="N306" s="9" t="str">
        <f>UPPER(TEXT(TablaCosechas[[#This Row],[COSECHA]],"MMMM"))</f>
        <v>OCTUBRE</v>
      </c>
      <c r="O306" s="9" t="str">
        <f>IF(A306="DO 29","BAP",IF(A306="RO 14","BAP",(VLOOKUP(TablaCosechas[[#This Row],[COD]],Tabla7[[CODIGO]:[CERTIFICACION]],3,0))))</f>
        <v>CONVENCIONAL</v>
      </c>
      <c r="P306" s="180">
        <f>+L306-E306</f>
        <v>953.70000000000073</v>
      </c>
      <c r="Q306" s="181">
        <f>+M306-F306</f>
        <v>0.21999999999999886</v>
      </c>
      <c r="R306" s="9"/>
    </row>
    <row r="307" spans="1:18" x14ac:dyDescent="0.25">
      <c r="A307" s="9" t="s">
        <v>137</v>
      </c>
      <c r="B307" s="9">
        <f>ROW() - ROW(TablaCosechas[[#Headers],[ID]]) - 4</f>
        <v>302</v>
      </c>
      <c r="C307" s="9" t="str">
        <f>LEFT(A307,2)</f>
        <v>DO</v>
      </c>
      <c r="D307" s="182" t="s">
        <v>366</v>
      </c>
      <c r="E307" s="178">
        <v>24600</v>
      </c>
      <c r="F307" s="19">
        <v>31</v>
      </c>
      <c r="G307" s="195">
        <v>45944</v>
      </c>
      <c r="H307" s="9" t="str">
        <f>VLOOKUP(TablaCosechas[[#This Row],[COD]],DATOS!$E$3:$F$27,2,0)</f>
        <v>DORADO</v>
      </c>
      <c r="I307" s="9" t="str">
        <f>RIGHT(TablaCosechas[[#This Row],[SECTOR/PISCINA]],2)</f>
        <v>20</v>
      </c>
      <c r="J307" s="9" t="str">
        <f>VLOOKUP(TablaCosechas[[#This Row],[COD]],Tabla7[#All],4,0)</f>
        <v>JOSE CEDEÑO</v>
      </c>
      <c r="K307" s="179">
        <f>(TablaCosechas[[#This Row],[libras planta]]*454)/M307</f>
        <v>360749.16046901169</v>
      </c>
      <c r="L307" s="174">
        <v>23718.86</v>
      </c>
      <c r="M307" s="19">
        <v>29.85</v>
      </c>
      <c r="N307" s="9" t="str">
        <f>UPPER(TEXT(TablaCosechas[[#This Row],[COSECHA]],"MMMM"))</f>
        <v>OCTUBRE</v>
      </c>
      <c r="O307" s="9" t="str">
        <f>IF(A307="DO 29","BAP",IF(A307="RO 14","BAP",(VLOOKUP(TablaCosechas[[#This Row],[COD]],Tabla7[[CODIGO]:[CERTIFICACION]],3,0))))</f>
        <v>ASC</v>
      </c>
      <c r="P307" s="180">
        <f>+L307-E307</f>
        <v>-881.13999999999942</v>
      </c>
      <c r="Q307" s="181">
        <f>+M307-F307</f>
        <v>-1.1499999999999986</v>
      </c>
      <c r="R307" s="9"/>
    </row>
    <row r="308" spans="1:18" x14ac:dyDescent="0.25">
      <c r="A308" s="9" t="s">
        <v>7</v>
      </c>
      <c r="B308" s="9">
        <f>ROW() - ROW(TablaCosechas[[#Headers],[ID]]) - 4</f>
        <v>303</v>
      </c>
      <c r="C308" s="9" t="str">
        <f>LEFT(A308,2)</f>
        <v>CH</v>
      </c>
      <c r="D308" s="182" t="s">
        <v>367</v>
      </c>
      <c r="E308" s="178">
        <v>7650</v>
      </c>
      <c r="F308" s="19">
        <v>18</v>
      </c>
      <c r="G308" s="195">
        <v>45944</v>
      </c>
      <c r="H308" s="9" t="str">
        <f>VLOOKUP(TablaCosechas[[#This Row],[COD]],DATOS!$E$3:$F$26,2,0)</f>
        <v>CHERNA</v>
      </c>
      <c r="I308" s="9" t="str">
        <f>RIGHT(TablaCosechas[[#This Row],[SECTOR/PISCINA]],2)</f>
        <v>01</v>
      </c>
      <c r="J308" s="9" t="str">
        <f>VLOOKUP(TablaCosechas[[#This Row],[COD]],Tabla7[#All],4,0)</f>
        <v>SANTIAGO OBRIEN</v>
      </c>
      <c r="K308" s="179">
        <f>(TablaCosechas[[#This Row],[libras planta]]*454)/M308</f>
        <v>174380.08258928571</v>
      </c>
      <c r="L308" s="174">
        <v>6883.02</v>
      </c>
      <c r="M308" s="19">
        <v>17.920000000000002</v>
      </c>
      <c r="N308" s="9" t="str">
        <f>UPPER(TEXT(TablaCosechas[[#This Row],[COSECHA]],"MMMM"))</f>
        <v>OCTUBRE</v>
      </c>
      <c r="O308" s="9" t="str">
        <f>IF(A308="DO 29","BAP",IF(A308="RO 14","BAP",(VLOOKUP(TablaCosechas[[#This Row],[COD]],Tabla7[[CODIGO]:[CERTIFICACION]],3,0))))</f>
        <v>ASC</v>
      </c>
      <c r="P308" s="180">
        <f>+L308-E308</f>
        <v>-766.97999999999956</v>
      </c>
      <c r="Q308" s="181">
        <f>+M308-F308</f>
        <v>-7.9999999999998295E-2</v>
      </c>
      <c r="R308" s="9"/>
    </row>
    <row r="309" spans="1:18" x14ac:dyDescent="0.25">
      <c r="A309" s="9" t="s">
        <v>258</v>
      </c>
      <c r="B309" s="9">
        <f>ROW() - ROW(TablaCosechas[[#Headers],[ID]]) - 4</f>
        <v>304</v>
      </c>
      <c r="C309" s="9" t="str">
        <f>LEFT(A309,2)</f>
        <v>TI</v>
      </c>
      <c r="D309" s="182" t="s">
        <v>367</v>
      </c>
      <c r="E309" s="178">
        <v>8500</v>
      </c>
      <c r="F309" s="19">
        <v>18</v>
      </c>
      <c r="G309" s="195">
        <v>45945</v>
      </c>
      <c r="H309" s="9" t="str">
        <f>VLOOKUP(TablaCosechas[[#This Row],[COD]],DATOS!$E$3:$F$26,2,0)</f>
        <v>TIBURON</v>
      </c>
      <c r="I309" s="9" t="str">
        <f>RIGHT(TablaCosechas[[#This Row],[SECTOR/PISCINA]],2)</f>
        <v>10</v>
      </c>
      <c r="J309" s="9" t="str">
        <f>VLOOKUP(TablaCosechas[[#This Row],[COD]],Tabla7[#All],4,0)</f>
        <v>ALFONSO GRUNAUER</v>
      </c>
      <c r="K309" s="179">
        <f>(TablaCosechas[[#This Row],[libras planta]]*454)/M309</f>
        <v>195090.11358811043</v>
      </c>
      <c r="L309" s="174">
        <v>8095.81</v>
      </c>
      <c r="M309" s="19">
        <v>18.84</v>
      </c>
      <c r="N309" s="9" t="str">
        <f>UPPER(TEXT(TablaCosechas[[#This Row],[COSECHA]],"MMMM"))</f>
        <v>OCTUBRE</v>
      </c>
      <c r="O309" s="9" t="str">
        <f>IF(A309="DO 29","BAP",IF(A309="RO 14","BAP",(VLOOKUP(TablaCosechas[[#This Row],[COD]],Tabla7[[CODIGO]:[CERTIFICACION]],3,0))))</f>
        <v>ASC</v>
      </c>
      <c r="P309" s="180">
        <f>+L309-E309</f>
        <v>-404.1899999999996</v>
      </c>
      <c r="Q309" s="181">
        <f>+M309-F309</f>
        <v>0.83999999999999986</v>
      </c>
      <c r="R309" s="9"/>
    </row>
    <row r="310" spans="1:18" x14ac:dyDescent="0.25">
      <c r="A310" s="9" t="s">
        <v>247</v>
      </c>
      <c r="B310" s="9">
        <f>ROW() - ROW(TablaCosechas[[#Headers],[ID]]) - 4</f>
        <v>305</v>
      </c>
      <c r="C310" s="9" t="str">
        <f>LEFT(A310,2)</f>
        <v>PA</v>
      </c>
      <c r="D310" s="182" t="s">
        <v>367</v>
      </c>
      <c r="E310" s="178">
        <v>27000</v>
      </c>
      <c r="F310" s="19">
        <v>20</v>
      </c>
      <c r="G310" s="195">
        <v>45945</v>
      </c>
      <c r="H310" s="9" t="str">
        <f>VLOOKUP(TablaCosechas[[#This Row],[COD]],DATOS!$E$3:$F$26,2,0)</f>
        <v>PAMPANO</v>
      </c>
      <c r="I310" s="9" t="str">
        <f>RIGHT(TablaCosechas[[#This Row],[SECTOR/PISCINA]],2)</f>
        <v>18</v>
      </c>
      <c r="J310" s="9" t="str">
        <f>VLOOKUP(TablaCosechas[[#This Row],[COD]],Tabla7[#All],4,0)</f>
        <v>GUSTAVO CARRASCO</v>
      </c>
      <c r="K310" s="179">
        <f>(TablaCosechas[[#This Row],[libras planta]]*454)/M310</f>
        <v>536462.57225156028</v>
      </c>
      <c r="L310" s="174">
        <v>24613.47</v>
      </c>
      <c r="M310" s="19">
        <v>20.83</v>
      </c>
      <c r="N310" s="9" t="str">
        <f>UPPER(TEXT(TablaCosechas[[#This Row],[COSECHA]],"MMMM"))</f>
        <v>OCTUBRE</v>
      </c>
      <c r="O310" s="9" t="str">
        <f>IF(A310="DO 29","BAP",IF(A310="RO 14","BAP",(VLOOKUP(TablaCosechas[[#This Row],[COD]],Tabla7[[CODIGO]:[CERTIFICACION]],3,0))))</f>
        <v>ASC</v>
      </c>
      <c r="P310" s="180">
        <f>+L310-E310</f>
        <v>-2386.5299999999988</v>
      </c>
      <c r="Q310" s="181">
        <f>+M310-F310</f>
        <v>0.82999999999999829</v>
      </c>
      <c r="R310" s="9"/>
    </row>
    <row r="311" spans="1:18" x14ac:dyDescent="0.25">
      <c r="A311" s="9" t="s">
        <v>137</v>
      </c>
      <c r="B311" s="9">
        <f>ROW() - ROW(TablaCosechas[[#Headers],[ID]]) - 4</f>
        <v>306</v>
      </c>
      <c r="C311" s="9" t="str">
        <f>LEFT(A311,2)</f>
        <v>DO</v>
      </c>
      <c r="D311" s="182" t="s">
        <v>366</v>
      </c>
      <c r="E311" s="178">
        <v>35400</v>
      </c>
      <c r="F311" s="19">
        <v>32</v>
      </c>
      <c r="G311" s="195">
        <v>45945</v>
      </c>
      <c r="H311" s="9" t="str">
        <f>VLOOKUP(TablaCosechas[[#This Row],[COD]],DATOS!$E$3:$F$27,2,0)</f>
        <v>DORADO</v>
      </c>
      <c r="I311" s="9" t="str">
        <f>RIGHT(TablaCosechas[[#This Row],[SECTOR/PISCINA]],2)</f>
        <v>20</v>
      </c>
      <c r="J311" s="9" t="str">
        <f>VLOOKUP(TablaCosechas[[#This Row],[COD]],Tabla7[#All],4,0)</f>
        <v>JOSE CEDEÑO</v>
      </c>
      <c r="K311" s="179">
        <f>(TablaCosechas[[#This Row],[libras planta]]*454)/M311</f>
        <v>578984.75510887778</v>
      </c>
      <c r="L311" s="174">
        <v>38067.61</v>
      </c>
      <c r="M311" s="19">
        <v>29.85</v>
      </c>
      <c r="N311" s="9" t="str">
        <f>UPPER(TEXT(TablaCosechas[[#This Row],[COSECHA]],"MMMM"))</f>
        <v>OCTUBRE</v>
      </c>
      <c r="O311" s="9" t="str">
        <f>IF(A311="DO 29","BAP",IF(A311="RO 14","BAP",(VLOOKUP(TablaCosechas[[#This Row],[COD]],Tabla7[[CODIGO]:[CERTIFICACION]],3,0))))</f>
        <v>ASC</v>
      </c>
      <c r="P311" s="180">
        <f>+L311-E311</f>
        <v>2667.6100000000006</v>
      </c>
      <c r="Q311" s="181">
        <f>+M311-F311</f>
        <v>-2.1499999999999986</v>
      </c>
      <c r="R311" s="9"/>
    </row>
    <row r="312" spans="1:18" x14ac:dyDescent="0.25">
      <c r="A312" s="9" t="s">
        <v>184</v>
      </c>
      <c r="B312" s="9">
        <f>ROW() - ROW(TablaCosechas[[#Headers],[ID]]) - 4</f>
        <v>307</v>
      </c>
      <c r="C312" s="9" t="str">
        <f>LEFT(A312,2)</f>
        <v>DO</v>
      </c>
      <c r="D312" s="182" t="s">
        <v>366</v>
      </c>
      <c r="E312" s="178">
        <f>40100</f>
        <v>40100</v>
      </c>
      <c r="F312" s="19">
        <v>32.5</v>
      </c>
      <c r="G312" s="195">
        <v>45945</v>
      </c>
      <c r="H312" s="9" t="str">
        <f>VLOOKUP(TablaCosechas[[#This Row],[COD]],DATOS!$E$3:$F$27,2,0)</f>
        <v>DORADO</v>
      </c>
      <c r="I312" s="9" t="str">
        <f>RIGHT(TablaCosechas[[#This Row],[SECTOR/PISCINA]],2)</f>
        <v>19</v>
      </c>
      <c r="J312" s="9" t="str">
        <f>VLOOKUP(TablaCosechas[[#This Row],[COD]],Tabla7[#All],4,0)</f>
        <v>JOSE CEDEÑO</v>
      </c>
      <c r="K312" s="179">
        <f>(TablaCosechas[[#This Row],[libras planta]]*454)/M312</f>
        <v>534172.41660265869</v>
      </c>
      <c r="L312" s="174">
        <v>39827.612999999998</v>
      </c>
      <c r="M312" s="19">
        <v>33.85</v>
      </c>
      <c r="N312" s="9" t="str">
        <f>UPPER(TEXT(TablaCosechas[[#This Row],[COSECHA]],"MMMM"))</f>
        <v>OCTUBRE</v>
      </c>
      <c r="O312" s="9" t="str">
        <f>IF(A312="DO 29","BAP",IF(A312="RO 14","BAP",(VLOOKUP(TablaCosechas[[#This Row],[COD]],Tabla7[[CODIGO]:[CERTIFICACION]],3,0))))</f>
        <v>ASC</v>
      </c>
      <c r="P312" s="180">
        <f>+L312-E312</f>
        <v>-272.38700000000244</v>
      </c>
      <c r="Q312" s="181">
        <f>+M312-F312</f>
        <v>1.3500000000000014</v>
      </c>
      <c r="R312" s="9"/>
    </row>
    <row r="313" spans="1:18" x14ac:dyDescent="0.25">
      <c r="A313" s="9" t="s">
        <v>220</v>
      </c>
      <c r="B313" s="9">
        <f>ROW() - ROW(TablaCosechas[[#Headers],[ID]]) - 4</f>
        <v>308</v>
      </c>
      <c r="C313" s="9" t="str">
        <f>LEFT(A313,2)</f>
        <v>DO</v>
      </c>
      <c r="D313" s="182" t="s">
        <v>367</v>
      </c>
      <c r="E313" s="178">
        <v>10500</v>
      </c>
      <c r="F313" s="19">
        <v>22</v>
      </c>
      <c r="G313" s="195">
        <v>45945</v>
      </c>
      <c r="H313" s="9" t="str">
        <f>VLOOKUP(TablaCosechas[[#This Row],[COD]],DATOS!$E$3:$F$27,2,0)</f>
        <v>DORADO</v>
      </c>
      <c r="I313" s="9" t="str">
        <f>RIGHT(TablaCosechas[[#This Row],[SECTOR/PISCINA]],2)</f>
        <v>13</v>
      </c>
      <c r="J313" s="9" t="str">
        <f>VLOOKUP(TablaCosechas[[#This Row],[COD]],Tabla7[#All],4,0)</f>
        <v>JOSE CEDEÑO</v>
      </c>
      <c r="K313" s="179">
        <f>(TablaCosechas[[#This Row],[libras planta]]*454)/M313</f>
        <v>209675.48611111109</v>
      </c>
      <c r="L313" s="174">
        <v>10640.8</v>
      </c>
      <c r="M313" s="19">
        <v>23.04</v>
      </c>
      <c r="N313" s="9" t="str">
        <f>UPPER(TEXT(TablaCosechas[[#This Row],[COSECHA]],"MMMM"))</f>
        <v>OCTUBRE</v>
      </c>
      <c r="O313" s="9" t="str">
        <f>IF(A313="DO 29","BAP",IF(A313="RO 14","BAP",(VLOOKUP(TablaCosechas[[#This Row],[COD]],Tabla7[[CODIGO]:[CERTIFICACION]],3,0))))</f>
        <v>ASC</v>
      </c>
      <c r="P313" s="180">
        <f>+L313-E313</f>
        <v>140.79999999999927</v>
      </c>
      <c r="Q313" s="181">
        <f>+M313-F313</f>
        <v>1.0399999999999991</v>
      </c>
      <c r="R313" s="9"/>
    </row>
    <row r="314" spans="1:18" x14ac:dyDescent="0.25">
      <c r="A314" s="9" t="s">
        <v>156</v>
      </c>
      <c r="B314" s="9">
        <f>ROW() - ROW(TablaCosechas[[#Headers],[ID]]) - 4</f>
        <v>309</v>
      </c>
      <c r="C314" s="9" t="str">
        <f>LEFT(A314,2)</f>
        <v>TI</v>
      </c>
      <c r="D314" s="182" t="s">
        <v>366</v>
      </c>
      <c r="E314" s="178">
        <f>54400+1500</f>
        <v>55900</v>
      </c>
      <c r="F314" s="19">
        <v>36</v>
      </c>
      <c r="G314" s="195">
        <v>45946</v>
      </c>
      <c r="H314" s="9" t="str">
        <f>VLOOKUP(TablaCosechas[[#This Row],[COD]],DATOS!$E$3:$F$27,2,0)</f>
        <v>TIBURON</v>
      </c>
      <c r="I314" s="9" t="str">
        <f>RIGHT(TablaCosechas[[#This Row],[SECTOR/PISCINA]],2)</f>
        <v>11</v>
      </c>
      <c r="J314" s="9" t="str">
        <f>VLOOKUP(TablaCosechas[[#This Row],[COD]],Tabla7[#All],4,0)</f>
        <v>ALFONSO GRUNAUER</v>
      </c>
      <c r="K314" s="179">
        <f>(TablaCosechas[[#This Row],[libras planta]]*454)/M314</f>
        <v>675569.707475623</v>
      </c>
      <c r="L314" s="174">
        <f>53457.21+1481.19</f>
        <v>54938.400000000001</v>
      </c>
      <c r="M314" s="19">
        <v>36.92</v>
      </c>
      <c r="N314" s="9" t="str">
        <f>UPPER(TEXT(TablaCosechas[[#This Row],[COSECHA]],"MMMM"))</f>
        <v>OCTUBRE</v>
      </c>
      <c r="O314" s="9" t="str">
        <f>IF(A314="DO 29","BAP",IF(A314="RO 14","BAP",(VLOOKUP(TablaCosechas[[#This Row],[COD]],Tabla7[[CODIGO]:[CERTIFICACION]],3,0))))</f>
        <v>ASC</v>
      </c>
      <c r="P314" s="180">
        <f>+L314-E314</f>
        <v>-961.59999999999854</v>
      </c>
      <c r="Q314" s="181">
        <f>+M314-F314</f>
        <v>0.92000000000000171</v>
      </c>
      <c r="R314" s="9"/>
    </row>
    <row r="315" spans="1:18" x14ac:dyDescent="0.25">
      <c r="A315" s="9" t="s">
        <v>128</v>
      </c>
      <c r="B315" s="9">
        <f>ROW() - ROW(TablaCosechas[[#Headers],[ID]]) - 4</f>
        <v>310</v>
      </c>
      <c r="C315" s="9" t="str">
        <f>LEFT(A315,2)</f>
        <v>PA</v>
      </c>
      <c r="D315" s="182" t="s">
        <v>366</v>
      </c>
      <c r="E315" s="178">
        <v>33700</v>
      </c>
      <c r="F315" s="19">
        <v>31</v>
      </c>
      <c r="G315" s="195">
        <v>45946</v>
      </c>
      <c r="H315" s="9" t="str">
        <f>VLOOKUP(TablaCosechas[[#This Row],[COD]],DATOS!$E$3:$F$27,2,0)</f>
        <v>PAMPANO</v>
      </c>
      <c r="I315" s="9" t="str">
        <f>RIGHT(TablaCosechas[[#This Row],[SECTOR/PISCINA]],2)</f>
        <v>14</v>
      </c>
      <c r="J315" s="9" t="str">
        <f>VLOOKUP(TablaCosechas[[#This Row],[COD]],Tabla7[#All],4,0)</f>
        <v>GUSTAVO CARRASCO</v>
      </c>
      <c r="K315" s="179">
        <f>(TablaCosechas[[#This Row],[libras planta]]*454)/M315</f>
        <v>486719.78580562654</v>
      </c>
      <c r="L315" s="174">
        <v>33534.35</v>
      </c>
      <c r="M315" s="19">
        <v>31.28</v>
      </c>
      <c r="N315" s="9" t="str">
        <f>UPPER(TEXT(TablaCosechas[[#This Row],[COSECHA]],"MMMM"))</f>
        <v>OCTUBRE</v>
      </c>
      <c r="O315" s="9" t="str">
        <f>IF(A315="DO 29","BAP",IF(A315="RO 14","BAP",(VLOOKUP(TablaCosechas[[#This Row],[COD]],Tabla7[[CODIGO]:[CERTIFICACION]],3,0))))</f>
        <v>ASC</v>
      </c>
      <c r="P315" s="180">
        <f>+L315-E315</f>
        <v>-165.65000000000146</v>
      </c>
      <c r="Q315" s="181">
        <f>+M315-F315</f>
        <v>0.28000000000000114</v>
      </c>
      <c r="R315" s="9"/>
    </row>
    <row r="316" spans="1:18" x14ac:dyDescent="0.25">
      <c r="A316" s="9" t="s">
        <v>140</v>
      </c>
      <c r="B316" s="9">
        <f>ROW() - ROW(TablaCosechas[[#Headers],[ID]]) - 4</f>
        <v>311</v>
      </c>
      <c r="C316" s="9" t="str">
        <f>LEFT(A316,2)</f>
        <v>GT</v>
      </c>
      <c r="D316" s="182" t="s">
        <v>366</v>
      </c>
      <c r="E316" s="178">
        <v>23200</v>
      </c>
      <c r="F316" s="19">
        <v>31</v>
      </c>
      <c r="G316" s="195">
        <v>45946</v>
      </c>
      <c r="H316" s="9" t="str">
        <f>VLOOKUP(TablaCosechas[[#This Row],[COD]],DATOS!$E$3:$F$27,2,0)</f>
        <v>GUATO</v>
      </c>
      <c r="I316" s="9" t="str">
        <f>RIGHT(TablaCosechas[[#This Row],[SECTOR/PISCINA]],2)</f>
        <v>18</v>
      </c>
      <c r="J316" s="9" t="str">
        <f>VLOOKUP(TablaCosechas[[#This Row],[COD]],Tabla7[#All],4,0)</f>
        <v>JULIO SANTOS</v>
      </c>
      <c r="K316" s="179">
        <f>(TablaCosechas[[#This Row],[libras planta]]*454)/M316</f>
        <v>345153.91933497542</v>
      </c>
      <c r="L316" s="174">
        <v>24692.95</v>
      </c>
      <c r="M316" s="19">
        <v>32.479999999999997</v>
      </c>
      <c r="N316" s="9" t="str">
        <f>UPPER(TEXT(TablaCosechas[[#This Row],[COSECHA]],"MMMM"))</f>
        <v>OCTUBRE</v>
      </c>
      <c r="O316" s="9" t="str">
        <f>IF(A316="DO 29","BAP",IF(A316="RO 14","BAP",(VLOOKUP(TablaCosechas[[#This Row],[COD]],Tabla7[[CODIGO]:[CERTIFICACION]],3,0))))</f>
        <v>CONVENCIONAL</v>
      </c>
      <c r="P316" s="180">
        <f>+L316-E316</f>
        <v>1492.9500000000007</v>
      </c>
      <c r="Q316" s="181">
        <f>+M316-F316</f>
        <v>1.4799999999999969</v>
      </c>
      <c r="R316" s="9"/>
    </row>
    <row r="317" spans="1:18" x14ac:dyDescent="0.25">
      <c r="A317" s="9" t="s">
        <v>206</v>
      </c>
      <c r="B317" s="9">
        <f>ROW() - ROW(TablaCosechas[[#Headers],[ID]]) - 4</f>
        <v>312</v>
      </c>
      <c r="C317" s="9" t="str">
        <f>LEFT(A317,2)</f>
        <v>DO</v>
      </c>
      <c r="D317" s="182" t="s">
        <v>367</v>
      </c>
      <c r="E317" s="178">
        <v>10000</v>
      </c>
      <c r="F317" s="19">
        <v>25</v>
      </c>
      <c r="G317" s="195">
        <v>45946</v>
      </c>
      <c r="H317" s="9" t="str">
        <f>VLOOKUP(TablaCosechas[[#This Row],[COD]],DATOS!$E$3:$F$27,2,0)</f>
        <v>DORADO</v>
      </c>
      <c r="I317" s="9" t="str">
        <f>RIGHT(TablaCosechas[[#This Row],[SECTOR/PISCINA]],2)</f>
        <v>27</v>
      </c>
      <c r="J317" s="9" t="str">
        <f>VLOOKUP(TablaCosechas[[#This Row],[COD]],Tabla7[#All],4,0)</f>
        <v>JOSE CEDEÑO</v>
      </c>
      <c r="K317" s="179">
        <f>(TablaCosechas[[#This Row],[libras planta]]*454)/M317</f>
        <v>185763.56783919598</v>
      </c>
      <c r="L317" s="174">
        <v>9771</v>
      </c>
      <c r="M317" s="19">
        <v>23.88</v>
      </c>
      <c r="N317" s="9" t="str">
        <f>UPPER(TEXT(TablaCosechas[[#This Row],[COSECHA]],"MMMM"))</f>
        <v>OCTUBRE</v>
      </c>
      <c r="O317" s="9" t="str">
        <f>IF(A317="DO 29","BAP",IF(A317="RO 14","BAP",(VLOOKUP(TablaCosechas[[#This Row],[COD]],Tabla7[[CODIGO]:[CERTIFICACION]],3,0))))</f>
        <v>ASC</v>
      </c>
      <c r="P317" s="180">
        <f>+L317-E317</f>
        <v>-229</v>
      </c>
      <c r="Q317" s="181">
        <f>+M317-F317</f>
        <v>-1.120000000000001</v>
      </c>
      <c r="R317" s="9"/>
    </row>
    <row r="318" spans="1:18" x14ac:dyDescent="0.25">
      <c r="A318" s="9" t="s">
        <v>216</v>
      </c>
      <c r="B318" s="9">
        <f>ROW() - ROW(TablaCosechas[[#Headers],[ID]]) - 4</f>
        <v>313</v>
      </c>
      <c r="C318" s="9" t="str">
        <f>LEFT(A318,2)</f>
        <v>DO</v>
      </c>
      <c r="D318" s="182" t="s">
        <v>367</v>
      </c>
      <c r="E318" s="178">
        <v>13000</v>
      </c>
      <c r="F318" s="19">
        <v>28</v>
      </c>
      <c r="G318" s="195">
        <v>45946</v>
      </c>
      <c r="H318" s="9" t="str">
        <f>VLOOKUP(TablaCosechas[[#This Row],[COD]],DATOS!$E$3:$F$27,2,0)</f>
        <v>DORADO</v>
      </c>
      <c r="I318" s="9" t="str">
        <f>RIGHT(TablaCosechas[[#This Row],[SECTOR/PISCINA]],2)</f>
        <v>21</v>
      </c>
      <c r="J318" s="9" t="str">
        <f>VLOOKUP(TablaCosechas[[#This Row],[COD]],Tabla7[#All],4,0)</f>
        <v>JOSE CEDEÑO</v>
      </c>
      <c r="K318" s="179">
        <f>(TablaCosechas[[#This Row],[libras planta]]*454)/M318</f>
        <v>174502.39542703432</v>
      </c>
      <c r="L318" s="174">
        <v>11431.06</v>
      </c>
      <c r="M318" s="19">
        <v>29.74</v>
      </c>
      <c r="N318" s="9" t="str">
        <f>UPPER(TEXT(TablaCosechas[[#This Row],[COSECHA]],"MMMM"))</f>
        <v>OCTUBRE</v>
      </c>
      <c r="O318" s="9" t="str">
        <f>IF(A318="DO 29","BAP",IF(A318="RO 14","BAP",(VLOOKUP(TablaCosechas[[#This Row],[COD]],Tabla7[[CODIGO]:[CERTIFICACION]],3,0))))</f>
        <v>ASC</v>
      </c>
      <c r="P318" s="180">
        <f>+L318-E318</f>
        <v>-1568.9400000000005</v>
      </c>
      <c r="Q318" s="181">
        <f>+M318-F318</f>
        <v>1.7399999999999984</v>
      </c>
      <c r="R318" s="9"/>
    </row>
    <row r="319" spans="1:18" x14ac:dyDescent="0.25">
      <c r="A319" s="9" t="s">
        <v>184</v>
      </c>
      <c r="B319" s="9">
        <f>ROW() - ROW(TablaCosechas[[#Headers],[ID]]) - 4</f>
        <v>314</v>
      </c>
      <c r="C319" s="9" t="str">
        <f>LEFT(A319,2)</f>
        <v>DO</v>
      </c>
      <c r="D319" s="182" t="s">
        <v>366</v>
      </c>
      <c r="E319" s="178">
        <v>1200</v>
      </c>
      <c r="F319" s="19">
        <v>32.5</v>
      </c>
      <c r="G319" s="195">
        <v>45946</v>
      </c>
      <c r="H319" s="9" t="str">
        <f>VLOOKUP(TablaCosechas[[#This Row],[COD]],DATOS!$E$3:$F$27,2,0)</f>
        <v>DORADO</v>
      </c>
      <c r="I319" s="9" t="str">
        <f>RIGHT(TablaCosechas[[#This Row],[SECTOR/PISCINA]],2)</f>
        <v>19</v>
      </c>
      <c r="J319" s="9" t="str">
        <f>VLOOKUP(TablaCosechas[[#This Row],[COD]],Tabla7[#All],4,0)</f>
        <v>JOSE CEDEÑO</v>
      </c>
      <c r="K319" s="179">
        <f>(TablaCosechas[[#This Row],[libras planta]]*454)/M319</f>
        <v>15797.858788774003</v>
      </c>
      <c r="L319" s="174">
        <v>1177.8800000000001</v>
      </c>
      <c r="M319" s="19">
        <v>33.85</v>
      </c>
      <c r="N319" s="9" t="str">
        <f>UPPER(TEXT(TablaCosechas[[#This Row],[COSECHA]],"MMMM"))</f>
        <v>OCTUBRE</v>
      </c>
      <c r="O319" s="9" t="str">
        <f>IF(A319="DO 29","BAP",IF(A319="RO 14","BAP",(VLOOKUP(TablaCosechas[[#This Row],[COD]],Tabla7[[CODIGO]:[CERTIFICACION]],3,0))))</f>
        <v>ASC</v>
      </c>
      <c r="P319" s="180">
        <f>+L319-E319</f>
        <v>-22.119999999999891</v>
      </c>
      <c r="Q319" s="181">
        <f>+M319-F319</f>
        <v>1.3500000000000014</v>
      </c>
      <c r="R319" s="9"/>
    </row>
    <row r="320" spans="1:18" x14ac:dyDescent="0.25">
      <c r="A320" s="9" t="s">
        <v>10</v>
      </c>
      <c r="B320" s="9">
        <f>ROW() - ROW(TablaCosechas[[#Headers],[ID]]) - 4</f>
        <v>315</v>
      </c>
      <c r="C320" s="9" t="str">
        <f>LEFT(A320,2)</f>
        <v>CH</v>
      </c>
      <c r="D320" s="182" t="s">
        <v>367</v>
      </c>
      <c r="E320" s="178">
        <v>4400</v>
      </c>
      <c r="F320" s="19">
        <v>25</v>
      </c>
      <c r="G320" s="195">
        <v>45946</v>
      </c>
      <c r="H320" s="9" t="str">
        <f>VLOOKUP(TablaCosechas[[#This Row],[COD]],DATOS!$E$3:$F$27,2,0)</f>
        <v>CHERNA</v>
      </c>
      <c r="I320" s="9" t="str">
        <f>RIGHT(TablaCosechas[[#This Row],[SECTOR/PISCINA]],2)</f>
        <v>04</v>
      </c>
      <c r="J320" s="9" t="str">
        <f>VLOOKUP(TablaCosechas[[#This Row],[COD]],Tabla7[#All],4,0)</f>
        <v>SANTIAGO OBRIEN</v>
      </c>
      <c r="K320" s="179">
        <f>(TablaCosechas[[#This Row],[libras planta]]*454)/M320</f>
        <v>94441.226079593558</v>
      </c>
      <c r="L320" s="174">
        <v>4913.4399999999996</v>
      </c>
      <c r="M320" s="19">
        <v>23.62</v>
      </c>
      <c r="N320" s="9" t="str">
        <f>UPPER(TEXT(TablaCosechas[[#This Row],[COSECHA]],"MMMM"))</f>
        <v>OCTUBRE</v>
      </c>
      <c r="O320" s="9" t="str">
        <f>IF(A320="DO 29","BAP",IF(A320="RO 14","BAP",(VLOOKUP(TablaCosechas[[#This Row],[COD]],Tabla7[[CODIGO]:[CERTIFICACION]],3,0))))</f>
        <v>ASC</v>
      </c>
      <c r="P320" s="180">
        <f>+L320-E320</f>
        <v>513.4399999999996</v>
      </c>
      <c r="Q320" s="181">
        <f>+M320-F320</f>
        <v>-1.379999999999999</v>
      </c>
      <c r="R320" s="9"/>
    </row>
    <row r="321" spans="1:18" x14ac:dyDescent="0.25">
      <c r="A321" s="9" t="s">
        <v>203</v>
      </c>
      <c r="B321" s="9">
        <f>ROW() - ROW(TablaCosechas[[#Headers],[ID]]) - 4</f>
        <v>316</v>
      </c>
      <c r="C321" s="9" t="str">
        <f>LEFT(A321,2)</f>
        <v>CA</v>
      </c>
      <c r="D321" s="182" t="s">
        <v>367</v>
      </c>
      <c r="E321" s="178">
        <v>17600</v>
      </c>
      <c r="F321" s="19">
        <v>26</v>
      </c>
      <c r="G321" s="195">
        <v>45946</v>
      </c>
      <c r="H321" s="9" t="str">
        <f>VLOOKUP(TablaCosechas[[#This Row],[COD]],DATOS!$E$3:$F$27,2,0)</f>
        <v>CATANUDA</v>
      </c>
      <c r="I321" s="9" t="str">
        <f>RIGHT(TablaCosechas[[#This Row],[SECTOR/PISCINA]],2)</f>
        <v>04</v>
      </c>
      <c r="J321" s="9" t="str">
        <f>VLOOKUP(TablaCosechas[[#This Row],[COD]],Tabla7[#All],4,0)</f>
        <v>VICTOR QUINTANA</v>
      </c>
      <c r="K321" s="179">
        <f>(TablaCosechas[[#This Row],[libras planta]]*454)/M321</f>
        <v>314511.33356449375</v>
      </c>
      <c r="L321" s="174">
        <v>19979.09</v>
      </c>
      <c r="M321" s="19">
        <v>28.84</v>
      </c>
      <c r="N321" s="9" t="str">
        <f>UPPER(TEXT(TablaCosechas[[#This Row],[COSECHA]],"MMMM"))</f>
        <v>OCTUBRE</v>
      </c>
      <c r="O321" s="9" t="str">
        <f>IF(A321="DO 29","BAP",IF(A321="RO 14","BAP",(VLOOKUP(TablaCosechas[[#This Row],[COD]],Tabla7[[CODIGO]:[CERTIFICACION]],3,0))))</f>
        <v>ASC</v>
      </c>
      <c r="P321" s="180">
        <f>+L321-E321</f>
        <v>2379.09</v>
      </c>
      <c r="Q321" s="181">
        <f>+M321-F321</f>
        <v>2.84</v>
      </c>
      <c r="R321" s="9"/>
    </row>
    <row r="322" spans="1:18" x14ac:dyDescent="0.25">
      <c r="A322" s="9" t="s">
        <v>162</v>
      </c>
      <c r="B322" s="9">
        <f>ROW() - ROW(TablaCosechas[[#Headers],[ID]]) - 4</f>
        <v>317</v>
      </c>
      <c r="C322" s="9" t="str">
        <f>LEFT(A322,2)</f>
        <v>TA</v>
      </c>
      <c r="D322" s="182" t="s">
        <v>366</v>
      </c>
      <c r="E322" s="178">
        <f>31900+700</f>
        <v>32600</v>
      </c>
      <c r="F322" s="19">
        <v>29</v>
      </c>
      <c r="G322" s="195">
        <v>45947</v>
      </c>
      <c r="H322" s="9" t="str">
        <f>VLOOKUP(TablaCosechas[[#This Row],[COD]],DATOS!$E$3:$F$27,2,0)</f>
        <v>TAMBULERO</v>
      </c>
      <c r="I322" s="9" t="str">
        <f>RIGHT(TablaCosechas[[#This Row],[SECTOR/PISCINA]],2)</f>
        <v>06</v>
      </c>
      <c r="J322" s="9" t="str">
        <f>VLOOKUP(TablaCosechas[[#This Row],[COD]],Tabla7[#All],4,0)</f>
        <v>ALFONSO GRUNAUER</v>
      </c>
      <c r="K322" s="179">
        <f>(TablaCosechas[[#This Row],[libras planta]]*454)/M322</f>
        <v>501212.31767489016</v>
      </c>
      <c r="L322" s="174">
        <f>31994.23+672.89</f>
        <v>32667.119999999999</v>
      </c>
      <c r="M322" s="19">
        <v>29.59</v>
      </c>
      <c r="N322" s="9" t="str">
        <f>UPPER(TEXT(TablaCosechas[[#This Row],[COSECHA]],"MMMM"))</f>
        <v>OCTUBRE</v>
      </c>
      <c r="O322" s="9" t="str">
        <f>IF(A322="DO 29","BAP",IF(A322="RO 14","BAP",(VLOOKUP(TablaCosechas[[#This Row],[COD]],Tabla7[[CODIGO]:[CERTIFICACION]],3,0))))</f>
        <v>CONVENCIONAL</v>
      </c>
      <c r="P322" s="180">
        <f>+L322-E322</f>
        <v>67.119999999998981</v>
      </c>
      <c r="Q322" s="181">
        <f>+M322-F322</f>
        <v>0.58999999999999986</v>
      </c>
      <c r="R322" s="9"/>
    </row>
    <row r="323" spans="1:18" x14ac:dyDescent="0.25">
      <c r="A323" s="9" t="s">
        <v>199</v>
      </c>
      <c r="B323" s="9">
        <f>ROW() - ROW(TablaCosechas[[#Headers],[ID]]) - 4</f>
        <v>318</v>
      </c>
      <c r="C323" s="9" t="str">
        <f>LEFT(A323,2)</f>
        <v>RO</v>
      </c>
      <c r="D323" s="182" t="s">
        <v>367</v>
      </c>
      <c r="E323" s="178">
        <v>18000</v>
      </c>
      <c r="F323" s="19">
        <v>21</v>
      </c>
      <c r="G323" s="195">
        <v>45947</v>
      </c>
      <c r="H323" s="9" t="str">
        <f>VLOOKUP(TablaCosechas[[#This Row],[COD]],DATOS!$E$3:$F$26,2,0)</f>
        <v>ROBALO</v>
      </c>
      <c r="I323" s="9" t="str">
        <f>RIGHT(TablaCosechas[[#This Row],[SECTOR/PISCINA]],2)</f>
        <v>08</v>
      </c>
      <c r="J323" s="9" t="str">
        <f>VLOOKUP(TablaCosechas[[#This Row],[COD]],Tabla7[#All],4,0)</f>
        <v>VICTOR QUINTANA</v>
      </c>
      <c r="K323" s="179">
        <f>(TablaCosechas[[#This Row],[libras planta]]*454)/M323</f>
        <v>309262.53514739231</v>
      </c>
      <c r="L323" s="174">
        <v>15020.35</v>
      </c>
      <c r="M323" s="19">
        <v>22.05</v>
      </c>
      <c r="N323" s="9" t="str">
        <f>UPPER(TEXT(TablaCosechas[[#This Row],[COSECHA]],"MMMM"))</f>
        <v>OCTUBRE</v>
      </c>
      <c r="O323" s="9" t="str">
        <f>IF(A323="DO 29","BAP",IF(A323="RO 14","BAP",(VLOOKUP(TablaCosechas[[#This Row],[COD]],Tabla7[[CODIGO]:[CERTIFICACION]],3,0))))</f>
        <v>ASC</v>
      </c>
      <c r="P323" s="180">
        <f>+L323-E323</f>
        <v>-2979.6499999999996</v>
      </c>
      <c r="Q323" s="181">
        <f>+M323-F323</f>
        <v>1.0500000000000007</v>
      </c>
      <c r="R323" s="9"/>
    </row>
    <row r="324" spans="1:18" x14ac:dyDescent="0.25">
      <c r="A324" s="9" t="s">
        <v>268</v>
      </c>
      <c r="B324" s="9">
        <f>ROW() - ROW(TablaCosechas[[#Headers],[ID]]) - 4</f>
        <v>319</v>
      </c>
      <c r="C324" s="9" t="str">
        <f>LEFT(A324,2)</f>
        <v>MA</v>
      </c>
      <c r="D324" s="182" t="s">
        <v>367</v>
      </c>
      <c r="E324" s="178">
        <v>12300</v>
      </c>
      <c r="F324" s="19">
        <v>16</v>
      </c>
      <c r="G324" s="195">
        <v>45947</v>
      </c>
      <c r="H324" s="9" t="str">
        <f>VLOOKUP(TablaCosechas[[#This Row],[COD]],DATOS!$E$3:$F$26,2,0)</f>
        <v>MANTARRAYA</v>
      </c>
      <c r="I324" s="9" t="str">
        <f>RIGHT(TablaCosechas[[#This Row],[SECTOR/PISCINA]],2)</f>
        <v>10</v>
      </c>
      <c r="J324" s="9" t="str">
        <f>VLOOKUP(TablaCosechas[[#This Row],[COD]],Tabla7[#All],4,0)</f>
        <v>GUSTAVO CARRASCO</v>
      </c>
      <c r="K324" s="179">
        <f>(TablaCosechas[[#This Row],[libras planta]]*454)/M324</f>
        <v>278054.67903930129</v>
      </c>
      <c r="L324" s="174">
        <v>11220.18</v>
      </c>
      <c r="M324" s="19">
        <v>18.32</v>
      </c>
      <c r="N324" s="9" t="str">
        <f>UPPER(TEXT(TablaCosechas[[#This Row],[COSECHA]],"MMMM"))</f>
        <v>OCTUBRE</v>
      </c>
      <c r="O324" s="9" t="str">
        <f>IF(A324="DO 29","BAP",IF(A324="RO 14","BAP",(VLOOKUP(TablaCosechas[[#This Row],[COD]],Tabla7[[CODIGO]:[CERTIFICACION]],3,0))))</f>
        <v>ASC</v>
      </c>
      <c r="P324" s="180">
        <f>+L324-E324</f>
        <v>-1079.8199999999997</v>
      </c>
      <c r="Q324" s="181">
        <f>+M324-F324</f>
        <v>2.3200000000000003</v>
      </c>
      <c r="R324" s="9"/>
    </row>
    <row r="325" spans="1:18" x14ac:dyDescent="0.25">
      <c r="A325" s="9" t="s">
        <v>138</v>
      </c>
      <c r="B325" s="9">
        <f>ROW() - ROW(TablaCosechas[[#Headers],[ID]]) - 4</f>
        <v>320</v>
      </c>
      <c r="C325" s="9" t="str">
        <f>LEFT(A325,2)</f>
        <v>GT</v>
      </c>
      <c r="D325" s="182" t="s">
        <v>366</v>
      </c>
      <c r="E325" s="178">
        <f>18800+14900+150</f>
        <v>33850</v>
      </c>
      <c r="F325" s="19">
        <v>36</v>
      </c>
      <c r="G325" s="195">
        <v>45947</v>
      </c>
      <c r="H325" s="9" t="str">
        <f>VLOOKUP(TablaCosechas[[#This Row],[COD]],DATOS!$E$3:$F$27,2,0)</f>
        <v>GUATO</v>
      </c>
      <c r="I325" s="9" t="str">
        <f>RIGHT(TablaCosechas[[#This Row],[SECTOR/PISCINA]],2)</f>
        <v>04</v>
      </c>
      <c r="J325" s="9" t="str">
        <f>VLOOKUP(TablaCosechas[[#This Row],[COD]],Tabla7[#All],4,0)</f>
        <v>JULIO SANTOS</v>
      </c>
      <c r="K325" s="179">
        <f>(TablaCosechas[[#This Row],[libras planta]]*454)/M325</f>
        <v>468558.42331789696</v>
      </c>
      <c r="L325" s="174">
        <v>37887.18</v>
      </c>
      <c r="M325" s="19">
        <v>36.71</v>
      </c>
      <c r="N325" s="9" t="str">
        <f>UPPER(TEXT(TablaCosechas[[#This Row],[COSECHA]],"MMMM"))</f>
        <v>OCTUBRE</v>
      </c>
      <c r="O325" s="9" t="str">
        <f>IF(A325="DO 29","BAP",IF(A325="RO 14","BAP",(VLOOKUP(TablaCosechas[[#This Row],[COD]],Tabla7[[CODIGO]:[CERTIFICACION]],3,0))))</f>
        <v>CONVENCIONAL</v>
      </c>
      <c r="P325" s="180">
        <f>+L325-E325</f>
        <v>4037.1800000000003</v>
      </c>
      <c r="Q325" s="181">
        <f>+M325-F325</f>
        <v>0.71000000000000085</v>
      </c>
      <c r="R325" s="9"/>
    </row>
    <row r="326" spans="1:18" x14ac:dyDescent="0.25">
      <c r="A326" s="9" t="s">
        <v>169</v>
      </c>
      <c r="B326" s="9">
        <f>ROW() - ROW(TablaCosechas[[#Headers],[ID]]) - 4</f>
        <v>321</v>
      </c>
      <c r="C326" s="9" t="str">
        <f>LEFT(A326,2)</f>
        <v>DO</v>
      </c>
      <c r="D326" s="182" t="s">
        <v>366</v>
      </c>
      <c r="E326" s="178">
        <v>32000</v>
      </c>
      <c r="F326" s="19">
        <v>33</v>
      </c>
      <c r="G326" s="195">
        <v>45947</v>
      </c>
      <c r="H326" s="9" t="str">
        <f>VLOOKUP(TablaCosechas[[#This Row],[COD]],DATOS!$E$3:$F$27,2,0)</f>
        <v>DORADO</v>
      </c>
      <c r="I326" s="9" t="str">
        <f>RIGHT(TablaCosechas[[#This Row],[SECTOR/PISCINA]],2)</f>
        <v>12</v>
      </c>
      <c r="J326" s="9" t="str">
        <f>VLOOKUP(TablaCosechas[[#This Row],[COD]],Tabla7[#All],4,0)</f>
        <v>JOSE CEDEÑO</v>
      </c>
      <c r="K326" s="179">
        <f>(TablaCosechas[[#This Row],[libras planta]]*454)/M326</f>
        <v>374648.37103289098</v>
      </c>
      <c r="L326" s="174">
        <v>28602.01</v>
      </c>
      <c r="M326" s="19">
        <v>34.659999999999997</v>
      </c>
      <c r="N326" s="9" t="str">
        <f>UPPER(TEXT(TablaCosechas[[#This Row],[COSECHA]],"MMMM"))</f>
        <v>OCTUBRE</v>
      </c>
      <c r="O326" s="9" t="str">
        <f>IF(A326="DO 29","BAP",IF(A326="RO 14","BAP",(VLOOKUP(TablaCosechas[[#This Row],[COD]],Tabla7[[CODIGO]:[CERTIFICACION]],3,0))))</f>
        <v>ASC</v>
      </c>
      <c r="P326" s="180">
        <f>+L326-E326</f>
        <v>-3397.9900000000016</v>
      </c>
      <c r="Q326" s="181">
        <f>+M326-F326</f>
        <v>1.6599999999999966</v>
      </c>
      <c r="R326" s="9"/>
    </row>
    <row r="327" spans="1:18" x14ac:dyDescent="0.25">
      <c r="A327" s="9" t="s">
        <v>218</v>
      </c>
      <c r="B327" s="9">
        <f>ROW() - ROW(TablaCosechas[[#Headers],[ID]]) - 4</f>
        <v>322</v>
      </c>
      <c r="C327" s="9" t="str">
        <f>LEFT(A327,2)</f>
        <v>TU</v>
      </c>
      <c r="D327" s="182" t="s">
        <v>367</v>
      </c>
      <c r="E327" s="178">
        <v>6400</v>
      </c>
      <c r="F327" s="19">
        <v>22</v>
      </c>
      <c r="G327" s="195">
        <v>45948</v>
      </c>
      <c r="H327" s="9" t="str">
        <f>VLOOKUP(TablaCosechas[[#This Row],[COD]],DATOS!$E$3:$F$27,2,0)</f>
        <v>TUNA</v>
      </c>
      <c r="I327" s="9" t="str">
        <f>RIGHT(TablaCosechas[[#This Row],[SECTOR/PISCINA]],2)</f>
        <v>06</v>
      </c>
      <c r="J327" s="9" t="str">
        <f>VLOOKUP(TablaCosechas[[#This Row],[COD]],Tabla7[#All],4,0)</f>
        <v>GUSTAVO CARRASCO</v>
      </c>
      <c r="K327" s="179">
        <f>(TablaCosechas[[#This Row],[libras planta]]*454)/M327</f>
        <v>135914.25428313797</v>
      </c>
      <c r="L327" s="174">
        <v>6640.04</v>
      </c>
      <c r="M327" s="19">
        <v>22.18</v>
      </c>
      <c r="N327" s="9" t="str">
        <f>UPPER(TEXT(TablaCosechas[[#This Row],[COSECHA]],"MMMM"))</f>
        <v>OCTUBRE</v>
      </c>
      <c r="O327" s="9" t="str">
        <f>IF(A327="DO 29","BAP",IF(A327="RO 14","BAP",(VLOOKUP(TablaCosechas[[#This Row],[COD]],Tabla7[[CODIGO]:[CERTIFICACION]],3,0))))</f>
        <v>ASC</v>
      </c>
      <c r="P327" s="180">
        <f>+L327-E327</f>
        <v>240.03999999999996</v>
      </c>
      <c r="Q327" s="181">
        <f>+M327-F327</f>
        <v>0.17999999999999972</v>
      </c>
      <c r="R327" s="9"/>
    </row>
    <row r="328" spans="1:18" x14ac:dyDescent="0.25">
      <c r="A328" s="9" t="s">
        <v>153</v>
      </c>
      <c r="B328" s="9">
        <f>ROW() - ROW(TablaCosechas[[#Headers],[ID]]) - 4</f>
        <v>323</v>
      </c>
      <c r="C328" s="9" t="str">
        <f>LEFT(A328,2)</f>
        <v>GT</v>
      </c>
      <c r="D328" s="182" t="s">
        <v>366</v>
      </c>
      <c r="E328" s="178">
        <v>21700</v>
      </c>
      <c r="F328" s="19">
        <v>40</v>
      </c>
      <c r="G328" s="195">
        <v>45948</v>
      </c>
      <c r="H328" s="9" t="str">
        <f>VLOOKUP(TablaCosechas[[#This Row],[COD]],DATOS!$E$3:$F$27,2,0)</f>
        <v>GUATO</v>
      </c>
      <c r="I328" s="9" t="str">
        <f>RIGHT(TablaCosechas[[#This Row],[SECTOR/PISCINA]],2)</f>
        <v>05</v>
      </c>
      <c r="J328" s="9" t="str">
        <f>VLOOKUP(TablaCosechas[[#This Row],[COD]],Tabla7[#All],4,0)</f>
        <v>JULIO SANTOS</v>
      </c>
      <c r="K328" s="179">
        <f>(TablaCosechas[[#This Row],[libras planta]]*454)/M328</f>
        <v>242172.45853658539</v>
      </c>
      <c r="L328" s="174">
        <v>21870.2</v>
      </c>
      <c r="M328" s="19">
        <v>41</v>
      </c>
      <c r="N328" s="9" t="str">
        <f>UPPER(TEXT(TablaCosechas[[#This Row],[COSECHA]],"MMMM"))</f>
        <v>OCTUBRE</v>
      </c>
      <c r="O328" s="9" t="str">
        <f>IF(A328="DO 29","BAP",IF(A328="RO 14","BAP",(VLOOKUP(TablaCosechas[[#This Row],[COD]],Tabla7[[CODIGO]:[CERTIFICACION]],3,0))))</f>
        <v>CONVENCIONAL</v>
      </c>
      <c r="P328" s="180">
        <f>+L328-E328</f>
        <v>170.20000000000073</v>
      </c>
      <c r="Q328" s="181">
        <f>+M328-F328</f>
        <v>1</v>
      </c>
      <c r="R328" s="9"/>
    </row>
    <row r="329" spans="1:18" x14ac:dyDescent="0.25">
      <c r="A329" s="9" t="s">
        <v>241</v>
      </c>
      <c r="B329" s="9">
        <f>ROW() - ROW(TablaCosechas[[#Headers],[ID]]) - 4</f>
        <v>324</v>
      </c>
      <c r="C329" s="9" t="str">
        <f>LEFT(A329,2)</f>
        <v>BA</v>
      </c>
      <c r="D329" s="182" t="s">
        <v>367</v>
      </c>
      <c r="E329" s="178">
        <v>7300</v>
      </c>
      <c r="F329" s="19">
        <v>22</v>
      </c>
      <c r="G329" s="195">
        <v>45948</v>
      </c>
      <c r="H329" s="9" t="str">
        <f>VLOOKUP(TablaCosechas[[#This Row],[COD]],DATOS!$E$3:$F$27,2,0)</f>
        <v>BARRACUDA</v>
      </c>
      <c r="I329" s="9" t="str">
        <f>RIGHT(TablaCosechas[[#This Row],[SECTOR/PISCINA]],2)</f>
        <v>06</v>
      </c>
      <c r="J329" s="9" t="str">
        <f>VLOOKUP(TablaCosechas[[#This Row],[COD]],Tabla7[#All],4,0)</f>
        <v>GUSTAVO CARRASCO</v>
      </c>
      <c r="K329" s="179">
        <f>(TablaCosechas[[#This Row],[libras planta]]*454)/M329</f>
        <v>143508.57590759077</v>
      </c>
      <c r="L329" s="174">
        <v>7662.22</v>
      </c>
      <c r="M329" s="19">
        <v>24.24</v>
      </c>
      <c r="N329" s="9" t="str">
        <f>UPPER(TEXT(TablaCosechas[[#This Row],[COSECHA]],"MMMM"))</f>
        <v>OCTUBRE</v>
      </c>
      <c r="O329" s="9" t="str">
        <f>IF(A329="DO 29","BAP",IF(A329="RO 14","BAP",(VLOOKUP(TablaCosechas[[#This Row],[COD]],Tabla7[[CODIGO]:[CERTIFICACION]],3,0))))</f>
        <v>CONVENCIONAL</v>
      </c>
      <c r="P329" s="180">
        <f>+L329-E329</f>
        <v>362.22000000000025</v>
      </c>
      <c r="Q329" s="181">
        <f>+M329-F329</f>
        <v>2.2399999999999984</v>
      </c>
      <c r="R329" s="9"/>
    </row>
    <row r="330" spans="1:18" x14ac:dyDescent="0.25">
      <c r="A330" s="9" t="s">
        <v>219</v>
      </c>
      <c r="B330" s="9">
        <f>ROW() - ROW(TablaCosechas[[#Headers],[ID]]) - 4</f>
        <v>325</v>
      </c>
      <c r="C330" s="9" t="str">
        <f>LEFT(A330,2)</f>
        <v>DO</v>
      </c>
      <c r="D330" s="182" t="s">
        <v>367</v>
      </c>
      <c r="E330" s="178">
        <v>25000</v>
      </c>
      <c r="F330" s="19">
        <v>28</v>
      </c>
      <c r="G330" s="195">
        <v>45949</v>
      </c>
      <c r="H330" s="9" t="str">
        <f>VLOOKUP(TablaCosechas[[#This Row],[COD]],DATOS!$E$3:$F$27,2,0)</f>
        <v>DORADO</v>
      </c>
      <c r="I330" s="9" t="str">
        <f>RIGHT(TablaCosechas[[#This Row],[SECTOR/PISCINA]],2)</f>
        <v>11</v>
      </c>
      <c r="J330" s="9" t="str">
        <f>VLOOKUP(TablaCosechas[[#This Row],[COD]],Tabla7[#All],4,0)</f>
        <v>JOSE CEDEÑO</v>
      </c>
      <c r="K330" s="179">
        <f>(TablaCosechas[[#This Row],[libras planta]]*454)/M330</f>
        <v>396463.63134328357</v>
      </c>
      <c r="L330" s="174">
        <v>23403.58</v>
      </c>
      <c r="M330" s="19">
        <v>26.8</v>
      </c>
      <c r="N330" s="9" t="str">
        <f>UPPER(TEXT(TablaCosechas[[#This Row],[COSECHA]],"MMMM"))</f>
        <v>OCTUBRE</v>
      </c>
      <c r="O330" s="9" t="str">
        <f>IF(A330="DO 29","BAP",IF(A330="RO 14","BAP",(VLOOKUP(TablaCosechas[[#This Row],[COD]],Tabla7[[CODIGO]:[CERTIFICACION]],3,0))))</f>
        <v>ASC</v>
      </c>
      <c r="P330" s="180">
        <f>+L330-E330</f>
        <v>-1596.4199999999983</v>
      </c>
      <c r="Q330" s="181">
        <f>+M330-F330</f>
        <v>-1.1999999999999993</v>
      </c>
      <c r="R330" s="9"/>
    </row>
    <row r="331" spans="1:18" x14ac:dyDescent="0.25">
      <c r="A331" s="9" t="s">
        <v>324</v>
      </c>
      <c r="B331" s="9">
        <f>ROW() - ROW(TablaCosechas[[#Headers],[ID]]) - 4</f>
        <v>326</v>
      </c>
      <c r="C331" s="9" t="str">
        <f>LEFT(A331,2)</f>
        <v>WA</v>
      </c>
      <c r="D331" s="182" t="s">
        <v>366</v>
      </c>
      <c r="E331" s="178">
        <v>31800</v>
      </c>
      <c r="F331" s="19">
        <v>22.5</v>
      </c>
      <c r="G331" s="195">
        <v>45950</v>
      </c>
      <c r="H331" s="9" t="str">
        <f>VLOOKUP(TablaCosechas[[#This Row],[COD]],DATOS!$E$3:$F$27,2,0)</f>
        <v>WAHOO</v>
      </c>
      <c r="I331" s="9" t="str">
        <f>RIGHT(TablaCosechas[[#This Row],[SECTOR/PISCINA]],2)</f>
        <v>11</v>
      </c>
      <c r="J331" s="9" t="str">
        <f>VLOOKUP(TablaCosechas[[#This Row],[COD]],Tabla7[#All],4,0)</f>
        <v>JUNIOR ESQUIVEL</v>
      </c>
      <c r="K331" s="179">
        <f>(TablaCosechas[[#This Row],[libras planta]]*454)/M331</f>
        <v>666482.07098491571</v>
      </c>
      <c r="L331" s="174">
        <v>33089.22</v>
      </c>
      <c r="M331" s="19">
        <v>22.54</v>
      </c>
      <c r="N331" s="9" t="str">
        <f>UPPER(TEXT(TablaCosechas[[#This Row],[COSECHA]],"MMMM"))</f>
        <v>OCTUBRE</v>
      </c>
      <c r="O331" s="9" t="str">
        <f>IF(A331="DO 29","BAP",IF(A331="RO 14","BAP",(VLOOKUP(TablaCosechas[[#This Row],[COD]],Tabla7[[CODIGO]:[CERTIFICACION]],3,0))))</f>
        <v>CONVENCIONAL</v>
      </c>
      <c r="P331" s="180">
        <f>+L331-E331</f>
        <v>1289.2200000000012</v>
      </c>
      <c r="Q331" s="181">
        <f>+M331-F331</f>
        <v>3.9999999999999147E-2</v>
      </c>
      <c r="R331" s="9"/>
    </row>
    <row r="332" spans="1:18" x14ac:dyDescent="0.25">
      <c r="A332" s="9" t="s">
        <v>166</v>
      </c>
      <c r="B332" s="9">
        <f>ROW() - ROW(TablaCosechas[[#Headers],[ID]]) - 4</f>
        <v>327</v>
      </c>
      <c r="C332" s="9" t="str">
        <f>LEFT(A332,2)</f>
        <v>TA</v>
      </c>
      <c r="D332" s="182" t="s">
        <v>366</v>
      </c>
      <c r="E332" s="178">
        <v>18100</v>
      </c>
      <c r="F332" s="19">
        <v>34</v>
      </c>
      <c r="G332" s="195">
        <v>45950</v>
      </c>
      <c r="H332" s="9" t="str">
        <f>VLOOKUP(TablaCosechas[[#This Row],[COD]],DATOS!$E$3:$F$27,2,0)</f>
        <v>TAMBULERO</v>
      </c>
      <c r="I332" s="9" t="str">
        <f>RIGHT(TablaCosechas[[#This Row],[SECTOR/PISCINA]],2)</f>
        <v>01</v>
      </c>
      <c r="J332" s="9" t="str">
        <f>VLOOKUP(TablaCosechas[[#This Row],[COD]],Tabla7[#All],4,0)</f>
        <v>ALFONSO GRUNAUER</v>
      </c>
      <c r="K332" s="179">
        <f>(TablaCosechas[[#This Row],[libras planta]]*454)/M332</f>
        <v>259438.98462448252</v>
      </c>
      <c r="L332" s="174">
        <v>19326.489999999998</v>
      </c>
      <c r="M332" s="19">
        <v>33.82</v>
      </c>
      <c r="N332" s="9" t="str">
        <f>UPPER(TEXT(TablaCosechas[[#This Row],[COSECHA]],"MMMM"))</f>
        <v>OCTUBRE</v>
      </c>
      <c r="O332" s="9" t="str">
        <f>IF(A332="DO 29","BAP",IF(A332="RO 14","BAP",(VLOOKUP(TablaCosechas[[#This Row],[COD]],Tabla7[[CODIGO]:[CERTIFICACION]],3,0))))</f>
        <v>CONVENCIONAL</v>
      </c>
      <c r="P332" s="180">
        <f>+L332-E332</f>
        <v>1226.489999999998</v>
      </c>
      <c r="Q332" s="181">
        <f>+M332-F332</f>
        <v>-0.17999999999999972</v>
      </c>
      <c r="R332" s="9"/>
    </row>
    <row r="333" spans="1:18" x14ac:dyDescent="0.25">
      <c r="A333" s="9" t="s">
        <v>246</v>
      </c>
      <c r="B333" s="9">
        <f>ROW() - ROW(TablaCosechas[[#Headers],[ID]]) - 4</f>
        <v>328</v>
      </c>
      <c r="C333" s="9" t="str">
        <f>LEFT(A333,2)</f>
        <v>MA</v>
      </c>
      <c r="D333" s="182" t="s">
        <v>367</v>
      </c>
      <c r="E333" s="178">
        <v>4400</v>
      </c>
      <c r="F333" s="19">
        <v>18</v>
      </c>
      <c r="G333" s="195">
        <v>45950</v>
      </c>
      <c r="H333" s="9" t="str">
        <f>VLOOKUP(TablaCosechas[[#This Row],[COD]],DATOS!$E$3:$F$26,2,0)</f>
        <v>MANTARRAYA</v>
      </c>
      <c r="I333" s="9" t="str">
        <f>RIGHT(TablaCosechas[[#This Row],[SECTOR/PISCINA]],2)</f>
        <v>09</v>
      </c>
      <c r="J333" s="9" t="str">
        <f>VLOOKUP(TablaCosechas[[#This Row],[COD]],Tabla7[#All],4,0)</f>
        <v>GUSTAVO CARRASCO</v>
      </c>
      <c r="K333" s="179">
        <f>(TablaCosechas[[#This Row],[libras planta]]*454)/M333</f>
        <v>116899.01975850714</v>
      </c>
      <c r="L333" s="174">
        <v>4691.41</v>
      </c>
      <c r="M333" s="19">
        <v>18.22</v>
      </c>
      <c r="N333" s="9" t="str">
        <f>UPPER(TEXT(TablaCosechas[[#This Row],[COSECHA]],"MMMM"))</f>
        <v>OCTUBRE</v>
      </c>
      <c r="O333" s="9" t="str">
        <f>IF(A333="DO 29","BAP",IF(A333="RO 14","BAP",(VLOOKUP(TablaCosechas[[#This Row],[COD]],Tabla7[[CODIGO]:[CERTIFICACION]],3,0))))</f>
        <v>ASC</v>
      </c>
      <c r="P333" s="180">
        <f>+L333-E333</f>
        <v>291.40999999999985</v>
      </c>
      <c r="Q333" s="181">
        <f>+M333-F333</f>
        <v>0.21999999999999886</v>
      </c>
      <c r="R333" s="9"/>
    </row>
    <row r="334" spans="1:18" x14ac:dyDescent="0.25">
      <c r="A334" s="9" t="s">
        <v>134</v>
      </c>
      <c r="B334" s="9">
        <f>ROW() - ROW(TablaCosechas[[#Headers],[ID]]) - 4</f>
        <v>329</v>
      </c>
      <c r="C334" s="9" t="str">
        <f>LEFT(A334,2)</f>
        <v>GT</v>
      </c>
      <c r="D334" s="182" t="s">
        <v>366</v>
      </c>
      <c r="E334" s="178">
        <v>16000</v>
      </c>
      <c r="F334" s="19">
        <v>35</v>
      </c>
      <c r="G334" s="195">
        <v>45950</v>
      </c>
      <c r="H334" s="9" t="str">
        <f>VLOOKUP(TablaCosechas[[#This Row],[COD]],DATOS!$E$3:$F$27,2,0)</f>
        <v>GUATO</v>
      </c>
      <c r="I334" s="9" t="str">
        <f>RIGHT(TablaCosechas[[#This Row],[SECTOR/PISCINA]],2)</f>
        <v>21</v>
      </c>
      <c r="J334" s="9" t="str">
        <f>VLOOKUP(TablaCosechas[[#This Row],[COD]],Tabla7[#All],4,0)</f>
        <v>JULIO SANTOS</v>
      </c>
      <c r="K334" s="179">
        <f>(TablaCosechas[[#This Row],[libras planta]]*454)/M334</f>
        <v>212537.60391479562</v>
      </c>
      <c r="L334" s="174">
        <v>16263.34</v>
      </c>
      <c r="M334" s="19">
        <v>34.74</v>
      </c>
      <c r="N334" s="9" t="str">
        <f>UPPER(TEXT(TablaCosechas[[#This Row],[COSECHA]],"MMMM"))</f>
        <v>OCTUBRE</v>
      </c>
      <c r="O334" s="9" t="str">
        <f>IF(A334="DO 29","BAP",IF(A334="RO 14","BAP",(VLOOKUP(TablaCosechas[[#This Row],[COD]],Tabla7[[CODIGO]:[CERTIFICACION]],3,0))))</f>
        <v>CONVENCIONAL</v>
      </c>
      <c r="P334" s="180">
        <f>+L334-E334</f>
        <v>263.34000000000015</v>
      </c>
      <c r="Q334" s="181">
        <f>+M334-F334</f>
        <v>-0.25999999999999801</v>
      </c>
      <c r="R334" s="9"/>
    </row>
    <row r="335" spans="1:18" x14ac:dyDescent="0.25">
      <c r="A335" s="9" t="s">
        <v>174</v>
      </c>
      <c r="B335" s="9">
        <f>ROW() - ROW(TablaCosechas[[#Headers],[ID]]) - 4</f>
        <v>330</v>
      </c>
      <c r="C335" s="9" t="str">
        <f>LEFT(A335,2)</f>
        <v>DE</v>
      </c>
      <c r="D335" s="182" t="s">
        <v>366</v>
      </c>
      <c r="E335" s="178">
        <v>38950</v>
      </c>
      <c r="F335" s="19">
        <v>36</v>
      </c>
      <c r="G335" s="195">
        <v>45950</v>
      </c>
      <c r="H335" s="9" t="str">
        <f>VLOOKUP(TablaCosechas[[#This Row],[COD]],DATOS!$E$3:$F$27,2,0)</f>
        <v>DELFIN</v>
      </c>
      <c r="I335" s="9" t="str">
        <f>RIGHT(TablaCosechas[[#This Row],[SECTOR/PISCINA]],2)</f>
        <v>07</v>
      </c>
      <c r="J335" s="9" t="str">
        <f>VLOOKUP(TablaCosechas[[#This Row],[COD]],Tabla7[#All],4,0)</f>
        <v>CARLOS FLORES</v>
      </c>
      <c r="K335" s="179">
        <f>(TablaCosechas[[#This Row],[libras planta]]*454)/M335</f>
        <v>509587.77578215522</v>
      </c>
      <c r="L335" s="174">
        <v>38746.629999999997</v>
      </c>
      <c r="M335" s="19">
        <v>34.520000000000003</v>
      </c>
      <c r="N335" s="9" t="str">
        <f>UPPER(TEXT(TablaCosechas[[#This Row],[COSECHA]],"MMMM"))</f>
        <v>OCTUBRE</v>
      </c>
      <c r="O335" s="9" t="str">
        <f>IF(A335="DO 29","BAP",IF(A335="RO 14","BAP",(VLOOKUP(TablaCosechas[[#This Row],[COD]],Tabla7[[CODIGO]:[CERTIFICACION]],3,0))))</f>
        <v>CONVENCIONAL</v>
      </c>
      <c r="P335" s="180">
        <f>+L335-E335</f>
        <v>-203.37000000000262</v>
      </c>
      <c r="Q335" s="181">
        <f>+M335-F335</f>
        <v>-1.4799999999999969</v>
      </c>
      <c r="R335" s="9"/>
    </row>
    <row r="336" spans="1:18" x14ac:dyDescent="0.25">
      <c r="A336" s="9" t="s">
        <v>25</v>
      </c>
      <c r="B336" s="9">
        <f>ROW() - ROW(TablaCosechas[[#Headers],[ID]]) - 4</f>
        <v>331</v>
      </c>
      <c r="C336" s="9" t="str">
        <f>LEFT(A336,2)</f>
        <v>CH</v>
      </c>
      <c r="D336" s="182" t="s">
        <v>366</v>
      </c>
      <c r="E336" s="178">
        <v>33300</v>
      </c>
      <c r="F336" s="19">
        <v>33</v>
      </c>
      <c r="G336" s="195">
        <v>45950</v>
      </c>
      <c r="H336" s="9" t="str">
        <f>VLOOKUP(TablaCosechas[[#This Row],[COD]],DATOS!$E$3:$F$27,2,0)</f>
        <v>CHERNA</v>
      </c>
      <c r="I336" s="9" t="str">
        <f>RIGHT(TablaCosechas[[#This Row],[SECTOR/PISCINA]],2)</f>
        <v>21</v>
      </c>
      <c r="J336" s="9" t="str">
        <f>VLOOKUP(TablaCosechas[[#This Row],[COD]],Tabla7[#All],4,0)</f>
        <v>SANTIAGO OBRIEN</v>
      </c>
      <c r="K336" s="179">
        <f>(TablaCosechas[[#This Row],[libras planta]]*454)/M336</f>
        <v>429808.16707317077</v>
      </c>
      <c r="L336" s="174">
        <v>31052.22</v>
      </c>
      <c r="M336" s="19">
        <v>32.799999999999997</v>
      </c>
      <c r="N336" s="9" t="str">
        <f>UPPER(TEXT(TablaCosechas[[#This Row],[COSECHA]],"MMMM"))</f>
        <v>OCTUBRE</v>
      </c>
      <c r="O336" s="9" t="str">
        <f>IF(A336="DO 29","BAP",IF(A336="RO 14","BAP",(VLOOKUP(TablaCosechas[[#This Row],[COD]],Tabla7[[CODIGO]:[CERTIFICACION]],3,0))))</f>
        <v>ASC</v>
      </c>
      <c r="P336" s="180">
        <f>+L336-E336</f>
        <v>-2247.7799999999988</v>
      </c>
      <c r="Q336" s="181">
        <f>+M336-F336</f>
        <v>-0.20000000000000284</v>
      </c>
      <c r="R336" s="9"/>
    </row>
    <row r="337" spans="1:18" x14ac:dyDescent="0.25">
      <c r="A337" s="9" t="s">
        <v>212</v>
      </c>
      <c r="B337" s="9">
        <f>ROW() - ROW(TablaCosechas[[#Headers],[ID]]) - 4</f>
        <v>332</v>
      </c>
      <c r="C337" s="9" t="str">
        <f>LEFT(A337,2)</f>
        <v>CA</v>
      </c>
      <c r="D337" s="182" t="s">
        <v>367</v>
      </c>
      <c r="E337" s="178">
        <v>17600</v>
      </c>
      <c r="F337" s="19">
        <v>24</v>
      </c>
      <c r="G337" s="195">
        <v>45950</v>
      </c>
      <c r="H337" s="9" t="str">
        <f>VLOOKUP(TablaCosechas[[#This Row],[COD]],DATOS!$E$3:$F$26,2,0)</f>
        <v>CATANUDA</v>
      </c>
      <c r="I337" s="9" t="str">
        <f>RIGHT(TablaCosechas[[#This Row],[SECTOR/PISCINA]],2)</f>
        <v>09</v>
      </c>
      <c r="J337" s="9" t="str">
        <f>VLOOKUP(TablaCosechas[[#This Row],[COD]],Tabla7[#All],4,0)</f>
        <v>VICTOR QUINTANA</v>
      </c>
      <c r="K337" s="179">
        <f>(TablaCosechas[[#This Row],[libras planta]]*454)/M337</f>
        <v>318740.19601593621</v>
      </c>
      <c r="L337" s="174">
        <v>17621.98</v>
      </c>
      <c r="M337" s="19">
        <v>25.1</v>
      </c>
      <c r="N337" s="9" t="str">
        <f>UPPER(TEXT(TablaCosechas[[#This Row],[COSECHA]],"MMMM"))</f>
        <v>OCTUBRE</v>
      </c>
      <c r="O337" s="9" t="str">
        <f>IF(A337="DO 29","BAP",IF(A337="RO 14","BAP",(VLOOKUP(TablaCosechas[[#This Row],[COD]],Tabla7[[CODIGO]:[CERTIFICACION]],3,0))))</f>
        <v>ASC</v>
      </c>
      <c r="P337" s="180">
        <f>+L337-E337</f>
        <v>21.979999999999563</v>
      </c>
      <c r="Q337" s="181">
        <f>+M337-F337</f>
        <v>1.1000000000000014</v>
      </c>
      <c r="R337" s="9"/>
    </row>
    <row r="338" spans="1:18" x14ac:dyDescent="0.25">
      <c r="A338" s="9" t="s">
        <v>226</v>
      </c>
      <c r="B338" s="9">
        <f>ROW() - ROW(TablaCosechas[[#Headers],[ID]]) - 4</f>
        <v>333</v>
      </c>
      <c r="C338" s="9" t="str">
        <f>LEFT(A338,2)</f>
        <v>BA</v>
      </c>
      <c r="D338" s="182" t="s">
        <v>367</v>
      </c>
      <c r="E338" s="178">
        <v>5800</v>
      </c>
      <c r="F338" s="19">
        <v>22</v>
      </c>
      <c r="G338" s="195">
        <v>45950</v>
      </c>
      <c r="H338" s="9" t="str">
        <f>VLOOKUP(TablaCosechas[[#This Row],[COD]],DATOS!$E$3:$F$27,2,0)</f>
        <v>BARRACUDA</v>
      </c>
      <c r="I338" s="9" t="str">
        <f>RIGHT(TablaCosechas[[#This Row],[SECTOR/PISCINA]],2)</f>
        <v>01</v>
      </c>
      <c r="J338" s="9" t="str">
        <f>VLOOKUP(TablaCosechas[[#This Row],[COD]],Tabla7[#All],4,0)</f>
        <v>GUSTAVO CARRASCO</v>
      </c>
      <c r="K338" s="179">
        <f>(TablaCosechas[[#This Row],[libras planta]]*454)/M338</f>
        <v>126049.76788990825</v>
      </c>
      <c r="L338" s="174">
        <v>6052.61</v>
      </c>
      <c r="M338" s="19">
        <v>21.8</v>
      </c>
      <c r="N338" s="9" t="str">
        <f>UPPER(TEXT(TablaCosechas[[#This Row],[COSECHA]],"MMMM"))</f>
        <v>OCTUBRE</v>
      </c>
      <c r="O338" s="9" t="str">
        <f>IF(A338="DO 29","BAP",IF(A338="RO 14","BAP",(VLOOKUP(TablaCosechas[[#This Row],[COD]],Tabla7[[CODIGO]:[CERTIFICACION]],3,0))))</f>
        <v>CONVENCIONAL</v>
      </c>
      <c r="P338" s="180">
        <f>+L338-E338</f>
        <v>252.60999999999967</v>
      </c>
      <c r="Q338" s="181">
        <f>+M338-F338</f>
        <v>-0.19999999999999929</v>
      </c>
      <c r="R338" s="9"/>
    </row>
    <row r="339" spans="1:18" x14ac:dyDescent="0.25">
      <c r="A339" s="9" t="s">
        <v>333</v>
      </c>
      <c r="B339" s="9">
        <f>ROW() - ROW(TablaCosechas[[#Headers],[ID]]) - 4</f>
        <v>334</v>
      </c>
      <c r="C339" s="9" t="str">
        <f>LEFT(A339,2)</f>
        <v>WA</v>
      </c>
      <c r="D339" s="182" t="s">
        <v>367</v>
      </c>
      <c r="E339" s="178">
        <v>8800</v>
      </c>
      <c r="F339" s="19">
        <v>16</v>
      </c>
      <c r="G339" s="195">
        <v>45951</v>
      </c>
      <c r="H339" s="9" t="str">
        <f>VLOOKUP(TablaCosechas[[#This Row],[COD]],DATOS!$E$3:$F$27,2,0)</f>
        <v>WAHOO</v>
      </c>
      <c r="I339" s="9" t="str">
        <f>RIGHT(TablaCosechas[[#This Row],[SECTOR/PISCINA]],2)</f>
        <v>02</v>
      </c>
      <c r="J339" s="9" t="str">
        <f>VLOOKUP(TablaCosechas[[#This Row],[COD]],Tabla7[#All],4,0)</f>
        <v>JUNIOR ESQUIVEL</v>
      </c>
      <c r="K339" s="179">
        <f>(TablaCosechas[[#This Row],[libras planta]]*454)/M339</f>
        <v>267577.2506297229</v>
      </c>
      <c r="L339" s="174">
        <v>9359.31</v>
      </c>
      <c r="M339" s="19">
        <v>15.88</v>
      </c>
      <c r="N339" s="9" t="str">
        <f>UPPER(TEXT(TablaCosechas[[#This Row],[COSECHA]],"MMMM"))</f>
        <v>OCTUBRE</v>
      </c>
      <c r="O339" s="9" t="str">
        <f>IF(A339="DO 29","BAP",IF(A339="RO 14","BAP",(VLOOKUP(TablaCosechas[[#This Row],[COD]],Tabla7[[CODIGO]:[CERTIFICACION]],3,0))))</f>
        <v>CONVENCIONAL</v>
      </c>
      <c r="P339" s="180">
        <f>+L339-E339</f>
        <v>559.30999999999949</v>
      </c>
      <c r="Q339" s="181">
        <f>+M339-F339</f>
        <v>-0.11999999999999922</v>
      </c>
      <c r="R339" s="9"/>
    </row>
    <row r="340" spans="1:18" x14ac:dyDescent="0.25">
      <c r="A340" s="9" t="s">
        <v>192</v>
      </c>
      <c r="B340" s="9">
        <f>ROW() - ROW(TablaCosechas[[#Headers],[ID]]) - 4</f>
        <v>335</v>
      </c>
      <c r="C340" s="9" t="str">
        <f>LEFT(A340,2)</f>
        <v>TU</v>
      </c>
      <c r="D340" s="182" t="s">
        <v>366</v>
      </c>
      <c r="E340" s="178">
        <v>18100</v>
      </c>
      <c r="F340" s="19">
        <v>31</v>
      </c>
      <c r="G340" s="195">
        <v>45951</v>
      </c>
      <c r="H340" s="9" t="str">
        <f>VLOOKUP(TablaCosechas[[#This Row],[COD]],DATOS!$E$3:$F$27,2,0)</f>
        <v>TUNA</v>
      </c>
      <c r="I340" s="9" t="str">
        <f>RIGHT(TablaCosechas[[#This Row],[SECTOR/PISCINA]],2)</f>
        <v>02</v>
      </c>
      <c r="J340" s="9" t="str">
        <f>VLOOKUP(TablaCosechas[[#This Row],[COD]],Tabla7[#All],4,0)</f>
        <v>GUSTAVO CARRASCO</v>
      </c>
      <c r="K340" s="179">
        <f>(TablaCosechas[[#This Row],[libras planta]]*454)/M340</f>
        <v>259169.48719550276</v>
      </c>
      <c r="L340" s="174">
        <v>18278.87</v>
      </c>
      <c r="M340" s="19">
        <v>32.020000000000003</v>
      </c>
      <c r="N340" s="9" t="str">
        <f>UPPER(TEXT(TablaCosechas[[#This Row],[COSECHA]],"MMMM"))</f>
        <v>OCTUBRE</v>
      </c>
      <c r="O340" s="9" t="str">
        <f>IF(A340="DO 29","BAP",IF(A340="RO 14","BAP",(VLOOKUP(TablaCosechas[[#This Row],[COD]],Tabla7[[CODIGO]:[CERTIFICACION]],3,0))))</f>
        <v>ASC</v>
      </c>
      <c r="P340" s="180">
        <f>+L340-E340</f>
        <v>178.86999999999898</v>
      </c>
      <c r="Q340" s="181">
        <f>+M340-F340</f>
        <v>1.0200000000000031</v>
      </c>
      <c r="R340" s="9"/>
    </row>
    <row r="341" spans="1:18" x14ac:dyDescent="0.25">
      <c r="A341" s="9" t="s">
        <v>237</v>
      </c>
      <c r="B341" s="9">
        <f>ROW() - ROW(TablaCosechas[[#Headers],[ID]]) - 4</f>
        <v>336</v>
      </c>
      <c r="C341" s="9" t="str">
        <f>LEFT(A341,2)</f>
        <v>TI</v>
      </c>
      <c r="D341" s="182" t="s">
        <v>367</v>
      </c>
      <c r="E341" s="178">
        <v>10000</v>
      </c>
      <c r="F341" s="19">
        <v>20.5</v>
      </c>
      <c r="G341" s="195">
        <v>45951</v>
      </c>
      <c r="H341" s="9" t="str">
        <f>VLOOKUP(TablaCosechas[[#This Row],[COD]],DATOS!$E$3:$F$26,2,0)</f>
        <v>TIBURON</v>
      </c>
      <c r="I341" s="9" t="str">
        <f>RIGHT(TablaCosechas[[#This Row],[SECTOR/PISCINA]],2)</f>
        <v>08</v>
      </c>
      <c r="J341" s="9" t="str">
        <f>VLOOKUP(TablaCosechas[[#This Row],[COD]],Tabla7[#All],4,0)</f>
        <v>ALFONSO GRUNAUER</v>
      </c>
      <c r="K341" s="179">
        <f>(TablaCosechas[[#This Row],[libras planta]]*454)/M341</f>
        <v>217145.23913043478</v>
      </c>
      <c r="L341" s="174">
        <v>10120.69</v>
      </c>
      <c r="M341" s="19">
        <v>21.16</v>
      </c>
      <c r="N341" s="9" t="str">
        <f>UPPER(TEXT(TablaCosechas[[#This Row],[COSECHA]],"MMMM"))</f>
        <v>OCTUBRE</v>
      </c>
      <c r="O341" s="9" t="str">
        <f>IF(A341="DO 29","BAP",IF(A341="RO 14","BAP",(VLOOKUP(TablaCosechas[[#This Row],[COD]],Tabla7[[CODIGO]:[CERTIFICACION]],3,0))))</f>
        <v>ASC</v>
      </c>
      <c r="P341" s="180">
        <f>+L341-E341</f>
        <v>120.69000000000051</v>
      </c>
      <c r="Q341" s="181">
        <f>+M341-F341</f>
        <v>0.66000000000000014</v>
      </c>
      <c r="R341" s="9"/>
    </row>
    <row r="342" spans="1:18" x14ac:dyDescent="0.25">
      <c r="A342" s="9" t="s">
        <v>143</v>
      </c>
      <c r="B342" s="9">
        <f>ROW() - ROW(TablaCosechas[[#Headers],[ID]]) - 4</f>
        <v>337</v>
      </c>
      <c r="C342" s="9" t="str">
        <f>LEFT(A342,2)</f>
        <v>TA</v>
      </c>
      <c r="D342" s="182" t="s">
        <v>367</v>
      </c>
      <c r="E342" s="178">
        <v>16000</v>
      </c>
      <c r="F342" s="19">
        <v>26</v>
      </c>
      <c r="G342" s="195">
        <v>45951</v>
      </c>
      <c r="H342" s="9" t="str">
        <f>VLOOKUP(TablaCosechas[[#This Row],[COD]],DATOS!$E$3:$F$26,2,0)</f>
        <v>TAMBULERO</v>
      </c>
      <c r="I342" s="9" t="str">
        <f>RIGHT(TablaCosechas[[#This Row],[SECTOR/PISCINA]],2)</f>
        <v>08</v>
      </c>
      <c r="J342" s="9" t="str">
        <f>VLOOKUP(TablaCosechas[[#This Row],[COD]],Tabla7[#All],4,0)</f>
        <v>ALFONSO GRUNAUER</v>
      </c>
      <c r="K342" s="179">
        <f>(TablaCosechas[[#This Row],[libras planta]]*454)/M342</f>
        <v>272675.71611445781</v>
      </c>
      <c r="L342" s="174">
        <v>15952.13</v>
      </c>
      <c r="M342" s="19">
        <v>26.56</v>
      </c>
      <c r="N342" s="9" t="str">
        <f>UPPER(TEXT(TablaCosechas[[#This Row],[COSECHA]],"MMMM"))</f>
        <v>OCTUBRE</v>
      </c>
      <c r="O342" s="9" t="str">
        <f>IF(A342="DO 29","BAP",IF(A342="RO 14","BAP",(VLOOKUP(TablaCosechas[[#This Row],[COD]],Tabla7[[CODIGO]:[CERTIFICACION]],3,0))))</f>
        <v>CONVENCIONAL</v>
      </c>
      <c r="P342" s="180">
        <f>+L342-E342</f>
        <v>-47.8700000000008</v>
      </c>
      <c r="Q342" s="181">
        <f>+M342-F342</f>
        <v>0.55999999999999872</v>
      </c>
      <c r="R342" s="9"/>
    </row>
    <row r="343" spans="1:18" x14ac:dyDescent="0.25">
      <c r="A343" s="9" t="s">
        <v>222</v>
      </c>
      <c r="B343" s="9">
        <f>ROW() - ROW(TablaCosechas[[#Headers],[ID]]) - 4</f>
        <v>338</v>
      </c>
      <c r="C343" s="9" t="str">
        <f>LEFT(A343,2)</f>
        <v>GT</v>
      </c>
      <c r="D343" s="182" t="s">
        <v>367</v>
      </c>
      <c r="E343" s="178">
        <v>5200</v>
      </c>
      <c r="F343" s="19">
        <v>21</v>
      </c>
      <c r="G343" s="195">
        <v>45951</v>
      </c>
      <c r="H343" s="9" t="str">
        <f>VLOOKUP(TablaCosechas[[#This Row],[COD]],DATOS!$E$3:$F$26,2,0)</f>
        <v>GUATO</v>
      </c>
      <c r="I343" s="9" t="str">
        <f>RIGHT(TablaCosechas[[#This Row],[SECTOR/PISCINA]],2)</f>
        <v>17</v>
      </c>
      <c r="J343" s="9" t="str">
        <f>VLOOKUP(TablaCosechas[[#This Row],[COD]],Tabla7[#All],4,0)</f>
        <v>JULIO SANTOS</v>
      </c>
      <c r="K343" s="179">
        <f>(TablaCosechas[[#This Row],[libras planta]]*454)/M343</f>
        <v>99741.254595588238</v>
      </c>
      <c r="L343" s="174">
        <v>4780.55</v>
      </c>
      <c r="M343" s="19">
        <v>21.76</v>
      </c>
      <c r="N343" s="9" t="str">
        <f>UPPER(TEXT(TablaCosechas[[#This Row],[COSECHA]],"MMMM"))</f>
        <v>OCTUBRE</v>
      </c>
      <c r="O343" s="9" t="str">
        <f>IF(A343="DO 29","BAP",IF(A343="RO 14","BAP",(VLOOKUP(TablaCosechas[[#This Row],[COD]],Tabla7[[CODIGO]:[CERTIFICACION]],3,0))))</f>
        <v>CONVENCIONAL</v>
      </c>
      <c r="P343" s="180">
        <f>+L343-E343</f>
        <v>-419.44999999999982</v>
      </c>
      <c r="Q343" s="181">
        <f>+M343-F343</f>
        <v>0.76000000000000156</v>
      </c>
      <c r="R343" s="9"/>
    </row>
    <row r="344" spans="1:18" x14ac:dyDescent="0.25">
      <c r="A344" s="9" t="s">
        <v>177</v>
      </c>
      <c r="B344" s="9">
        <f>ROW() - ROW(TablaCosechas[[#Headers],[ID]]) - 4</f>
        <v>339</v>
      </c>
      <c r="C344" s="9" t="str">
        <f>LEFT(A344,2)</f>
        <v>DE</v>
      </c>
      <c r="D344" s="182" t="s">
        <v>366</v>
      </c>
      <c r="E344" s="178">
        <f>31000+1800</f>
        <v>32800</v>
      </c>
      <c r="F344" s="19">
        <v>35</v>
      </c>
      <c r="G344" s="195">
        <v>45951</v>
      </c>
      <c r="H344" s="9" t="str">
        <f>VLOOKUP(TablaCosechas[[#This Row],[COD]],DATOS!$E$3:$F$27,2,0)</f>
        <v>DELFIN</v>
      </c>
      <c r="I344" s="9" t="str">
        <f>RIGHT(TablaCosechas[[#This Row],[SECTOR/PISCINA]],2)</f>
        <v>09</v>
      </c>
      <c r="J344" s="9" t="str">
        <f>VLOOKUP(TablaCosechas[[#This Row],[COD]],Tabla7[#All],4,0)</f>
        <v>CARLOS FLORES</v>
      </c>
      <c r="K344" s="179">
        <f>(TablaCosechas[[#This Row],[libras planta]]*454)/M344</f>
        <v>403099.34247326571</v>
      </c>
      <c r="L344" s="174">
        <f>30917.22+1463.91</f>
        <v>32381.13</v>
      </c>
      <c r="M344" s="19">
        <v>36.47</v>
      </c>
      <c r="N344" s="9" t="str">
        <f>UPPER(TEXT(TablaCosechas[[#This Row],[COSECHA]],"MMMM"))</f>
        <v>OCTUBRE</v>
      </c>
      <c r="O344" s="9" t="str">
        <f>IF(A344="DO 29","BAP",IF(A344="RO 14","BAP",(VLOOKUP(TablaCosechas[[#This Row],[COD]],Tabla7[[CODIGO]:[CERTIFICACION]],3,0))))</f>
        <v>CONVENCIONAL</v>
      </c>
      <c r="P344" s="180">
        <f>+L344-E344</f>
        <v>-418.86999999999898</v>
      </c>
      <c r="Q344" s="181">
        <f>+M344-F344</f>
        <v>1.4699999999999989</v>
      </c>
      <c r="R344" s="9"/>
    </row>
    <row r="345" spans="1:18" x14ac:dyDescent="0.25">
      <c r="A345" s="9" t="s">
        <v>26</v>
      </c>
      <c r="B345" s="9">
        <f>ROW() - ROW(TablaCosechas[[#Headers],[ID]]) - 4</f>
        <v>340</v>
      </c>
      <c r="C345" s="9" t="str">
        <f>LEFT(A345,2)</f>
        <v>CH</v>
      </c>
      <c r="D345" s="182" t="s">
        <v>366</v>
      </c>
      <c r="E345" s="178">
        <v>40300</v>
      </c>
      <c r="F345" s="19">
        <v>33.5</v>
      </c>
      <c r="G345" s="195">
        <v>45951</v>
      </c>
      <c r="H345" s="9" t="str">
        <f>VLOOKUP(TablaCosechas[[#This Row],[COD]],DATOS!$E$3:$F$27,2,0)</f>
        <v>CHERNA</v>
      </c>
      <c r="I345" s="9" t="str">
        <f>RIGHT(TablaCosechas[[#This Row],[SECTOR/PISCINA]],2)</f>
        <v>23</v>
      </c>
      <c r="J345" s="9" t="str">
        <f>VLOOKUP(TablaCosechas[[#This Row],[COD]],Tabla7[#All],4,0)</f>
        <v>SANTIAGO OBRIEN</v>
      </c>
      <c r="K345" s="179">
        <f>(TablaCosechas[[#This Row],[libras planta]]*454)/M345</f>
        <v>510662.90715883666</v>
      </c>
      <c r="L345" s="174">
        <v>40223.14</v>
      </c>
      <c r="M345" s="19">
        <v>35.76</v>
      </c>
      <c r="N345" s="9" t="str">
        <f>UPPER(TEXT(TablaCosechas[[#This Row],[COSECHA]],"MMMM"))</f>
        <v>OCTUBRE</v>
      </c>
      <c r="O345" s="9" t="str">
        <f>IF(A345="DO 29","BAP",IF(A345="RO 14","BAP",(VLOOKUP(TablaCosechas[[#This Row],[COD]],Tabla7[[CODIGO]:[CERTIFICACION]],3,0))))</f>
        <v>ASC</v>
      </c>
      <c r="P345" s="180">
        <f>+L345-E345</f>
        <v>-76.860000000000582</v>
      </c>
      <c r="Q345" s="181">
        <f>+M345-F345</f>
        <v>2.259999999999998</v>
      </c>
      <c r="R345" s="9"/>
    </row>
    <row r="346" spans="1:18" x14ac:dyDescent="0.25">
      <c r="A346" s="9" t="s">
        <v>213</v>
      </c>
      <c r="B346" s="9">
        <f>ROW() - ROW(TablaCosechas[[#Headers],[ID]]) - 4</f>
        <v>341</v>
      </c>
      <c r="C346" s="9" t="str">
        <f>LEFT(A346,2)</f>
        <v>CA</v>
      </c>
      <c r="D346" s="182" t="s">
        <v>367</v>
      </c>
      <c r="E346" s="178">
        <v>10400</v>
      </c>
      <c r="F346" s="19">
        <v>21</v>
      </c>
      <c r="G346" s="195">
        <v>45951</v>
      </c>
      <c r="H346" s="9" t="str">
        <f>VLOOKUP(TablaCosechas[[#This Row],[COD]],DATOS!$E$3:$F$26,2,0)</f>
        <v>CATANUDA</v>
      </c>
      <c r="I346" s="9" t="str">
        <f>RIGHT(TablaCosechas[[#This Row],[SECTOR/PISCINA]],2)</f>
        <v>07</v>
      </c>
      <c r="J346" s="9" t="str">
        <f>VLOOKUP(TablaCosechas[[#This Row],[COD]],Tabla7[#All],4,0)</f>
        <v>VICTOR QUINTANA</v>
      </c>
      <c r="K346" s="179">
        <f>(TablaCosechas[[#This Row],[libras planta]]*454)/M346</f>
        <v>202117.63162544169</v>
      </c>
      <c r="L346" s="174">
        <v>10079.17</v>
      </c>
      <c r="M346" s="19">
        <v>22.64</v>
      </c>
      <c r="N346" s="9" t="str">
        <f>UPPER(TEXT(TablaCosechas[[#This Row],[COSECHA]],"MMMM"))</f>
        <v>OCTUBRE</v>
      </c>
      <c r="O346" s="9" t="str">
        <f>IF(A346="DO 29","BAP",IF(A346="RO 14","BAP",(VLOOKUP(TablaCosechas[[#This Row],[COD]],Tabla7[[CODIGO]:[CERTIFICACION]],3,0))))</f>
        <v>ASC</v>
      </c>
      <c r="P346" s="180">
        <f>+L346-E346</f>
        <v>-320.82999999999993</v>
      </c>
      <c r="Q346" s="181">
        <f>+M346-F346</f>
        <v>1.6400000000000006</v>
      </c>
      <c r="R346" s="9"/>
    </row>
    <row r="347" spans="1:18" x14ac:dyDescent="0.25">
      <c r="A347" s="9" t="s">
        <v>339</v>
      </c>
      <c r="B347" s="9">
        <f>ROW() - ROW(TablaCosechas[[#Headers],[ID]]) - 4</f>
        <v>342</v>
      </c>
      <c r="C347" s="9" t="str">
        <f>LEFT(A347,2)</f>
        <v>WA</v>
      </c>
      <c r="D347" s="182" t="s">
        <v>367</v>
      </c>
      <c r="E347" s="178">
        <v>11200</v>
      </c>
      <c r="F347" s="19">
        <v>16</v>
      </c>
      <c r="G347" s="195">
        <v>45952</v>
      </c>
      <c r="H347" s="9" t="str">
        <f>VLOOKUP(TablaCosechas[[#This Row],[COD]],DATOS!$E$3:$F$27,2,0)</f>
        <v>WAHOO</v>
      </c>
      <c r="I347" s="9" t="str">
        <f>RIGHT(TablaCosechas[[#This Row],[SECTOR/PISCINA]],2)</f>
        <v>16</v>
      </c>
      <c r="J347" s="9" t="str">
        <f>VLOOKUP(TablaCosechas[[#This Row],[COD]],Tabla7[#All],4,0)</f>
        <v>JUNIOR ESQUIVEL</v>
      </c>
      <c r="K347" s="179">
        <f>(TablaCosechas[[#This Row],[libras planta]]*454)/M347</f>
        <v>327881.03984819737</v>
      </c>
      <c r="L347" s="174">
        <v>11418.06</v>
      </c>
      <c r="M347" s="19">
        <v>15.81</v>
      </c>
      <c r="N347" s="9" t="str">
        <f>UPPER(TEXT(TablaCosechas[[#This Row],[COSECHA]],"MMMM"))</f>
        <v>OCTUBRE</v>
      </c>
      <c r="O347" s="9" t="str">
        <f>IF(A347="DO 29","BAP",IF(A347="RO 14","BAP",(VLOOKUP(TablaCosechas[[#This Row],[COD]],Tabla7[[CODIGO]:[CERTIFICACION]],3,0))))</f>
        <v>CONVENCIONAL</v>
      </c>
      <c r="P347" s="180">
        <f>+L347-E347</f>
        <v>218.05999999999949</v>
      </c>
      <c r="Q347" s="181">
        <f>+M347-F347</f>
        <v>-0.1899999999999995</v>
      </c>
      <c r="R347" s="9"/>
    </row>
    <row r="348" spans="1:18" x14ac:dyDescent="0.25">
      <c r="A348" s="9" t="s">
        <v>311</v>
      </c>
      <c r="B348" s="9">
        <f>ROW() - ROW(TablaCosechas[[#Headers],[ID]]) - 4</f>
        <v>343</v>
      </c>
      <c r="C348" s="9" t="str">
        <f>LEFT(A348,2)</f>
        <v>WA</v>
      </c>
      <c r="D348" s="182" t="s">
        <v>367</v>
      </c>
      <c r="E348" s="178">
        <v>6400</v>
      </c>
      <c r="F348" s="19">
        <v>15.5</v>
      </c>
      <c r="G348" s="195">
        <v>45952</v>
      </c>
      <c r="H348" s="9" t="str">
        <f>VLOOKUP(TablaCosechas[[#This Row],[COD]],DATOS!$E$3:$F$27,2,0)</f>
        <v>WAHOO</v>
      </c>
      <c r="I348" s="9" t="str">
        <f>RIGHT(TablaCosechas[[#This Row],[SECTOR/PISCINA]],2)</f>
        <v>01</v>
      </c>
      <c r="J348" s="9" t="str">
        <f>VLOOKUP(TablaCosechas[[#This Row],[COD]],Tabla7[#All],4,0)</f>
        <v>JUNIOR ESQUIVEL</v>
      </c>
      <c r="K348" s="179">
        <f>(TablaCosechas[[#This Row],[libras planta]]*454)/M348</f>
        <v>168129.61688720857</v>
      </c>
      <c r="L348" s="174">
        <v>5877.13</v>
      </c>
      <c r="M348" s="19">
        <v>15.87</v>
      </c>
      <c r="N348" s="9" t="str">
        <f>UPPER(TEXT(TablaCosechas[[#This Row],[COSECHA]],"MMMM"))</f>
        <v>OCTUBRE</v>
      </c>
      <c r="O348" s="9" t="str">
        <f>IF(A348="DO 29","BAP",IF(A348="RO 14","BAP",(VLOOKUP(TablaCosechas[[#This Row],[COD]],Tabla7[[CODIGO]:[CERTIFICACION]],3,0))))</f>
        <v>CONVENCIONAL</v>
      </c>
      <c r="P348" s="180">
        <f>+L348-E348</f>
        <v>-522.86999999999989</v>
      </c>
      <c r="Q348" s="181">
        <f>+M348-F348</f>
        <v>0.36999999999999922</v>
      </c>
      <c r="R348" s="9"/>
    </row>
    <row r="349" spans="1:18" x14ac:dyDescent="0.25">
      <c r="A349" s="9" t="s">
        <v>189</v>
      </c>
      <c r="B349" s="9">
        <f>ROW() - ROW(TablaCosechas[[#Headers],[ID]]) - 4</f>
        <v>344</v>
      </c>
      <c r="C349" s="9" t="str">
        <f>LEFT(A349,2)</f>
        <v>TU</v>
      </c>
      <c r="D349" s="182" t="s">
        <v>366</v>
      </c>
      <c r="E349" s="178">
        <v>18400</v>
      </c>
      <c r="F349" s="19">
        <v>30</v>
      </c>
      <c r="G349" s="195">
        <v>45952</v>
      </c>
      <c r="H349" s="9" t="str">
        <f>VLOOKUP(TablaCosechas[[#This Row],[COD]],DATOS!$E$3:$F$27,2,0)</f>
        <v>TUNA</v>
      </c>
      <c r="I349" s="9" t="str">
        <f>RIGHT(TablaCosechas[[#This Row],[SECTOR/PISCINA]],2)</f>
        <v>03</v>
      </c>
      <c r="J349" s="9" t="str">
        <f>VLOOKUP(TablaCosechas[[#This Row],[COD]],Tabla7[#All],4,0)</f>
        <v>GUSTAVO CARRASCO</v>
      </c>
      <c r="K349" s="179">
        <f>(TablaCosechas[[#This Row],[libras planta]]*454)/M349</f>
        <v>239372.84529008108</v>
      </c>
      <c r="L349" s="174">
        <v>16903.73</v>
      </c>
      <c r="M349" s="19">
        <v>32.06</v>
      </c>
      <c r="N349" s="9" t="str">
        <f>UPPER(TEXT(TablaCosechas[[#This Row],[COSECHA]],"MMMM"))</f>
        <v>OCTUBRE</v>
      </c>
      <c r="O349" s="9" t="str">
        <f>IF(A349="DO 29","BAP",IF(A349="RO 14","BAP",(VLOOKUP(TablaCosechas[[#This Row],[COD]],Tabla7[[CODIGO]:[CERTIFICACION]],3,0))))</f>
        <v>ASC</v>
      </c>
      <c r="P349" s="180">
        <f>+L349-E349</f>
        <v>-1496.2700000000004</v>
      </c>
      <c r="Q349" s="181">
        <f>+M349-F349</f>
        <v>2.0600000000000023</v>
      </c>
      <c r="R349" s="9"/>
    </row>
    <row r="350" spans="1:18" x14ac:dyDescent="0.25">
      <c r="A350" s="9" t="s">
        <v>171</v>
      </c>
      <c r="B350" s="9">
        <f>ROW() - ROW(TablaCosechas[[#Headers],[ID]]) - 4</f>
        <v>345</v>
      </c>
      <c r="C350" s="9" t="str">
        <f>LEFT(A350,2)</f>
        <v>TA</v>
      </c>
      <c r="D350" s="182" t="s">
        <v>366</v>
      </c>
      <c r="E350" s="178">
        <f>14300+9200</f>
        <v>23500</v>
      </c>
      <c r="F350" s="19">
        <v>35</v>
      </c>
      <c r="G350" s="195">
        <v>45952</v>
      </c>
      <c r="H350" s="9" t="str">
        <f>VLOOKUP(TablaCosechas[[#This Row],[COD]],DATOS!$E$3:$F$27,2,0)</f>
        <v>TAMBULERO</v>
      </c>
      <c r="I350" s="9" t="str">
        <f>RIGHT(TablaCosechas[[#This Row],[SECTOR/PISCINA]],2)</f>
        <v>13</v>
      </c>
      <c r="J350" s="9" t="str">
        <f>VLOOKUP(TablaCosechas[[#This Row],[COD]],Tabla7[#All],4,0)</f>
        <v>ALFONSO GRUNAUER</v>
      </c>
      <c r="K350" s="179">
        <f>(TablaCosechas[[#This Row],[libras planta]]*454)/M350</f>
        <v>287021.61972214654</v>
      </c>
      <c r="L350" s="174">
        <v>23208.29</v>
      </c>
      <c r="M350" s="19">
        <v>36.71</v>
      </c>
      <c r="N350" s="9" t="str">
        <f>UPPER(TEXT(TablaCosechas[[#This Row],[COSECHA]],"MMMM"))</f>
        <v>OCTUBRE</v>
      </c>
      <c r="O350" s="9" t="str">
        <f>IF(A350="DO 29","BAP",IF(A350="RO 14","BAP",(VLOOKUP(TablaCosechas[[#This Row],[COD]],Tabla7[[CODIGO]:[CERTIFICACION]],3,0))))</f>
        <v>CONVENCIONAL</v>
      </c>
      <c r="P350" s="180">
        <f>+L350-E350</f>
        <v>-291.70999999999913</v>
      </c>
      <c r="Q350" s="181">
        <f>+M350-F350</f>
        <v>1.7100000000000009</v>
      </c>
      <c r="R350" s="9"/>
    </row>
    <row r="351" spans="1:18" x14ac:dyDescent="0.25">
      <c r="A351" s="9" t="s">
        <v>231</v>
      </c>
      <c r="B351" s="9">
        <f>ROW() - ROW(TablaCosechas[[#Headers],[ID]]) - 4</f>
        <v>346</v>
      </c>
      <c r="C351" s="9" t="str">
        <f>LEFT(A351,2)</f>
        <v>GT</v>
      </c>
      <c r="D351" s="182" t="s">
        <v>367</v>
      </c>
      <c r="E351" s="178">
        <v>2700</v>
      </c>
      <c r="F351" s="19">
        <v>24</v>
      </c>
      <c r="G351" s="195">
        <v>45952</v>
      </c>
      <c r="H351" s="9" t="str">
        <f>VLOOKUP(TablaCosechas[[#This Row],[COD]],DATOS!$E$3:$F$27,2,0)</f>
        <v>GUATO</v>
      </c>
      <c r="I351" s="9" t="str">
        <f>RIGHT(TablaCosechas[[#This Row],[SECTOR/PISCINA]],2)</f>
        <v>16</v>
      </c>
      <c r="J351" s="9" t="str">
        <f>VLOOKUP(TablaCosechas[[#This Row],[COD]],Tabla7[#All],4,0)</f>
        <v>JULIO SANTOS</v>
      </c>
      <c r="K351" s="179">
        <f>(TablaCosechas[[#This Row],[libras planta]]*454)/M351</f>
        <v>50326.609375000007</v>
      </c>
      <c r="L351" s="174">
        <v>2837.8</v>
      </c>
      <c r="M351" s="19">
        <v>25.6</v>
      </c>
      <c r="N351" s="9" t="str">
        <f>UPPER(TEXT(TablaCosechas[[#This Row],[COSECHA]],"MMMM"))</f>
        <v>OCTUBRE</v>
      </c>
      <c r="O351" s="9" t="str">
        <f>IF(A351="DO 29","BAP",IF(A351="RO 14","BAP",(VLOOKUP(TablaCosechas[[#This Row],[COD]],Tabla7[[CODIGO]:[CERTIFICACION]],3,0))))</f>
        <v>CONVENCIONAL</v>
      </c>
      <c r="P351" s="180">
        <f>+L351-E351</f>
        <v>137.80000000000018</v>
      </c>
      <c r="Q351" s="181">
        <f>+M351-F351</f>
        <v>1.6000000000000014</v>
      </c>
      <c r="R351" s="9"/>
    </row>
    <row r="352" spans="1:18" x14ac:dyDescent="0.25">
      <c r="A352" s="9" t="s">
        <v>233</v>
      </c>
      <c r="B352" s="9">
        <f>ROW() - ROW(TablaCosechas[[#Headers],[ID]]) - 4</f>
        <v>347</v>
      </c>
      <c r="C352" s="9" t="str">
        <f>LEFT(A352,2)</f>
        <v>GT</v>
      </c>
      <c r="D352" s="182" t="s">
        <v>367</v>
      </c>
      <c r="E352" s="178">
        <v>5600</v>
      </c>
      <c r="F352" s="19">
        <v>19</v>
      </c>
      <c r="G352" s="195">
        <v>45952</v>
      </c>
      <c r="H352" s="9" t="str">
        <f>VLOOKUP(TablaCosechas[[#This Row],[COD]],DATOS!$E$3:$F$26,2,0)</f>
        <v>GUATO</v>
      </c>
      <c r="I352" s="9" t="str">
        <f>RIGHT(TablaCosechas[[#This Row],[SECTOR/PISCINA]],2)</f>
        <v>14</v>
      </c>
      <c r="J352" s="9" t="str">
        <f>VLOOKUP(TablaCosechas[[#This Row],[COD]],Tabla7[#All],4,0)</f>
        <v>JULIO SANTOS</v>
      </c>
      <c r="K352" s="179">
        <f>(TablaCosechas[[#This Row],[libras planta]]*454)/M352</f>
        <v>122973.15232443127</v>
      </c>
      <c r="L352" s="174">
        <v>5476.91</v>
      </c>
      <c r="M352" s="19">
        <v>20.22</v>
      </c>
      <c r="N352" s="9" t="str">
        <f>UPPER(TEXT(TablaCosechas[[#This Row],[COSECHA]],"MMMM"))</f>
        <v>OCTUBRE</v>
      </c>
      <c r="O352" s="9" t="str">
        <f>IF(A352="DO 29","BAP",IF(A352="RO 14","BAP",(VLOOKUP(TablaCosechas[[#This Row],[COD]],Tabla7[[CODIGO]:[CERTIFICACION]],3,0))))</f>
        <v>CONVENCIONAL</v>
      </c>
      <c r="P352" s="180">
        <f>+L352-E352</f>
        <v>-123.09000000000015</v>
      </c>
      <c r="Q352" s="181">
        <f>+M352-F352</f>
        <v>1.2199999999999989</v>
      </c>
      <c r="R352" s="9"/>
    </row>
    <row r="353" spans="1:18" x14ac:dyDescent="0.25">
      <c r="A353" s="9" t="s">
        <v>253</v>
      </c>
      <c r="B353" s="9">
        <f>ROW() - ROW(TablaCosechas[[#Headers],[ID]]) - 4</f>
        <v>348</v>
      </c>
      <c r="C353" s="9" t="str">
        <f>LEFT(A353,2)</f>
        <v>DO</v>
      </c>
      <c r="D353" s="182" t="s">
        <v>367</v>
      </c>
      <c r="E353" s="178">
        <v>9000</v>
      </c>
      <c r="F353" s="19">
        <v>25</v>
      </c>
      <c r="G353" s="195">
        <v>45952</v>
      </c>
      <c r="H353" s="9" t="str">
        <f>VLOOKUP(TablaCosechas[[#This Row],[COD]],DATOS!$E$3:$F$27,2,0)</f>
        <v>DORADO</v>
      </c>
      <c r="I353" s="9" t="str">
        <f>RIGHT(TablaCosechas[[#This Row],[SECTOR/PISCINA]],2)</f>
        <v>16</v>
      </c>
      <c r="J353" s="9" t="str">
        <f>VLOOKUP(TablaCosechas[[#This Row],[COD]],Tabla7[#All],4,0)</f>
        <v>JOSE CEDEÑO</v>
      </c>
      <c r="K353" s="179">
        <f>(TablaCosechas[[#This Row],[libras planta]]*454)/M353</f>
        <v>155026.29344512196</v>
      </c>
      <c r="L353" s="174">
        <v>8960.11</v>
      </c>
      <c r="M353" s="19">
        <v>26.24</v>
      </c>
      <c r="N353" s="9" t="str">
        <f>UPPER(TEXT(TablaCosechas[[#This Row],[COSECHA]],"MMMM"))</f>
        <v>OCTUBRE</v>
      </c>
      <c r="O353" s="9" t="str">
        <f>IF(A353="DO 29","BAP",IF(A353="RO 14","BAP",(VLOOKUP(TablaCosechas[[#This Row],[COD]],Tabla7[[CODIGO]:[CERTIFICACION]],3,0))))</f>
        <v>ASC</v>
      </c>
      <c r="P353" s="180">
        <f>+L353-E353</f>
        <v>-39.889999999999418</v>
      </c>
      <c r="Q353" s="181">
        <f>+M353-F353</f>
        <v>1.2399999999999984</v>
      </c>
      <c r="R353" s="9"/>
    </row>
    <row r="354" spans="1:18" x14ac:dyDescent="0.25">
      <c r="A354" s="9" t="s">
        <v>183</v>
      </c>
      <c r="B354" s="9">
        <f>ROW() - ROW(TablaCosechas[[#Headers],[ID]]) - 4</f>
        <v>349</v>
      </c>
      <c r="C354" s="9" t="str">
        <f>LEFT(A354,2)</f>
        <v>DO</v>
      </c>
      <c r="D354" s="182" t="s">
        <v>366</v>
      </c>
      <c r="E354" s="178">
        <v>26000</v>
      </c>
      <c r="F354" s="19">
        <v>35</v>
      </c>
      <c r="G354" s="195">
        <v>45952</v>
      </c>
      <c r="H354" s="9" t="str">
        <f>VLOOKUP(TablaCosechas[[#This Row],[COD]],DATOS!$E$3:$F$27,2,0)</f>
        <v>DORADO</v>
      </c>
      <c r="I354" s="9" t="str">
        <f>RIGHT(TablaCosechas[[#This Row],[SECTOR/PISCINA]],2)</f>
        <v>05</v>
      </c>
      <c r="J354" s="9" t="str">
        <f>VLOOKUP(TablaCosechas[[#This Row],[COD]],Tabla7[#All],4,0)</f>
        <v>JOSE CEDEÑO</v>
      </c>
      <c r="K354" s="179">
        <f>(TablaCosechas[[#This Row],[libras planta]]*454)/M354</f>
        <v>314338.99373219372</v>
      </c>
      <c r="L354" s="174">
        <v>24302.42</v>
      </c>
      <c r="M354" s="19">
        <v>35.1</v>
      </c>
      <c r="N354" s="9" t="str">
        <f>UPPER(TEXT(TablaCosechas[[#This Row],[COSECHA]],"MMMM"))</f>
        <v>OCTUBRE</v>
      </c>
      <c r="O354" s="9" t="str">
        <f>IF(A354="DO 29","BAP",IF(A354="RO 14","BAP",(VLOOKUP(TablaCosechas[[#This Row],[COD]],Tabla7[[CODIGO]:[CERTIFICACION]],3,0))))</f>
        <v>ASC</v>
      </c>
      <c r="P354" s="180">
        <f>+L354-E354</f>
        <v>-1697.5800000000017</v>
      </c>
      <c r="Q354" s="181">
        <f>+M354-F354</f>
        <v>0.10000000000000142</v>
      </c>
      <c r="R354" s="9"/>
    </row>
    <row r="355" spans="1:18" x14ac:dyDescent="0.25">
      <c r="A355" s="9" t="s">
        <v>194</v>
      </c>
      <c r="B355" s="9">
        <f>ROW() - ROW(TablaCosechas[[#Headers],[ID]]) - 4</f>
        <v>350</v>
      </c>
      <c r="C355" s="9" t="str">
        <f>LEFT(A355,2)</f>
        <v>DE</v>
      </c>
      <c r="D355" s="182" t="s">
        <v>366</v>
      </c>
      <c r="E355" s="178">
        <v>15000</v>
      </c>
      <c r="F355" s="19">
        <v>35</v>
      </c>
      <c r="G355" s="195">
        <v>45952</v>
      </c>
      <c r="H355" s="9" t="str">
        <f>VLOOKUP(TablaCosechas[[#This Row],[COD]],DATOS!$E$3:$F$27,2,0)</f>
        <v>DELFIN</v>
      </c>
      <c r="I355" s="9" t="str">
        <f>RIGHT(TablaCosechas[[#This Row],[SECTOR/PISCINA]],2)</f>
        <v>20</v>
      </c>
      <c r="J355" s="9" t="str">
        <f>VLOOKUP(TablaCosechas[[#This Row],[COD]],Tabla7[#All],4,0)</f>
        <v>CARLOS FLORES</v>
      </c>
      <c r="K355" s="179">
        <f>(TablaCosechas[[#This Row],[libras planta]]*454)/M355</f>
        <v>214727.30787172014</v>
      </c>
      <c r="L355" s="174">
        <v>16222.79</v>
      </c>
      <c r="M355" s="19">
        <v>34.299999999999997</v>
      </c>
      <c r="N355" s="9" t="str">
        <f>UPPER(TEXT(TablaCosechas[[#This Row],[COSECHA]],"MMMM"))</f>
        <v>OCTUBRE</v>
      </c>
      <c r="O355" s="9" t="str">
        <f>IF(A355="DO 29","BAP",IF(A355="RO 14","BAP",(VLOOKUP(TablaCosechas[[#This Row],[COD]],Tabla7[[CODIGO]:[CERTIFICACION]],3,0))))</f>
        <v>CONVENCIONAL</v>
      </c>
      <c r="P355" s="180">
        <f>+L355-E355</f>
        <v>1222.7900000000009</v>
      </c>
      <c r="Q355" s="181">
        <f>+M355-F355</f>
        <v>-0.70000000000000284</v>
      </c>
      <c r="R355" s="9"/>
    </row>
    <row r="356" spans="1:18" x14ac:dyDescent="0.25">
      <c r="A356" s="9" t="s">
        <v>283</v>
      </c>
      <c r="B356" s="9">
        <f>ROW() - ROW(TablaCosechas[[#Headers],[ID]]) - 4</f>
        <v>351</v>
      </c>
      <c r="C356" s="9" t="str">
        <f>LEFT(A356,2)</f>
        <v>DE</v>
      </c>
      <c r="D356" s="182" t="s">
        <v>366</v>
      </c>
      <c r="E356" s="178">
        <v>23250</v>
      </c>
      <c r="F356" s="19">
        <v>32</v>
      </c>
      <c r="G356" s="195">
        <v>45952</v>
      </c>
      <c r="H356" s="9" t="str">
        <f>VLOOKUP(TablaCosechas[[#This Row],[COD]],DATOS!$E$3:$F$27,2,0)</f>
        <v>DELFIN</v>
      </c>
      <c r="I356" s="9" t="str">
        <f>RIGHT(TablaCosechas[[#This Row],[SECTOR/PISCINA]],2)</f>
        <v>10</v>
      </c>
      <c r="J356" s="9" t="str">
        <f>VLOOKUP(TablaCosechas[[#This Row],[COD]],Tabla7[#All],4,0)</f>
        <v>CARLOS FLORES</v>
      </c>
      <c r="K356" s="179">
        <f>(TablaCosechas[[#This Row],[libras planta]]*454)/M356</f>
        <v>299343.31106593087</v>
      </c>
      <c r="L356" s="174">
        <v>22701.3</v>
      </c>
      <c r="M356" s="19">
        <v>34.43</v>
      </c>
      <c r="N356" s="9" t="str">
        <f>UPPER(TEXT(TablaCosechas[[#This Row],[COSECHA]],"MMMM"))</f>
        <v>OCTUBRE</v>
      </c>
      <c r="O356" s="9" t="str">
        <f>IF(A356="DO 29","BAP",IF(A356="RO 14","BAP",(VLOOKUP(TablaCosechas[[#This Row],[COD]],Tabla7[[CODIGO]:[CERTIFICACION]],3,0))))</f>
        <v>CONVENCIONAL</v>
      </c>
      <c r="P356" s="180">
        <f>+L356-E356</f>
        <v>-548.70000000000073</v>
      </c>
      <c r="Q356" s="181">
        <f>+M356-F356</f>
        <v>2.4299999999999997</v>
      </c>
      <c r="R356" s="9"/>
    </row>
    <row r="357" spans="1:18" x14ac:dyDescent="0.25">
      <c r="A357" s="9" t="s">
        <v>27</v>
      </c>
      <c r="B357" s="9">
        <f>ROW() - ROW(TablaCosechas[[#Headers],[ID]]) - 4</f>
        <v>352</v>
      </c>
      <c r="C357" s="9" t="str">
        <f>LEFT(A357,2)</f>
        <v>CH</v>
      </c>
      <c r="D357" s="182" t="s">
        <v>366</v>
      </c>
      <c r="E357" s="178">
        <v>24600</v>
      </c>
      <c r="F357" s="19">
        <v>35</v>
      </c>
      <c r="G357" s="195">
        <v>45952</v>
      </c>
      <c r="H357" s="9" t="str">
        <f>VLOOKUP(TablaCosechas[[#This Row],[COD]],DATOS!$E$3:$F$27,2,0)</f>
        <v>CHERNA</v>
      </c>
      <c r="I357" s="9" t="str">
        <f>RIGHT(TablaCosechas[[#This Row],[SECTOR/PISCINA]],2)</f>
        <v>24</v>
      </c>
      <c r="J357" s="9" t="str">
        <f>VLOOKUP(TablaCosechas[[#This Row],[COD]],Tabla7[#All],4,0)</f>
        <v>SANTIAGO OBRIEN</v>
      </c>
      <c r="K357" s="179">
        <f>(TablaCosechas[[#This Row],[libras planta]]*454)/M357</f>
        <v>329420.69547079853</v>
      </c>
      <c r="L357" s="174">
        <v>24351.01</v>
      </c>
      <c r="M357" s="19">
        <v>33.56</v>
      </c>
      <c r="N357" s="9" t="str">
        <f>UPPER(TEXT(TablaCosechas[[#This Row],[COSECHA]],"MMMM"))</f>
        <v>OCTUBRE</v>
      </c>
      <c r="O357" s="9" t="str">
        <f>IF(A357="DO 29","BAP",IF(A357="RO 14","BAP",(VLOOKUP(TablaCosechas[[#This Row],[COD]],Tabla7[[CODIGO]:[CERTIFICACION]],3,0))))</f>
        <v>ASC</v>
      </c>
      <c r="P357" s="180">
        <f>+L357-E357</f>
        <v>-248.9900000000016</v>
      </c>
      <c r="Q357" s="181">
        <f>+M357-F357</f>
        <v>-1.4399999999999977</v>
      </c>
      <c r="R357" s="9"/>
    </row>
    <row r="358" spans="1:18" x14ac:dyDescent="0.25">
      <c r="A358" s="9" t="s">
        <v>211</v>
      </c>
      <c r="B358" s="9">
        <f>ROW() - ROW(TablaCosechas[[#Headers],[ID]]) - 4</f>
        <v>353</v>
      </c>
      <c r="C358" s="9" t="str">
        <f>LEFT(A358,2)</f>
        <v>WA</v>
      </c>
      <c r="D358" s="182" t="s">
        <v>366</v>
      </c>
      <c r="E358" s="178">
        <v>29250</v>
      </c>
      <c r="F358" s="19">
        <v>17.5</v>
      </c>
      <c r="G358" s="195">
        <v>45953</v>
      </c>
      <c r="H358" s="9" t="str">
        <f>VLOOKUP(TablaCosechas[[#This Row],[COD]],DATOS!$E$3:$F$27,2,0)</f>
        <v>WAHOO</v>
      </c>
      <c r="I358" s="9" t="str">
        <f>RIGHT(TablaCosechas[[#This Row],[SECTOR/PISCINA]],2)</f>
        <v>13</v>
      </c>
      <c r="J358" s="9" t="str">
        <f>VLOOKUP(TablaCosechas[[#This Row],[COD]],Tabla7[#All],4,0)</f>
        <v>JUNIOR ESQUIVEL</v>
      </c>
      <c r="K358" s="179">
        <f>(TablaCosechas[[#This Row],[libras planta]]*454)/M358</f>
        <v>765862.33600917424</v>
      </c>
      <c r="L358" s="174">
        <v>29419.91</v>
      </c>
      <c r="M358" s="19">
        <v>17.440000000000001</v>
      </c>
      <c r="N358" s="9" t="str">
        <f>UPPER(TEXT(TablaCosechas[[#This Row],[COSECHA]],"MMMM"))</f>
        <v>OCTUBRE</v>
      </c>
      <c r="O358" s="9" t="str">
        <f>IF(A358="DO 29","BAP",IF(A358="RO 14","BAP",(VLOOKUP(TablaCosechas[[#This Row],[COD]],Tabla7[[CODIGO]:[CERTIFICACION]],3,0))))</f>
        <v>CONVENCIONAL</v>
      </c>
      <c r="P358" s="180">
        <f>+L358-E358</f>
        <v>169.90999999999985</v>
      </c>
      <c r="Q358" s="181">
        <f>+M358-F358</f>
        <v>-5.9999999999998721E-2</v>
      </c>
      <c r="R358" s="9"/>
    </row>
    <row r="359" spans="1:18" x14ac:dyDescent="0.25">
      <c r="A359" s="9" t="s">
        <v>185</v>
      </c>
      <c r="B359" s="9">
        <f>ROW() - ROW(TablaCosechas[[#Headers],[ID]]) - 4</f>
        <v>354</v>
      </c>
      <c r="C359" s="9" t="str">
        <f>LEFT(A359,2)</f>
        <v>TU</v>
      </c>
      <c r="D359" s="182" t="s">
        <v>366</v>
      </c>
      <c r="E359" s="178">
        <f>34200+2200</f>
        <v>36400</v>
      </c>
      <c r="F359" s="19">
        <v>31</v>
      </c>
      <c r="G359" s="195">
        <v>45953</v>
      </c>
      <c r="H359" s="9" t="str">
        <f>VLOOKUP(TablaCosechas[[#This Row],[COD]],DATOS!$E$3:$F$27,2,0)</f>
        <v>TUNA</v>
      </c>
      <c r="I359" s="9" t="str">
        <f>RIGHT(TablaCosechas[[#This Row],[SECTOR/PISCINA]],2)</f>
        <v>4A</v>
      </c>
      <c r="J359" s="9" t="str">
        <f>VLOOKUP(TablaCosechas[[#This Row],[COD]],Tabla7[#All],4,0)</f>
        <v>GUSTAVO CARRASCO</v>
      </c>
      <c r="K359" s="179">
        <f>(TablaCosechas[[#This Row],[libras planta]]*454)/M359</f>
        <v>515585.97870967741</v>
      </c>
      <c r="L359" s="174">
        <f>33010.94+2194.27</f>
        <v>35205.21</v>
      </c>
      <c r="M359" s="19">
        <v>31</v>
      </c>
      <c r="N359" s="9" t="str">
        <f>UPPER(TEXT(TablaCosechas[[#This Row],[COSECHA]],"MMMM"))</f>
        <v>OCTUBRE</v>
      </c>
      <c r="O359" s="9" t="str">
        <f>IF(A359="DO 29","BAP",IF(A359="RO 14","BAP",(VLOOKUP(TablaCosechas[[#This Row],[COD]],Tabla7[[CODIGO]:[CERTIFICACION]],3,0))))</f>
        <v>ASC</v>
      </c>
      <c r="P359" s="180">
        <f>+L359-E359</f>
        <v>-1194.7900000000009</v>
      </c>
      <c r="Q359" s="181">
        <f>+M359-F359</f>
        <v>0</v>
      </c>
      <c r="R359" s="9"/>
    </row>
    <row r="360" spans="1:18" x14ac:dyDescent="0.25">
      <c r="A360" s="9" t="s">
        <v>172</v>
      </c>
      <c r="B360" s="9">
        <f>ROW() - ROW(TablaCosechas[[#Headers],[ID]]) - 4</f>
        <v>355</v>
      </c>
      <c r="C360" s="9" t="str">
        <f>LEFT(A360,2)</f>
        <v>TA</v>
      </c>
      <c r="D360" s="182" t="s">
        <v>366</v>
      </c>
      <c r="E360" s="178">
        <v>32800</v>
      </c>
      <c r="F360" s="19">
        <v>33</v>
      </c>
      <c r="G360" s="195">
        <v>45953</v>
      </c>
      <c r="H360" s="9" t="str">
        <f>VLOOKUP(TablaCosechas[[#This Row],[COD]],DATOS!$E$3:$F$27,2,0)</f>
        <v>TAMBULERO</v>
      </c>
      <c r="I360" s="9" t="str">
        <f>RIGHT(TablaCosechas[[#This Row],[SECTOR/PISCINA]],2)</f>
        <v>24</v>
      </c>
      <c r="J360" s="9" t="str">
        <f>VLOOKUP(TablaCosechas[[#This Row],[COD]],Tabla7[#All],4,0)</f>
        <v>ALFONSO GRUNAUER</v>
      </c>
      <c r="K360" s="179">
        <f>(TablaCosechas[[#This Row],[libras planta]]*454)/M360</f>
        <v>466904.33832335327</v>
      </c>
      <c r="L360" s="174">
        <v>34349.35</v>
      </c>
      <c r="M360" s="19">
        <v>33.4</v>
      </c>
      <c r="N360" s="9" t="str">
        <f>UPPER(TEXT(TablaCosechas[[#This Row],[COSECHA]],"MMMM"))</f>
        <v>OCTUBRE</v>
      </c>
      <c r="O360" s="9" t="str">
        <f>IF(A360="DO 29","BAP",IF(A360="RO 14","BAP",(VLOOKUP(TablaCosechas[[#This Row],[COD]],Tabla7[[CODIGO]:[CERTIFICACION]],3,0))))</f>
        <v>CONVENCIONAL</v>
      </c>
      <c r="P360" s="180">
        <f>+L360-E360</f>
        <v>1549.3499999999985</v>
      </c>
      <c r="Q360" s="181">
        <f>+M360-F360</f>
        <v>0.39999999999999858</v>
      </c>
      <c r="R360" s="9"/>
    </row>
    <row r="361" spans="1:18" x14ac:dyDescent="0.25">
      <c r="A361" s="9" t="s">
        <v>249</v>
      </c>
      <c r="B361" s="9">
        <f>ROW() - ROW(TablaCosechas[[#Headers],[ID]]) - 4</f>
        <v>356</v>
      </c>
      <c r="C361" s="9" t="str">
        <f>LEFT(A361,2)</f>
        <v>DO</v>
      </c>
      <c r="D361" s="182" t="s">
        <v>367</v>
      </c>
      <c r="E361" s="178">
        <v>16000</v>
      </c>
      <c r="F361" s="19">
        <v>28</v>
      </c>
      <c r="G361" s="195">
        <v>45953</v>
      </c>
      <c r="H361" s="9" t="str">
        <f>VLOOKUP(TablaCosechas[[#This Row],[COD]],DATOS!$E$3:$F$27,2,0)</f>
        <v>DORADO</v>
      </c>
      <c r="I361" s="9" t="str">
        <f>RIGHT(TablaCosechas[[#This Row],[SECTOR/PISCINA]],2)</f>
        <v>14</v>
      </c>
      <c r="J361" s="9" t="str">
        <f>VLOOKUP(TablaCosechas[[#This Row],[COD]],Tabla7[#All],4,0)</f>
        <v>JOSE CEDEÑO</v>
      </c>
      <c r="K361" s="179">
        <f>(TablaCosechas[[#This Row],[libras planta]]*454)/M361</f>
        <v>224018.55598958334</v>
      </c>
      <c r="L361" s="174">
        <v>15158.26</v>
      </c>
      <c r="M361" s="19">
        <v>30.72</v>
      </c>
      <c r="N361" s="9" t="str">
        <f>UPPER(TEXT(TablaCosechas[[#This Row],[COSECHA]],"MMMM"))</f>
        <v>OCTUBRE</v>
      </c>
      <c r="O361" s="9" t="str">
        <f>IF(A361="DO 29","BAP",IF(A361="RO 14","BAP",(VLOOKUP(TablaCosechas[[#This Row],[COD]],Tabla7[[CODIGO]:[CERTIFICACION]],3,0))))</f>
        <v>ASC</v>
      </c>
      <c r="P361" s="180">
        <f>+L361-E361</f>
        <v>-841.73999999999978</v>
      </c>
      <c r="Q361" s="181">
        <f>+M361-F361</f>
        <v>2.7199999999999989</v>
      </c>
      <c r="R361" s="9"/>
    </row>
    <row r="362" spans="1:18" x14ac:dyDescent="0.25">
      <c r="A362" s="9" t="s">
        <v>125</v>
      </c>
      <c r="B362" s="9">
        <f>ROW() - ROW(TablaCosechas[[#Headers],[ID]]) - 4</f>
        <v>357</v>
      </c>
      <c r="C362" s="9" t="str">
        <f>LEFT(A362,2)</f>
        <v>DE</v>
      </c>
      <c r="D362" s="182" t="s">
        <v>366</v>
      </c>
      <c r="E362" s="178">
        <v>26500</v>
      </c>
      <c r="F362" s="19">
        <v>34</v>
      </c>
      <c r="G362" s="195">
        <v>45953</v>
      </c>
      <c r="H362" s="9" t="str">
        <f>VLOOKUP(TablaCosechas[[#This Row],[COD]],DATOS!$E$3:$F$27,2,0)</f>
        <v>DELFIN</v>
      </c>
      <c r="I362" s="9" t="str">
        <f>RIGHT(TablaCosechas[[#This Row],[SECTOR/PISCINA]],2)</f>
        <v>15</v>
      </c>
      <c r="J362" s="9" t="str">
        <f>VLOOKUP(TablaCosechas[[#This Row],[COD]],Tabla7[#All],4,0)</f>
        <v>CARLOS FLORES</v>
      </c>
      <c r="K362" s="179">
        <f>(TablaCosechas[[#This Row],[libras planta]]*454)/M362</f>
        <v>391706.07648902823</v>
      </c>
      <c r="L362" s="174">
        <v>27522.959999999999</v>
      </c>
      <c r="M362" s="19">
        <v>31.9</v>
      </c>
      <c r="N362" s="9" t="str">
        <f>UPPER(TEXT(TablaCosechas[[#This Row],[COSECHA]],"MMMM"))</f>
        <v>OCTUBRE</v>
      </c>
      <c r="O362" s="9" t="str">
        <f>IF(A362="DO 29","BAP",IF(A362="RO 14","BAP",(VLOOKUP(TablaCosechas[[#This Row],[COD]],Tabla7[[CODIGO]:[CERTIFICACION]],3,0))))</f>
        <v>CONVENCIONAL</v>
      </c>
      <c r="P362" s="180">
        <f>+L362-E362</f>
        <v>1022.9599999999991</v>
      </c>
      <c r="Q362" s="181">
        <f>+M362-F362</f>
        <v>-2.1000000000000014</v>
      </c>
      <c r="R362" s="9"/>
    </row>
    <row r="363" spans="1:18" x14ac:dyDescent="0.25">
      <c r="A363" s="9" t="s">
        <v>191</v>
      </c>
      <c r="B363" s="9">
        <f>ROW() - ROW(TablaCosechas[[#Headers],[ID]]) - 4</f>
        <v>358</v>
      </c>
      <c r="C363" s="9" t="str">
        <f>LEFT(A363,2)</f>
        <v>WA</v>
      </c>
      <c r="D363" s="182" t="s">
        <v>366</v>
      </c>
      <c r="E363" s="178">
        <v>13400</v>
      </c>
      <c r="F363" s="19">
        <v>27</v>
      </c>
      <c r="G363" s="195">
        <v>45954</v>
      </c>
      <c r="H363" s="9" t="str">
        <f>VLOOKUP(TablaCosechas[[#This Row],[COD]],DATOS!$E$3:$F$27,2,0)</f>
        <v>WAHOO</v>
      </c>
      <c r="I363" s="9" t="str">
        <f>RIGHT(TablaCosechas[[#This Row],[SECTOR/PISCINA]],2)</f>
        <v>26</v>
      </c>
      <c r="J363" s="9" t="str">
        <f>VLOOKUP(TablaCosechas[[#This Row],[COD]],Tabla7[#All],4,0)</f>
        <v>JUNIOR ESQUIVEL</v>
      </c>
      <c r="K363" s="179">
        <f>(TablaCosechas[[#This Row],[libras planta]]*454)/M363</f>
        <v>213056.8757022472</v>
      </c>
      <c r="L363" s="174">
        <v>13365.33</v>
      </c>
      <c r="M363" s="19">
        <v>28.48</v>
      </c>
      <c r="N363" s="9" t="str">
        <f>UPPER(TEXT(TablaCosechas[[#This Row],[COSECHA]],"MMMM"))</f>
        <v>OCTUBRE</v>
      </c>
      <c r="O363" s="9" t="str">
        <f>IF(A363="DO 29","BAP",IF(A363="RO 14","BAP",(VLOOKUP(TablaCosechas[[#This Row],[COD]],Tabla7[[CODIGO]:[CERTIFICACION]],3,0))))</f>
        <v>CONVENCIONAL</v>
      </c>
      <c r="P363" s="180">
        <f>+L363-E363</f>
        <v>-34.670000000000073</v>
      </c>
      <c r="Q363" s="181">
        <f>+M363-F363</f>
        <v>1.4800000000000004</v>
      </c>
      <c r="R363" s="9"/>
    </row>
    <row r="364" spans="1:18" x14ac:dyDescent="0.25">
      <c r="A364" s="9" t="s">
        <v>371</v>
      </c>
      <c r="B364" s="9">
        <f>ROW() - ROW(TablaCosechas[[#Headers],[ID]]) - 4</f>
        <v>359</v>
      </c>
      <c r="C364" s="9" t="str">
        <f>LEFT(A364,2)</f>
        <v>WA</v>
      </c>
      <c r="D364" s="182" t="s">
        <v>367</v>
      </c>
      <c r="E364" s="178">
        <v>7000</v>
      </c>
      <c r="F364" s="19">
        <v>15</v>
      </c>
      <c r="G364" s="195">
        <v>45954</v>
      </c>
      <c r="H364" s="9" t="str">
        <f>VLOOKUP(TablaCosechas[[#This Row],[COD]],DATOS!$E$3:$F$27,2,0)</f>
        <v>WAHOO</v>
      </c>
      <c r="I364" s="9" t="str">
        <f>RIGHT(TablaCosechas[[#This Row],[SECTOR/PISCINA]],2)</f>
        <v>17</v>
      </c>
      <c r="J364" s="9" t="str">
        <f>VLOOKUP(TablaCosechas[[#This Row],[COD]],Tabla7[#All],4,0)</f>
        <v>JUNIOR ESQUIVEL</v>
      </c>
      <c r="K364" s="179">
        <f>(TablaCosechas[[#This Row],[libras planta]]*454)/M364</f>
        <v>200690.6709346991</v>
      </c>
      <c r="L364" s="174">
        <v>6904.82</v>
      </c>
      <c r="M364" s="19">
        <v>15.62</v>
      </c>
      <c r="N364" s="9" t="str">
        <f>UPPER(TEXT(TablaCosechas[[#This Row],[COSECHA]],"MMMM"))</f>
        <v>OCTUBRE</v>
      </c>
      <c r="O364" s="9" t="str">
        <f>IF(A364="DO 29","BAP",IF(A364="RO 14","BAP",(VLOOKUP(TablaCosechas[[#This Row],[COD]],Tabla7[[CODIGO]:[CERTIFICACION]],3,0))))</f>
        <v>CONVENCIONAL</v>
      </c>
      <c r="P364" s="180">
        <f>+L364-E364</f>
        <v>-95.180000000000291</v>
      </c>
      <c r="Q364" s="181">
        <f>+M364-F364</f>
        <v>0.61999999999999922</v>
      </c>
      <c r="R364" s="9"/>
    </row>
    <row r="365" spans="1:18" x14ac:dyDescent="0.25">
      <c r="A365" s="9" t="s">
        <v>195</v>
      </c>
      <c r="B365" s="9">
        <f>ROW() - ROW(TablaCosechas[[#Headers],[ID]]) - 4</f>
        <v>360</v>
      </c>
      <c r="C365" s="9" t="str">
        <f>LEFT(A365,2)</f>
        <v>TU</v>
      </c>
      <c r="D365" s="182" t="s">
        <v>366</v>
      </c>
      <c r="E365" s="178">
        <v>23800</v>
      </c>
      <c r="F365" s="19">
        <v>29</v>
      </c>
      <c r="G365" s="195">
        <v>45954</v>
      </c>
      <c r="H365" s="9" t="str">
        <f>VLOOKUP(TablaCosechas[[#This Row],[COD]],DATOS!$E$3:$F$27,2,0)</f>
        <v>TUNA</v>
      </c>
      <c r="I365" s="9" t="str">
        <f>RIGHT(TablaCosechas[[#This Row],[SECTOR/PISCINA]],2)</f>
        <v>01</v>
      </c>
      <c r="J365" s="9" t="str">
        <f>VLOOKUP(TablaCosechas[[#This Row],[COD]],Tabla7[#All],4,0)</f>
        <v>GUSTAVO CARRASCO</v>
      </c>
      <c r="K365" s="179">
        <f>(TablaCosechas[[#This Row],[libras planta]]*454)/M365</f>
        <v>379832.66872216517</v>
      </c>
      <c r="L365" s="174">
        <v>24421.4</v>
      </c>
      <c r="M365" s="19">
        <v>29.19</v>
      </c>
      <c r="N365" s="9" t="str">
        <f>UPPER(TEXT(TablaCosechas[[#This Row],[COSECHA]],"MMMM"))</f>
        <v>OCTUBRE</v>
      </c>
      <c r="O365" s="9" t="str">
        <f>IF(A365="DO 29","BAP",IF(A365="RO 14","BAP",(VLOOKUP(TablaCosechas[[#This Row],[COD]],Tabla7[[CODIGO]:[CERTIFICACION]],3,0))))</f>
        <v>ASC</v>
      </c>
      <c r="P365" s="180">
        <f>+L365-E365</f>
        <v>621.40000000000146</v>
      </c>
      <c r="Q365" s="181">
        <f>+M365-F365</f>
        <v>0.19000000000000128</v>
      </c>
      <c r="R365" s="9"/>
    </row>
    <row r="366" spans="1:18" x14ac:dyDescent="0.25">
      <c r="A366" s="9" t="s">
        <v>180</v>
      </c>
      <c r="B366" s="9">
        <f>ROW() - ROW(TablaCosechas[[#Headers],[ID]]) - 4</f>
        <v>361</v>
      </c>
      <c r="C366" s="9" t="str">
        <f>LEFT(A366,2)</f>
        <v>TA</v>
      </c>
      <c r="D366" s="182" t="s">
        <v>366</v>
      </c>
      <c r="E366" s="178">
        <v>27800</v>
      </c>
      <c r="F366" s="19">
        <v>40</v>
      </c>
      <c r="G366" s="195">
        <v>45954</v>
      </c>
      <c r="H366" s="9" t="str">
        <f>VLOOKUP(TablaCosechas[[#This Row],[COD]],DATOS!$E$3:$F$27,2,0)</f>
        <v>TAMBULERO</v>
      </c>
      <c r="I366" s="9" t="str">
        <f>RIGHT(TablaCosechas[[#This Row],[SECTOR/PISCINA]],2)</f>
        <v>03</v>
      </c>
      <c r="J366" s="9" t="str">
        <f>VLOOKUP(TablaCosechas[[#This Row],[COD]],Tabla7[#All],4,0)</f>
        <v>ALFONSO GRUNAUER</v>
      </c>
      <c r="K366" s="179">
        <f>(TablaCosechas[[#This Row],[libras planta]]*454)/M366</f>
        <v>311726.81409295351</v>
      </c>
      <c r="L366" s="174">
        <v>27478.65</v>
      </c>
      <c r="M366" s="19">
        <v>40.020000000000003</v>
      </c>
      <c r="N366" s="9" t="str">
        <f>UPPER(TEXT(TablaCosechas[[#This Row],[COSECHA]],"MMMM"))</f>
        <v>OCTUBRE</v>
      </c>
      <c r="O366" s="9" t="str">
        <f>IF(A366="DO 29","BAP",IF(A366="RO 14","BAP",(VLOOKUP(TablaCosechas[[#This Row],[COD]],Tabla7[[CODIGO]:[CERTIFICACION]],3,0))))</f>
        <v>CONVENCIONAL</v>
      </c>
      <c r="P366" s="180">
        <f>+L366-E366</f>
        <v>-321.34999999999854</v>
      </c>
      <c r="Q366" s="181">
        <f>+M366-F366</f>
        <v>2.0000000000003126E-2</v>
      </c>
      <c r="R366" s="9"/>
    </row>
    <row r="367" spans="1:18" x14ac:dyDescent="0.25">
      <c r="A367" s="9" t="s">
        <v>243</v>
      </c>
      <c r="B367" s="9">
        <f>ROW() - ROW(TablaCosechas[[#Headers],[ID]]) - 4</f>
        <v>362</v>
      </c>
      <c r="C367" s="9" t="str">
        <f>LEFT(A367,2)</f>
        <v>GT</v>
      </c>
      <c r="D367" s="182" t="s">
        <v>367</v>
      </c>
      <c r="E367" s="178">
        <v>2250</v>
      </c>
      <c r="F367" s="19">
        <v>18</v>
      </c>
      <c r="G367" s="195">
        <v>45954</v>
      </c>
      <c r="H367" s="9" t="str">
        <f>VLOOKUP(TablaCosechas[[#This Row],[COD]],DATOS!$E$3:$F$27,2,0)</f>
        <v>GUATO</v>
      </c>
      <c r="I367" s="9" t="str">
        <f>RIGHT(TablaCosechas[[#This Row],[SECTOR/PISCINA]],2)</f>
        <v>20</v>
      </c>
      <c r="J367" s="9" t="str">
        <f>VLOOKUP(TablaCosechas[[#This Row],[COD]],Tabla7[#All],4,0)</f>
        <v>JULIO SANTOS</v>
      </c>
      <c r="K367" s="179">
        <f>(TablaCosechas[[#This Row],[libras planta]]*454)/M367</f>
        <v>59692.070393374728</v>
      </c>
      <c r="L367" s="174">
        <v>2540.1999999999998</v>
      </c>
      <c r="M367" s="19">
        <v>19.32</v>
      </c>
      <c r="N367" s="9" t="str">
        <f>UPPER(TEXT(TablaCosechas[[#This Row],[COSECHA]],"MMMM"))</f>
        <v>OCTUBRE</v>
      </c>
      <c r="O367" s="9" t="str">
        <f>IF(A367="DO 29","BAP",IF(A367="RO 14","BAP",(VLOOKUP(TablaCosechas[[#This Row],[COD]],Tabla7[[CODIGO]:[CERTIFICACION]],3,0))))</f>
        <v>CONVENCIONAL</v>
      </c>
      <c r="P367" s="180">
        <f>+L367-E367</f>
        <v>290.19999999999982</v>
      </c>
      <c r="Q367" s="181">
        <f>+M367-F367</f>
        <v>1.3200000000000003</v>
      </c>
      <c r="R367" s="9"/>
    </row>
    <row r="368" spans="1:18" x14ac:dyDescent="0.25">
      <c r="A368" s="9" t="s">
        <v>240</v>
      </c>
      <c r="B368" s="9">
        <f>ROW() - ROW(TablaCosechas[[#Headers],[ID]]) - 4</f>
        <v>363</v>
      </c>
      <c r="C368" s="9" t="str">
        <f>LEFT(A368,2)</f>
        <v>GT</v>
      </c>
      <c r="D368" s="182" t="s">
        <v>367</v>
      </c>
      <c r="E368" s="178">
        <v>3600</v>
      </c>
      <c r="F368" s="19">
        <v>20</v>
      </c>
      <c r="G368" s="195">
        <v>45954</v>
      </c>
      <c r="H368" s="9" t="str">
        <f>VLOOKUP(TablaCosechas[[#This Row],[COD]],DATOS!$E$3:$F$26,2,0)</f>
        <v>GUATO</v>
      </c>
      <c r="I368" s="9" t="str">
        <f>RIGHT(TablaCosechas[[#This Row],[SECTOR/PISCINA]],2)</f>
        <v>19</v>
      </c>
      <c r="J368" s="9" t="str">
        <f>VLOOKUP(TablaCosechas[[#This Row],[COD]],Tabla7[#All],4,0)</f>
        <v>JULIO SANTOS</v>
      </c>
      <c r="K368" s="179">
        <f>(TablaCosechas[[#This Row],[libras planta]]*454)/M368</f>
        <v>85027.02230843842</v>
      </c>
      <c r="L368" s="174">
        <v>3861.8</v>
      </c>
      <c r="M368" s="19">
        <v>20.62</v>
      </c>
      <c r="N368" s="9" t="str">
        <f>UPPER(TEXT(TablaCosechas[[#This Row],[COSECHA]],"MMMM"))</f>
        <v>OCTUBRE</v>
      </c>
      <c r="O368" s="9" t="str">
        <f>IF(A368="DO 29","BAP",IF(A368="RO 14","BAP",(VLOOKUP(TablaCosechas[[#This Row],[COD]],Tabla7[[CODIGO]:[CERTIFICACION]],3,0))))</f>
        <v>CONVENCIONAL</v>
      </c>
      <c r="P368" s="180">
        <f>+L368-E368</f>
        <v>261.80000000000018</v>
      </c>
      <c r="Q368" s="181">
        <f>+M368-F368</f>
        <v>0.62000000000000099</v>
      </c>
      <c r="R368" s="9"/>
    </row>
    <row r="369" spans="1:18" x14ac:dyDescent="0.25">
      <c r="A369" s="9" t="s">
        <v>193</v>
      </c>
      <c r="B369" s="9">
        <f>ROW() - ROW(TablaCosechas[[#Headers],[ID]]) - 4</f>
        <v>364</v>
      </c>
      <c r="C369" s="9" t="str">
        <f>LEFT(A369,2)</f>
        <v>DE</v>
      </c>
      <c r="D369" s="182" t="s">
        <v>366</v>
      </c>
      <c r="E369" s="178">
        <v>20100</v>
      </c>
      <c r="F369" s="19">
        <v>33</v>
      </c>
      <c r="G369" s="195">
        <v>45954</v>
      </c>
      <c r="H369" s="9" t="str">
        <f>VLOOKUP(TablaCosechas[[#This Row],[COD]],DATOS!$E$3:$F$27,2,0)</f>
        <v>DELFIN</v>
      </c>
      <c r="I369" s="9" t="str">
        <f>RIGHT(TablaCosechas[[#This Row],[SECTOR/PISCINA]],2)</f>
        <v>21</v>
      </c>
      <c r="J369" s="9" t="str">
        <f>VLOOKUP(TablaCosechas[[#This Row],[COD]],Tabla7[#All],4,0)</f>
        <v>CARLOS FLORES</v>
      </c>
      <c r="K369" s="179">
        <f>(TablaCosechas[[#This Row],[libras planta]]*454)/M369</f>
        <v>305720.10107391025</v>
      </c>
      <c r="L369" s="174">
        <v>21319.599999999999</v>
      </c>
      <c r="M369" s="19">
        <v>31.66</v>
      </c>
      <c r="N369" s="9" t="str">
        <f>UPPER(TEXT(TablaCosechas[[#This Row],[COSECHA]],"MMMM"))</f>
        <v>OCTUBRE</v>
      </c>
      <c r="O369" s="9" t="str">
        <f>IF(A369="DO 29","BAP",IF(A369="RO 14","BAP",(VLOOKUP(TablaCosechas[[#This Row],[COD]],Tabla7[[CODIGO]:[CERTIFICACION]],3,0))))</f>
        <v>CONVENCIONAL</v>
      </c>
      <c r="P369" s="180">
        <f>+L369-E369</f>
        <v>1219.5999999999985</v>
      </c>
      <c r="Q369" s="181">
        <f>+M369-F369</f>
        <v>-1.3399999999999999</v>
      </c>
      <c r="R369" s="9"/>
    </row>
    <row r="370" spans="1:18" x14ac:dyDescent="0.25">
      <c r="A370" s="9" t="s">
        <v>22</v>
      </c>
      <c r="B370" s="9">
        <f>ROW() - ROW(TablaCosechas[[#Headers],[ID]]) - 4</f>
        <v>365</v>
      </c>
      <c r="C370" s="9" t="str">
        <f>LEFT(A370,2)</f>
        <v>CH</v>
      </c>
      <c r="D370" s="182" t="s">
        <v>366</v>
      </c>
      <c r="E370" s="178">
        <v>39200</v>
      </c>
      <c r="F370" s="19">
        <v>34</v>
      </c>
      <c r="G370" s="195">
        <v>45954</v>
      </c>
      <c r="H370" s="9" t="str">
        <f>VLOOKUP(TablaCosechas[[#This Row],[COD]],DATOS!$E$3:$F$27,2,0)</f>
        <v>CHERNA</v>
      </c>
      <c r="I370" s="9" t="str">
        <f>RIGHT(TablaCosechas[[#This Row],[SECTOR/PISCINA]],2)</f>
        <v>16</v>
      </c>
      <c r="J370" s="9" t="str">
        <f>VLOOKUP(TablaCosechas[[#This Row],[COD]],Tabla7[#All],4,0)</f>
        <v>SANTIAGO OBRIEN</v>
      </c>
      <c r="K370" s="179">
        <f>(TablaCosechas[[#This Row],[libras planta]]*454)/M370</f>
        <v>522583.14369846875</v>
      </c>
      <c r="L370" s="174">
        <v>39090.14</v>
      </c>
      <c r="M370" s="19">
        <v>33.96</v>
      </c>
      <c r="N370" s="9" t="str">
        <f>UPPER(TEXT(TablaCosechas[[#This Row],[COSECHA]],"MMMM"))</f>
        <v>OCTUBRE</v>
      </c>
      <c r="O370" s="9" t="str">
        <f>IF(A370="DO 29","BAP",IF(A370="RO 14","BAP",(VLOOKUP(TablaCosechas[[#This Row],[COD]],Tabla7[[CODIGO]:[CERTIFICACION]],3,0))))</f>
        <v>ASC</v>
      </c>
      <c r="P370" s="180">
        <f>+L370-E370</f>
        <v>-109.86000000000058</v>
      </c>
      <c r="Q370" s="181">
        <f>+M370-F370</f>
        <v>-3.9999999999999147E-2</v>
      </c>
      <c r="R370" s="9"/>
    </row>
    <row r="371" spans="1:18" x14ac:dyDescent="0.25">
      <c r="A371" s="9" t="s">
        <v>372</v>
      </c>
      <c r="B371" s="9">
        <f>ROW() - ROW(TablaCosechas[[#Headers],[ID]]) - 4</f>
        <v>366</v>
      </c>
      <c r="C371" s="9" t="str">
        <f>LEFT(A371,2)</f>
        <v>WA</v>
      </c>
      <c r="D371" s="182" t="s">
        <v>366</v>
      </c>
      <c r="E371" s="178">
        <f>10500+1000</f>
        <v>11500</v>
      </c>
      <c r="F371" s="19">
        <v>26</v>
      </c>
      <c r="G371" s="195">
        <v>45955</v>
      </c>
      <c r="H371" s="9" t="str">
        <f>VLOOKUP(TablaCosechas[[#This Row],[COD]],DATOS!$E$3:$F$27,2,0)</f>
        <v>WAHOO</v>
      </c>
      <c r="I371" s="9" t="str">
        <f>RIGHT(TablaCosechas[[#This Row],[SECTOR/PISCINA]],2)</f>
        <v>15</v>
      </c>
      <c r="J371" s="9" t="str">
        <f>VLOOKUP(TablaCosechas[[#This Row],[COD]],Tabla7[#All],4,0)</f>
        <v>JUNIOR ESQUIVEL</v>
      </c>
      <c r="K371" s="179">
        <f>(TablaCosechas[[#This Row],[libras planta]]*454)/M371</f>
        <v>196942.88094302555</v>
      </c>
      <c r="L371" s="174">
        <f>10228+812.08</f>
        <v>11040.08</v>
      </c>
      <c r="M371" s="19">
        <v>25.45</v>
      </c>
      <c r="N371" s="9" t="str">
        <f>UPPER(TEXT(TablaCosechas[[#This Row],[COSECHA]],"MMMM"))</f>
        <v>OCTUBRE</v>
      </c>
      <c r="O371" s="9" t="str">
        <f>IF(A371="DO 29","BAP",IF(A371="RO 14","BAP",(VLOOKUP(TablaCosechas[[#This Row],[COD]],Tabla7[[CODIGO]:[CERTIFICACION]],3,0))))</f>
        <v>CONVENCIONAL</v>
      </c>
      <c r="P371" s="180">
        <f>+L371-E371</f>
        <v>-459.92000000000007</v>
      </c>
      <c r="Q371" s="181">
        <f>+M371-F371</f>
        <v>-0.55000000000000071</v>
      </c>
      <c r="R371" s="9"/>
    </row>
    <row r="372" spans="1:18" x14ac:dyDescent="0.25">
      <c r="A372" s="9" t="s">
        <v>190</v>
      </c>
      <c r="B372" s="9">
        <f>ROW() - ROW(TablaCosechas[[#Headers],[ID]]) - 4</f>
        <v>367</v>
      </c>
      <c r="C372" s="9" t="str">
        <f>LEFT(A372,2)</f>
        <v>WA</v>
      </c>
      <c r="D372" s="182" t="s">
        <v>366</v>
      </c>
      <c r="E372" s="178">
        <v>13100</v>
      </c>
      <c r="F372" s="19">
        <v>24</v>
      </c>
      <c r="G372" s="195">
        <v>45955</v>
      </c>
      <c r="H372" s="9" t="str">
        <f>VLOOKUP(TablaCosechas[[#This Row],[COD]],DATOS!$E$3:$F$27,2,0)</f>
        <v>WAHOO</v>
      </c>
      <c r="I372" s="9" t="str">
        <f>RIGHT(TablaCosechas[[#This Row],[SECTOR/PISCINA]],2)</f>
        <v>25</v>
      </c>
      <c r="J372" s="9" t="str">
        <f>VLOOKUP(TablaCosechas[[#This Row],[COD]],Tabla7[#All],4,0)</f>
        <v>JUNIOR ESQUIVEL</v>
      </c>
      <c r="K372" s="179">
        <f>(TablaCosechas[[#This Row],[libras planta]]*454)/M372</f>
        <v>229429.2046979866</v>
      </c>
      <c r="L372" s="174">
        <v>12047.560000000001</v>
      </c>
      <c r="M372" s="19">
        <v>23.84</v>
      </c>
      <c r="N372" s="9" t="str">
        <f>UPPER(TEXT(TablaCosechas[[#This Row],[COSECHA]],"MMMM"))</f>
        <v>OCTUBRE</v>
      </c>
      <c r="O372" s="9" t="str">
        <f>IF(A372="DO 29","BAP",IF(A372="RO 14","BAP",(VLOOKUP(TablaCosechas[[#This Row],[COD]],Tabla7[[CODIGO]:[CERTIFICACION]],3,0))))</f>
        <v>CONVENCIONAL</v>
      </c>
      <c r="P372" s="180">
        <f>+L372-E372</f>
        <v>-1052.4399999999987</v>
      </c>
      <c r="Q372" s="181">
        <f>+M372-F372</f>
        <v>-0.16000000000000014</v>
      </c>
      <c r="R372" s="9"/>
    </row>
    <row r="373" spans="1:18" x14ac:dyDescent="0.25">
      <c r="A373" s="9" t="s">
        <v>176</v>
      </c>
      <c r="B373" s="9">
        <f>ROW() - ROW(TablaCosechas[[#Headers],[ID]]) - 4</f>
        <v>368</v>
      </c>
      <c r="C373" s="9" t="str">
        <f>LEFT(A373,2)</f>
        <v>TA</v>
      </c>
      <c r="D373" s="182" t="s">
        <v>366</v>
      </c>
      <c r="E373" s="178">
        <v>40400</v>
      </c>
      <c r="F373" s="19">
        <v>37</v>
      </c>
      <c r="G373" s="195">
        <v>45955</v>
      </c>
      <c r="H373" s="9" t="str">
        <f>VLOOKUP(TablaCosechas[[#This Row],[COD]],DATOS!$E$3:$F$27,2,0)</f>
        <v>TAMBULERO</v>
      </c>
      <c r="I373" s="9" t="str">
        <f>RIGHT(TablaCosechas[[#This Row],[SECTOR/PISCINA]],2)</f>
        <v>15</v>
      </c>
      <c r="J373" s="9" t="str">
        <f>VLOOKUP(TablaCosechas[[#This Row],[COD]],Tabla7[#All],4,0)</f>
        <v>ALFONSO GRUNAUER</v>
      </c>
      <c r="K373" s="179">
        <f>(TablaCosechas[[#This Row],[libras planta]]*454)/M373</f>
        <v>480362.35679480241</v>
      </c>
      <c r="L373" s="174">
        <v>39084.99</v>
      </c>
      <c r="M373" s="19">
        <v>36.94</v>
      </c>
      <c r="N373" s="9" t="str">
        <f>UPPER(TEXT(TablaCosechas[[#This Row],[COSECHA]],"MMMM"))</f>
        <v>OCTUBRE</v>
      </c>
      <c r="O373" s="9" t="str">
        <f>IF(A373="DO 29","BAP",IF(A373="RO 14","BAP",(VLOOKUP(TablaCosechas[[#This Row],[COD]],Tabla7[[CODIGO]:[CERTIFICACION]],3,0))))</f>
        <v>CONVENCIONAL</v>
      </c>
      <c r="P373" s="180">
        <f>+L373-E373</f>
        <v>-1315.010000000002</v>
      </c>
      <c r="Q373" s="181">
        <f>+M373-F373</f>
        <v>-6.0000000000002274E-2</v>
      </c>
      <c r="R373" s="9"/>
    </row>
    <row r="374" spans="1:18" x14ac:dyDescent="0.25">
      <c r="A374" s="9" t="s">
        <v>304</v>
      </c>
      <c r="B374" s="9">
        <f>ROW() - ROW(TablaCosechas[[#Headers],[ID]]) - 4</f>
        <v>369</v>
      </c>
      <c r="C374" s="9" t="str">
        <f>LEFT(A374,2)</f>
        <v>PA</v>
      </c>
      <c r="D374" s="182" t="s">
        <v>367</v>
      </c>
      <c r="E374" s="178">
        <v>7000</v>
      </c>
      <c r="F374" s="19">
        <v>17</v>
      </c>
      <c r="G374" s="195">
        <v>45955</v>
      </c>
      <c r="H374" s="9" t="str">
        <f>VLOOKUP(TablaCosechas[[#This Row],[COD]],DATOS!$E$3:$F$26,2,0)</f>
        <v>PAMPANO</v>
      </c>
      <c r="I374" s="9" t="str">
        <f>RIGHT(TablaCosechas[[#This Row],[SECTOR/PISCINA]],2)</f>
        <v>06</v>
      </c>
      <c r="J374" s="9" t="str">
        <f>VLOOKUP(TablaCosechas[[#This Row],[COD]],Tabla7[#All],4,0)</f>
        <v>GUSTAVO CARRASCO</v>
      </c>
      <c r="K374" s="179">
        <f>(TablaCosechas[[#This Row],[libras planta]]*454)/M374</f>
        <v>178214.49378531074</v>
      </c>
      <c r="L374" s="174">
        <v>6948.01</v>
      </c>
      <c r="M374" s="19">
        <v>17.7</v>
      </c>
      <c r="N374" s="9" t="str">
        <f>UPPER(TEXT(TablaCosechas[[#This Row],[COSECHA]],"MMMM"))</f>
        <v>OCTUBRE</v>
      </c>
      <c r="O374" s="9" t="str">
        <f>IF(A374="DO 29","BAP",IF(A374="RO 14","BAP",(VLOOKUP(TablaCosechas[[#This Row],[COD]],Tabla7[[CODIGO]:[CERTIFICACION]],3,0))))</f>
        <v>ASC</v>
      </c>
      <c r="P374" s="180">
        <f>+L374-E374</f>
        <v>-51.989999999999782</v>
      </c>
      <c r="Q374" s="181">
        <f>+M374-F374</f>
        <v>0.69999999999999929</v>
      </c>
      <c r="R374" s="9"/>
    </row>
    <row r="375" spans="1:18" x14ac:dyDescent="0.25">
      <c r="A375" s="9" t="s">
        <v>187</v>
      </c>
      <c r="B375" s="9">
        <f>ROW() - ROW(TablaCosechas[[#Headers],[ID]]) - 4</f>
        <v>370</v>
      </c>
      <c r="C375" s="9" t="str">
        <f>LEFT(A375,2)</f>
        <v>DE</v>
      </c>
      <c r="D375" s="182" t="s">
        <v>366</v>
      </c>
      <c r="E375" s="178">
        <v>12950</v>
      </c>
      <c r="F375" s="19">
        <v>34</v>
      </c>
      <c r="G375" s="195">
        <v>45955</v>
      </c>
      <c r="H375" s="9" t="str">
        <f>VLOOKUP(TablaCosechas[[#This Row],[COD]],DATOS!$E$3:$F$27,2,0)</f>
        <v>DELFIN</v>
      </c>
      <c r="I375" s="9" t="str">
        <f>RIGHT(TablaCosechas[[#This Row],[SECTOR/PISCINA]],2)</f>
        <v>22</v>
      </c>
      <c r="J375" s="9" t="str">
        <f>VLOOKUP(TablaCosechas[[#This Row],[COD]],Tabla7[#All],4,0)</f>
        <v>CARLOS FLORES</v>
      </c>
      <c r="K375" s="179">
        <f>(TablaCosechas[[#This Row],[libras planta]]*454)/M375</f>
        <v>180363.76321839081</v>
      </c>
      <c r="L375" s="174">
        <v>13825.24</v>
      </c>
      <c r="M375" s="19">
        <v>34.799999999999997</v>
      </c>
      <c r="N375" s="9" t="str">
        <f>UPPER(TEXT(TablaCosechas[[#This Row],[COSECHA]],"MMMM"))</f>
        <v>OCTUBRE</v>
      </c>
      <c r="O375" s="9" t="str">
        <f>IF(A375="DO 29","BAP",IF(A375="RO 14","BAP",(VLOOKUP(TablaCosechas[[#This Row],[COD]],Tabla7[[CODIGO]:[CERTIFICACION]],3,0))))</f>
        <v>CONVENCIONAL</v>
      </c>
      <c r="P375" s="180">
        <f>+L375-E375</f>
        <v>875.23999999999978</v>
      </c>
      <c r="Q375" s="181">
        <f>+M375-F375</f>
        <v>0.79999999999999716</v>
      </c>
      <c r="R375" s="9"/>
    </row>
    <row r="376" spans="1:18" x14ac:dyDescent="0.25">
      <c r="A376" s="9" t="s">
        <v>11</v>
      </c>
      <c r="B376" s="9">
        <f>ROW() - ROW(TablaCosechas[[#Headers],[ID]]) - 4</f>
        <v>371</v>
      </c>
      <c r="C376" s="9" t="str">
        <f>LEFT(A376,2)</f>
        <v>CH</v>
      </c>
      <c r="D376" s="182" t="s">
        <v>366</v>
      </c>
      <c r="E376" s="178">
        <v>37650</v>
      </c>
      <c r="F376" s="19">
        <v>32.5</v>
      </c>
      <c r="G376" s="195">
        <v>45955</v>
      </c>
      <c r="H376" s="9" t="str">
        <f>VLOOKUP(TablaCosechas[[#This Row],[COD]],DATOS!$E$3:$F$27,2,0)</f>
        <v>CHERNA</v>
      </c>
      <c r="I376" s="9" t="str">
        <f>RIGHT(TablaCosechas[[#This Row],[SECTOR/PISCINA]],2)</f>
        <v>05</v>
      </c>
      <c r="J376" s="9" t="str">
        <f>VLOOKUP(TablaCosechas[[#This Row],[COD]],Tabla7[#All],4,0)</f>
        <v>SANTIAGO OBRIEN</v>
      </c>
      <c r="K376" s="179">
        <f>(TablaCosechas[[#This Row],[libras planta]]*454)/M376</f>
        <v>490333.172919109</v>
      </c>
      <c r="L376" s="174">
        <v>36850.589999999997</v>
      </c>
      <c r="M376" s="19">
        <v>34.119999999999997</v>
      </c>
      <c r="N376" s="9" t="str">
        <f>UPPER(TEXT(TablaCosechas[[#This Row],[COSECHA]],"MMMM"))</f>
        <v>OCTUBRE</v>
      </c>
      <c r="O376" s="9" t="str">
        <f>IF(A376="DO 29","BAP",IF(A376="RO 14","BAP",(VLOOKUP(TablaCosechas[[#This Row],[COD]],Tabla7[[CODIGO]:[CERTIFICACION]],3,0))))</f>
        <v>ASC</v>
      </c>
      <c r="P376" s="180">
        <f>+L376-E376</f>
        <v>-799.41000000000349</v>
      </c>
      <c r="Q376" s="181">
        <f>+M376-F376</f>
        <v>1.6199999999999974</v>
      </c>
      <c r="R376" s="9"/>
    </row>
    <row r="377" spans="1:18" x14ac:dyDescent="0.25">
      <c r="A377" s="9" t="s">
        <v>236</v>
      </c>
      <c r="B377" s="9">
        <f>ROW() - ROW(TablaCosechas[[#Headers],[ID]]) - 4</f>
        <v>372</v>
      </c>
      <c r="C377" s="9" t="str">
        <f>LEFT(A377,2)</f>
        <v>WA</v>
      </c>
      <c r="D377" s="182" t="s">
        <v>366</v>
      </c>
      <c r="E377" s="178">
        <v>26750</v>
      </c>
      <c r="F377" s="19">
        <v>23.5</v>
      </c>
      <c r="G377" s="195">
        <v>45956</v>
      </c>
      <c r="H377" s="9" t="str">
        <f>VLOOKUP(TablaCosechas[[#This Row],[COD]],DATOS!$E$3:$F$27,2,0)</f>
        <v>WAHOO</v>
      </c>
      <c r="I377" s="9" t="str">
        <f>RIGHT(TablaCosechas[[#This Row],[SECTOR/PISCINA]],2)</f>
        <v>32</v>
      </c>
      <c r="J377" s="9" t="str">
        <f>VLOOKUP(TablaCosechas[[#This Row],[COD]],Tabla7[#All],4,0)</f>
        <v>JUNIOR ESQUIVEL</v>
      </c>
      <c r="K377" s="179">
        <f>(TablaCosechas[[#This Row],[libras planta]]*454)/M377</f>
        <v>467093.10015898244</v>
      </c>
      <c r="L377" s="174">
        <v>25885.599999999999</v>
      </c>
      <c r="M377" s="19">
        <v>25.16</v>
      </c>
      <c r="N377" s="9" t="str">
        <f>UPPER(TEXT(TablaCosechas[[#This Row],[COSECHA]],"MMMM"))</f>
        <v>OCTUBRE</v>
      </c>
      <c r="O377" s="9" t="str">
        <f>IF(A377="DO 29","BAP",IF(A377="RO 14","BAP",(VLOOKUP(TablaCosechas[[#This Row],[COD]],Tabla7[[CODIGO]:[CERTIFICACION]],3,0))))</f>
        <v>CONVENCIONAL</v>
      </c>
      <c r="P377" s="180">
        <f>+L377-E377</f>
        <v>-864.40000000000146</v>
      </c>
      <c r="Q377" s="181">
        <f>+M377-F377</f>
        <v>1.6600000000000001</v>
      </c>
      <c r="R377" s="9"/>
    </row>
    <row r="378" spans="1:18" x14ac:dyDescent="0.25">
      <c r="A378" s="9" t="s">
        <v>188</v>
      </c>
      <c r="B378" s="9">
        <f>ROW() - ROW(TablaCosechas[[#Headers],[ID]]) - 4</f>
        <v>373</v>
      </c>
      <c r="C378" s="9" t="str">
        <f>LEFT(A378,2)</f>
        <v>TI</v>
      </c>
      <c r="D378" s="182" t="s">
        <v>366</v>
      </c>
      <c r="E378" s="178">
        <v>44150</v>
      </c>
      <c r="F378" s="19">
        <v>34.5</v>
      </c>
      <c r="G378" s="195">
        <v>45956</v>
      </c>
      <c r="H378" s="9" t="str">
        <f>VLOOKUP(TablaCosechas[[#This Row],[COD]],DATOS!$E$3:$F$27,2,0)</f>
        <v>TIBURON</v>
      </c>
      <c r="I378" s="9" t="str">
        <f>RIGHT(TablaCosechas[[#This Row],[SECTOR/PISCINA]],2)</f>
        <v>03</v>
      </c>
      <c r="J378" s="9" t="str">
        <f>VLOOKUP(TablaCosechas[[#This Row],[COD]],Tabla7[#All],4,0)</f>
        <v>ALFONSO GRUNAUER</v>
      </c>
      <c r="K378" s="179">
        <f>(TablaCosechas[[#This Row],[libras planta]]*454)/M378</f>
        <v>576573.96939070162</v>
      </c>
      <c r="L378" s="174">
        <v>43979.64</v>
      </c>
      <c r="M378" s="19">
        <v>34.630000000000003</v>
      </c>
      <c r="N378" s="9" t="str">
        <f>UPPER(TEXT(TablaCosechas[[#This Row],[COSECHA]],"MMMM"))</f>
        <v>OCTUBRE</v>
      </c>
      <c r="O378" s="9" t="str">
        <f>IF(A378="DO 29","BAP",IF(A378="RO 14","BAP",(VLOOKUP(TablaCosechas[[#This Row],[COD]],Tabla7[[CODIGO]:[CERTIFICACION]],3,0))))</f>
        <v>ASC</v>
      </c>
      <c r="P378" s="180">
        <f>+L378-E378</f>
        <v>-170.36000000000058</v>
      </c>
      <c r="Q378" s="181">
        <f>+M378-F378</f>
        <v>0.13000000000000256</v>
      </c>
      <c r="R378" s="9"/>
    </row>
    <row r="379" spans="1:18" x14ac:dyDescent="0.25">
      <c r="A379" s="9" t="s">
        <v>168</v>
      </c>
      <c r="B379" s="9">
        <f>ROW() - ROW(TablaCosechas[[#Headers],[ID]]) - 4</f>
        <v>374</v>
      </c>
      <c r="C379" s="9" t="str">
        <f>LEFT(A379,2)</f>
        <v>TA</v>
      </c>
      <c r="D379" s="182" t="s">
        <v>366</v>
      </c>
      <c r="E379" s="178">
        <v>34650</v>
      </c>
      <c r="F379" s="19">
        <v>34</v>
      </c>
      <c r="G379" s="195">
        <v>45956</v>
      </c>
      <c r="H379" s="9" t="str">
        <f>VLOOKUP(TablaCosechas[[#This Row],[COD]],DATOS!$E$3:$F$27,2,0)</f>
        <v>TAMBULERO</v>
      </c>
      <c r="I379" s="9" t="str">
        <f>RIGHT(TablaCosechas[[#This Row],[SECTOR/PISCINA]],2)</f>
        <v>27</v>
      </c>
      <c r="J379" s="9" t="str">
        <f>VLOOKUP(TablaCosechas[[#This Row],[COD]],Tabla7[#All],4,0)</f>
        <v>ALFONSO GRUNAUER</v>
      </c>
      <c r="K379" s="179">
        <f>(TablaCosechas[[#This Row],[libras planta]]*454)/M379</f>
        <v>487945.33532934135</v>
      </c>
      <c r="L379" s="174">
        <v>35897.300000000003</v>
      </c>
      <c r="M379" s="19">
        <v>33.4</v>
      </c>
      <c r="N379" s="9" t="str">
        <f>UPPER(TEXT(TablaCosechas[[#This Row],[COSECHA]],"MMMM"))</f>
        <v>OCTUBRE</v>
      </c>
      <c r="O379" s="9" t="str">
        <f>IF(A379="DO 29","BAP",IF(A379="RO 14","BAP",(VLOOKUP(TablaCosechas[[#This Row],[COD]],Tabla7[[CODIGO]:[CERTIFICACION]],3,0))))</f>
        <v>CONVENCIONAL</v>
      </c>
      <c r="P379" s="180">
        <f>+L379-E379</f>
        <v>1247.3000000000029</v>
      </c>
      <c r="Q379" s="181">
        <f>+M379-F379</f>
        <v>-0.60000000000000142</v>
      </c>
      <c r="R379" s="9"/>
    </row>
    <row r="380" spans="1:18" x14ac:dyDescent="0.25">
      <c r="A380" s="9" t="s">
        <v>165</v>
      </c>
      <c r="B380" s="9">
        <f>ROW() - ROW(TablaCosechas[[#Headers],[ID]]) - 4</f>
        <v>375</v>
      </c>
      <c r="C380" s="9" t="str">
        <f>LEFT(A380,2)</f>
        <v>PR</v>
      </c>
      <c r="D380" s="182" t="s">
        <v>367</v>
      </c>
      <c r="E380" s="178">
        <v>6400</v>
      </c>
      <c r="F380" s="19">
        <v>17</v>
      </c>
      <c r="G380" s="195">
        <v>45956</v>
      </c>
      <c r="H380" s="9" t="str">
        <f>VLOOKUP(TablaCosechas[[#This Row],[COD]],DATOS!$E$3:$F$26,2,0)</f>
        <v>PARGO ROJO</v>
      </c>
      <c r="I380" s="9" t="str">
        <f>RIGHT(TablaCosechas[[#This Row],[SECTOR/PISCINA]],2)</f>
        <v>32</v>
      </c>
      <c r="J380" s="9" t="str">
        <f>VLOOKUP(TablaCosechas[[#This Row],[COD]],Tabla7[#All],4,0)</f>
        <v>WILMER TORRES</v>
      </c>
      <c r="K380" s="179">
        <f>(TablaCosechas[[#This Row],[libras planta]]*454)/M380</f>
        <v>200367.63183475091</v>
      </c>
      <c r="L380" s="174">
        <v>7264.43</v>
      </c>
      <c r="M380" s="19">
        <v>16.46</v>
      </c>
      <c r="N380" s="9" t="str">
        <f>UPPER(TEXT(TablaCosechas[[#This Row],[COSECHA]],"MMMM"))</f>
        <v>OCTUBRE</v>
      </c>
      <c r="O380" s="9" t="str">
        <f>IF(A380="DO 29","BAP",IF(A380="RO 14","BAP",(VLOOKUP(TablaCosechas[[#This Row],[COD]],Tabla7[[CODIGO]:[CERTIFICACION]],3,0))))</f>
        <v>CONVENCIONAL</v>
      </c>
      <c r="P380" s="180">
        <f>+L380-E380</f>
        <v>864.43000000000029</v>
      </c>
      <c r="Q380" s="181">
        <f>+M380-F380</f>
        <v>-0.53999999999999915</v>
      </c>
      <c r="R380" s="9"/>
    </row>
    <row r="381" spans="1:18" x14ac:dyDescent="0.25">
      <c r="A381" s="9" t="s">
        <v>251</v>
      </c>
      <c r="B381" s="9">
        <f>ROW() - ROW(TablaCosechas[[#Headers],[ID]]) - 4</f>
        <v>376</v>
      </c>
      <c r="C381" s="9" t="str">
        <f>LEFT(A381,2)</f>
        <v>PR</v>
      </c>
      <c r="D381" s="182" t="s">
        <v>367</v>
      </c>
      <c r="E381" s="178">
        <v>3600</v>
      </c>
      <c r="F381" s="19">
        <v>16</v>
      </c>
      <c r="G381" s="195">
        <v>45956</v>
      </c>
      <c r="H381" s="9" t="str">
        <f>VLOOKUP(TablaCosechas[[#This Row],[COD]],DATOS!$E$3:$F$26,2,0)</f>
        <v>PARGO ROJO</v>
      </c>
      <c r="I381" s="9" t="str">
        <f>RIGHT(TablaCosechas[[#This Row],[SECTOR/PISCINA]],2)</f>
        <v>01</v>
      </c>
      <c r="J381" s="9" t="str">
        <f>VLOOKUP(TablaCosechas[[#This Row],[COD]],Tabla7[#All],4,0)</f>
        <v>WILMER TORRES</v>
      </c>
      <c r="K381" s="179">
        <f>(TablaCosechas[[#This Row],[libras planta]]*454)/M381</f>
        <v>118090.41225271219</v>
      </c>
      <c r="L381" s="174">
        <v>4075.94</v>
      </c>
      <c r="M381" s="19">
        <v>15.67</v>
      </c>
      <c r="N381" s="9" t="str">
        <f>UPPER(TEXT(TablaCosechas[[#This Row],[COSECHA]],"MMMM"))</f>
        <v>OCTUBRE</v>
      </c>
      <c r="O381" s="9" t="str">
        <f>IF(A381="DO 29","BAP",IF(A381="RO 14","BAP",(VLOOKUP(TablaCosechas[[#This Row],[COD]],Tabla7[[CODIGO]:[CERTIFICACION]],3,0))))</f>
        <v>CONVENCIONAL</v>
      </c>
      <c r="P381" s="180">
        <f>+L381-E381</f>
        <v>475.94000000000005</v>
      </c>
      <c r="Q381" s="181">
        <f>+M381-F381</f>
        <v>-0.33000000000000007</v>
      </c>
      <c r="R381" s="9"/>
    </row>
    <row r="382" spans="1:18" x14ac:dyDescent="0.25">
      <c r="A382" s="9" t="s">
        <v>259</v>
      </c>
      <c r="B382" s="9">
        <f>ROW() - ROW(TablaCosechas[[#Headers],[ID]]) - 4</f>
        <v>377</v>
      </c>
      <c r="C382" s="9" t="str">
        <f>LEFT(A382,2)</f>
        <v>PA</v>
      </c>
      <c r="D382" s="182" t="s">
        <v>367</v>
      </c>
      <c r="E382" s="178">
        <v>7200</v>
      </c>
      <c r="F382" s="19">
        <v>24</v>
      </c>
      <c r="G382" s="195">
        <v>45956</v>
      </c>
      <c r="H382" s="9" t="str">
        <f>VLOOKUP(TablaCosechas[[#This Row],[COD]],DATOS!$E$3:$F$27,2,0)</f>
        <v>PAMPANO</v>
      </c>
      <c r="I382" s="9" t="str">
        <f>RIGHT(TablaCosechas[[#This Row],[SECTOR/PISCINA]],2)</f>
        <v>19</v>
      </c>
      <c r="J382" s="9" t="str">
        <f>VLOOKUP(TablaCosechas[[#This Row],[COD]],Tabla7[#All],4,0)</f>
        <v>GUSTAVO CARRASCO</v>
      </c>
      <c r="K382" s="179">
        <f>(TablaCosechas[[#This Row],[libras planta]]*454)/M382</f>
        <v>115126.28418640184</v>
      </c>
      <c r="L382" s="174">
        <v>6638.78</v>
      </c>
      <c r="M382" s="19">
        <v>26.18</v>
      </c>
      <c r="N382" s="9" t="str">
        <f>UPPER(TEXT(TablaCosechas[[#This Row],[COSECHA]],"MMMM"))</f>
        <v>OCTUBRE</v>
      </c>
      <c r="O382" s="9" t="str">
        <f>IF(A382="DO 29","BAP",IF(A382="RO 14","BAP",(VLOOKUP(TablaCosechas[[#This Row],[COD]],Tabla7[[CODIGO]:[CERTIFICACION]],3,0))))</f>
        <v>ASC</v>
      </c>
      <c r="P382" s="180">
        <f>+L382-E382</f>
        <v>-561.22000000000025</v>
      </c>
      <c r="Q382" s="181">
        <f>+M382-F382</f>
        <v>2.1799999999999997</v>
      </c>
      <c r="R382" s="9"/>
    </row>
    <row r="383" spans="1:18" x14ac:dyDescent="0.25">
      <c r="A383" s="9" t="s">
        <v>238</v>
      </c>
      <c r="B383" s="9">
        <f>ROW() - ROW(TablaCosechas[[#Headers],[ID]]) - 4</f>
        <v>378</v>
      </c>
      <c r="C383" s="9" t="str">
        <f>LEFT(A383,2)</f>
        <v>GT</v>
      </c>
      <c r="D383" s="182" t="s">
        <v>367</v>
      </c>
      <c r="E383" s="178">
        <v>10450</v>
      </c>
      <c r="F383" s="19">
        <v>21</v>
      </c>
      <c r="G383" s="195">
        <v>45956</v>
      </c>
      <c r="H383" s="9" t="str">
        <f>VLOOKUP(TablaCosechas[[#This Row],[COD]],DATOS!$E$3:$F$26,2,0)</f>
        <v>GUATO</v>
      </c>
      <c r="I383" s="9" t="str">
        <f>RIGHT(TablaCosechas[[#This Row],[SECTOR/PISCINA]],2)</f>
        <v>06</v>
      </c>
      <c r="J383" s="9" t="str">
        <f>VLOOKUP(TablaCosechas[[#This Row],[COD]],Tabla7[#All],4,0)</f>
        <v>JULIO SANTOS</v>
      </c>
      <c r="K383" s="179">
        <f>(TablaCosechas[[#This Row],[libras planta]]*454)/M383</f>
        <v>216854.35574468086</v>
      </c>
      <c r="L383" s="174">
        <v>11224.84</v>
      </c>
      <c r="M383" s="19">
        <v>23.5</v>
      </c>
      <c r="N383" s="9" t="str">
        <f>UPPER(TEXT(TablaCosechas[[#This Row],[COSECHA]],"MMMM"))</f>
        <v>OCTUBRE</v>
      </c>
      <c r="O383" s="9" t="str">
        <f>IF(A383="DO 29","BAP",IF(A383="RO 14","BAP",(VLOOKUP(TablaCosechas[[#This Row],[COD]],Tabla7[[CODIGO]:[CERTIFICACION]],3,0))))</f>
        <v>CONVENCIONAL</v>
      </c>
      <c r="P383" s="180">
        <f>+L383-E383</f>
        <v>774.84000000000015</v>
      </c>
      <c r="Q383" s="181">
        <f>+M383-F383</f>
        <v>2.5</v>
      </c>
      <c r="R383" s="9"/>
    </row>
    <row r="384" spans="1:18" x14ac:dyDescent="0.25">
      <c r="A384" s="9" t="s">
        <v>182</v>
      </c>
      <c r="B384" s="9">
        <f>ROW() - ROW(TablaCosechas[[#Headers],[ID]]) - 4</f>
        <v>379</v>
      </c>
      <c r="C384" s="9" t="str">
        <f>LEFT(A384,2)</f>
        <v>DE</v>
      </c>
      <c r="D384" s="182" t="s">
        <v>366</v>
      </c>
      <c r="E384" s="178">
        <f>24300+2200</f>
        <v>26500</v>
      </c>
      <c r="F384" s="19">
        <v>34</v>
      </c>
      <c r="G384" s="195">
        <v>45956</v>
      </c>
      <c r="H384" s="9" t="str">
        <f>VLOOKUP(TablaCosechas[[#This Row],[COD]],DATOS!$E$3:$F$27,2,0)</f>
        <v>DELFIN</v>
      </c>
      <c r="I384" s="9" t="str">
        <f>RIGHT(TablaCosechas[[#This Row],[SECTOR/PISCINA]],2)</f>
        <v>24</v>
      </c>
      <c r="J384" s="9" t="str">
        <f>VLOOKUP(TablaCosechas[[#This Row],[COD]],Tabla7[#All],4,0)</f>
        <v>CARLOS FLORES</v>
      </c>
      <c r="K384" s="179">
        <f>(TablaCosechas[[#This Row],[libras planta]]*454)/M384</f>
        <v>400691.90554041782</v>
      </c>
      <c r="L384" s="174">
        <f>26353.64+2798.02</f>
        <v>29151.66</v>
      </c>
      <c r="M384" s="19">
        <v>33.03</v>
      </c>
      <c r="N384" s="9" t="str">
        <f>UPPER(TEXT(TablaCosechas[[#This Row],[COSECHA]],"MMMM"))</f>
        <v>OCTUBRE</v>
      </c>
      <c r="O384" s="9" t="str">
        <f>IF(A384="DO 29","BAP",IF(A384="RO 14","BAP",(VLOOKUP(TablaCosechas[[#This Row],[COD]],Tabla7[[CODIGO]:[CERTIFICACION]],3,0))))</f>
        <v>CONVENCIONAL</v>
      </c>
      <c r="P384" s="180">
        <f>+L384-E384</f>
        <v>2651.66</v>
      </c>
      <c r="Q384" s="181">
        <f>+M384-F384</f>
        <v>-0.96999999999999886</v>
      </c>
      <c r="R384" s="9"/>
    </row>
    <row r="385" spans="1:18" x14ac:dyDescent="0.25">
      <c r="A385" s="9" t="s">
        <v>277</v>
      </c>
      <c r="B385" s="9">
        <f>ROW() - ROW(TablaCosechas[[#Headers],[ID]]) - 4</f>
        <v>380</v>
      </c>
      <c r="C385" s="9" t="str">
        <f>LEFT(A385,2)</f>
        <v>CA</v>
      </c>
      <c r="D385" s="182" t="s">
        <v>367</v>
      </c>
      <c r="E385" s="178">
        <v>13600</v>
      </c>
      <c r="F385" s="19">
        <v>18</v>
      </c>
      <c r="G385" s="195">
        <v>45956</v>
      </c>
      <c r="H385" s="9" t="str">
        <f>VLOOKUP(TablaCosechas[[#This Row],[COD]],DATOS!$E$3:$F$27,2,0)</f>
        <v>CATANUDA</v>
      </c>
      <c r="I385" s="9" t="str">
        <f>RIGHT(TablaCosechas[[#This Row],[SECTOR/PISCINA]],2)</f>
        <v>05</v>
      </c>
      <c r="J385" s="9" t="str">
        <f>VLOOKUP(TablaCosechas[[#This Row],[COD]],Tabla7[#All],4,0)</f>
        <v>VICTOR QUINTANA</v>
      </c>
      <c r="K385" s="179">
        <f>(TablaCosechas[[#This Row],[libras planta]]*454)/M385</f>
        <v>262519.47937131632</v>
      </c>
      <c r="L385" s="174">
        <v>11772.9</v>
      </c>
      <c r="M385" s="19">
        <v>20.36</v>
      </c>
      <c r="N385" s="9" t="str">
        <f>UPPER(TEXT(TablaCosechas[[#This Row],[COSECHA]],"MMMM"))</f>
        <v>OCTUBRE</v>
      </c>
      <c r="O385" s="9" t="str">
        <f>IF(A385="DO 29","BAP",IF(A385="RO 14","BAP",(VLOOKUP(TablaCosechas[[#This Row],[COD]],Tabla7[[CODIGO]:[CERTIFICACION]],3,0))))</f>
        <v>ASC</v>
      </c>
      <c r="P385" s="180">
        <f>+L385-E385</f>
        <v>-1827.1000000000004</v>
      </c>
      <c r="Q385" s="181">
        <f>+M385-F385</f>
        <v>2.3599999999999994</v>
      </c>
      <c r="R385" s="9"/>
    </row>
    <row r="386" spans="1:18" x14ac:dyDescent="0.25">
      <c r="A386" s="9" t="s">
        <v>195</v>
      </c>
      <c r="B386" s="9">
        <f>ROW() - ROW(TablaCosechas[[#Headers],[ID]]) - 4</f>
        <v>381</v>
      </c>
      <c r="C386" s="9" t="str">
        <f>LEFT(A386,2)</f>
        <v>TU</v>
      </c>
      <c r="D386" s="182" t="s">
        <v>366</v>
      </c>
      <c r="E386" s="178">
        <v>1100</v>
      </c>
      <c r="F386" s="19">
        <v>30</v>
      </c>
      <c r="G386" s="195">
        <v>45957</v>
      </c>
      <c r="H386" s="9" t="str">
        <f>VLOOKUP(TablaCosechas[[#This Row],[COD]],DATOS!$E$3:$F$27,2,0)</f>
        <v>TUNA</v>
      </c>
      <c r="I386" s="9" t="str">
        <f>RIGHT(TablaCosechas[[#This Row],[SECTOR/PISCINA]],2)</f>
        <v>01</v>
      </c>
      <c r="J386" s="9" t="str">
        <f>VLOOKUP(TablaCosechas[[#This Row],[COD]],Tabla7[#All],4,0)</f>
        <v>GUSTAVO CARRASCO</v>
      </c>
      <c r="K386" s="179">
        <f>(TablaCosechas[[#This Row],[libras planta]]*454)/M386</f>
        <v>16391.748544021924</v>
      </c>
      <c r="L386" s="174">
        <v>1053.9100000000001</v>
      </c>
      <c r="M386" s="19">
        <v>29.19</v>
      </c>
      <c r="N386" s="9" t="str">
        <f>UPPER(TEXT(TablaCosechas[[#This Row],[COSECHA]],"MMMM"))</f>
        <v>OCTUBRE</v>
      </c>
      <c r="O386" s="9" t="str">
        <f>IF(A386="DO 29","BAP",IF(A386="RO 14","BAP",(VLOOKUP(TablaCosechas[[#This Row],[COD]],Tabla7[[CODIGO]:[CERTIFICACION]],3,0))))</f>
        <v>ASC</v>
      </c>
      <c r="P386" s="180">
        <f>+L386-E386</f>
        <v>-46.089999999999918</v>
      </c>
      <c r="Q386" s="181">
        <f>+M386-F386</f>
        <v>-0.80999999999999872</v>
      </c>
      <c r="R386" s="9"/>
    </row>
    <row r="387" spans="1:18" x14ac:dyDescent="0.25">
      <c r="A387" s="9" t="s">
        <v>239</v>
      </c>
      <c r="B387" s="9">
        <f>ROW() - ROW(TablaCosechas[[#Headers],[ID]]) - 4</f>
        <v>382</v>
      </c>
      <c r="C387" s="9" t="str">
        <f>LEFT(A387,2)</f>
        <v>TA</v>
      </c>
      <c r="D387" s="182" t="s">
        <v>367</v>
      </c>
      <c r="E387" s="178">
        <v>25000</v>
      </c>
      <c r="F387" s="19">
        <v>23.5</v>
      </c>
      <c r="G387" s="195">
        <v>45957</v>
      </c>
      <c r="H387" s="9" t="str">
        <f>VLOOKUP(TablaCosechas[[#This Row],[COD]],DATOS!$E$3:$F$26,2,0)</f>
        <v>TAMBULERO</v>
      </c>
      <c r="I387" s="9" t="str">
        <f>RIGHT(TablaCosechas[[#This Row],[SECTOR/PISCINA]],2)</f>
        <v>7A</v>
      </c>
      <c r="J387" s="9" t="str">
        <f>VLOOKUP(TablaCosechas[[#This Row],[COD]],Tabla7[#All],4,0)</f>
        <v>ALFONSO GRUNAUER</v>
      </c>
      <c r="K387" s="179">
        <f>(TablaCosechas[[#This Row],[libras planta]]*454)/M387</f>
        <v>426860.61041009467</v>
      </c>
      <c r="L387" s="174">
        <v>23844.02</v>
      </c>
      <c r="M387" s="19">
        <v>25.36</v>
      </c>
      <c r="N387" s="9" t="str">
        <f>UPPER(TEXT(TablaCosechas[[#This Row],[COSECHA]],"MMMM"))</f>
        <v>OCTUBRE</v>
      </c>
      <c r="O387" s="9" t="str">
        <f>IF(A387="DO 29","BAP",IF(A387="RO 14","BAP",(VLOOKUP(TablaCosechas[[#This Row],[COD]],Tabla7[[CODIGO]:[CERTIFICACION]],3,0))))</f>
        <v>CONVENCIONAL</v>
      </c>
      <c r="P387" s="180">
        <f>+L387-E387</f>
        <v>-1155.9799999999996</v>
      </c>
      <c r="Q387" s="181">
        <f>+M387-F387</f>
        <v>1.8599999999999994</v>
      </c>
      <c r="R387" s="9"/>
    </row>
    <row r="388" spans="1:18" x14ac:dyDescent="0.25">
      <c r="A388" s="9" t="s">
        <v>255</v>
      </c>
      <c r="B388" s="9">
        <f>ROW() - ROW(TablaCosechas[[#Headers],[ID]]) - 4</f>
        <v>383</v>
      </c>
      <c r="C388" s="9" t="str">
        <f>LEFT(A388,2)</f>
        <v>RO</v>
      </c>
      <c r="D388" s="182" t="s">
        <v>367</v>
      </c>
      <c r="E388" s="178">
        <v>6600</v>
      </c>
      <c r="F388" s="19">
        <v>18</v>
      </c>
      <c r="G388" s="195">
        <v>45957</v>
      </c>
      <c r="H388" s="9" t="str">
        <f>VLOOKUP(TablaCosechas[[#This Row],[COD]],DATOS!$E$3:$F$27,2,0)</f>
        <v>ROBALO</v>
      </c>
      <c r="I388" s="9" t="str">
        <f>RIGHT(TablaCosechas[[#This Row],[SECTOR/PISCINA]],2)</f>
        <v>10</v>
      </c>
      <c r="J388" s="9" t="str">
        <f>VLOOKUP(TablaCosechas[[#This Row],[COD]],Tabla7[#All],4,0)</f>
        <v>VICTOR QUINTANA</v>
      </c>
      <c r="K388" s="179">
        <f>(TablaCosechas[[#This Row],[libras planta]]*454)/M388</f>
        <v>150496.05956471935</v>
      </c>
      <c r="L388" s="174">
        <v>5787.8</v>
      </c>
      <c r="M388" s="19">
        <v>17.46</v>
      </c>
      <c r="N388" s="9" t="str">
        <f>UPPER(TEXT(TablaCosechas[[#This Row],[COSECHA]],"MMMM"))</f>
        <v>OCTUBRE</v>
      </c>
      <c r="O388" s="9" t="str">
        <f>IF(A388="DO 29","BAP",IF(A388="RO 14","BAP",(VLOOKUP(TablaCosechas[[#This Row],[COD]],Tabla7[[CODIGO]:[CERTIFICACION]],3,0))))</f>
        <v>ASC</v>
      </c>
      <c r="P388" s="180">
        <f>+L388-E388</f>
        <v>-812.19999999999982</v>
      </c>
      <c r="Q388" s="181">
        <f>+M388-F388</f>
        <v>-0.53999999999999915</v>
      </c>
      <c r="R388" s="9"/>
    </row>
    <row r="389" spans="1:18" x14ac:dyDescent="0.25">
      <c r="A389" s="9" t="s">
        <v>15</v>
      </c>
      <c r="B389" s="9">
        <f>ROW() - ROW(TablaCosechas[[#Headers],[ID]]) - 4</f>
        <v>384</v>
      </c>
      <c r="C389" s="9" t="str">
        <f>LEFT(A389,2)</f>
        <v>CH</v>
      </c>
      <c r="D389" s="182" t="s">
        <v>367</v>
      </c>
      <c r="E389" s="178">
        <v>12400</v>
      </c>
      <c r="F389" s="19">
        <v>19</v>
      </c>
      <c r="G389" s="195">
        <v>45957</v>
      </c>
      <c r="H389" s="9" t="str">
        <f>VLOOKUP(TablaCosechas[[#This Row],[COD]],DATOS!$E$3:$F$27,2,0)</f>
        <v>CHERNA</v>
      </c>
      <c r="I389" s="9" t="str">
        <f>RIGHT(TablaCosechas[[#This Row],[SECTOR/PISCINA]],2)</f>
        <v>09</v>
      </c>
      <c r="J389" s="9" t="str">
        <f>VLOOKUP(TablaCosechas[[#This Row],[COD]],Tabla7[#All],4,0)</f>
        <v>SANTIAGO OBRIEN</v>
      </c>
      <c r="K389" s="179">
        <f>(TablaCosechas[[#This Row],[libras planta]]*454)/M389</f>
        <v>288542.80109289614</v>
      </c>
      <c r="L389" s="174">
        <v>11630.69</v>
      </c>
      <c r="M389" s="19">
        <v>18.3</v>
      </c>
      <c r="N389" s="9" t="str">
        <f>UPPER(TEXT(TablaCosechas[[#This Row],[COSECHA]],"MMMM"))</f>
        <v>OCTUBRE</v>
      </c>
      <c r="O389" s="9" t="str">
        <f>IF(A389="DO 29","BAP",IF(A389="RO 14","BAP",(VLOOKUP(TablaCosechas[[#This Row],[COD]],Tabla7[[CODIGO]:[CERTIFICACION]],3,0))))</f>
        <v>ASC</v>
      </c>
      <c r="P389" s="180">
        <f>+L389-E389</f>
        <v>-769.30999999999949</v>
      </c>
      <c r="Q389" s="181">
        <f>+M389-F389</f>
        <v>-0.69999999999999929</v>
      </c>
      <c r="R389" s="9"/>
    </row>
    <row r="390" spans="1:18" x14ac:dyDescent="0.25">
      <c r="A390" s="9" t="s">
        <v>198</v>
      </c>
      <c r="B390" s="9">
        <f>ROW() - ROW(TablaCosechas[[#Headers],[ID]]) - 4</f>
        <v>385</v>
      </c>
      <c r="C390" s="9" t="str">
        <f>LEFT(A390,2)</f>
        <v>RO</v>
      </c>
      <c r="D390" s="182" t="s">
        <v>366</v>
      </c>
      <c r="E390" s="178">
        <v>43700</v>
      </c>
      <c r="F390" s="19">
        <v>33</v>
      </c>
      <c r="G390" s="195">
        <v>45958</v>
      </c>
      <c r="H390" s="9" t="str">
        <f>VLOOKUP(TablaCosechas[[#This Row],[COD]],DATOS!$E$3:$F$27,2,0)</f>
        <v>ROBALO</v>
      </c>
      <c r="I390" s="9" t="str">
        <f>RIGHT(TablaCosechas[[#This Row],[SECTOR/PISCINA]],2)</f>
        <v>14</v>
      </c>
      <c r="J390" s="9" t="str">
        <f>VLOOKUP(TablaCosechas[[#This Row],[COD]],Tabla7[#All],4,0)</f>
        <v>VICTOR QUINTANA</v>
      </c>
      <c r="K390" s="179">
        <f>(TablaCosechas[[#This Row],[libras planta]]*454)/M390</f>
        <v>617049.65012406942</v>
      </c>
      <c r="L390" s="174">
        <v>43818.68</v>
      </c>
      <c r="M390" s="19">
        <v>32.24</v>
      </c>
      <c r="N390" s="9" t="str">
        <f>UPPER(TEXT(TablaCosechas[[#This Row],[COSECHA]],"MMMM"))</f>
        <v>OCTUBRE</v>
      </c>
      <c r="O390" s="9" t="str">
        <f>IF(A390="DO 29","BAP",IF(A390="RO 14","BAP",(VLOOKUP(TablaCosechas[[#This Row],[COD]],Tabla7[[CODIGO]:[CERTIFICACION]],3,0))))</f>
        <v>BAP</v>
      </c>
      <c r="P390" s="180">
        <f>+L390-E390</f>
        <v>118.68000000000029</v>
      </c>
      <c r="Q390" s="181">
        <f>+M390-F390</f>
        <v>-0.75999999999999801</v>
      </c>
      <c r="R390" s="9"/>
    </row>
    <row r="391" spans="1:18" x14ac:dyDescent="0.25">
      <c r="A391" s="9" t="s">
        <v>141</v>
      </c>
      <c r="B391" s="9">
        <f>ROW() - ROW(TablaCosechas[[#Headers],[ID]]) - 4</f>
        <v>386</v>
      </c>
      <c r="C391" s="9" t="str">
        <f>LEFT(A391,2)</f>
        <v>PR</v>
      </c>
      <c r="D391" s="182" t="s">
        <v>366</v>
      </c>
      <c r="E391" s="178">
        <v>8000</v>
      </c>
      <c r="F391" s="19">
        <v>26</v>
      </c>
      <c r="G391" s="195">
        <v>45958</v>
      </c>
      <c r="H391" s="9" t="str">
        <f>VLOOKUP(TablaCosechas[[#This Row],[COD]],DATOS!$E$3:$F$27,2,0)</f>
        <v>PARGO ROJO</v>
      </c>
      <c r="I391" s="9" t="str">
        <f>RIGHT(TablaCosechas[[#This Row],[SECTOR/PISCINA]],2)</f>
        <v>21</v>
      </c>
      <c r="J391" s="9" t="str">
        <f>VLOOKUP(TablaCosechas[[#This Row],[COD]],Tabla7[#All],4,0)</f>
        <v>WILMER TORRES</v>
      </c>
      <c r="K391" s="179">
        <f>(TablaCosechas[[#This Row],[libras planta]]*454)/M391</f>
        <v>159814.70605613</v>
      </c>
      <c r="L391" s="174">
        <v>9532.56</v>
      </c>
      <c r="M391" s="19">
        <v>27.08</v>
      </c>
      <c r="N391" s="9" t="str">
        <f>UPPER(TEXT(TablaCosechas[[#This Row],[COSECHA]],"MMMM"))</f>
        <v>OCTUBRE</v>
      </c>
      <c r="O391" s="9" t="str">
        <f>IF(A391="DO 29","BAP",IF(A391="RO 14","BAP",(VLOOKUP(TablaCosechas[[#This Row],[COD]],Tabla7[[CODIGO]:[CERTIFICACION]],3,0))))</f>
        <v>CONVENCIONAL</v>
      </c>
      <c r="P391" s="180">
        <f>+L391-E391</f>
        <v>1532.5599999999995</v>
      </c>
      <c r="Q391" s="181">
        <f>+M391-F391</f>
        <v>1.0799999999999983</v>
      </c>
      <c r="R391" s="9"/>
    </row>
    <row r="392" spans="1:18" x14ac:dyDescent="0.25">
      <c r="A392" s="9" t="s">
        <v>220</v>
      </c>
      <c r="B392" s="9">
        <f>ROW() - ROW(TablaCosechas[[#Headers],[ID]]) - 4</f>
        <v>387</v>
      </c>
      <c r="C392" s="9" t="str">
        <f>LEFT(A392,2)</f>
        <v>DO</v>
      </c>
      <c r="D392" s="182" t="s">
        <v>367</v>
      </c>
      <c r="E392" s="178">
        <v>12000</v>
      </c>
      <c r="F392" s="19">
        <v>31</v>
      </c>
      <c r="G392" s="195">
        <v>45958</v>
      </c>
      <c r="H392" s="9" t="str">
        <f>VLOOKUP(TablaCosechas[[#This Row],[COD]],DATOS!$E$3:$F$27,2,0)</f>
        <v>DORADO</v>
      </c>
      <c r="I392" s="9" t="str">
        <f>RIGHT(TablaCosechas[[#This Row],[SECTOR/PISCINA]],2)</f>
        <v>13</v>
      </c>
      <c r="J392" s="9" t="str">
        <f>VLOOKUP(TablaCosechas[[#This Row],[COD]],Tabla7[#All],4,0)</f>
        <v>JOSE CEDEÑO</v>
      </c>
      <c r="K392" s="179">
        <f>(TablaCosechas[[#This Row],[libras planta]]*454)/M392</f>
        <v>187642.3575091575</v>
      </c>
      <c r="L392" s="174">
        <v>11283.34</v>
      </c>
      <c r="M392" s="19">
        <v>27.3</v>
      </c>
      <c r="N392" s="9" t="str">
        <f>UPPER(TEXT(TablaCosechas[[#This Row],[COSECHA]],"MMMM"))</f>
        <v>OCTUBRE</v>
      </c>
      <c r="O392" s="9" t="str">
        <f>IF(A392="DO 29","BAP",IF(A392="RO 14","BAP",(VLOOKUP(TablaCosechas[[#This Row],[COD]],Tabla7[[CODIGO]:[CERTIFICACION]],3,0))))</f>
        <v>ASC</v>
      </c>
      <c r="P392" s="180">
        <f>+L392-E392</f>
        <v>-716.65999999999985</v>
      </c>
      <c r="Q392" s="181">
        <f>+M392-F392</f>
        <v>-3.6999999999999993</v>
      </c>
      <c r="R392" s="9"/>
    </row>
    <row r="393" spans="1:18" x14ac:dyDescent="0.25">
      <c r="A393" s="9" t="s">
        <v>19</v>
      </c>
      <c r="B393" s="9">
        <f>ROW() - ROW(TablaCosechas[[#Headers],[ID]]) - 4</f>
        <v>388</v>
      </c>
      <c r="C393" s="9" t="str">
        <f>LEFT(A393,2)</f>
        <v>CH</v>
      </c>
      <c r="D393" s="182" t="s">
        <v>367</v>
      </c>
      <c r="E393" s="178">
        <v>10500</v>
      </c>
      <c r="F393" s="19">
        <v>18</v>
      </c>
      <c r="G393" s="195">
        <v>45958</v>
      </c>
      <c r="H393" s="9" t="str">
        <f>VLOOKUP(TablaCosechas[[#This Row],[COD]],DATOS!$E$3:$F$27,2,0)</f>
        <v>CHERNA</v>
      </c>
      <c r="I393" s="9" t="str">
        <f>RIGHT(TablaCosechas[[#This Row],[SECTOR/PISCINA]],2)</f>
        <v>13</v>
      </c>
      <c r="J393" s="9" t="str">
        <f>VLOOKUP(TablaCosechas[[#This Row],[COD]],Tabla7[#All],4,0)</f>
        <v>SANTIAGO OBRIEN</v>
      </c>
      <c r="K393" s="179">
        <f>(TablaCosechas[[#This Row],[libras planta]]*454)/M393</f>
        <v>308273.72652582166</v>
      </c>
      <c r="L393" s="174">
        <v>11570.45</v>
      </c>
      <c r="M393" s="19">
        <v>17.04</v>
      </c>
      <c r="N393" s="9" t="str">
        <f>UPPER(TEXT(TablaCosechas[[#This Row],[COSECHA]],"MMMM"))</f>
        <v>OCTUBRE</v>
      </c>
      <c r="O393" s="9" t="str">
        <f>IF(A393="DO 29","BAP",IF(A393="RO 14","BAP",(VLOOKUP(TablaCosechas[[#This Row],[COD]],Tabla7[[CODIGO]:[CERTIFICACION]],3,0))))</f>
        <v>ASC</v>
      </c>
      <c r="P393" s="180">
        <f>+L393-E393</f>
        <v>1070.4500000000007</v>
      </c>
      <c r="Q393" s="181">
        <f>+M393-F393</f>
        <v>-0.96000000000000085</v>
      </c>
      <c r="R393" s="9"/>
    </row>
    <row r="394" spans="1:18" x14ac:dyDescent="0.25">
      <c r="A394" s="9" t="s">
        <v>209</v>
      </c>
      <c r="B394" s="9">
        <f>ROW() - ROW(TablaCosechas[[#Headers],[ID]]) - 4</f>
        <v>389</v>
      </c>
      <c r="C394" s="9" t="str">
        <f>LEFT(A394,2)</f>
        <v>BA</v>
      </c>
      <c r="D394" s="182" t="s">
        <v>366</v>
      </c>
      <c r="E394" s="178">
        <v>13550</v>
      </c>
      <c r="F394" s="19">
        <v>33</v>
      </c>
      <c r="G394" s="195">
        <v>45958</v>
      </c>
      <c r="H394" s="9" t="str">
        <f>VLOOKUP(TablaCosechas[[#This Row],[COD]],DATOS!$E$3:$F$27,2,0)</f>
        <v>BARRACUDA</v>
      </c>
      <c r="I394" s="9" t="str">
        <f>RIGHT(TablaCosechas[[#This Row],[SECTOR/PISCINA]],2)</f>
        <v>05</v>
      </c>
      <c r="J394" s="9" t="str">
        <f>VLOOKUP(TablaCosechas[[#This Row],[COD]],Tabla7[#All],4,0)</f>
        <v>GUSTAVO CARRASCO</v>
      </c>
      <c r="K394" s="179">
        <f>(TablaCosechas[[#This Row],[libras planta]]*454)/M394</f>
        <v>178220.63329452852</v>
      </c>
      <c r="L394" s="174">
        <v>13488.24</v>
      </c>
      <c r="M394" s="19">
        <v>34.36</v>
      </c>
      <c r="N394" s="9" t="str">
        <f>UPPER(TEXT(TablaCosechas[[#This Row],[COSECHA]],"MMMM"))</f>
        <v>OCTUBRE</v>
      </c>
      <c r="O394" s="9" t="str">
        <f>IF(A394="DO 29","BAP",IF(A394="RO 14","BAP",(VLOOKUP(TablaCosechas[[#This Row],[COD]],Tabla7[[CODIGO]:[CERTIFICACION]],3,0))))</f>
        <v>CONVENCIONAL</v>
      </c>
      <c r="P394" s="180">
        <f>+L394-E394</f>
        <v>-61.760000000000218</v>
      </c>
      <c r="Q394" s="181">
        <f>+M394-F394</f>
        <v>1.3599999999999994</v>
      </c>
      <c r="R394" s="9"/>
    </row>
    <row r="395" spans="1:18" x14ac:dyDescent="0.25">
      <c r="A395" s="9" t="s">
        <v>373</v>
      </c>
      <c r="B395" s="9">
        <f>ROW() - ROW(TablaCosechas[[#Headers],[ID]]) - 4</f>
        <v>390</v>
      </c>
      <c r="C395" s="9" t="str">
        <f>LEFT(A395,2)</f>
        <v>WA</v>
      </c>
      <c r="D395" s="182" t="s">
        <v>367</v>
      </c>
      <c r="E395" s="178">
        <v>5600</v>
      </c>
      <c r="F395" s="19">
        <v>17.5</v>
      </c>
      <c r="G395" s="195">
        <v>45959</v>
      </c>
      <c r="H395" s="9" t="str">
        <f>VLOOKUP(TablaCosechas[[#This Row],[COD]],DATOS!$E$3:$F$27,2,0)</f>
        <v>WAHOO</v>
      </c>
      <c r="I395" s="9" t="str">
        <f>RIGHT(TablaCosechas[[#This Row],[SECTOR/PISCINA]],2)</f>
        <v>22</v>
      </c>
      <c r="J395" s="9" t="str">
        <f>VLOOKUP(TablaCosechas[[#This Row],[COD]],Tabla7[#All],4,0)</f>
        <v>JUNIOR ESQUIVEL</v>
      </c>
      <c r="K395" s="179">
        <f>(TablaCosechas[[#This Row],[libras planta]]*454)/M395</f>
        <v>147540.76325524045</v>
      </c>
      <c r="L395" s="174">
        <v>5271.17</v>
      </c>
      <c r="M395" s="19">
        <v>16.22</v>
      </c>
      <c r="N395" s="9" t="str">
        <f>UPPER(TEXT(TablaCosechas[[#This Row],[COSECHA]],"MMMM"))</f>
        <v>OCTUBRE</v>
      </c>
      <c r="O395" s="9" t="str">
        <f>IF(A395="DO 29","BAP",IF(A395="RO 14","BAP",(VLOOKUP(TablaCosechas[[#This Row],[COD]],Tabla7[[CODIGO]:[CERTIFICACION]],3,0))))</f>
        <v>CONVENCIONAL</v>
      </c>
      <c r="P395" s="180">
        <f>+L395-E395</f>
        <v>-328.82999999999993</v>
      </c>
      <c r="Q395" s="181">
        <f>+M395-F395</f>
        <v>-1.2800000000000011</v>
      </c>
      <c r="R395" s="9"/>
    </row>
    <row r="396" spans="1:18" x14ac:dyDescent="0.25">
      <c r="A396" s="9" t="s">
        <v>348</v>
      </c>
      <c r="B396" s="9">
        <f>ROW() - ROW(TablaCosechas[[#Headers],[ID]]) - 4</f>
        <v>391</v>
      </c>
      <c r="C396" s="9" t="str">
        <f>LEFT(A396,2)</f>
        <v>WA</v>
      </c>
      <c r="D396" s="182" t="s">
        <v>366</v>
      </c>
      <c r="E396" s="178">
        <v>10600</v>
      </c>
      <c r="F396" s="19">
        <v>18.5</v>
      </c>
      <c r="G396" s="195">
        <v>45959</v>
      </c>
      <c r="H396" s="9" t="str">
        <f>VLOOKUP(TablaCosechas[[#This Row],[COD]],DATOS!$E$3:$F$27,2,0)</f>
        <v>WAHOO</v>
      </c>
      <c r="I396" s="9" t="str">
        <f>RIGHT(TablaCosechas[[#This Row],[SECTOR/PISCINA]],2)</f>
        <v>10</v>
      </c>
      <c r="J396" s="9" t="str">
        <f>VLOOKUP(TablaCosechas[[#This Row],[COD]],Tabla7[#All],4,0)</f>
        <v>JUNIOR ESQUIVEL</v>
      </c>
      <c r="K396" s="179">
        <f>(TablaCosechas[[#This Row],[libras planta]]*454)/M396</f>
        <v>281943.23758228606</v>
      </c>
      <c r="L396" s="174">
        <v>10377.25</v>
      </c>
      <c r="M396" s="19">
        <v>16.71</v>
      </c>
      <c r="N396" s="9" t="str">
        <f>UPPER(TEXT(TablaCosechas[[#This Row],[COSECHA]],"MMMM"))</f>
        <v>OCTUBRE</v>
      </c>
      <c r="O396" s="9" t="str">
        <f>IF(A396="DO 29","BAP",IF(A396="RO 14","BAP",(VLOOKUP(TablaCosechas[[#This Row],[COD]],Tabla7[[CODIGO]:[CERTIFICACION]],3,0))))</f>
        <v>CONVENCIONAL</v>
      </c>
      <c r="P396" s="180">
        <f>+L396-E396</f>
        <v>-222.75</v>
      </c>
      <c r="Q396" s="181">
        <f>+M396-F396</f>
        <v>-1.7899999999999991</v>
      </c>
      <c r="R396" s="9"/>
    </row>
    <row r="397" spans="1:18" x14ac:dyDescent="0.25">
      <c r="A397" s="9" t="s">
        <v>139</v>
      </c>
      <c r="B397" s="9">
        <f>ROW() - ROW(TablaCosechas[[#Headers],[ID]]) - 4</f>
        <v>392</v>
      </c>
      <c r="C397" s="9" t="str">
        <f>LEFT(A397,2)</f>
        <v>PR</v>
      </c>
      <c r="D397" s="182" t="s">
        <v>366</v>
      </c>
      <c r="E397" s="178">
        <f>22500+2400</f>
        <v>24900</v>
      </c>
      <c r="F397" s="19">
        <v>26</v>
      </c>
      <c r="G397" s="195">
        <v>45959</v>
      </c>
      <c r="H397" s="9" t="str">
        <f>VLOOKUP(TablaCosechas[[#This Row],[COD]],DATOS!$E$3:$F$27,2,0)</f>
        <v>PARGO ROJO</v>
      </c>
      <c r="I397" s="9" t="str">
        <f>RIGHT(TablaCosechas[[#This Row],[SECTOR/PISCINA]],2)</f>
        <v>17</v>
      </c>
      <c r="J397" s="9" t="str">
        <f>VLOOKUP(TablaCosechas[[#This Row],[COD]],Tabla7[#All],4,0)</f>
        <v>WILMER TORRES</v>
      </c>
      <c r="K397" s="179">
        <f>(TablaCosechas[[#This Row],[libras planta]]*454)/M397</f>
        <v>475197.69632011431</v>
      </c>
      <c r="L397" s="174">
        <f>26720.17+2576.71</f>
        <v>29296.879999999997</v>
      </c>
      <c r="M397" s="19">
        <v>27.99</v>
      </c>
      <c r="N397" s="9" t="str">
        <f>UPPER(TEXT(TablaCosechas[[#This Row],[COSECHA]],"MMMM"))</f>
        <v>OCTUBRE</v>
      </c>
      <c r="O397" s="9" t="str">
        <f>IF(A397="DO 29","BAP",IF(A397="RO 14","BAP",(VLOOKUP(TablaCosechas[[#This Row],[COD]],Tabla7[[CODIGO]:[CERTIFICACION]],3,0))))</f>
        <v>CONVENCIONAL</v>
      </c>
      <c r="P397" s="180">
        <f>+L397-E397</f>
        <v>4396.8799999999974</v>
      </c>
      <c r="Q397" s="181">
        <f>+M397-F397</f>
        <v>1.9899999999999984</v>
      </c>
      <c r="R397" s="9"/>
    </row>
    <row r="398" spans="1:18" x14ac:dyDescent="0.25">
      <c r="A398" s="9" t="s">
        <v>247</v>
      </c>
      <c r="B398" s="9">
        <f>ROW() - ROW(TablaCosechas[[#Headers],[ID]]) - 4</f>
        <v>393</v>
      </c>
      <c r="C398" s="9" t="str">
        <f>LEFT(A398,2)</f>
        <v>PA</v>
      </c>
      <c r="D398" s="182" t="s">
        <v>367</v>
      </c>
      <c r="E398" s="178">
        <v>28000</v>
      </c>
      <c r="F398" s="19">
        <v>24</v>
      </c>
      <c r="G398" s="195">
        <v>45959</v>
      </c>
      <c r="H398" s="9" t="str">
        <f>VLOOKUP(TablaCosechas[[#This Row],[COD]],DATOS!$E$3:$F$26,2,0)</f>
        <v>PAMPANO</v>
      </c>
      <c r="I398" s="9" t="str">
        <f>RIGHT(TablaCosechas[[#This Row],[SECTOR/PISCINA]],2)</f>
        <v>18</v>
      </c>
      <c r="J398" s="9" t="str">
        <f>VLOOKUP(TablaCosechas[[#This Row],[COD]],Tabla7[#All],4,0)</f>
        <v>GUSTAVO CARRASCO</v>
      </c>
      <c r="K398" s="179">
        <f>(TablaCosechas[[#This Row],[libras planta]]*454)/M398</f>
        <v>412470.64729099389</v>
      </c>
      <c r="L398" s="174">
        <v>25320.61</v>
      </c>
      <c r="M398" s="19">
        <v>27.87</v>
      </c>
      <c r="N398" s="9" t="str">
        <f>UPPER(TEXT(TablaCosechas[[#This Row],[COSECHA]],"MMMM"))</f>
        <v>OCTUBRE</v>
      </c>
      <c r="O398" s="9" t="str">
        <f>IF(A398="DO 29","BAP",IF(A398="RO 14","BAP",(VLOOKUP(TablaCosechas[[#This Row],[COD]],Tabla7[[CODIGO]:[CERTIFICACION]],3,0))))</f>
        <v>ASC</v>
      </c>
      <c r="P398" s="180">
        <f>+L398-E398</f>
        <v>-2679.3899999999994</v>
      </c>
      <c r="Q398" s="181">
        <f>+M398-F398</f>
        <v>3.870000000000001</v>
      </c>
      <c r="R398" s="9"/>
    </row>
    <row r="399" spans="1:18" x14ac:dyDescent="0.25">
      <c r="A399" s="9" t="s">
        <v>219</v>
      </c>
      <c r="B399" s="9">
        <f>ROW() - ROW(TablaCosechas[[#Headers],[ID]]) - 4</f>
        <v>394</v>
      </c>
      <c r="C399" s="9" t="str">
        <f>LEFT(A399,2)</f>
        <v>DO</v>
      </c>
      <c r="D399" s="182" t="s">
        <v>367</v>
      </c>
      <c r="E399" s="178">
        <v>18350</v>
      </c>
      <c r="F399" s="19">
        <v>31</v>
      </c>
      <c r="G399" s="195">
        <v>45959</v>
      </c>
      <c r="H399" s="9" t="str">
        <f>VLOOKUP(TablaCosechas[[#This Row],[COD]],DATOS!$E$3:$F$27,2,0)</f>
        <v>DORADO</v>
      </c>
      <c r="I399" s="9" t="str">
        <f>RIGHT(TablaCosechas[[#This Row],[SECTOR/PISCINA]],2)</f>
        <v>11</v>
      </c>
      <c r="J399" s="9" t="str">
        <f>VLOOKUP(TablaCosechas[[#This Row],[COD]],Tabla7[#All],4,0)</f>
        <v>JOSE CEDEÑO</v>
      </c>
      <c r="K399" s="179">
        <f>(TablaCosechas[[#This Row],[libras planta]]*454)/M399</f>
        <v>250533.18455457586</v>
      </c>
      <c r="L399" s="174">
        <v>18149.86</v>
      </c>
      <c r="M399" s="19">
        <v>32.89</v>
      </c>
      <c r="N399" s="9" t="str">
        <f>UPPER(TEXT(TablaCosechas[[#This Row],[COSECHA]],"MMMM"))</f>
        <v>OCTUBRE</v>
      </c>
      <c r="O399" s="9" t="str">
        <f>IF(A399="DO 29","BAP",IF(A399="RO 14","BAP",(VLOOKUP(TablaCosechas[[#This Row],[COD]],Tabla7[[CODIGO]:[CERTIFICACION]],3,0))))</f>
        <v>ASC</v>
      </c>
      <c r="P399" s="180">
        <f>+L399-E399</f>
        <v>-200.13999999999942</v>
      </c>
      <c r="Q399" s="181">
        <f>+M399-F399</f>
        <v>1.8900000000000006</v>
      </c>
      <c r="R399" s="9"/>
    </row>
    <row r="400" spans="1:18" x14ac:dyDescent="0.25">
      <c r="A400" s="9" t="s">
        <v>17</v>
      </c>
      <c r="B400" s="9">
        <f>ROW() - ROW(TablaCosechas[[#Headers],[ID]]) - 4</f>
        <v>395</v>
      </c>
      <c r="C400" s="9" t="str">
        <f>LEFT(A400,2)</f>
        <v>CH</v>
      </c>
      <c r="D400" s="182" t="s">
        <v>367</v>
      </c>
      <c r="E400" s="178">
        <v>11200</v>
      </c>
      <c r="F400" s="19">
        <v>18</v>
      </c>
      <c r="G400" s="195">
        <v>45959</v>
      </c>
      <c r="H400" s="9" t="str">
        <f>VLOOKUP(TablaCosechas[[#This Row],[COD]],DATOS!$E$3:$F$26,2,0)</f>
        <v>CHERNA</v>
      </c>
      <c r="I400" s="9" t="str">
        <f>RIGHT(TablaCosechas[[#This Row],[SECTOR/PISCINA]],2)</f>
        <v>11</v>
      </c>
      <c r="J400" s="9" t="str">
        <f>VLOOKUP(TablaCosechas[[#This Row],[COD]],Tabla7[#All],4,0)</f>
        <v>SANTIAGO OBRIEN</v>
      </c>
      <c r="K400" s="179">
        <f>(TablaCosechas[[#This Row],[libras planta]]*454)/M400</f>
        <v>284749.75526024366</v>
      </c>
      <c r="L400" s="174">
        <v>11327.27</v>
      </c>
      <c r="M400" s="19">
        <v>18.059999999999999</v>
      </c>
      <c r="N400" s="9" t="str">
        <f>UPPER(TEXT(TablaCosechas[[#This Row],[COSECHA]],"MMMM"))</f>
        <v>OCTUBRE</v>
      </c>
      <c r="O400" s="9" t="str">
        <f>IF(A400="DO 29","BAP",IF(A400="RO 14","BAP",(VLOOKUP(TablaCosechas[[#This Row],[COD]],Tabla7[[CODIGO]:[CERTIFICACION]],3,0))))</f>
        <v>ASC</v>
      </c>
      <c r="P400" s="180">
        <f>+L400-E400</f>
        <v>127.27000000000044</v>
      </c>
      <c r="Q400" s="181">
        <f>+M400-F400</f>
        <v>5.9999999999998721E-2</v>
      </c>
      <c r="R400" s="9"/>
    </row>
    <row r="401" spans="1:18" x14ac:dyDescent="0.25">
      <c r="A401" s="9" t="s">
        <v>245</v>
      </c>
      <c r="B401" s="9">
        <f>ROW() - ROW(TablaCosechas[[#Headers],[ID]]) - 4</f>
        <v>396</v>
      </c>
      <c r="C401" s="9" t="str">
        <f>LEFT(A401,2)</f>
        <v>CA</v>
      </c>
      <c r="D401" s="182" t="s">
        <v>367</v>
      </c>
      <c r="E401" s="178">
        <v>12800</v>
      </c>
      <c r="F401" s="19">
        <v>18</v>
      </c>
      <c r="G401" s="195">
        <v>45959</v>
      </c>
      <c r="H401" s="9" t="str">
        <f>VLOOKUP(TablaCosechas[[#This Row],[COD]],DATOS!$E$3:$F$26,2,0)</f>
        <v>CATANUDA</v>
      </c>
      <c r="I401" s="9" t="str">
        <f>RIGHT(TablaCosechas[[#This Row],[SECTOR/PISCINA]],2)</f>
        <v>16</v>
      </c>
      <c r="J401" s="9" t="str">
        <f>VLOOKUP(TablaCosechas[[#This Row],[COD]],Tabla7[#All],4,0)</f>
        <v>VICTOR QUINTANA</v>
      </c>
      <c r="K401" s="179">
        <f>(TablaCosechas[[#This Row],[libras planta]]*454)/M401</f>
        <v>342293.5</v>
      </c>
      <c r="L401" s="174">
        <v>13691.74</v>
      </c>
      <c r="M401" s="19">
        <v>18.16</v>
      </c>
      <c r="N401" s="9" t="str">
        <f>UPPER(TEXT(TablaCosechas[[#This Row],[COSECHA]],"MMMM"))</f>
        <v>OCTUBRE</v>
      </c>
      <c r="O401" s="9" t="str">
        <f>IF(A401="DO 29","BAP",IF(A401="RO 14","BAP",(VLOOKUP(TablaCosechas[[#This Row],[COD]],Tabla7[[CODIGO]:[CERTIFICACION]],3,0))))</f>
        <v>ASC</v>
      </c>
      <c r="P401" s="180">
        <f>+L401-E401</f>
        <v>891.73999999999978</v>
      </c>
      <c r="Q401" s="181">
        <f>+M401-F401</f>
        <v>0.16000000000000014</v>
      </c>
      <c r="R401" s="9"/>
    </row>
    <row r="402" spans="1:18" x14ac:dyDescent="0.25">
      <c r="A402" s="9" t="s">
        <v>257</v>
      </c>
      <c r="B402" s="9">
        <f>ROW() - ROW(TablaCosechas[[#Headers],[ID]]) - 4</f>
        <v>397</v>
      </c>
      <c r="C402" s="9" t="str">
        <f>LEFT(A402,2)</f>
        <v>WA</v>
      </c>
      <c r="D402" s="182" t="s">
        <v>367</v>
      </c>
      <c r="E402" s="178">
        <v>5900</v>
      </c>
      <c r="F402" s="19">
        <v>16</v>
      </c>
      <c r="G402" s="195">
        <v>45960</v>
      </c>
      <c r="H402" s="9" t="str">
        <f>VLOOKUP(TablaCosechas[[#This Row],[COD]],DATOS!$E$3:$F$27,2,0)</f>
        <v>WAHOO</v>
      </c>
      <c r="I402" s="9" t="str">
        <f>RIGHT(TablaCosechas[[#This Row],[SECTOR/PISCINA]],2)</f>
        <v>21</v>
      </c>
      <c r="J402" s="9" t="str">
        <f>VLOOKUP(TablaCosechas[[#This Row],[COD]],Tabla7[#All],4,0)</f>
        <v>JUNIOR ESQUIVEL</v>
      </c>
      <c r="K402" s="179">
        <f>(TablaCosechas[[#This Row],[libras planta]]*454)/M402</f>
        <v>162181.79663212434</v>
      </c>
      <c r="L402" s="174">
        <v>5515.61</v>
      </c>
      <c r="M402" s="19">
        <v>15.44</v>
      </c>
      <c r="N402" s="9" t="str">
        <f>UPPER(TEXT(TablaCosechas[[#This Row],[COSECHA]],"MMMM"))</f>
        <v>OCTUBRE</v>
      </c>
      <c r="O402" s="9" t="str">
        <f>IF(A402="DO 29","BAP",IF(A402="RO 14","BAP",(VLOOKUP(TablaCosechas[[#This Row],[COD]],Tabla7[[CODIGO]:[CERTIFICACION]],3,0))))</f>
        <v>CONVENCIONAL</v>
      </c>
      <c r="P402" s="180">
        <f>+L402-E402</f>
        <v>-384.39000000000033</v>
      </c>
      <c r="Q402" s="181">
        <f>+M402-F402</f>
        <v>-0.5600000000000005</v>
      </c>
      <c r="R402" s="9"/>
    </row>
    <row r="403" spans="1:18" x14ac:dyDescent="0.25">
      <c r="A403" s="9" t="s">
        <v>344</v>
      </c>
      <c r="B403" s="9">
        <f>ROW() - ROW(TablaCosechas[[#Headers],[ID]]) - 4</f>
        <v>398</v>
      </c>
      <c r="C403" s="9" t="str">
        <f>LEFT(A403,2)</f>
        <v>WA</v>
      </c>
      <c r="D403" s="182" t="s">
        <v>367</v>
      </c>
      <c r="E403" s="178">
        <v>5600</v>
      </c>
      <c r="F403" s="19">
        <v>16</v>
      </c>
      <c r="G403" s="195">
        <v>45960</v>
      </c>
      <c r="H403" s="9" t="str">
        <f>VLOOKUP(TablaCosechas[[#This Row],[COD]],DATOS!$E$3:$F$27,2,0)</f>
        <v>WAHOO</v>
      </c>
      <c r="I403" s="9" t="str">
        <f>RIGHT(TablaCosechas[[#This Row],[SECTOR/PISCINA]],2)</f>
        <v>20</v>
      </c>
      <c r="J403" s="9" t="str">
        <f>VLOOKUP(TablaCosechas[[#This Row],[COD]],Tabla7[#All],4,0)</f>
        <v>JUNIOR ESQUIVEL</v>
      </c>
      <c r="K403" s="179">
        <f>(TablaCosechas[[#This Row],[libras planta]]*454)/M403</f>
        <v>145013.85235732008</v>
      </c>
      <c r="L403" s="174">
        <v>5148.95</v>
      </c>
      <c r="M403" s="19">
        <v>16.12</v>
      </c>
      <c r="N403" s="9" t="str">
        <f>UPPER(TEXT(TablaCosechas[[#This Row],[COSECHA]],"MMMM"))</f>
        <v>OCTUBRE</v>
      </c>
      <c r="O403" s="9" t="str">
        <f>IF(A403="DO 29","BAP",IF(A403="RO 14","BAP",(VLOOKUP(TablaCosechas[[#This Row],[COD]],Tabla7[[CODIGO]:[CERTIFICACION]],3,0))))</f>
        <v>CONVENCIONAL</v>
      </c>
      <c r="P403" s="180">
        <f>+L403-E403</f>
        <v>-451.05000000000018</v>
      </c>
      <c r="Q403" s="181">
        <f>+M403-F403</f>
        <v>0.12000000000000099</v>
      </c>
      <c r="R403" s="9"/>
    </row>
    <row r="404" spans="1:18" x14ac:dyDescent="0.25">
      <c r="A404" s="9" t="s">
        <v>248</v>
      </c>
      <c r="B404" s="9">
        <f>ROW() - ROW(TablaCosechas[[#Headers],[ID]]) - 4</f>
        <v>399</v>
      </c>
      <c r="C404" s="9" t="str">
        <f>LEFT(A404,2)</f>
        <v>TA</v>
      </c>
      <c r="D404" s="182" t="s">
        <v>367</v>
      </c>
      <c r="E404" s="178">
        <v>12800</v>
      </c>
      <c r="F404" s="19">
        <v>18.5</v>
      </c>
      <c r="G404" s="195">
        <v>45960</v>
      </c>
      <c r="H404" s="9" t="str">
        <f>VLOOKUP(TablaCosechas[[#This Row],[COD]],DATOS!$E$3:$F$27,2,0)</f>
        <v>TAMBULERO</v>
      </c>
      <c r="I404" s="9" t="str">
        <f>RIGHT(TablaCosechas[[#This Row],[SECTOR/PISCINA]],2)</f>
        <v>16</v>
      </c>
      <c r="J404" s="9" t="str">
        <f>VLOOKUP(TablaCosechas[[#This Row],[COD]],Tabla7[#All],4,0)</f>
        <v>ALFONSO GRUNAUER</v>
      </c>
      <c r="K404" s="179">
        <f>(TablaCosechas[[#This Row],[libras planta]]*454)/M404</f>
        <v>293015.34338863747</v>
      </c>
      <c r="L404" s="215">
        <v>12837.17</v>
      </c>
      <c r="M404" s="19">
        <v>19.89</v>
      </c>
      <c r="N404" s="9" t="str">
        <f>UPPER(TEXT(TablaCosechas[[#This Row],[COSECHA]],"MMMM"))</f>
        <v>OCTUBRE</v>
      </c>
      <c r="O404" s="9" t="str">
        <f>IF(A404="DO 29","BAP",IF(A404="RO 14","BAP",(VLOOKUP(TablaCosechas[[#This Row],[COD]],Tabla7[[CODIGO]:[CERTIFICACION]],3,0))))</f>
        <v>CONVENCIONAL</v>
      </c>
      <c r="P404" s="180">
        <f>+L404-E404</f>
        <v>37.170000000000073</v>
      </c>
      <c r="Q404" s="181">
        <f>+M404-F404</f>
        <v>1.3900000000000006</v>
      </c>
      <c r="R404" s="9"/>
    </row>
    <row r="405" spans="1:18" x14ac:dyDescent="0.25">
      <c r="A405" s="9" t="s">
        <v>142</v>
      </c>
      <c r="B405" s="9">
        <f>ROW() - ROW(TablaCosechas[[#Headers],[ID]]) - 4</f>
        <v>400</v>
      </c>
      <c r="C405" s="9" t="str">
        <f>LEFT(A405,2)</f>
        <v>PR</v>
      </c>
      <c r="D405" s="182" t="s">
        <v>366</v>
      </c>
      <c r="E405" s="178">
        <v>8900</v>
      </c>
      <c r="F405" s="19">
        <v>24</v>
      </c>
      <c r="G405" s="195">
        <v>45960</v>
      </c>
      <c r="H405" s="9" t="str">
        <f>VLOOKUP(TablaCosechas[[#This Row],[COD]],DATOS!$E$3:$F$27,2,0)</f>
        <v>PARGO ROJO</v>
      </c>
      <c r="I405" s="9" t="str">
        <f>RIGHT(TablaCosechas[[#This Row],[SECTOR/PISCINA]],2)</f>
        <v>22</v>
      </c>
      <c r="J405" s="9" t="str">
        <f>VLOOKUP(TablaCosechas[[#This Row],[COD]],Tabla7[#All],4,0)</f>
        <v>WILMER TORRES</v>
      </c>
      <c r="K405" s="179">
        <f>(TablaCosechas[[#This Row],[libras planta]]*454)/M405</f>
        <v>171069.15843137255</v>
      </c>
      <c r="L405" s="174">
        <v>9608.51</v>
      </c>
      <c r="M405" s="19">
        <v>25.5</v>
      </c>
      <c r="N405" s="9" t="str">
        <f>UPPER(TEXT(TablaCosechas[[#This Row],[COSECHA]],"MMMM"))</f>
        <v>OCTUBRE</v>
      </c>
      <c r="O405" s="9" t="str">
        <f>IF(A405="DO 29","BAP",IF(A405="RO 14","BAP",(VLOOKUP(TablaCosechas[[#This Row],[COD]],Tabla7[[CODIGO]:[CERTIFICACION]],3,0))))</f>
        <v>CONVENCIONAL</v>
      </c>
      <c r="P405" s="180">
        <f>+L405-E405</f>
        <v>708.51000000000022</v>
      </c>
      <c r="Q405" s="181">
        <f>+M405-F405</f>
        <v>1.5</v>
      </c>
      <c r="R405" s="9"/>
    </row>
    <row r="406" spans="1:18" x14ac:dyDescent="0.25">
      <c r="A406" s="9" t="s">
        <v>286</v>
      </c>
      <c r="B406" s="9">
        <f>ROW() - ROW(TablaCosechas[[#Headers],[ID]]) - 4</f>
        <v>401</v>
      </c>
      <c r="C406" s="9" t="str">
        <f>LEFT(A406,2)</f>
        <v>DO</v>
      </c>
      <c r="D406" s="182" t="s">
        <v>367</v>
      </c>
      <c r="E406" s="178">
        <v>7200</v>
      </c>
      <c r="F406" s="19">
        <v>18</v>
      </c>
      <c r="G406" s="195">
        <v>45960</v>
      </c>
      <c r="H406" s="9" t="str">
        <f>VLOOKUP(TablaCosechas[[#This Row],[COD]],DATOS!$E$3:$F$27,2,0)</f>
        <v>DORADO</v>
      </c>
      <c r="I406" s="9" t="str">
        <f>RIGHT(TablaCosechas[[#This Row],[SECTOR/PISCINA]],2)</f>
        <v>29</v>
      </c>
      <c r="J406" s="9" t="str">
        <f>VLOOKUP(TablaCosechas[[#This Row],[COD]],Tabla7[#All],4,0)</f>
        <v>JOSE CEDEÑO</v>
      </c>
      <c r="K406" s="179">
        <f>(TablaCosechas[[#This Row],[libras planta]]*454)/M406</f>
        <v>180672.8842105263</v>
      </c>
      <c r="L406" s="174">
        <v>7183.14</v>
      </c>
      <c r="M406" s="19">
        <v>18.05</v>
      </c>
      <c r="N406" s="9" t="str">
        <f>UPPER(TEXT(TablaCosechas[[#This Row],[COSECHA]],"MMMM"))</f>
        <v>OCTUBRE</v>
      </c>
      <c r="O406" s="9" t="str">
        <f>IF(A406="DO 29","BAP",IF(A406="RO 14","BAP",(VLOOKUP(TablaCosechas[[#This Row],[COD]],Tabla7[[CODIGO]:[CERTIFICACION]],3,0))))</f>
        <v>BAP</v>
      </c>
      <c r="P406" s="180">
        <f>+L406-E406</f>
        <v>-16.859999999999673</v>
      </c>
      <c r="Q406" s="181">
        <f>+M406-F406</f>
        <v>5.0000000000000711E-2</v>
      </c>
      <c r="R406" s="9"/>
    </row>
    <row r="407" spans="1:18" x14ac:dyDescent="0.25">
      <c r="A407" s="9" t="s">
        <v>206</v>
      </c>
      <c r="B407" s="9">
        <f>ROW() - ROW(TablaCosechas[[#Headers],[ID]]) - 4</f>
        <v>402</v>
      </c>
      <c r="C407" s="9" t="str">
        <f>LEFT(A407,2)</f>
        <v>DO</v>
      </c>
      <c r="D407" s="182" t="s">
        <v>366</v>
      </c>
      <c r="E407" s="178">
        <v>24300</v>
      </c>
      <c r="F407" s="19">
        <v>28</v>
      </c>
      <c r="G407" s="195">
        <v>45960</v>
      </c>
      <c r="H407" s="9" t="str">
        <f>VLOOKUP(TablaCosechas[[#This Row],[COD]],DATOS!$E$3:$F$27,2,0)</f>
        <v>DORADO</v>
      </c>
      <c r="I407" s="9" t="str">
        <f>RIGHT(TablaCosechas[[#This Row],[SECTOR/PISCINA]],2)</f>
        <v>27</v>
      </c>
      <c r="J407" s="9" t="str">
        <f>VLOOKUP(TablaCosechas[[#This Row],[COD]],Tabla7[#All],4,0)</f>
        <v>JOSE CEDEÑO</v>
      </c>
      <c r="K407" s="179">
        <f>(TablaCosechas[[#This Row],[libras planta]]*454)/M407</f>
        <v>449509.69822485204</v>
      </c>
      <c r="L407" s="174">
        <v>26772.559999999998</v>
      </c>
      <c r="M407" s="19">
        <v>27.04</v>
      </c>
      <c r="N407" s="9" t="str">
        <f>UPPER(TEXT(TablaCosechas[[#This Row],[COSECHA]],"MMMM"))</f>
        <v>OCTUBRE</v>
      </c>
      <c r="O407" s="9" t="str">
        <f>IF(A407="DO 29","BAP",IF(A407="RO 14","BAP",(VLOOKUP(TablaCosechas[[#This Row],[COD]],Tabla7[[CODIGO]:[CERTIFICACION]],3,0))))</f>
        <v>ASC</v>
      </c>
      <c r="P407" s="180">
        <f>+L407-E407</f>
        <v>2472.5599999999977</v>
      </c>
      <c r="Q407" s="181">
        <f>+M407-F407</f>
        <v>-0.96000000000000085</v>
      </c>
      <c r="R407" s="9"/>
    </row>
    <row r="408" spans="1:18" x14ac:dyDescent="0.25">
      <c r="A408" s="9" t="s">
        <v>258</v>
      </c>
      <c r="B408" s="9">
        <f>ROW() - ROW(TablaCosechas[[#Headers],[ID]]) - 4</f>
        <v>403</v>
      </c>
      <c r="C408" s="9" t="str">
        <f>LEFT(A408,2)</f>
        <v>TI</v>
      </c>
      <c r="D408" s="182" t="s">
        <v>367</v>
      </c>
      <c r="E408" s="178">
        <v>14400</v>
      </c>
      <c r="F408" s="19">
        <v>26</v>
      </c>
      <c r="G408" s="195">
        <v>45961</v>
      </c>
      <c r="H408" s="9" t="str">
        <f>VLOOKUP(TablaCosechas[[#This Row],[COD]],DATOS!$E$3:$F$26,2,0)</f>
        <v>TIBURON</v>
      </c>
      <c r="I408" s="9" t="str">
        <f>RIGHT(TablaCosechas[[#This Row],[SECTOR/PISCINA]],2)</f>
        <v>10</v>
      </c>
      <c r="J408" s="9" t="str">
        <f>VLOOKUP(TablaCosechas[[#This Row],[COD]],Tabla7[#All],4,0)</f>
        <v>ALFONSO GRUNAUER</v>
      </c>
      <c r="K408" s="179">
        <f>(TablaCosechas[[#This Row],[libras planta]]*454)/M408</f>
        <v>240225.99774096388</v>
      </c>
      <c r="L408" s="174">
        <v>14053.75</v>
      </c>
      <c r="M408" s="19">
        <v>26.56</v>
      </c>
      <c r="N408" s="9" t="str">
        <f>UPPER(TEXT(TablaCosechas[[#This Row],[COSECHA]],"MMMM"))</f>
        <v>OCTUBRE</v>
      </c>
      <c r="O408" s="9" t="str">
        <f>IF(A408="DO 29","BAP",IF(A408="RO 14","BAP",(VLOOKUP(TablaCosechas[[#This Row],[COD]],Tabla7[[CODIGO]:[CERTIFICACION]],3,0))))</f>
        <v>ASC</v>
      </c>
      <c r="P408" s="180">
        <f>+L408-E408</f>
        <v>-346.25</v>
      </c>
      <c r="Q408" s="181">
        <f>+M408-F408</f>
        <v>0.55999999999999872</v>
      </c>
      <c r="R408" s="9"/>
    </row>
    <row r="409" spans="1:18" x14ac:dyDescent="0.25">
      <c r="A409" s="9" t="s">
        <v>237</v>
      </c>
      <c r="B409" s="9">
        <f>ROW() - ROW(TablaCosechas[[#Headers],[ID]]) - 4</f>
        <v>404</v>
      </c>
      <c r="C409" s="9" t="str">
        <f>LEFT(A409,2)</f>
        <v>TI</v>
      </c>
      <c r="D409" s="182" t="s">
        <v>367</v>
      </c>
      <c r="E409" s="178">
        <v>10250</v>
      </c>
      <c r="F409" s="19">
        <v>26</v>
      </c>
      <c r="G409" s="195">
        <v>45961</v>
      </c>
      <c r="H409" s="9" t="str">
        <f>VLOOKUP(TablaCosechas[[#This Row],[COD]],DATOS!$E$3:$F$27,2,0)</f>
        <v>TIBURON</v>
      </c>
      <c r="I409" s="9" t="str">
        <f>RIGHT(TablaCosechas[[#This Row],[SECTOR/PISCINA]],2)</f>
        <v>08</v>
      </c>
      <c r="J409" s="9" t="str">
        <f>VLOOKUP(TablaCosechas[[#This Row],[COD]],Tabla7[#All],4,0)</f>
        <v>ALFONSO GRUNAUER</v>
      </c>
      <c r="K409" s="179">
        <f>(TablaCosechas[[#This Row],[libras planta]]*454)/M409</f>
        <v>176539.39520958083</v>
      </c>
      <c r="L409" s="174">
        <v>10390.16</v>
      </c>
      <c r="M409" s="19">
        <v>26.72</v>
      </c>
      <c r="N409" s="9" t="str">
        <f>UPPER(TEXT(TablaCosechas[[#This Row],[COSECHA]],"MMMM"))</f>
        <v>OCTUBRE</v>
      </c>
      <c r="O409" s="9" t="str">
        <f>IF(A409="DO 29","BAP",IF(A409="RO 14","BAP",(VLOOKUP(TablaCosechas[[#This Row],[COD]],Tabla7[[CODIGO]:[CERTIFICACION]],3,0))))</f>
        <v>ASC</v>
      </c>
      <c r="P409" s="180">
        <f>+L409-E409</f>
        <v>140.15999999999985</v>
      </c>
      <c r="Q409" s="181">
        <f>+M409-F409</f>
        <v>0.71999999999999886</v>
      </c>
      <c r="R409" s="9"/>
    </row>
    <row r="410" spans="1:18" x14ac:dyDescent="0.25">
      <c r="A410" s="9" t="s">
        <v>222</v>
      </c>
      <c r="B410" s="9">
        <f>ROW() - ROW(TablaCosechas[[#Headers],[ID]]) - 4</f>
        <v>405</v>
      </c>
      <c r="C410" s="9" t="str">
        <f>LEFT(A410,2)</f>
        <v>GT</v>
      </c>
      <c r="D410" s="182" t="s">
        <v>367</v>
      </c>
      <c r="E410" s="178">
        <v>6300</v>
      </c>
      <c r="F410" s="19">
        <v>26</v>
      </c>
      <c r="G410" s="195">
        <v>45961</v>
      </c>
      <c r="H410" s="9" t="str">
        <f>VLOOKUP(TablaCosechas[[#This Row],[COD]],DATOS!$E$3:$F$27,2,0)</f>
        <v>GUATO</v>
      </c>
      <c r="I410" s="9" t="str">
        <f>RIGHT(TablaCosechas[[#This Row],[SECTOR/PISCINA]],2)</f>
        <v>17</v>
      </c>
      <c r="J410" s="9" t="str">
        <f>VLOOKUP(TablaCosechas[[#This Row],[COD]],Tabla7[#All],4,0)</f>
        <v>JULIO SANTOS</v>
      </c>
      <c r="K410" s="179">
        <f>(TablaCosechas[[#This Row],[libras planta]]*454)/M410</f>
        <v>111452.33561643834</v>
      </c>
      <c r="L410" s="174">
        <v>6451.47</v>
      </c>
      <c r="M410" s="19">
        <v>26.28</v>
      </c>
      <c r="N410" s="9" t="str">
        <f>UPPER(TEXT(TablaCosechas[[#This Row],[COSECHA]],"MMMM"))</f>
        <v>OCTUBRE</v>
      </c>
      <c r="O410" s="9" t="str">
        <f>IF(A410="DO 29","BAP",IF(A410="RO 14","BAP",(VLOOKUP(TablaCosechas[[#This Row],[COD]],Tabla7[[CODIGO]:[CERTIFICACION]],3,0))))</f>
        <v>CONVENCIONAL</v>
      </c>
      <c r="P410" s="180">
        <f>+L410-E410</f>
        <v>151.47000000000025</v>
      </c>
      <c r="Q410" s="181">
        <f>+M410-F410</f>
        <v>0.28000000000000114</v>
      </c>
      <c r="R410" s="9"/>
    </row>
    <row r="411" spans="1:18" x14ac:dyDescent="0.25">
      <c r="A411" s="9" t="s">
        <v>269</v>
      </c>
      <c r="B411" s="9">
        <f>ROW() - ROW(TablaCosechas[[#Headers],[ID]]) - 4</f>
        <v>406</v>
      </c>
      <c r="C411" s="9" t="str">
        <f>LEFT(A411,2)</f>
        <v>DE</v>
      </c>
      <c r="D411" s="182" t="s">
        <v>367</v>
      </c>
      <c r="E411" s="178">
        <v>8000</v>
      </c>
      <c r="F411" s="19">
        <v>20</v>
      </c>
      <c r="G411" s="195">
        <v>45961</v>
      </c>
      <c r="H411" s="9" t="str">
        <f>VLOOKUP(TablaCosechas[[#This Row],[COD]],DATOS!$E$3:$F$27,2,0)</f>
        <v>DELFIN</v>
      </c>
      <c r="I411" s="9" t="str">
        <f>RIGHT(TablaCosechas[[#This Row],[SECTOR/PISCINA]],2)</f>
        <v>18</v>
      </c>
      <c r="J411" s="9" t="str">
        <f>VLOOKUP(TablaCosechas[[#This Row],[COD]],Tabla7[#All],4,0)</f>
        <v>CARLOS FLORES</v>
      </c>
      <c r="K411" s="179">
        <f>(TablaCosechas[[#This Row],[libras planta]]*454)/M411</f>
        <v>190034.72081218276</v>
      </c>
      <c r="L411" s="174">
        <v>8246</v>
      </c>
      <c r="M411" s="19">
        <v>19.7</v>
      </c>
      <c r="N411" s="9" t="str">
        <f>UPPER(TEXT(TablaCosechas[[#This Row],[COSECHA]],"MMMM"))</f>
        <v>OCTUBRE</v>
      </c>
      <c r="O411" s="9" t="str">
        <f>IF(A411="DO 29","BAP",IF(A411="RO 14","BAP",(VLOOKUP(TablaCosechas[[#This Row],[COD]],Tabla7[[CODIGO]:[CERTIFICACION]],3,0))))</f>
        <v>CONVENCIONAL</v>
      </c>
      <c r="P411" s="180">
        <f>+L411-E411</f>
        <v>246</v>
      </c>
      <c r="Q411" s="181">
        <f>+M411-F411</f>
        <v>-0.30000000000000071</v>
      </c>
      <c r="R411" s="9"/>
    </row>
    <row r="412" spans="1:18" x14ac:dyDescent="0.25">
      <c r="A412" s="9" t="s">
        <v>205</v>
      </c>
      <c r="B412" s="9">
        <f>ROW() - ROW(TablaCosechas[[#Headers],[ID]]) - 4</f>
        <v>407</v>
      </c>
      <c r="C412" s="9" t="str">
        <f>LEFT(A412,2)</f>
        <v>BA</v>
      </c>
      <c r="D412" s="182" t="s">
        <v>366</v>
      </c>
      <c r="E412" s="178">
        <v>12100</v>
      </c>
      <c r="F412" s="19">
        <v>34</v>
      </c>
      <c r="G412" s="195">
        <v>45961</v>
      </c>
      <c r="H412" s="9" t="str">
        <f>VLOOKUP(TablaCosechas[[#This Row],[COD]],DATOS!$E$3:$F$27,2,0)</f>
        <v>BARRACUDA</v>
      </c>
      <c r="I412" s="9" t="str">
        <f>RIGHT(TablaCosechas[[#This Row],[SECTOR/PISCINA]],2)</f>
        <v>03</v>
      </c>
      <c r="J412" s="9" t="str">
        <f>VLOOKUP(TablaCosechas[[#This Row],[COD]],Tabla7[#All],4,0)</f>
        <v>GUSTAVO CARRASCO</v>
      </c>
      <c r="K412" s="179">
        <f>(TablaCosechas[[#This Row],[libras planta]]*454)/M412</f>
        <v>149060.16007088011</v>
      </c>
      <c r="L412" s="174">
        <v>11117.130000000001</v>
      </c>
      <c r="M412" s="19">
        <v>33.86</v>
      </c>
      <c r="N412" s="9" t="str">
        <f>UPPER(TEXT(TablaCosechas[[#This Row],[COSECHA]],"MMMM"))</f>
        <v>OCTUBRE</v>
      </c>
      <c r="O412" s="9" t="str">
        <f>IF(A412="DO 29","BAP",IF(A412="RO 14","BAP",(VLOOKUP(TablaCosechas[[#This Row],[COD]],Tabla7[[CODIGO]:[CERTIFICACION]],3,0))))</f>
        <v>CONVENCIONAL</v>
      </c>
      <c r="P412" s="180">
        <f>+L412-E412</f>
        <v>-982.86999999999898</v>
      </c>
      <c r="Q412" s="181">
        <f>+M412-F412</f>
        <v>-0.14000000000000057</v>
      </c>
      <c r="R412" s="9"/>
    </row>
    <row r="413" spans="1:18" x14ac:dyDescent="0.25">
      <c r="A413" s="9" t="s">
        <v>207</v>
      </c>
      <c r="B413" s="9">
        <f>ROW() - ROW(TablaCosechas[[#Headers],[ID]]) - 4</f>
        <v>408</v>
      </c>
      <c r="C413" s="9" t="str">
        <f>LEFT(A413,2)</f>
        <v>BA</v>
      </c>
      <c r="D413" s="182" t="s">
        <v>366</v>
      </c>
      <c r="E413" s="178">
        <v>10000</v>
      </c>
      <c r="F413" s="19">
        <v>34</v>
      </c>
      <c r="G413" s="195">
        <v>45961</v>
      </c>
      <c r="H413" s="9" t="str">
        <f>VLOOKUP(TablaCosechas[[#This Row],[COD]],DATOS!$E$3:$F$27,2,0)</f>
        <v>BARRACUDA</v>
      </c>
      <c r="I413" s="9" t="str">
        <f>RIGHT(TablaCosechas[[#This Row],[SECTOR/PISCINA]],2)</f>
        <v>02</v>
      </c>
      <c r="J413" s="9" t="str">
        <f>VLOOKUP(TablaCosechas[[#This Row],[COD]],Tabla7[#All],4,0)</f>
        <v>GUSTAVO CARRASCO</v>
      </c>
      <c r="K413" s="179">
        <f>(TablaCosechas[[#This Row],[libras planta]]*454)/M413</f>
        <v>105758.42413693067</v>
      </c>
      <c r="L413" s="174">
        <v>8029.72</v>
      </c>
      <c r="M413" s="19">
        <v>34.47</v>
      </c>
      <c r="N413" s="9" t="str">
        <f>UPPER(TEXT(TablaCosechas[[#This Row],[COSECHA]],"MMMM"))</f>
        <v>OCTUBRE</v>
      </c>
      <c r="O413" s="9" t="str">
        <f>IF(A413="DO 29","BAP",IF(A413="RO 14","BAP",(VLOOKUP(TablaCosechas[[#This Row],[COD]],Tabla7[[CODIGO]:[CERTIFICACION]],3,0))))</f>
        <v>CONVENCIONAL</v>
      </c>
      <c r="P413" s="180">
        <f>+L413-E413</f>
        <v>-1970.2799999999997</v>
      </c>
      <c r="Q413" s="181">
        <f>+M413-F413</f>
        <v>0.46999999999999886</v>
      </c>
      <c r="R413" s="9"/>
    </row>
    <row r="414" spans="1:18" x14ac:dyDescent="0.25">
      <c r="A414" s="9" t="s">
        <v>143</v>
      </c>
      <c r="B414" s="9">
        <f>ROW() - ROW(TablaCosechas[[#Headers],[ID]]) - 4</f>
        <v>409</v>
      </c>
      <c r="C414" s="9" t="str">
        <f>LEFT(A414,2)</f>
        <v>TA</v>
      </c>
      <c r="D414" s="182" t="s">
        <v>367</v>
      </c>
      <c r="E414" s="178">
        <v>15700</v>
      </c>
      <c r="F414" s="19">
        <v>30</v>
      </c>
      <c r="G414" s="195">
        <v>45962</v>
      </c>
      <c r="H414" s="9" t="str">
        <f>VLOOKUP(TablaCosechas[[#This Row],[COD]],DATOS!$E$3:$F$27,2,0)</f>
        <v>TAMBULERO</v>
      </c>
      <c r="I414" s="9" t="str">
        <f>RIGHT(TablaCosechas[[#This Row],[SECTOR/PISCINA]],2)</f>
        <v>08</v>
      </c>
      <c r="J414" s="9" t="str">
        <f>VLOOKUP(TablaCosechas[[#This Row],[COD]],Tabla7[#All],4,0)</f>
        <v>ALFONSO GRUNAUER</v>
      </c>
      <c r="K414" s="179">
        <f>(TablaCosechas[[#This Row],[libras planta]]*454)/M414</f>
        <v>241827.3553233181</v>
      </c>
      <c r="L414" s="174">
        <v>16310.03</v>
      </c>
      <c r="M414" s="19">
        <v>30.62</v>
      </c>
      <c r="N414" s="9" t="str">
        <f>UPPER(TEXT(TablaCosechas[[#This Row],[COSECHA]],"MMMM"))</f>
        <v>NOVIEMBRE</v>
      </c>
      <c r="O414" s="9" t="str">
        <f>IF(A414="DO 29","BAP",IF(A414="RO 14","BAP",(VLOOKUP(TablaCosechas[[#This Row],[COD]],Tabla7[[CODIGO]:[CERTIFICACION]],3,0))))</f>
        <v>CONVENCIONAL</v>
      </c>
      <c r="P414" s="180">
        <f>+L414-E414</f>
        <v>610.03000000000065</v>
      </c>
      <c r="Q414" s="181">
        <f>+M414-F414</f>
        <v>0.62000000000000099</v>
      </c>
      <c r="R414" s="9"/>
    </row>
    <row r="415" spans="1:18" x14ac:dyDescent="0.25">
      <c r="A415" s="9" t="s">
        <v>264</v>
      </c>
      <c r="B415" s="9">
        <f>ROW() - ROW(TablaCosechas[[#Headers],[ID]]) - 4</f>
        <v>410</v>
      </c>
      <c r="C415" s="9" t="str">
        <f>LEFT(A415,2)</f>
        <v>RO</v>
      </c>
      <c r="D415" s="182" t="s">
        <v>367</v>
      </c>
      <c r="E415" s="178">
        <v>32000</v>
      </c>
      <c r="F415" s="19">
        <v>19</v>
      </c>
      <c r="G415" s="195">
        <v>45962</v>
      </c>
      <c r="H415" s="9" t="str">
        <f>VLOOKUP(TablaCosechas[[#This Row],[COD]],DATOS!$E$3:$F$26,2,0)</f>
        <v>ROBALO</v>
      </c>
      <c r="I415" s="9" t="str">
        <f>RIGHT(TablaCosechas[[#This Row],[SECTOR/PISCINA]],2)</f>
        <v>04</v>
      </c>
      <c r="J415" s="9" t="str">
        <f>VLOOKUP(TablaCosechas[[#This Row],[COD]],Tabla7[#All],4,0)</f>
        <v>VICTOR QUINTANA</v>
      </c>
      <c r="K415" s="179">
        <f>(TablaCosechas[[#This Row],[libras planta]]*454)/M415</f>
        <v>708661.57142857136</v>
      </c>
      <c r="L415" s="174">
        <v>34309.21</v>
      </c>
      <c r="M415" s="19">
        <v>21.98</v>
      </c>
      <c r="N415" s="9" t="str">
        <f>UPPER(TEXT(TablaCosechas[[#This Row],[COSECHA]],"MMMM"))</f>
        <v>NOVIEMBRE</v>
      </c>
      <c r="O415" s="9" t="str">
        <f>IF(A415="DO 29","BAP",IF(A415="RO 14","BAP",(VLOOKUP(TablaCosechas[[#This Row],[COD]],Tabla7[[CODIGO]:[CERTIFICACION]],3,0))))</f>
        <v>ASC</v>
      </c>
      <c r="P415" s="180">
        <f>+L415-E415</f>
        <v>2309.2099999999991</v>
      </c>
      <c r="Q415" s="181">
        <f>+M415-F415</f>
        <v>2.9800000000000004</v>
      </c>
      <c r="R415" s="9"/>
    </row>
    <row r="416" spans="1:18" x14ac:dyDescent="0.25">
      <c r="A416" s="9" t="s">
        <v>208</v>
      </c>
      <c r="B416" s="9">
        <f>ROW() - ROW(TablaCosechas[[#Headers],[ID]]) - 4</f>
        <v>411</v>
      </c>
      <c r="C416" s="9" t="str">
        <f>LEFT(A416,2)</f>
        <v>DO</v>
      </c>
      <c r="D416" s="182" t="s">
        <v>367</v>
      </c>
      <c r="E416" s="178">
        <v>9000</v>
      </c>
      <c r="F416" s="19">
        <v>36</v>
      </c>
      <c r="G416" s="195">
        <v>45962</v>
      </c>
      <c r="H416" s="9" t="str">
        <f>VLOOKUP(TablaCosechas[[#This Row],[COD]],DATOS!$E$3:$F$27,2,0)</f>
        <v>DORADO</v>
      </c>
      <c r="I416" s="9" t="str">
        <f>RIGHT(TablaCosechas[[#This Row],[SECTOR/PISCINA]],2)</f>
        <v>04</v>
      </c>
      <c r="J416" s="9" t="str">
        <f>VLOOKUP(TablaCosechas[[#This Row],[COD]],Tabla7[#All],4,0)</f>
        <v>JOSE CEDEÑO</v>
      </c>
      <c r="K416" s="179">
        <f>(TablaCosechas[[#This Row],[libras planta]]*454)/M416</f>
        <v>104939.06066945607</v>
      </c>
      <c r="L416" s="174">
        <v>8838.92</v>
      </c>
      <c r="M416" s="19">
        <v>38.24</v>
      </c>
      <c r="N416" s="9" t="str">
        <f>UPPER(TEXT(TablaCosechas[[#This Row],[COSECHA]],"MMMM"))</f>
        <v>NOVIEMBRE</v>
      </c>
      <c r="O416" s="9" t="str">
        <f>IF(A416="DO 29","BAP",IF(A416="RO 14","BAP",(VLOOKUP(TablaCosechas[[#This Row],[COD]],Tabla7[[CODIGO]:[CERTIFICACION]],3,0))))</f>
        <v>ASC</v>
      </c>
      <c r="P416" s="180">
        <f>+L416-E416</f>
        <v>-161.07999999999993</v>
      </c>
      <c r="Q416" s="181">
        <f>+M416-F416</f>
        <v>2.240000000000002</v>
      </c>
      <c r="R416" s="9"/>
    </row>
    <row r="417" spans="1:18" x14ac:dyDescent="0.25">
      <c r="A417" s="9" t="s">
        <v>273</v>
      </c>
      <c r="B417" s="9">
        <f>ROW() - ROW(TablaCosechas[[#Headers],[ID]]) - 4</f>
        <v>412</v>
      </c>
      <c r="C417" s="9" t="str">
        <f>LEFT(A417,2)</f>
        <v>DE</v>
      </c>
      <c r="D417" s="182" t="s">
        <v>367</v>
      </c>
      <c r="E417" s="178">
        <v>8600</v>
      </c>
      <c r="F417" s="19">
        <v>20</v>
      </c>
      <c r="G417" s="195">
        <v>45962</v>
      </c>
      <c r="H417" s="9" t="str">
        <f>VLOOKUP(TablaCosechas[[#This Row],[COD]],DATOS!$E$3:$F$27,2,0)</f>
        <v>DELFIN</v>
      </c>
      <c r="I417" s="9" t="str">
        <f>RIGHT(TablaCosechas[[#This Row],[SECTOR/PISCINA]],2)</f>
        <v>16</v>
      </c>
      <c r="J417" s="9" t="str">
        <f>VLOOKUP(TablaCosechas[[#This Row],[COD]],Tabla7[#All],4,0)</f>
        <v>CARLOS FLORES</v>
      </c>
      <c r="K417" s="179">
        <f>(TablaCosechas[[#This Row],[libras planta]]*454)/M417</f>
        <v>195370.88293650793</v>
      </c>
      <c r="L417" s="174">
        <v>8675.5</v>
      </c>
      <c r="M417" s="19">
        <v>20.16</v>
      </c>
      <c r="N417" s="9" t="str">
        <f>UPPER(TEXT(TablaCosechas[[#This Row],[COSECHA]],"MMMM"))</f>
        <v>NOVIEMBRE</v>
      </c>
      <c r="O417" s="9" t="str">
        <f>IF(A417="DO 29","BAP",IF(A417="RO 14","BAP",(VLOOKUP(TablaCosechas[[#This Row],[COD]],Tabla7[[CODIGO]:[CERTIFICACION]],3,0))))</f>
        <v>CONVENCIONAL</v>
      </c>
      <c r="P417" s="180">
        <f>+L417-E417</f>
        <v>75.5</v>
      </c>
      <c r="Q417" s="181">
        <f>+M417-F417</f>
        <v>0.16000000000000014</v>
      </c>
      <c r="R417" s="9"/>
    </row>
    <row r="418" spans="1:18" x14ac:dyDescent="0.25">
      <c r="A418" s="9" t="s">
        <v>207</v>
      </c>
      <c r="B418" s="9">
        <f>ROW() - ROW(TablaCosechas[[#Headers],[ID]]) - 4</f>
        <v>413</v>
      </c>
      <c r="C418" s="9" t="str">
        <f>LEFT(A418,2)</f>
        <v>BA</v>
      </c>
      <c r="D418" s="182" t="s">
        <v>366</v>
      </c>
      <c r="E418" s="178">
        <v>11350</v>
      </c>
      <c r="F418" s="19">
        <v>34</v>
      </c>
      <c r="G418" s="195">
        <v>45962</v>
      </c>
      <c r="H418" s="9" t="str">
        <f>VLOOKUP(TablaCosechas[[#This Row],[COD]],DATOS!$E$3:$F$27,2,0)</f>
        <v>BARRACUDA</v>
      </c>
      <c r="I418" s="9" t="str">
        <f>RIGHT(TablaCosechas[[#This Row],[SECTOR/PISCINA]],2)</f>
        <v>02</v>
      </c>
      <c r="J418" s="9" t="str">
        <f>VLOOKUP(TablaCosechas[[#This Row],[COD]],Tabla7[#All],4,0)</f>
        <v>GUSTAVO CARRASCO</v>
      </c>
      <c r="K418" s="179">
        <f>(TablaCosechas[[#This Row],[libras planta]]*454)/M418</f>
        <v>155287.6246011024</v>
      </c>
      <c r="L418" s="174">
        <v>11790.23</v>
      </c>
      <c r="M418" s="19">
        <v>34.47</v>
      </c>
      <c r="N418" s="9" t="str">
        <f>UPPER(TEXT(TablaCosechas[[#This Row],[COSECHA]],"MMMM"))</f>
        <v>NOVIEMBRE</v>
      </c>
      <c r="O418" s="9" t="str">
        <f>IF(A418="DO 29","BAP",IF(A418="RO 14","BAP",(VLOOKUP(TablaCosechas[[#This Row],[COD]],Tabla7[[CODIGO]:[CERTIFICACION]],3,0))))</f>
        <v>CONVENCIONAL</v>
      </c>
      <c r="P418" s="180">
        <f>+L418-E418</f>
        <v>440.22999999999956</v>
      </c>
      <c r="Q418" s="181">
        <f>+M418-F418</f>
        <v>0.46999999999999886</v>
      </c>
      <c r="R418" s="9"/>
    </row>
    <row r="419" spans="1:18" x14ac:dyDescent="0.25">
      <c r="A419" s="9" t="s">
        <v>328</v>
      </c>
      <c r="B419" s="9">
        <f>ROW() - ROW(TablaCosechas[[#Headers],[ID]]) - 4</f>
        <v>414</v>
      </c>
      <c r="C419" s="9" t="str">
        <f>LEFT(A419,2)</f>
        <v>WA</v>
      </c>
      <c r="D419" s="182" t="s">
        <v>366</v>
      </c>
      <c r="E419" s="178">
        <f>30200+1200</f>
        <v>31400</v>
      </c>
      <c r="F419" s="19">
        <v>17.5</v>
      </c>
      <c r="G419" s="195">
        <v>45964</v>
      </c>
      <c r="H419" s="9" t="str">
        <f>VLOOKUP(TablaCosechas[[#This Row],[COD]],DATOS!$E$3:$F$27,2,0)</f>
        <v>WAHOO</v>
      </c>
      <c r="I419" s="9" t="str">
        <f>RIGHT(TablaCosechas[[#This Row],[SECTOR/PISCINA]],2)</f>
        <v>36</v>
      </c>
      <c r="J419" s="9" t="str">
        <f>VLOOKUP(TablaCosechas[[#This Row],[COD]],Tabla7[#All],4,0)</f>
        <v>JUNIOR ESQUIVEL</v>
      </c>
      <c r="K419" s="179">
        <f>(TablaCosechas[[#This Row],[libras planta]]*454)/M419</f>
        <v>701367.00596205972</v>
      </c>
      <c r="L419" s="174">
        <f>27405.02+1097.67</f>
        <v>28502.690000000002</v>
      </c>
      <c r="M419" s="19">
        <v>18.45</v>
      </c>
      <c r="N419" s="9" t="str">
        <f>UPPER(TEXT(TablaCosechas[[#This Row],[COSECHA]],"MMMM"))</f>
        <v>NOVIEMBRE</v>
      </c>
      <c r="O419" s="9" t="str">
        <f>IF(A419="DO 29","BAP",IF(A419="RO 14","BAP",(VLOOKUP(TablaCosechas[[#This Row],[COD]],Tabla7[[CODIGO]:[CERTIFICACION]],3,0))))</f>
        <v>CONVENCIONAL</v>
      </c>
      <c r="P419" s="180">
        <f>+L419-E419</f>
        <v>-2897.3099999999977</v>
      </c>
      <c r="Q419" s="181">
        <f>+M419-F419</f>
        <v>0.94999999999999929</v>
      </c>
      <c r="R419" s="9"/>
    </row>
    <row r="420" spans="1:18" x14ac:dyDescent="0.25">
      <c r="A420" s="9" t="s">
        <v>230</v>
      </c>
      <c r="B420" s="9">
        <f>ROW() - ROW(TablaCosechas[[#Headers],[ID]]) - 4</f>
        <v>415</v>
      </c>
      <c r="C420" s="9" t="str">
        <f>LEFT(A420,2)</f>
        <v>TA</v>
      </c>
      <c r="D420" s="182" t="s">
        <v>367</v>
      </c>
      <c r="E420" s="178">
        <v>8600</v>
      </c>
      <c r="F420" s="19">
        <v>24</v>
      </c>
      <c r="G420" s="195">
        <v>45964</v>
      </c>
      <c r="H420" s="9" t="str">
        <f>VLOOKUP(TablaCosechas[[#This Row],[COD]],DATOS!$E$3:$F$27,2,0)</f>
        <v>TAMBULERO</v>
      </c>
      <c r="I420" s="9" t="str">
        <f>RIGHT(TablaCosechas[[#This Row],[SECTOR/PISCINA]],2)</f>
        <v>26</v>
      </c>
      <c r="J420" s="9" t="str">
        <f>VLOOKUP(TablaCosechas[[#This Row],[COD]],Tabla7[#All],4,0)</f>
        <v>ALFONSO GRUNAUER</v>
      </c>
      <c r="K420" s="179">
        <f>(TablaCosechas[[#This Row],[libras planta]]*454)/M420</f>
        <v>158879.98693877552</v>
      </c>
      <c r="L420" s="174">
        <v>8573.92</v>
      </c>
      <c r="M420" s="19">
        <v>24.5</v>
      </c>
      <c r="N420" s="9" t="str">
        <f>UPPER(TEXT(TablaCosechas[[#This Row],[COSECHA]],"MMMM"))</f>
        <v>NOVIEMBRE</v>
      </c>
      <c r="O420" s="9" t="str">
        <f>IF(A420="DO 29","BAP",IF(A420="RO 14","BAP",(VLOOKUP(TablaCosechas[[#This Row],[COD]],Tabla7[[CODIGO]:[CERTIFICACION]],3,0))))</f>
        <v>CONVENCIONAL</v>
      </c>
      <c r="P420" s="180">
        <f>+L420-E420</f>
        <v>-26.079999999999927</v>
      </c>
      <c r="Q420" s="181">
        <f>+M420-F420</f>
        <v>0.5</v>
      </c>
      <c r="R420" s="9"/>
    </row>
    <row r="421" spans="1:18" x14ac:dyDescent="0.25">
      <c r="A421" s="9" t="s">
        <v>143</v>
      </c>
      <c r="B421" s="9">
        <f>ROW() - ROW(TablaCosechas[[#Headers],[ID]]) - 4</f>
        <v>416</v>
      </c>
      <c r="C421" s="9" t="str">
        <f>LEFT(A421,2)</f>
        <v>TA</v>
      </c>
      <c r="D421" s="182" t="s">
        <v>366</v>
      </c>
      <c r="E421" s="178">
        <v>47000</v>
      </c>
      <c r="F421" s="19">
        <v>31.5</v>
      </c>
      <c r="G421" s="195">
        <v>45964</v>
      </c>
      <c r="H421" s="9" t="str">
        <f>VLOOKUP(TablaCosechas[[#This Row],[COD]],DATOS!$E$3:$F$27,2,0)</f>
        <v>TAMBULERO</v>
      </c>
      <c r="I421" s="9" t="str">
        <f>RIGHT(TablaCosechas[[#This Row],[SECTOR/PISCINA]],2)</f>
        <v>08</v>
      </c>
      <c r="J421" s="9" t="str">
        <f>VLOOKUP(TablaCosechas[[#This Row],[COD]],Tabla7[#All],4,0)</f>
        <v>ALFONSO GRUNAUER</v>
      </c>
      <c r="K421" s="179">
        <f>(TablaCosechas[[#This Row],[libras planta]]*454)/M421</f>
        <v>679296.59422958875</v>
      </c>
      <c r="L421" s="174">
        <v>48747.759999999995</v>
      </c>
      <c r="M421" s="19">
        <v>32.58</v>
      </c>
      <c r="N421" s="9" t="str">
        <f>UPPER(TEXT(TablaCosechas[[#This Row],[COSECHA]],"MMMM"))</f>
        <v>NOVIEMBRE</v>
      </c>
      <c r="O421" s="9" t="str">
        <f>IF(A421="DO 29","BAP",IF(A421="RO 14","BAP",(VLOOKUP(TablaCosechas[[#This Row],[COD]],Tabla7[[CODIGO]:[CERTIFICACION]],3,0))))</f>
        <v>CONVENCIONAL</v>
      </c>
      <c r="P421" s="180">
        <f>+L421-E421</f>
        <v>1747.7599999999948</v>
      </c>
      <c r="Q421" s="181">
        <f>+M421-F421</f>
        <v>1.0799999999999983</v>
      </c>
      <c r="R421" s="9"/>
    </row>
    <row r="422" spans="1:18" x14ac:dyDescent="0.25">
      <c r="A422" s="9" t="s">
        <v>238</v>
      </c>
      <c r="B422" s="9">
        <f>ROW() - ROW(TablaCosechas[[#Headers],[ID]]) - 4</f>
        <v>417</v>
      </c>
      <c r="C422" s="9" t="str">
        <f>LEFT(A422,2)</f>
        <v>GT</v>
      </c>
      <c r="D422" s="182" t="s">
        <v>367</v>
      </c>
      <c r="E422" s="178">
        <v>10100</v>
      </c>
      <c r="F422" s="19">
        <v>26</v>
      </c>
      <c r="G422" s="195">
        <v>45964</v>
      </c>
      <c r="H422" s="9" t="str">
        <f>VLOOKUP(TablaCosechas[[#This Row],[COD]],DATOS!$E$3:$F$27,2,0)</f>
        <v>GUATO</v>
      </c>
      <c r="I422" s="9" t="str">
        <f>RIGHT(TablaCosechas[[#This Row],[SECTOR/PISCINA]],2)</f>
        <v>06</v>
      </c>
      <c r="J422" s="9" t="str">
        <f>VLOOKUP(TablaCosechas[[#This Row],[COD]],Tabla7[#All],4,0)</f>
        <v>JULIO SANTOS</v>
      </c>
      <c r="K422" s="179">
        <f>(TablaCosechas[[#This Row],[libras planta]]*454)/M422</f>
        <v>184239.43816793893</v>
      </c>
      <c r="L422" s="174">
        <v>10632.32</v>
      </c>
      <c r="M422" s="19">
        <v>26.2</v>
      </c>
      <c r="N422" s="9" t="str">
        <f>UPPER(TEXT(TablaCosechas[[#This Row],[COSECHA]],"MMMM"))</f>
        <v>NOVIEMBRE</v>
      </c>
      <c r="O422" s="9" t="str">
        <f>IF(A422="DO 29","BAP",IF(A422="RO 14","BAP",(VLOOKUP(TablaCosechas[[#This Row],[COD]],Tabla7[[CODIGO]:[CERTIFICACION]],3,0))))</f>
        <v>CONVENCIONAL</v>
      </c>
      <c r="P422" s="180">
        <f>+L422-E422</f>
        <v>532.31999999999971</v>
      </c>
      <c r="Q422" s="181">
        <f>+M422-F422</f>
        <v>0.19999999999999929</v>
      </c>
      <c r="R422" s="9"/>
    </row>
    <row r="423" spans="1:18" x14ac:dyDescent="0.25">
      <c r="A423" s="9" t="s">
        <v>216</v>
      </c>
      <c r="B423" s="9">
        <f>ROW() - ROW(TablaCosechas[[#Headers],[ID]]) - 4</f>
        <v>418</v>
      </c>
      <c r="C423" s="9" t="str">
        <f>LEFT(A423,2)</f>
        <v>DO</v>
      </c>
      <c r="D423" s="182" t="s">
        <v>366</v>
      </c>
      <c r="E423" s="178">
        <v>25150</v>
      </c>
      <c r="F423" s="19">
        <v>39</v>
      </c>
      <c r="G423" s="195">
        <v>45964</v>
      </c>
      <c r="H423" s="9" t="str">
        <f>VLOOKUP(TablaCosechas[[#This Row],[COD]],DATOS!$E$3:$F$27,2,0)</f>
        <v>DORADO</v>
      </c>
      <c r="I423" s="9" t="str">
        <f>RIGHT(TablaCosechas[[#This Row],[SECTOR/PISCINA]],2)</f>
        <v>21</v>
      </c>
      <c r="J423" s="9" t="str">
        <f>VLOOKUP(TablaCosechas[[#This Row],[COD]],Tabla7[#All],4,0)</f>
        <v>JOSE CEDEÑO</v>
      </c>
      <c r="K423" s="179">
        <f>(TablaCosechas[[#This Row],[libras planta]]*454)/M423</f>
        <v>288217.27944800397</v>
      </c>
      <c r="L423" s="174">
        <v>25761.800000000003</v>
      </c>
      <c r="M423" s="19">
        <v>40.58</v>
      </c>
      <c r="N423" s="9" t="str">
        <f>UPPER(TEXT(TablaCosechas[[#This Row],[COSECHA]],"MMMM"))</f>
        <v>NOVIEMBRE</v>
      </c>
      <c r="O423" s="9" t="str">
        <f>IF(A423="DO 29","BAP",IF(A423="RO 14","BAP",(VLOOKUP(TablaCosechas[[#This Row],[COD]],Tabla7[[CODIGO]:[CERTIFICACION]],3,0))))</f>
        <v>ASC</v>
      </c>
      <c r="P423" s="180">
        <f>+L423-E423</f>
        <v>611.80000000000291</v>
      </c>
      <c r="Q423" s="181">
        <f>+M423-F423</f>
        <v>1.5799999999999983</v>
      </c>
      <c r="R423" s="9"/>
    </row>
    <row r="424" spans="1:18" x14ac:dyDescent="0.25">
      <c r="A424" s="9" t="s">
        <v>202</v>
      </c>
      <c r="B424" s="9">
        <f>ROW() - ROW(TablaCosechas[[#Headers],[ID]]) - 4</f>
        <v>419</v>
      </c>
      <c r="C424" s="9" t="str">
        <f>LEFT(A424,2)</f>
        <v>BA</v>
      </c>
      <c r="D424" s="182" t="s">
        <v>366</v>
      </c>
      <c r="E424" s="178">
        <v>30900</v>
      </c>
      <c r="F424" s="19">
        <v>37</v>
      </c>
      <c r="G424" s="195">
        <v>45964</v>
      </c>
      <c r="H424" s="9" t="str">
        <f>VLOOKUP(TablaCosechas[[#This Row],[COD]],DATOS!$E$3:$F$27,2,0)</f>
        <v>BARRACUDA</v>
      </c>
      <c r="I424" s="9" t="str">
        <f>RIGHT(TablaCosechas[[#This Row],[SECTOR/PISCINA]],2)</f>
        <v>04</v>
      </c>
      <c r="J424" s="9" t="str">
        <f>VLOOKUP(TablaCosechas[[#This Row],[COD]],Tabla7[#All],4,0)</f>
        <v>GUSTAVO CARRASCO</v>
      </c>
      <c r="K424" s="179">
        <f>(TablaCosechas[[#This Row],[libras planta]]*454)/M424</f>
        <v>365091.93842996418</v>
      </c>
      <c r="L424" s="174">
        <v>31346.440000000002</v>
      </c>
      <c r="M424" s="19">
        <v>38.979999999999997</v>
      </c>
      <c r="N424" s="9" t="str">
        <f>UPPER(TEXT(TablaCosechas[[#This Row],[COSECHA]],"MMMM"))</f>
        <v>NOVIEMBRE</v>
      </c>
      <c r="O424" s="9" t="str">
        <f>IF(A424="DO 29","BAP",IF(A424="RO 14","BAP",(VLOOKUP(TablaCosechas[[#This Row],[COD]],Tabla7[[CODIGO]:[CERTIFICACION]],3,0))))</f>
        <v>CONVENCIONAL</v>
      </c>
      <c r="P424" s="180">
        <f>+L424-E424</f>
        <v>446.44000000000233</v>
      </c>
      <c r="Q424" s="181">
        <f>+M424-F424</f>
        <v>1.9799999999999969</v>
      </c>
      <c r="R424" s="9"/>
    </row>
    <row r="425" spans="1:18" x14ac:dyDescent="0.25">
      <c r="A425" s="9" t="s">
        <v>330</v>
      </c>
      <c r="B425" s="9">
        <f>ROW() - ROW(TablaCosechas[[#Headers],[ID]]) - 4</f>
        <v>420</v>
      </c>
      <c r="C425" s="9" t="str">
        <f>LEFT(A425,2)</f>
        <v>WA</v>
      </c>
      <c r="D425" s="182" t="s">
        <v>367</v>
      </c>
      <c r="E425" s="178">
        <v>16800</v>
      </c>
      <c r="F425" s="19">
        <v>16</v>
      </c>
      <c r="G425" s="195">
        <v>45965</v>
      </c>
      <c r="H425" s="9" t="str">
        <f>VLOOKUP(TablaCosechas[[#This Row],[COD]],DATOS!$E$3:$F$27,2,0)</f>
        <v>WAHOO</v>
      </c>
      <c r="I425" s="9" t="str">
        <f>RIGHT(TablaCosechas[[#This Row],[SECTOR/PISCINA]],2)</f>
        <v>38</v>
      </c>
      <c r="J425" s="9" t="str">
        <f>VLOOKUP(TablaCosechas[[#This Row],[COD]],Tabla7[#All],4,0)</f>
        <v>JUNIOR ESQUIVEL</v>
      </c>
      <c r="K425" s="179">
        <f>(TablaCosechas[[#This Row],[libras planta]]*454)/M425</f>
        <v>501226.41284403671</v>
      </c>
      <c r="L425" s="174">
        <v>16847.39</v>
      </c>
      <c r="M425" s="19">
        <v>15.26</v>
      </c>
      <c r="N425" s="9" t="str">
        <f>UPPER(TEXT(TablaCosechas[[#This Row],[COSECHA]],"MMMM"))</f>
        <v>NOVIEMBRE</v>
      </c>
      <c r="O425" s="9" t="str">
        <f>IF(A425="DO 29","BAP",IF(A425="RO 14","BAP",(VLOOKUP(TablaCosechas[[#This Row],[COD]],Tabla7[[CODIGO]:[CERTIFICACION]],3,0))))</f>
        <v>CONVENCIONAL</v>
      </c>
      <c r="P425" s="180">
        <f>+L425-E425</f>
        <v>47.389999999999418</v>
      </c>
      <c r="Q425" s="181">
        <f>+M425-F425</f>
        <v>-0.74000000000000021</v>
      </c>
      <c r="R425" s="9"/>
    </row>
    <row r="426" spans="1:18" x14ac:dyDescent="0.25">
      <c r="A426" s="9" t="s">
        <v>215</v>
      </c>
      <c r="B426" s="9">
        <f>ROW() - ROW(TablaCosechas[[#Headers],[ID]]) - 4</f>
        <v>421</v>
      </c>
      <c r="C426" s="9" t="str">
        <f>LEFT(A426,2)</f>
        <v>RO</v>
      </c>
      <c r="D426" s="182" t="s">
        <v>366</v>
      </c>
      <c r="E426" s="178">
        <v>38000</v>
      </c>
      <c r="F426" s="19">
        <v>34</v>
      </c>
      <c r="G426" s="195">
        <v>45965</v>
      </c>
      <c r="H426" s="9" t="str">
        <f>VLOOKUP(TablaCosechas[[#This Row],[COD]],DATOS!$E$3:$F$27,2,0)</f>
        <v>ROBALO</v>
      </c>
      <c r="I426" s="9" t="str">
        <f>RIGHT(TablaCosechas[[#This Row],[SECTOR/PISCINA]],2)</f>
        <v>03</v>
      </c>
      <c r="J426" s="9" t="str">
        <f>VLOOKUP(TablaCosechas[[#This Row],[COD]],Tabla7[#All],4,0)</f>
        <v>VICTOR QUINTANA</v>
      </c>
      <c r="K426" s="179">
        <f>(TablaCosechas[[#This Row],[libras planta]]*454)/M426</f>
        <v>612815.81911675737</v>
      </c>
      <c r="L426" s="174">
        <v>44624.87</v>
      </c>
      <c r="M426" s="19">
        <v>33.06</v>
      </c>
      <c r="N426" s="9" t="str">
        <f>UPPER(TEXT(TablaCosechas[[#This Row],[COSECHA]],"MMMM"))</f>
        <v>NOVIEMBRE</v>
      </c>
      <c r="O426" s="9" t="str">
        <f>IF(A426="DO 29","BAP",IF(A426="RO 14","BAP",(VLOOKUP(TablaCosechas[[#This Row],[COD]],Tabla7[[CODIGO]:[CERTIFICACION]],3,0))))</f>
        <v>ASC</v>
      </c>
      <c r="P426" s="180">
        <f>+L426-E426</f>
        <v>6624.8700000000026</v>
      </c>
      <c r="Q426" s="181">
        <f>+M426-F426</f>
        <v>-0.93999999999999773</v>
      </c>
      <c r="R426" s="9"/>
    </row>
    <row r="427" spans="1:18" x14ac:dyDescent="0.25">
      <c r="A427" s="9" t="s">
        <v>268</v>
      </c>
      <c r="B427" s="9">
        <f>ROW() - ROW(TablaCosechas[[#Headers],[ID]]) - 4</f>
        <v>422</v>
      </c>
      <c r="C427" s="9" t="str">
        <f>LEFT(A427,2)</f>
        <v>MA</v>
      </c>
      <c r="D427" s="182" t="s">
        <v>367</v>
      </c>
      <c r="E427" s="178">
        <v>12000</v>
      </c>
      <c r="F427" s="19">
        <v>23</v>
      </c>
      <c r="G427" s="195">
        <v>45965</v>
      </c>
      <c r="H427" s="9" t="str">
        <f>VLOOKUP(TablaCosechas[[#This Row],[COD]],DATOS!$E$3:$F$26,2,0)</f>
        <v>MANTARRAYA</v>
      </c>
      <c r="I427" s="9" t="str">
        <f>RIGHT(TablaCosechas[[#This Row],[SECTOR/PISCINA]],2)</f>
        <v>10</v>
      </c>
      <c r="J427" s="9" t="str">
        <f>VLOOKUP(TablaCosechas[[#This Row],[COD]],Tabla7[#All],4,0)</f>
        <v>GUSTAVO CARRASCO</v>
      </c>
      <c r="K427" s="179">
        <f>(TablaCosechas[[#This Row],[libras planta]]*454)/M427</f>
        <v>198916.83244478292</v>
      </c>
      <c r="L427" s="174">
        <v>11505.63</v>
      </c>
      <c r="M427" s="19">
        <v>26.26</v>
      </c>
      <c r="N427" s="9" t="str">
        <f>UPPER(TEXT(TablaCosechas[[#This Row],[COSECHA]],"MMMM"))</f>
        <v>NOVIEMBRE</v>
      </c>
      <c r="O427" s="9" t="str">
        <f>IF(A427="DO 29","BAP",IF(A427="RO 14","BAP",(VLOOKUP(TablaCosechas[[#This Row],[COD]],Tabla7[[CODIGO]:[CERTIFICACION]],3,0))))</f>
        <v>ASC</v>
      </c>
      <c r="P427" s="180">
        <f>+L427-E427</f>
        <v>-494.3700000000008</v>
      </c>
      <c r="Q427" s="181">
        <f>+M427-F427</f>
        <v>3.2600000000000016</v>
      </c>
      <c r="R427" s="9"/>
    </row>
    <row r="428" spans="1:18" x14ac:dyDescent="0.25">
      <c r="A428" s="9" t="s">
        <v>246</v>
      </c>
      <c r="B428" s="9">
        <f>ROW() - ROW(TablaCosechas[[#Headers],[ID]]) - 4</f>
        <v>423</v>
      </c>
      <c r="C428" s="9" t="str">
        <f>LEFT(A428,2)</f>
        <v>MA</v>
      </c>
      <c r="D428" s="182" t="s">
        <v>367</v>
      </c>
      <c r="E428" s="178">
        <v>5600</v>
      </c>
      <c r="F428" s="19">
        <v>22</v>
      </c>
      <c r="G428" s="195">
        <v>45965</v>
      </c>
      <c r="H428" s="9" t="str">
        <f>VLOOKUP(TablaCosechas[[#This Row],[COD]],DATOS!$E$3:$F$27,2,0)</f>
        <v>MANTARRAYA</v>
      </c>
      <c r="I428" s="9" t="str">
        <f>RIGHT(TablaCosechas[[#This Row],[SECTOR/PISCINA]],2)</f>
        <v>09</v>
      </c>
      <c r="J428" s="9" t="str">
        <f>VLOOKUP(TablaCosechas[[#This Row],[COD]],Tabla7[#All],4,0)</f>
        <v>GUSTAVO CARRASCO</v>
      </c>
      <c r="K428" s="179">
        <f>(TablaCosechas[[#This Row],[libras planta]]*454)/M428</f>
        <v>110344.18642533936</v>
      </c>
      <c r="L428" s="174">
        <v>5371.38</v>
      </c>
      <c r="M428" s="19">
        <v>22.1</v>
      </c>
      <c r="N428" s="9" t="str">
        <f>UPPER(TEXT(TablaCosechas[[#This Row],[COSECHA]],"MMMM"))</f>
        <v>NOVIEMBRE</v>
      </c>
      <c r="O428" s="9" t="str">
        <f>IF(A428="DO 29","BAP",IF(A428="RO 14","BAP",(VLOOKUP(TablaCosechas[[#This Row],[COD]],Tabla7[[CODIGO]:[CERTIFICACION]],3,0))))</f>
        <v>ASC</v>
      </c>
      <c r="P428" s="180">
        <f>+L428-E428</f>
        <v>-228.61999999999989</v>
      </c>
      <c r="Q428" s="181">
        <f>+M428-F428</f>
        <v>0.10000000000000142</v>
      </c>
      <c r="R428" s="9"/>
    </row>
    <row r="429" spans="1:18" x14ac:dyDescent="0.25">
      <c r="A429" s="9" t="s">
        <v>271</v>
      </c>
      <c r="B429" s="9">
        <f>ROW() - ROW(TablaCosechas[[#Headers],[ID]]) - 4</f>
        <v>424</v>
      </c>
      <c r="C429" s="9" t="str">
        <f>LEFT(A429,2)</f>
        <v>MA</v>
      </c>
      <c r="D429" s="182" t="s">
        <v>367</v>
      </c>
      <c r="E429" s="178">
        <v>8200</v>
      </c>
      <c r="F429" s="19">
        <v>24</v>
      </c>
      <c r="G429" s="195">
        <v>45965</v>
      </c>
      <c r="H429" s="9" t="str">
        <f>VLOOKUP(TablaCosechas[[#This Row],[COD]],DATOS!$E$3:$F$26,2,0)</f>
        <v>MANTARRAYA</v>
      </c>
      <c r="I429" s="9" t="str">
        <f>RIGHT(TablaCosechas[[#This Row],[SECTOR/PISCINA]],2)</f>
        <v>01</v>
      </c>
      <c r="J429" s="9" t="str">
        <f>VLOOKUP(TablaCosechas[[#This Row],[COD]],Tabla7[#All],4,0)</f>
        <v>GUSTAVO CARRASCO</v>
      </c>
      <c r="K429" s="179">
        <f>(TablaCosechas[[#This Row],[libras planta]]*454)/M429</f>
        <v>155285.04505300353</v>
      </c>
      <c r="L429" s="174">
        <v>7743.73</v>
      </c>
      <c r="M429" s="19">
        <v>22.64</v>
      </c>
      <c r="N429" s="9" t="str">
        <f>UPPER(TEXT(TablaCosechas[[#This Row],[COSECHA]],"MMMM"))</f>
        <v>NOVIEMBRE</v>
      </c>
      <c r="O429" s="9" t="str">
        <f>IF(A429="DO 29","BAP",IF(A429="RO 14","BAP",(VLOOKUP(TablaCosechas[[#This Row],[COD]],Tabla7[[CODIGO]:[CERTIFICACION]],3,0))))</f>
        <v>ASC</v>
      </c>
      <c r="P429" s="180">
        <f>+L429-E429</f>
        <v>-456.27000000000044</v>
      </c>
      <c r="Q429" s="181">
        <f>+M429-F429</f>
        <v>-1.3599999999999994</v>
      </c>
      <c r="R429" s="9"/>
    </row>
    <row r="430" spans="1:18" x14ac:dyDescent="0.25">
      <c r="A430" s="9" t="s">
        <v>233</v>
      </c>
      <c r="B430" s="9">
        <f>ROW() - ROW(TablaCosechas[[#Headers],[ID]]) - 4</f>
        <v>425</v>
      </c>
      <c r="C430" s="9" t="str">
        <f>LEFT(A430,2)</f>
        <v>GT</v>
      </c>
      <c r="D430" s="182" t="s">
        <v>367</v>
      </c>
      <c r="E430" s="178">
        <v>8300</v>
      </c>
      <c r="F430" s="19">
        <v>24</v>
      </c>
      <c r="G430" s="195">
        <v>45965</v>
      </c>
      <c r="H430" s="9" t="str">
        <f>VLOOKUP(TablaCosechas[[#This Row],[COD]],DATOS!$E$3:$F$27,2,0)</f>
        <v>GUATO</v>
      </c>
      <c r="I430" s="9" t="str">
        <f>RIGHT(TablaCosechas[[#This Row],[SECTOR/PISCINA]],2)</f>
        <v>14</v>
      </c>
      <c r="J430" s="9" t="str">
        <f>VLOOKUP(TablaCosechas[[#This Row],[COD]],Tabla7[#All],4,0)</f>
        <v>JULIO SANTOS</v>
      </c>
      <c r="K430" s="179">
        <f>(TablaCosechas[[#This Row],[libras planta]]*454)/M430</f>
        <v>134157.1718395155</v>
      </c>
      <c r="L430" s="174">
        <v>7807.12</v>
      </c>
      <c r="M430" s="19">
        <v>26.42</v>
      </c>
      <c r="N430" s="9" t="str">
        <f>UPPER(TEXT(TablaCosechas[[#This Row],[COSECHA]],"MMMM"))</f>
        <v>NOVIEMBRE</v>
      </c>
      <c r="O430" s="9" t="str">
        <f>IF(A430="DO 29","BAP",IF(A430="RO 14","BAP",(VLOOKUP(TablaCosechas[[#This Row],[COD]],Tabla7[[CODIGO]:[CERTIFICACION]],3,0))))</f>
        <v>CONVENCIONAL</v>
      </c>
      <c r="P430" s="180">
        <f>+L430-E430</f>
        <v>-492.88000000000011</v>
      </c>
      <c r="Q430" s="181">
        <f>+M430-F430</f>
        <v>2.4200000000000017</v>
      </c>
      <c r="R430" s="9"/>
    </row>
    <row r="431" spans="1:18" x14ac:dyDescent="0.25">
      <c r="A431" s="9" t="s">
        <v>250</v>
      </c>
      <c r="B431" s="9">
        <f>ROW() - ROW(TablaCosechas[[#Headers],[ID]]) - 4</f>
        <v>426</v>
      </c>
      <c r="C431" s="9" t="str">
        <f>LEFT(A431,2)</f>
        <v>DO</v>
      </c>
      <c r="D431" s="182" t="s">
        <v>367</v>
      </c>
      <c r="E431" s="178">
        <v>8700</v>
      </c>
      <c r="F431" s="19">
        <v>24</v>
      </c>
      <c r="G431" s="195">
        <v>45965</v>
      </c>
      <c r="H431" s="9" t="str">
        <f>VLOOKUP(TablaCosechas[[#This Row],[COD]],DATOS!$E$3:$F$27,2,0)</f>
        <v>DORADO</v>
      </c>
      <c r="I431" s="9" t="str">
        <f>RIGHT(TablaCosechas[[#This Row],[SECTOR/PISCINA]],2)</f>
        <v>10</v>
      </c>
      <c r="J431" s="9" t="str">
        <f>VLOOKUP(TablaCosechas[[#This Row],[COD]],Tabla7[#All],4,0)</f>
        <v>JOSE CEDEÑO</v>
      </c>
      <c r="K431" s="179">
        <f>(TablaCosechas[[#This Row],[libras planta]]*454)/M431</f>
        <v>132610.66917293231</v>
      </c>
      <c r="L431" s="174">
        <v>7769.7</v>
      </c>
      <c r="M431" s="19">
        <v>26.6</v>
      </c>
      <c r="N431" s="9" t="str">
        <f>UPPER(TEXT(TablaCosechas[[#This Row],[COSECHA]],"MMMM"))</f>
        <v>NOVIEMBRE</v>
      </c>
      <c r="O431" s="9" t="str">
        <f>IF(A431="DO 29","BAP",IF(A431="RO 14","BAP",(VLOOKUP(TablaCosechas[[#This Row],[COD]],Tabla7[[CODIGO]:[CERTIFICACION]],3,0))))</f>
        <v>ASC</v>
      </c>
      <c r="P431" s="180">
        <f>+L431-E431</f>
        <v>-930.30000000000018</v>
      </c>
      <c r="Q431" s="181">
        <f>+M431-F431</f>
        <v>2.6000000000000014</v>
      </c>
      <c r="R431" s="9"/>
    </row>
    <row r="432" spans="1:18" x14ac:dyDescent="0.25">
      <c r="A432" s="9" t="s">
        <v>7</v>
      </c>
      <c r="B432" s="9">
        <f>ROW() - ROW(TablaCosechas[[#Headers],[ID]]) - 4</f>
        <v>427</v>
      </c>
      <c r="C432" s="9" t="str">
        <f>LEFT(A432,2)</f>
        <v>CH</v>
      </c>
      <c r="D432" s="182" t="s">
        <v>367</v>
      </c>
      <c r="E432" s="178">
        <v>7200</v>
      </c>
      <c r="F432" s="19">
        <v>27</v>
      </c>
      <c r="G432" s="195">
        <v>45965</v>
      </c>
      <c r="H432" s="9" t="str">
        <f>VLOOKUP(TablaCosechas[[#This Row],[COD]],DATOS!$E$3:$F$26,2,0)</f>
        <v>CHERNA</v>
      </c>
      <c r="I432" s="9" t="str">
        <f>RIGHT(TablaCosechas[[#This Row],[SECTOR/PISCINA]],2)</f>
        <v>01</v>
      </c>
      <c r="J432" s="9" t="str">
        <f>VLOOKUP(TablaCosechas[[#This Row],[COD]],Tabla7[#All],4,0)</f>
        <v>SANTIAGO OBRIEN</v>
      </c>
      <c r="K432" s="179">
        <f>(TablaCosechas[[#This Row],[libras planta]]*454)/M432</f>
        <v>124196.0572755418</v>
      </c>
      <c r="L432" s="174">
        <v>7068.78</v>
      </c>
      <c r="M432" s="19">
        <v>25.84</v>
      </c>
      <c r="N432" s="9" t="str">
        <f>UPPER(TEXT(TablaCosechas[[#This Row],[COSECHA]],"MMMM"))</f>
        <v>NOVIEMBRE</v>
      </c>
      <c r="O432" s="9" t="str">
        <f>IF(A432="DO 29","BAP",IF(A432="RO 14","BAP",(VLOOKUP(TablaCosechas[[#This Row],[COD]],Tabla7[[CODIGO]:[CERTIFICACION]],3,0))))</f>
        <v>ASC</v>
      </c>
      <c r="P432" s="180">
        <f>+L432-E432</f>
        <v>-131.22000000000025</v>
      </c>
      <c r="Q432" s="181">
        <f>+M432-F432</f>
        <v>-1.1600000000000001</v>
      </c>
      <c r="R432" s="9"/>
    </row>
    <row r="433" spans="1:18" x14ac:dyDescent="0.25">
      <c r="A433" s="9" t="s">
        <v>345</v>
      </c>
      <c r="B433" s="9">
        <f>ROW() - ROW(TablaCosechas[[#Headers],[ID]]) - 4</f>
        <v>428</v>
      </c>
      <c r="C433" s="9" t="str">
        <f>LEFT(A433,2)</f>
        <v>WA</v>
      </c>
      <c r="D433" s="182" t="s">
        <v>367</v>
      </c>
      <c r="E433" s="178">
        <v>9500</v>
      </c>
      <c r="F433" s="19">
        <v>16</v>
      </c>
      <c r="G433" s="195">
        <v>45966</v>
      </c>
      <c r="H433" s="9" t="str">
        <f>VLOOKUP(TablaCosechas[[#This Row],[COD]],DATOS!$E$3:$F$27,2,0)</f>
        <v>WAHOO</v>
      </c>
      <c r="I433" s="9" t="str">
        <f>RIGHT(TablaCosechas[[#This Row],[SECTOR/PISCINA]],2)</f>
        <v>35</v>
      </c>
      <c r="J433" s="9" t="str">
        <f>VLOOKUP(TablaCosechas[[#This Row],[COD]],Tabla7[#All],4,0)</f>
        <v>JUNIOR ESQUIVEL</v>
      </c>
      <c r="K433" s="179">
        <f>(TablaCosechas[[#This Row],[libras planta]]*454)/M433</f>
        <v>249060.50061349696</v>
      </c>
      <c r="L433" s="174">
        <v>8942.0400000000009</v>
      </c>
      <c r="M433" s="19">
        <v>16.3</v>
      </c>
      <c r="N433" s="9" t="str">
        <f>UPPER(TEXT(TablaCosechas[[#This Row],[COSECHA]],"MMMM"))</f>
        <v>NOVIEMBRE</v>
      </c>
      <c r="O433" s="9" t="str">
        <f>IF(A433="DO 29","BAP",IF(A433="RO 14","BAP",(VLOOKUP(TablaCosechas[[#This Row],[COD]],Tabla7[[CODIGO]:[CERTIFICACION]],3,0))))</f>
        <v>CONVENCIONAL</v>
      </c>
      <c r="P433" s="180">
        <f>+L433-E433</f>
        <v>-557.95999999999913</v>
      </c>
      <c r="Q433" s="181">
        <f>+M433-F433</f>
        <v>0.30000000000000071</v>
      </c>
      <c r="R433" s="9"/>
    </row>
    <row r="434" spans="1:18" x14ac:dyDescent="0.25">
      <c r="A434" s="9" t="s">
        <v>259</v>
      </c>
      <c r="B434" s="9">
        <f>ROW() - ROW(TablaCosechas[[#Headers],[ID]]) - 4</f>
        <v>429</v>
      </c>
      <c r="C434" s="9" t="str">
        <f>LEFT(A434,2)</f>
        <v>PA</v>
      </c>
      <c r="D434" s="182" t="s">
        <v>366</v>
      </c>
      <c r="E434" s="178">
        <v>11300</v>
      </c>
      <c r="F434" s="19">
        <v>31</v>
      </c>
      <c r="G434" s="195">
        <v>45966</v>
      </c>
      <c r="H434" s="9" t="str">
        <f>VLOOKUP(TablaCosechas[[#This Row],[COD]],DATOS!$E$3:$F$27,2,0)</f>
        <v>PAMPANO</v>
      </c>
      <c r="I434" s="9" t="str">
        <f>RIGHT(TablaCosechas[[#This Row],[SECTOR/PISCINA]],2)</f>
        <v>19</v>
      </c>
      <c r="J434" s="9" t="str">
        <f>VLOOKUP(TablaCosechas[[#This Row],[COD]],Tabla7[#All],4,0)</f>
        <v>GUSTAVO CARRASCO</v>
      </c>
      <c r="K434" s="179">
        <f>(TablaCosechas[[#This Row],[libras planta]]*454)/M434</f>
        <v>173759.96845637582</v>
      </c>
      <c r="L434" s="174">
        <v>11405.39</v>
      </c>
      <c r="M434" s="19">
        <v>29.8</v>
      </c>
      <c r="N434" s="9" t="str">
        <f>UPPER(TEXT(TablaCosechas[[#This Row],[COSECHA]],"MMMM"))</f>
        <v>NOVIEMBRE</v>
      </c>
      <c r="O434" s="9" t="str">
        <f>IF(A434="DO 29","BAP",IF(A434="RO 14","BAP",(VLOOKUP(TablaCosechas[[#This Row],[COD]],Tabla7[[CODIGO]:[CERTIFICACION]],3,0))))</f>
        <v>ASC</v>
      </c>
      <c r="P434" s="180">
        <f>+L434-E434</f>
        <v>105.38999999999942</v>
      </c>
      <c r="Q434" s="181">
        <f>+M434-F434</f>
        <v>-1.1999999999999993</v>
      </c>
      <c r="R434" s="9"/>
    </row>
    <row r="435" spans="1:18" x14ac:dyDescent="0.25">
      <c r="A435" s="9" t="s">
        <v>231</v>
      </c>
      <c r="B435" s="9">
        <f>ROW() - ROW(TablaCosechas[[#Headers],[ID]]) - 4</f>
        <v>430</v>
      </c>
      <c r="C435" s="9" t="str">
        <f>LEFT(A435,2)</f>
        <v>GT</v>
      </c>
      <c r="D435" s="182" t="s">
        <v>367</v>
      </c>
      <c r="E435" s="178">
        <v>2650</v>
      </c>
      <c r="F435" s="19">
        <v>31</v>
      </c>
      <c r="G435" s="195">
        <v>45966</v>
      </c>
      <c r="H435" s="9" t="str">
        <f>VLOOKUP(TablaCosechas[[#This Row],[COD]],DATOS!$E$3:$F$27,2,0)</f>
        <v>GUATO</v>
      </c>
      <c r="I435" s="9" t="str">
        <f>RIGHT(TablaCosechas[[#This Row],[SECTOR/PISCINA]],2)</f>
        <v>16</v>
      </c>
      <c r="J435" s="9" t="str">
        <f>VLOOKUP(TablaCosechas[[#This Row],[COD]],Tabla7[#All],4,0)</f>
        <v>JULIO SANTOS</v>
      </c>
      <c r="K435" s="179">
        <f>(TablaCosechas[[#This Row],[libras planta]]*454)/M435</f>
        <v>37473.340584213802</v>
      </c>
      <c r="L435" s="174">
        <v>2656.15</v>
      </c>
      <c r="M435" s="19">
        <v>32.18</v>
      </c>
      <c r="N435" s="9" t="str">
        <f>UPPER(TEXT(TablaCosechas[[#This Row],[COSECHA]],"MMMM"))</f>
        <v>NOVIEMBRE</v>
      </c>
      <c r="O435" s="9" t="str">
        <f>IF(A435="DO 29","BAP",IF(A435="RO 14","BAP",(VLOOKUP(TablaCosechas[[#This Row],[COD]],Tabla7[[CODIGO]:[CERTIFICACION]],3,0))))</f>
        <v>CONVENCIONAL</v>
      </c>
      <c r="P435" s="180">
        <f>+L435-E435</f>
        <v>6.1500000000000909</v>
      </c>
      <c r="Q435" s="181">
        <f>+M435-F435</f>
        <v>1.1799999999999997</v>
      </c>
      <c r="R435" s="9"/>
    </row>
    <row r="436" spans="1:18" x14ac:dyDescent="0.25">
      <c r="A436" s="9" t="s">
        <v>220</v>
      </c>
      <c r="B436" s="9">
        <f>ROW() - ROW(TablaCosechas[[#Headers],[ID]]) - 4</f>
        <v>431</v>
      </c>
      <c r="C436" s="9" t="str">
        <f>LEFT(A436,2)</f>
        <v>DO</v>
      </c>
      <c r="D436" s="182" t="s">
        <v>367</v>
      </c>
      <c r="E436" s="178">
        <v>15000</v>
      </c>
      <c r="F436" s="19">
        <v>30</v>
      </c>
      <c r="G436" s="195">
        <v>45966</v>
      </c>
      <c r="H436" s="9" t="str">
        <f>VLOOKUP(TablaCosechas[[#This Row],[COD]],DATOS!$E$3:$F$27,2,0)</f>
        <v>DORADO</v>
      </c>
      <c r="I436" s="9" t="str">
        <f>RIGHT(TablaCosechas[[#This Row],[SECTOR/PISCINA]],2)</f>
        <v>13</v>
      </c>
      <c r="J436" s="9" t="str">
        <f>VLOOKUP(TablaCosechas[[#This Row],[COD]],Tabla7[#All],4,0)</f>
        <v>JOSE CEDEÑO</v>
      </c>
      <c r="K436" s="179">
        <f>(TablaCosechas[[#This Row],[libras planta]]*454)/M436</f>
        <v>170543.03382533824</v>
      </c>
      <c r="L436" s="174">
        <v>12215.99</v>
      </c>
      <c r="M436" s="19">
        <v>32.520000000000003</v>
      </c>
      <c r="N436" s="9" t="str">
        <f>UPPER(TEXT(TablaCosechas[[#This Row],[COSECHA]],"MMMM"))</f>
        <v>NOVIEMBRE</v>
      </c>
      <c r="O436" s="9" t="str">
        <f>IF(A436="DO 29","BAP",IF(A436="RO 14","BAP",(VLOOKUP(TablaCosechas[[#This Row],[COD]],Tabla7[[CODIGO]:[CERTIFICACION]],3,0))))</f>
        <v>ASC</v>
      </c>
      <c r="P436" s="180">
        <f>+L436-E436</f>
        <v>-2784.01</v>
      </c>
      <c r="Q436" s="181">
        <f>+M436-F436</f>
        <v>2.5200000000000031</v>
      </c>
      <c r="R436" s="9"/>
    </row>
    <row r="437" spans="1:18" x14ac:dyDescent="0.25">
      <c r="A437" s="9" t="s">
        <v>29</v>
      </c>
      <c r="B437" s="9">
        <f>ROW() - ROW(TablaCosechas[[#Headers],[ID]]) - 4</f>
        <v>432</v>
      </c>
      <c r="C437" s="9" t="str">
        <f>LEFT(A437,2)</f>
        <v>CH</v>
      </c>
      <c r="D437" s="182" t="s">
        <v>367</v>
      </c>
      <c r="E437" s="178">
        <v>2850</v>
      </c>
      <c r="F437" s="19">
        <v>22</v>
      </c>
      <c r="G437" s="195">
        <v>45966</v>
      </c>
      <c r="H437" s="9" t="str">
        <f>VLOOKUP(TablaCosechas[[#This Row],[COD]],DATOS!$E$3:$F$27,2,0)</f>
        <v>CHERNA</v>
      </c>
      <c r="I437" s="9" t="str">
        <f>RIGHT(TablaCosechas[[#This Row],[SECTOR/PISCINA]],2)</f>
        <v>25</v>
      </c>
      <c r="J437" s="9" t="str">
        <f>VLOOKUP(TablaCosechas[[#This Row],[COD]],Tabla7[#All],4,0)</f>
        <v>SANTIAGO OBRIEN</v>
      </c>
      <c r="K437" s="179">
        <f>(TablaCosechas[[#This Row],[libras planta]]*454)/M437</f>
        <v>63904.828837209308</v>
      </c>
      <c r="L437" s="174">
        <v>3026.33</v>
      </c>
      <c r="M437" s="19">
        <v>21.5</v>
      </c>
      <c r="N437" s="9" t="str">
        <f>UPPER(TEXT(TablaCosechas[[#This Row],[COSECHA]],"MMMM"))</f>
        <v>NOVIEMBRE</v>
      </c>
      <c r="O437" s="9" t="str">
        <f>IF(A437="DO 29","BAP",IF(A437="RO 14","BAP",(VLOOKUP(TablaCosechas[[#This Row],[COD]],Tabla7[[CODIGO]:[CERTIFICACION]],3,0))))</f>
        <v>ASC</v>
      </c>
      <c r="P437" s="180">
        <f>+L437-E437</f>
        <v>176.32999999999993</v>
      </c>
      <c r="Q437" s="181">
        <f>+M437-F437</f>
        <v>-0.5</v>
      </c>
      <c r="R437" s="9"/>
    </row>
    <row r="438" spans="1:18" x14ac:dyDescent="0.25">
      <c r="A438" s="9" t="s">
        <v>248</v>
      </c>
      <c r="B438" s="9">
        <f>ROW() - ROW(TablaCosechas[[#Headers],[ID]]) - 4</f>
        <v>433</v>
      </c>
      <c r="C438" s="9" t="str">
        <f>LEFT(A438,2)</f>
        <v>TA</v>
      </c>
      <c r="D438" s="182" t="s">
        <v>367</v>
      </c>
      <c r="E438" s="178">
        <v>7900</v>
      </c>
      <c r="F438" s="19">
        <v>22</v>
      </c>
      <c r="G438" s="195">
        <v>45967</v>
      </c>
      <c r="H438" s="9" t="str">
        <f>VLOOKUP(TablaCosechas[[#This Row],[COD]],DATOS!$E$3:$F$27,2,0)</f>
        <v>TAMBULERO</v>
      </c>
      <c r="I438" s="9" t="str">
        <f>RIGHT(TablaCosechas[[#This Row],[SECTOR/PISCINA]],2)</f>
        <v>16</v>
      </c>
      <c r="J438" s="9" t="str">
        <f>VLOOKUP(TablaCosechas[[#This Row],[COD]],Tabla7[#All],4,0)</f>
        <v>ALFONSO GRUNAUER</v>
      </c>
      <c r="K438" s="179">
        <f>(TablaCosechas[[#This Row],[libras planta]]*454)/M438</f>
        <v>157297.96554770318</v>
      </c>
      <c r="L438" s="215">
        <v>7844.11</v>
      </c>
      <c r="M438" s="19">
        <v>22.64</v>
      </c>
      <c r="N438" s="9" t="str">
        <f>UPPER(TEXT(TablaCosechas[[#This Row],[COSECHA]],"MMMM"))</f>
        <v>NOVIEMBRE</v>
      </c>
      <c r="O438" s="9" t="str">
        <f>IF(A438="DO 29","BAP",IF(A438="RO 14","BAP",(VLOOKUP(TablaCosechas[[#This Row],[COD]],Tabla7[[CODIGO]:[CERTIFICACION]],3,0))))</f>
        <v>CONVENCIONAL</v>
      </c>
      <c r="P438" s="180">
        <f>+L438-E438</f>
        <v>-55.890000000000327</v>
      </c>
      <c r="Q438" s="181">
        <f>+M438-F438</f>
        <v>0.64000000000000057</v>
      </c>
      <c r="R438" s="9"/>
    </row>
    <row r="439" spans="1:18" x14ac:dyDescent="0.25">
      <c r="A439" s="9" t="s">
        <v>221</v>
      </c>
      <c r="B439" s="9">
        <f>ROW() - ROW(TablaCosechas[[#Headers],[ID]]) - 4</f>
        <v>434</v>
      </c>
      <c r="C439" s="9" t="str">
        <f>LEFT(A439,2)</f>
        <v>MA</v>
      </c>
      <c r="D439" s="182" t="s">
        <v>366</v>
      </c>
      <c r="E439" s="178">
        <v>19500</v>
      </c>
      <c r="F439" s="19">
        <v>33</v>
      </c>
      <c r="G439" s="195">
        <v>45967</v>
      </c>
      <c r="H439" s="9" t="str">
        <f>VLOOKUP(TablaCosechas[[#This Row],[COD]],DATOS!$E$3:$F$27,2,0)</f>
        <v>MANTARRAYA</v>
      </c>
      <c r="I439" s="9" t="str">
        <f>RIGHT(TablaCosechas[[#This Row],[SECTOR/PISCINA]],2)</f>
        <v>11</v>
      </c>
      <c r="J439" s="9" t="str">
        <f>VLOOKUP(TablaCosechas[[#This Row],[COD]],Tabla7[#All],4,0)</f>
        <v>GUSTAVO CARRASCO</v>
      </c>
      <c r="K439" s="179">
        <f>(TablaCosechas[[#This Row],[libras planta]]*454)/M439</f>
        <v>243253.80680437427</v>
      </c>
      <c r="L439" s="174">
        <v>17638.580000000002</v>
      </c>
      <c r="M439" s="19">
        <v>32.92</v>
      </c>
      <c r="N439" s="9" t="str">
        <f>UPPER(TEXT(TablaCosechas[[#This Row],[COSECHA]],"MMMM"))</f>
        <v>NOVIEMBRE</v>
      </c>
      <c r="O439" s="9" t="str">
        <f>IF(A439="DO 29","BAP",IF(A439="RO 14","BAP",(VLOOKUP(TablaCosechas[[#This Row],[COD]],Tabla7[[CODIGO]:[CERTIFICACION]],3,0))))</f>
        <v>ASC</v>
      </c>
      <c r="P439" s="180">
        <f>+L439-E439</f>
        <v>-1861.4199999999983</v>
      </c>
      <c r="Q439" s="181">
        <f>+M439-F439</f>
        <v>-7.9999999999998295E-2</v>
      </c>
      <c r="R439" s="9"/>
    </row>
    <row r="440" spans="1:18" x14ac:dyDescent="0.25">
      <c r="A440" s="9" t="s">
        <v>240</v>
      </c>
      <c r="B440" s="9">
        <f>ROW() - ROW(TablaCosechas[[#Headers],[ID]]) - 4</f>
        <v>435</v>
      </c>
      <c r="C440" s="9" t="str">
        <f>LEFT(A440,2)</f>
        <v>GT</v>
      </c>
      <c r="D440" s="182" t="s">
        <v>367</v>
      </c>
      <c r="E440" s="178">
        <v>4000</v>
      </c>
      <c r="F440" s="19">
        <v>24</v>
      </c>
      <c r="G440" s="195">
        <v>45967</v>
      </c>
      <c r="H440" s="9" t="str">
        <f>VLOOKUP(TablaCosechas[[#This Row],[COD]],DATOS!$E$3:$F$26,2,0)</f>
        <v>GUATO</v>
      </c>
      <c r="I440" s="9" t="str">
        <f>RIGHT(TablaCosechas[[#This Row],[SECTOR/PISCINA]],2)</f>
        <v>19</v>
      </c>
      <c r="J440" s="9" t="str">
        <f>VLOOKUP(TablaCosechas[[#This Row],[COD]],Tabla7[#All],4,0)</f>
        <v>JULIO SANTOS</v>
      </c>
      <c r="K440" s="179">
        <f>(TablaCosechas[[#This Row],[libras planta]]*454)/M440</f>
        <v>71672.96336996337</v>
      </c>
      <c r="L440" s="174">
        <v>4309.8500000000004</v>
      </c>
      <c r="M440" s="19">
        <v>27.3</v>
      </c>
      <c r="N440" s="9" t="str">
        <f>UPPER(TEXT(TablaCosechas[[#This Row],[COSECHA]],"MMMM"))</f>
        <v>NOVIEMBRE</v>
      </c>
      <c r="O440" s="9" t="str">
        <f>IF(A440="DO 29","BAP",IF(A440="RO 14","BAP",(VLOOKUP(TablaCosechas[[#This Row],[COD]],Tabla7[[CODIGO]:[CERTIFICACION]],3,0))))</f>
        <v>CONVENCIONAL</v>
      </c>
      <c r="P440" s="180">
        <f>+L440-E440</f>
        <v>309.85000000000036</v>
      </c>
      <c r="Q440" s="181">
        <f>+M440-F440</f>
        <v>3.3000000000000007</v>
      </c>
      <c r="R440" s="9"/>
    </row>
    <row r="441" spans="1:18" x14ac:dyDescent="0.25">
      <c r="A441" s="9" t="s">
        <v>14</v>
      </c>
      <c r="B441" s="9">
        <f>ROW() - ROW(TablaCosechas[[#Headers],[ID]]) - 4</f>
        <v>436</v>
      </c>
      <c r="C441" s="9" t="str">
        <f>LEFT(A441,2)</f>
        <v>CH</v>
      </c>
      <c r="D441" s="182" t="s">
        <v>366</v>
      </c>
      <c r="E441" s="178">
        <v>13950</v>
      </c>
      <c r="F441" s="19">
        <v>36</v>
      </c>
      <c r="G441" s="195">
        <v>45967</v>
      </c>
      <c r="H441" s="9" t="str">
        <f>VLOOKUP(TablaCosechas[[#This Row],[COD]],DATOS!$E$3:$F$27,2,0)</f>
        <v>CHERNA</v>
      </c>
      <c r="I441" s="9" t="str">
        <f>RIGHT(TablaCosechas[[#This Row],[SECTOR/PISCINA]],2)</f>
        <v>08</v>
      </c>
      <c r="J441" s="9" t="str">
        <f>VLOOKUP(TablaCosechas[[#This Row],[COD]],Tabla7[#All],4,0)</f>
        <v>SANTIAGO OBRIEN</v>
      </c>
      <c r="K441" s="179">
        <f>(TablaCosechas[[#This Row],[libras planta]]*454)/M441</f>
        <v>161502.90781337832</v>
      </c>
      <c r="L441" s="174">
        <v>12656.99</v>
      </c>
      <c r="M441" s="19">
        <v>35.58</v>
      </c>
      <c r="N441" s="9" t="str">
        <f>UPPER(TEXT(TablaCosechas[[#This Row],[COSECHA]],"MMMM"))</f>
        <v>NOVIEMBRE</v>
      </c>
      <c r="O441" s="9" t="str">
        <f>IF(A441="DO 29","BAP",IF(A441="RO 14","BAP",(VLOOKUP(TablaCosechas[[#This Row],[COD]],Tabla7[[CODIGO]:[CERTIFICACION]],3,0))))</f>
        <v>ASC</v>
      </c>
      <c r="P441" s="180">
        <f>+L441-E441</f>
        <v>-1293.0100000000002</v>
      </c>
      <c r="Q441" s="181">
        <f>+M441-F441</f>
        <v>-0.42000000000000171</v>
      </c>
      <c r="R441" s="9"/>
    </row>
    <row r="442" spans="1:18" x14ac:dyDescent="0.25">
      <c r="A442" s="9" t="s">
        <v>200</v>
      </c>
      <c r="B442" s="9">
        <f>ROW() - ROW(TablaCosechas[[#Headers],[ID]]) - 4</f>
        <v>437</v>
      </c>
      <c r="C442" s="9" t="str">
        <f>LEFT(A442,2)</f>
        <v>CA</v>
      </c>
      <c r="D442" s="182" t="s">
        <v>366</v>
      </c>
      <c r="E442" s="178">
        <v>50700</v>
      </c>
      <c r="F442" s="19">
        <v>40</v>
      </c>
      <c r="G442" s="195">
        <v>45967</v>
      </c>
      <c r="H442" s="9" t="str">
        <f>VLOOKUP(TablaCosechas[[#This Row],[COD]],DATOS!$E$3:$F$27,2,0)</f>
        <v>CATANUDA</v>
      </c>
      <c r="I442" s="9" t="str">
        <f>RIGHT(TablaCosechas[[#This Row],[SECTOR/PISCINA]],2)</f>
        <v>03</v>
      </c>
      <c r="J442" s="9" t="str">
        <f>VLOOKUP(TablaCosechas[[#This Row],[COD]],Tabla7[#All],4,0)</f>
        <v>VICTOR QUINTANA</v>
      </c>
      <c r="K442" s="179">
        <f>(TablaCosechas[[#This Row],[libras planta]]*454)/M442</f>
        <v>559438.61534701858</v>
      </c>
      <c r="L442" s="174">
        <v>50423.41</v>
      </c>
      <c r="M442" s="19">
        <v>40.92</v>
      </c>
      <c r="N442" s="9" t="str">
        <f>UPPER(TEXT(TablaCosechas[[#This Row],[COSECHA]],"MMMM"))</f>
        <v>NOVIEMBRE</v>
      </c>
      <c r="O442" s="9" t="str">
        <f>IF(A442="DO 29","BAP",IF(A442="RO 14","BAP",(VLOOKUP(TablaCosechas[[#This Row],[COD]],Tabla7[[CODIGO]:[CERTIFICACION]],3,0))))</f>
        <v>ASC</v>
      </c>
      <c r="P442" s="180">
        <f>+L442-E442</f>
        <v>-276.58999999999651</v>
      </c>
      <c r="Q442" s="181">
        <f>+M442-F442</f>
        <v>0.92000000000000171</v>
      </c>
      <c r="R442" s="9"/>
    </row>
    <row r="443" spans="1:18" x14ac:dyDescent="0.25">
      <c r="A443" s="9" t="s">
        <v>374</v>
      </c>
      <c r="B443" s="9">
        <f>ROW() - ROW(TablaCosechas[[#Headers],[ID]]) - 4</f>
        <v>438</v>
      </c>
      <c r="C443" s="9" t="str">
        <f>LEFT(A443,2)</f>
        <v>WA</v>
      </c>
      <c r="D443" s="182" t="s">
        <v>367</v>
      </c>
      <c r="E443" s="178">
        <v>3900</v>
      </c>
      <c r="F443" s="19">
        <v>18</v>
      </c>
      <c r="G443" s="195">
        <v>45968</v>
      </c>
      <c r="H443" s="9" t="str">
        <f>VLOOKUP(TablaCosechas[[#This Row],[COD]],DATOS!$E$3:$F$27,2,0)</f>
        <v>WAHOO</v>
      </c>
      <c r="I443" s="9" t="str">
        <f>RIGHT(TablaCosechas[[#This Row],[SECTOR/PISCINA]],2)</f>
        <v>03</v>
      </c>
      <c r="J443" s="9" t="str">
        <f>VLOOKUP(TablaCosechas[[#This Row],[COD]],Tabla7[#All],4,0)</f>
        <v>JUNIOR ESQUIVEL</v>
      </c>
      <c r="K443" s="179">
        <f>(TablaCosechas[[#This Row],[libras planta]]*454)/M443</f>
        <v>112063.57848101265</v>
      </c>
      <c r="L443" s="174">
        <v>3900.01</v>
      </c>
      <c r="M443" s="19">
        <v>15.8</v>
      </c>
      <c r="N443" s="9" t="str">
        <f>UPPER(TEXT(TablaCosechas[[#This Row],[COSECHA]],"MMMM"))</f>
        <v>NOVIEMBRE</v>
      </c>
      <c r="O443" s="9" t="str">
        <f>IF(A443="DO 29","BAP",IF(A443="RO 14","BAP",(VLOOKUP(TablaCosechas[[#This Row],[COD]],Tabla7[[CODIGO]:[CERTIFICACION]],3,0))))</f>
        <v>CONVENCIONAL</v>
      </c>
      <c r="P443" s="180">
        <f>+L443-E443</f>
        <v>1.0000000000218279E-2</v>
      </c>
      <c r="Q443" s="181">
        <f>+M443-F443</f>
        <v>-2.1999999999999993</v>
      </c>
      <c r="R443" s="9"/>
    </row>
    <row r="444" spans="1:18" x14ac:dyDescent="0.25">
      <c r="A444" s="9" t="s">
        <v>181</v>
      </c>
      <c r="B444" s="9">
        <f>ROW() - ROW(TablaCosechas[[#Headers],[ID]]) - 4</f>
        <v>439</v>
      </c>
      <c r="C444" s="9" t="str">
        <f>LEFT(A444,2)</f>
        <v>TA</v>
      </c>
      <c r="D444" s="182" t="s">
        <v>367</v>
      </c>
      <c r="E444" s="178">
        <v>15000</v>
      </c>
      <c r="F444" s="19">
        <v>18</v>
      </c>
      <c r="G444" s="195">
        <v>45968</v>
      </c>
      <c r="H444" s="9" t="str">
        <f>VLOOKUP(TablaCosechas[[#This Row],[COD]],DATOS!$E$3:$F$26,2,0)</f>
        <v>TAMBULERO</v>
      </c>
      <c r="I444" s="9" t="str">
        <f>RIGHT(TablaCosechas[[#This Row],[SECTOR/PISCINA]],2)</f>
        <v>10</v>
      </c>
      <c r="J444" s="9" t="str">
        <f>VLOOKUP(TablaCosechas[[#This Row],[COD]],Tabla7[#All],4,0)</f>
        <v>ALFONSO GRUNAUER</v>
      </c>
      <c r="K444" s="179">
        <f>(TablaCosechas[[#This Row],[libras planta]]*454)/M444</f>
        <v>368762.22292993631</v>
      </c>
      <c r="L444" s="174">
        <v>15302.82</v>
      </c>
      <c r="M444" s="19">
        <v>18.84</v>
      </c>
      <c r="N444" s="9" t="str">
        <f>UPPER(TEXT(TablaCosechas[[#This Row],[COSECHA]],"MMMM"))</f>
        <v>NOVIEMBRE</v>
      </c>
      <c r="O444" s="9" t="str">
        <f>IF(A444="DO 29","BAP",IF(A444="RO 14","BAP",(VLOOKUP(TablaCosechas[[#This Row],[COD]],Tabla7[[CODIGO]:[CERTIFICACION]],3,0))))</f>
        <v>CONVENCIONAL</v>
      </c>
      <c r="P444" s="180">
        <f>+L444-E444</f>
        <v>302.81999999999971</v>
      </c>
      <c r="Q444" s="181">
        <f>+M444-F444</f>
        <v>0.83999999999999986</v>
      </c>
      <c r="R444" s="9"/>
    </row>
    <row r="445" spans="1:18" x14ac:dyDescent="0.25">
      <c r="A445" s="9" t="s">
        <v>247</v>
      </c>
      <c r="B445" s="9">
        <f>ROW() - ROW(TablaCosechas[[#Headers],[ID]]) - 4</f>
        <v>440</v>
      </c>
      <c r="C445" s="9" t="str">
        <f>LEFT(A445,2)</f>
        <v>PA</v>
      </c>
      <c r="D445" s="182" t="s">
        <v>366</v>
      </c>
      <c r="E445" s="178">
        <v>73300</v>
      </c>
      <c r="F445" s="19">
        <v>30</v>
      </c>
      <c r="G445" s="195">
        <v>45968</v>
      </c>
      <c r="H445" s="9" t="str">
        <f>VLOOKUP(TablaCosechas[[#This Row],[COD]],DATOS!$E$3:$F$27,2,0)</f>
        <v>PAMPANO</v>
      </c>
      <c r="I445" s="9" t="str">
        <f>RIGHT(TablaCosechas[[#This Row],[SECTOR/PISCINA]],2)</f>
        <v>18</v>
      </c>
      <c r="J445" s="9" t="str">
        <f>VLOOKUP(TablaCosechas[[#This Row],[COD]],Tabla7[#All],4,0)</f>
        <v>GUSTAVO CARRASCO</v>
      </c>
      <c r="K445" s="179">
        <f>(TablaCosechas[[#This Row],[libras planta]]*454)/M445</f>
        <v>1046524.1012909631</v>
      </c>
      <c r="L445" s="174">
        <v>69637.649999999994</v>
      </c>
      <c r="M445" s="19">
        <v>30.21</v>
      </c>
      <c r="N445" s="9" t="str">
        <f>UPPER(TEXT(TablaCosechas[[#This Row],[COSECHA]],"MMMM"))</f>
        <v>NOVIEMBRE</v>
      </c>
      <c r="O445" s="9" t="str">
        <f>IF(A445="DO 29","BAP",IF(A445="RO 14","BAP",(VLOOKUP(TablaCosechas[[#This Row],[COD]],Tabla7[[CODIGO]:[CERTIFICACION]],3,0))))</f>
        <v>ASC</v>
      </c>
      <c r="P445" s="180">
        <f>+L445-E445</f>
        <v>-3662.3500000000058</v>
      </c>
      <c r="Q445" s="181">
        <f>+M445-F445</f>
        <v>0.21000000000000085</v>
      </c>
      <c r="R445" s="9"/>
    </row>
    <row r="446" spans="1:18" x14ac:dyDescent="0.25">
      <c r="A446" s="9" t="s">
        <v>243</v>
      </c>
      <c r="B446" s="9">
        <f>ROW() - ROW(TablaCosechas[[#Headers],[ID]]) - 4</f>
        <v>441</v>
      </c>
      <c r="C446" s="9" t="str">
        <f>LEFT(A446,2)</f>
        <v>GT</v>
      </c>
      <c r="D446" s="182" t="s">
        <v>367</v>
      </c>
      <c r="E446" s="178">
        <v>2600</v>
      </c>
      <c r="F446" s="19">
        <v>25</v>
      </c>
      <c r="G446" s="195">
        <v>45968</v>
      </c>
      <c r="H446" s="9" t="str">
        <f>VLOOKUP(TablaCosechas[[#This Row],[COD]],DATOS!$E$3:$F$27,2,0)</f>
        <v>GUATO</v>
      </c>
      <c r="I446" s="9" t="str">
        <f>RIGHT(TablaCosechas[[#This Row],[SECTOR/PISCINA]],2)</f>
        <v>20</v>
      </c>
      <c r="J446" s="9" t="str">
        <f>VLOOKUP(TablaCosechas[[#This Row],[COD]],Tabla7[#All],4,0)</f>
        <v>JULIO SANTOS</v>
      </c>
      <c r="K446" s="179">
        <f>(TablaCosechas[[#This Row],[libras planta]]*454)/M446</f>
        <v>44814.143507972665</v>
      </c>
      <c r="L446" s="174">
        <v>2600.0100000000002</v>
      </c>
      <c r="M446" s="19">
        <v>26.34</v>
      </c>
      <c r="N446" s="9" t="str">
        <f>UPPER(TEXT(TablaCosechas[[#This Row],[COSECHA]],"MMMM"))</f>
        <v>NOVIEMBRE</v>
      </c>
      <c r="O446" s="9" t="str">
        <f>IF(A446="DO 29","BAP",IF(A446="RO 14","BAP",(VLOOKUP(TablaCosechas[[#This Row],[COD]],Tabla7[[CODIGO]:[CERTIFICACION]],3,0))))</f>
        <v>CONVENCIONAL</v>
      </c>
      <c r="P446" s="180">
        <f>+L446-E446</f>
        <v>1.0000000000218279E-2</v>
      </c>
      <c r="Q446" s="181">
        <f>+M446-F446</f>
        <v>1.3399999999999999</v>
      </c>
      <c r="R446" s="9"/>
    </row>
    <row r="447" spans="1:18" x14ac:dyDescent="0.25">
      <c r="A447" s="9" t="s">
        <v>265</v>
      </c>
      <c r="B447" s="9">
        <f>ROW() - ROW(TablaCosechas[[#Headers],[ID]]) - 4</f>
        <v>442</v>
      </c>
      <c r="C447" s="9" t="str">
        <f>LEFT(A447,2)</f>
        <v>DE</v>
      </c>
      <c r="D447" s="182" t="s">
        <v>367</v>
      </c>
      <c r="E447" s="178">
        <v>4600</v>
      </c>
      <c r="F447" s="19">
        <v>21</v>
      </c>
      <c r="G447" s="195">
        <v>45968</v>
      </c>
      <c r="H447" s="9" t="str">
        <f>VLOOKUP(TablaCosechas[[#This Row],[COD]],DATOS!$E$3:$F$27,2,0)</f>
        <v>DELFIN</v>
      </c>
      <c r="I447" s="9" t="str">
        <f>RIGHT(TablaCosechas[[#This Row],[SECTOR/PISCINA]],2)</f>
        <v>04</v>
      </c>
      <c r="J447" s="9" t="str">
        <f>VLOOKUP(TablaCosechas[[#This Row],[COD]],Tabla7[#All],4,0)</f>
        <v>CARLOS FLORES</v>
      </c>
      <c r="K447" s="179">
        <f>(TablaCosechas[[#This Row],[libras planta]]*454)/M447</f>
        <v>121438.81989528795</v>
      </c>
      <c r="L447" s="174">
        <v>5108.99</v>
      </c>
      <c r="M447" s="19">
        <v>19.100000000000001</v>
      </c>
      <c r="N447" s="9" t="str">
        <f>UPPER(TEXT(TablaCosechas[[#This Row],[COSECHA]],"MMMM"))</f>
        <v>NOVIEMBRE</v>
      </c>
      <c r="O447" s="9" t="str">
        <f>IF(A447="DO 29","BAP",IF(A447="RO 14","BAP",(VLOOKUP(TablaCosechas[[#This Row],[COD]],Tabla7[[CODIGO]:[CERTIFICACION]],3,0))))</f>
        <v>CONVENCIONAL</v>
      </c>
      <c r="P447" s="180">
        <f>+L447-E447</f>
        <v>508.98999999999978</v>
      </c>
      <c r="Q447" s="181">
        <f>+M447-F447</f>
        <v>-1.8999999999999986</v>
      </c>
      <c r="R447" s="9"/>
    </row>
    <row r="448" spans="1:18" x14ac:dyDescent="0.25">
      <c r="A448" s="9" t="s">
        <v>10</v>
      </c>
      <c r="B448" s="9">
        <f>ROW() - ROW(TablaCosechas[[#Headers],[ID]]) - 4</f>
        <v>443</v>
      </c>
      <c r="C448" s="9" t="str">
        <f>LEFT(A448,2)</f>
        <v>CH</v>
      </c>
      <c r="D448" s="182" t="s">
        <v>366</v>
      </c>
      <c r="E448" s="178">
        <v>30000</v>
      </c>
      <c r="F448" s="19">
        <v>33</v>
      </c>
      <c r="G448" s="195">
        <v>45968</v>
      </c>
      <c r="H448" s="9" t="str">
        <f>VLOOKUP(TablaCosechas[[#This Row],[COD]],DATOS!$E$3:$F$27,2,0)</f>
        <v>CHERNA</v>
      </c>
      <c r="I448" s="9" t="str">
        <f>RIGHT(TablaCosechas[[#This Row],[SECTOR/PISCINA]],2)</f>
        <v>04</v>
      </c>
      <c r="J448" s="9" t="str">
        <f>VLOOKUP(TablaCosechas[[#This Row],[COD]],Tabla7[#All],4,0)</f>
        <v>SANTIAGO OBRIEN</v>
      </c>
      <c r="K448" s="179">
        <f>(TablaCosechas[[#This Row],[libras planta]]*454)/M448</f>
        <v>425600.73142112122</v>
      </c>
      <c r="L448" s="174">
        <v>28760.86</v>
      </c>
      <c r="M448" s="19">
        <v>30.68</v>
      </c>
      <c r="N448" s="9" t="str">
        <f>UPPER(TEXT(TablaCosechas[[#This Row],[COSECHA]],"MMMM"))</f>
        <v>NOVIEMBRE</v>
      </c>
      <c r="O448" s="9" t="str">
        <f>IF(A448="DO 29","BAP",IF(A448="RO 14","BAP",(VLOOKUP(TablaCosechas[[#This Row],[COD]],Tabla7[[CODIGO]:[CERTIFICACION]],3,0))))</f>
        <v>ASC</v>
      </c>
      <c r="P448" s="180">
        <f>+L448-E448</f>
        <v>-1239.1399999999994</v>
      </c>
      <c r="Q448" s="181">
        <f>+M448-F448</f>
        <v>-2.3200000000000003</v>
      </c>
      <c r="R448" s="9"/>
    </row>
    <row r="449" spans="1:18" x14ac:dyDescent="0.25">
      <c r="A449" s="9" t="s">
        <v>203</v>
      </c>
      <c r="B449" s="9">
        <f>ROW() - ROW(TablaCosechas[[#Headers],[ID]]) - 4</f>
        <v>444</v>
      </c>
      <c r="C449" s="9" t="str">
        <f>LEFT(A449,2)</f>
        <v>CA</v>
      </c>
      <c r="D449" s="182" t="s">
        <v>366</v>
      </c>
      <c r="E449" s="178">
        <v>28950</v>
      </c>
      <c r="F449" s="19">
        <v>36</v>
      </c>
      <c r="G449" s="195">
        <v>45968</v>
      </c>
      <c r="H449" s="9" t="str">
        <f>VLOOKUP(TablaCosechas[[#This Row],[COD]],DATOS!$E$3:$F$27,2,0)</f>
        <v>CATANUDA</v>
      </c>
      <c r="I449" s="9" t="str">
        <f>RIGHT(TablaCosechas[[#This Row],[SECTOR/PISCINA]],2)</f>
        <v>04</v>
      </c>
      <c r="J449" s="9" t="str">
        <f>VLOOKUP(TablaCosechas[[#This Row],[COD]],Tabla7[#All],4,0)</f>
        <v>VICTOR QUINTANA</v>
      </c>
      <c r="K449" s="179">
        <f>(TablaCosechas[[#This Row],[libras planta]]*454)/M449</f>
        <v>421772.85652642942</v>
      </c>
      <c r="L449" s="174">
        <v>34447.880000000005</v>
      </c>
      <c r="M449" s="19">
        <v>37.08</v>
      </c>
      <c r="N449" s="9" t="str">
        <f>UPPER(TEXT(TablaCosechas[[#This Row],[COSECHA]],"MMMM"))</f>
        <v>NOVIEMBRE</v>
      </c>
      <c r="O449" s="9" t="str">
        <f>IF(A449="DO 29","BAP",IF(A449="RO 14","BAP",(VLOOKUP(TablaCosechas[[#This Row],[COD]],Tabla7[[CODIGO]:[CERTIFICACION]],3,0))))</f>
        <v>ASC</v>
      </c>
      <c r="P449" s="180">
        <f>+L449-E449</f>
        <v>5497.8800000000047</v>
      </c>
      <c r="Q449" s="181">
        <f>+M449-F449</f>
        <v>1.0799999999999983</v>
      </c>
      <c r="R449" s="9"/>
    </row>
    <row r="450" spans="1:18" x14ac:dyDescent="0.25">
      <c r="A450" s="9" t="s">
        <v>218</v>
      </c>
      <c r="B450" s="9">
        <f>ROW() - ROW(TablaCosechas[[#Headers],[ID]]) - 4</f>
        <v>445</v>
      </c>
      <c r="C450" s="9" t="str">
        <f>LEFT(A450,2)</f>
        <v>TU</v>
      </c>
      <c r="D450" s="182" t="s">
        <v>366</v>
      </c>
      <c r="E450" s="178">
        <v>32050</v>
      </c>
      <c r="F450" s="19">
        <v>31</v>
      </c>
      <c r="G450" s="195">
        <v>45969</v>
      </c>
      <c r="H450" s="9" t="str">
        <f>VLOOKUP(TablaCosechas[[#This Row],[COD]],DATOS!$E$3:$F$27,2,0)</f>
        <v>TUNA</v>
      </c>
      <c r="I450" s="9" t="str">
        <f>RIGHT(TablaCosechas[[#This Row],[SECTOR/PISCINA]],2)</f>
        <v>06</v>
      </c>
      <c r="J450" s="9" t="str">
        <f>VLOOKUP(TablaCosechas[[#This Row],[COD]],Tabla7[#All],4,0)</f>
        <v>GUSTAVO CARRASCO</v>
      </c>
      <c r="K450" s="179">
        <f>(TablaCosechas[[#This Row],[libras planta]]*454)/M450</f>
        <v>424545.24790187215</v>
      </c>
      <c r="L450" s="174">
        <v>28970.07</v>
      </c>
      <c r="M450" s="19">
        <v>30.98</v>
      </c>
      <c r="N450" s="9" t="str">
        <f>UPPER(TEXT(TablaCosechas[[#This Row],[COSECHA]],"MMMM"))</f>
        <v>NOVIEMBRE</v>
      </c>
      <c r="O450" s="9" t="str">
        <f>IF(A450="DO 29","BAP",IF(A450="RO 14","BAP",(VLOOKUP(TablaCosechas[[#This Row],[COD]],Tabla7[[CODIGO]:[CERTIFICACION]],3,0))))</f>
        <v>ASC</v>
      </c>
      <c r="P450" s="180">
        <f>+L450-E450</f>
        <v>-3079.9300000000003</v>
      </c>
      <c r="Q450" s="181">
        <f>+M450-F450</f>
        <v>-1.9999999999999574E-2</v>
      </c>
      <c r="R450" s="9"/>
    </row>
    <row r="451" spans="1:18" x14ac:dyDescent="0.25">
      <c r="A451" s="9" t="s">
        <v>199</v>
      </c>
      <c r="B451" s="9">
        <f>ROW() - ROW(TablaCosechas[[#Headers],[ID]]) - 4</f>
        <v>446</v>
      </c>
      <c r="C451" s="9" t="str">
        <f>LEFT(A451,2)</f>
        <v>RO</v>
      </c>
      <c r="D451" s="182" t="s">
        <v>366</v>
      </c>
      <c r="E451" s="178">
        <v>48400</v>
      </c>
      <c r="F451" s="19">
        <v>32</v>
      </c>
      <c r="G451" s="195">
        <v>45969</v>
      </c>
      <c r="H451" s="9" t="str">
        <f>VLOOKUP(TablaCosechas[[#This Row],[COD]],DATOS!$E$3:$F$27,2,0)</f>
        <v>ROBALO</v>
      </c>
      <c r="I451" s="9" t="str">
        <f>RIGHT(TablaCosechas[[#This Row],[SECTOR/PISCINA]],2)</f>
        <v>08</v>
      </c>
      <c r="J451" s="9" t="str">
        <f>VLOOKUP(TablaCosechas[[#This Row],[COD]],Tabla7[#All],4,0)</f>
        <v>VICTOR QUINTANA</v>
      </c>
      <c r="K451" s="179">
        <f>(TablaCosechas[[#This Row],[libras planta]]*454)/M451</f>
        <v>874590.25270528311</v>
      </c>
      <c r="L451" s="174">
        <v>60527.81</v>
      </c>
      <c r="M451" s="19">
        <v>31.42</v>
      </c>
      <c r="N451" s="9" t="str">
        <f>UPPER(TEXT(TablaCosechas[[#This Row],[COSECHA]],"MMMM"))</f>
        <v>NOVIEMBRE</v>
      </c>
      <c r="O451" s="9" t="str">
        <f>IF(A451="DO 29","BAP",IF(A451="RO 14","BAP",(VLOOKUP(TablaCosechas[[#This Row],[COD]],Tabla7[[CODIGO]:[CERTIFICACION]],3,0))))</f>
        <v>ASC</v>
      </c>
      <c r="P451" s="180">
        <f>+L451-E451</f>
        <v>12127.809999999998</v>
      </c>
      <c r="Q451" s="181">
        <f>+M451-F451</f>
        <v>-0.57999999999999829</v>
      </c>
      <c r="R451" s="9"/>
    </row>
    <row r="452" spans="1:18" x14ac:dyDescent="0.25">
      <c r="A452" s="9" t="s">
        <v>161</v>
      </c>
      <c r="B452" s="9">
        <f>ROW() - ROW(TablaCosechas[[#Headers],[ID]]) - 4</f>
        <v>447</v>
      </c>
      <c r="C452" s="9" t="str">
        <f>LEFT(A452,2)</f>
        <v>PR</v>
      </c>
      <c r="D452" s="182" t="s">
        <v>366</v>
      </c>
      <c r="E452" s="178">
        <v>25500</v>
      </c>
      <c r="F452" s="19">
        <v>21</v>
      </c>
      <c r="G452" s="195">
        <v>45969</v>
      </c>
      <c r="H452" s="9" t="str">
        <f>VLOOKUP(TablaCosechas[[#This Row],[COD]],DATOS!$E$3:$F$27,2,0)</f>
        <v>PARGO ROJO</v>
      </c>
      <c r="I452" s="9" t="str">
        <f>RIGHT(TablaCosechas[[#This Row],[SECTOR/PISCINA]],2)</f>
        <v>27</v>
      </c>
      <c r="J452" s="9" t="str">
        <f>VLOOKUP(TablaCosechas[[#This Row],[COD]],Tabla7[#All],4,0)</f>
        <v>WILMER TORRES</v>
      </c>
      <c r="K452" s="179">
        <f>(TablaCosechas[[#This Row],[libras planta]]*454)/M452</f>
        <v>599649.19447287614</v>
      </c>
      <c r="L452" s="174">
        <v>25808.69</v>
      </c>
      <c r="M452" s="19">
        <v>19.54</v>
      </c>
      <c r="N452" s="9" t="str">
        <f>UPPER(TEXT(TablaCosechas[[#This Row],[COSECHA]],"MMMM"))</f>
        <v>NOVIEMBRE</v>
      </c>
      <c r="O452" s="9" t="str">
        <f>IF(A452="DO 29","BAP",IF(A452="RO 14","BAP",(VLOOKUP(TablaCosechas[[#This Row],[COD]],Tabla7[[CODIGO]:[CERTIFICACION]],3,0))))</f>
        <v>CONVENCIONAL</v>
      </c>
      <c r="P452" s="180">
        <f>+L452-E452</f>
        <v>308.68999999999869</v>
      </c>
      <c r="Q452" s="181">
        <f>+M452-F452</f>
        <v>-1.4600000000000009</v>
      </c>
      <c r="R452" s="9"/>
    </row>
    <row r="453" spans="1:18" x14ac:dyDescent="0.25">
      <c r="A453" s="9" t="s">
        <v>247</v>
      </c>
      <c r="B453" s="9">
        <f>ROW() - ROW(TablaCosechas[[#Headers],[ID]]) - 4</f>
        <v>448</v>
      </c>
      <c r="C453" s="9" t="str">
        <f>LEFT(A453,2)</f>
        <v>PA</v>
      </c>
      <c r="D453" s="182" t="s">
        <v>366</v>
      </c>
      <c r="E453" s="178">
        <v>2650</v>
      </c>
      <c r="F453" s="19">
        <v>30</v>
      </c>
      <c r="G453" s="195">
        <v>45969</v>
      </c>
      <c r="H453" s="9" t="str">
        <f>VLOOKUP(TablaCosechas[[#This Row],[COD]],DATOS!$E$3:$F$27,2,0)</f>
        <v>PAMPANO</v>
      </c>
      <c r="I453" s="9" t="str">
        <f>RIGHT(TablaCosechas[[#This Row],[SECTOR/PISCINA]],2)</f>
        <v>18</v>
      </c>
      <c r="J453" s="9" t="str">
        <f>VLOOKUP(TablaCosechas[[#This Row],[COD]],Tabla7[#All],4,0)</f>
        <v>GUSTAVO CARRASCO</v>
      </c>
      <c r="K453" s="179">
        <f>(TablaCosechas[[#This Row],[libras planta]]*454)/M453</f>
        <v>40454.991724594496</v>
      </c>
      <c r="L453" s="174">
        <v>2691.95</v>
      </c>
      <c r="M453" s="19">
        <v>30.21</v>
      </c>
      <c r="N453" s="9" t="str">
        <f>UPPER(TEXT(TablaCosechas[[#This Row],[COSECHA]],"MMMM"))</f>
        <v>NOVIEMBRE</v>
      </c>
      <c r="O453" s="9" t="str">
        <f>IF(A453="DO 29","BAP",IF(A453="RO 14","BAP",(VLOOKUP(TablaCosechas[[#This Row],[COD]],Tabla7[[CODIGO]:[CERTIFICACION]],3,0))))</f>
        <v>ASC</v>
      </c>
      <c r="P453" s="180">
        <f>+L453-E453</f>
        <v>41.949999999999818</v>
      </c>
      <c r="Q453" s="181">
        <f>+M453-F453</f>
        <v>0.21000000000000085</v>
      </c>
      <c r="R453" s="9"/>
    </row>
    <row r="454" spans="1:18" x14ac:dyDescent="0.25">
      <c r="A454" s="9" t="s">
        <v>276</v>
      </c>
      <c r="B454" s="9">
        <f>ROW() - ROW(TablaCosechas[[#Headers],[ID]]) - 4</f>
        <v>449</v>
      </c>
      <c r="C454" s="9" t="str">
        <f>LEFT(A454,2)</f>
        <v>DE</v>
      </c>
      <c r="D454" s="182" t="s">
        <v>367</v>
      </c>
      <c r="E454" s="178">
        <v>10000</v>
      </c>
      <c r="F454" s="19">
        <v>20</v>
      </c>
      <c r="G454" s="195">
        <v>45969</v>
      </c>
      <c r="H454" s="9" t="str">
        <f>VLOOKUP(TablaCosechas[[#This Row],[COD]],DATOS!$E$3:$F$27,2,0)</f>
        <v>DELFIN</v>
      </c>
      <c r="I454" s="9" t="str">
        <f>RIGHT(TablaCosechas[[#This Row],[SECTOR/PISCINA]],2)</f>
        <v>08</v>
      </c>
      <c r="J454" s="9" t="str">
        <f>VLOOKUP(TablaCosechas[[#This Row],[COD]],Tabla7[#All],4,0)</f>
        <v>CARLOS FLORES</v>
      </c>
      <c r="K454" s="179">
        <f>(TablaCosechas[[#This Row],[libras planta]]*454)/M454</f>
        <v>209441.38862559243</v>
      </c>
      <c r="L454" s="174">
        <v>9733.9500000000007</v>
      </c>
      <c r="M454" s="19">
        <v>21.1</v>
      </c>
      <c r="N454" s="9" t="str">
        <f>UPPER(TEXT(TablaCosechas[[#This Row],[COSECHA]],"MMMM"))</f>
        <v>NOVIEMBRE</v>
      </c>
      <c r="O454" s="9" t="str">
        <f>IF(A454="DO 29","BAP",IF(A454="RO 14","BAP",(VLOOKUP(TablaCosechas[[#This Row],[COD]],Tabla7[[CODIGO]:[CERTIFICACION]],3,0))))</f>
        <v>CONVENCIONAL</v>
      </c>
      <c r="P454" s="180">
        <f>+L454-E454</f>
        <v>-266.04999999999927</v>
      </c>
      <c r="Q454" s="181">
        <f>+M454-F454</f>
        <v>1.1000000000000014</v>
      </c>
      <c r="R454" s="9"/>
    </row>
    <row r="455" spans="1:18" x14ac:dyDescent="0.25">
      <c r="A455" s="9" t="s">
        <v>21</v>
      </c>
      <c r="B455" s="9">
        <f>ROW() - ROW(TablaCosechas[[#Headers],[ID]]) - 4</f>
        <v>450</v>
      </c>
      <c r="C455" s="9" t="str">
        <f>LEFT(A455,2)</f>
        <v>CH</v>
      </c>
      <c r="D455" s="182" t="s">
        <v>366</v>
      </c>
      <c r="E455" s="178">
        <v>13500</v>
      </c>
      <c r="F455" s="19">
        <v>35</v>
      </c>
      <c r="G455" s="195">
        <v>45969</v>
      </c>
      <c r="H455" s="9" t="str">
        <f>VLOOKUP(TablaCosechas[[#This Row],[COD]],DATOS!$E$3:$F$27,2,0)</f>
        <v>CHERNA</v>
      </c>
      <c r="I455" s="9" t="str">
        <f>RIGHT(TablaCosechas[[#This Row],[SECTOR/PISCINA]],2)</f>
        <v>15</v>
      </c>
      <c r="J455" s="9" t="str">
        <f>VLOOKUP(TablaCosechas[[#This Row],[COD]],Tabla7[#All],4,0)</f>
        <v>SANTIAGO OBRIEN</v>
      </c>
      <c r="K455" s="179">
        <f>(TablaCosechas[[#This Row],[libras planta]]*454)/M455</f>
        <v>166392.71869539894</v>
      </c>
      <c r="L455" s="174">
        <v>12585.74</v>
      </c>
      <c r="M455" s="19">
        <v>34.340000000000003</v>
      </c>
      <c r="N455" s="9" t="str">
        <f>UPPER(TEXT(TablaCosechas[[#This Row],[COSECHA]],"MMMM"))</f>
        <v>NOVIEMBRE</v>
      </c>
      <c r="O455" s="9" t="str">
        <f>IF(A455="DO 29","BAP",IF(A455="RO 14","BAP",(VLOOKUP(TablaCosechas[[#This Row],[COD]],Tabla7[[CODIGO]:[CERTIFICACION]],3,0))))</f>
        <v>ASC</v>
      </c>
      <c r="P455" s="180">
        <f>+L455-E455</f>
        <v>-914.26000000000022</v>
      </c>
      <c r="Q455" s="181">
        <f>+M455-F455</f>
        <v>-0.65999999999999659</v>
      </c>
      <c r="R455" s="9"/>
    </row>
    <row r="456" spans="1:18" x14ac:dyDescent="0.25">
      <c r="A456" s="9" t="s">
        <v>173</v>
      </c>
      <c r="B456" s="9">
        <f>ROW() - ROW(TablaCosechas[[#Headers],[ID]]) - 4</f>
        <v>451</v>
      </c>
      <c r="C456" s="9" t="str">
        <f>LEFT(A456,2)</f>
        <v>TI</v>
      </c>
      <c r="D456" s="182" t="s">
        <v>366</v>
      </c>
      <c r="E456" s="178">
        <v>69050</v>
      </c>
      <c r="F456" s="19">
        <v>36</v>
      </c>
      <c r="G456" s="195">
        <v>45970</v>
      </c>
      <c r="H456" s="9" t="str">
        <f>VLOOKUP(TablaCosechas[[#This Row],[COD]],DATOS!$E$3:$F$27,2,0)</f>
        <v>TIBURON</v>
      </c>
      <c r="I456" s="9" t="str">
        <f>RIGHT(TablaCosechas[[#This Row],[SECTOR/PISCINA]],2)</f>
        <v>01</v>
      </c>
      <c r="J456" s="9" t="str">
        <f>VLOOKUP(TablaCosechas[[#This Row],[COD]],Tabla7[#All],4,0)</f>
        <v>ALFONSO GRUNAUER</v>
      </c>
      <c r="K456" s="179">
        <f>(TablaCosechas[[#This Row],[libras planta]]*454)/M456</f>
        <v>829900.3116531166</v>
      </c>
      <c r="L456" s="174">
        <v>67452.25</v>
      </c>
      <c r="M456" s="19">
        <v>36.9</v>
      </c>
      <c r="N456" s="9" t="str">
        <f>UPPER(TEXT(TablaCosechas[[#This Row],[COSECHA]],"MMMM"))</f>
        <v>NOVIEMBRE</v>
      </c>
      <c r="O456" s="9" t="str">
        <f>IF(A456="DO 29","BAP",IF(A456="RO 14","BAP",(VLOOKUP(TablaCosechas[[#This Row],[COD]],Tabla7[[CODIGO]:[CERTIFICACION]],3,0))))</f>
        <v>ASC</v>
      </c>
      <c r="P456" s="180">
        <f>+L456-E456</f>
        <v>-1597.75</v>
      </c>
      <c r="Q456" s="181">
        <f>+M456-F456</f>
        <v>0.89999999999999858</v>
      </c>
      <c r="R456" s="9"/>
    </row>
    <row r="457" spans="1:18" x14ac:dyDescent="0.25">
      <c r="A457" s="9" t="s">
        <v>149</v>
      </c>
      <c r="B457" s="9">
        <f>ROW() - ROW(TablaCosechas[[#Headers],[ID]]) - 4</f>
        <v>452</v>
      </c>
      <c r="C457" s="9" t="str">
        <f>LEFT(A457,2)</f>
        <v>PR</v>
      </c>
      <c r="D457" s="182" t="s">
        <v>366</v>
      </c>
      <c r="E457" s="178">
        <v>26800</v>
      </c>
      <c r="F457" s="19">
        <v>22</v>
      </c>
      <c r="G457" s="195">
        <v>45970</v>
      </c>
      <c r="H457" s="9" t="str">
        <f>VLOOKUP(TablaCosechas[[#This Row],[COD]],DATOS!$E$3:$F$27,2,0)</f>
        <v>PARGO ROJO</v>
      </c>
      <c r="I457" s="9" t="str">
        <f>RIGHT(TablaCosechas[[#This Row],[SECTOR/PISCINA]],2)</f>
        <v>31</v>
      </c>
      <c r="J457" s="9" t="str">
        <f>VLOOKUP(TablaCosechas[[#This Row],[COD]],Tabla7[#All],4,0)</f>
        <v>WILMER TORRES</v>
      </c>
      <c r="K457" s="179">
        <f>(TablaCosechas[[#This Row],[libras planta]]*454)/M457</f>
        <v>562780.81061946903</v>
      </c>
      <c r="L457" s="174">
        <v>28015.08</v>
      </c>
      <c r="M457" s="19">
        <v>22.6</v>
      </c>
      <c r="N457" s="9" t="str">
        <f>UPPER(TEXT(TablaCosechas[[#This Row],[COSECHA]],"MMMM"))</f>
        <v>NOVIEMBRE</v>
      </c>
      <c r="O457" s="9" t="str">
        <f>IF(A457="DO 29","BAP",IF(A457="RO 14","BAP",(VLOOKUP(TablaCosechas[[#This Row],[COD]],Tabla7[[CODIGO]:[CERTIFICACION]],3,0))))</f>
        <v>CONVENCIONAL</v>
      </c>
      <c r="P457" s="180">
        <f>+L457-E457</f>
        <v>1215.0800000000017</v>
      </c>
      <c r="Q457" s="181">
        <f>+M457-F457</f>
        <v>0.60000000000000142</v>
      </c>
      <c r="R457" s="9"/>
    </row>
    <row r="458" spans="1:18" x14ac:dyDescent="0.25">
      <c r="A458" s="9" t="s">
        <v>219</v>
      </c>
      <c r="B458" s="9">
        <f>ROW() - ROW(TablaCosechas[[#Headers],[ID]]) - 4</f>
        <v>453</v>
      </c>
      <c r="C458" s="9" t="str">
        <f>LEFT(A458,2)</f>
        <v>DO</v>
      </c>
      <c r="D458" s="182" t="s">
        <v>366</v>
      </c>
      <c r="E458" s="178">
        <v>57250</v>
      </c>
      <c r="F458" s="19">
        <v>38</v>
      </c>
      <c r="G458" s="195">
        <v>45970</v>
      </c>
      <c r="H458" s="9" t="str">
        <f>VLOOKUP(TablaCosechas[[#This Row],[COD]],DATOS!$E$3:$F$27,2,0)</f>
        <v>DORADO</v>
      </c>
      <c r="I458" s="9" t="str">
        <f>RIGHT(TablaCosechas[[#This Row],[SECTOR/PISCINA]],2)</f>
        <v>11</v>
      </c>
      <c r="J458" s="9" t="str">
        <f>VLOOKUP(TablaCosechas[[#This Row],[COD]],Tabla7[#All],4,0)</f>
        <v>JOSE CEDEÑO</v>
      </c>
      <c r="K458" s="179">
        <f>(TablaCosechas[[#This Row],[libras planta]]*454)/M458</f>
        <v>695294.08074866317</v>
      </c>
      <c r="L458" s="174">
        <v>57277.53</v>
      </c>
      <c r="M458" s="19">
        <v>37.4</v>
      </c>
      <c r="N458" s="9" t="str">
        <f>UPPER(TEXT(TablaCosechas[[#This Row],[COSECHA]],"MMMM"))</f>
        <v>NOVIEMBRE</v>
      </c>
      <c r="O458" s="9" t="str">
        <f>IF(A458="DO 29","BAP",IF(A458="RO 14","BAP",(VLOOKUP(TablaCosechas[[#This Row],[COD]],Tabla7[[CODIGO]:[CERTIFICACION]],3,0))))</f>
        <v>ASC</v>
      </c>
      <c r="P458" s="180">
        <f>+L458-E458</f>
        <v>27.529999999998836</v>
      </c>
      <c r="Q458" s="181">
        <f>+M458-F458</f>
        <v>-0.60000000000000142</v>
      </c>
      <c r="R458" s="9"/>
    </row>
    <row r="459" spans="1:18" x14ac:dyDescent="0.25">
      <c r="A459" s="9" t="s">
        <v>296</v>
      </c>
      <c r="B459" s="9">
        <f>ROW() - ROW(TablaCosechas[[#Headers],[ID]]) - 4</f>
        <v>454</v>
      </c>
      <c r="C459" s="9" t="str">
        <f>LEFT(A459,2)</f>
        <v>DE</v>
      </c>
      <c r="D459" s="182" t="s">
        <v>367</v>
      </c>
      <c r="E459" s="178">
        <v>8700</v>
      </c>
      <c r="F459" s="19">
        <v>21</v>
      </c>
      <c r="G459" s="195">
        <v>45970</v>
      </c>
      <c r="H459" s="9" t="str">
        <f>VLOOKUP(TablaCosechas[[#This Row],[COD]],DATOS!$E$3:$F$27,2,0)</f>
        <v>DELFIN</v>
      </c>
      <c r="I459" s="9" t="str">
        <f>RIGHT(TablaCosechas[[#This Row],[SECTOR/PISCINA]],2)</f>
        <v>01</v>
      </c>
      <c r="J459" s="9" t="str">
        <f>VLOOKUP(TablaCosechas[[#This Row],[COD]],Tabla7[#All],4,0)</f>
        <v>CARLOS FLORES</v>
      </c>
      <c r="K459" s="179">
        <f>(TablaCosechas[[#This Row],[libras planta]]*454)/M459</f>
        <v>172669.24548049478</v>
      </c>
      <c r="L459" s="174">
        <v>7994.51</v>
      </c>
      <c r="M459" s="19">
        <v>21.02</v>
      </c>
      <c r="N459" s="9" t="str">
        <f>UPPER(TEXT(TablaCosechas[[#This Row],[COSECHA]],"MMMM"))</f>
        <v>NOVIEMBRE</v>
      </c>
      <c r="O459" s="9" t="str">
        <f>IF(A459="DO 29","BAP",IF(A459="RO 14","BAP",(VLOOKUP(TablaCosechas[[#This Row],[COD]],Tabla7[[CODIGO]:[CERTIFICACION]],3,0))))</f>
        <v>CONVENCIONAL</v>
      </c>
      <c r="P459" s="180">
        <f>+L459-E459</f>
        <v>-705.48999999999978</v>
      </c>
      <c r="Q459" s="181">
        <f>+M459-F459</f>
        <v>1.9999999999999574E-2</v>
      </c>
      <c r="R459" s="9"/>
    </row>
    <row r="460" spans="1:18" x14ac:dyDescent="0.25">
      <c r="A460" s="9" t="s">
        <v>15</v>
      </c>
      <c r="B460" s="9">
        <f>ROW() - ROW(TablaCosechas[[#Headers],[ID]]) - 4</f>
        <v>455</v>
      </c>
      <c r="C460" s="9" t="str">
        <f>LEFT(A460,2)</f>
        <v>CH</v>
      </c>
      <c r="D460" s="182" t="s">
        <v>367</v>
      </c>
      <c r="E460" s="178">
        <v>13000</v>
      </c>
      <c r="F460" s="19">
        <v>24</v>
      </c>
      <c r="G460" s="195">
        <v>45970</v>
      </c>
      <c r="H460" s="9" t="str">
        <f>VLOOKUP(TablaCosechas[[#This Row],[COD]],DATOS!$E$3:$F$26,2,0)</f>
        <v>CHERNA</v>
      </c>
      <c r="I460" s="9" t="str">
        <f>RIGHT(TablaCosechas[[#This Row],[SECTOR/PISCINA]],2)</f>
        <v>09</v>
      </c>
      <c r="J460" s="9" t="str">
        <f>VLOOKUP(TablaCosechas[[#This Row],[COD]],Tabla7[#All],4,0)</f>
        <v>SANTIAGO OBRIEN</v>
      </c>
      <c r="K460" s="179">
        <f>(TablaCosechas[[#This Row],[libras planta]]*454)/M460</f>
        <v>267392.40718562878</v>
      </c>
      <c r="L460" s="174">
        <v>13770.12</v>
      </c>
      <c r="M460" s="19">
        <v>23.38</v>
      </c>
      <c r="N460" s="9" t="str">
        <f>UPPER(TEXT(TablaCosechas[[#This Row],[COSECHA]],"MMMM"))</f>
        <v>NOVIEMBRE</v>
      </c>
      <c r="O460" s="9" t="str">
        <f>IF(A460="DO 29","BAP",IF(A460="RO 14","BAP",(VLOOKUP(TablaCosechas[[#This Row],[COD]],Tabla7[[CODIGO]:[CERTIFICACION]],3,0))))</f>
        <v>ASC</v>
      </c>
      <c r="P460" s="180">
        <f>+L460-E460</f>
        <v>770.1200000000008</v>
      </c>
      <c r="Q460" s="181">
        <f>+M460-F460</f>
        <v>-0.62000000000000099</v>
      </c>
      <c r="R460" s="9"/>
    </row>
    <row r="461" spans="1:18" x14ac:dyDescent="0.25">
      <c r="A461" s="9" t="s">
        <v>300</v>
      </c>
      <c r="B461" s="9">
        <f>ROW() - ROW(TablaCosechas[[#Headers],[ID]]) - 4</f>
        <v>456</v>
      </c>
      <c r="C461" s="9" t="str">
        <f>LEFT(A461,2)</f>
        <v>TI</v>
      </c>
      <c r="D461" s="182" t="s">
        <v>367</v>
      </c>
      <c r="E461" s="178">
        <v>11000</v>
      </c>
      <c r="F461" s="19">
        <v>20</v>
      </c>
      <c r="G461" s="195">
        <v>45971</v>
      </c>
      <c r="H461" s="9" t="str">
        <f>VLOOKUP(TablaCosechas[[#This Row],[COD]],DATOS!$E$3:$F$26,2,0)</f>
        <v>TIBURON</v>
      </c>
      <c r="I461" s="9" t="str">
        <f>RIGHT(TablaCosechas[[#This Row],[SECTOR/PISCINA]],2)</f>
        <v>15</v>
      </c>
      <c r="J461" s="9" t="str">
        <f>VLOOKUP(TablaCosechas[[#This Row],[COD]],Tabla7[#All],4,0)</f>
        <v>ALFONSO GRUNAUER</v>
      </c>
      <c r="K461" s="179">
        <f>(TablaCosechas[[#This Row],[libras planta]]*454)/M461</f>
        <v>239409.94684684687</v>
      </c>
      <c r="L461" s="174">
        <v>11706.83</v>
      </c>
      <c r="M461" s="19">
        <v>22.2</v>
      </c>
      <c r="N461" s="9" t="str">
        <f>UPPER(TEXT(TablaCosechas[[#This Row],[COSECHA]],"MMMM"))</f>
        <v>NOVIEMBRE</v>
      </c>
      <c r="O461" s="9" t="str">
        <f>IF(A461="DO 29","BAP",IF(A461="RO 14","BAP",(VLOOKUP(TablaCosechas[[#This Row],[COD]],Tabla7[[CODIGO]:[CERTIFICACION]],3,0))))</f>
        <v>ASC</v>
      </c>
      <c r="P461" s="180">
        <f>+L461-E461</f>
        <v>706.82999999999993</v>
      </c>
      <c r="Q461" s="181">
        <f>+M461-F461</f>
        <v>2.1999999999999993</v>
      </c>
      <c r="R461" s="9"/>
    </row>
    <row r="462" spans="1:18" x14ac:dyDescent="0.25">
      <c r="A462" s="9" t="s">
        <v>146</v>
      </c>
      <c r="B462" s="9">
        <f>ROW() - ROW(TablaCosechas[[#Headers],[ID]]) - 4</f>
        <v>457</v>
      </c>
      <c r="C462" s="9" t="str">
        <f>LEFT(A462,2)</f>
        <v>PR</v>
      </c>
      <c r="D462" s="182" t="s">
        <v>366</v>
      </c>
      <c r="E462" s="178">
        <v>20200</v>
      </c>
      <c r="F462" s="19">
        <v>23</v>
      </c>
      <c r="G462" s="195">
        <v>45971</v>
      </c>
      <c r="H462" s="9" t="str">
        <f>VLOOKUP(TablaCosechas[[#This Row],[COD]],DATOS!$E$3:$F$27,2,0)</f>
        <v>PARGO ROJO</v>
      </c>
      <c r="I462" s="9" t="str">
        <f>RIGHT(TablaCosechas[[#This Row],[SECTOR/PISCINA]],2)</f>
        <v>29</v>
      </c>
      <c r="J462" s="9" t="str">
        <f>VLOOKUP(TablaCosechas[[#This Row],[COD]],Tabla7[#All],4,0)</f>
        <v>WILMER TORRES</v>
      </c>
      <c r="K462" s="179">
        <f>(TablaCosechas[[#This Row],[libras planta]]*454)/M462</f>
        <v>380497.59156118147</v>
      </c>
      <c r="L462" s="174">
        <v>19862.98</v>
      </c>
      <c r="M462" s="19">
        <v>23.7</v>
      </c>
      <c r="N462" s="9" t="str">
        <f>UPPER(TEXT(TablaCosechas[[#This Row],[COSECHA]],"MMMM"))</f>
        <v>NOVIEMBRE</v>
      </c>
      <c r="O462" s="9" t="str">
        <f>IF(A462="DO 29","BAP",IF(A462="RO 14","BAP",(VLOOKUP(TablaCosechas[[#This Row],[COD]],Tabla7[[CODIGO]:[CERTIFICACION]],3,0))))</f>
        <v>CONVENCIONAL</v>
      </c>
      <c r="P462" s="180">
        <f>+L462-E462</f>
        <v>-337.02000000000044</v>
      </c>
      <c r="Q462" s="181">
        <f>+M462-F462</f>
        <v>0.69999999999999929</v>
      </c>
      <c r="R462" s="9"/>
    </row>
    <row r="463" spans="1:18" x14ac:dyDescent="0.25">
      <c r="A463" s="9" t="s">
        <v>267</v>
      </c>
      <c r="B463" s="9">
        <f>ROW() - ROW(TablaCosechas[[#Headers],[ID]]) - 4</f>
        <v>458</v>
      </c>
      <c r="C463" s="9" t="str">
        <f>LEFT(A463,2)</f>
        <v>DO</v>
      </c>
      <c r="D463" s="182" t="s">
        <v>367</v>
      </c>
      <c r="E463" s="178">
        <v>9200</v>
      </c>
      <c r="F463" s="19">
        <v>25</v>
      </c>
      <c r="G463" s="195">
        <v>45971</v>
      </c>
      <c r="H463" s="9" t="str">
        <f>VLOOKUP(TablaCosechas[[#This Row],[COD]],DATOS!$E$3:$F$27,2,0)</f>
        <v>DORADO</v>
      </c>
      <c r="I463" s="9" t="str">
        <f>RIGHT(TablaCosechas[[#This Row],[SECTOR/PISCINA]],2)</f>
        <v>17</v>
      </c>
      <c r="J463" s="9" t="str">
        <f>VLOOKUP(TablaCosechas[[#This Row],[COD]],Tabla7[#All],4,0)</f>
        <v>JOSE CEDEÑO</v>
      </c>
      <c r="K463" s="179">
        <f>(TablaCosechas[[#This Row],[libras planta]]*454)/M463</f>
        <v>117713.55115884681</v>
      </c>
      <c r="L463" s="174">
        <v>9173.36</v>
      </c>
      <c r="M463" s="19">
        <v>35.380000000000003</v>
      </c>
      <c r="N463" s="9" t="str">
        <f>UPPER(TEXT(TablaCosechas[[#This Row],[COSECHA]],"MMMM"))</f>
        <v>NOVIEMBRE</v>
      </c>
      <c r="O463" s="9" t="str">
        <f>IF(A463="DO 29","BAP",IF(A463="RO 14","BAP",(VLOOKUP(TablaCosechas[[#This Row],[COD]],Tabla7[[CODIGO]:[CERTIFICACION]],3,0))))</f>
        <v>ASC</v>
      </c>
      <c r="P463" s="180">
        <f>+L463-E463</f>
        <v>-26.639999999999418</v>
      </c>
      <c r="Q463" s="181">
        <f>+M463-F463</f>
        <v>10.380000000000003</v>
      </c>
      <c r="R463" s="9"/>
    </row>
    <row r="464" spans="1:18" x14ac:dyDescent="0.25">
      <c r="A464" s="9" t="s">
        <v>252</v>
      </c>
      <c r="B464" s="9">
        <f>ROW() - ROW(TablaCosechas[[#Headers],[ID]]) - 4</f>
        <v>459</v>
      </c>
      <c r="C464" s="9" t="str">
        <f>LEFT(A464,2)</f>
        <v>DE</v>
      </c>
      <c r="D464" s="182" t="s">
        <v>367</v>
      </c>
      <c r="E464" s="178">
        <v>9000</v>
      </c>
      <c r="F464" s="19">
        <v>21</v>
      </c>
      <c r="G464" s="195">
        <v>45971</v>
      </c>
      <c r="H464" s="9" t="str">
        <f>VLOOKUP(TablaCosechas[[#This Row],[COD]],DATOS!$E$3:$F$26,2,0)</f>
        <v>DELFIN</v>
      </c>
      <c r="I464" s="9" t="str">
        <f>RIGHT(TablaCosechas[[#This Row],[SECTOR/PISCINA]],2)</f>
        <v>13</v>
      </c>
      <c r="J464" s="9" t="str">
        <f>VLOOKUP(TablaCosechas[[#This Row],[COD]],Tabla7[#All],4,0)</f>
        <v>CARLOS FLORES</v>
      </c>
      <c r="K464" s="179">
        <f>(TablaCosechas[[#This Row],[libras planta]]*454)/M464</f>
        <v>175848.05446009387</v>
      </c>
      <c r="L464" s="174">
        <v>8250.14</v>
      </c>
      <c r="M464" s="19">
        <v>21.3</v>
      </c>
      <c r="N464" s="9" t="str">
        <f>UPPER(TEXT(TablaCosechas[[#This Row],[COSECHA]],"MMMM"))</f>
        <v>NOVIEMBRE</v>
      </c>
      <c r="O464" s="9" t="str">
        <f>IF(A464="DO 29","BAP",IF(A464="RO 14","BAP",(VLOOKUP(TablaCosechas[[#This Row],[COD]],Tabla7[[CODIGO]:[CERTIFICACION]],3,0))))</f>
        <v>CONVENCIONAL</v>
      </c>
      <c r="P464" s="180">
        <f>+L464-E464</f>
        <v>-749.86000000000058</v>
      </c>
      <c r="Q464" s="181">
        <f>+M464-F464</f>
        <v>0.30000000000000071</v>
      </c>
      <c r="R464" s="9"/>
    </row>
    <row r="465" spans="1:18" x14ac:dyDescent="0.25">
      <c r="A465" s="9" t="s">
        <v>28</v>
      </c>
      <c r="B465" s="9">
        <f>ROW() - ROW(TablaCosechas[[#Headers],[ID]]) - 4</f>
        <v>460</v>
      </c>
      <c r="C465" s="9" t="str">
        <f>LEFT(A465,2)</f>
        <v>CH</v>
      </c>
      <c r="D465" s="182" t="s">
        <v>367</v>
      </c>
      <c r="E465" s="178">
        <v>7000</v>
      </c>
      <c r="F465" s="19">
        <v>23.5</v>
      </c>
      <c r="G465" s="195">
        <v>45971</v>
      </c>
      <c r="H465" s="9" t="str">
        <f>VLOOKUP(TablaCosechas[[#This Row],[COD]],DATOS!$E$3:$F$26,2,0)</f>
        <v>CHERNA</v>
      </c>
      <c r="I465" s="9" t="str">
        <f>RIGHT(TablaCosechas[[#This Row],[SECTOR/PISCINA]],2)</f>
        <v>22</v>
      </c>
      <c r="J465" s="9" t="str">
        <f>VLOOKUP(TablaCosechas[[#This Row],[COD]],Tabla7[#All],4,0)</f>
        <v>SANTIAGO OBRIEN</v>
      </c>
      <c r="K465" s="179">
        <f>(TablaCosechas[[#This Row],[libras planta]]*454)/M465</f>
        <v>140254.86283185842</v>
      </c>
      <c r="L465" s="174">
        <v>6981.85</v>
      </c>
      <c r="M465" s="19">
        <v>22.6</v>
      </c>
      <c r="N465" s="9" t="str">
        <f>UPPER(TEXT(TablaCosechas[[#This Row],[COSECHA]],"MMMM"))</f>
        <v>NOVIEMBRE</v>
      </c>
      <c r="O465" s="9" t="str">
        <f>IF(A465="DO 29","BAP",IF(A465="RO 14","BAP",(VLOOKUP(TablaCosechas[[#This Row],[COD]],Tabla7[[CODIGO]:[CERTIFICACION]],3,0))))</f>
        <v>ASC</v>
      </c>
      <c r="P465" s="180">
        <f>+L465-E465</f>
        <v>-18.149999999999636</v>
      </c>
      <c r="Q465" s="181">
        <f>+M465-F465</f>
        <v>-0.89999999999999858</v>
      </c>
      <c r="R465" s="9"/>
    </row>
    <row r="466" spans="1:18" x14ac:dyDescent="0.25">
      <c r="A466" s="9" t="s">
        <v>245</v>
      </c>
      <c r="B466" s="9">
        <f>ROW() - ROW(TablaCosechas[[#Headers],[ID]]) - 4</f>
        <v>461</v>
      </c>
      <c r="C466" s="9" t="str">
        <f>LEFT(A466,2)</f>
        <v>CA</v>
      </c>
      <c r="D466" s="182" t="s">
        <v>367</v>
      </c>
      <c r="E466" s="178">
        <v>12200</v>
      </c>
      <c r="F466" s="19">
        <v>24</v>
      </c>
      <c r="G466" s="195">
        <v>45971</v>
      </c>
      <c r="H466" s="9" t="str">
        <f>VLOOKUP(TablaCosechas[[#This Row],[COD]],DATOS!$E$3:$F$26,2,0)</f>
        <v>CATANUDA</v>
      </c>
      <c r="I466" s="9" t="str">
        <f>RIGHT(TablaCosechas[[#This Row],[SECTOR/PISCINA]],2)</f>
        <v>16</v>
      </c>
      <c r="J466" s="9" t="str">
        <f>VLOOKUP(TablaCosechas[[#This Row],[COD]],Tabla7[#All],4,0)</f>
        <v>VICTOR QUINTANA</v>
      </c>
      <c r="K466" s="179">
        <f>(TablaCosechas[[#This Row],[libras planta]]*454)/M466</f>
        <v>221731.34455128206</v>
      </c>
      <c r="L466" s="174">
        <v>12190.34</v>
      </c>
      <c r="M466" s="19">
        <v>24.96</v>
      </c>
      <c r="N466" s="9" t="str">
        <f>UPPER(TEXT(TablaCosechas[[#This Row],[COSECHA]],"MMMM"))</f>
        <v>NOVIEMBRE</v>
      </c>
      <c r="O466" s="9" t="str">
        <f>IF(A466="DO 29","BAP",IF(A466="RO 14","BAP",(VLOOKUP(TablaCosechas[[#This Row],[COD]],Tabla7[[CODIGO]:[CERTIFICACION]],3,0))))</f>
        <v>ASC</v>
      </c>
      <c r="P466" s="180">
        <f>+L466-E466</f>
        <v>-9.6599999999998545</v>
      </c>
      <c r="Q466" s="181">
        <f>+M466-F466</f>
        <v>0.96000000000000085</v>
      </c>
      <c r="R466" s="9"/>
    </row>
    <row r="467" spans="1:18" x14ac:dyDescent="0.25">
      <c r="A467" s="9" t="s">
        <v>226</v>
      </c>
      <c r="B467" s="9">
        <f>ROW() - ROW(TablaCosechas[[#Headers],[ID]]) - 4</f>
        <v>462</v>
      </c>
      <c r="C467" s="9" t="str">
        <f>LEFT(A467,2)</f>
        <v>BA</v>
      </c>
      <c r="D467" s="182" t="s">
        <v>366</v>
      </c>
      <c r="E467" s="178">
        <v>26000</v>
      </c>
      <c r="F467" s="19">
        <v>31</v>
      </c>
      <c r="G467" s="195">
        <v>45971</v>
      </c>
      <c r="H467" s="9" t="str">
        <f>VLOOKUP(TablaCosechas[[#This Row],[COD]],DATOS!$E$3:$F$27,2,0)</f>
        <v>BARRACUDA</v>
      </c>
      <c r="I467" s="9" t="str">
        <f>RIGHT(TablaCosechas[[#This Row],[SECTOR/PISCINA]],2)</f>
        <v>01</v>
      </c>
      <c r="J467" s="9" t="str">
        <f>VLOOKUP(TablaCosechas[[#This Row],[COD]],Tabla7[#All],4,0)</f>
        <v>GUSTAVO CARRASCO</v>
      </c>
      <c r="K467" s="179">
        <f>(TablaCosechas[[#This Row],[libras planta]]*454)/M467</f>
        <v>369144.3142664872</v>
      </c>
      <c r="L467" s="174">
        <v>24165.13</v>
      </c>
      <c r="M467" s="19">
        <v>29.72</v>
      </c>
      <c r="N467" s="9" t="str">
        <f>UPPER(TEXT(TablaCosechas[[#This Row],[COSECHA]],"MMMM"))</f>
        <v>NOVIEMBRE</v>
      </c>
      <c r="O467" s="9" t="str">
        <f>IF(A467="DO 29","BAP",IF(A467="RO 14","BAP",(VLOOKUP(TablaCosechas[[#This Row],[COD]],Tabla7[[CODIGO]:[CERTIFICACION]],3,0))))</f>
        <v>CONVENCIONAL</v>
      </c>
      <c r="P467" s="180">
        <f>+L467-E467</f>
        <v>-1834.869999999999</v>
      </c>
      <c r="Q467" s="181">
        <f>+M467-F467</f>
        <v>-1.2800000000000011</v>
      </c>
      <c r="R467" s="9"/>
    </row>
    <row r="468" spans="1:18" x14ac:dyDescent="0.25">
      <c r="A468" s="9" t="s">
        <v>179</v>
      </c>
      <c r="B468" s="9">
        <f>ROW() - ROW(TablaCosechas[[#Headers],[ID]]) - 4</f>
        <v>463</v>
      </c>
      <c r="C468" s="9" t="str">
        <f>LEFT(A468,2)</f>
        <v>TI</v>
      </c>
      <c r="D468" s="182" t="s">
        <v>366</v>
      </c>
      <c r="E468" s="178">
        <v>35300</v>
      </c>
      <c r="F468" s="19">
        <v>36</v>
      </c>
      <c r="G468" s="195">
        <v>45972</v>
      </c>
      <c r="H468" s="9" t="str">
        <f>VLOOKUP(TablaCosechas[[#This Row],[COD]],DATOS!$E$3:$F$27,2,0)</f>
        <v>TIBURON</v>
      </c>
      <c r="I468" s="9" t="str">
        <f>RIGHT(TablaCosechas[[#This Row],[SECTOR/PISCINA]],2)</f>
        <v>13</v>
      </c>
      <c r="J468" s="9" t="str">
        <f>VLOOKUP(TablaCosechas[[#This Row],[COD]],Tabla7[#All],4,0)</f>
        <v>ALFONSO GRUNAUER</v>
      </c>
      <c r="K468" s="179">
        <f>(TablaCosechas[[#This Row],[libras planta]]*454)/M468</f>
        <v>462600.28665870399</v>
      </c>
      <c r="L468" s="174">
        <v>36682.980000000003</v>
      </c>
      <c r="M468" s="19">
        <v>36.000999999999998</v>
      </c>
      <c r="N468" s="9" t="str">
        <f>UPPER(TEXT(TablaCosechas[[#This Row],[COSECHA]],"MMMM"))</f>
        <v>NOVIEMBRE</v>
      </c>
      <c r="O468" s="9" t="str">
        <f>IF(A468="DO 29","BAP",IF(A468="RO 14","BAP",(VLOOKUP(TablaCosechas[[#This Row],[COD]],Tabla7[[CODIGO]:[CERTIFICACION]],3,0))))</f>
        <v>ASC</v>
      </c>
      <c r="P468" s="180">
        <f>+L468-E468</f>
        <v>1382.9800000000032</v>
      </c>
      <c r="Q468" s="181">
        <f>+M468-F468</f>
        <v>9.9999999999766942E-4</v>
      </c>
      <c r="R468" s="9"/>
    </row>
    <row r="469" spans="1:18" x14ac:dyDescent="0.25">
      <c r="A469" s="9" t="s">
        <v>165</v>
      </c>
      <c r="B469" s="9">
        <f>ROW() - ROW(TablaCosechas[[#Headers],[ID]]) - 4</f>
        <v>464</v>
      </c>
      <c r="C469" s="9" t="str">
        <f>LEFT(A469,2)</f>
        <v>PR</v>
      </c>
      <c r="D469" s="182" t="s">
        <v>366</v>
      </c>
      <c r="E469" s="178">
        <v>38400</v>
      </c>
      <c r="F469" s="19">
        <v>23</v>
      </c>
      <c r="G469" s="195">
        <v>45972</v>
      </c>
      <c r="H469" s="9" t="str">
        <f>VLOOKUP(TablaCosechas[[#This Row],[COD]],DATOS!$E$3:$F$27,2,0)</f>
        <v>PARGO ROJO</v>
      </c>
      <c r="I469" s="9" t="str">
        <f>RIGHT(TablaCosechas[[#This Row],[SECTOR/PISCINA]],2)</f>
        <v>32</v>
      </c>
      <c r="J469" s="9" t="str">
        <f>VLOOKUP(TablaCosechas[[#This Row],[COD]],Tabla7[#All],4,0)</f>
        <v>WILMER TORRES</v>
      </c>
      <c r="K469" s="179">
        <f>(TablaCosechas[[#This Row],[libras planta]]*454)/M469</f>
        <v>875304.65651760227</v>
      </c>
      <c r="L469" s="174">
        <v>40526.22</v>
      </c>
      <c r="M469" s="19">
        <v>21.02</v>
      </c>
      <c r="N469" s="9" t="str">
        <f>UPPER(TEXT(TablaCosechas[[#This Row],[COSECHA]],"MMMM"))</f>
        <v>NOVIEMBRE</v>
      </c>
      <c r="O469" s="9" t="str">
        <f>IF(A469="DO 29","BAP",IF(A469="RO 14","BAP",(VLOOKUP(TablaCosechas[[#This Row],[COD]],Tabla7[[CODIGO]:[CERTIFICACION]],3,0))))</f>
        <v>CONVENCIONAL</v>
      </c>
      <c r="P469" s="180">
        <f>+L469-E469</f>
        <v>2126.2200000000012</v>
      </c>
      <c r="Q469" s="181">
        <f>+M469-F469</f>
        <v>-1.9800000000000004</v>
      </c>
      <c r="R469" s="9"/>
    </row>
    <row r="470" spans="1:18" x14ac:dyDescent="0.25">
      <c r="A470" s="9" t="s">
        <v>249</v>
      </c>
      <c r="B470" s="9">
        <f>ROW() - ROW(TablaCosechas[[#Headers],[ID]]) - 4</f>
        <v>465</v>
      </c>
      <c r="C470" s="9" t="str">
        <f>LEFT(A470,2)</f>
        <v>DO</v>
      </c>
      <c r="D470" s="182" t="s">
        <v>367</v>
      </c>
      <c r="E470" s="178">
        <v>22500</v>
      </c>
      <c r="F470" s="19">
        <v>38</v>
      </c>
      <c r="G470" s="195">
        <v>45972</v>
      </c>
      <c r="H470" s="9" t="str">
        <f>VLOOKUP(TablaCosechas[[#This Row],[COD]],DATOS!$E$3:$F$27,2,0)</f>
        <v>DORADO</v>
      </c>
      <c r="I470" s="9" t="str">
        <f>RIGHT(TablaCosechas[[#This Row],[SECTOR/PISCINA]],2)</f>
        <v>14</v>
      </c>
      <c r="J470" s="9" t="str">
        <f>VLOOKUP(TablaCosechas[[#This Row],[COD]],Tabla7[#All],4,0)</f>
        <v>JOSE CEDEÑO</v>
      </c>
      <c r="K470" s="179">
        <f>(TablaCosechas[[#This Row],[libras planta]]*454)/M470</f>
        <v>263404.52719255269</v>
      </c>
      <c r="L470" s="174">
        <v>23683.200000000001</v>
      </c>
      <c r="M470" s="19">
        <v>40.82</v>
      </c>
      <c r="N470" s="9" t="str">
        <f>UPPER(TEXT(TablaCosechas[[#This Row],[COSECHA]],"MMMM"))</f>
        <v>NOVIEMBRE</v>
      </c>
      <c r="O470" s="9" t="str">
        <f>IF(A470="DO 29","BAP",IF(A470="RO 14","BAP",(VLOOKUP(TablaCosechas[[#This Row],[COD]],Tabla7[[CODIGO]:[CERTIFICACION]],3,0))))</f>
        <v>ASC</v>
      </c>
      <c r="P470" s="180">
        <f>+L470-E470</f>
        <v>1183.2000000000007</v>
      </c>
      <c r="Q470" s="181">
        <f>+M470-F470</f>
        <v>2.8200000000000003</v>
      </c>
      <c r="R470" s="9"/>
    </row>
    <row r="471" spans="1:18" x14ac:dyDescent="0.25">
      <c r="A471" s="9" t="s">
        <v>254</v>
      </c>
      <c r="B471" s="9">
        <f>ROW() - ROW(TablaCosechas[[#Headers],[ID]]) - 4</f>
        <v>466</v>
      </c>
      <c r="C471" s="9" t="str">
        <f>LEFT(A471,2)</f>
        <v>DE</v>
      </c>
      <c r="D471" s="182" t="s">
        <v>367</v>
      </c>
      <c r="E471" s="178">
        <v>8800</v>
      </c>
      <c r="F471" s="19">
        <v>18</v>
      </c>
      <c r="G471" s="195">
        <v>45972</v>
      </c>
      <c r="H471" s="9" t="str">
        <f>VLOOKUP(TablaCosechas[[#This Row],[COD]],DATOS!$E$3:$F$27,2,0)</f>
        <v>DELFIN</v>
      </c>
      <c r="I471" s="9" t="str">
        <f>RIGHT(TablaCosechas[[#This Row],[SECTOR/PISCINA]],2)</f>
        <v>12</v>
      </c>
      <c r="J471" s="9" t="str">
        <f>VLOOKUP(TablaCosechas[[#This Row],[COD]],Tabla7[#All],4,0)</f>
        <v>CARLOS FLORES</v>
      </c>
      <c r="K471" s="179">
        <f>(TablaCosechas[[#This Row],[libras planta]]*454)/M471</f>
        <v>227643.42579908675</v>
      </c>
      <c r="L471" s="174">
        <v>8784.83</v>
      </c>
      <c r="M471" s="19">
        <v>17.52</v>
      </c>
      <c r="N471" s="9" t="str">
        <f>UPPER(TEXT(TablaCosechas[[#This Row],[COSECHA]],"MMMM"))</f>
        <v>NOVIEMBRE</v>
      </c>
      <c r="O471" s="9" t="str">
        <f>IF(A471="DO 29","BAP",IF(A471="RO 14","BAP",(VLOOKUP(TablaCosechas[[#This Row],[COD]],Tabla7[[CODIGO]:[CERTIFICACION]],3,0))))</f>
        <v>CONVENCIONAL</v>
      </c>
      <c r="P471" s="180">
        <f>+L471-E471</f>
        <v>-15.170000000000073</v>
      </c>
      <c r="Q471" s="181">
        <f>+M471-F471</f>
        <v>-0.48000000000000043</v>
      </c>
      <c r="R471" s="9"/>
    </row>
    <row r="472" spans="1:18" x14ac:dyDescent="0.25">
      <c r="A472" s="9" t="s">
        <v>19</v>
      </c>
      <c r="B472" s="9">
        <f>ROW() - ROW(TablaCosechas[[#Headers],[ID]]) - 4</f>
        <v>467</v>
      </c>
      <c r="C472" s="9" t="str">
        <f>LEFT(A472,2)</f>
        <v>CH</v>
      </c>
      <c r="D472" s="182" t="s">
        <v>367</v>
      </c>
      <c r="E472" s="178">
        <v>10850</v>
      </c>
      <c r="F472" s="19">
        <v>23</v>
      </c>
      <c r="G472" s="195">
        <v>45972</v>
      </c>
      <c r="H472" s="9" t="str">
        <f>VLOOKUP(TablaCosechas[[#This Row],[COD]],DATOS!$E$3:$F$26,2,0)</f>
        <v>CHERNA</v>
      </c>
      <c r="I472" s="9" t="str">
        <f>RIGHT(TablaCosechas[[#This Row],[SECTOR/PISCINA]],2)</f>
        <v>13</v>
      </c>
      <c r="J472" s="9" t="str">
        <f>VLOOKUP(TablaCosechas[[#This Row],[COD]],Tabla7[#All],4,0)</f>
        <v>SANTIAGO OBRIEN</v>
      </c>
      <c r="K472" s="179">
        <f>(TablaCosechas[[#This Row],[libras planta]]*454)/M472</f>
        <v>210693.15252784916</v>
      </c>
      <c r="L472" s="174">
        <v>10831.67</v>
      </c>
      <c r="M472" s="19">
        <v>23.34</v>
      </c>
      <c r="N472" s="9" t="str">
        <f>UPPER(TEXT(TablaCosechas[[#This Row],[COSECHA]],"MMMM"))</f>
        <v>NOVIEMBRE</v>
      </c>
      <c r="O472" s="9" t="str">
        <f>IF(A472="DO 29","BAP",IF(A472="RO 14","BAP",(VLOOKUP(TablaCosechas[[#This Row],[COD]],Tabla7[[CODIGO]:[CERTIFICACION]],3,0))))</f>
        <v>ASC</v>
      </c>
      <c r="P472" s="180">
        <f>+L472-E472</f>
        <v>-18.329999999999927</v>
      </c>
      <c r="Q472" s="181">
        <f>+M472-F472</f>
        <v>0.33999999999999986</v>
      </c>
      <c r="R472" s="9"/>
    </row>
    <row r="473" spans="1:18" x14ac:dyDescent="0.25">
      <c r="A473" s="9" t="s">
        <v>212</v>
      </c>
      <c r="B473" s="9">
        <f>ROW() - ROW(TablaCosechas[[#Headers],[ID]]) - 4</f>
        <v>468</v>
      </c>
      <c r="C473" s="9" t="str">
        <f>LEFT(A473,2)</f>
        <v>CA</v>
      </c>
      <c r="D473" s="182" t="s">
        <v>366</v>
      </c>
      <c r="E473" s="178">
        <f>62050+1600</f>
        <v>63650</v>
      </c>
      <c r="F473" s="19">
        <v>34</v>
      </c>
      <c r="G473" s="195">
        <v>45972</v>
      </c>
      <c r="H473" s="9" t="str">
        <f>VLOOKUP(TablaCosechas[[#This Row],[COD]],DATOS!$E$3:$F$27,2,0)</f>
        <v>CATANUDA</v>
      </c>
      <c r="I473" s="9" t="str">
        <f>RIGHT(TablaCosechas[[#This Row],[SECTOR/PISCINA]],2)</f>
        <v>09</v>
      </c>
      <c r="J473" s="9" t="str">
        <f>VLOOKUP(TablaCosechas[[#This Row],[COD]],Tabla7[#All],4,0)</f>
        <v>VICTOR QUINTANA</v>
      </c>
      <c r="K473" s="179">
        <f>(TablaCosechas[[#This Row],[libras planta]]*454)/M473</f>
        <v>877059.52101324126</v>
      </c>
      <c r="L473" s="174">
        <f>65378.66+1733.78</f>
        <v>67112.44</v>
      </c>
      <c r="M473" s="19">
        <v>34.74</v>
      </c>
      <c r="N473" s="9" t="str">
        <f>UPPER(TEXT(TablaCosechas[[#This Row],[COSECHA]],"MMMM"))</f>
        <v>NOVIEMBRE</v>
      </c>
      <c r="O473" s="9" t="str">
        <f>IF(A473="DO 29","BAP",IF(A473="RO 14","BAP",(VLOOKUP(TablaCosechas[[#This Row],[COD]],Tabla7[[CODIGO]:[CERTIFICACION]],3,0))))</f>
        <v>ASC</v>
      </c>
      <c r="P473" s="180">
        <f>+L473-E473</f>
        <v>3462.4400000000023</v>
      </c>
      <c r="Q473" s="181">
        <f>+M473-F473</f>
        <v>0.74000000000000199</v>
      </c>
      <c r="R473" s="9"/>
    </row>
    <row r="474" spans="1:18" x14ac:dyDescent="0.25">
      <c r="A474" s="9" t="s">
        <v>241</v>
      </c>
      <c r="B474" s="9">
        <f>ROW() - ROW(TablaCosechas[[#Headers],[ID]]) - 4</f>
        <v>469</v>
      </c>
      <c r="C474" s="9" t="str">
        <f>LEFT(A474,2)</f>
        <v>BA</v>
      </c>
      <c r="D474" s="182" t="s">
        <v>366</v>
      </c>
      <c r="E474" s="178">
        <v>26900</v>
      </c>
      <c r="F474" s="19">
        <v>32</v>
      </c>
      <c r="G474" s="195">
        <v>45972</v>
      </c>
      <c r="H474" s="9" t="str">
        <f>VLOOKUP(TablaCosechas[[#This Row],[COD]],DATOS!$E$3:$F$27,2,0)</f>
        <v>BARRACUDA</v>
      </c>
      <c r="I474" s="9" t="str">
        <f>RIGHT(TablaCosechas[[#This Row],[SECTOR/PISCINA]],2)</f>
        <v>06</v>
      </c>
      <c r="J474" s="9" t="str">
        <f>VLOOKUP(TablaCosechas[[#This Row],[COD]],Tabla7[#All],4,0)</f>
        <v>GUSTAVO CARRASCO</v>
      </c>
      <c r="K474" s="179">
        <f>(TablaCosechas[[#This Row],[libras planta]]*454)/M474</f>
        <v>343832.9909365559</v>
      </c>
      <c r="L474" s="174">
        <v>25068</v>
      </c>
      <c r="M474" s="19">
        <v>33.1</v>
      </c>
      <c r="N474" s="9" t="str">
        <f>UPPER(TEXT(TablaCosechas[[#This Row],[COSECHA]],"MMMM"))</f>
        <v>NOVIEMBRE</v>
      </c>
      <c r="O474" s="9" t="str">
        <f>IF(A474="DO 29","BAP",IF(A474="RO 14","BAP",(VLOOKUP(TablaCosechas[[#This Row],[COD]],Tabla7[[CODIGO]:[CERTIFICACION]],3,0))))</f>
        <v>CONVENCIONAL</v>
      </c>
      <c r="P474" s="180">
        <f>+L474-E474</f>
        <v>-1832</v>
      </c>
      <c r="Q474" s="181">
        <f>+M474-F474</f>
        <v>1.1000000000000014</v>
      </c>
      <c r="R474" s="9"/>
    </row>
    <row r="475" spans="1:18" x14ac:dyDescent="0.25">
      <c r="A475" s="9" t="s">
        <v>336</v>
      </c>
      <c r="B475" s="9">
        <f>ROW() - ROW(TablaCosechas[[#Headers],[ID]]) - 4</f>
        <v>470</v>
      </c>
      <c r="C475" s="9" t="str">
        <f>LEFT(A475,2)</f>
        <v>WA</v>
      </c>
      <c r="D475" s="182" t="s">
        <v>367</v>
      </c>
      <c r="E475" s="178">
        <v>12600</v>
      </c>
      <c r="F475" s="19">
        <v>14</v>
      </c>
      <c r="G475" s="195">
        <v>45973</v>
      </c>
      <c r="H475" s="9" t="str">
        <f>VLOOKUP(TablaCosechas[[#This Row],[COD]],DATOS!$E$3:$F$27,2,0)</f>
        <v>WAHOO</v>
      </c>
      <c r="I475" s="9" t="str">
        <f>RIGHT(TablaCosechas[[#This Row],[SECTOR/PISCINA]],2)</f>
        <v>12</v>
      </c>
      <c r="J475" s="9" t="str">
        <f>VLOOKUP(TablaCosechas[[#This Row],[COD]],Tabla7[#All],4,0)</f>
        <v>JUNIOR ESQUIVEL</v>
      </c>
      <c r="K475" s="179">
        <f>(TablaCosechas[[#This Row],[libras planta]]*454)/M475</f>
        <v>357128.37362637365</v>
      </c>
      <c r="L475" s="174">
        <v>11453.28</v>
      </c>
      <c r="M475" s="19">
        <v>14.56</v>
      </c>
      <c r="N475" s="9" t="str">
        <f>UPPER(TEXT(TablaCosechas[[#This Row],[COSECHA]],"MMMM"))</f>
        <v>NOVIEMBRE</v>
      </c>
      <c r="O475" s="9" t="str">
        <f>IF(A475="DO 29","BAP",IF(A475="RO 14","BAP",(VLOOKUP(TablaCosechas[[#This Row],[COD]],Tabla7[[CODIGO]:[CERTIFICACION]],3,0))))</f>
        <v>CONVENCIONAL</v>
      </c>
      <c r="P475" s="180">
        <f>+L475-E475</f>
        <v>-1146.7199999999993</v>
      </c>
      <c r="Q475" s="181">
        <f>+M475-F475</f>
        <v>0.5600000000000005</v>
      </c>
      <c r="R475" s="9"/>
    </row>
    <row r="476" spans="1:18" x14ac:dyDescent="0.25">
      <c r="A476" s="9" t="s">
        <v>224</v>
      </c>
      <c r="B476" s="9">
        <f>ROW() - ROW(TablaCosechas[[#Headers],[ID]]) - 4</f>
        <v>471</v>
      </c>
      <c r="C476" s="9" t="str">
        <f>LEFT(A476,2)</f>
        <v>TI</v>
      </c>
      <c r="D476" s="182" t="s">
        <v>366</v>
      </c>
      <c r="E476" s="178">
        <v>62850</v>
      </c>
      <c r="F476" s="19">
        <v>36</v>
      </c>
      <c r="G476" s="195">
        <v>45973</v>
      </c>
      <c r="H476" s="9" t="str">
        <f>VLOOKUP(TablaCosechas[[#This Row],[COD]],DATOS!$E$3:$F$27,2,0)</f>
        <v>TIBURON</v>
      </c>
      <c r="I476" s="9" t="str">
        <f>RIGHT(TablaCosechas[[#This Row],[SECTOR/PISCINA]],2)</f>
        <v>02</v>
      </c>
      <c r="J476" s="9" t="str">
        <f>VLOOKUP(TablaCosechas[[#This Row],[COD]],Tabla7[#All],4,0)</f>
        <v>ALFONSO GRUNAUER</v>
      </c>
      <c r="K476" s="179">
        <f>(TablaCosechas[[#This Row],[libras planta]]*454)/M476</f>
        <v>773024.8606896553</v>
      </c>
      <c r="L476" s="174">
        <v>61722.8</v>
      </c>
      <c r="M476" s="19">
        <v>36.25</v>
      </c>
      <c r="N476" s="9" t="str">
        <f>UPPER(TEXT(TablaCosechas[[#This Row],[COSECHA]],"MMMM"))</f>
        <v>NOVIEMBRE</v>
      </c>
      <c r="O476" s="9" t="str">
        <f>IF(A476="DO 29","BAP",IF(A476="RO 14","BAP",(VLOOKUP(TablaCosechas[[#This Row],[COD]],Tabla7[[CODIGO]:[CERTIFICACION]],3,0))))</f>
        <v>ASC</v>
      </c>
      <c r="P476" s="180">
        <f>+L476-E476</f>
        <v>-1127.1999999999971</v>
      </c>
      <c r="Q476" s="181">
        <f>+M476-F476</f>
        <v>0.25</v>
      </c>
      <c r="R476" s="9"/>
    </row>
    <row r="477" spans="1:18" x14ac:dyDescent="0.25">
      <c r="A477" s="9" t="s">
        <v>255</v>
      </c>
      <c r="B477" s="9">
        <f>ROW() - ROW(TablaCosechas[[#Headers],[ID]]) - 4</f>
        <v>472</v>
      </c>
      <c r="C477" s="9" t="str">
        <f>LEFT(A477,2)</f>
        <v>RO</v>
      </c>
      <c r="D477" s="182" t="s">
        <v>367</v>
      </c>
      <c r="E477" s="178">
        <v>7200</v>
      </c>
      <c r="F477" s="19">
        <v>23</v>
      </c>
      <c r="G477" s="195">
        <v>45973</v>
      </c>
      <c r="H477" s="9" t="str">
        <f>VLOOKUP(TablaCosechas[[#This Row],[COD]],DATOS!$E$3:$F$27,2,0)</f>
        <v>ROBALO</v>
      </c>
      <c r="I477" s="9" t="str">
        <f>RIGHT(TablaCosechas[[#This Row],[SECTOR/PISCINA]],2)</f>
        <v>10</v>
      </c>
      <c r="J477" s="9" t="str">
        <f>VLOOKUP(TablaCosechas[[#This Row],[COD]],Tabla7[#All],4,0)</f>
        <v>VICTOR QUINTANA</v>
      </c>
      <c r="K477" s="179">
        <f>(TablaCosechas[[#This Row],[libras planta]]*454)/M477</f>
        <v>129256.98925619836</v>
      </c>
      <c r="L477" s="174">
        <v>6889.91</v>
      </c>
      <c r="M477" s="19">
        <v>24.2</v>
      </c>
      <c r="N477" s="9" t="str">
        <f>UPPER(TEXT(TablaCosechas[[#This Row],[COSECHA]],"MMMM"))</f>
        <v>NOVIEMBRE</v>
      </c>
      <c r="O477" s="9" t="str">
        <f>IF(A477="DO 29","BAP",IF(A477="RO 14","BAP",(VLOOKUP(TablaCosechas[[#This Row],[COD]],Tabla7[[CODIGO]:[CERTIFICACION]],3,0))))</f>
        <v>ASC</v>
      </c>
      <c r="P477" s="180">
        <f>+L477-E477</f>
        <v>-310.09000000000015</v>
      </c>
      <c r="Q477" s="181">
        <f>+M477-F477</f>
        <v>1.1999999999999993</v>
      </c>
      <c r="R477" s="9"/>
    </row>
    <row r="478" spans="1:18" x14ac:dyDescent="0.25">
      <c r="A478" s="9" t="s">
        <v>155</v>
      </c>
      <c r="B478" s="9">
        <f>ROW() - ROW(TablaCosechas[[#Headers],[ID]]) - 4</f>
        <v>473</v>
      </c>
      <c r="C478" s="9" t="str">
        <f>LEFT(A478,2)</f>
        <v>PR</v>
      </c>
      <c r="D478" s="182" t="s">
        <v>366</v>
      </c>
      <c r="E478" s="178">
        <v>28400</v>
      </c>
      <c r="F478" s="19">
        <v>24</v>
      </c>
      <c r="G478" s="195">
        <v>45973</v>
      </c>
      <c r="H478" s="9" t="str">
        <f>VLOOKUP(TablaCosechas[[#This Row],[COD]],DATOS!$E$3:$F$27,2,0)</f>
        <v>PARGO ROJO</v>
      </c>
      <c r="I478" s="9" t="str">
        <f>RIGHT(TablaCosechas[[#This Row],[SECTOR/PISCINA]],2)</f>
        <v>24</v>
      </c>
      <c r="J478" s="9" t="str">
        <f>VLOOKUP(TablaCosechas[[#This Row],[COD]],Tabla7[#All],4,0)</f>
        <v>WILMER TORRES</v>
      </c>
      <c r="K478" s="179">
        <f>(TablaCosechas[[#This Row],[libras planta]]*454)/M478</f>
        <v>632358.8427419354</v>
      </c>
      <c r="L478" s="174">
        <v>34542.949999999997</v>
      </c>
      <c r="M478" s="19">
        <v>24.8</v>
      </c>
      <c r="N478" s="9" t="str">
        <f>UPPER(TEXT(TablaCosechas[[#This Row],[COSECHA]],"MMMM"))</f>
        <v>NOVIEMBRE</v>
      </c>
      <c r="O478" s="9" t="str">
        <f>IF(A478="DO 29","BAP",IF(A478="RO 14","BAP",(VLOOKUP(TablaCosechas[[#This Row],[COD]],Tabla7[[CODIGO]:[CERTIFICACION]],3,0))))</f>
        <v>CONVENCIONAL</v>
      </c>
      <c r="P478" s="180">
        <f>+L478-E478</f>
        <v>6142.9499999999971</v>
      </c>
      <c r="Q478" s="181">
        <f>+M478-F478</f>
        <v>0.80000000000000071</v>
      </c>
      <c r="R478" s="9"/>
    </row>
    <row r="479" spans="1:18" x14ac:dyDescent="0.25">
      <c r="A479" s="9" t="s">
        <v>244</v>
      </c>
      <c r="B479" s="9">
        <f>ROW() - ROW(TablaCosechas[[#Headers],[ID]]) - 4</f>
        <v>474</v>
      </c>
      <c r="C479" s="9" t="str">
        <f>LEFT(A479,2)</f>
        <v>PA</v>
      </c>
      <c r="D479" s="182" t="s">
        <v>366</v>
      </c>
      <c r="E479" s="178">
        <v>21700</v>
      </c>
      <c r="F479" s="19">
        <v>38</v>
      </c>
      <c r="G479" s="195">
        <v>45973</v>
      </c>
      <c r="H479" s="9" t="str">
        <f>VLOOKUP(TablaCosechas[[#This Row],[COD]],DATOS!$E$3:$F$27,2,0)</f>
        <v>PAMPANO</v>
      </c>
      <c r="I479" s="9" t="str">
        <f>RIGHT(TablaCosechas[[#This Row],[SECTOR/PISCINA]],2)</f>
        <v>03</v>
      </c>
      <c r="J479" s="9" t="str">
        <f>VLOOKUP(TablaCosechas[[#This Row],[COD]],Tabla7[#All],4,0)</f>
        <v>GUSTAVO CARRASCO</v>
      </c>
      <c r="K479" s="179">
        <f>(TablaCosechas[[#This Row],[libras planta]]*454)/M479</f>
        <v>256149.04465709731</v>
      </c>
      <c r="L479" s="174">
        <v>21225.39</v>
      </c>
      <c r="M479" s="19">
        <v>37.619999999999997</v>
      </c>
      <c r="N479" s="9" t="str">
        <f>UPPER(TEXT(TablaCosechas[[#This Row],[COSECHA]],"MMMM"))</f>
        <v>NOVIEMBRE</v>
      </c>
      <c r="O479" s="9" t="str">
        <f>IF(A479="DO 29","BAP",IF(A479="RO 14","BAP",(VLOOKUP(TablaCosechas[[#This Row],[COD]],Tabla7[[CODIGO]:[CERTIFICACION]],3,0))))</f>
        <v>ASC</v>
      </c>
      <c r="P479" s="180">
        <f>+L479-E479</f>
        <v>-474.61000000000058</v>
      </c>
      <c r="Q479" s="181">
        <f>+M479-F479</f>
        <v>-0.38000000000000256</v>
      </c>
      <c r="R479" s="9"/>
    </row>
    <row r="480" spans="1:18" x14ac:dyDescent="0.25">
      <c r="A480" s="9" t="s">
        <v>307</v>
      </c>
      <c r="B480" s="9">
        <f>ROW() - ROW(TablaCosechas[[#Headers],[ID]]) - 4</f>
        <v>475</v>
      </c>
      <c r="C480" s="9" t="str">
        <f>LEFT(A480,2)</f>
        <v>DO</v>
      </c>
      <c r="D480" s="182" t="s">
        <v>367</v>
      </c>
      <c r="E480" s="178">
        <v>23500</v>
      </c>
      <c r="F480" s="19">
        <v>22</v>
      </c>
      <c r="G480" s="195">
        <v>45973</v>
      </c>
      <c r="H480" s="9" t="str">
        <f>VLOOKUP(TablaCosechas[[#This Row],[COD]],DATOS!$E$3:$F$27,2,0)</f>
        <v>DORADO</v>
      </c>
      <c r="I480" s="9" t="str">
        <f>RIGHT(TablaCosechas[[#This Row],[SECTOR/PISCINA]],2)</f>
        <v>24</v>
      </c>
      <c r="J480" s="9" t="str">
        <f>VLOOKUP(TablaCosechas[[#This Row],[COD]],Tabla7[#All],4,0)</f>
        <v>JOSE CEDEÑO</v>
      </c>
      <c r="K480" s="179">
        <f>(TablaCosechas[[#This Row],[libras planta]]*454)/M480</f>
        <v>407535.57983193279</v>
      </c>
      <c r="L480" s="174">
        <v>21364.2</v>
      </c>
      <c r="M480" s="19">
        <v>23.8</v>
      </c>
      <c r="N480" s="9" t="str">
        <f>UPPER(TEXT(TablaCosechas[[#This Row],[COSECHA]],"MMMM"))</f>
        <v>NOVIEMBRE</v>
      </c>
      <c r="O480" s="9" t="str">
        <f>IF(A480="DO 29","BAP",IF(A480="RO 14","BAP",(VLOOKUP(TablaCosechas[[#This Row],[COD]],Tabla7[[CODIGO]:[CERTIFICACION]],3,0))))</f>
        <v>ASC</v>
      </c>
      <c r="P480" s="180">
        <f>+L480-E480</f>
        <v>-2135.7999999999993</v>
      </c>
      <c r="Q480" s="181">
        <f>+M480-F480</f>
        <v>1.8000000000000007</v>
      </c>
      <c r="R480" s="9"/>
    </row>
    <row r="481" spans="1:18" x14ac:dyDescent="0.25">
      <c r="A481" s="9" t="s">
        <v>273</v>
      </c>
      <c r="B481" s="9">
        <f>ROW() - ROW(TablaCosechas[[#Headers],[ID]]) - 4</f>
        <v>476</v>
      </c>
      <c r="C481" s="9" t="str">
        <f>LEFT(A481,2)</f>
        <v>DE</v>
      </c>
      <c r="D481" s="182" t="s">
        <v>367</v>
      </c>
      <c r="E481" s="178">
        <v>6000</v>
      </c>
      <c r="F481" s="19">
        <v>26</v>
      </c>
      <c r="G481" s="195">
        <v>45973</v>
      </c>
      <c r="H481" s="9" t="str">
        <f>VLOOKUP(TablaCosechas[[#This Row],[COD]],DATOS!$E$3:$F$27,2,0)</f>
        <v>DELFIN</v>
      </c>
      <c r="I481" s="9" t="str">
        <f>RIGHT(TablaCosechas[[#This Row],[SECTOR/PISCINA]],2)</f>
        <v>16</v>
      </c>
      <c r="J481" s="9" t="str">
        <f>VLOOKUP(TablaCosechas[[#This Row],[COD]],Tabla7[#All],4,0)</f>
        <v>CARLOS FLORES</v>
      </c>
      <c r="K481" s="179">
        <f>(TablaCosechas[[#This Row],[libras planta]]*454)/M481</f>
        <v>102560.41189759037</v>
      </c>
      <c r="L481" s="174">
        <v>6000.01</v>
      </c>
      <c r="M481" s="19">
        <v>26.56</v>
      </c>
      <c r="N481" s="9" t="str">
        <f>UPPER(TEXT(TablaCosechas[[#This Row],[COSECHA]],"MMMM"))</f>
        <v>NOVIEMBRE</v>
      </c>
      <c r="O481" s="9" t="str">
        <f>IF(A481="DO 29","BAP",IF(A481="RO 14","BAP",(VLOOKUP(TablaCosechas[[#This Row],[COD]],Tabla7[[CODIGO]:[CERTIFICACION]],3,0))))</f>
        <v>CONVENCIONAL</v>
      </c>
      <c r="P481" s="180">
        <f>+L481-E481</f>
        <v>1.0000000000218279E-2</v>
      </c>
      <c r="Q481" s="181">
        <f>+M481-F481</f>
        <v>0.55999999999999872</v>
      </c>
      <c r="R481" s="9"/>
    </row>
    <row r="482" spans="1:18" x14ac:dyDescent="0.25">
      <c r="A482" s="9" t="s">
        <v>17</v>
      </c>
      <c r="B482" s="9">
        <f>ROW() - ROW(TablaCosechas[[#Headers],[ID]]) - 4</f>
        <v>477</v>
      </c>
      <c r="C482" s="9" t="str">
        <f>LEFT(A482,2)</f>
        <v>CH</v>
      </c>
      <c r="D482" s="182" t="s">
        <v>367</v>
      </c>
      <c r="E482" s="178">
        <v>11500</v>
      </c>
      <c r="F482" s="19">
        <v>24</v>
      </c>
      <c r="G482" s="195">
        <v>45973</v>
      </c>
      <c r="H482" s="9" t="str">
        <f>VLOOKUP(TablaCosechas[[#This Row],[COD]],DATOS!$E$3:$F$27,2,0)</f>
        <v>CHERNA</v>
      </c>
      <c r="I482" s="9" t="str">
        <f>RIGHT(TablaCosechas[[#This Row],[SECTOR/PISCINA]],2)</f>
        <v>11</v>
      </c>
      <c r="J482" s="9" t="str">
        <f>VLOOKUP(TablaCosechas[[#This Row],[COD]],Tabla7[#All],4,0)</f>
        <v>SANTIAGO OBRIEN</v>
      </c>
      <c r="K482" s="179">
        <f>(TablaCosechas[[#This Row],[libras planta]]*454)/M482</f>
        <v>222708.81607290806</v>
      </c>
      <c r="L482" s="174">
        <v>11841.83</v>
      </c>
      <c r="M482" s="19">
        <v>24.14</v>
      </c>
      <c r="N482" s="9" t="str">
        <f>UPPER(TEXT(TablaCosechas[[#This Row],[COSECHA]],"MMMM"))</f>
        <v>NOVIEMBRE</v>
      </c>
      <c r="O482" s="9" t="str">
        <f>IF(A482="DO 29","BAP",IF(A482="RO 14","BAP",(VLOOKUP(TablaCosechas[[#This Row],[COD]],Tabla7[[CODIGO]:[CERTIFICACION]],3,0))))</f>
        <v>ASC</v>
      </c>
      <c r="P482" s="180">
        <f>+L482-E482</f>
        <v>341.82999999999993</v>
      </c>
      <c r="Q482" s="181">
        <f>+M482-F482</f>
        <v>0.14000000000000057</v>
      </c>
      <c r="R482" s="9"/>
    </row>
    <row r="483" spans="1:18" x14ac:dyDescent="0.25">
      <c r="A483" s="9" t="s">
        <v>232</v>
      </c>
      <c r="B483" s="9">
        <f>ROW() - ROW(TablaCosechas[[#Headers],[ID]]) - 4</f>
        <v>478</v>
      </c>
      <c r="C483" s="9" t="str">
        <f>LEFT(A483,2)</f>
        <v>TI</v>
      </c>
      <c r="D483" s="182" t="s">
        <v>366</v>
      </c>
      <c r="E483" s="178">
        <v>54750</v>
      </c>
      <c r="F483" s="19">
        <v>40</v>
      </c>
      <c r="G483" s="195">
        <v>45974</v>
      </c>
      <c r="H483" s="9" t="str">
        <f>VLOOKUP(TablaCosechas[[#This Row],[COD]],DATOS!$E$3:$F$27,2,0)</f>
        <v>TIBURON</v>
      </c>
      <c r="I483" s="9" t="str">
        <f>RIGHT(TablaCosechas[[#This Row],[SECTOR/PISCINA]],2)</f>
        <v>09</v>
      </c>
      <c r="J483" s="9" t="str">
        <f>VLOOKUP(TablaCosechas[[#This Row],[COD]],Tabla7[#All],4,0)</f>
        <v>ALFONSO GRUNAUER</v>
      </c>
      <c r="K483" s="179">
        <f>(TablaCosechas[[#This Row],[libras planta]]*454)/M483</f>
        <v>637451.14467005082</v>
      </c>
      <c r="L483" s="174">
        <v>55320.65</v>
      </c>
      <c r="M483" s="19">
        <v>39.4</v>
      </c>
      <c r="N483" s="9" t="str">
        <f>UPPER(TEXT(TablaCosechas[[#This Row],[COSECHA]],"MMMM"))</f>
        <v>NOVIEMBRE</v>
      </c>
      <c r="O483" s="9" t="str">
        <f>IF(A483="DO 29","BAP",IF(A483="RO 14","BAP",(VLOOKUP(TablaCosechas[[#This Row],[COD]],Tabla7[[CODIGO]:[CERTIFICACION]],3,0))))</f>
        <v>ASC</v>
      </c>
      <c r="P483" s="180">
        <f>+L483-E483</f>
        <v>570.65000000000146</v>
      </c>
      <c r="Q483" s="181">
        <f>+M483-F483</f>
        <v>-0.60000000000000142</v>
      </c>
      <c r="R483" s="9"/>
    </row>
    <row r="484" spans="1:18" x14ac:dyDescent="0.25">
      <c r="A484" s="9" t="s">
        <v>251</v>
      </c>
      <c r="B484" s="9">
        <f>ROW() - ROW(TablaCosechas[[#Headers],[ID]]) - 4</f>
        <v>479</v>
      </c>
      <c r="C484" s="9" t="str">
        <f>LEFT(A484,2)</f>
        <v>PR</v>
      </c>
      <c r="D484" s="182" t="s">
        <v>366</v>
      </c>
      <c r="E484" s="178">
        <v>17350</v>
      </c>
      <c r="F484" s="19">
        <v>23</v>
      </c>
      <c r="G484" s="195">
        <v>45974</v>
      </c>
      <c r="H484" s="9" t="str">
        <f>VLOOKUP(TablaCosechas[[#This Row],[COD]],DATOS!$E$3:$F$27,2,0)</f>
        <v>PARGO ROJO</v>
      </c>
      <c r="I484" s="9" t="str">
        <f>RIGHT(TablaCosechas[[#This Row],[SECTOR/PISCINA]],2)</f>
        <v>01</v>
      </c>
      <c r="J484" s="9" t="str">
        <f>VLOOKUP(TablaCosechas[[#This Row],[COD]],Tabla7[#All],4,0)</f>
        <v>WILMER TORRES</v>
      </c>
      <c r="K484" s="179">
        <f>(TablaCosechas[[#This Row],[libras planta]]*454)/M484</f>
        <v>326711.55008347245</v>
      </c>
      <c r="L484" s="174">
        <v>17242.310000000001</v>
      </c>
      <c r="M484" s="19">
        <v>23.96</v>
      </c>
      <c r="N484" s="9" t="str">
        <f>UPPER(TEXT(TablaCosechas[[#This Row],[COSECHA]],"MMMM"))</f>
        <v>NOVIEMBRE</v>
      </c>
      <c r="O484" s="9" t="str">
        <f>IF(A484="DO 29","BAP",IF(A484="RO 14","BAP",(VLOOKUP(TablaCosechas[[#This Row],[COD]],Tabla7[[CODIGO]:[CERTIFICACION]],3,0))))</f>
        <v>CONVENCIONAL</v>
      </c>
      <c r="P484" s="180">
        <f>+L484-E484</f>
        <v>-107.68999999999869</v>
      </c>
      <c r="Q484" s="181">
        <f>+M484-F484</f>
        <v>0.96000000000000085</v>
      </c>
      <c r="R484" s="9"/>
    </row>
    <row r="485" spans="1:18" x14ac:dyDescent="0.25">
      <c r="A485" s="9" t="s">
        <v>304</v>
      </c>
      <c r="B485" s="9">
        <f>ROW() - ROW(TablaCosechas[[#Headers],[ID]]) - 4</f>
        <v>480</v>
      </c>
      <c r="C485" s="9" t="str">
        <f>LEFT(A485,2)</f>
        <v>PA</v>
      </c>
      <c r="D485" s="182" t="s">
        <v>367</v>
      </c>
      <c r="E485" s="178">
        <v>11700</v>
      </c>
      <c r="F485" s="19">
        <v>23</v>
      </c>
      <c r="G485" s="195">
        <v>45974</v>
      </c>
      <c r="H485" s="9" t="str">
        <f>VLOOKUP(TablaCosechas[[#This Row],[COD]],DATOS!$E$3:$F$27,2,0)</f>
        <v>PAMPANO</v>
      </c>
      <c r="I485" s="9" t="str">
        <f>RIGHT(TablaCosechas[[#This Row],[SECTOR/PISCINA]],2)</f>
        <v>06</v>
      </c>
      <c r="J485" s="9" t="str">
        <f>VLOOKUP(TablaCosechas[[#This Row],[COD]],Tabla7[#All],4,0)</f>
        <v>GUSTAVO CARRASCO</v>
      </c>
      <c r="K485" s="179">
        <f>(TablaCosechas[[#This Row],[libras planta]]*454)/M485</f>
        <v>217432.98537005164</v>
      </c>
      <c r="L485" s="174">
        <v>11130.27</v>
      </c>
      <c r="M485" s="19">
        <v>23.24</v>
      </c>
      <c r="N485" s="9" t="str">
        <f>UPPER(TEXT(TablaCosechas[[#This Row],[COSECHA]],"MMMM"))</f>
        <v>NOVIEMBRE</v>
      </c>
      <c r="O485" s="9" t="str">
        <f>IF(A485="DO 29","BAP",IF(A485="RO 14","BAP",(VLOOKUP(TablaCosechas[[#This Row],[COD]],Tabla7[[CODIGO]:[CERTIFICACION]],3,0))))</f>
        <v>ASC</v>
      </c>
      <c r="P485" s="180">
        <f>+L485-E485</f>
        <v>-569.72999999999956</v>
      </c>
      <c r="Q485" s="181">
        <f>+M485-F485</f>
        <v>0.23999999999999844</v>
      </c>
      <c r="R485" s="9"/>
    </row>
    <row r="486" spans="1:18" x14ac:dyDescent="0.25">
      <c r="A486" s="9" t="s">
        <v>263</v>
      </c>
      <c r="B486" s="9">
        <f>ROW() - ROW(TablaCosechas[[#Headers],[ID]]) - 4</f>
        <v>481</v>
      </c>
      <c r="C486" s="9" t="str">
        <f>LEFT(A486,2)</f>
        <v>PA</v>
      </c>
      <c r="D486" s="182" t="s">
        <v>367</v>
      </c>
      <c r="E486" s="178">
        <v>2150</v>
      </c>
      <c r="F486" s="19">
        <v>16</v>
      </c>
      <c r="G486" s="195">
        <v>45974</v>
      </c>
      <c r="H486" s="9" t="str">
        <f>VLOOKUP(TablaCosechas[[#This Row],[COD]],DATOS!$E$3:$F$27,2,0)</f>
        <v>PAMPANO</v>
      </c>
      <c r="I486" s="9" t="str">
        <f>RIGHT(TablaCosechas[[#This Row],[SECTOR/PISCINA]],2)</f>
        <v>02</v>
      </c>
      <c r="J486" s="9" t="str">
        <f>VLOOKUP(TablaCosechas[[#This Row],[COD]],Tabla7[#All],4,0)</f>
        <v>GUSTAVO CARRASCO</v>
      </c>
      <c r="K486" s="179">
        <f>(TablaCosechas[[#This Row],[libras planta]]*454)/M486</f>
        <v>61225.511363636368</v>
      </c>
      <c r="L486" s="174">
        <v>2136.15</v>
      </c>
      <c r="M486" s="19">
        <v>15.84</v>
      </c>
      <c r="N486" s="9" t="str">
        <f>UPPER(TEXT(TablaCosechas[[#This Row],[COSECHA]],"MMMM"))</f>
        <v>NOVIEMBRE</v>
      </c>
      <c r="O486" s="9" t="str">
        <f>IF(A486="DO 29","BAP",IF(A486="RO 14","BAP",(VLOOKUP(TablaCosechas[[#This Row],[COD]],Tabla7[[CODIGO]:[CERTIFICACION]],3,0))))</f>
        <v>ASC</v>
      </c>
      <c r="P486" s="180">
        <f>+L486-E486</f>
        <v>-13.849999999999909</v>
      </c>
      <c r="Q486" s="181">
        <f>+M486-F486</f>
        <v>-0.16000000000000014</v>
      </c>
      <c r="R486" s="9"/>
    </row>
    <row r="487" spans="1:18" x14ac:dyDescent="0.25">
      <c r="A487" s="9" t="s">
        <v>253</v>
      </c>
      <c r="B487" s="9">
        <f>ROW() - ROW(TablaCosechas[[#Headers],[ID]]) - 4</f>
        <v>482</v>
      </c>
      <c r="C487" s="9" t="str">
        <f>LEFT(A487,2)</f>
        <v>DO</v>
      </c>
      <c r="D487" s="182" t="s">
        <v>367</v>
      </c>
      <c r="E487" s="178">
        <v>16200</v>
      </c>
      <c r="F487" s="19">
        <v>34</v>
      </c>
      <c r="G487" s="195">
        <v>45974</v>
      </c>
      <c r="H487" s="9" t="str">
        <f>VLOOKUP(TablaCosechas[[#This Row],[COD]],DATOS!$E$3:$F$27,2,0)</f>
        <v>DORADO</v>
      </c>
      <c r="I487" s="9" t="str">
        <f>RIGHT(TablaCosechas[[#This Row],[SECTOR/PISCINA]],2)</f>
        <v>16</v>
      </c>
      <c r="J487" s="9" t="str">
        <f>VLOOKUP(TablaCosechas[[#This Row],[COD]],Tabla7[#All],4,0)</f>
        <v>JOSE CEDEÑO</v>
      </c>
      <c r="K487" s="179">
        <f>(TablaCosechas[[#This Row],[libras planta]]*454)/M487</f>
        <v>171740.19737592697</v>
      </c>
      <c r="L487" s="174">
        <v>13262.58</v>
      </c>
      <c r="M487" s="19">
        <v>35.06</v>
      </c>
      <c r="N487" s="9" t="str">
        <f>UPPER(TEXT(TablaCosechas[[#This Row],[COSECHA]],"MMMM"))</f>
        <v>NOVIEMBRE</v>
      </c>
      <c r="O487" s="9" t="str">
        <f>IF(A487="DO 29","BAP",IF(A487="RO 14","BAP",(VLOOKUP(TablaCosechas[[#This Row],[COD]],Tabla7[[CODIGO]:[CERTIFICACION]],3,0))))</f>
        <v>ASC</v>
      </c>
      <c r="P487" s="180">
        <f>+L487-E487</f>
        <v>-2937.42</v>
      </c>
      <c r="Q487" s="181">
        <f>+M487-F487</f>
        <v>1.0600000000000023</v>
      </c>
      <c r="R487" s="9"/>
    </row>
    <row r="488" spans="1:18" x14ac:dyDescent="0.25">
      <c r="A488" s="9" t="s">
        <v>269</v>
      </c>
      <c r="B488" s="9">
        <f>ROW() - ROW(TablaCosechas[[#Headers],[ID]]) - 4</f>
        <v>483</v>
      </c>
      <c r="C488" s="9" t="str">
        <f>LEFT(A488,2)</f>
        <v>DE</v>
      </c>
      <c r="D488" s="182" t="s">
        <v>367</v>
      </c>
      <c r="E488" s="178">
        <v>6000</v>
      </c>
      <c r="F488" s="19">
        <v>25</v>
      </c>
      <c r="G488" s="195">
        <v>45974</v>
      </c>
      <c r="H488" s="9" t="str">
        <f>VLOOKUP(TablaCosechas[[#This Row],[COD]],DATOS!$E$3:$F$27,2,0)</f>
        <v>DELFIN</v>
      </c>
      <c r="I488" s="9" t="str">
        <f>RIGHT(TablaCosechas[[#This Row],[SECTOR/PISCINA]],2)</f>
        <v>18</v>
      </c>
      <c r="J488" s="9" t="str">
        <f>VLOOKUP(TablaCosechas[[#This Row],[COD]],Tabla7[#All],4,0)</f>
        <v>CARLOS FLORES</v>
      </c>
      <c r="K488" s="179">
        <f>(TablaCosechas[[#This Row],[libras planta]]*454)/M488</f>
        <v>113123.11212624586</v>
      </c>
      <c r="L488" s="174">
        <v>6000.01</v>
      </c>
      <c r="M488" s="19">
        <v>24.08</v>
      </c>
      <c r="N488" s="9" t="str">
        <f>UPPER(TEXT(TablaCosechas[[#This Row],[COSECHA]],"MMMM"))</f>
        <v>NOVIEMBRE</v>
      </c>
      <c r="O488" s="9" t="str">
        <f>IF(A488="DO 29","BAP",IF(A488="RO 14","BAP",(VLOOKUP(TablaCosechas[[#This Row],[COD]],Tabla7[[CODIGO]:[CERTIFICACION]],3,0))))</f>
        <v>CONVENCIONAL</v>
      </c>
      <c r="P488" s="180">
        <f>+L488-E488</f>
        <v>1.0000000000218279E-2</v>
      </c>
      <c r="Q488" s="181">
        <f>+M488-F488</f>
        <v>-0.92000000000000171</v>
      </c>
      <c r="R488" s="9"/>
    </row>
    <row r="489" spans="1:18" x14ac:dyDescent="0.25">
      <c r="A489" s="9" t="s">
        <v>373</v>
      </c>
      <c r="B489" s="9">
        <f>ROW() - ROW(TablaCosechas[[#Headers],[ID]]) - 4</f>
        <v>484</v>
      </c>
      <c r="C489" s="9" t="str">
        <f>LEFT(A489,2)</f>
        <v>WA</v>
      </c>
      <c r="D489" s="182" t="s">
        <v>366</v>
      </c>
      <c r="E489" s="178">
        <v>18000</v>
      </c>
      <c r="F489" s="19">
        <v>22</v>
      </c>
      <c r="G489" s="195">
        <v>45975</v>
      </c>
      <c r="H489" s="9" t="str">
        <f>VLOOKUP(TablaCosechas[[#This Row],[COD]],DATOS!$E$3:$F$27,2,0)</f>
        <v>WAHOO</v>
      </c>
      <c r="I489" s="9" t="str">
        <f>RIGHT(TablaCosechas[[#This Row],[SECTOR/PISCINA]],2)</f>
        <v>22</v>
      </c>
      <c r="J489" s="9" t="str">
        <f>VLOOKUP(TablaCosechas[[#This Row],[COD]],Tabla7[#All],4,0)</f>
        <v>JUNIOR ESQUIVEL</v>
      </c>
      <c r="K489" s="179">
        <f>(TablaCosechas[[#This Row],[libras planta]]*454)/M489</f>
        <v>385106.98504672898</v>
      </c>
      <c r="L489" s="174">
        <v>18152.62</v>
      </c>
      <c r="M489" s="19">
        <v>21.4</v>
      </c>
      <c r="N489" s="9" t="str">
        <f>UPPER(TEXT(TablaCosechas[[#This Row],[COSECHA]],"MMMM"))</f>
        <v>NOVIEMBRE</v>
      </c>
      <c r="O489" s="9" t="str">
        <f>IF(A489="DO 29","BAP",IF(A489="RO 14","BAP",(VLOOKUP(TablaCosechas[[#This Row],[COD]],Tabla7[[CODIGO]:[CERTIFICACION]],3,0))))</f>
        <v>CONVENCIONAL</v>
      </c>
      <c r="P489" s="180">
        <f>+L489-E489</f>
        <v>152.61999999999898</v>
      </c>
      <c r="Q489" s="181">
        <f>+M489-F489</f>
        <v>-0.60000000000000142</v>
      </c>
      <c r="R489" s="9"/>
    </row>
    <row r="490" spans="1:18" x14ac:dyDescent="0.25">
      <c r="A490" s="9" t="s">
        <v>204</v>
      </c>
      <c r="B490" s="9">
        <f>ROW() - ROW(TablaCosechas[[#Headers],[ID]]) - 4</f>
        <v>485</v>
      </c>
      <c r="C490" s="9" t="str">
        <f>LEFT(A490,2)</f>
        <v>TA</v>
      </c>
      <c r="D490" s="182" t="s">
        <v>366</v>
      </c>
      <c r="E490" s="178">
        <v>10350</v>
      </c>
      <c r="F490" s="19">
        <v>33</v>
      </c>
      <c r="G490" s="195">
        <v>45975</v>
      </c>
      <c r="H490" s="9" t="str">
        <f>VLOOKUP(TablaCosechas[[#This Row],[COD]],DATOS!$E$3:$F$27,2,0)</f>
        <v>TAMBULERO</v>
      </c>
      <c r="I490" s="9" t="str">
        <f>RIGHT(TablaCosechas[[#This Row],[SECTOR/PISCINA]],2)</f>
        <v>17</v>
      </c>
      <c r="J490" s="9" t="str">
        <f>VLOOKUP(TablaCosechas[[#This Row],[COD]],Tabla7[#All],4,0)</f>
        <v>ALFONSO GRUNAUER</v>
      </c>
      <c r="K490" s="179">
        <f>(TablaCosechas[[#This Row],[libras planta]]*454)/M490</f>
        <v>142944.1526717557</v>
      </c>
      <c r="L490" s="174">
        <v>10723.96</v>
      </c>
      <c r="M490" s="19">
        <v>34.06</v>
      </c>
      <c r="N490" s="9" t="str">
        <f>UPPER(TEXT(TablaCosechas[[#This Row],[COSECHA]],"MMMM"))</f>
        <v>NOVIEMBRE</v>
      </c>
      <c r="O490" s="9" t="str">
        <f>IF(A490="DO 29","BAP",IF(A490="RO 14","BAP",(VLOOKUP(TablaCosechas[[#This Row],[COD]],Tabla7[[CODIGO]:[CERTIFICACION]],3,0))))</f>
        <v>CONVENCIONAL</v>
      </c>
      <c r="P490" s="180">
        <f>+L490-E490</f>
        <v>373.95999999999913</v>
      </c>
      <c r="Q490" s="181">
        <f>+M490-F490</f>
        <v>1.0600000000000023</v>
      </c>
      <c r="R490" s="9"/>
    </row>
    <row r="491" spans="1:18" x14ac:dyDescent="0.25">
      <c r="A491" s="9" t="s">
        <v>201</v>
      </c>
      <c r="B491" s="9">
        <f>ROW() - ROW(TablaCosechas[[#Headers],[ID]]) - 4</f>
        <v>486</v>
      </c>
      <c r="C491" s="9" t="str">
        <f>LEFT(A491,2)</f>
        <v>TA</v>
      </c>
      <c r="D491" s="182" t="s">
        <v>366</v>
      </c>
      <c r="E491" s="178">
        <v>12200</v>
      </c>
      <c r="F491" s="19">
        <v>33</v>
      </c>
      <c r="G491" s="195">
        <v>45975</v>
      </c>
      <c r="H491" s="9" t="str">
        <f>VLOOKUP(TablaCosechas[[#This Row],[COD]],DATOS!$E$3:$F$27,2,0)</f>
        <v>TAMBULERO</v>
      </c>
      <c r="I491" s="9" t="str">
        <f>RIGHT(TablaCosechas[[#This Row],[SECTOR/PISCINA]],2)</f>
        <v>11</v>
      </c>
      <c r="J491" s="9" t="str">
        <f>VLOOKUP(TablaCosechas[[#This Row],[COD]],Tabla7[#All],4,0)</f>
        <v>ALFONSO GRUNAUER</v>
      </c>
      <c r="K491" s="179">
        <f>(TablaCosechas[[#This Row],[libras planta]]*454)/M491</f>
        <v>181129.99880525691</v>
      </c>
      <c r="L491" s="174">
        <v>13357.34</v>
      </c>
      <c r="M491" s="19">
        <v>33.479999999999997</v>
      </c>
      <c r="N491" s="9" t="str">
        <f>UPPER(TEXT(TablaCosechas[[#This Row],[COSECHA]],"MMMM"))</f>
        <v>NOVIEMBRE</v>
      </c>
      <c r="O491" s="9" t="str">
        <f>IF(A491="DO 29","BAP",IF(A491="RO 14","BAP",(VLOOKUP(TablaCosechas[[#This Row],[COD]],Tabla7[[CODIGO]:[CERTIFICACION]],3,0))))</f>
        <v>CONVENCIONAL</v>
      </c>
      <c r="P491" s="180">
        <f>+L491-E491</f>
        <v>1157.3400000000001</v>
      </c>
      <c r="Q491" s="181">
        <f>+M491-F491</f>
        <v>0.47999999999999687</v>
      </c>
      <c r="R491" s="9"/>
    </row>
    <row r="492" spans="1:18" x14ac:dyDescent="0.25">
      <c r="A492" s="9" t="s">
        <v>178</v>
      </c>
      <c r="B492" s="9">
        <f>ROW() - ROW(TablaCosechas[[#Headers],[ID]]) - 4</f>
        <v>487</v>
      </c>
      <c r="C492" s="9" t="str">
        <f>LEFT(A492,2)</f>
        <v>PR</v>
      </c>
      <c r="D492" s="182" t="s">
        <v>366</v>
      </c>
      <c r="E492" s="178">
        <v>32500</v>
      </c>
      <c r="F492" s="19">
        <v>22</v>
      </c>
      <c r="G492" s="195">
        <v>45975</v>
      </c>
      <c r="H492" s="9" t="str">
        <f>VLOOKUP(TablaCosechas[[#This Row],[COD]],DATOS!$E$3:$F$27,2,0)</f>
        <v>PARGO ROJO</v>
      </c>
      <c r="I492" s="9" t="str">
        <f>RIGHT(TablaCosechas[[#This Row],[SECTOR/PISCINA]],2)</f>
        <v>09</v>
      </c>
      <c r="J492" s="9" t="str">
        <f>VLOOKUP(TablaCosechas[[#This Row],[COD]],Tabla7[#All],4,0)</f>
        <v>WILMER TORRES</v>
      </c>
      <c r="K492" s="179">
        <f>(TablaCosechas[[#This Row],[libras planta]]*454)/M492</f>
        <v>773420.21250000014</v>
      </c>
      <c r="L492" s="174">
        <v>38159.94</v>
      </c>
      <c r="M492" s="19">
        <v>22.4</v>
      </c>
      <c r="N492" s="9" t="str">
        <f>UPPER(TEXT(TablaCosechas[[#This Row],[COSECHA]],"MMMM"))</f>
        <v>NOVIEMBRE</v>
      </c>
      <c r="O492" s="9" t="str">
        <f>IF(A492="DO 29","BAP",IF(A492="RO 14","BAP",(VLOOKUP(TablaCosechas[[#This Row],[COD]],Tabla7[[CODIGO]:[CERTIFICACION]],3,0))))</f>
        <v>CONVENCIONAL</v>
      </c>
      <c r="P492" s="180">
        <f>+L492-E492</f>
        <v>5659.9400000000023</v>
      </c>
      <c r="Q492" s="181">
        <f>+M492-F492</f>
        <v>0.39999999999999858</v>
      </c>
      <c r="R492" s="9"/>
    </row>
    <row r="493" spans="1:18" x14ac:dyDescent="0.25">
      <c r="A493" s="9" t="s">
        <v>306</v>
      </c>
      <c r="B493" s="9">
        <f>ROW() - ROW(TablaCosechas[[#Headers],[ID]]) - 4</f>
        <v>488</v>
      </c>
      <c r="C493" s="9" t="str">
        <f>LEFT(A493,2)</f>
        <v>PA</v>
      </c>
      <c r="D493" s="182" t="s">
        <v>367</v>
      </c>
      <c r="E493" s="178">
        <v>10150</v>
      </c>
      <c r="F493" s="19">
        <v>17</v>
      </c>
      <c r="G493" s="195">
        <v>45975</v>
      </c>
      <c r="H493" s="9" t="str">
        <f>VLOOKUP(TablaCosechas[[#This Row],[COD]],DATOS!$E$3:$F$27,2,0)</f>
        <v>PAMPANO</v>
      </c>
      <c r="I493" s="9" t="str">
        <f>RIGHT(TablaCosechas[[#This Row],[SECTOR/PISCINA]],2)</f>
        <v>17</v>
      </c>
      <c r="J493" s="9" t="str">
        <f>VLOOKUP(TablaCosechas[[#This Row],[COD]],Tabla7[#All],4,0)</f>
        <v>GUSTAVO CARRASCO</v>
      </c>
      <c r="K493" s="179">
        <f>(TablaCosechas[[#This Row],[libras planta]]*454)/M493</f>
        <v>230895.70339855814</v>
      </c>
      <c r="L493" s="174">
        <v>9876.64</v>
      </c>
      <c r="M493" s="19">
        <v>19.420000000000002</v>
      </c>
      <c r="N493" s="9" t="str">
        <f>UPPER(TEXT(TablaCosechas[[#This Row],[COSECHA]],"MMMM"))</f>
        <v>NOVIEMBRE</v>
      </c>
      <c r="O493" s="9" t="str">
        <f>IF(A493="DO 29","BAP",IF(A493="RO 14","BAP",(VLOOKUP(TablaCosechas[[#This Row],[COD]],Tabla7[[CODIGO]:[CERTIFICACION]],3,0))))</f>
        <v>ASC</v>
      </c>
      <c r="P493" s="180">
        <f>+L493-E493</f>
        <v>-273.36000000000058</v>
      </c>
      <c r="Q493" s="181">
        <f>+M493-F493</f>
        <v>2.4200000000000017</v>
      </c>
      <c r="R493" s="9"/>
    </row>
    <row r="494" spans="1:18" x14ac:dyDescent="0.25">
      <c r="A494" s="9" t="s">
        <v>208</v>
      </c>
      <c r="B494" s="9">
        <f>ROW() - ROW(TablaCosechas[[#Headers],[ID]]) - 4</f>
        <v>489</v>
      </c>
      <c r="C494" s="9" t="str">
        <f>LEFT(A494,2)</f>
        <v>DO</v>
      </c>
      <c r="D494" s="182" t="s">
        <v>366</v>
      </c>
      <c r="E494" s="178">
        <v>38050</v>
      </c>
      <c r="F494" s="19">
        <v>42</v>
      </c>
      <c r="G494" s="195">
        <v>45975</v>
      </c>
      <c r="H494" s="9" t="str">
        <f>VLOOKUP(TablaCosechas[[#This Row],[COD]],DATOS!$E$3:$F$27,2,0)</f>
        <v>DORADO</v>
      </c>
      <c r="I494" s="9" t="str">
        <f>RIGHT(TablaCosechas[[#This Row],[SECTOR/PISCINA]],2)</f>
        <v>04</v>
      </c>
      <c r="J494" s="9" t="str">
        <f>VLOOKUP(TablaCosechas[[#This Row],[COD]],Tabla7[#All],4,0)</f>
        <v>JOSE CEDEÑO</v>
      </c>
      <c r="K494" s="179">
        <f>(TablaCosechas[[#This Row],[libras planta]]*454)/M494</f>
        <v>406912.54972375691</v>
      </c>
      <c r="L494" s="174">
        <v>38934.54</v>
      </c>
      <c r="M494" s="19">
        <v>43.44</v>
      </c>
      <c r="N494" s="9" t="str">
        <f>UPPER(TEXT(TablaCosechas[[#This Row],[COSECHA]],"MMMM"))</f>
        <v>NOVIEMBRE</v>
      </c>
      <c r="O494" s="9" t="str">
        <f>IF(A494="DO 29","BAP",IF(A494="RO 14","BAP",(VLOOKUP(TablaCosechas[[#This Row],[COD]],Tabla7[[CODIGO]:[CERTIFICACION]],3,0))))</f>
        <v>ASC</v>
      </c>
      <c r="P494" s="180">
        <f>+L494-E494</f>
        <v>884.54000000000087</v>
      </c>
      <c r="Q494" s="181">
        <f>+M494-F494</f>
        <v>1.4399999999999977</v>
      </c>
      <c r="R494" s="9"/>
    </row>
    <row r="495" spans="1:18" x14ac:dyDescent="0.25">
      <c r="A495" s="9" t="s">
        <v>242</v>
      </c>
      <c r="B495" s="9">
        <f>ROW() - ROW(TablaCosechas[[#Headers],[ID]]) - 4</f>
        <v>490</v>
      </c>
      <c r="C495" s="9" t="str">
        <f>LEFT(A495,2)</f>
        <v>DE</v>
      </c>
      <c r="D495" s="182" t="s">
        <v>366</v>
      </c>
      <c r="E495" s="178">
        <v>36000</v>
      </c>
      <c r="F495" s="19">
        <v>33</v>
      </c>
      <c r="G495" s="195">
        <v>45975</v>
      </c>
      <c r="H495" s="9" t="str">
        <f>VLOOKUP(TablaCosechas[[#This Row],[COD]],DATOS!$E$3:$F$27,2,0)</f>
        <v>DELFIN</v>
      </c>
      <c r="I495" s="9" t="str">
        <f>RIGHT(TablaCosechas[[#This Row],[SECTOR/PISCINA]],2)</f>
        <v>06</v>
      </c>
      <c r="J495" s="9" t="str">
        <f>VLOOKUP(TablaCosechas[[#This Row],[COD]],Tabla7[#All],4,0)</f>
        <v>CARLOS FLORES</v>
      </c>
      <c r="K495" s="179">
        <f>(TablaCosechas[[#This Row],[libras planta]]*454)/M495</f>
        <v>535329.03291442245</v>
      </c>
      <c r="L495" s="174">
        <v>39406.82</v>
      </c>
      <c r="M495" s="19">
        <v>33.42</v>
      </c>
      <c r="N495" s="9" t="str">
        <f>UPPER(TEXT(TablaCosechas[[#This Row],[COSECHA]],"MMMM"))</f>
        <v>NOVIEMBRE</v>
      </c>
      <c r="O495" s="9" t="str">
        <f>IF(A495="DO 29","BAP",IF(A495="RO 14","BAP",(VLOOKUP(TablaCosechas[[#This Row],[COD]],Tabla7[[CODIGO]:[CERTIFICACION]],3,0))))</f>
        <v>CONVENCIONAL</v>
      </c>
      <c r="P495" s="180">
        <f>+L495-E495</f>
        <v>3406.8199999999997</v>
      </c>
      <c r="Q495" s="181">
        <f>+M495-F495</f>
        <v>0.42000000000000171</v>
      </c>
      <c r="R495" s="9"/>
    </row>
    <row r="496" spans="1:18" x14ac:dyDescent="0.25">
      <c r="A496" s="9" t="s">
        <v>18</v>
      </c>
      <c r="B496" s="9">
        <f>ROW() - ROW(TablaCosechas[[#Headers],[ID]]) - 4</f>
        <v>491</v>
      </c>
      <c r="C496" s="9" t="str">
        <f>LEFT(A496,2)</f>
        <v>CH</v>
      </c>
      <c r="D496" s="182" t="s">
        <v>367</v>
      </c>
      <c r="E496" s="178">
        <v>11900</v>
      </c>
      <c r="F496" s="19">
        <v>23</v>
      </c>
      <c r="G496" s="195">
        <v>45975</v>
      </c>
      <c r="H496" s="9" t="str">
        <f>VLOOKUP(TablaCosechas[[#This Row],[COD]],DATOS!$E$3:$F$27,2,0)</f>
        <v>CHERNA</v>
      </c>
      <c r="I496" s="9" t="str">
        <f>RIGHT(TablaCosechas[[#This Row],[SECTOR/PISCINA]],2)</f>
        <v>12</v>
      </c>
      <c r="J496" s="9" t="str">
        <f>VLOOKUP(TablaCosechas[[#This Row],[COD]],Tabla7[#All],4,0)</f>
        <v>SANTIAGO OBRIEN</v>
      </c>
      <c r="K496" s="179">
        <f>(TablaCosechas[[#This Row],[libras planta]]*454)/M496</f>
        <v>228774.29105691053</v>
      </c>
      <c r="L496" s="174">
        <v>12396.14</v>
      </c>
      <c r="M496" s="19">
        <v>24.6</v>
      </c>
      <c r="N496" s="9" t="str">
        <f>UPPER(TEXT(TablaCosechas[[#This Row],[COSECHA]],"MMMM"))</f>
        <v>NOVIEMBRE</v>
      </c>
      <c r="O496" s="9" t="str">
        <f>IF(A496="DO 29","BAP",IF(A496="RO 14","BAP",(VLOOKUP(TablaCosechas[[#This Row],[COD]],Tabla7[[CODIGO]:[CERTIFICACION]],3,0))))</f>
        <v>ASC</v>
      </c>
      <c r="P496" s="180">
        <f>+L496-E496</f>
        <v>496.13999999999942</v>
      </c>
      <c r="Q496" s="181">
        <f>+M496-F496</f>
        <v>1.6000000000000014</v>
      </c>
      <c r="R496" s="9"/>
    </row>
    <row r="497" spans="1:18" x14ac:dyDescent="0.25">
      <c r="A497" s="9" t="s">
        <v>344</v>
      </c>
      <c r="B497" s="9">
        <f>ROW() - ROW(TablaCosechas[[#Headers],[ID]]) - 4</f>
        <v>492</v>
      </c>
      <c r="C497" s="9" t="str">
        <f>LEFT(A497,2)</f>
        <v>WA</v>
      </c>
      <c r="D497" s="182" t="s">
        <v>366</v>
      </c>
      <c r="E497" s="178">
        <v>13950</v>
      </c>
      <c r="F497" s="19">
        <v>22</v>
      </c>
      <c r="G497" s="195">
        <v>45976</v>
      </c>
      <c r="H497" s="9" t="str">
        <f>VLOOKUP(TablaCosechas[[#This Row],[COD]],DATOS!$E$3:$F$27,2,0)</f>
        <v>WAHOO</v>
      </c>
      <c r="I497" s="9" t="str">
        <f>RIGHT(TablaCosechas[[#This Row],[SECTOR/PISCINA]],2)</f>
        <v>20</v>
      </c>
      <c r="J497" s="9" t="str">
        <f>VLOOKUP(TablaCosechas[[#This Row],[COD]],Tabla7[#All],4,0)</f>
        <v>JUNIOR ESQUIVEL</v>
      </c>
      <c r="K497" s="179">
        <f>(TablaCosechas[[#This Row],[libras planta]]*454)/M497</f>
        <v>288329.8783783784</v>
      </c>
      <c r="L497" s="174">
        <v>14098.95</v>
      </c>
      <c r="M497" s="19">
        <v>22.2</v>
      </c>
      <c r="N497" s="9" t="str">
        <f>UPPER(TEXT(TablaCosechas[[#This Row],[COSECHA]],"MMMM"))</f>
        <v>NOVIEMBRE</v>
      </c>
      <c r="O497" s="9" t="str">
        <f>IF(A497="DO 29","BAP",IF(A497="RO 14","BAP",(VLOOKUP(TablaCosechas[[#This Row],[COD]],Tabla7[[CODIGO]:[CERTIFICACION]],3,0))))</f>
        <v>CONVENCIONAL</v>
      </c>
      <c r="P497" s="180">
        <f>+L497-E497</f>
        <v>148.95000000000073</v>
      </c>
      <c r="Q497" s="181">
        <f>+M497-F497</f>
        <v>0.19999999999999929</v>
      </c>
      <c r="R497" s="9"/>
    </row>
    <row r="498" spans="1:18" x14ac:dyDescent="0.25">
      <c r="A498" s="9" t="s">
        <v>258</v>
      </c>
      <c r="B498" s="9">
        <f>ROW() - ROW(TablaCosechas[[#Headers],[ID]]) - 4</f>
        <v>493</v>
      </c>
      <c r="C498" s="9" t="str">
        <f>LEFT(A498,2)</f>
        <v>TI</v>
      </c>
      <c r="D498" s="182" t="s">
        <v>367</v>
      </c>
      <c r="E498" s="178">
        <v>10000</v>
      </c>
      <c r="F498" s="19">
        <v>32</v>
      </c>
      <c r="G498" s="195">
        <v>45976</v>
      </c>
      <c r="H498" s="9" t="str">
        <f>VLOOKUP(TablaCosechas[[#This Row],[COD]],DATOS!$E$3:$F$27,2,0)</f>
        <v>TIBURON</v>
      </c>
      <c r="I498" s="9" t="str">
        <f>RIGHT(TablaCosechas[[#This Row],[SECTOR/PISCINA]],2)</f>
        <v>10</v>
      </c>
      <c r="J498" s="9" t="str">
        <f>VLOOKUP(TablaCosechas[[#This Row],[COD]],Tabla7[#All],4,0)</f>
        <v>ALFONSO GRUNAUER</v>
      </c>
      <c r="K498" s="179">
        <f>(TablaCosechas[[#This Row],[libras planta]]*454)/M498</f>
        <v>161413.23427866833</v>
      </c>
      <c r="L498" s="174">
        <v>11533.58</v>
      </c>
      <c r="M498" s="19">
        <v>32.44</v>
      </c>
      <c r="N498" s="9" t="str">
        <f>UPPER(TEXT(TablaCosechas[[#This Row],[COSECHA]],"MMMM"))</f>
        <v>NOVIEMBRE</v>
      </c>
      <c r="O498" s="9" t="str">
        <f>IF(A498="DO 29","BAP",IF(A498="RO 14","BAP",(VLOOKUP(TablaCosechas[[#This Row],[COD]],Tabla7[[CODIGO]:[CERTIFICACION]],3,0))))</f>
        <v>ASC</v>
      </c>
      <c r="P498" s="180">
        <f>+L498-E498</f>
        <v>1533.58</v>
      </c>
      <c r="Q498" s="181">
        <f>+M498-F498</f>
        <v>0.43999999999999773</v>
      </c>
      <c r="R498" s="9"/>
    </row>
    <row r="499" spans="1:18" x14ac:dyDescent="0.25">
      <c r="A499" s="9" t="s">
        <v>289</v>
      </c>
      <c r="B499" s="9">
        <f>ROW() - ROW(TablaCosechas[[#Headers],[ID]]) - 4</f>
        <v>494</v>
      </c>
      <c r="C499" s="9" t="str">
        <f>LEFT(A499,2)</f>
        <v>TI</v>
      </c>
      <c r="D499" s="182" t="s">
        <v>367</v>
      </c>
      <c r="E499" s="178">
        <v>12000</v>
      </c>
      <c r="F499" s="19">
        <v>22</v>
      </c>
      <c r="G499" s="195">
        <v>45976</v>
      </c>
      <c r="H499" s="9" t="str">
        <f>VLOOKUP(TablaCosechas[[#This Row],[COD]],DATOS!$E$3:$F$27,2,0)</f>
        <v>TIBURON</v>
      </c>
      <c r="I499" s="9" t="str">
        <f>RIGHT(TablaCosechas[[#This Row],[SECTOR/PISCINA]],2)</f>
        <v>04</v>
      </c>
      <c r="J499" s="9" t="str">
        <f>VLOOKUP(TablaCosechas[[#This Row],[COD]],Tabla7[#All],4,0)</f>
        <v>ALFONSO GRUNAUER</v>
      </c>
      <c r="K499" s="179">
        <f>(TablaCosechas[[#This Row],[libras planta]]*454)/M499</f>
        <v>270686.07796917501</v>
      </c>
      <c r="L499" s="174">
        <v>13152.72</v>
      </c>
      <c r="M499" s="19">
        <v>22.06</v>
      </c>
      <c r="N499" s="9" t="str">
        <f>UPPER(TEXT(TablaCosechas[[#This Row],[COSECHA]],"MMMM"))</f>
        <v>NOVIEMBRE</v>
      </c>
      <c r="O499" s="9" t="str">
        <f>IF(A499="DO 29","BAP",IF(A499="RO 14","BAP",(VLOOKUP(TablaCosechas[[#This Row],[COD]],Tabla7[[CODIGO]:[CERTIFICACION]],3,0))))</f>
        <v>ASC</v>
      </c>
      <c r="P499" s="180">
        <f>+L499-E499</f>
        <v>1152.7199999999993</v>
      </c>
      <c r="Q499" s="181">
        <f>+M499-F499</f>
        <v>5.9999999999998721E-2</v>
      </c>
      <c r="R499" s="9"/>
    </row>
    <row r="500" spans="1:18" x14ac:dyDescent="0.25">
      <c r="A500" s="9" t="s">
        <v>261</v>
      </c>
      <c r="B500" s="9">
        <f>ROW() - ROW(TablaCosechas[[#Headers],[ID]]) - 4</f>
        <v>495</v>
      </c>
      <c r="C500" s="9" t="str">
        <f>LEFT(A500,2)</f>
        <v>PR</v>
      </c>
      <c r="D500" s="182" t="s">
        <v>366</v>
      </c>
      <c r="E500" s="178">
        <v>16200</v>
      </c>
      <c r="F500" s="19">
        <v>23</v>
      </c>
      <c r="G500" s="195">
        <v>45976</v>
      </c>
      <c r="H500" s="9" t="str">
        <f>VLOOKUP(TablaCosechas[[#This Row],[COD]],DATOS!$E$3:$F$27,2,0)</f>
        <v>PARGO ROJO</v>
      </c>
      <c r="I500" s="9" t="str">
        <f>RIGHT(TablaCosechas[[#This Row],[SECTOR/PISCINA]],2)</f>
        <v>12</v>
      </c>
      <c r="J500" s="9" t="str">
        <f>VLOOKUP(TablaCosechas[[#This Row],[COD]],Tabla7[#All],4,0)</f>
        <v>WILMER TORRES</v>
      </c>
      <c r="K500" s="179">
        <f>(TablaCosechas[[#This Row],[libras planta]]*454)/M500</f>
        <v>366600.14638157899</v>
      </c>
      <c r="L500" s="174">
        <v>19638.14</v>
      </c>
      <c r="M500" s="19">
        <v>24.32</v>
      </c>
      <c r="N500" s="9" t="str">
        <f>UPPER(TEXT(TablaCosechas[[#This Row],[COSECHA]],"MMMM"))</f>
        <v>NOVIEMBRE</v>
      </c>
      <c r="O500" s="9" t="str">
        <f>IF(A500="DO 29","BAP",IF(A500="RO 14","BAP",(VLOOKUP(TablaCosechas[[#This Row],[COD]],Tabla7[[CODIGO]:[CERTIFICACION]],3,0))))</f>
        <v>CONVENCIONAL</v>
      </c>
      <c r="P500" s="180">
        <f>+L500-E500</f>
        <v>3438.1399999999994</v>
      </c>
      <c r="Q500" s="181">
        <f>+M500-F500</f>
        <v>1.3200000000000003</v>
      </c>
      <c r="R500" s="9"/>
    </row>
    <row r="501" spans="1:18" x14ac:dyDescent="0.25">
      <c r="A501" s="9" t="s">
        <v>7</v>
      </c>
      <c r="B501" s="9">
        <f>ROW() - ROW(TablaCosechas[[#Headers],[ID]]) - 4</f>
        <v>496</v>
      </c>
      <c r="C501" s="9" t="str">
        <f>LEFT(A501,2)</f>
        <v>CH</v>
      </c>
      <c r="D501" s="182" t="s">
        <v>366</v>
      </c>
      <c r="E501" s="178">
        <v>48700</v>
      </c>
      <c r="F501" s="19">
        <v>32</v>
      </c>
      <c r="G501" s="195">
        <v>45976</v>
      </c>
      <c r="H501" s="9" t="str">
        <f>VLOOKUP(TablaCosechas[[#This Row],[COD]],DATOS!$E$3:$F$27,2,0)</f>
        <v>CHERNA</v>
      </c>
      <c r="I501" s="9" t="str">
        <f>RIGHT(TablaCosechas[[#This Row],[SECTOR/PISCINA]],2)</f>
        <v>01</v>
      </c>
      <c r="J501" s="9" t="str">
        <f>VLOOKUP(TablaCosechas[[#This Row],[COD]],Tabla7[#All],4,0)</f>
        <v>SANTIAGO OBRIEN</v>
      </c>
      <c r="K501" s="179">
        <f>(TablaCosechas[[#This Row],[libras planta]]*454)/M501</f>
        <v>781481.95187349594</v>
      </c>
      <c r="L501" s="174">
        <v>50073.369999999995</v>
      </c>
      <c r="M501" s="19">
        <v>29.09</v>
      </c>
      <c r="N501" s="9" t="str">
        <f>UPPER(TEXT(TablaCosechas[[#This Row],[COSECHA]],"MMMM"))</f>
        <v>NOVIEMBRE</v>
      </c>
      <c r="O501" s="9" t="str">
        <f>IF(A501="DO 29","BAP",IF(A501="RO 14","BAP",(VLOOKUP(TablaCosechas[[#This Row],[COD]],Tabla7[[CODIGO]:[CERTIFICACION]],3,0))))</f>
        <v>ASC</v>
      </c>
      <c r="P501" s="180">
        <f>+L501-E501</f>
        <v>1373.3699999999953</v>
      </c>
      <c r="Q501" s="181">
        <f>+M501-F501</f>
        <v>-2.91</v>
      </c>
      <c r="R501" s="9"/>
    </row>
    <row r="502" spans="1:18" x14ac:dyDescent="0.25">
      <c r="A502" s="9" t="s">
        <v>315</v>
      </c>
      <c r="B502" s="9">
        <f>ROW() - ROW(TablaCosechas[[#Headers],[ID]]) - 4</f>
        <v>497</v>
      </c>
      <c r="C502" s="9" t="str">
        <f>LEFT(A502,2)</f>
        <v>TI</v>
      </c>
      <c r="D502" s="182" t="s">
        <v>367</v>
      </c>
      <c r="E502" s="178">
        <v>16000</v>
      </c>
      <c r="F502" s="19">
        <v>20.5</v>
      </c>
      <c r="G502" s="195">
        <v>45977</v>
      </c>
      <c r="H502" s="9" t="str">
        <f>VLOOKUP(TablaCosechas[[#This Row],[COD]],DATOS!$E$3:$F$27,2,0)</f>
        <v>TIBURON</v>
      </c>
      <c r="I502" s="9" t="str">
        <f>RIGHT(TablaCosechas[[#This Row],[SECTOR/PISCINA]],2)</f>
        <v>05</v>
      </c>
      <c r="J502" s="9" t="str">
        <f>VLOOKUP(TablaCosechas[[#This Row],[COD]],Tabla7[#All],4,0)</f>
        <v>ALFONSO GRUNAUER</v>
      </c>
      <c r="K502" s="179">
        <f>(TablaCosechas[[#This Row],[libras planta]]*454)/M502</f>
        <v>333412.57787610614</v>
      </c>
      <c r="L502" s="174">
        <v>16597.189999999999</v>
      </c>
      <c r="M502" s="19">
        <v>22.6</v>
      </c>
      <c r="N502" s="9" t="str">
        <f>UPPER(TEXT(TablaCosechas[[#This Row],[COSECHA]],"MMMM"))</f>
        <v>NOVIEMBRE</v>
      </c>
      <c r="O502" s="9" t="str">
        <f>IF(A502="DO 29","BAP",IF(A502="RO 14","BAP",(VLOOKUP(TablaCosechas[[#This Row],[COD]],Tabla7[[CODIGO]:[CERTIFICACION]],3,0))))</f>
        <v>ASC</v>
      </c>
      <c r="P502" s="180">
        <f>+L502-E502</f>
        <v>597.18999999999869</v>
      </c>
      <c r="Q502" s="181">
        <f>+M502-F502</f>
        <v>2.1000000000000014</v>
      </c>
      <c r="R502" s="9"/>
    </row>
    <row r="503" spans="1:18" x14ac:dyDescent="0.25">
      <c r="A503" s="9" t="s">
        <v>238</v>
      </c>
      <c r="B503" s="9">
        <f>ROW() - ROW(TablaCosechas[[#Headers],[ID]]) - 4</f>
        <v>498</v>
      </c>
      <c r="C503" s="9" t="str">
        <f>LEFT(A503,2)</f>
        <v>GT</v>
      </c>
      <c r="D503" s="182" t="s">
        <v>367</v>
      </c>
      <c r="E503" s="178">
        <v>1950</v>
      </c>
      <c r="F503" s="19">
        <v>31</v>
      </c>
      <c r="G503" s="195">
        <v>45977</v>
      </c>
      <c r="H503" s="9" t="str">
        <f>VLOOKUP(TablaCosechas[[#This Row],[COD]],DATOS!$E$3:$F$27,2,0)</f>
        <v>GUATO</v>
      </c>
      <c r="I503" s="9" t="str">
        <f>RIGHT(TablaCosechas[[#This Row],[SECTOR/PISCINA]],2)</f>
        <v>06</v>
      </c>
      <c r="J503" s="9" t="str">
        <f>VLOOKUP(TablaCosechas[[#This Row],[COD]],Tabla7[#All],4,0)</f>
        <v>JULIO SANTOS</v>
      </c>
      <c r="K503" s="179">
        <f>(TablaCosechas[[#This Row],[libras planta]]*454)/M503</f>
        <v>28881.902542372882</v>
      </c>
      <c r="L503" s="174">
        <v>2101.89</v>
      </c>
      <c r="M503" s="19">
        <v>33.04</v>
      </c>
      <c r="N503" s="9" t="str">
        <f>UPPER(TEXT(TablaCosechas[[#This Row],[COSECHA]],"MMMM"))</f>
        <v>NOVIEMBRE</v>
      </c>
      <c r="O503" s="9" t="str">
        <f>IF(A503="DO 29","BAP",IF(A503="RO 14","BAP",(VLOOKUP(TablaCosechas[[#This Row],[COD]],Tabla7[[CODIGO]:[CERTIFICACION]],3,0))))</f>
        <v>CONVENCIONAL</v>
      </c>
      <c r="P503" s="180">
        <f>+L503-E503</f>
        <v>151.88999999999987</v>
      </c>
      <c r="Q503" s="181">
        <f>+M503-F503</f>
        <v>2.0399999999999991</v>
      </c>
      <c r="R503" s="9"/>
    </row>
    <row r="504" spans="1:18" x14ac:dyDescent="0.25">
      <c r="A504" s="9" t="s">
        <v>276</v>
      </c>
      <c r="B504" s="9">
        <f>ROW() - ROW(TablaCosechas[[#Headers],[ID]]) - 4</f>
        <v>499</v>
      </c>
      <c r="C504" s="9" t="str">
        <f>LEFT(A504,2)</f>
        <v>DE</v>
      </c>
      <c r="D504" s="182" t="s">
        <v>367</v>
      </c>
      <c r="E504" s="178">
        <v>9000</v>
      </c>
      <c r="F504" s="19">
        <v>23</v>
      </c>
      <c r="G504" s="195">
        <v>45977</v>
      </c>
      <c r="H504" s="9" t="str">
        <f>VLOOKUP(TablaCosechas[[#This Row],[COD]],DATOS!$E$3:$F$27,2,0)</f>
        <v>DELFIN</v>
      </c>
      <c r="I504" s="9" t="str">
        <f>RIGHT(TablaCosechas[[#This Row],[SECTOR/PISCINA]],2)</f>
        <v>08</v>
      </c>
      <c r="J504" s="9" t="str">
        <f>VLOOKUP(TablaCosechas[[#This Row],[COD]],Tabla7[#All],4,0)</f>
        <v>CARLOS FLORES</v>
      </c>
      <c r="K504" s="179">
        <f>(TablaCosechas[[#This Row],[libras planta]]*454)/M504</f>
        <v>187817.75314116775</v>
      </c>
      <c r="L504" s="174">
        <v>9515.41</v>
      </c>
      <c r="M504" s="19">
        <v>23.001000000000001</v>
      </c>
      <c r="N504" s="9" t="str">
        <f>UPPER(TEXT(TablaCosechas[[#This Row],[COSECHA]],"MMMM"))</f>
        <v>NOVIEMBRE</v>
      </c>
      <c r="O504" s="9" t="str">
        <f>IF(A504="DO 29","BAP",IF(A504="RO 14","BAP",(VLOOKUP(TablaCosechas[[#This Row],[COD]],Tabla7[[CODIGO]:[CERTIFICACION]],3,0))))</f>
        <v>CONVENCIONAL</v>
      </c>
      <c r="P504" s="180">
        <f>+L504-E504</f>
        <v>515.40999999999985</v>
      </c>
      <c r="Q504" s="181">
        <f>+M504-F504</f>
        <v>1.0000000000012221E-3</v>
      </c>
      <c r="R504" s="9"/>
    </row>
    <row r="505" spans="1:18" x14ac:dyDescent="0.25">
      <c r="A505" s="9" t="s">
        <v>30</v>
      </c>
      <c r="B505" s="9">
        <f>ROW() - ROW(TablaCosechas[[#Headers],[ID]]) - 4</f>
        <v>500</v>
      </c>
      <c r="C505" s="9" t="str">
        <f>LEFT(A505,2)</f>
        <v>CH</v>
      </c>
      <c r="D505" s="182" t="s">
        <v>367</v>
      </c>
      <c r="E505" s="178">
        <v>17000</v>
      </c>
      <c r="F505" s="19">
        <v>21</v>
      </c>
      <c r="G505" s="195">
        <v>45977</v>
      </c>
      <c r="H505" s="9" t="str">
        <f>VLOOKUP(TablaCosechas[[#This Row],[COD]],DATOS!$E$3:$F$27,2,0)</f>
        <v>CHERNA</v>
      </c>
      <c r="I505" s="9" t="str">
        <f>RIGHT(TablaCosechas[[#This Row],[SECTOR/PISCINA]],2)</f>
        <v>19</v>
      </c>
      <c r="J505" s="9" t="str">
        <f>VLOOKUP(TablaCosechas[[#This Row],[COD]],Tabla7[#All],4,0)</f>
        <v>SANTIAGO OBRIEN</v>
      </c>
      <c r="K505" s="179">
        <f>(TablaCosechas[[#This Row],[libras planta]]*454)/M505</f>
        <v>350970.85083848186</v>
      </c>
      <c r="L505" s="174">
        <v>17517.62</v>
      </c>
      <c r="M505" s="19">
        <v>22.66</v>
      </c>
      <c r="N505" s="9" t="str">
        <f>UPPER(TEXT(TablaCosechas[[#This Row],[COSECHA]],"MMMM"))</f>
        <v>NOVIEMBRE</v>
      </c>
      <c r="O505" s="9" t="str">
        <f>IF(A505="DO 29","BAP",IF(A505="RO 14","BAP",(VLOOKUP(TablaCosechas[[#This Row],[COD]],Tabla7[[CODIGO]:[CERTIFICACION]],3,0))))</f>
        <v>ASC</v>
      </c>
      <c r="P505" s="180">
        <f>+L505-E505</f>
        <v>517.61999999999898</v>
      </c>
      <c r="Q505" s="181">
        <f>+M505-F505</f>
        <v>1.6600000000000001</v>
      </c>
      <c r="R505" s="9"/>
    </row>
    <row r="506" spans="1:18" x14ac:dyDescent="0.25">
      <c r="A506" s="9" t="s">
        <v>277</v>
      </c>
      <c r="B506" s="9">
        <f>ROW() - ROW(TablaCosechas[[#Headers],[ID]]) - 4</f>
        <v>501</v>
      </c>
      <c r="C506" s="9" t="str">
        <f>LEFT(A506,2)</f>
        <v>CA</v>
      </c>
      <c r="D506" s="182" t="s">
        <v>367</v>
      </c>
      <c r="E506" s="178">
        <v>8200</v>
      </c>
      <c r="F506" s="19">
        <v>29</v>
      </c>
      <c r="G506" s="195">
        <v>45977</v>
      </c>
      <c r="H506" s="9" t="str">
        <f>VLOOKUP(TablaCosechas[[#This Row],[COD]],DATOS!$E$3:$F$27,2,0)</f>
        <v>CATANUDA</v>
      </c>
      <c r="I506" s="9" t="str">
        <f>RIGHT(TablaCosechas[[#This Row],[SECTOR/PISCINA]],2)</f>
        <v>05</v>
      </c>
      <c r="J506" s="9" t="str">
        <f>VLOOKUP(TablaCosechas[[#This Row],[COD]],Tabla7[#All],4,0)</f>
        <v>VICTOR QUINTANA</v>
      </c>
      <c r="K506" s="179">
        <f>(TablaCosechas[[#This Row],[libras planta]]*454)/M506</f>
        <v>131859.34755677907</v>
      </c>
      <c r="L506" s="174">
        <v>8440.16</v>
      </c>
      <c r="M506" s="19">
        <v>29.06</v>
      </c>
      <c r="N506" s="9" t="str">
        <f>UPPER(TEXT(TablaCosechas[[#This Row],[COSECHA]],"MMMM"))</f>
        <v>NOVIEMBRE</v>
      </c>
      <c r="O506" s="9" t="str">
        <f>IF(A506="DO 29","BAP",IF(A506="RO 14","BAP",(VLOOKUP(TablaCosechas[[#This Row],[COD]],Tabla7[[CODIGO]:[CERTIFICACION]],3,0))))</f>
        <v>ASC</v>
      </c>
      <c r="P506" s="180">
        <f>+L506-E506</f>
        <v>240.15999999999985</v>
      </c>
      <c r="Q506" s="181">
        <f>+M506-F506</f>
        <v>5.9999999999998721E-2</v>
      </c>
      <c r="R506" s="9"/>
    </row>
    <row r="507" spans="1:18" x14ac:dyDescent="0.25">
      <c r="A507" s="9" t="s">
        <v>257</v>
      </c>
      <c r="B507" s="9">
        <f>ROW() - ROW(TablaCosechas[[#Headers],[ID]]) - 4</f>
        <v>502</v>
      </c>
      <c r="C507" s="9" t="str">
        <f>LEFT(A507,2)</f>
        <v>WA</v>
      </c>
      <c r="D507" s="182" t="s">
        <v>366</v>
      </c>
      <c r="E507" s="178">
        <v>18650</v>
      </c>
      <c r="F507" s="19">
        <v>20</v>
      </c>
      <c r="G507" s="195">
        <v>45978</v>
      </c>
      <c r="H507" s="9" t="str">
        <f>VLOOKUP(TablaCosechas[[#This Row],[COD]],DATOS!$E$3:$F$27,2,0)</f>
        <v>WAHOO</v>
      </c>
      <c r="I507" s="9" t="str">
        <f>RIGHT(TablaCosechas[[#This Row],[SECTOR/PISCINA]],2)</f>
        <v>21</v>
      </c>
      <c r="J507" s="9" t="str">
        <f>VLOOKUP(TablaCosechas[[#This Row],[COD]],Tabla7[#All],4,0)</f>
        <v>JUNIOR ESQUIVEL</v>
      </c>
      <c r="K507" s="179">
        <f>(TablaCosechas[[#This Row],[libras planta]]*454)/M507</f>
        <v>416939.27475728153</v>
      </c>
      <c r="L507" s="174">
        <v>18918.39</v>
      </c>
      <c r="M507" s="19">
        <v>20.6</v>
      </c>
      <c r="N507" s="9" t="str">
        <f>UPPER(TEXT(TablaCosechas[[#This Row],[COSECHA]],"MMMM"))</f>
        <v>NOVIEMBRE</v>
      </c>
      <c r="O507" s="9" t="str">
        <f>IF(A507="DO 29","BAP",IF(A507="RO 14","BAP",(VLOOKUP(TablaCosechas[[#This Row],[COD]],Tabla7[[CODIGO]:[CERTIFICACION]],3,0))))</f>
        <v>CONVENCIONAL</v>
      </c>
      <c r="P507" s="180">
        <f>+L507-E507</f>
        <v>268.38999999999942</v>
      </c>
      <c r="Q507" s="181">
        <f>+M507-F507</f>
        <v>0.60000000000000142</v>
      </c>
      <c r="R507" s="9"/>
    </row>
    <row r="508" spans="1:18" x14ac:dyDescent="0.25">
      <c r="A508" s="9" t="s">
        <v>181</v>
      </c>
      <c r="B508" s="9">
        <f>ROW() - ROW(TablaCosechas[[#Headers],[ID]]) - 4</f>
        <v>503</v>
      </c>
      <c r="C508" s="9" t="str">
        <f>LEFT(A508,2)</f>
        <v>TA</v>
      </c>
      <c r="D508" s="182" t="s">
        <v>367</v>
      </c>
      <c r="E508" s="178">
        <v>16000</v>
      </c>
      <c r="F508" s="19">
        <v>21</v>
      </c>
      <c r="G508" s="195">
        <v>45978</v>
      </c>
      <c r="H508" s="9" t="str">
        <f>VLOOKUP(TablaCosechas[[#This Row],[COD]],DATOS!$E$3:$F$27,2,0)</f>
        <v>TAMBULERO</v>
      </c>
      <c r="I508" s="9" t="str">
        <f>RIGHT(TablaCosechas[[#This Row],[SECTOR/PISCINA]],2)</f>
        <v>10</v>
      </c>
      <c r="J508" s="9" t="str">
        <f>VLOOKUP(TablaCosechas[[#This Row],[COD]],Tabla7[#All],4,0)</f>
        <v>ALFONSO GRUNAUER</v>
      </c>
      <c r="K508" s="179">
        <f>(TablaCosechas[[#This Row],[libras planta]]*454)/M508</f>
        <v>333573.91828138172</v>
      </c>
      <c r="L508" s="174">
        <v>17442.830000000002</v>
      </c>
      <c r="M508" s="19">
        <v>23.74</v>
      </c>
      <c r="N508" s="9" t="str">
        <f>UPPER(TEXT(TablaCosechas[[#This Row],[COSECHA]],"MMMM"))</f>
        <v>NOVIEMBRE</v>
      </c>
      <c r="O508" s="9" t="str">
        <f>IF(A508="DO 29","BAP",IF(A508="RO 14","BAP",(VLOOKUP(TablaCosechas[[#This Row],[COD]],Tabla7[[CODIGO]:[CERTIFICACION]],3,0))))</f>
        <v>CONVENCIONAL</v>
      </c>
      <c r="P508" s="180">
        <f>+L508-E508</f>
        <v>1442.8300000000017</v>
      </c>
      <c r="Q508" s="181">
        <f>+M508-F508</f>
        <v>2.7399999999999984</v>
      </c>
      <c r="R508" s="9"/>
    </row>
    <row r="509" spans="1:18" x14ac:dyDescent="0.25">
      <c r="A509" s="9" t="s">
        <v>332</v>
      </c>
      <c r="B509" s="9">
        <f>ROW() - ROW(TablaCosechas[[#Headers],[ID]]) - 4</f>
        <v>504</v>
      </c>
      <c r="C509" s="9" t="str">
        <f>LEFT(A509,2)</f>
        <v>PA</v>
      </c>
      <c r="D509" s="182" t="s">
        <v>367</v>
      </c>
      <c r="E509" s="178">
        <v>17600</v>
      </c>
      <c r="F509" s="19">
        <v>22</v>
      </c>
      <c r="G509" s="195">
        <v>45978</v>
      </c>
      <c r="H509" s="9" t="str">
        <f>VLOOKUP(TablaCosechas[[#This Row],[COD]],DATOS!$E$3:$F$27,2,0)</f>
        <v>PAMPANO</v>
      </c>
      <c r="I509" s="9" t="str">
        <f>RIGHT(TablaCosechas[[#This Row],[SECTOR/PISCINA]],2)</f>
        <v>12</v>
      </c>
      <c r="J509" s="9" t="str">
        <f>VLOOKUP(TablaCosechas[[#This Row],[COD]],Tabla7[#All],4,0)</f>
        <v>GUSTAVO CARRASCO</v>
      </c>
      <c r="K509" s="179">
        <f>(TablaCosechas[[#This Row],[libras planta]]*454)/M509</f>
        <v>379182.35588752193</v>
      </c>
      <c r="L509" s="174">
        <v>19009.23</v>
      </c>
      <c r="M509" s="19">
        <v>22.76</v>
      </c>
      <c r="N509" s="9" t="str">
        <f>UPPER(TEXT(TablaCosechas[[#This Row],[COSECHA]],"MMMM"))</f>
        <v>NOVIEMBRE</v>
      </c>
      <c r="O509" s="9" t="str">
        <f>IF(A509="DO 29","BAP",IF(A509="RO 14","BAP",(VLOOKUP(TablaCosechas[[#This Row],[COD]],Tabla7[[CODIGO]:[CERTIFICACION]],3,0))))</f>
        <v>ASC</v>
      </c>
      <c r="P509" s="180">
        <f>+L509-E509</f>
        <v>1409.2299999999996</v>
      </c>
      <c r="Q509" s="181">
        <f>+M509-F509</f>
        <v>0.76000000000000156</v>
      </c>
      <c r="R509" s="9"/>
    </row>
    <row r="510" spans="1:18" x14ac:dyDescent="0.25">
      <c r="A510" s="9" t="s">
        <v>227</v>
      </c>
      <c r="B510" s="9">
        <f>ROW() - ROW(TablaCosechas[[#Headers],[ID]]) - 4</f>
        <v>505</v>
      </c>
      <c r="C510" s="9" t="str">
        <f>LEFT(A510,2)</f>
        <v>ME</v>
      </c>
      <c r="D510" s="182" t="s">
        <v>367</v>
      </c>
      <c r="E510" s="178">
        <v>3000</v>
      </c>
      <c r="F510" s="19">
        <v>16</v>
      </c>
      <c r="G510" s="195">
        <v>45978</v>
      </c>
      <c r="H510" s="9" t="str">
        <f>VLOOKUP(TablaCosechas[[#This Row],[COD]],DATOS!$E$3:$F$27,2,0)</f>
        <v>MERO</v>
      </c>
      <c r="I510" s="9" t="str">
        <f>RIGHT(TablaCosechas[[#This Row],[SECTOR/PISCINA]],2)</f>
        <v>03</v>
      </c>
      <c r="J510" s="9" t="str">
        <f>VLOOKUP(TablaCosechas[[#This Row],[COD]],Tabla7[#All],4,0)</f>
        <v>NESTOR MOGOLLON</v>
      </c>
      <c r="K510" s="179">
        <f>(TablaCosechas[[#This Row],[libras planta]]*454)/M510</f>
        <v>87106.96766011414</v>
      </c>
      <c r="L510" s="174">
        <v>3025.72</v>
      </c>
      <c r="M510" s="19">
        <v>15.77</v>
      </c>
      <c r="N510" s="9" t="str">
        <f>UPPER(TEXT(TablaCosechas[[#This Row],[COSECHA]],"MMMM"))</f>
        <v>NOVIEMBRE</v>
      </c>
      <c r="O510" s="9" t="str">
        <f>IF(A510="DO 29","BAP",IF(A510="RO 14","BAP",(VLOOKUP(TablaCosechas[[#This Row],[COD]],Tabla7[[CODIGO]:[CERTIFICACION]],3,0))))</f>
        <v>CONVENCIONAL</v>
      </c>
      <c r="P510" s="180">
        <f>+L510-E510</f>
        <v>25.7199999999998</v>
      </c>
      <c r="Q510" s="181">
        <f>+M510-F510</f>
        <v>-0.23000000000000043</v>
      </c>
      <c r="R510" s="9"/>
    </row>
    <row r="511" spans="1:18" x14ac:dyDescent="0.25">
      <c r="A511" s="9" t="s">
        <v>278</v>
      </c>
      <c r="B511" s="9">
        <f>ROW() - ROW(TablaCosechas[[#Headers],[ID]]) - 4</f>
        <v>506</v>
      </c>
      <c r="C511" s="9" t="str">
        <f>LEFT(A511,2)</f>
        <v>ME</v>
      </c>
      <c r="D511" s="182" t="s">
        <v>367</v>
      </c>
      <c r="E511" s="178">
        <v>2500</v>
      </c>
      <c r="F511" s="19">
        <v>21</v>
      </c>
      <c r="G511" s="195">
        <v>45978</v>
      </c>
      <c r="H511" s="9" t="str">
        <f>VLOOKUP(TablaCosechas[[#This Row],[COD]],DATOS!$E$3:$F$27,2,0)</f>
        <v>MERO</v>
      </c>
      <c r="I511" s="9" t="str">
        <f>RIGHT(TablaCosechas[[#This Row],[SECTOR/PISCINA]],2)</f>
        <v>02</v>
      </c>
      <c r="J511" s="9" t="str">
        <f>VLOOKUP(TablaCosechas[[#This Row],[COD]],Tabla7[#All],4,0)</f>
        <v>NESTOR MOGOLLON</v>
      </c>
      <c r="K511" s="179">
        <f>(TablaCosechas[[#This Row],[libras planta]]*454)/M511</f>
        <v>49570.857911250569</v>
      </c>
      <c r="L511" s="174">
        <v>2435.96</v>
      </c>
      <c r="M511" s="19">
        <v>22.31</v>
      </c>
      <c r="N511" s="9" t="str">
        <f>UPPER(TEXT(TablaCosechas[[#This Row],[COSECHA]],"MMMM"))</f>
        <v>NOVIEMBRE</v>
      </c>
      <c r="O511" s="9" t="str">
        <f>IF(A511="DO 29","BAP",IF(A511="RO 14","BAP",(VLOOKUP(TablaCosechas[[#This Row],[COD]],Tabla7[[CODIGO]:[CERTIFICACION]],3,0))))</f>
        <v>CONVENCIONAL</v>
      </c>
      <c r="P511" s="180">
        <f>+L511-E511</f>
        <v>-64.039999999999964</v>
      </c>
      <c r="Q511" s="181">
        <f>+M511-F511</f>
        <v>1.3099999999999987</v>
      </c>
      <c r="R511" s="9"/>
    </row>
    <row r="512" spans="1:18" x14ac:dyDescent="0.25">
      <c r="A512" s="9" t="s">
        <v>281</v>
      </c>
      <c r="B512" s="9">
        <f>ROW() - ROW(TablaCosechas[[#Headers],[ID]]) - 4</f>
        <v>507</v>
      </c>
      <c r="C512" s="9" t="str">
        <f>LEFT(A512,2)</f>
        <v>ME</v>
      </c>
      <c r="D512" s="182" t="s">
        <v>367</v>
      </c>
      <c r="E512" s="178">
        <v>1500</v>
      </c>
      <c r="F512" s="19">
        <v>20</v>
      </c>
      <c r="G512" s="195">
        <v>45978</v>
      </c>
      <c r="H512" s="9" t="str">
        <f>VLOOKUP(TablaCosechas[[#This Row],[COD]],DATOS!$E$3:$F$27,2,0)</f>
        <v>MERO</v>
      </c>
      <c r="I512" s="9" t="str">
        <f>RIGHT(TablaCosechas[[#This Row],[SECTOR/PISCINA]],2)</f>
        <v>01</v>
      </c>
      <c r="J512" s="9" t="str">
        <f>VLOOKUP(TablaCosechas[[#This Row],[COD]],Tabla7[#All],4,0)</f>
        <v>NESTOR MOGOLLON</v>
      </c>
      <c r="K512" s="179">
        <f>(TablaCosechas[[#This Row],[libras planta]]*454)/M512</f>
        <v>30841.572806171651</v>
      </c>
      <c r="L512" s="174">
        <v>1408.93</v>
      </c>
      <c r="M512" s="19">
        <v>20.74</v>
      </c>
      <c r="N512" s="9" t="str">
        <f>UPPER(TEXT(TablaCosechas[[#This Row],[COSECHA]],"MMMM"))</f>
        <v>NOVIEMBRE</v>
      </c>
      <c r="O512" s="9" t="str">
        <f>IF(A512="DO 29","BAP",IF(A512="RO 14","BAP",(VLOOKUP(TablaCosechas[[#This Row],[COD]],Tabla7[[CODIGO]:[CERTIFICACION]],3,0))))</f>
        <v>CONVENCIONAL</v>
      </c>
      <c r="P512" s="180">
        <f>+L512-E512</f>
        <v>-91.069999999999936</v>
      </c>
      <c r="Q512" s="181">
        <f>+M512-F512</f>
        <v>0.73999999999999844</v>
      </c>
      <c r="R512" s="9"/>
    </row>
    <row r="513" spans="1:18" x14ac:dyDescent="0.25">
      <c r="A513" s="9" t="s">
        <v>233</v>
      </c>
      <c r="B513" s="9">
        <f>ROW() - ROW(TablaCosechas[[#Headers],[ID]]) - 4</f>
        <v>508</v>
      </c>
      <c r="C513" s="9" t="str">
        <f>LEFT(A513,2)</f>
        <v>GT</v>
      </c>
      <c r="D513" s="182" t="s">
        <v>366</v>
      </c>
      <c r="E513" s="178">
        <v>28700</v>
      </c>
      <c r="F513" s="19">
        <v>30</v>
      </c>
      <c r="G513" s="195">
        <v>45978</v>
      </c>
      <c r="H513" s="9" t="str">
        <f>VLOOKUP(TablaCosechas[[#This Row],[COD]],DATOS!$E$3:$F$27,2,0)</f>
        <v>GUATO</v>
      </c>
      <c r="I513" s="9" t="str">
        <f>RIGHT(TablaCosechas[[#This Row],[SECTOR/PISCINA]],2)</f>
        <v>14</v>
      </c>
      <c r="J513" s="9" t="str">
        <f>VLOOKUP(TablaCosechas[[#This Row],[COD]],Tabla7[#All],4,0)</f>
        <v>JULIO SANTOS</v>
      </c>
      <c r="K513" s="179">
        <f>(TablaCosechas[[#This Row],[libras planta]]*454)/M513</f>
        <v>456435.52083333331</v>
      </c>
      <c r="L513" s="174">
        <v>28954.5</v>
      </c>
      <c r="M513" s="19">
        <v>28.8</v>
      </c>
      <c r="N513" s="9" t="str">
        <f>UPPER(TEXT(TablaCosechas[[#This Row],[COSECHA]],"MMMM"))</f>
        <v>NOVIEMBRE</v>
      </c>
      <c r="O513" s="9" t="str">
        <f>IF(A513="DO 29","BAP",IF(A513="RO 14","BAP",(VLOOKUP(TablaCosechas[[#This Row],[COD]],Tabla7[[CODIGO]:[CERTIFICACION]],3,0))))</f>
        <v>CONVENCIONAL</v>
      </c>
      <c r="P513" s="180">
        <f>+L513-E513</f>
        <v>254.5</v>
      </c>
      <c r="Q513" s="181">
        <f>+M513-F513</f>
        <v>-1.1999999999999993</v>
      </c>
      <c r="R513" s="9"/>
    </row>
    <row r="514" spans="1:18" x14ac:dyDescent="0.25">
      <c r="A514" s="9" t="s">
        <v>297</v>
      </c>
      <c r="B514" s="9">
        <f>ROW() - ROW(TablaCosechas[[#Headers],[ID]]) - 4</f>
        <v>509</v>
      </c>
      <c r="C514" s="9" t="str">
        <f>LEFT(A514,2)</f>
        <v>DO</v>
      </c>
      <c r="D514" s="182" t="s">
        <v>367</v>
      </c>
      <c r="E514" s="178">
        <v>18000</v>
      </c>
      <c r="F514" s="19">
        <v>23</v>
      </c>
      <c r="G514" s="195">
        <v>45978</v>
      </c>
      <c r="H514" s="9" t="str">
        <f>VLOOKUP(TablaCosechas[[#This Row],[COD]],DATOS!$E$3:$F$27,2,0)</f>
        <v>DORADO</v>
      </c>
      <c r="I514" s="9" t="str">
        <f>RIGHT(TablaCosechas[[#This Row],[SECTOR/PISCINA]],2)</f>
        <v>18</v>
      </c>
      <c r="J514" s="9" t="str">
        <f>VLOOKUP(TablaCosechas[[#This Row],[COD]],Tabla7[#All],4,0)</f>
        <v>JOSE CEDEÑO</v>
      </c>
      <c r="K514" s="179">
        <f>(TablaCosechas[[#This Row],[libras planta]]*454)/M514</f>
        <v>353638.35008517891</v>
      </c>
      <c r="L514" s="174">
        <v>18289.490000000002</v>
      </c>
      <c r="M514" s="19">
        <v>23.48</v>
      </c>
      <c r="N514" s="9" t="str">
        <f>UPPER(TEXT(TablaCosechas[[#This Row],[COSECHA]],"MMMM"))</f>
        <v>NOVIEMBRE</v>
      </c>
      <c r="O514" s="9" t="str">
        <f>IF(A514="DO 29","BAP",IF(A514="RO 14","BAP",(VLOOKUP(TablaCosechas[[#This Row],[COD]],Tabla7[[CODIGO]:[CERTIFICACION]],3,0))))</f>
        <v>ASC</v>
      </c>
      <c r="P514" s="180">
        <f>+L514-E514</f>
        <v>289.4900000000016</v>
      </c>
      <c r="Q514" s="181">
        <f>+M514-F514</f>
        <v>0.48000000000000043</v>
      </c>
      <c r="R514" s="9"/>
    </row>
    <row r="515" spans="1:18" x14ac:dyDescent="0.25">
      <c r="A515" s="9" t="s">
        <v>9</v>
      </c>
      <c r="B515" s="9">
        <f>ROW() - ROW(TablaCosechas[[#Headers],[ID]]) - 4</f>
        <v>510</v>
      </c>
      <c r="C515" s="9" t="str">
        <f>LEFT(A515,2)</f>
        <v>CH</v>
      </c>
      <c r="D515" s="182" t="s">
        <v>367</v>
      </c>
      <c r="E515" s="178">
        <v>10600</v>
      </c>
      <c r="F515" s="19">
        <v>18</v>
      </c>
      <c r="G515" s="195">
        <v>45978</v>
      </c>
      <c r="H515" s="9" t="str">
        <f>VLOOKUP(TablaCosechas[[#This Row],[COD]],DATOS!$E$3:$F$27,2,0)</f>
        <v>CHERNA</v>
      </c>
      <c r="I515" s="9" t="str">
        <f>RIGHT(TablaCosechas[[#This Row],[SECTOR/PISCINA]],2)</f>
        <v>03</v>
      </c>
      <c r="J515" s="9" t="str">
        <f>VLOOKUP(TablaCosechas[[#This Row],[COD]],Tabla7[#All],4,0)</f>
        <v>SANTIAGO OBRIEN</v>
      </c>
      <c r="K515" s="179">
        <f>(TablaCosechas[[#This Row],[libras planta]]*454)/M515</f>
        <v>228041.94334580435</v>
      </c>
      <c r="L515" s="174">
        <v>9397.94</v>
      </c>
      <c r="M515" s="19">
        <v>18.71</v>
      </c>
      <c r="N515" s="9" t="str">
        <f>UPPER(TEXT(TablaCosechas[[#This Row],[COSECHA]],"MMMM"))</f>
        <v>NOVIEMBRE</v>
      </c>
      <c r="O515" s="9" t="str">
        <f>IF(A515="DO 29","BAP",IF(A515="RO 14","BAP",(VLOOKUP(TablaCosechas[[#This Row],[COD]],Tabla7[[CODIGO]:[CERTIFICACION]],3,0))))</f>
        <v>ASC</v>
      </c>
      <c r="P515" s="180">
        <f>+L515-E515</f>
        <v>-1202.0599999999995</v>
      </c>
      <c r="Q515" s="181">
        <f>+M515-F515</f>
        <v>0.71000000000000085</v>
      </c>
      <c r="R515" s="9"/>
    </row>
    <row r="516" spans="1:18" x14ac:dyDescent="0.25">
      <c r="A516" s="9" t="s">
        <v>311</v>
      </c>
      <c r="B516" s="9">
        <f>ROW() - ROW(TablaCosechas[[#Headers],[ID]]) - 4</f>
        <v>511</v>
      </c>
      <c r="C516" s="9" t="str">
        <f>LEFT(A516,2)</f>
        <v>WA</v>
      </c>
      <c r="D516" s="182" t="s">
        <v>366</v>
      </c>
      <c r="E516" s="178">
        <v>19300</v>
      </c>
      <c r="F516" s="19">
        <v>24</v>
      </c>
      <c r="G516" s="195">
        <v>45979</v>
      </c>
      <c r="H516" s="9" t="str">
        <f>VLOOKUP(TablaCosechas[[#This Row],[COD]],DATOS!$E$3:$F$27,2,0)</f>
        <v>WAHOO</v>
      </c>
      <c r="I516" s="9" t="str">
        <f>RIGHT(TablaCosechas[[#This Row],[SECTOR/PISCINA]],2)</f>
        <v>01</v>
      </c>
      <c r="J516" s="9" t="str">
        <f>VLOOKUP(TablaCosechas[[#This Row],[COD]],Tabla7[#All],4,0)</f>
        <v>JUNIOR ESQUIVEL</v>
      </c>
      <c r="K516" s="179">
        <f>(TablaCosechas[[#This Row],[libras planta]]*454)/M516</f>
        <v>367552.45340050373</v>
      </c>
      <c r="L516" s="174">
        <v>19284.36</v>
      </c>
      <c r="M516" s="19">
        <v>23.82</v>
      </c>
      <c r="N516" s="9" t="str">
        <f>UPPER(TEXT(TablaCosechas[[#This Row],[COSECHA]],"MMMM"))</f>
        <v>NOVIEMBRE</v>
      </c>
      <c r="O516" s="9" t="str">
        <f>IF(A516="DO 29","BAP",IF(A516="RO 14","BAP",(VLOOKUP(TablaCosechas[[#This Row],[COD]],Tabla7[[CODIGO]:[CERTIFICACION]],3,0))))</f>
        <v>CONVENCIONAL</v>
      </c>
      <c r="P516" s="180">
        <f>+L516-E516</f>
        <v>-15.639999999999418</v>
      </c>
      <c r="Q516" s="181">
        <f>+M516-F516</f>
        <v>-0.17999999999999972</v>
      </c>
      <c r="R516" s="9"/>
    </row>
    <row r="517" spans="1:18" x14ac:dyDescent="0.25">
      <c r="A517" s="9" t="s">
        <v>293</v>
      </c>
      <c r="B517" s="9">
        <f>ROW() - ROW(TablaCosechas[[#Headers],[ID]]) - 4</f>
        <v>512</v>
      </c>
      <c r="C517" s="9" t="str">
        <f>LEFT(A517,2)</f>
        <v>TA</v>
      </c>
      <c r="D517" s="182" t="s">
        <v>367</v>
      </c>
      <c r="E517" s="178">
        <v>12600</v>
      </c>
      <c r="F517" s="19">
        <v>19</v>
      </c>
      <c r="G517" s="195">
        <v>45979</v>
      </c>
      <c r="H517" s="9" t="str">
        <f>VLOOKUP(TablaCosechas[[#This Row],[COD]],DATOS!$E$3:$F$27,2,0)</f>
        <v>TAMBULERO</v>
      </c>
      <c r="I517" s="9" t="str">
        <f>RIGHT(TablaCosechas[[#This Row],[SECTOR/PISCINA]],2)</f>
        <v>12</v>
      </c>
      <c r="J517" s="9" t="str">
        <f>VLOOKUP(TablaCosechas[[#This Row],[COD]],Tabla7[#All],4,0)</f>
        <v>ALFONSO GRUNAUER</v>
      </c>
      <c r="K517" s="179">
        <f>(TablaCosechas[[#This Row],[libras planta]]*454)/M517</f>
        <v>275071.72620126931</v>
      </c>
      <c r="L517" s="174">
        <v>13365.82</v>
      </c>
      <c r="M517" s="19">
        <v>22.06</v>
      </c>
      <c r="N517" s="9" t="str">
        <f>UPPER(TEXT(TablaCosechas[[#This Row],[COSECHA]],"MMMM"))</f>
        <v>NOVIEMBRE</v>
      </c>
      <c r="O517" s="9" t="str">
        <f>IF(A517="DO 29","BAP",IF(A517="RO 14","BAP",(VLOOKUP(TablaCosechas[[#This Row],[COD]],Tabla7[[CODIGO]:[CERTIFICACION]],3,0))))</f>
        <v>CONVENCIONAL</v>
      </c>
      <c r="P517" s="180">
        <f>+L517-E517</f>
        <v>765.81999999999971</v>
      </c>
      <c r="Q517" s="181">
        <f>+M517-F517</f>
        <v>3.0599999999999987</v>
      </c>
      <c r="R517" s="9"/>
    </row>
    <row r="518" spans="1:18" x14ac:dyDescent="0.25">
      <c r="A518" s="9" t="s">
        <v>217</v>
      </c>
      <c r="B518" s="9">
        <f>ROW() - ROW(TablaCosechas[[#Headers],[ID]]) - 4</f>
        <v>513</v>
      </c>
      <c r="C518" s="9" t="str">
        <f>LEFT(A518,2)</f>
        <v>PR</v>
      </c>
      <c r="D518" s="182" t="s">
        <v>366</v>
      </c>
      <c r="E518" s="178">
        <v>28200</v>
      </c>
      <c r="F518" s="19">
        <v>22</v>
      </c>
      <c r="G518" s="195">
        <v>45979</v>
      </c>
      <c r="H518" s="9" t="str">
        <f>VLOOKUP(TablaCosechas[[#This Row],[COD]],DATOS!$E$3:$F$27,2,0)</f>
        <v>PARGO ROJO</v>
      </c>
      <c r="I518" s="9" t="str">
        <f>RIGHT(TablaCosechas[[#This Row],[SECTOR/PISCINA]],2)</f>
        <v>06</v>
      </c>
      <c r="J518" s="9" t="str">
        <f>VLOOKUP(TablaCosechas[[#This Row],[COD]],Tabla7[#All],4,0)</f>
        <v>WILMER TORRES</v>
      </c>
      <c r="K518" s="179">
        <f>(TablaCosechas[[#This Row],[libras planta]]*454)/M518</f>
        <v>617984.25767918082</v>
      </c>
      <c r="L518" s="174">
        <v>31906.5</v>
      </c>
      <c r="M518" s="19">
        <v>23.44</v>
      </c>
      <c r="N518" s="9" t="str">
        <f>UPPER(TEXT(TablaCosechas[[#This Row],[COSECHA]],"MMMM"))</f>
        <v>NOVIEMBRE</v>
      </c>
      <c r="O518" s="9" t="str">
        <f>IF(A518="DO 29","BAP",IF(A518="RO 14","BAP",(VLOOKUP(TablaCosechas[[#This Row],[COD]],Tabla7[[CODIGO]:[CERTIFICACION]],3,0))))</f>
        <v>CONVENCIONAL</v>
      </c>
      <c r="P518" s="180">
        <f>+L518-E518</f>
        <v>3706.5</v>
      </c>
      <c r="Q518" s="181">
        <f>+M518-F518</f>
        <v>1.4400000000000013</v>
      </c>
      <c r="R518" s="9"/>
    </row>
    <row r="519" spans="1:18" x14ac:dyDescent="0.25">
      <c r="A519" s="9" t="s">
        <v>325</v>
      </c>
      <c r="B519" s="9">
        <f>ROW() - ROW(TablaCosechas[[#Headers],[ID]]) - 4</f>
        <v>514</v>
      </c>
      <c r="C519" s="9" t="str">
        <f>LEFT(A519,2)</f>
        <v>PA</v>
      </c>
      <c r="D519" s="182" t="s">
        <v>367</v>
      </c>
      <c r="E519" s="178">
        <v>20000</v>
      </c>
      <c r="F519" s="19">
        <v>20</v>
      </c>
      <c r="G519" s="195">
        <v>45979</v>
      </c>
      <c r="H519" s="9" t="str">
        <f>VLOOKUP(TablaCosechas[[#This Row],[COD]],DATOS!$E$3:$F$27,2,0)</f>
        <v>PAMPANO</v>
      </c>
      <c r="I519" s="9" t="str">
        <f>RIGHT(TablaCosechas[[#This Row],[SECTOR/PISCINA]],2)</f>
        <v>15</v>
      </c>
      <c r="J519" s="9" t="str">
        <f>VLOOKUP(TablaCosechas[[#This Row],[COD]],Tabla7[#All],4,0)</f>
        <v>GUSTAVO CARRASCO</v>
      </c>
      <c r="K519" s="179">
        <f>(TablaCosechas[[#This Row],[libras planta]]*454)/M519</f>
        <v>376196.90816326527</v>
      </c>
      <c r="L519" s="174">
        <v>19489.32</v>
      </c>
      <c r="M519" s="19">
        <v>23.52</v>
      </c>
      <c r="N519" s="9" t="str">
        <f>UPPER(TEXT(TablaCosechas[[#This Row],[COSECHA]],"MMMM"))</f>
        <v>NOVIEMBRE</v>
      </c>
      <c r="O519" s="9" t="str">
        <f>IF(A519="DO 29","BAP",IF(A519="RO 14","BAP",(VLOOKUP(TablaCosechas[[#This Row],[COD]],Tabla7[[CODIGO]:[CERTIFICACION]],3,0))))</f>
        <v>ASC</v>
      </c>
      <c r="P519" s="180">
        <f>+L519-E519</f>
        <v>-510.68000000000029</v>
      </c>
      <c r="Q519" s="181">
        <f>+M519-F519</f>
        <v>3.5199999999999996</v>
      </c>
      <c r="R519" s="9"/>
    </row>
    <row r="520" spans="1:18" x14ac:dyDescent="0.25">
      <c r="A520" s="9" t="s">
        <v>274</v>
      </c>
      <c r="B520" s="9">
        <f>ROW() - ROW(TablaCosechas[[#Headers],[ID]]) - 4</f>
        <v>515</v>
      </c>
      <c r="C520" s="9" t="str">
        <f>LEFT(A520,2)</f>
        <v>ME</v>
      </c>
      <c r="D520" s="182" t="s">
        <v>367</v>
      </c>
      <c r="E520" s="178">
        <v>8000</v>
      </c>
      <c r="F520" s="19">
        <v>20</v>
      </c>
      <c r="G520" s="195">
        <v>45979</v>
      </c>
      <c r="H520" s="9" t="str">
        <f>VLOOKUP(TablaCosechas[[#This Row],[COD]],DATOS!$E$3:$F$27,2,0)</f>
        <v>MERO</v>
      </c>
      <c r="I520" s="9" t="str">
        <f>RIGHT(TablaCosechas[[#This Row],[SECTOR/PISCINA]],2)</f>
        <v>04</v>
      </c>
      <c r="J520" s="9" t="str">
        <f>VLOOKUP(TablaCosechas[[#This Row],[COD]],Tabla7[#All],4,0)</f>
        <v>NESTOR MOGOLLON</v>
      </c>
      <c r="K520" s="179">
        <f>(TablaCosechas[[#This Row],[libras planta]]*454)/M520</f>
        <v>169940.02905342082</v>
      </c>
      <c r="L520" s="174">
        <v>7987.93</v>
      </c>
      <c r="M520" s="19">
        <v>21.34</v>
      </c>
      <c r="N520" s="9" t="str">
        <f>UPPER(TEXT(TablaCosechas[[#This Row],[COSECHA]],"MMMM"))</f>
        <v>NOVIEMBRE</v>
      </c>
      <c r="O520" s="9" t="str">
        <f>IF(A520="DO 29","BAP",IF(A520="RO 14","BAP",(VLOOKUP(TablaCosechas[[#This Row],[COD]],Tabla7[[CODIGO]:[CERTIFICACION]],3,0))))</f>
        <v>CONVENCIONAL</v>
      </c>
      <c r="P520" s="180">
        <f>+L520-E520</f>
        <v>-12.069999999999709</v>
      </c>
      <c r="Q520" s="181">
        <f>+M520-F520</f>
        <v>1.3399999999999999</v>
      </c>
      <c r="R520" s="9"/>
    </row>
    <row r="521" spans="1:18" x14ac:dyDescent="0.25">
      <c r="A521" s="9" t="s">
        <v>222</v>
      </c>
      <c r="B521" s="9">
        <f>ROW() - ROW(TablaCosechas[[#Headers],[ID]]) - 4</f>
        <v>516</v>
      </c>
      <c r="C521" s="9" t="str">
        <f>LEFT(A521,2)</f>
        <v>GT</v>
      </c>
      <c r="D521" s="182" t="s">
        <v>366</v>
      </c>
      <c r="E521" s="178">
        <f>37100+3500</f>
        <v>40600</v>
      </c>
      <c r="F521" s="19">
        <v>33</v>
      </c>
      <c r="G521" s="195">
        <v>45979</v>
      </c>
      <c r="H521" s="9" t="str">
        <f>VLOOKUP(TablaCosechas[[#This Row],[COD]],DATOS!$E$3:$F$27,2,0)</f>
        <v>GUATO</v>
      </c>
      <c r="I521" s="9" t="str">
        <f>RIGHT(TablaCosechas[[#This Row],[SECTOR/PISCINA]],2)</f>
        <v>17</v>
      </c>
      <c r="J521" s="9" t="str">
        <f>VLOOKUP(TablaCosechas[[#This Row],[COD]],Tabla7[#All],4,0)</f>
        <v>JULIO SANTOS</v>
      </c>
      <c r="K521" s="179">
        <f>(TablaCosechas[[#This Row],[libras planta]]*454)/M521</f>
        <v>517134.88462709286</v>
      </c>
      <c r="L521" s="174">
        <f>33689.37+3728.87</f>
        <v>37418.240000000005</v>
      </c>
      <c r="M521" s="19">
        <v>32.85</v>
      </c>
      <c r="N521" s="9" t="str">
        <f>UPPER(TEXT(TablaCosechas[[#This Row],[COSECHA]],"MMMM"))</f>
        <v>NOVIEMBRE</v>
      </c>
      <c r="O521" s="9" t="str">
        <f>IF(A521="DO 29","BAP",IF(A521="RO 14","BAP",(VLOOKUP(TablaCosechas[[#This Row],[COD]],Tabla7[[CODIGO]:[CERTIFICACION]],3,0))))</f>
        <v>CONVENCIONAL</v>
      </c>
      <c r="P521" s="180">
        <f>+L521-E521</f>
        <v>-3181.7599999999948</v>
      </c>
      <c r="Q521" s="181">
        <f>+M521-F521</f>
        <v>-0.14999999999999858</v>
      </c>
      <c r="R521" s="9"/>
    </row>
    <row r="522" spans="1:18" x14ac:dyDescent="0.25">
      <c r="A522" s="9" t="s">
        <v>267</v>
      </c>
      <c r="B522" s="9">
        <f>ROW() - ROW(TablaCosechas[[#Headers],[ID]]) - 4</f>
        <v>517</v>
      </c>
      <c r="C522" s="9" t="str">
        <f>LEFT(A522,2)</f>
        <v>DO</v>
      </c>
      <c r="D522" s="182" t="s">
        <v>367</v>
      </c>
      <c r="E522" s="178">
        <v>9000</v>
      </c>
      <c r="F522" s="19">
        <v>30</v>
      </c>
      <c r="G522" s="195">
        <v>45979</v>
      </c>
      <c r="H522" s="9" t="str">
        <f>VLOOKUP(TablaCosechas[[#This Row],[COD]],DATOS!$E$3:$F$27,2,0)</f>
        <v>DORADO</v>
      </c>
      <c r="I522" s="9" t="str">
        <f>RIGHT(TablaCosechas[[#This Row],[SECTOR/PISCINA]],2)</f>
        <v>17</v>
      </c>
      <c r="J522" s="9" t="str">
        <f>VLOOKUP(TablaCosechas[[#This Row],[COD]],Tabla7[#All],4,0)</f>
        <v>JOSE CEDEÑO</v>
      </c>
      <c r="K522" s="179">
        <f>(TablaCosechas[[#This Row],[libras planta]]*454)/M522</f>
        <v>115489.10514414923</v>
      </c>
      <c r="L522" s="174">
        <v>9000.01</v>
      </c>
      <c r="M522" s="19">
        <v>35.380000000000003</v>
      </c>
      <c r="N522" s="9" t="str">
        <f>UPPER(TEXT(TablaCosechas[[#This Row],[COSECHA]],"MMMM"))</f>
        <v>NOVIEMBRE</v>
      </c>
      <c r="O522" s="9" t="str">
        <f>IF(A522="DO 29","BAP",IF(A522="RO 14","BAP",(VLOOKUP(TablaCosechas[[#This Row],[COD]],Tabla7[[CODIGO]:[CERTIFICACION]],3,0))))</f>
        <v>ASC</v>
      </c>
      <c r="P522" s="180">
        <f>+L522-E522</f>
        <v>1.0000000000218279E-2</v>
      </c>
      <c r="Q522" s="181">
        <f>+M522-F522</f>
        <v>5.3800000000000026</v>
      </c>
      <c r="R522" s="9"/>
    </row>
    <row r="523" spans="1:18" x14ac:dyDescent="0.25">
      <c r="A523" s="9" t="s">
        <v>270</v>
      </c>
      <c r="B523" s="9">
        <f>ROW() - ROW(TablaCosechas[[#Headers],[ID]]) - 4</f>
        <v>518</v>
      </c>
      <c r="C523" s="9" t="str">
        <f>LEFT(A523,2)</f>
        <v>DO</v>
      </c>
      <c r="D523" s="182" t="s">
        <v>367</v>
      </c>
      <c r="E523" s="178">
        <v>8200</v>
      </c>
      <c r="F523" s="19">
        <v>26</v>
      </c>
      <c r="G523" s="195">
        <v>45979</v>
      </c>
      <c r="H523" s="9" t="str">
        <f>VLOOKUP(TablaCosechas[[#This Row],[COD]],DATOS!$E$3:$F$27,2,0)</f>
        <v>DORADO</v>
      </c>
      <c r="I523" s="9" t="str">
        <f>RIGHT(TablaCosechas[[#This Row],[SECTOR/PISCINA]],2)</f>
        <v>01</v>
      </c>
      <c r="J523" s="9" t="str">
        <f>VLOOKUP(TablaCosechas[[#This Row],[COD]],Tabla7[#All],4,0)</f>
        <v>JOSE CEDEÑO</v>
      </c>
      <c r="K523" s="179">
        <f>(TablaCosechas[[#This Row],[libras planta]]*454)/M523</f>
        <v>151290.86734693879</v>
      </c>
      <c r="L523" s="174">
        <v>8490.9500000000007</v>
      </c>
      <c r="M523" s="19">
        <v>25.48</v>
      </c>
      <c r="N523" s="9" t="str">
        <f>UPPER(TEXT(TablaCosechas[[#This Row],[COSECHA]],"MMMM"))</f>
        <v>NOVIEMBRE</v>
      </c>
      <c r="O523" s="9" t="str">
        <f>IF(A523="DO 29","BAP",IF(A523="RO 14","BAP",(VLOOKUP(TablaCosechas[[#This Row],[COD]],Tabla7[[CODIGO]:[CERTIFICACION]],3,0))))</f>
        <v>ASC</v>
      </c>
      <c r="P523" s="180">
        <f>+L523-E523</f>
        <v>290.95000000000073</v>
      </c>
      <c r="Q523" s="181">
        <f>+M523-F523</f>
        <v>-0.51999999999999957</v>
      </c>
      <c r="R523" s="9"/>
    </row>
    <row r="524" spans="1:18" x14ac:dyDescent="0.25">
      <c r="A524" s="9" t="s">
        <v>20</v>
      </c>
      <c r="B524" s="9">
        <f>ROW() - ROW(TablaCosechas[[#Headers],[ID]]) - 4</f>
        <v>519</v>
      </c>
      <c r="C524" s="9" t="str">
        <f>LEFT(A524,2)</f>
        <v>CH</v>
      </c>
      <c r="D524" s="182" t="s">
        <v>367</v>
      </c>
      <c r="E524" s="178">
        <v>8200</v>
      </c>
      <c r="F524" s="19">
        <v>18</v>
      </c>
      <c r="G524" s="195">
        <v>45979</v>
      </c>
      <c r="H524" s="9" t="str">
        <f>VLOOKUP(TablaCosechas[[#This Row],[COD]],DATOS!$E$3:$F$27,2,0)</f>
        <v>CHERNA</v>
      </c>
      <c r="I524" s="9" t="str">
        <f>RIGHT(TablaCosechas[[#This Row],[SECTOR/PISCINA]],2)</f>
        <v>14</v>
      </c>
      <c r="J524" s="9" t="str">
        <f>VLOOKUP(TablaCosechas[[#This Row],[COD]],Tabla7[#All],4,0)</f>
        <v>SANTIAGO OBRIEN</v>
      </c>
      <c r="K524" s="179">
        <f>(TablaCosechas[[#This Row],[libras planta]]*454)/M524</f>
        <v>211982.89446185995</v>
      </c>
      <c r="L524" s="174">
        <v>8936.9</v>
      </c>
      <c r="M524" s="19">
        <v>19.14</v>
      </c>
      <c r="N524" s="9" t="str">
        <f>UPPER(TEXT(TablaCosechas[[#This Row],[COSECHA]],"MMMM"))</f>
        <v>NOVIEMBRE</v>
      </c>
      <c r="O524" s="9" t="str">
        <f>IF(A524="DO 29","BAP",IF(A524="RO 14","BAP",(VLOOKUP(TablaCosechas[[#This Row],[COD]],Tabla7[[CODIGO]:[CERTIFICACION]],3,0))))</f>
        <v>ASC</v>
      </c>
      <c r="P524" s="180">
        <f>+L524-E524</f>
        <v>736.89999999999964</v>
      </c>
      <c r="Q524" s="181">
        <f>+M524-F524</f>
        <v>1.1400000000000006</v>
      </c>
      <c r="R524" s="9"/>
    </row>
    <row r="525" spans="1:18" x14ac:dyDescent="0.25">
      <c r="A525" s="9" t="s">
        <v>213</v>
      </c>
      <c r="B525" s="9">
        <f>ROW() - ROW(TablaCosechas[[#Headers],[ID]]) - 4</f>
        <v>520</v>
      </c>
      <c r="C525" s="9" t="str">
        <f>LEFT(A525,2)</f>
        <v>CA</v>
      </c>
      <c r="D525" s="182" t="s">
        <v>366</v>
      </c>
      <c r="E525" s="178">
        <v>35000</v>
      </c>
      <c r="F525" s="19">
        <v>34</v>
      </c>
      <c r="G525" s="195">
        <v>45979</v>
      </c>
      <c r="H525" s="9" t="str">
        <f>VLOOKUP(TablaCosechas[[#This Row],[COD]],DATOS!$E$3:$F$27,2,0)</f>
        <v>CATANUDA</v>
      </c>
      <c r="I525" s="9" t="str">
        <f>RIGHT(TablaCosechas[[#This Row],[SECTOR/PISCINA]],2)</f>
        <v>07</v>
      </c>
      <c r="J525" s="9" t="str">
        <f>VLOOKUP(TablaCosechas[[#This Row],[COD]],Tabla7[#All],4,0)</f>
        <v>VICTOR QUINTANA</v>
      </c>
      <c r="K525" s="179">
        <f>(TablaCosechas[[#This Row],[libras planta]]*454)/M525</f>
        <v>445602.81082621083</v>
      </c>
      <c r="L525" s="174">
        <v>34450.79</v>
      </c>
      <c r="M525" s="19">
        <v>35.1</v>
      </c>
      <c r="N525" s="9" t="str">
        <f>UPPER(TEXT(TablaCosechas[[#This Row],[COSECHA]],"MMMM"))</f>
        <v>NOVIEMBRE</v>
      </c>
      <c r="O525" s="9" t="str">
        <f>IF(A525="DO 29","BAP",IF(A525="RO 14","BAP",(VLOOKUP(TablaCosechas[[#This Row],[COD]],Tabla7[[CODIGO]:[CERTIFICACION]],3,0))))</f>
        <v>ASC</v>
      </c>
      <c r="P525" s="180">
        <f>+L525-E525</f>
        <v>-549.20999999999913</v>
      </c>
      <c r="Q525" s="181">
        <f>+M525-F525</f>
        <v>1.1000000000000014</v>
      </c>
      <c r="R525" s="9"/>
    </row>
    <row r="526" spans="1:18" x14ac:dyDescent="0.25">
      <c r="A526" s="9" t="s">
        <v>333</v>
      </c>
      <c r="B526" s="9">
        <f>ROW() - ROW(TablaCosechas[[#Headers],[ID]]) - 4</f>
        <v>521</v>
      </c>
      <c r="C526" s="9" t="str">
        <f>LEFT(A526,2)</f>
        <v>WA</v>
      </c>
      <c r="D526" s="182" t="s">
        <v>366</v>
      </c>
      <c r="E526" s="178">
        <v>21750</v>
      </c>
      <c r="F526" s="19">
        <v>23.5</v>
      </c>
      <c r="G526" s="195">
        <v>45980</v>
      </c>
      <c r="H526" s="9" t="str">
        <f>VLOOKUP(TablaCosechas[[#This Row],[COD]],DATOS!$E$3:$F$27,2,0)</f>
        <v>WAHOO</v>
      </c>
      <c r="I526" s="9" t="str">
        <f>RIGHT(TablaCosechas[[#This Row],[SECTOR/PISCINA]],2)</f>
        <v>02</v>
      </c>
      <c r="J526" s="9" t="str">
        <f>VLOOKUP(TablaCosechas[[#This Row],[COD]],Tabla7[#All],4,0)</f>
        <v>JUNIOR ESQUIVEL</v>
      </c>
      <c r="K526" s="179">
        <f>(TablaCosechas[[#This Row],[libras planta]]*454)/M526</f>
        <v>397321.9665851671</v>
      </c>
      <c r="L526" s="174">
        <v>21476.39</v>
      </c>
      <c r="M526" s="19">
        <v>24.54</v>
      </c>
      <c r="N526" s="9" t="str">
        <f>UPPER(TEXT(TablaCosechas[[#This Row],[COSECHA]],"MMMM"))</f>
        <v>NOVIEMBRE</v>
      </c>
      <c r="O526" s="9" t="str">
        <f>IF(A526="DO 29","BAP",IF(A526="RO 14","BAP",(VLOOKUP(TablaCosechas[[#This Row],[COD]],Tabla7[[CODIGO]:[CERTIFICACION]],3,0))))</f>
        <v>CONVENCIONAL</v>
      </c>
      <c r="P526" s="180">
        <f>+L526-E526</f>
        <v>-273.61000000000058</v>
      </c>
      <c r="Q526" s="181">
        <f>+M526-F526</f>
        <v>1.0399999999999991</v>
      </c>
      <c r="R526" s="9"/>
    </row>
    <row r="527" spans="1:18" x14ac:dyDescent="0.25">
      <c r="A527" s="9" t="s">
        <v>237</v>
      </c>
      <c r="B527" s="9">
        <f>ROW() - ROW(TablaCosechas[[#Headers],[ID]]) - 4</f>
        <v>522</v>
      </c>
      <c r="C527" s="9" t="str">
        <f>LEFT(A527,2)</f>
        <v>TI</v>
      </c>
      <c r="D527" s="182" t="s">
        <v>366</v>
      </c>
      <c r="E527" s="178">
        <v>47300</v>
      </c>
      <c r="F527" s="19">
        <v>36</v>
      </c>
      <c r="G527" s="195">
        <v>45980</v>
      </c>
      <c r="H527" s="9" t="str">
        <f>VLOOKUP(TablaCosechas[[#This Row],[COD]],DATOS!$E$3:$F$27,2,0)</f>
        <v>TIBURON</v>
      </c>
      <c r="I527" s="9" t="str">
        <f>RIGHT(TablaCosechas[[#This Row],[SECTOR/PISCINA]],2)</f>
        <v>08</v>
      </c>
      <c r="J527" s="9" t="str">
        <f>VLOOKUP(TablaCosechas[[#This Row],[COD]],Tabla7[#All],4,0)</f>
        <v>ALFONSO GRUNAUER</v>
      </c>
      <c r="K527" s="179">
        <f>(TablaCosechas[[#This Row],[libras planta]]*454)/M527</f>
        <v>590012.12520325207</v>
      </c>
      <c r="L527" s="174">
        <v>47954.73</v>
      </c>
      <c r="M527" s="19">
        <v>36.9</v>
      </c>
      <c r="N527" s="9" t="str">
        <f>UPPER(TEXT(TablaCosechas[[#This Row],[COSECHA]],"MMMM"))</f>
        <v>NOVIEMBRE</v>
      </c>
      <c r="O527" s="9" t="str">
        <f>IF(A527="DO 29","BAP",IF(A527="RO 14","BAP",(VLOOKUP(TablaCosechas[[#This Row],[COD]],Tabla7[[CODIGO]:[CERTIFICACION]],3,0))))</f>
        <v>ASC</v>
      </c>
      <c r="P527" s="180">
        <f>+L527-E527</f>
        <v>654.7300000000032</v>
      </c>
      <c r="Q527" s="181">
        <f>+M527-F527</f>
        <v>0.89999999999999858</v>
      </c>
      <c r="R527" s="9"/>
    </row>
    <row r="528" spans="1:18" x14ac:dyDescent="0.25">
      <c r="A528" s="9" t="s">
        <v>285</v>
      </c>
      <c r="B528" s="9">
        <f>ROW() - ROW(TablaCosechas[[#Headers],[ID]]) - 4</f>
        <v>523</v>
      </c>
      <c r="C528" s="9" t="str">
        <f>LEFT(A528,2)</f>
        <v>RO</v>
      </c>
      <c r="D528" s="182" t="s">
        <v>367</v>
      </c>
      <c r="E528" s="178">
        <v>18400</v>
      </c>
      <c r="F528" s="19">
        <v>21</v>
      </c>
      <c r="G528" s="195">
        <v>45980</v>
      </c>
      <c r="H528" s="9" t="str">
        <f>VLOOKUP(TablaCosechas[[#This Row],[COD]],DATOS!$E$3:$F$27,2,0)</f>
        <v>ROBALO</v>
      </c>
      <c r="I528" s="9" t="str">
        <f>RIGHT(TablaCosechas[[#This Row],[SECTOR/PISCINA]],2)</f>
        <v>05</v>
      </c>
      <c r="J528" s="9" t="str">
        <f>VLOOKUP(TablaCosechas[[#This Row],[COD]],Tabla7[#All],4,0)</f>
        <v>VICTOR QUINTANA</v>
      </c>
      <c r="K528" s="179">
        <f>(TablaCosechas[[#This Row],[libras planta]]*454)/M528</f>
        <v>312169.89515488484</v>
      </c>
      <c r="L528" s="174">
        <v>17313.740000000002</v>
      </c>
      <c r="M528" s="19">
        <v>25.18</v>
      </c>
      <c r="N528" s="9" t="str">
        <f>UPPER(TEXT(TablaCosechas[[#This Row],[COSECHA]],"MMMM"))</f>
        <v>NOVIEMBRE</v>
      </c>
      <c r="O528" s="9" t="str">
        <f>IF(A528="DO 29","BAP",IF(A528="RO 14","BAP",(VLOOKUP(TablaCosechas[[#This Row],[COD]],Tabla7[[CODIGO]:[CERTIFICACION]],3,0))))</f>
        <v>ASC</v>
      </c>
      <c r="P528" s="180">
        <f>+L528-E528</f>
        <v>-1086.2599999999984</v>
      </c>
      <c r="Q528" s="181">
        <f>+M528-F528</f>
        <v>4.18</v>
      </c>
      <c r="R528" s="9"/>
    </row>
    <row r="529" spans="1:18" x14ac:dyDescent="0.25">
      <c r="A529" s="9" t="s">
        <v>229</v>
      </c>
      <c r="B529" s="9">
        <f>ROW() - ROW(TablaCosechas[[#Headers],[ID]]) - 4</f>
        <v>524</v>
      </c>
      <c r="C529" s="9" t="str">
        <f>LEFT(A529,2)</f>
        <v>PR</v>
      </c>
      <c r="D529" s="182" t="s">
        <v>366</v>
      </c>
      <c r="E529" s="178">
        <f>30650+1200</f>
        <v>31850</v>
      </c>
      <c r="F529" s="19">
        <v>25</v>
      </c>
      <c r="G529" s="195">
        <v>45980</v>
      </c>
      <c r="H529" s="9" t="str">
        <f>VLOOKUP(TablaCosechas[[#This Row],[COD]],DATOS!$E$3:$F$27,2,0)</f>
        <v>PARGO ROJO</v>
      </c>
      <c r="I529" s="9" t="str">
        <f>RIGHT(TablaCosechas[[#This Row],[SECTOR/PISCINA]],2)</f>
        <v>11</v>
      </c>
      <c r="J529" s="9" t="str">
        <f>VLOOKUP(TablaCosechas[[#This Row],[COD]],Tabla7[#All],4,0)</f>
        <v>WILMER TORRES</v>
      </c>
      <c r="K529" s="179">
        <f>(TablaCosechas[[#This Row],[libras planta]]*454)/M529</f>
        <v>614000.39533187449</v>
      </c>
      <c r="L529" s="174">
        <f>35883.46+1200</f>
        <v>37083.46</v>
      </c>
      <c r="M529" s="19">
        <v>27.42</v>
      </c>
      <c r="N529" s="9" t="str">
        <f>UPPER(TEXT(TablaCosechas[[#This Row],[COSECHA]],"MMMM"))</f>
        <v>NOVIEMBRE</v>
      </c>
      <c r="O529" s="9" t="str">
        <f>IF(A529="DO 29","BAP",IF(A529="RO 14","BAP",(VLOOKUP(TablaCosechas[[#This Row],[COD]],Tabla7[[CODIGO]:[CERTIFICACION]],3,0))))</f>
        <v>CONVENCIONAL</v>
      </c>
      <c r="P529" s="180">
        <f>+L529-E529</f>
        <v>5233.4599999999991</v>
      </c>
      <c r="Q529" s="181">
        <f>+M529-F529</f>
        <v>2.4200000000000017</v>
      </c>
      <c r="R529" s="9"/>
    </row>
    <row r="530" spans="1:18" x14ac:dyDescent="0.25">
      <c r="A530" s="9" t="s">
        <v>210</v>
      </c>
      <c r="B530" s="9">
        <f>ROW() - ROW(TablaCosechas[[#Headers],[ID]]) - 4</f>
        <v>525</v>
      </c>
      <c r="C530" s="9" t="str">
        <f>LEFT(A530,2)</f>
        <v>ME</v>
      </c>
      <c r="D530" s="182" t="s">
        <v>367</v>
      </c>
      <c r="E530" s="178">
        <v>9450</v>
      </c>
      <c r="F530" s="19">
        <v>19</v>
      </c>
      <c r="G530" s="195">
        <v>45980</v>
      </c>
      <c r="H530" s="9" t="str">
        <f>VLOOKUP(TablaCosechas[[#This Row],[COD]],DATOS!$E$3:$F$27,2,0)</f>
        <v>MERO</v>
      </c>
      <c r="I530" s="9" t="str">
        <f>RIGHT(TablaCosechas[[#This Row],[SECTOR/PISCINA]],2)</f>
        <v>09</v>
      </c>
      <c r="J530" s="9" t="str">
        <f>VLOOKUP(TablaCosechas[[#This Row],[COD]],Tabla7[#All],4,0)</f>
        <v>NESTOR MOGOLLON</v>
      </c>
      <c r="K530" s="179">
        <f>(TablaCosechas[[#This Row],[libras planta]]*454)/M530</f>
        <v>249086.75725900117</v>
      </c>
      <c r="L530" s="174">
        <v>9447.74</v>
      </c>
      <c r="M530" s="19">
        <v>17.22</v>
      </c>
      <c r="N530" s="9" t="str">
        <f>UPPER(TEXT(TablaCosechas[[#This Row],[COSECHA]],"MMMM"))</f>
        <v>NOVIEMBRE</v>
      </c>
      <c r="O530" s="9" t="str">
        <f>IF(A530="DO 29","BAP",IF(A530="RO 14","BAP",(VLOOKUP(TablaCosechas[[#This Row],[COD]],Tabla7[[CODIGO]:[CERTIFICACION]],3,0))))</f>
        <v>CONVENCIONAL</v>
      </c>
      <c r="P530" s="180">
        <f>+L530-E530</f>
        <v>-2.2600000000002183</v>
      </c>
      <c r="Q530" s="181">
        <f>+M530-F530</f>
        <v>-1.7800000000000011</v>
      </c>
      <c r="R530" s="9"/>
    </row>
    <row r="531" spans="1:18" x14ac:dyDescent="0.25">
      <c r="A531" s="9" t="s">
        <v>246</v>
      </c>
      <c r="B531" s="9">
        <f>ROW() - ROW(TablaCosechas[[#Headers],[ID]]) - 4</f>
        <v>526</v>
      </c>
      <c r="C531" s="9" t="str">
        <f>LEFT(A531,2)</f>
        <v>MA</v>
      </c>
      <c r="D531" s="182" t="s">
        <v>366</v>
      </c>
      <c r="E531" s="178">
        <v>20700</v>
      </c>
      <c r="F531" s="19">
        <v>29</v>
      </c>
      <c r="G531" s="195">
        <v>45980</v>
      </c>
      <c r="H531" s="9" t="str">
        <f>VLOOKUP(TablaCosechas[[#This Row],[COD]],DATOS!$E$3:$F$27,2,0)</f>
        <v>MANTARRAYA</v>
      </c>
      <c r="I531" s="9" t="str">
        <f>RIGHT(TablaCosechas[[#This Row],[SECTOR/PISCINA]],2)</f>
        <v>09</v>
      </c>
      <c r="J531" s="9" t="str">
        <f>VLOOKUP(TablaCosechas[[#This Row],[COD]],Tabla7[#All],4,0)</f>
        <v>GUSTAVO CARRASCO</v>
      </c>
      <c r="K531" s="179">
        <f>(TablaCosechas[[#This Row],[libras planta]]*454)/M531</f>
        <v>320980.63953488367</v>
      </c>
      <c r="L531" s="174">
        <v>20672.849999999999</v>
      </c>
      <c r="M531" s="19">
        <v>29.24</v>
      </c>
      <c r="N531" s="9" t="str">
        <f>UPPER(TEXT(TablaCosechas[[#This Row],[COSECHA]],"MMMM"))</f>
        <v>NOVIEMBRE</v>
      </c>
      <c r="O531" s="9" t="str">
        <f>IF(A531="DO 29","BAP",IF(A531="RO 14","BAP",(VLOOKUP(TablaCosechas[[#This Row],[COD]],Tabla7[[CODIGO]:[CERTIFICACION]],3,0))))</f>
        <v>ASC</v>
      </c>
      <c r="P531" s="180">
        <f>+L531-E531</f>
        <v>-27.150000000001455</v>
      </c>
      <c r="Q531" s="181">
        <f>+M531-F531</f>
        <v>0.23999999999999844</v>
      </c>
      <c r="R531" s="9"/>
    </row>
    <row r="532" spans="1:18" x14ac:dyDescent="0.25">
      <c r="A532" s="9" t="s">
        <v>238</v>
      </c>
      <c r="B532" s="9">
        <f>ROW() - ROW(TablaCosechas[[#Headers],[ID]]) - 4</f>
        <v>527</v>
      </c>
      <c r="C532" s="9" t="str">
        <f>LEFT(A532,2)</f>
        <v>GT</v>
      </c>
      <c r="D532" s="182" t="s">
        <v>366</v>
      </c>
      <c r="E532" s="178">
        <f>19800+28700</f>
        <v>48500</v>
      </c>
      <c r="F532" s="19">
        <v>34</v>
      </c>
      <c r="G532" s="195">
        <v>45980</v>
      </c>
      <c r="H532" s="9" t="str">
        <f>VLOOKUP(TablaCosechas[[#This Row],[COD]],DATOS!$E$3:$F$27,2,0)</f>
        <v>GUATO</v>
      </c>
      <c r="I532" s="9" t="str">
        <f>RIGHT(TablaCosechas[[#This Row],[SECTOR/PISCINA]],2)</f>
        <v>06</v>
      </c>
      <c r="J532" s="9" t="str">
        <f>VLOOKUP(TablaCosechas[[#This Row],[COD]],Tabla7[#All],4,0)</f>
        <v>JULIO SANTOS</v>
      </c>
      <c r="K532" s="179">
        <f>(TablaCosechas[[#This Row],[libras planta]]*454)/M532</f>
        <v>630593.02462754643</v>
      </c>
      <c r="L532" s="174">
        <v>45683.270000000004</v>
      </c>
      <c r="M532" s="19">
        <v>32.89</v>
      </c>
      <c r="N532" s="9" t="str">
        <f>UPPER(TEXT(TablaCosechas[[#This Row],[COSECHA]],"MMMM"))</f>
        <v>NOVIEMBRE</v>
      </c>
      <c r="O532" s="9" t="str">
        <f>IF(A532="DO 29","BAP",IF(A532="RO 14","BAP",(VLOOKUP(TablaCosechas[[#This Row],[COD]],Tabla7[[CODIGO]:[CERTIFICACION]],3,0))))</f>
        <v>CONVENCIONAL</v>
      </c>
      <c r="P532" s="180">
        <f>+L532-E532</f>
        <v>-2816.7299999999959</v>
      </c>
      <c r="Q532" s="181">
        <f>+M532-F532</f>
        <v>-1.1099999999999994</v>
      </c>
      <c r="R532" s="9"/>
    </row>
    <row r="533" spans="1:18" x14ac:dyDescent="0.25">
      <c r="A533" s="9" t="s">
        <v>286</v>
      </c>
      <c r="B533" s="9">
        <f>ROW() - ROW(TablaCosechas[[#Headers],[ID]]) - 4</f>
        <v>528</v>
      </c>
      <c r="C533" s="9" t="str">
        <f>LEFT(A533,2)</f>
        <v>DO</v>
      </c>
      <c r="D533" s="182" t="s">
        <v>367</v>
      </c>
      <c r="E533" s="178">
        <f>6000+3500</f>
        <v>9500</v>
      </c>
      <c r="F533" s="19">
        <v>26</v>
      </c>
      <c r="G533" s="195">
        <v>45980</v>
      </c>
      <c r="H533" s="9" t="str">
        <f>VLOOKUP(TablaCosechas[[#This Row],[COD]],DATOS!$E$3:$F$27,2,0)</f>
        <v>DORADO</v>
      </c>
      <c r="I533" s="9" t="str">
        <f>RIGHT(TablaCosechas[[#This Row],[SECTOR/PISCINA]],2)</f>
        <v>29</v>
      </c>
      <c r="J533" s="9" t="str">
        <f>VLOOKUP(TablaCosechas[[#This Row],[COD]],Tabla7[#All],4,0)</f>
        <v>JOSE CEDEÑO</v>
      </c>
      <c r="K533" s="179">
        <f>(TablaCosechas[[#This Row],[libras planta]]*454)/M533</f>
        <v>151154.62041781633</v>
      </c>
      <c r="L533" s="174">
        <v>8446.68</v>
      </c>
      <c r="M533" s="19">
        <v>25.37</v>
      </c>
      <c r="N533" s="9" t="str">
        <f>UPPER(TEXT(TablaCosechas[[#This Row],[COSECHA]],"MMMM"))</f>
        <v>NOVIEMBRE</v>
      </c>
      <c r="O533" s="9" t="str">
        <f>IF(A533="DO 29","BAP",IF(A533="RO 14","BAP",(VLOOKUP(TablaCosechas[[#This Row],[COD]],Tabla7[[CODIGO]:[CERTIFICACION]],3,0))))</f>
        <v>BAP</v>
      </c>
      <c r="P533" s="180">
        <f>+L533-E533</f>
        <v>-1053.3199999999997</v>
      </c>
      <c r="Q533" s="181">
        <f>+M533-F533</f>
        <v>-0.62999999999999901</v>
      </c>
      <c r="R533" s="9"/>
    </row>
    <row r="534" spans="1:18" x14ac:dyDescent="0.25">
      <c r="A534" s="9" t="s">
        <v>250</v>
      </c>
      <c r="B534" s="9">
        <f>ROW() - ROW(TablaCosechas[[#Headers],[ID]]) - 4</f>
        <v>529</v>
      </c>
      <c r="C534" s="9" t="str">
        <f>LEFT(A534,2)</f>
        <v>DO</v>
      </c>
      <c r="D534" s="182" t="s">
        <v>366</v>
      </c>
      <c r="E534" s="178">
        <v>27400</v>
      </c>
      <c r="F534" s="19">
        <v>30</v>
      </c>
      <c r="G534" s="195">
        <v>45980</v>
      </c>
      <c r="H534" s="9" t="str">
        <f>VLOOKUP(TablaCosechas[[#This Row],[COD]],DATOS!$E$3:$F$27,2,0)</f>
        <v>DORADO</v>
      </c>
      <c r="I534" s="9" t="str">
        <f>RIGHT(TablaCosechas[[#This Row],[SECTOR/PISCINA]],2)</f>
        <v>10</v>
      </c>
      <c r="J534" s="9" t="str">
        <f>VLOOKUP(TablaCosechas[[#This Row],[COD]],Tabla7[#All],4,0)</f>
        <v>JOSE CEDEÑO</v>
      </c>
      <c r="K534" s="179">
        <f>(TablaCosechas[[#This Row],[libras planta]]*454)/M534</f>
        <v>396363.16347381863</v>
      </c>
      <c r="L534" s="174">
        <v>27343.82</v>
      </c>
      <c r="M534" s="19">
        <v>31.32</v>
      </c>
      <c r="N534" s="9" t="str">
        <f>UPPER(TEXT(TablaCosechas[[#This Row],[COSECHA]],"MMMM"))</f>
        <v>NOVIEMBRE</v>
      </c>
      <c r="O534" s="9" t="str">
        <f>IF(A534="DO 29","BAP",IF(A534="RO 14","BAP",(VLOOKUP(TablaCosechas[[#This Row],[COD]],Tabla7[[CODIGO]:[CERTIFICACION]],3,0))))</f>
        <v>ASC</v>
      </c>
      <c r="P534" s="180">
        <f>+L534-E534</f>
        <v>-56.180000000000291</v>
      </c>
      <c r="Q534" s="181">
        <f>+M534-F534</f>
        <v>1.3200000000000003</v>
      </c>
      <c r="R534" s="9"/>
    </row>
    <row r="535" spans="1:18" x14ac:dyDescent="0.25">
      <c r="A535" s="9" t="s">
        <v>13</v>
      </c>
      <c r="B535" s="9">
        <f>ROW() - ROW(TablaCosechas[[#Headers],[ID]]) - 4</f>
        <v>530</v>
      </c>
      <c r="C535" s="9" t="str">
        <f>LEFT(A535,2)</f>
        <v>CH</v>
      </c>
      <c r="D535" s="182" t="s">
        <v>367</v>
      </c>
      <c r="E535" s="178">
        <v>3900</v>
      </c>
      <c r="F535" s="19">
        <v>18</v>
      </c>
      <c r="G535" s="195">
        <v>45980</v>
      </c>
      <c r="H535" s="9" t="str">
        <f>VLOOKUP(TablaCosechas[[#This Row],[COD]],DATOS!$E$3:$F$27,2,0)</f>
        <v>CHERNA</v>
      </c>
      <c r="I535" s="9" t="str">
        <f>RIGHT(TablaCosechas[[#This Row],[SECTOR/PISCINA]],2)</f>
        <v>07</v>
      </c>
      <c r="J535" s="9" t="str">
        <f>VLOOKUP(TablaCosechas[[#This Row],[COD]],Tabla7[#All],4,0)</f>
        <v>SANTIAGO OBRIEN</v>
      </c>
      <c r="K535" s="179">
        <f>(TablaCosechas[[#This Row],[libras planta]]*454)/M535</f>
        <v>92218.98645833334</v>
      </c>
      <c r="L535" s="174">
        <v>3900.01</v>
      </c>
      <c r="M535" s="19">
        <v>19.2</v>
      </c>
      <c r="N535" s="9" t="str">
        <f>UPPER(TEXT(TablaCosechas[[#This Row],[COSECHA]],"MMMM"))</f>
        <v>NOVIEMBRE</v>
      </c>
      <c r="O535" s="9" t="str">
        <f>IF(A535="DO 29","BAP",IF(A535="RO 14","BAP",(VLOOKUP(TablaCosechas[[#This Row],[COD]],Tabla7[[CODIGO]:[CERTIFICACION]],3,0))))</f>
        <v>ASC</v>
      </c>
      <c r="P535" s="180">
        <f>+L535-E535</f>
        <v>1.0000000000218279E-2</v>
      </c>
      <c r="Q535" s="181">
        <f>+M535-F535</f>
        <v>1.1999999999999993</v>
      </c>
      <c r="R535" s="9"/>
    </row>
    <row r="536" spans="1:18" x14ac:dyDescent="0.25">
      <c r="A536" s="9" t="s">
        <v>345</v>
      </c>
      <c r="B536" s="9">
        <f>ROW() - ROW(TablaCosechas[[#Headers],[ID]]) - 4</f>
        <v>531</v>
      </c>
      <c r="C536" s="9" t="str">
        <f>LEFT(A536,2)</f>
        <v>WA</v>
      </c>
      <c r="D536" s="182" t="s">
        <v>366</v>
      </c>
      <c r="E536" s="178">
        <f>24800+800</f>
        <v>25600</v>
      </c>
      <c r="F536" s="19">
        <v>18.5</v>
      </c>
      <c r="G536" s="195">
        <v>45981</v>
      </c>
      <c r="H536" s="9" t="str">
        <f>VLOOKUP(TablaCosechas[[#This Row],[COD]],DATOS!$E$3:$F$27,2,0)</f>
        <v>WAHOO</v>
      </c>
      <c r="I536" s="9" t="str">
        <f>RIGHT(TablaCosechas[[#This Row],[SECTOR/PISCINA]],2)</f>
        <v>35</v>
      </c>
      <c r="J536" s="9" t="str">
        <f>VLOOKUP(TablaCosechas[[#This Row],[COD]],Tabla7[#All],4,0)</f>
        <v>JUNIOR ESQUIVEL</v>
      </c>
      <c r="K536" s="179">
        <f>(TablaCosechas[[#This Row],[libras planta]]*454)/M536</f>
        <v>586607.01001581445</v>
      </c>
      <c r="L536" s="174">
        <f>23710.87+800</f>
        <v>24510.87</v>
      </c>
      <c r="M536" s="19">
        <v>18.97</v>
      </c>
      <c r="N536" s="9" t="str">
        <f>UPPER(TEXT(TablaCosechas[[#This Row],[COSECHA]],"MMMM"))</f>
        <v>NOVIEMBRE</v>
      </c>
      <c r="O536" s="9" t="str">
        <f>IF(A536="DO 29","BAP",IF(A536="RO 14","BAP",(VLOOKUP(TablaCosechas[[#This Row],[COD]],Tabla7[[CODIGO]:[CERTIFICACION]],3,0))))</f>
        <v>CONVENCIONAL</v>
      </c>
      <c r="P536" s="180">
        <f>+L536-E536</f>
        <v>-1089.130000000001</v>
      </c>
      <c r="Q536" s="181">
        <f>+M536-F536</f>
        <v>0.46999999999999886</v>
      </c>
      <c r="R536" s="9"/>
    </row>
    <row r="537" spans="1:18" x14ac:dyDescent="0.25">
      <c r="A537" s="9" t="s">
        <v>294</v>
      </c>
      <c r="B537" s="9">
        <f>ROW() - ROW(TablaCosechas[[#Headers],[ID]]) - 4</f>
        <v>532</v>
      </c>
      <c r="C537" s="9" t="str">
        <f>LEFT(A537,2)</f>
        <v>RO</v>
      </c>
      <c r="D537" s="182" t="s">
        <v>367</v>
      </c>
      <c r="E537" s="178">
        <v>14400</v>
      </c>
      <c r="F537" s="19">
        <v>21</v>
      </c>
      <c r="G537" s="195">
        <v>45981</v>
      </c>
      <c r="H537" s="9" t="str">
        <f>VLOOKUP(TablaCosechas[[#This Row],[COD]],DATOS!$E$3:$F$27,2,0)</f>
        <v>ROBALO</v>
      </c>
      <c r="I537" s="9" t="str">
        <f>RIGHT(TablaCosechas[[#This Row],[SECTOR/PISCINA]],2)</f>
        <v>15</v>
      </c>
      <c r="J537" s="9" t="str">
        <f>VLOOKUP(TablaCosechas[[#This Row],[COD]],Tabla7[#All],4,0)</f>
        <v>VICTOR QUINTANA</v>
      </c>
      <c r="K537" s="179">
        <f>(TablaCosechas[[#This Row],[libras planta]]*454)/M537</f>
        <v>226910.0798449612</v>
      </c>
      <c r="L537" s="174">
        <v>12894.89</v>
      </c>
      <c r="M537" s="19">
        <v>25.8</v>
      </c>
      <c r="N537" s="9" t="str">
        <f>UPPER(TEXT(TablaCosechas[[#This Row],[COSECHA]],"MMMM"))</f>
        <v>NOVIEMBRE</v>
      </c>
      <c r="O537" s="9" t="str">
        <f>IF(A537="DO 29","BAP",IF(A537="RO 14","BAP",(VLOOKUP(TablaCosechas[[#This Row],[COD]],Tabla7[[CODIGO]:[CERTIFICACION]],3,0))))</f>
        <v>ASC</v>
      </c>
      <c r="P537" s="180">
        <f>+L537-E537</f>
        <v>-1505.1100000000006</v>
      </c>
      <c r="Q537" s="181">
        <f>+M537-F537</f>
        <v>4.8000000000000007</v>
      </c>
      <c r="R537" s="9"/>
    </row>
    <row r="538" spans="1:18" x14ac:dyDescent="0.25">
      <c r="A538" s="9" t="s">
        <v>243</v>
      </c>
      <c r="B538" s="9">
        <f>ROW() - ROW(TablaCosechas[[#Headers],[ID]]) - 4</f>
        <v>533</v>
      </c>
      <c r="C538" s="9" t="str">
        <f>LEFT(A538,2)</f>
        <v>GT</v>
      </c>
      <c r="D538" s="182" t="s">
        <v>366</v>
      </c>
      <c r="E538" s="178">
        <v>13500</v>
      </c>
      <c r="F538" s="19">
        <v>30</v>
      </c>
      <c r="G538" s="195">
        <v>45981</v>
      </c>
      <c r="H538" s="9" t="str">
        <f>VLOOKUP(TablaCosechas[[#This Row],[COD]],DATOS!$E$3:$F$27,2,0)</f>
        <v>GUATO</v>
      </c>
      <c r="I538" s="9" t="str">
        <f>RIGHT(TablaCosechas[[#This Row],[SECTOR/PISCINA]],2)</f>
        <v>20</v>
      </c>
      <c r="J538" s="9" t="str">
        <f>VLOOKUP(TablaCosechas[[#This Row],[COD]],Tabla7[#All],4,0)</f>
        <v>JULIO SANTOS</v>
      </c>
      <c r="K538" s="179">
        <f>(TablaCosechas[[#This Row],[libras planta]]*454)/M538</f>
        <v>179205.72660427805</v>
      </c>
      <c r="L538" s="174">
        <v>11810.21</v>
      </c>
      <c r="M538" s="19">
        <v>29.92</v>
      </c>
      <c r="N538" s="9" t="str">
        <f>UPPER(TEXT(TablaCosechas[[#This Row],[COSECHA]],"MMMM"))</f>
        <v>NOVIEMBRE</v>
      </c>
      <c r="O538" s="9" t="str">
        <f>IF(A538="DO 29","BAP",IF(A538="RO 14","BAP",(VLOOKUP(TablaCosechas[[#This Row],[COD]],Tabla7[[CODIGO]:[CERTIFICACION]],3,0))))</f>
        <v>CONVENCIONAL</v>
      </c>
      <c r="P538" s="180">
        <f>+L538-E538</f>
        <v>-1689.7900000000009</v>
      </c>
      <c r="Q538" s="181">
        <f>+M538-F538</f>
        <v>-7.9999999999998295E-2</v>
      </c>
      <c r="R538" s="9"/>
    </row>
    <row r="539" spans="1:18" x14ac:dyDescent="0.25">
      <c r="A539" s="9" t="s">
        <v>240</v>
      </c>
      <c r="B539" s="9">
        <f>ROW() - ROW(TablaCosechas[[#Headers],[ID]]) - 4</f>
        <v>534</v>
      </c>
      <c r="C539" s="9" t="str">
        <f>LEFT(A539,2)</f>
        <v>GT</v>
      </c>
      <c r="D539" s="182" t="s">
        <v>366</v>
      </c>
      <c r="E539" s="178">
        <v>20200</v>
      </c>
      <c r="F539" s="19">
        <v>30</v>
      </c>
      <c r="G539" s="195">
        <v>45981</v>
      </c>
      <c r="H539" s="9" t="str">
        <f>VLOOKUP(TablaCosechas[[#This Row],[COD]],DATOS!$E$3:$F$27,2,0)</f>
        <v>GUATO</v>
      </c>
      <c r="I539" s="9" t="str">
        <f>RIGHT(TablaCosechas[[#This Row],[SECTOR/PISCINA]],2)</f>
        <v>19</v>
      </c>
      <c r="J539" s="9" t="str">
        <f>VLOOKUP(TablaCosechas[[#This Row],[COD]],Tabla7[#All],4,0)</f>
        <v>JULIO SANTOS</v>
      </c>
      <c r="K539" s="179">
        <f>(TablaCosechas[[#This Row],[libras planta]]*454)/M539</f>
        <v>315360.90329362301</v>
      </c>
      <c r="L539" s="174">
        <v>19824.669999999998</v>
      </c>
      <c r="M539" s="19">
        <v>28.54</v>
      </c>
      <c r="N539" s="9" t="str">
        <f>UPPER(TEXT(TablaCosechas[[#This Row],[COSECHA]],"MMMM"))</f>
        <v>NOVIEMBRE</v>
      </c>
      <c r="O539" s="9" t="str">
        <f>IF(A539="DO 29","BAP",IF(A539="RO 14","BAP",(VLOOKUP(TablaCosechas[[#This Row],[COD]],Tabla7[[CODIGO]:[CERTIFICACION]],3,0))))</f>
        <v>CONVENCIONAL</v>
      </c>
      <c r="P539" s="180">
        <f>+L539-E539</f>
        <v>-375.33000000000175</v>
      </c>
      <c r="Q539" s="181">
        <f>+M539-F539</f>
        <v>-1.4600000000000009</v>
      </c>
      <c r="R539" s="9"/>
    </row>
    <row r="540" spans="1:18" x14ac:dyDescent="0.25">
      <c r="A540" s="9" t="s">
        <v>323</v>
      </c>
      <c r="B540" s="9">
        <f>ROW() - ROW(TablaCosechas[[#Headers],[ID]]) - 4</f>
        <v>535</v>
      </c>
      <c r="C540" s="9" t="str">
        <f>LEFT(A540,2)</f>
        <v>DO</v>
      </c>
      <c r="D540" s="182" t="s">
        <v>367</v>
      </c>
      <c r="E540" s="178">
        <v>12200</v>
      </c>
      <c r="F540" s="19">
        <v>23</v>
      </c>
      <c r="G540" s="195">
        <v>45981</v>
      </c>
      <c r="H540" s="9" t="str">
        <f>VLOOKUP(TablaCosechas[[#This Row],[COD]],DATOS!$E$3:$F$27,2,0)</f>
        <v>DORADO</v>
      </c>
      <c r="I540" s="9" t="str">
        <f>RIGHT(TablaCosechas[[#This Row],[SECTOR/PISCINA]],2)</f>
        <v>22</v>
      </c>
      <c r="J540" s="9" t="str">
        <f>VLOOKUP(TablaCosechas[[#This Row],[COD]],Tabla7[#All],4,0)</f>
        <v>JOSE CEDEÑO</v>
      </c>
      <c r="K540" s="179">
        <f>(TablaCosechas[[#This Row],[libras planta]]*454)/M540</f>
        <v>232468.43601059134</v>
      </c>
      <c r="L540" s="174">
        <v>11602.94</v>
      </c>
      <c r="M540" s="19">
        <v>22.66</v>
      </c>
      <c r="N540" s="9" t="str">
        <f>UPPER(TEXT(TablaCosechas[[#This Row],[COSECHA]],"MMMM"))</f>
        <v>NOVIEMBRE</v>
      </c>
      <c r="O540" s="9" t="str">
        <f>IF(A540="DO 29","BAP",IF(A540="RO 14","BAP",(VLOOKUP(TablaCosechas[[#This Row],[COD]],Tabla7[[CODIGO]:[CERTIFICACION]],3,0))))</f>
        <v>ASC</v>
      </c>
      <c r="P540" s="180">
        <f>+L540-E540</f>
        <v>-597.05999999999949</v>
      </c>
      <c r="Q540" s="181">
        <f>+M540-F540</f>
        <v>-0.33999999999999986</v>
      </c>
      <c r="R540" s="9"/>
    </row>
    <row r="541" spans="1:18" x14ac:dyDescent="0.25">
      <c r="A541" s="9" t="s">
        <v>249</v>
      </c>
      <c r="B541" s="9">
        <f>ROW() - ROW(TablaCosechas[[#Headers],[ID]]) - 4</f>
        <v>536</v>
      </c>
      <c r="C541" s="9" t="str">
        <f>LEFT(A541,2)</f>
        <v>DO</v>
      </c>
      <c r="D541" s="182" t="s">
        <v>366</v>
      </c>
      <c r="E541" s="178">
        <v>26300</v>
      </c>
      <c r="F541" s="19">
        <v>41</v>
      </c>
      <c r="G541" s="195">
        <v>45981</v>
      </c>
      <c r="H541" s="9" t="str">
        <f>VLOOKUP(TablaCosechas[[#This Row],[COD]],DATOS!$E$3:$F$27,2,0)</f>
        <v>DORADO</v>
      </c>
      <c r="I541" s="9" t="str">
        <f>RIGHT(TablaCosechas[[#This Row],[SECTOR/PISCINA]],2)</f>
        <v>14</v>
      </c>
      <c r="J541" s="9" t="str">
        <f>VLOOKUP(TablaCosechas[[#This Row],[COD]],Tabla7[#All],4,0)</f>
        <v>JOSE CEDEÑO</v>
      </c>
      <c r="K541" s="179">
        <f>(TablaCosechas[[#This Row],[libras planta]]*454)/M541</f>
        <v>300465.44444444444</v>
      </c>
      <c r="L541" s="174">
        <v>27041.89</v>
      </c>
      <c r="M541" s="19">
        <v>40.86</v>
      </c>
      <c r="N541" s="9" t="str">
        <f>UPPER(TEXT(TablaCosechas[[#This Row],[COSECHA]],"MMMM"))</f>
        <v>NOVIEMBRE</v>
      </c>
      <c r="O541" s="9" t="str">
        <f>IF(A541="DO 29","BAP",IF(A541="RO 14","BAP",(VLOOKUP(TablaCosechas[[#This Row],[COD]],Tabla7[[CODIGO]:[CERTIFICACION]],3,0))))</f>
        <v>ASC</v>
      </c>
      <c r="P541" s="180">
        <f>+L541-E541</f>
        <v>741.88999999999942</v>
      </c>
      <c r="Q541" s="181">
        <f>+M541-F541</f>
        <v>-0.14000000000000057</v>
      </c>
      <c r="R541" s="9"/>
    </row>
    <row r="542" spans="1:18" x14ac:dyDescent="0.25">
      <c r="A542" s="9" t="s">
        <v>254</v>
      </c>
      <c r="B542" s="9">
        <f>ROW() - ROW(TablaCosechas[[#Headers],[ID]]) - 4</f>
        <v>537</v>
      </c>
      <c r="C542" s="9" t="str">
        <f>LEFT(A542,2)</f>
        <v>DE</v>
      </c>
      <c r="D542" s="182" t="s">
        <v>367</v>
      </c>
      <c r="E542" s="178">
        <v>14400</v>
      </c>
      <c r="F542" s="19">
        <v>21</v>
      </c>
      <c r="G542" s="195">
        <v>45981</v>
      </c>
      <c r="H542" s="9" t="str">
        <f>VLOOKUP(TablaCosechas[[#This Row],[COD]],DATOS!$E$3:$F$27,2,0)</f>
        <v>DELFIN</v>
      </c>
      <c r="I542" s="9" t="str">
        <f>RIGHT(TablaCosechas[[#This Row],[SECTOR/PISCINA]],2)</f>
        <v>12</v>
      </c>
      <c r="J542" s="9" t="str">
        <f>VLOOKUP(TablaCosechas[[#This Row],[COD]],Tabla7[#All],4,0)</f>
        <v>CARLOS FLORES</v>
      </c>
      <c r="K542" s="179">
        <f>(TablaCosechas[[#This Row],[libras planta]]*454)/M542</f>
        <v>304880.68450184504</v>
      </c>
      <c r="L542" s="174">
        <v>14559.06</v>
      </c>
      <c r="M542" s="19">
        <v>21.68</v>
      </c>
      <c r="N542" s="9" t="str">
        <f>UPPER(TEXT(TablaCosechas[[#This Row],[COSECHA]],"MMMM"))</f>
        <v>NOVIEMBRE</v>
      </c>
      <c r="O542" s="9" t="str">
        <f>IF(A542="DO 29","BAP",IF(A542="RO 14","BAP",(VLOOKUP(TablaCosechas[[#This Row],[COD]],Tabla7[[CODIGO]:[CERTIFICACION]],3,0))))</f>
        <v>CONVENCIONAL</v>
      </c>
      <c r="P542" s="180">
        <f>+L542-E542</f>
        <v>159.05999999999949</v>
      </c>
      <c r="Q542" s="181">
        <f>+M542-F542</f>
        <v>0.67999999999999972</v>
      </c>
      <c r="R542" s="9"/>
    </row>
    <row r="543" spans="1:18" x14ac:dyDescent="0.25">
      <c r="A543" s="9" t="s">
        <v>12</v>
      </c>
      <c r="B543" s="9">
        <f>ROW() - ROW(TablaCosechas[[#Headers],[ID]]) - 4</f>
        <v>538</v>
      </c>
      <c r="C543" s="9" t="str">
        <f>LEFT(A543,2)</f>
        <v>CH</v>
      </c>
      <c r="D543" s="182" t="s">
        <v>367</v>
      </c>
      <c r="E543" s="178">
        <v>5600</v>
      </c>
      <c r="F543" s="19">
        <v>18</v>
      </c>
      <c r="G543" s="195">
        <v>45981</v>
      </c>
      <c r="H543" s="9" t="str">
        <f>VLOOKUP(TablaCosechas[[#This Row],[COD]],DATOS!$E$3:$F$27,2,0)</f>
        <v>CHERNA</v>
      </c>
      <c r="I543" s="9" t="str">
        <f>RIGHT(TablaCosechas[[#This Row],[SECTOR/PISCINA]],2)</f>
        <v>06</v>
      </c>
      <c r="J543" s="9" t="str">
        <f>VLOOKUP(TablaCosechas[[#This Row],[COD]],Tabla7[#All],4,0)</f>
        <v>SANTIAGO OBRIEN</v>
      </c>
      <c r="K543" s="179">
        <f>(TablaCosechas[[#This Row],[libras planta]]*454)/M543</f>
        <v>143436.79956427016</v>
      </c>
      <c r="L543" s="174">
        <v>5800.66</v>
      </c>
      <c r="M543" s="19">
        <v>18.36</v>
      </c>
      <c r="N543" s="9" t="str">
        <f>UPPER(TEXT(TablaCosechas[[#This Row],[COSECHA]],"MMMM"))</f>
        <v>NOVIEMBRE</v>
      </c>
      <c r="O543" s="9" t="str">
        <f>IF(A543="DO 29","BAP",IF(A543="RO 14","BAP",(VLOOKUP(TablaCosechas[[#This Row],[COD]],Tabla7[[CODIGO]:[CERTIFICACION]],3,0))))</f>
        <v>ASC</v>
      </c>
      <c r="P543" s="180">
        <f>+L543-E543</f>
        <v>200.65999999999985</v>
      </c>
      <c r="Q543" s="181">
        <f>+M543-F543</f>
        <v>0.35999999999999943</v>
      </c>
      <c r="R543" s="9"/>
    </row>
    <row r="544" spans="1:18" x14ac:dyDescent="0.25">
      <c r="A544" s="9" t="s">
        <v>375</v>
      </c>
      <c r="B544" s="9">
        <f>ROW() - ROW(TablaCosechas[[#Headers],[ID]]) - 4</f>
        <v>539</v>
      </c>
      <c r="C544" s="9" t="str">
        <f>LEFT(A544,2)</f>
        <v>WA</v>
      </c>
      <c r="D544" s="182" t="s">
        <v>366</v>
      </c>
      <c r="E544" s="178">
        <v>3000</v>
      </c>
      <c r="F544" s="19">
        <v>23.5</v>
      </c>
      <c r="G544" s="195">
        <v>45982</v>
      </c>
      <c r="H544" s="9" t="str">
        <f>VLOOKUP(TablaCosechas[[#This Row],[COD]],DATOS!$E$3:$F$27,2,0)</f>
        <v>WAHOO</v>
      </c>
      <c r="I544" s="9" t="str">
        <f>RIGHT(TablaCosechas[[#This Row],[SECTOR/PISCINA]],2)</f>
        <v>14</v>
      </c>
      <c r="J544" s="9" t="str">
        <f>VLOOKUP(TablaCosechas[[#This Row],[COD]],Tabla7[#All],4,0)</f>
        <v>JUNIOR ESQUIVEL</v>
      </c>
      <c r="K544" s="179">
        <f>(TablaCosechas[[#This Row],[libras planta]]*454)/M544</f>
        <v>58706.280898876408</v>
      </c>
      <c r="L544" s="174">
        <v>2992.21</v>
      </c>
      <c r="M544" s="19">
        <v>23.14</v>
      </c>
      <c r="N544" s="9" t="str">
        <f>UPPER(TEXT(TablaCosechas[[#This Row],[COSECHA]],"MMMM"))</f>
        <v>NOVIEMBRE</v>
      </c>
      <c r="O544" s="9" t="str">
        <f>IF(A544="DO 29","BAP",IF(A544="RO 14","BAP",(VLOOKUP(TablaCosechas[[#This Row],[COD]],Tabla7[[CODIGO]:[CERTIFICACION]],3,0))))</f>
        <v>CONVENCIONAL</v>
      </c>
      <c r="P544" s="180">
        <f>+L544-E544</f>
        <v>-7.7899999999999636</v>
      </c>
      <c r="Q544" s="181">
        <f>+M544-F544</f>
        <v>-0.35999999999999943</v>
      </c>
      <c r="R544" s="9"/>
    </row>
    <row r="545" spans="1:18" x14ac:dyDescent="0.25">
      <c r="A545" s="9" t="s">
        <v>339</v>
      </c>
      <c r="B545" s="9">
        <f>ROW() - ROW(TablaCosechas[[#Headers],[ID]]) - 4</f>
        <v>540</v>
      </c>
      <c r="C545" s="9" t="str">
        <f>LEFT(A545,2)</f>
        <v>WA</v>
      </c>
      <c r="D545" s="182" t="s">
        <v>366</v>
      </c>
      <c r="E545" s="178">
        <f>29500+2000</f>
        <v>31500</v>
      </c>
      <c r="F545" s="19">
        <v>22.5</v>
      </c>
      <c r="G545" s="195">
        <v>45982</v>
      </c>
      <c r="H545" s="9" t="str">
        <f>VLOOKUP(TablaCosechas[[#This Row],[COD]],DATOS!$E$3:$F$27,2,0)</f>
        <v>WAHOO</v>
      </c>
      <c r="I545" s="9" t="str">
        <f>RIGHT(TablaCosechas[[#This Row],[SECTOR/PISCINA]],2)</f>
        <v>16</v>
      </c>
      <c r="J545" s="9" t="str">
        <f>VLOOKUP(TablaCosechas[[#This Row],[COD]],Tabla7[#All],4,0)</f>
        <v>JUNIOR ESQUIVEL</v>
      </c>
      <c r="K545" s="179">
        <f>(TablaCosechas[[#This Row],[libras planta]]*454)/M545</f>
        <v>591334.39466666675</v>
      </c>
      <c r="L545" s="174">
        <f>27334.84+1971.38</f>
        <v>29306.22</v>
      </c>
      <c r="M545" s="19">
        <v>22.5</v>
      </c>
      <c r="N545" s="9" t="str">
        <f>UPPER(TEXT(TablaCosechas[[#This Row],[COSECHA]],"MMMM"))</f>
        <v>NOVIEMBRE</v>
      </c>
      <c r="O545" s="9" t="str">
        <f>IF(A545="DO 29","BAP",IF(A545="RO 14","BAP",(VLOOKUP(TablaCosechas[[#This Row],[COD]],Tabla7[[CODIGO]:[CERTIFICACION]],3,0))))</f>
        <v>CONVENCIONAL</v>
      </c>
      <c r="P545" s="180">
        <f>+L545-E545</f>
        <v>-2193.7799999999988</v>
      </c>
      <c r="Q545" s="181">
        <f>+M545-F545</f>
        <v>0</v>
      </c>
      <c r="R545" s="9"/>
    </row>
    <row r="546" spans="1:18" x14ac:dyDescent="0.25">
      <c r="A546" s="9" t="s">
        <v>230</v>
      </c>
      <c r="B546" s="9">
        <f>ROW() - ROW(TablaCosechas[[#Headers],[ID]]) - 4</f>
        <v>541</v>
      </c>
      <c r="C546" s="9" t="str">
        <f>LEFT(A546,2)</f>
        <v>TA</v>
      </c>
      <c r="D546" s="182" t="s">
        <v>366</v>
      </c>
      <c r="E546" s="178">
        <v>28900</v>
      </c>
      <c r="F546" s="19">
        <v>31</v>
      </c>
      <c r="G546" s="195">
        <v>45982</v>
      </c>
      <c r="H546" s="9" t="str">
        <f>VLOOKUP(TablaCosechas[[#This Row],[COD]],DATOS!$E$3:$F$27,2,0)</f>
        <v>TAMBULERO</v>
      </c>
      <c r="I546" s="9" t="str">
        <f>RIGHT(TablaCosechas[[#This Row],[SECTOR/PISCINA]],2)</f>
        <v>26</v>
      </c>
      <c r="J546" s="9" t="str">
        <f>VLOOKUP(TablaCosechas[[#This Row],[COD]],Tabla7[#All],4,0)</f>
        <v>ALFONSO GRUNAUER</v>
      </c>
      <c r="K546" s="179">
        <f>(TablaCosechas[[#This Row],[libras planta]]*454)/M546</f>
        <v>412058.95901639346</v>
      </c>
      <c r="L546" s="174">
        <v>28789.67</v>
      </c>
      <c r="M546" s="19">
        <v>31.72</v>
      </c>
      <c r="N546" s="9" t="str">
        <f>UPPER(TEXT(TablaCosechas[[#This Row],[COSECHA]],"MMMM"))</f>
        <v>NOVIEMBRE</v>
      </c>
      <c r="O546" s="9" t="str">
        <f>IF(A546="DO 29","BAP",IF(A546="RO 14","BAP",(VLOOKUP(TablaCosechas[[#This Row],[COD]],Tabla7[[CODIGO]:[CERTIFICACION]],3,0))))</f>
        <v>CONVENCIONAL</v>
      </c>
      <c r="P546" s="180">
        <f>+L546-E546</f>
        <v>-110.33000000000175</v>
      </c>
      <c r="Q546" s="181">
        <f>+M546-F546</f>
        <v>0.71999999999999886</v>
      </c>
      <c r="R546" s="9"/>
    </row>
    <row r="547" spans="1:18" x14ac:dyDescent="0.25">
      <c r="A547" s="9" t="s">
        <v>235</v>
      </c>
      <c r="B547" s="9">
        <f>ROW() - ROW(TablaCosechas[[#Headers],[ID]]) - 4</f>
        <v>542</v>
      </c>
      <c r="C547" s="9" t="str">
        <f>LEFT(A547,2)</f>
        <v>ME</v>
      </c>
      <c r="D547" s="182" t="s">
        <v>366</v>
      </c>
      <c r="E547" s="178">
        <v>4600</v>
      </c>
      <c r="F547" s="19">
        <v>23</v>
      </c>
      <c r="G547" s="195">
        <v>45982</v>
      </c>
      <c r="H547" s="9" t="str">
        <f>VLOOKUP(TablaCosechas[[#This Row],[COD]],DATOS!$E$3:$F$27,2,0)</f>
        <v>MERO</v>
      </c>
      <c r="I547" s="9" t="str">
        <f>RIGHT(TablaCosechas[[#This Row],[SECTOR/PISCINA]],2)</f>
        <v>18</v>
      </c>
      <c r="J547" s="9" t="str">
        <f>VLOOKUP(TablaCosechas[[#This Row],[COD]],Tabla7[#All],4,0)</f>
        <v>NESTOR MOGOLLON</v>
      </c>
      <c r="K547" s="179">
        <f>(TablaCosechas[[#This Row],[libras planta]]*454)/M547</f>
        <v>88113.317717206141</v>
      </c>
      <c r="L547" s="174">
        <v>4557.05</v>
      </c>
      <c r="M547" s="19">
        <v>23.48</v>
      </c>
      <c r="N547" s="9" t="str">
        <f>UPPER(TEXT(TablaCosechas[[#This Row],[COSECHA]],"MMMM"))</f>
        <v>NOVIEMBRE</v>
      </c>
      <c r="O547" s="9" t="str">
        <f>IF(A547="DO 29","BAP",IF(A547="RO 14","BAP",(VLOOKUP(TablaCosechas[[#This Row],[COD]],Tabla7[[CODIGO]:[CERTIFICACION]],3,0))))</f>
        <v>CONVENCIONAL</v>
      </c>
      <c r="P547" s="180">
        <f>+L547-E547</f>
        <v>-42.949999999999818</v>
      </c>
      <c r="Q547" s="181">
        <f>+M547-F547</f>
        <v>0.48000000000000043</v>
      </c>
      <c r="R547" s="9"/>
    </row>
    <row r="548" spans="1:18" x14ac:dyDescent="0.25">
      <c r="A548" s="9" t="s">
        <v>228</v>
      </c>
      <c r="B548" s="9">
        <f>ROW() - ROW(TablaCosechas[[#Headers],[ID]]) - 4</f>
        <v>543</v>
      </c>
      <c r="C548" s="9" t="str">
        <f>LEFT(A548,2)</f>
        <v>ME</v>
      </c>
      <c r="D548" s="182" t="s">
        <v>366</v>
      </c>
      <c r="E548" s="178">
        <v>4100</v>
      </c>
      <c r="F548" s="19">
        <v>20</v>
      </c>
      <c r="G548" s="195">
        <v>45982</v>
      </c>
      <c r="H548" s="9" t="str">
        <f>VLOOKUP(TablaCosechas[[#This Row],[COD]],DATOS!$E$3:$F$27,2,0)</f>
        <v>MERO</v>
      </c>
      <c r="I548" s="9" t="str">
        <f>RIGHT(TablaCosechas[[#This Row],[SECTOR/PISCINA]],2)</f>
        <v>14</v>
      </c>
      <c r="J548" s="9" t="str">
        <f>VLOOKUP(TablaCosechas[[#This Row],[COD]],Tabla7[#All],4,0)</f>
        <v>NESTOR MOGOLLON</v>
      </c>
      <c r="K548" s="179">
        <f>(TablaCosechas[[#This Row],[libras planta]]*454)/M548</f>
        <v>81572.269841269852</v>
      </c>
      <c r="L548" s="174">
        <v>4075.02</v>
      </c>
      <c r="M548" s="19">
        <v>22.68</v>
      </c>
      <c r="N548" s="9" t="str">
        <f>UPPER(TEXT(TablaCosechas[[#This Row],[COSECHA]],"MMMM"))</f>
        <v>NOVIEMBRE</v>
      </c>
      <c r="O548" s="9" t="str">
        <f>IF(A548="DO 29","BAP",IF(A548="RO 14","BAP",(VLOOKUP(TablaCosechas[[#This Row],[COD]],Tabla7[[CODIGO]:[CERTIFICACION]],3,0))))</f>
        <v>CONVENCIONAL</v>
      </c>
      <c r="P548" s="180">
        <f>+L548-E548</f>
        <v>-24.980000000000018</v>
      </c>
      <c r="Q548" s="181">
        <f>+M548-F548</f>
        <v>2.6799999999999997</v>
      </c>
      <c r="R548" s="9"/>
    </row>
    <row r="549" spans="1:18" x14ac:dyDescent="0.25">
      <c r="A549" s="9" t="s">
        <v>271</v>
      </c>
      <c r="B549" s="9">
        <f>ROW() - ROW(TablaCosechas[[#Headers],[ID]]) - 4</f>
        <v>544</v>
      </c>
      <c r="C549" s="9" t="str">
        <f>LEFT(A549,2)</f>
        <v>MA</v>
      </c>
      <c r="D549" s="182" t="s">
        <v>366</v>
      </c>
      <c r="E549" s="178">
        <v>25250</v>
      </c>
      <c r="F549" s="19">
        <v>29</v>
      </c>
      <c r="G549" s="195">
        <v>45982</v>
      </c>
      <c r="H549" s="9" t="str">
        <f>VLOOKUP(TablaCosechas[[#This Row],[COD]],DATOS!$E$3:$F$27,2,0)</f>
        <v>MANTARRAYA</v>
      </c>
      <c r="I549" s="9" t="str">
        <f>RIGHT(TablaCosechas[[#This Row],[SECTOR/PISCINA]],2)</f>
        <v>01</v>
      </c>
      <c r="J549" s="9" t="str">
        <f>VLOOKUP(TablaCosechas[[#This Row],[COD]],Tabla7[#All],4,0)</f>
        <v>GUSTAVO CARRASCO</v>
      </c>
      <c r="K549" s="179">
        <f>(TablaCosechas[[#This Row],[libras planta]]*454)/M549</f>
        <v>401115.38088545325</v>
      </c>
      <c r="L549" s="174">
        <v>25144.81</v>
      </c>
      <c r="M549" s="19">
        <v>28.46</v>
      </c>
      <c r="N549" s="9" t="str">
        <f>UPPER(TEXT(TablaCosechas[[#This Row],[COSECHA]],"MMMM"))</f>
        <v>NOVIEMBRE</v>
      </c>
      <c r="O549" s="9" t="str">
        <f>IF(A549="DO 29","BAP",IF(A549="RO 14","BAP",(VLOOKUP(TablaCosechas[[#This Row],[COD]],Tabla7[[CODIGO]:[CERTIFICACION]],3,0))))</f>
        <v>ASC</v>
      </c>
      <c r="P549" s="180">
        <f>+L549-E549</f>
        <v>-105.18999999999869</v>
      </c>
      <c r="Q549" s="181">
        <f>+M549-F549</f>
        <v>-0.53999999999999915</v>
      </c>
      <c r="R549" s="9"/>
    </row>
    <row r="550" spans="1:18" x14ac:dyDescent="0.25">
      <c r="A550" s="9" t="s">
        <v>308</v>
      </c>
      <c r="B550" s="9">
        <f>ROW() - ROW(TablaCosechas[[#Headers],[ID]]) - 4</f>
        <v>545</v>
      </c>
      <c r="C550" s="9" t="str">
        <f>LEFT(A550,2)</f>
        <v>DO</v>
      </c>
      <c r="D550" s="182" t="s">
        <v>367</v>
      </c>
      <c r="E550" s="178">
        <v>12700</v>
      </c>
      <c r="F550" s="19">
        <v>27</v>
      </c>
      <c r="G550" s="195">
        <v>45982</v>
      </c>
      <c r="H550" s="9" t="str">
        <f>VLOOKUP(TablaCosechas[[#This Row],[COD]],DATOS!$E$3:$F$27,2,0)</f>
        <v>DORADO</v>
      </c>
      <c r="I550" s="9" t="str">
        <f>RIGHT(TablaCosechas[[#This Row],[SECTOR/PISCINA]],2)</f>
        <v>26</v>
      </c>
      <c r="J550" s="9" t="str">
        <f>VLOOKUP(TablaCosechas[[#This Row],[COD]],Tabla7[#All],4,0)</f>
        <v>JOSE CEDEÑO</v>
      </c>
      <c r="K550" s="179">
        <f>(TablaCosechas[[#This Row],[libras planta]]*454)/M550</f>
        <v>213471.31787072244</v>
      </c>
      <c r="L550" s="174">
        <v>12366.29</v>
      </c>
      <c r="M550" s="19">
        <v>26.3</v>
      </c>
      <c r="N550" s="9" t="str">
        <f>UPPER(TEXT(TablaCosechas[[#This Row],[COSECHA]],"MMMM"))</f>
        <v>NOVIEMBRE</v>
      </c>
      <c r="O550" s="9" t="str">
        <f>IF(A550="DO 29","BAP",IF(A550="RO 14","BAP",(VLOOKUP(TablaCosechas[[#This Row],[COD]],Tabla7[[CODIGO]:[CERTIFICACION]],3,0))))</f>
        <v>ASC</v>
      </c>
      <c r="P550" s="180">
        <f>+L550-E550</f>
        <v>-333.70999999999913</v>
      </c>
      <c r="Q550" s="181">
        <f>+M550-F550</f>
        <v>-0.69999999999999929</v>
      </c>
      <c r="R550" s="9"/>
    </row>
    <row r="551" spans="1:18" x14ac:dyDescent="0.25">
      <c r="A551" s="9" t="s">
        <v>220</v>
      </c>
      <c r="B551" s="9">
        <f>ROW() - ROW(TablaCosechas[[#Headers],[ID]]) - 4</f>
        <v>546</v>
      </c>
      <c r="C551" s="9" t="str">
        <f>LEFT(A551,2)</f>
        <v>DO</v>
      </c>
      <c r="D551" s="182" t="s">
        <v>366</v>
      </c>
      <c r="E551" s="178">
        <f>23000+1850</f>
        <v>24850</v>
      </c>
      <c r="F551" s="19">
        <v>40</v>
      </c>
      <c r="G551" s="195">
        <v>45982</v>
      </c>
      <c r="H551" s="9" t="str">
        <f>VLOOKUP(TablaCosechas[[#This Row],[COD]],DATOS!$E$3:$F$27,2,0)</f>
        <v>DORADO</v>
      </c>
      <c r="I551" s="9" t="str">
        <f>RIGHT(TablaCosechas[[#This Row],[SECTOR/PISCINA]],2)</f>
        <v>13</v>
      </c>
      <c r="J551" s="9" t="str">
        <f>VLOOKUP(TablaCosechas[[#This Row],[COD]],Tabla7[#All],4,0)</f>
        <v>JOSE CEDEÑO</v>
      </c>
      <c r="K551" s="179">
        <f>(TablaCosechas[[#This Row],[libras planta]]*454)/M551</f>
        <v>286691.78202777047</v>
      </c>
      <c r="L551" s="174">
        <f>22275.48+1828.1</f>
        <v>24103.579999999998</v>
      </c>
      <c r="M551" s="19">
        <v>38.17</v>
      </c>
      <c r="N551" s="9" t="str">
        <f>UPPER(TEXT(TablaCosechas[[#This Row],[COSECHA]],"MMMM"))</f>
        <v>NOVIEMBRE</v>
      </c>
      <c r="O551" s="9" t="str">
        <f>IF(A551="DO 29","BAP",IF(A551="RO 14","BAP",(VLOOKUP(TablaCosechas[[#This Row],[COD]],Tabla7[[CODIGO]:[CERTIFICACION]],3,0))))</f>
        <v>ASC</v>
      </c>
      <c r="P551" s="180">
        <f>+L551-E551</f>
        <v>-746.42000000000189</v>
      </c>
      <c r="Q551" s="181">
        <f>+M551-F551</f>
        <v>-1.8299999999999983</v>
      </c>
      <c r="R551" s="9"/>
    </row>
    <row r="552" spans="1:18" x14ac:dyDescent="0.25">
      <c r="A552" s="9" t="s">
        <v>352</v>
      </c>
      <c r="B552" s="9">
        <f>ROW() - ROW(TablaCosechas[[#Headers],[ID]]) - 4</f>
        <v>547</v>
      </c>
      <c r="C552" s="9" t="str">
        <f>LEFT(A552,2)</f>
        <v>WA</v>
      </c>
      <c r="D552" s="182" t="s">
        <v>367</v>
      </c>
      <c r="E552" s="178">
        <v>13850</v>
      </c>
      <c r="F552" s="19">
        <v>16</v>
      </c>
      <c r="G552" s="195">
        <v>45983</v>
      </c>
      <c r="H552" s="9" t="str">
        <f>VLOOKUP(TablaCosechas[[#This Row],[COD]],DATOS!$E$3:$F$27,2,0)</f>
        <v>WAHOO</v>
      </c>
      <c r="I552" s="9" t="str">
        <f>RIGHT(TablaCosechas[[#This Row],[SECTOR/PISCINA]],2)</f>
        <v>33</v>
      </c>
      <c r="J552" s="9" t="str">
        <f>VLOOKUP(TablaCosechas[[#This Row],[COD]],Tabla7[#All],4,0)</f>
        <v>JUNIOR ESQUIVEL</v>
      </c>
      <c r="K552" s="179">
        <f>(TablaCosechas[[#This Row],[libras planta]]*454)/M552</f>
        <v>353614.94888755266</v>
      </c>
      <c r="L552" s="174">
        <v>12952.900000000001</v>
      </c>
      <c r="M552" s="19">
        <v>16.63</v>
      </c>
      <c r="N552" s="9" t="str">
        <f>UPPER(TEXT(TablaCosechas[[#This Row],[COSECHA]],"MMMM"))</f>
        <v>NOVIEMBRE</v>
      </c>
      <c r="O552" s="9" t="str">
        <f>IF(A552="DO 29","BAP",IF(A552="RO 14","BAP",(VLOOKUP(TablaCosechas[[#This Row],[COD]],Tabla7[[CODIGO]:[CERTIFICACION]],3,0))))</f>
        <v>CONVENCIONAL</v>
      </c>
      <c r="P552" s="180">
        <f>+L552-E552</f>
        <v>-897.09999999999854</v>
      </c>
      <c r="Q552" s="181">
        <f>+M552-F552</f>
        <v>0.62999999999999901</v>
      </c>
      <c r="R552" s="9"/>
    </row>
    <row r="553" spans="1:18" x14ac:dyDescent="0.25">
      <c r="A553" s="9" t="s">
        <v>239</v>
      </c>
      <c r="B553" s="9">
        <f>ROW() - ROW(TablaCosechas[[#Headers],[ID]]) - 4</f>
        <v>548</v>
      </c>
      <c r="C553" s="9" t="str">
        <f>LEFT(A553,2)</f>
        <v>TA</v>
      </c>
      <c r="D553" s="182" t="s">
        <v>366</v>
      </c>
      <c r="E553" s="178">
        <v>75600</v>
      </c>
      <c r="F553" s="19">
        <v>35.5</v>
      </c>
      <c r="G553" s="195">
        <v>45983</v>
      </c>
      <c r="H553" s="9" t="str">
        <f>VLOOKUP(TablaCosechas[[#This Row],[COD]],DATOS!$E$3:$F$27,2,0)</f>
        <v>TAMBULERO</v>
      </c>
      <c r="I553" s="9" t="str">
        <f>RIGHT(TablaCosechas[[#This Row],[SECTOR/PISCINA]],2)</f>
        <v>7A</v>
      </c>
      <c r="J553" s="9" t="str">
        <f>VLOOKUP(TablaCosechas[[#This Row],[COD]],Tabla7[#All],4,0)</f>
        <v>ALFONSO GRUNAUER</v>
      </c>
      <c r="K553" s="179">
        <f>(TablaCosechas[[#This Row],[libras planta]]*454)/M553</f>
        <v>922806.85342920362</v>
      </c>
      <c r="L553" s="174">
        <v>73499.33</v>
      </c>
      <c r="M553" s="19">
        <v>36.159999999999997</v>
      </c>
      <c r="N553" s="9" t="str">
        <f>UPPER(TEXT(TablaCosechas[[#This Row],[COSECHA]],"MMMM"))</f>
        <v>NOVIEMBRE</v>
      </c>
      <c r="O553" s="9" t="str">
        <f>IF(A553="DO 29","BAP",IF(A553="RO 14","BAP",(VLOOKUP(TablaCosechas[[#This Row],[COD]],Tabla7[[CODIGO]:[CERTIFICACION]],3,0))))</f>
        <v>CONVENCIONAL</v>
      </c>
      <c r="P553" s="180">
        <f>+L553-E553</f>
        <v>-2100.6699999999983</v>
      </c>
      <c r="Q553" s="181">
        <f>+M553-F553</f>
        <v>0.65999999999999659</v>
      </c>
      <c r="R553" s="9"/>
    </row>
    <row r="554" spans="1:18" x14ac:dyDescent="0.25">
      <c r="A554" s="9" t="s">
        <v>223</v>
      </c>
      <c r="B554" s="9">
        <f>ROW() - ROW(TablaCosechas[[#Headers],[ID]]) - 4</f>
        <v>549</v>
      </c>
      <c r="C554" s="9" t="str">
        <f>LEFT(A554,2)</f>
        <v>ME</v>
      </c>
      <c r="D554" s="182" t="s">
        <v>366</v>
      </c>
      <c r="E554" s="178">
        <v>7700</v>
      </c>
      <c r="F554" s="19">
        <v>21</v>
      </c>
      <c r="G554" s="195">
        <v>45983</v>
      </c>
      <c r="H554" s="9" t="str">
        <f>VLOOKUP(TablaCosechas[[#This Row],[COD]],DATOS!$E$3:$F$27,2,0)</f>
        <v>MERO</v>
      </c>
      <c r="I554" s="9" t="str">
        <f>RIGHT(TablaCosechas[[#This Row],[SECTOR/PISCINA]],2)</f>
        <v>17</v>
      </c>
      <c r="J554" s="9" t="str">
        <f>VLOOKUP(TablaCosechas[[#This Row],[COD]],Tabla7[#All],4,0)</f>
        <v>NESTOR MOGOLLON</v>
      </c>
      <c r="K554" s="179">
        <f>(TablaCosechas[[#This Row],[libras planta]]*454)/M554</f>
        <v>136281.52932657491</v>
      </c>
      <c r="L554" s="174">
        <v>8290.9599999999991</v>
      </c>
      <c r="M554" s="19">
        <v>27.62</v>
      </c>
      <c r="N554" s="9" t="str">
        <f>UPPER(TEXT(TablaCosechas[[#This Row],[COSECHA]],"MMMM"))</f>
        <v>NOVIEMBRE</v>
      </c>
      <c r="O554" s="9" t="str">
        <f>IF(A554="DO 29","BAP",IF(A554="RO 14","BAP",(VLOOKUP(TablaCosechas[[#This Row],[COD]],Tabla7[[CODIGO]:[CERTIFICACION]],3,0))))</f>
        <v>CONVENCIONAL</v>
      </c>
      <c r="P554" s="180">
        <f>+L554-E554</f>
        <v>590.95999999999913</v>
      </c>
      <c r="Q554" s="181">
        <f>+M554-F554</f>
        <v>6.620000000000001</v>
      </c>
      <c r="R554" s="9"/>
    </row>
    <row r="555" spans="1:18" x14ac:dyDescent="0.25">
      <c r="A555" s="9" t="s">
        <v>234</v>
      </c>
      <c r="B555" s="9">
        <f>ROW() - ROW(TablaCosechas[[#Headers],[ID]]) - 4</f>
        <v>550</v>
      </c>
      <c r="C555" s="9" t="str">
        <f>LEFT(A555,2)</f>
        <v>ME</v>
      </c>
      <c r="D555" s="182" t="s">
        <v>366</v>
      </c>
      <c r="E555" s="178">
        <v>3500</v>
      </c>
      <c r="F555" s="19">
        <v>21</v>
      </c>
      <c r="G555" s="195">
        <v>45983</v>
      </c>
      <c r="H555" s="9" t="str">
        <f>VLOOKUP(TablaCosechas[[#This Row],[COD]],DATOS!$E$3:$F$27,2,0)</f>
        <v>MERO</v>
      </c>
      <c r="I555" s="9" t="str">
        <f>RIGHT(TablaCosechas[[#This Row],[SECTOR/PISCINA]],2)</f>
        <v>15</v>
      </c>
      <c r="J555" s="9" t="str">
        <f>VLOOKUP(TablaCosechas[[#This Row],[COD]],Tabla7[#All],4,0)</f>
        <v>NESTOR MOGOLLON</v>
      </c>
      <c r="K555" s="179">
        <f>(TablaCosechas[[#This Row],[libras planta]]*454)/M555</f>
        <v>70132.006278026907</v>
      </c>
      <c r="L555" s="174">
        <v>3444.81</v>
      </c>
      <c r="M555" s="19">
        <v>22.3</v>
      </c>
      <c r="N555" s="9" t="str">
        <f>UPPER(TEXT(TablaCosechas[[#This Row],[COSECHA]],"MMMM"))</f>
        <v>NOVIEMBRE</v>
      </c>
      <c r="O555" s="9" t="str">
        <f>IF(A555="DO 29","BAP",IF(A555="RO 14","BAP",(VLOOKUP(TablaCosechas[[#This Row],[COD]],Tabla7[[CODIGO]:[CERTIFICACION]],3,0))))</f>
        <v>CONVENCIONAL</v>
      </c>
      <c r="P555" s="180">
        <f>+L555-E555</f>
        <v>-55.190000000000055</v>
      </c>
      <c r="Q555" s="181">
        <f>+M555-F555</f>
        <v>1.3000000000000007</v>
      </c>
      <c r="R555" s="9"/>
    </row>
    <row r="556" spans="1:18" x14ac:dyDescent="0.25">
      <c r="A556" s="9" t="s">
        <v>231</v>
      </c>
      <c r="B556" s="9">
        <f>ROW() - ROW(TablaCosechas[[#Headers],[ID]]) - 4</f>
        <v>551</v>
      </c>
      <c r="C556" s="9" t="str">
        <f>LEFT(A556,2)</f>
        <v>GT</v>
      </c>
      <c r="D556" s="182" t="s">
        <v>366</v>
      </c>
      <c r="E556" s="178">
        <v>13100</v>
      </c>
      <c r="F556" s="19">
        <v>38</v>
      </c>
      <c r="G556" s="195">
        <v>45983</v>
      </c>
      <c r="H556" s="9" t="str">
        <f>VLOOKUP(TablaCosechas[[#This Row],[COD]],DATOS!$E$3:$F$27,2,0)</f>
        <v>GUATO</v>
      </c>
      <c r="I556" s="9" t="str">
        <f>RIGHT(TablaCosechas[[#This Row],[SECTOR/PISCINA]],2)</f>
        <v>16</v>
      </c>
      <c r="J556" s="9" t="str">
        <f>VLOOKUP(TablaCosechas[[#This Row],[COD]],Tabla7[#All],4,0)</f>
        <v>JULIO SANTOS</v>
      </c>
      <c r="K556" s="179">
        <f>(TablaCosechas[[#This Row],[libras planta]]*454)/M556</f>
        <v>155468.21193470701</v>
      </c>
      <c r="L556" s="174">
        <v>12797.02</v>
      </c>
      <c r="M556" s="19">
        <v>37.369999999999997</v>
      </c>
      <c r="N556" s="9" t="str">
        <f>UPPER(TEXT(TablaCosechas[[#This Row],[COSECHA]],"MMMM"))</f>
        <v>NOVIEMBRE</v>
      </c>
      <c r="O556" s="9" t="str">
        <f>IF(A556="DO 29","BAP",IF(A556="RO 14","BAP",(VLOOKUP(TablaCosechas[[#This Row],[COD]],Tabla7[[CODIGO]:[CERTIFICACION]],3,0))))</f>
        <v>CONVENCIONAL</v>
      </c>
      <c r="P556" s="180">
        <f>+L556-E556</f>
        <v>-302.97999999999956</v>
      </c>
      <c r="Q556" s="181">
        <f>+M556-F556</f>
        <v>-0.63000000000000256</v>
      </c>
      <c r="R556" s="9"/>
    </row>
    <row r="557" spans="1:18" x14ac:dyDescent="0.25">
      <c r="A557" s="9" t="s">
        <v>260</v>
      </c>
      <c r="B557" s="9">
        <f>ROW() - ROW(TablaCosechas[[#Headers],[ID]]) - 4</f>
        <v>552</v>
      </c>
      <c r="C557" s="9" t="str">
        <f>LEFT(A557,2)</f>
        <v>DO</v>
      </c>
      <c r="D557" s="182" t="s">
        <v>367</v>
      </c>
      <c r="E557" s="178">
        <v>8200</v>
      </c>
      <c r="F557" s="19">
        <v>27</v>
      </c>
      <c r="G557" s="195">
        <v>45983</v>
      </c>
      <c r="H557" s="9" t="str">
        <f>VLOOKUP(TablaCosechas[[#This Row],[COD]],DATOS!$E$3:$F$27,2,0)</f>
        <v>DORADO</v>
      </c>
      <c r="I557" s="9" t="str">
        <f>RIGHT(TablaCosechas[[#This Row],[SECTOR/PISCINA]],2)</f>
        <v>03</v>
      </c>
      <c r="J557" s="9" t="str">
        <f>VLOOKUP(TablaCosechas[[#This Row],[COD]],Tabla7[#All],4,0)</f>
        <v>JOSE CEDEÑO</v>
      </c>
      <c r="K557" s="179">
        <f>(TablaCosechas[[#This Row],[libras planta]]*454)/M557</f>
        <v>123779.54532967032</v>
      </c>
      <c r="L557" s="174">
        <v>7939.34</v>
      </c>
      <c r="M557" s="19">
        <v>29.12</v>
      </c>
      <c r="N557" s="9" t="str">
        <f>UPPER(TEXT(TablaCosechas[[#This Row],[COSECHA]],"MMMM"))</f>
        <v>NOVIEMBRE</v>
      </c>
      <c r="O557" s="9" t="str">
        <f>IF(A557="DO 29","BAP",IF(A557="RO 14","BAP",(VLOOKUP(TablaCosechas[[#This Row],[COD]],Tabla7[[CODIGO]:[CERTIFICACION]],3,0))))</f>
        <v>ASC</v>
      </c>
      <c r="P557" s="180">
        <f>+L557-E557</f>
        <v>-260.65999999999985</v>
      </c>
      <c r="Q557" s="181">
        <f>+M557-F557</f>
        <v>2.120000000000001</v>
      </c>
      <c r="R557" s="9"/>
    </row>
    <row r="558" spans="1:18" x14ac:dyDescent="0.25">
      <c r="A558" s="9" t="s">
        <v>330</v>
      </c>
      <c r="B558" s="9">
        <f>ROW() - ROW(TablaCosechas[[#Headers],[ID]]) - 4</f>
        <v>553</v>
      </c>
      <c r="C558" s="9" t="str">
        <f>LEFT(A558,2)</f>
        <v>WA</v>
      </c>
      <c r="D558" s="182" t="s">
        <v>366</v>
      </c>
      <c r="E558" s="178">
        <v>34100</v>
      </c>
      <c r="F558" s="19">
        <v>20.5</v>
      </c>
      <c r="G558" s="195">
        <v>45984</v>
      </c>
      <c r="H558" s="9" t="str">
        <f>VLOOKUP(TablaCosechas[[#This Row],[COD]],DATOS!$E$3:$F$27,2,0)</f>
        <v>WAHOO</v>
      </c>
      <c r="I558" s="9" t="str">
        <f>RIGHT(TablaCosechas[[#This Row],[SECTOR/PISCINA]],2)</f>
        <v>38</v>
      </c>
      <c r="J558" s="9" t="str">
        <f>VLOOKUP(TablaCosechas[[#This Row],[COD]],Tabla7[#All],4,0)</f>
        <v>JUNIOR ESQUIVEL</v>
      </c>
      <c r="K558" s="179">
        <f>(TablaCosechas[[#This Row],[libras planta]]*454)/M558</f>
        <v>757779.55436893203</v>
      </c>
      <c r="L558" s="174">
        <v>34383.83</v>
      </c>
      <c r="M558" s="19">
        <v>20.6</v>
      </c>
      <c r="N558" s="9" t="str">
        <f>UPPER(TEXT(TablaCosechas[[#This Row],[COSECHA]],"MMMM"))</f>
        <v>NOVIEMBRE</v>
      </c>
      <c r="O558" s="9" t="str">
        <f>IF(A558="DO 29","BAP",IF(A558="RO 14","BAP",(VLOOKUP(TablaCosechas[[#This Row],[COD]],Tabla7[[CODIGO]:[CERTIFICACION]],3,0))))</f>
        <v>CONVENCIONAL</v>
      </c>
      <c r="P558" s="180">
        <f>+L558-E558</f>
        <v>283.83000000000175</v>
      </c>
      <c r="Q558" s="181">
        <f>+M558-F558</f>
        <v>0.10000000000000142</v>
      </c>
      <c r="R558" s="9"/>
    </row>
    <row r="559" spans="1:18" x14ac:dyDescent="0.25">
      <c r="A559" s="9" t="s">
        <v>248</v>
      </c>
      <c r="B559" s="9">
        <f>ROW() - ROW(TablaCosechas[[#Headers],[ID]]) - 4</f>
        <v>554</v>
      </c>
      <c r="C559" s="9" t="str">
        <f>LEFT(A559,2)</f>
        <v>TA</v>
      </c>
      <c r="D559" s="182" t="s">
        <v>366</v>
      </c>
      <c r="E559" s="178">
        <v>65400</v>
      </c>
      <c r="F559" s="19">
        <v>30</v>
      </c>
      <c r="G559" s="195">
        <v>45984</v>
      </c>
      <c r="H559" s="9" t="str">
        <f>VLOOKUP(TablaCosechas[[#This Row],[COD]],DATOS!$E$3:$F$27,2,0)</f>
        <v>TAMBULERO</v>
      </c>
      <c r="I559" s="9" t="str">
        <f>RIGHT(TablaCosechas[[#This Row],[SECTOR/PISCINA]],2)</f>
        <v>16</v>
      </c>
      <c r="J559" s="9" t="str">
        <f>VLOOKUP(TablaCosechas[[#This Row],[COD]],Tabla7[#All],4,0)</f>
        <v>ALFONSO GRUNAUER</v>
      </c>
      <c r="K559" s="179">
        <f>(TablaCosechas[[#This Row],[libras planta]]*454)/M559</f>
        <v>971111.26716081216</v>
      </c>
      <c r="L559" s="215">
        <v>66373.53</v>
      </c>
      <c r="M559" s="19">
        <v>31.03</v>
      </c>
      <c r="N559" s="9" t="str">
        <f>UPPER(TEXT(TablaCosechas[[#This Row],[COSECHA]],"MMMM"))</f>
        <v>NOVIEMBRE</v>
      </c>
      <c r="O559" s="9" t="str">
        <f>IF(A559="DO 29","BAP",IF(A559="RO 14","BAP",(VLOOKUP(TablaCosechas[[#This Row],[COD]],Tabla7[[CODIGO]:[CERTIFICACION]],3,0))))</f>
        <v>CONVENCIONAL</v>
      </c>
      <c r="P559" s="180">
        <f>+L559-E559</f>
        <v>973.52999999999884</v>
      </c>
      <c r="Q559" s="181">
        <f>+M559-F559</f>
        <v>1.0300000000000011</v>
      </c>
      <c r="R559" s="9"/>
    </row>
    <row r="560" spans="1:18" x14ac:dyDescent="0.25">
      <c r="A560" s="9" t="s">
        <v>262</v>
      </c>
      <c r="B560" s="9">
        <f>ROW() - ROW(TablaCosechas[[#Headers],[ID]]) - 4</f>
        <v>555</v>
      </c>
      <c r="C560" s="9" t="str">
        <f>LEFT(A560,2)</f>
        <v>ME</v>
      </c>
      <c r="D560" s="182" t="s">
        <v>366</v>
      </c>
      <c r="E560" s="178">
        <v>9100</v>
      </c>
      <c r="F560" s="19">
        <v>24</v>
      </c>
      <c r="G560" s="195">
        <v>45984</v>
      </c>
      <c r="H560" s="9" t="str">
        <f>VLOOKUP(TablaCosechas[[#This Row],[COD]],DATOS!$E$3:$F$27,2,0)</f>
        <v>MERO</v>
      </c>
      <c r="I560" s="9" t="str">
        <f>RIGHT(TablaCosechas[[#This Row],[SECTOR/PISCINA]],2)</f>
        <v>16</v>
      </c>
      <c r="J560" s="9" t="str">
        <f>VLOOKUP(TablaCosechas[[#This Row],[COD]],Tabla7[#All],4,0)</f>
        <v>NESTOR MOGOLLON</v>
      </c>
      <c r="K560" s="179">
        <f>(TablaCosechas[[#This Row],[libras planta]]*454)/M560</f>
        <v>208632.18884892086</v>
      </c>
      <c r="L560" s="174">
        <v>10220.219999999999</v>
      </c>
      <c r="M560" s="19">
        <v>22.24</v>
      </c>
      <c r="N560" s="9" t="str">
        <f>UPPER(TEXT(TablaCosechas[[#This Row],[COSECHA]],"MMMM"))</f>
        <v>NOVIEMBRE</v>
      </c>
      <c r="O560" s="9" t="str">
        <f>IF(A560="DO 29","BAP",IF(A560="RO 14","BAP",(VLOOKUP(TablaCosechas[[#This Row],[COD]],Tabla7[[CODIGO]:[CERTIFICACION]],3,0))))</f>
        <v>CONVENCIONAL</v>
      </c>
      <c r="P560" s="180">
        <f>+L560-E560</f>
        <v>1120.2199999999993</v>
      </c>
      <c r="Q560" s="181">
        <f>+M560-F560</f>
        <v>-1.7600000000000016</v>
      </c>
      <c r="R560" s="9"/>
    </row>
    <row r="561" spans="1:18" x14ac:dyDescent="0.25">
      <c r="A561" s="9" t="s">
        <v>268</v>
      </c>
      <c r="B561" s="9">
        <f>ROW() - ROW(TablaCosechas[[#Headers],[ID]]) - 4</f>
        <v>556</v>
      </c>
      <c r="C561" s="9" t="str">
        <f>LEFT(A561,2)</f>
        <v>MA</v>
      </c>
      <c r="D561" s="182" t="s">
        <v>367</v>
      </c>
      <c r="E561" s="178">
        <v>15000</v>
      </c>
      <c r="F561" s="19">
        <v>30</v>
      </c>
      <c r="G561" s="195">
        <v>45984</v>
      </c>
      <c r="H561" s="9" t="str">
        <f>VLOOKUP(TablaCosechas[[#This Row],[COD]],DATOS!$E$3:$F$27,2,0)</f>
        <v>MANTARRAYA</v>
      </c>
      <c r="I561" s="9" t="str">
        <f>RIGHT(TablaCosechas[[#This Row],[SECTOR/PISCINA]],2)</f>
        <v>10</v>
      </c>
      <c r="J561" s="9" t="str">
        <f>VLOOKUP(TablaCosechas[[#This Row],[COD]],Tabla7[#All],4,0)</f>
        <v>GUSTAVO CARRASCO</v>
      </c>
      <c r="K561" s="179">
        <f>(TablaCosechas[[#This Row],[libras planta]]*454)/M561</f>
        <v>196838.84173580093</v>
      </c>
      <c r="L561" s="174">
        <v>13587.95</v>
      </c>
      <c r="M561" s="19">
        <v>31.34</v>
      </c>
      <c r="N561" s="9" t="str">
        <f>UPPER(TEXT(TablaCosechas[[#This Row],[COSECHA]],"MMMM"))</f>
        <v>NOVIEMBRE</v>
      </c>
      <c r="O561" s="9" t="str">
        <f>IF(A561="DO 29","BAP",IF(A561="RO 14","BAP",(VLOOKUP(TablaCosechas[[#This Row],[COD]],Tabla7[[CODIGO]:[CERTIFICACION]],3,0))))</f>
        <v>ASC</v>
      </c>
      <c r="P561" s="180">
        <f>+L561-E561</f>
        <v>-1412.0499999999993</v>
      </c>
      <c r="Q561" s="181">
        <f>+M561-F561</f>
        <v>1.3399999999999999</v>
      </c>
      <c r="R561" s="9"/>
    </row>
    <row r="562" spans="1:18" x14ac:dyDescent="0.25">
      <c r="A562" s="9" t="s">
        <v>312</v>
      </c>
      <c r="B562" s="9">
        <f>ROW() - ROW(TablaCosechas[[#Headers],[ID]]) - 4</f>
        <v>557</v>
      </c>
      <c r="C562" s="9" t="str">
        <f>LEFT(A562,2)</f>
        <v>GT</v>
      </c>
      <c r="D562" s="182" t="s">
        <v>367</v>
      </c>
      <c r="E562" s="178">
        <v>7600</v>
      </c>
      <c r="F562" s="19">
        <v>15</v>
      </c>
      <c r="G562" s="195">
        <v>45984</v>
      </c>
      <c r="H562" s="9" t="str">
        <f>VLOOKUP(TablaCosechas[[#This Row],[COD]],DATOS!$E$3:$F$27,2,0)</f>
        <v>GUATO</v>
      </c>
      <c r="I562" s="9" t="str">
        <f>RIGHT(TablaCosechas[[#This Row],[SECTOR/PISCINA]],2)</f>
        <v>12</v>
      </c>
      <c r="J562" s="9" t="str">
        <f>VLOOKUP(TablaCosechas[[#This Row],[COD]],Tabla7[#All],4,0)</f>
        <v>JULIO SANTOS</v>
      </c>
      <c r="K562" s="179">
        <f>(TablaCosechas[[#This Row],[libras planta]]*454)/M562</f>
        <v>202709.58124999999</v>
      </c>
      <c r="L562" s="174">
        <v>7143.95</v>
      </c>
      <c r="M562" s="19">
        <v>16</v>
      </c>
      <c r="N562" s="9" t="str">
        <f>UPPER(TEXT(TablaCosechas[[#This Row],[COSECHA]],"MMMM"))</f>
        <v>NOVIEMBRE</v>
      </c>
      <c r="O562" s="9" t="str">
        <f>IF(A562="DO 29","BAP",IF(A562="RO 14","BAP",(VLOOKUP(TablaCosechas[[#This Row],[COD]],Tabla7[[CODIGO]:[CERTIFICACION]],3,0))))</f>
        <v>CONVENCIONAL</v>
      </c>
      <c r="P562" s="180">
        <f>+L562-E562</f>
        <v>-456.05000000000018</v>
      </c>
      <c r="Q562" s="181">
        <f>+M562-F562</f>
        <v>1</v>
      </c>
      <c r="R562" s="9"/>
    </row>
    <row r="563" spans="1:18" x14ac:dyDescent="0.25">
      <c r="A563" s="9" t="s">
        <v>253</v>
      </c>
      <c r="B563" s="9">
        <f>ROW() - ROW(TablaCosechas[[#Headers],[ID]]) - 4</f>
        <v>558</v>
      </c>
      <c r="C563" s="9" t="str">
        <f>LEFT(A563,2)</f>
        <v>DO</v>
      </c>
      <c r="D563" s="182" t="s">
        <v>366</v>
      </c>
      <c r="E563" s="178">
        <v>22100</v>
      </c>
      <c r="F563" s="19">
        <v>40</v>
      </c>
      <c r="G563" s="195">
        <v>45984</v>
      </c>
      <c r="H563" s="9" t="str">
        <f>VLOOKUP(TablaCosechas[[#This Row],[COD]],DATOS!$E$3:$F$27,2,0)</f>
        <v>DORADO</v>
      </c>
      <c r="I563" s="9" t="str">
        <f>RIGHT(TablaCosechas[[#This Row],[SECTOR/PISCINA]],2)</f>
        <v>16</v>
      </c>
      <c r="J563" s="9" t="str">
        <f>VLOOKUP(TablaCosechas[[#This Row],[COD]],Tabla7[#All],4,0)</f>
        <v>JOSE CEDEÑO</v>
      </c>
      <c r="K563" s="179">
        <f>(TablaCosechas[[#This Row],[libras planta]]*454)/M563</f>
        <v>248233.48781725889</v>
      </c>
      <c r="L563" s="174">
        <v>21542.73</v>
      </c>
      <c r="M563" s="19">
        <v>39.4</v>
      </c>
      <c r="N563" s="9" t="str">
        <f>UPPER(TEXT(TablaCosechas[[#This Row],[COSECHA]],"MMMM"))</f>
        <v>NOVIEMBRE</v>
      </c>
      <c r="O563" s="9" t="str">
        <f>IF(A563="DO 29","BAP",IF(A563="RO 14","BAP",(VLOOKUP(TablaCosechas[[#This Row],[COD]],Tabla7[[CODIGO]:[CERTIFICACION]],3,0))))</f>
        <v>ASC</v>
      </c>
      <c r="P563" s="180">
        <f>+L563-E563</f>
        <v>-557.27000000000044</v>
      </c>
      <c r="Q563" s="181">
        <f>+M563-F563</f>
        <v>-0.60000000000000142</v>
      </c>
      <c r="R563" s="9"/>
    </row>
    <row r="564" spans="1:18" x14ac:dyDescent="0.25">
      <c r="A564" s="9" t="s">
        <v>320</v>
      </c>
      <c r="B564" s="9">
        <f>ROW() - ROW(TablaCosechas[[#Headers],[ID]]) - 4</f>
        <v>559</v>
      </c>
      <c r="C564" s="9" t="str">
        <f>LEFT(A564,2)</f>
        <v>CA</v>
      </c>
      <c r="D564" s="182" t="s">
        <v>367</v>
      </c>
      <c r="E564" s="178">
        <v>3500</v>
      </c>
      <c r="F564" s="19">
        <v>20</v>
      </c>
      <c r="G564" s="195">
        <v>45984</v>
      </c>
      <c r="H564" s="9" t="str">
        <f>VLOOKUP(TablaCosechas[[#This Row],[COD]],DATOS!$E$3:$F$27,2,0)</f>
        <v>CATANUDA</v>
      </c>
      <c r="I564" s="9" t="str">
        <f>RIGHT(TablaCosechas[[#This Row],[SECTOR/PISCINA]],2)</f>
        <v>21</v>
      </c>
      <c r="J564" s="9" t="str">
        <f>VLOOKUP(TablaCosechas[[#This Row],[COD]],Tabla7[#All],4,0)</f>
        <v>VICTOR QUINTANA</v>
      </c>
      <c r="K564" s="179">
        <f>(TablaCosechas[[#This Row],[libras planta]]*454)/M564</f>
        <v>80276.547058823533</v>
      </c>
      <c r="L564" s="174">
        <v>3607.14</v>
      </c>
      <c r="M564" s="19">
        <v>20.399999999999999</v>
      </c>
      <c r="N564" s="9" t="str">
        <f>UPPER(TEXT(TablaCosechas[[#This Row],[COSECHA]],"MMMM"))</f>
        <v>NOVIEMBRE</v>
      </c>
      <c r="O564" s="9" t="str">
        <f>IF(A564="DO 29","BAP",IF(A564="RO 14","BAP",(VLOOKUP(TablaCosechas[[#This Row],[COD]],Tabla7[[CODIGO]:[CERTIFICACION]],3,0))))</f>
        <v>ASC</v>
      </c>
      <c r="P564" s="180">
        <f>+L564-E564</f>
        <v>107.13999999999987</v>
      </c>
      <c r="Q564" s="181">
        <f>+M564-F564</f>
        <v>0.39999999999999858</v>
      </c>
      <c r="R564" s="9"/>
    </row>
    <row r="565" spans="1:18" x14ac:dyDescent="0.25">
      <c r="A565" s="9" t="s">
        <v>295</v>
      </c>
      <c r="B565" s="9">
        <f>ROW() - ROW(TablaCosechas[[#Headers],[ID]]) - 4</f>
        <v>560</v>
      </c>
      <c r="C565" s="9" t="str">
        <f>LEFT(A565,2)</f>
        <v>CA</v>
      </c>
      <c r="D565" s="182" t="s">
        <v>367</v>
      </c>
      <c r="E565" s="178">
        <v>3500</v>
      </c>
      <c r="F565" s="19">
        <v>18</v>
      </c>
      <c r="G565" s="195">
        <v>45984</v>
      </c>
      <c r="H565" s="9" t="str">
        <f>VLOOKUP(TablaCosechas[[#This Row],[COD]],DATOS!$E$3:$F$26,2,0)</f>
        <v>CATANUDA</v>
      </c>
      <c r="I565" s="9" t="str">
        <f>RIGHT(TablaCosechas[[#This Row],[SECTOR/PISCINA]],2)</f>
        <v>14</v>
      </c>
      <c r="J565" s="9" t="str">
        <f>VLOOKUP(TablaCosechas[[#This Row],[COD]],Tabla7[#All],4,0)</f>
        <v>VICTOR QUINTANA</v>
      </c>
      <c r="K565" s="179">
        <f>(TablaCosechas[[#This Row],[libras planta]]*454)/M565</f>
        <v>83929.872023809527</v>
      </c>
      <c r="L565" s="174">
        <v>3726.93</v>
      </c>
      <c r="M565" s="19">
        <v>20.16</v>
      </c>
      <c r="N565" s="9" t="str">
        <f>UPPER(TEXT(TablaCosechas[[#This Row],[COSECHA]],"MMMM"))</f>
        <v>NOVIEMBRE</v>
      </c>
      <c r="O565" s="9" t="str">
        <f>IF(A565="DO 29","BAP",IF(A565="RO 14","BAP",(VLOOKUP(TablaCosechas[[#This Row],[COD]],Tabla7[[CODIGO]:[CERTIFICACION]],3,0))))</f>
        <v>ASC</v>
      </c>
      <c r="P565" s="180">
        <f>+L565-E565</f>
        <v>226.92999999999984</v>
      </c>
      <c r="Q565" s="181">
        <f>+M565-F565</f>
        <v>2.16</v>
      </c>
      <c r="R565" s="9"/>
    </row>
    <row r="566" spans="1:18" x14ac:dyDescent="0.25">
      <c r="A566" s="9" t="s">
        <v>371</v>
      </c>
      <c r="B566" s="9">
        <f>ROW() - ROW(TablaCosechas[[#Headers],[ID]]) - 4</f>
        <v>561</v>
      </c>
      <c r="C566" s="9" t="str">
        <f>LEFT(A566,2)</f>
        <v>WA</v>
      </c>
      <c r="D566" s="182" t="s">
        <v>366</v>
      </c>
      <c r="E566" s="178">
        <f>21800+5800</f>
        <v>27600</v>
      </c>
      <c r="F566" s="19">
        <v>23</v>
      </c>
      <c r="G566" s="195">
        <v>45985</v>
      </c>
      <c r="H566" s="9" t="str">
        <f>VLOOKUP(TablaCosechas[[#This Row],[COD]],DATOS!$E$3:$F$27,2,0)</f>
        <v>WAHOO</v>
      </c>
      <c r="I566" s="9" t="str">
        <f>RIGHT(TablaCosechas[[#This Row],[SECTOR/PISCINA]],2)</f>
        <v>17</v>
      </c>
      <c r="J566" s="9" t="str">
        <f>VLOOKUP(TablaCosechas[[#This Row],[COD]],Tabla7[#All],4,0)</f>
        <v>JUNIOR ESQUIVEL</v>
      </c>
      <c r="K566" s="179">
        <f>(TablaCosechas[[#This Row],[libras planta]]*454)/M566</f>
        <v>483040.92250922509</v>
      </c>
      <c r="L566" s="174">
        <f>17266.8+5800</f>
        <v>23066.799999999999</v>
      </c>
      <c r="M566" s="19">
        <v>21.68</v>
      </c>
      <c r="N566" s="9" t="str">
        <f>UPPER(TEXT(TablaCosechas[[#This Row],[COSECHA]],"MMMM"))</f>
        <v>NOVIEMBRE</v>
      </c>
      <c r="O566" s="9" t="str">
        <f>IF(A566="DO 29","BAP",IF(A566="RO 14","BAP",(VLOOKUP(TablaCosechas[[#This Row],[COD]],Tabla7[[CODIGO]:[CERTIFICACION]],3,0))))</f>
        <v>CONVENCIONAL</v>
      </c>
      <c r="P566" s="180">
        <f>+L566-E566</f>
        <v>-4533.2000000000007</v>
      </c>
      <c r="Q566" s="181">
        <f>+M566-F566</f>
        <v>-1.3200000000000003</v>
      </c>
      <c r="R566" s="9"/>
    </row>
    <row r="567" spans="1:18" x14ac:dyDescent="0.25">
      <c r="A567" s="9" t="s">
        <v>303</v>
      </c>
      <c r="B567" s="9">
        <f>ROW() - ROW(TablaCosechas[[#Headers],[ID]]) - 4</f>
        <v>562</v>
      </c>
      <c r="C567" s="9" t="str">
        <f>LEFT(A567,2)</f>
        <v>TI</v>
      </c>
      <c r="D567" s="182" t="s">
        <v>367</v>
      </c>
      <c r="E567" s="178">
        <v>18000</v>
      </c>
      <c r="F567" s="19">
        <v>23</v>
      </c>
      <c r="G567" s="195">
        <v>45985</v>
      </c>
      <c r="H567" s="9" t="str">
        <f>VLOOKUP(TablaCosechas[[#This Row],[COD]],DATOS!$E$3:$F$27,2,0)</f>
        <v>TIBURON</v>
      </c>
      <c r="I567" s="9" t="str">
        <f>RIGHT(TablaCosechas[[#This Row],[SECTOR/PISCINA]],2)</f>
        <v>16</v>
      </c>
      <c r="J567" s="9" t="str">
        <f>VLOOKUP(TablaCosechas[[#This Row],[COD]],Tabla7[#All],4,0)</f>
        <v>ALFONSO GRUNAUER</v>
      </c>
      <c r="K567" s="179">
        <f>(TablaCosechas[[#This Row],[libras planta]]*454)/M567</f>
        <v>356887.93548387097</v>
      </c>
      <c r="L567" s="174">
        <v>19007.82</v>
      </c>
      <c r="M567" s="19">
        <v>24.18</v>
      </c>
      <c r="N567" s="9" t="str">
        <f>UPPER(TEXT(TablaCosechas[[#This Row],[COSECHA]],"MMMM"))</f>
        <v>NOVIEMBRE</v>
      </c>
      <c r="O567" s="9" t="str">
        <f>IF(A567="DO 29","BAP",IF(A567="RO 14","BAP",(VLOOKUP(TablaCosechas[[#This Row],[COD]],Tabla7[[CODIGO]:[CERTIFICACION]],3,0))))</f>
        <v>ASC</v>
      </c>
      <c r="P567" s="180">
        <f>+L567-E567</f>
        <v>1007.8199999999997</v>
      </c>
      <c r="Q567" s="181">
        <f>+M567-F567</f>
        <v>1.1799999999999997</v>
      </c>
      <c r="R567" s="9"/>
    </row>
    <row r="568" spans="1:18" x14ac:dyDescent="0.25">
      <c r="A568" s="9" t="s">
        <v>263</v>
      </c>
      <c r="B568" s="9">
        <f>ROW() - ROW(TablaCosechas[[#Headers],[ID]]) - 4</f>
        <v>563</v>
      </c>
      <c r="C568" s="9" t="str">
        <f>LEFT(A568,2)</f>
        <v>PA</v>
      </c>
      <c r="D568" s="182" t="s">
        <v>367</v>
      </c>
      <c r="E568" s="178">
        <v>4200</v>
      </c>
      <c r="F568" s="19">
        <v>20</v>
      </c>
      <c r="G568" s="195">
        <v>45985</v>
      </c>
      <c r="H568" s="9" t="str">
        <f>VLOOKUP(TablaCosechas[[#This Row],[COD]],DATOS!$E$3:$F$27,2,0)</f>
        <v>PAMPANO</v>
      </c>
      <c r="I568" s="9" t="str">
        <f>RIGHT(TablaCosechas[[#This Row],[SECTOR/PISCINA]],2)</f>
        <v>02</v>
      </c>
      <c r="J568" s="9" t="str">
        <f>VLOOKUP(TablaCosechas[[#This Row],[COD]],Tabla7[#All],4,0)</f>
        <v>GUSTAVO CARRASCO</v>
      </c>
      <c r="K568" s="179">
        <f>(TablaCosechas[[#This Row],[libras planta]]*454)/M568</f>
        <v>88866.874152952572</v>
      </c>
      <c r="L568" s="174">
        <v>4044.03</v>
      </c>
      <c r="M568" s="19">
        <v>20.66</v>
      </c>
      <c r="N568" s="9" t="str">
        <f>UPPER(TEXT(TablaCosechas[[#This Row],[COSECHA]],"MMMM"))</f>
        <v>NOVIEMBRE</v>
      </c>
      <c r="O568" s="9" t="str">
        <f>IF(A568="DO 29","BAP",IF(A568="RO 14","BAP",(VLOOKUP(TablaCosechas[[#This Row],[COD]],Tabla7[[CODIGO]:[CERTIFICACION]],3,0))))</f>
        <v>ASC</v>
      </c>
      <c r="P568" s="180">
        <f>+L568-E568</f>
        <v>-155.9699999999998</v>
      </c>
      <c r="Q568" s="181">
        <f>+M568-F568</f>
        <v>0.66000000000000014</v>
      </c>
      <c r="R568" s="9"/>
    </row>
    <row r="569" spans="1:18" x14ac:dyDescent="0.25">
      <c r="A569" s="9" t="s">
        <v>266</v>
      </c>
      <c r="B569" s="9">
        <f>ROW() - ROW(TablaCosechas[[#Headers],[ID]]) - 4</f>
        <v>564</v>
      </c>
      <c r="C569" s="9" t="str">
        <f>LEFT(A569,2)</f>
        <v>ME</v>
      </c>
      <c r="D569" s="182" t="s">
        <v>366</v>
      </c>
      <c r="E569" s="178">
        <f>10000+2800</f>
        <v>12800</v>
      </c>
      <c r="F569" s="19">
        <v>23</v>
      </c>
      <c r="G569" s="195">
        <v>45985</v>
      </c>
      <c r="H569" s="9" t="str">
        <f>VLOOKUP(TablaCosechas[[#This Row],[COD]],DATOS!$E$3:$F$27,2,0)</f>
        <v>MERO</v>
      </c>
      <c r="I569" s="9" t="str">
        <f>RIGHT(TablaCosechas[[#This Row],[SECTOR/PISCINA]],2)</f>
        <v>11</v>
      </c>
      <c r="J569" s="9" t="str">
        <f>VLOOKUP(TablaCosechas[[#This Row],[COD]],Tabla7[#All],4,0)</f>
        <v>NESTOR MOGOLLON</v>
      </c>
      <c r="K569" s="179">
        <f>(TablaCosechas[[#This Row],[libras planta]]*454)/M569</f>
        <v>364988.53686200379</v>
      </c>
      <c r="L569" s="174">
        <v>12758.52</v>
      </c>
      <c r="M569" s="19">
        <v>15.87</v>
      </c>
      <c r="N569" s="9" t="str">
        <f>UPPER(TEXT(TablaCosechas[[#This Row],[COSECHA]],"MMMM"))</f>
        <v>NOVIEMBRE</v>
      </c>
      <c r="O569" s="9" t="str">
        <f>IF(A569="DO 29","BAP",IF(A569="RO 14","BAP",(VLOOKUP(TablaCosechas[[#This Row],[COD]],Tabla7[[CODIGO]:[CERTIFICACION]],3,0))))</f>
        <v>CONVENCIONAL</v>
      </c>
      <c r="P569" s="180">
        <f>+L569-E569</f>
        <v>-41.479999999999563</v>
      </c>
      <c r="Q569" s="181">
        <f>+M569-F569</f>
        <v>-7.1300000000000008</v>
      </c>
      <c r="R569" s="9"/>
    </row>
    <row r="570" spans="1:18" x14ac:dyDescent="0.25">
      <c r="A570" s="9" t="s">
        <v>280</v>
      </c>
      <c r="B570" s="9">
        <f>ROW() - ROW(TablaCosechas[[#Headers],[ID]]) - 4</f>
        <v>565</v>
      </c>
      <c r="C570" s="9" t="str">
        <f>LEFT(A570,2)</f>
        <v>GT</v>
      </c>
      <c r="D570" s="182" t="s">
        <v>367</v>
      </c>
      <c r="E570" s="178">
        <v>4800</v>
      </c>
      <c r="F570" s="19">
        <v>21</v>
      </c>
      <c r="G570" s="195">
        <v>45985</v>
      </c>
      <c r="H570" s="9" t="str">
        <f>VLOOKUP(TablaCosechas[[#This Row],[COD]],DATOS!$E$3:$F$26,2,0)</f>
        <v>GUATO</v>
      </c>
      <c r="I570" s="9" t="str">
        <f>RIGHT(TablaCosechas[[#This Row],[SECTOR/PISCINA]],2)</f>
        <v>01</v>
      </c>
      <c r="J570" s="9" t="str">
        <f>VLOOKUP(TablaCosechas[[#This Row],[COD]],Tabla7[#All],4,0)</f>
        <v>JULIO SANTOS</v>
      </c>
      <c r="K570" s="179">
        <f>(TablaCosechas[[#This Row],[libras planta]]*454)/M570</f>
        <v>98572.2</v>
      </c>
      <c r="L570" s="174">
        <v>4928.6099999999997</v>
      </c>
      <c r="M570" s="19">
        <v>22.7</v>
      </c>
      <c r="N570" s="9" t="str">
        <f>UPPER(TEXT(TablaCosechas[[#This Row],[COSECHA]],"MMMM"))</f>
        <v>NOVIEMBRE</v>
      </c>
      <c r="O570" s="9" t="str">
        <f>IF(A570="DO 29","BAP",IF(A570="RO 14","BAP",(VLOOKUP(TablaCosechas[[#This Row],[COD]],Tabla7[[CODIGO]:[CERTIFICACION]],3,0))))</f>
        <v>CONVENCIONAL</v>
      </c>
      <c r="P570" s="180">
        <f>+L570-E570</f>
        <v>128.60999999999967</v>
      </c>
      <c r="Q570" s="181">
        <f>+M570-F570</f>
        <v>1.6999999999999993</v>
      </c>
      <c r="R570" s="9"/>
    </row>
    <row r="571" spans="1:18" x14ac:dyDescent="0.25">
      <c r="A571" s="9" t="s">
        <v>307</v>
      </c>
      <c r="B571" s="9">
        <f>ROW() - ROW(TablaCosechas[[#Headers],[ID]]) - 4</f>
        <v>566</v>
      </c>
      <c r="C571" s="9" t="str">
        <f>LEFT(A571,2)</f>
        <v>DO</v>
      </c>
      <c r="D571" s="182" t="s">
        <v>367</v>
      </c>
      <c r="E571" s="178">
        <v>25000</v>
      </c>
      <c r="F571" s="19">
        <v>29</v>
      </c>
      <c r="G571" s="195">
        <v>45985</v>
      </c>
      <c r="H571" s="9" t="str">
        <f>VLOOKUP(TablaCosechas[[#This Row],[COD]],DATOS!$E$3:$F$27,2,0)</f>
        <v>DORADO</v>
      </c>
      <c r="I571" s="9" t="str">
        <f>RIGHT(TablaCosechas[[#This Row],[SECTOR/PISCINA]],2)</f>
        <v>24</v>
      </c>
      <c r="J571" s="9" t="str">
        <f>VLOOKUP(TablaCosechas[[#This Row],[COD]],Tabla7[#All],4,0)</f>
        <v>JOSE CEDEÑO</v>
      </c>
      <c r="K571" s="179">
        <f>(TablaCosechas[[#This Row],[libras planta]]*454)/M571</f>
        <v>398958.6308864266</v>
      </c>
      <c r="L571" s="174">
        <v>25378.69</v>
      </c>
      <c r="M571" s="19">
        <v>28.88</v>
      </c>
      <c r="N571" s="9" t="str">
        <f>UPPER(TEXT(TablaCosechas[[#This Row],[COSECHA]],"MMMM"))</f>
        <v>NOVIEMBRE</v>
      </c>
      <c r="O571" s="9" t="str">
        <f>IF(A571="DO 29","BAP",IF(A571="RO 14","BAP",(VLOOKUP(TablaCosechas[[#This Row],[COD]],Tabla7[[CODIGO]:[CERTIFICACION]],3,0))))</f>
        <v>ASC</v>
      </c>
      <c r="P571" s="180">
        <f>+L571-E571</f>
        <v>378.68999999999869</v>
      </c>
      <c r="Q571" s="181">
        <f>+M571-F571</f>
        <v>-0.12000000000000099</v>
      </c>
      <c r="R571" s="9"/>
    </row>
    <row r="572" spans="1:18" x14ac:dyDescent="0.25">
      <c r="A572" s="9" t="s">
        <v>8</v>
      </c>
      <c r="B572" s="9">
        <f>ROW() - ROW(TablaCosechas[[#Headers],[ID]]) - 4</f>
        <v>567</v>
      </c>
      <c r="C572" s="9" t="str">
        <f>LEFT(A572,2)</f>
        <v>CH</v>
      </c>
      <c r="D572" s="182" t="s">
        <v>367</v>
      </c>
      <c r="E572" s="178">
        <v>10400</v>
      </c>
      <c r="F572" s="19">
        <v>21</v>
      </c>
      <c r="G572" s="195">
        <v>45985</v>
      </c>
      <c r="H572" s="9" t="str">
        <f>VLOOKUP(TablaCosechas[[#This Row],[COD]],DATOS!$E$3:$F$27,2,0)</f>
        <v>CHERNA</v>
      </c>
      <c r="I572" s="9" t="str">
        <f>RIGHT(TablaCosechas[[#This Row],[SECTOR/PISCINA]],2)</f>
        <v>02</v>
      </c>
      <c r="J572" s="9" t="str">
        <f>VLOOKUP(TablaCosechas[[#This Row],[COD]],Tabla7[#All],4,0)</f>
        <v>SANTIAGO OBRIEN</v>
      </c>
      <c r="K572" s="179">
        <f>(TablaCosechas[[#This Row],[libras planta]]*454)/M572</f>
        <v>232551.50259067357</v>
      </c>
      <c r="L572" s="174">
        <v>9886</v>
      </c>
      <c r="M572" s="19">
        <v>19.3</v>
      </c>
      <c r="N572" s="9" t="str">
        <f>UPPER(TEXT(TablaCosechas[[#This Row],[COSECHA]],"MMMM"))</f>
        <v>NOVIEMBRE</v>
      </c>
      <c r="O572" s="9" t="str">
        <f>IF(A572="DO 29","BAP",IF(A572="RO 14","BAP",(VLOOKUP(TablaCosechas[[#This Row],[COD]],Tabla7[[CODIGO]:[CERTIFICACION]],3,0))))</f>
        <v>ASC</v>
      </c>
      <c r="P572" s="180">
        <f>+L572-E572</f>
        <v>-514</v>
      </c>
      <c r="Q572" s="181">
        <f>+M572-F572</f>
        <v>-1.6999999999999993</v>
      </c>
      <c r="R572" s="9"/>
    </row>
    <row r="573" spans="1:18" x14ac:dyDescent="0.25">
      <c r="A573" s="9" t="s">
        <v>336</v>
      </c>
      <c r="B573" s="9">
        <f>ROW() - ROW(TablaCosechas[[#Headers],[ID]]) - 4</f>
        <v>568</v>
      </c>
      <c r="C573" s="9" t="str">
        <f>LEFT(A573,2)</f>
        <v>WA</v>
      </c>
      <c r="D573" s="182" t="s">
        <v>367</v>
      </c>
      <c r="E573" s="178">
        <v>6000</v>
      </c>
      <c r="F573" s="19">
        <v>16</v>
      </c>
      <c r="G573" s="195">
        <v>45986</v>
      </c>
      <c r="H573" s="9" t="str">
        <f>VLOOKUP(TablaCosechas[[#This Row],[COD]],DATOS!$E$3:$F$27,2,0)</f>
        <v>WAHOO</v>
      </c>
      <c r="I573" s="9" t="str">
        <f>RIGHT(TablaCosechas[[#This Row],[SECTOR/PISCINA]],2)</f>
        <v>12</v>
      </c>
      <c r="J573" s="9" t="str">
        <f>VLOOKUP(TablaCosechas[[#This Row],[COD]],Tabla7[#All],4,0)</f>
        <v>JUNIOR ESQUIVEL</v>
      </c>
      <c r="K573" s="179">
        <f>(TablaCosechas[[#This Row],[libras planta]]*454)/M573</f>
        <v>167977.42045454541</v>
      </c>
      <c r="L573" s="174">
        <v>6511.9</v>
      </c>
      <c r="M573" s="19">
        <v>17.600000000000001</v>
      </c>
      <c r="N573" s="9" t="str">
        <f>UPPER(TEXT(TablaCosechas[[#This Row],[COSECHA]],"MMMM"))</f>
        <v>NOVIEMBRE</v>
      </c>
      <c r="O573" s="9" t="str">
        <f>IF(A573="DO 29","BAP",IF(A573="RO 14","BAP",(VLOOKUP(TablaCosechas[[#This Row],[COD]],Tabla7[[CODIGO]:[CERTIFICACION]],3,0))))</f>
        <v>CONVENCIONAL</v>
      </c>
      <c r="P573" s="180">
        <f>+L573-E573</f>
        <v>511.89999999999964</v>
      </c>
      <c r="Q573" s="181">
        <f>+M573-F573</f>
        <v>1.6000000000000014</v>
      </c>
      <c r="R573" s="9"/>
    </row>
    <row r="574" spans="1:18" x14ac:dyDescent="0.25">
      <c r="A574" s="9" t="s">
        <v>305</v>
      </c>
      <c r="B574" s="9">
        <f>ROW() - ROW(TablaCosechas[[#Headers],[ID]]) - 4</f>
        <v>569</v>
      </c>
      <c r="C574" s="9" t="str">
        <f>LEFT(A574,2)</f>
        <v>TA</v>
      </c>
      <c r="D574" s="182" t="s">
        <v>367</v>
      </c>
      <c r="E574" s="178">
        <v>18500</v>
      </c>
      <c r="F574" s="19">
        <v>21</v>
      </c>
      <c r="G574" s="195">
        <v>45986</v>
      </c>
      <c r="H574" s="9" t="str">
        <f>VLOOKUP(TablaCosechas[[#This Row],[COD]],DATOS!$E$3:$F$27,2,0)</f>
        <v>TAMBULERO</v>
      </c>
      <c r="I574" s="9" t="str">
        <f>RIGHT(TablaCosechas[[#This Row],[SECTOR/PISCINA]],2)</f>
        <v>18</v>
      </c>
      <c r="J574" s="9" t="str">
        <f>VLOOKUP(TablaCosechas[[#This Row],[COD]],Tabla7[#All],4,0)</f>
        <v>ALFONSO GRUNAUER</v>
      </c>
      <c r="K574" s="179">
        <f>(TablaCosechas[[#This Row],[libras planta]]*454)/M574</f>
        <v>366353.5831932773</v>
      </c>
      <c r="L574" s="174">
        <v>19205.32</v>
      </c>
      <c r="M574" s="19">
        <v>23.8</v>
      </c>
      <c r="N574" s="9" t="str">
        <f>UPPER(TEXT(TablaCosechas[[#This Row],[COSECHA]],"MMMM"))</f>
        <v>NOVIEMBRE</v>
      </c>
      <c r="O574" s="9" t="str">
        <f>IF(A574="DO 29","BAP",IF(A574="RO 14","BAP",(VLOOKUP(TablaCosechas[[#This Row],[COD]],Tabla7[[CODIGO]:[CERTIFICACION]],3,0))))</f>
        <v>CONVENCIONAL</v>
      </c>
      <c r="P574" s="180">
        <f>+L574-E574</f>
        <v>705.31999999999971</v>
      </c>
      <c r="Q574" s="181">
        <f>+M574-F574</f>
        <v>2.8000000000000007</v>
      </c>
      <c r="R574" s="9"/>
    </row>
    <row r="575" spans="1:18" x14ac:dyDescent="0.25">
      <c r="A575" s="9" t="s">
        <v>314</v>
      </c>
      <c r="B575" s="9">
        <f>ROW() - ROW(TablaCosechas[[#Headers],[ID]]) - 4</f>
        <v>570</v>
      </c>
      <c r="C575" s="9" t="str">
        <f>LEFT(A575,2)</f>
        <v>GT</v>
      </c>
      <c r="D575" s="182" t="s">
        <v>367</v>
      </c>
      <c r="E575" s="178">
        <v>6000</v>
      </c>
      <c r="F575" s="19">
        <v>20</v>
      </c>
      <c r="G575" s="195">
        <v>45986</v>
      </c>
      <c r="H575" s="9" t="str">
        <f>VLOOKUP(TablaCosechas[[#This Row],[COD]],DATOS!$E$3:$F$26,2,0)</f>
        <v>GUATO</v>
      </c>
      <c r="I575" s="9" t="str">
        <f>RIGHT(TablaCosechas[[#This Row],[SECTOR/PISCINA]],2)</f>
        <v>10</v>
      </c>
      <c r="J575" s="9" t="str">
        <f>VLOOKUP(TablaCosechas[[#This Row],[COD]],Tabla7[#All],4,0)</f>
        <v>JULIO SANTOS</v>
      </c>
      <c r="K575" s="179">
        <f>(TablaCosechas[[#This Row],[libras planta]]*454)/M575</f>
        <v>142592.21400778211</v>
      </c>
      <c r="L575" s="174">
        <v>6457.48</v>
      </c>
      <c r="M575" s="19">
        <v>20.56</v>
      </c>
      <c r="N575" s="9" t="str">
        <f>UPPER(TEXT(TablaCosechas[[#This Row],[COSECHA]],"MMMM"))</f>
        <v>NOVIEMBRE</v>
      </c>
      <c r="O575" s="9" t="str">
        <f>IF(A575="DO 29","BAP",IF(A575="RO 14","BAP",(VLOOKUP(TablaCosechas[[#This Row],[COD]],Tabla7[[CODIGO]:[CERTIFICACION]],3,0))))</f>
        <v>CONVENCIONAL</v>
      </c>
      <c r="P575" s="180">
        <f>+L575-E575</f>
        <v>457.47999999999956</v>
      </c>
      <c r="Q575" s="181">
        <f>+M575-F575</f>
        <v>0.55999999999999872</v>
      </c>
      <c r="R575" s="9"/>
    </row>
    <row r="576" spans="1:18" x14ac:dyDescent="0.25">
      <c r="A576" s="9" t="s">
        <v>331</v>
      </c>
      <c r="B576" s="9">
        <f>ROW() - ROW(TablaCosechas[[#Headers],[ID]]) - 4</f>
        <v>571</v>
      </c>
      <c r="C576" s="9" t="str">
        <f>LEFT(A576,2)</f>
        <v>DO</v>
      </c>
      <c r="D576" s="182" t="s">
        <v>367</v>
      </c>
      <c r="E576" s="178">
        <v>25400</v>
      </c>
      <c r="F576" s="19">
        <v>25</v>
      </c>
      <c r="G576" s="195">
        <v>45986</v>
      </c>
      <c r="H576" s="9" t="str">
        <f>VLOOKUP(TablaCosechas[[#This Row],[COD]],DATOS!$E$3:$F$27,2,0)</f>
        <v>DORADO</v>
      </c>
      <c r="I576" s="9" t="str">
        <f>RIGHT(TablaCosechas[[#This Row],[SECTOR/PISCINA]],2)</f>
        <v>25</v>
      </c>
      <c r="J576" s="9" t="str">
        <f>VLOOKUP(TablaCosechas[[#This Row],[COD]],Tabla7[#All],4,0)</f>
        <v>JOSE CEDEÑO</v>
      </c>
      <c r="K576" s="179">
        <f>(TablaCosechas[[#This Row],[libras planta]]*454)/M576</f>
        <v>435178.95795107028</v>
      </c>
      <c r="L576" s="174">
        <v>25075.51</v>
      </c>
      <c r="M576" s="19">
        <v>26.16</v>
      </c>
      <c r="N576" s="9" t="str">
        <f>UPPER(TEXT(TablaCosechas[[#This Row],[COSECHA]],"MMMM"))</f>
        <v>NOVIEMBRE</v>
      </c>
      <c r="O576" s="9" t="str">
        <f>IF(A576="DO 29","BAP",IF(A576="RO 14","BAP",(VLOOKUP(TablaCosechas[[#This Row],[COD]],Tabla7[[CODIGO]:[CERTIFICACION]],3,0))))</f>
        <v>ASC</v>
      </c>
      <c r="P576" s="180">
        <f>+L576-E576</f>
        <v>-324.4900000000016</v>
      </c>
      <c r="Q576" s="181">
        <f>+M576-F576</f>
        <v>1.1600000000000001</v>
      </c>
      <c r="R576" s="9"/>
    </row>
    <row r="577" spans="1:18" x14ac:dyDescent="0.25">
      <c r="A577" s="9" t="s">
        <v>252</v>
      </c>
      <c r="B577" s="9">
        <f>ROW() - ROW(TablaCosechas[[#Headers],[ID]]) - 4</f>
        <v>572</v>
      </c>
      <c r="C577" s="9" t="str">
        <f>LEFT(A577,2)</f>
        <v>DE</v>
      </c>
      <c r="D577" s="182" t="s">
        <v>367</v>
      </c>
      <c r="E577" s="178">
        <v>12000</v>
      </c>
      <c r="F577" s="19">
        <v>27</v>
      </c>
      <c r="G577" s="195">
        <v>45986</v>
      </c>
      <c r="H577" s="9" t="str">
        <f>VLOOKUP(TablaCosechas[[#This Row],[COD]],DATOS!$E$3:$F$27,2,0)</f>
        <v>DELFIN</v>
      </c>
      <c r="I577" s="9" t="str">
        <f>RIGHT(TablaCosechas[[#This Row],[SECTOR/PISCINA]],2)</f>
        <v>13</v>
      </c>
      <c r="J577" s="9" t="str">
        <f>VLOOKUP(TablaCosechas[[#This Row],[COD]],Tabla7[#All],4,0)</f>
        <v>CARLOS FLORES</v>
      </c>
      <c r="K577" s="179">
        <f>(TablaCosechas[[#This Row],[libras planta]]*454)/M577</f>
        <v>204246.92205882355</v>
      </c>
      <c r="L577" s="174">
        <v>12236.82</v>
      </c>
      <c r="M577" s="19">
        <v>27.2</v>
      </c>
      <c r="N577" s="9" t="str">
        <f>UPPER(TEXT(TablaCosechas[[#This Row],[COSECHA]],"MMMM"))</f>
        <v>NOVIEMBRE</v>
      </c>
      <c r="O577" s="9" t="str">
        <f>IF(A577="DO 29","BAP",IF(A577="RO 14","BAP",(VLOOKUP(TablaCosechas[[#This Row],[COD]],Tabla7[[CODIGO]:[CERTIFICACION]],3,0))))</f>
        <v>CONVENCIONAL</v>
      </c>
      <c r="P577" s="180">
        <f>+L577-E577</f>
        <v>236.81999999999971</v>
      </c>
      <c r="Q577" s="181">
        <f>+M577-F577</f>
        <v>0.19999999999999929</v>
      </c>
      <c r="R577" s="9"/>
    </row>
    <row r="578" spans="1:18" x14ac:dyDescent="0.25">
      <c r="A578" s="9" t="s">
        <v>15</v>
      </c>
      <c r="B578" s="9">
        <f>ROW() - ROW(TablaCosechas[[#Headers],[ID]]) - 4</f>
        <v>573</v>
      </c>
      <c r="C578" s="9" t="str">
        <f>LEFT(A578,2)</f>
        <v>CH</v>
      </c>
      <c r="D578" s="182" t="s">
        <v>366</v>
      </c>
      <c r="E578" s="178">
        <f>58000+1400</f>
        <v>59400</v>
      </c>
      <c r="F578" s="19">
        <v>30</v>
      </c>
      <c r="G578" s="195">
        <v>45986</v>
      </c>
      <c r="H578" s="9" t="str">
        <f>VLOOKUP(TablaCosechas[[#This Row],[COD]],DATOS!$E$3:$F$27,2,0)</f>
        <v>CHERNA</v>
      </c>
      <c r="I578" s="9" t="str">
        <f>RIGHT(TablaCosechas[[#This Row],[SECTOR/PISCINA]],2)</f>
        <v>09</v>
      </c>
      <c r="J578" s="9" t="str">
        <f>VLOOKUP(TablaCosechas[[#This Row],[COD]],Tabla7[#All],4,0)</f>
        <v>SANTIAGO OBRIEN</v>
      </c>
      <c r="K578" s="179">
        <f>(TablaCosechas[[#This Row],[libras planta]]*454)/M578</f>
        <v>912640.22144846793</v>
      </c>
      <c r="L578" s="174">
        <f>56341.77+1391.77</f>
        <v>57733.539999999994</v>
      </c>
      <c r="M578" s="19">
        <v>28.72</v>
      </c>
      <c r="N578" s="9" t="str">
        <f>UPPER(TEXT(TablaCosechas[[#This Row],[COSECHA]],"MMMM"))</f>
        <v>NOVIEMBRE</v>
      </c>
      <c r="O578" s="9" t="str">
        <f>IF(A578="DO 29","BAP",IF(A578="RO 14","BAP",(VLOOKUP(TablaCosechas[[#This Row],[COD]],Tabla7[[CODIGO]:[CERTIFICACION]],3,0))))</f>
        <v>ASC</v>
      </c>
      <c r="P578" s="180">
        <f>+L578-E578</f>
        <v>-1666.4600000000064</v>
      </c>
      <c r="Q578" s="181">
        <f>+M578-F578</f>
        <v>-1.2800000000000011</v>
      </c>
      <c r="R578" s="9"/>
    </row>
    <row r="579" spans="1:18" x14ac:dyDescent="0.25">
      <c r="A579" s="9" t="s">
        <v>338</v>
      </c>
      <c r="B579" s="9">
        <f>ROW() - ROW(TablaCosechas[[#Headers],[ID]]) - 4</f>
        <v>574</v>
      </c>
      <c r="C579" s="9" t="str">
        <f>LEFT(A579,2)</f>
        <v>WA</v>
      </c>
      <c r="D579" s="182" t="s">
        <v>367</v>
      </c>
      <c r="E579" s="178">
        <v>5150</v>
      </c>
      <c r="F579" s="19">
        <v>16.5</v>
      </c>
      <c r="G579" s="195">
        <v>45987</v>
      </c>
      <c r="H579" s="9" t="str">
        <f>VLOOKUP(TablaCosechas[[#This Row],[COD]],DATOS!$E$3:$F$27,2,0)</f>
        <v>WAHOO</v>
      </c>
      <c r="I579" s="9" t="str">
        <f>RIGHT(TablaCosechas[[#This Row],[SECTOR/PISCINA]],2)</f>
        <v>07</v>
      </c>
      <c r="J579" s="9" t="str">
        <f>VLOOKUP(TablaCosechas[[#This Row],[COD]],Tabla7[#All],4,0)</f>
        <v>JUNIOR ESQUIVEL</v>
      </c>
      <c r="K579" s="179">
        <f>(TablaCosechas[[#This Row],[libras planta]]*454)/M579</f>
        <v>142439.25714285712</v>
      </c>
      <c r="L579" s="174">
        <v>5270.88</v>
      </c>
      <c r="M579" s="19">
        <v>16.8</v>
      </c>
      <c r="N579" s="9" t="str">
        <f>UPPER(TEXT(TablaCosechas[[#This Row],[COSECHA]],"MMMM"))</f>
        <v>NOVIEMBRE</v>
      </c>
      <c r="O579" s="9" t="str">
        <f>IF(A579="DO 29","BAP",IF(A579="RO 14","BAP",(VLOOKUP(TablaCosechas[[#This Row],[COD]],Tabla7[[CODIGO]:[CERTIFICACION]],3,0))))</f>
        <v>CONVENCIONAL</v>
      </c>
      <c r="P579" s="180">
        <f>+L579-E579</f>
        <v>120.88000000000011</v>
      </c>
      <c r="Q579" s="181">
        <f>+M579-F579</f>
        <v>0.30000000000000071</v>
      </c>
      <c r="R579" s="9"/>
    </row>
    <row r="580" spans="1:18" x14ac:dyDescent="0.25">
      <c r="A580" s="9" t="s">
        <v>376</v>
      </c>
      <c r="B580" s="9">
        <f>ROW() - ROW(TablaCosechas[[#Headers],[ID]]) - 4</f>
        <v>575</v>
      </c>
      <c r="C580" s="9" t="str">
        <f>LEFT(A580,2)</f>
        <v>WA</v>
      </c>
      <c r="D580" s="182" t="s">
        <v>367</v>
      </c>
      <c r="E580" s="178">
        <v>3500</v>
      </c>
      <c r="F580" s="19">
        <v>20</v>
      </c>
      <c r="G580" s="195">
        <v>45987</v>
      </c>
      <c r="H580" s="9" t="str">
        <f>VLOOKUP(TablaCosechas[[#This Row],[COD]],DATOS!$E$3:$F$27,2,0)</f>
        <v>WAHOO</v>
      </c>
      <c r="I580" s="9" t="str">
        <f>RIGHT(TablaCosechas[[#This Row],[SECTOR/PISCINA]],2)</f>
        <v>06</v>
      </c>
      <c r="J580" s="9" t="str">
        <f>VLOOKUP(TablaCosechas[[#This Row],[COD]],Tabla7[#All],4,0)</f>
        <v>JUNIOR ESQUIVEL</v>
      </c>
      <c r="K580" s="179">
        <f>(TablaCosechas[[#This Row],[libras planta]]*454)/M580</f>
        <v>77326.425225225219</v>
      </c>
      <c r="L580" s="174">
        <v>3781.16</v>
      </c>
      <c r="M580" s="19">
        <v>22.2</v>
      </c>
      <c r="N580" s="9" t="str">
        <f>UPPER(TEXT(TablaCosechas[[#This Row],[COSECHA]],"MMMM"))</f>
        <v>NOVIEMBRE</v>
      </c>
      <c r="O580" s="9" t="str">
        <f>IF(A580="DO 29","BAP",IF(A580="RO 14","BAP",(VLOOKUP(TablaCosechas[[#This Row],[COD]],Tabla7[[CODIGO]:[CERTIFICACION]],3,0))))</f>
        <v>CONVENCIONAL</v>
      </c>
      <c r="P580" s="180">
        <f>+L580-E580</f>
        <v>281.15999999999985</v>
      </c>
      <c r="Q580" s="181">
        <f>+M580-F580</f>
        <v>2.1999999999999993</v>
      </c>
      <c r="R580" s="9"/>
    </row>
    <row r="581" spans="1:18" x14ac:dyDescent="0.25">
      <c r="A581" s="9" t="s">
        <v>313</v>
      </c>
      <c r="B581" s="9">
        <f>ROW() - ROW(TablaCosechas[[#Headers],[ID]]) - 4</f>
        <v>576</v>
      </c>
      <c r="C581" s="9" t="str">
        <f>LEFT(A581,2)</f>
        <v>TI</v>
      </c>
      <c r="D581" s="182" t="s">
        <v>367</v>
      </c>
      <c r="E581" s="178">
        <v>7050</v>
      </c>
      <c r="F581" s="19">
        <v>21</v>
      </c>
      <c r="G581" s="195">
        <v>45987</v>
      </c>
      <c r="H581" s="9" t="str">
        <f>VLOOKUP(TablaCosechas[[#This Row],[COD]],DATOS!$E$3:$F$27,2,0)</f>
        <v>TIBURON</v>
      </c>
      <c r="I581" s="9" t="str">
        <f>RIGHT(TablaCosechas[[#This Row],[SECTOR/PISCINA]],2)</f>
        <v>20</v>
      </c>
      <c r="J581" s="9" t="str">
        <f>VLOOKUP(TablaCosechas[[#This Row],[COD]],Tabla7[#All],4,0)</f>
        <v>ALFONSO GRUNAUER</v>
      </c>
      <c r="K581" s="179">
        <f>(TablaCosechas[[#This Row],[libras planta]]*454)/M581</f>
        <v>134499.64888123923</v>
      </c>
      <c r="L581" s="174">
        <v>6884.96</v>
      </c>
      <c r="M581" s="19">
        <v>23.24</v>
      </c>
      <c r="N581" s="9" t="str">
        <f>UPPER(TEXT(TablaCosechas[[#This Row],[COSECHA]],"MMMM"))</f>
        <v>NOVIEMBRE</v>
      </c>
      <c r="O581" s="9" t="str">
        <f>IF(A581="DO 29","BAP",IF(A581="RO 14","BAP",(VLOOKUP(TablaCosechas[[#This Row],[COD]],Tabla7[[CODIGO]:[CERTIFICACION]],3,0))))</f>
        <v>ASC</v>
      </c>
      <c r="P581" s="180">
        <f>+L581-E581</f>
        <v>-165.03999999999996</v>
      </c>
      <c r="Q581" s="181">
        <f>+M581-F581</f>
        <v>2.2399999999999984</v>
      </c>
      <c r="R581" s="9"/>
    </row>
    <row r="582" spans="1:18" x14ac:dyDescent="0.25">
      <c r="A582" s="9" t="s">
        <v>227</v>
      </c>
      <c r="B582" s="9">
        <f>ROW() - ROW(TablaCosechas[[#Headers],[ID]]) - 4</f>
        <v>577</v>
      </c>
      <c r="C582" s="9" t="str">
        <f>LEFT(A582,2)</f>
        <v>ME</v>
      </c>
      <c r="D582" s="182" t="s">
        <v>366</v>
      </c>
      <c r="E582" s="178">
        <v>10200</v>
      </c>
      <c r="F582" s="19">
        <v>17</v>
      </c>
      <c r="G582" s="195">
        <v>45987</v>
      </c>
      <c r="H582" s="9" t="str">
        <f>VLOOKUP(TablaCosechas[[#This Row],[COD]],DATOS!$E$3:$F$27,2,0)</f>
        <v>MERO</v>
      </c>
      <c r="I582" s="9" t="str">
        <f>RIGHT(TablaCosechas[[#This Row],[SECTOR/PISCINA]],2)</f>
        <v>03</v>
      </c>
      <c r="J582" s="9" t="str">
        <f>VLOOKUP(TablaCosechas[[#This Row],[COD]],Tabla7[#All],4,0)</f>
        <v>NESTOR MOGOLLON</v>
      </c>
      <c r="K582" s="179">
        <f>(TablaCosechas[[#This Row],[libras planta]]*454)/M582</f>
        <v>275390.93270365999</v>
      </c>
      <c r="L582" s="174">
        <v>10275.6</v>
      </c>
      <c r="M582" s="19">
        <v>16.940000000000001</v>
      </c>
      <c r="N582" s="9" t="str">
        <f>UPPER(TEXT(TablaCosechas[[#This Row],[COSECHA]],"MMMM"))</f>
        <v>NOVIEMBRE</v>
      </c>
      <c r="O582" s="9" t="str">
        <f>IF(A582="DO 29","BAP",IF(A582="RO 14","BAP",(VLOOKUP(TablaCosechas[[#This Row],[COD]],Tabla7[[CODIGO]:[CERTIFICACION]],3,0))))</f>
        <v>CONVENCIONAL</v>
      </c>
      <c r="P582" s="180">
        <f>+L582-E582</f>
        <v>75.600000000000364</v>
      </c>
      <c r="Q582" s="181">
        <f>+M582-F582</f>
        <v>-5.9999999999998721E-2</v>
      </c>
      <c r="R582" s="9"/>
    </row>
    <row r="583" spans="1:18" x14ac:dyDescent="0.25">
      <c r="A583" s="9" t="s">
        <v>268</v>
      </c>
      <c r="B583" s="9">
        <f>ROW() - ROW(TablaCosechas[[#Headers],[ID]]) - 4</f>
        <v>578</v>
      </c>
      <c r="C583" s="9" t="str">
        <f>LEFT(A583,2)</f>
        <v>MA</v>
      </c>
      <c r="D583" s="182" t="s">
        <v>366</v>
      </c>
      <c r="E583" s="178">
        <f>29950+3300</f>
        <v>33250</v>
      </c>
      <c r="F583" s="19">
        <v>31</v>
      </c>
      <c r="G583" s="195">
        <v>45987</v>
      </c>
      <c r="H583" s="9" t="str">
        <f>VLOOKUP(TablaCosechas[[#This Row],[COD]],DATOS!$E$3:$F$27,2,0)</f>
        <v>MANTARRAYA</v>
      </c>
      <c r="I583" s="9" t="str">
        <f>RIGHT(TablaCosechas[[#This Row],[SECTOR/PISCINA]],2)</f>
        <v>10</v>
      </c>
      <c r="J583" s="9" t="str">
        <f>VLOOKUP(TablaCosechas[[#This Row],[COD]],Tabla7[#All],4,0)</f>
        <v>GUSTAVO CARRASCO</v>
      </c>
      <c r="K583" s="179">
        <f>(TablaCosechas[[#This Row],[libras planta]]*454)/M583</f>
        <v>491234.05727302318</v>
      </c>
      <c r="L583" s="174">
        <f>29612.45+3637.82</f>
        <v>33250.270000000004</v>
      </c>
      <c r="M583" s="19">
        <v>30.73</v>
      </c>
      <c r="N583" s="9" t="str">
        <f>UPPER(TEXT(TablaCosechas[[#This Row],[COSECHA]],"MMMM"))</f>
        <v>NOVIEMBRE</v>
      </c>
      <c r="O583" s="9" t="str">
        <f>IF(A583="DO 29","BAP",IF(A583="RO 14","BAP",(VLOOKUP(TablaCosechas[[#This Row],[COD]],Tabla7[[CODIGO]:[CERTIFICACION]],3,0))))</f>
        <v>ASC</v>
      </c>
      <c r="P583" s="180">
        <f>+L583-E583</f>
        <v>0.27000000000407454</v>
      </c>
      <c r="Q583" s="181">
        <f>+M583-F583</f>
        <v>-0.26999999999999957</v>
      </c>
      <c r="R583" s="9"/>
    </row>
    <row r="584" spans="1:18" x14ac:dyDescent="0.25">
      <c r="A584" s="9" t="s">
        <v>326</v>
      </c>
      <c r="B584" s="9">
        <f>ROW() - ROW(TablaCosechas[[#Headers],[ID]]) - 4</f>
        <v>579</v>
      </c>
      <c r="C584" s="9" t="str">
        <f>LEFT(A584,2)</f>
        <v>GT</v>
      </c>
      <c r="D584" s="182" t="s">
        <v>367</v>
      </c>
      <c r="E584" s="178">
        <v>7800</v>
      </c>
      <c r="F584" s="19">
        <v>20</v>
      </c>
      <c r="G584" s="195">
        <v>45987</v>
      </c>
      <c r="H584" s="9" t="str">
        <f>VLOOKUP(TablaCosechas[[#This Row],[COD]],DATOS!$E$3:$F$26,2,0)</f>
        <v>GUATO</v>
      </c>
      <c r="I584" s="9" t="str">
        <f>RIGHT(TablaCosechas[[#This Row],[SECTOR/PISCINA]],2)</f>
        <v>03</v>
      </c>
      <c r="J584" s="9" t="str">
        <f>VLOOKUP(TablaCosechas[[#This Row],[COD]],Tabla7[#All],4,0)</f>
        <v>JULIO SANTOS</v>
      </c>
      <c r="K584" s="179">
        <f>(TablaCosechas[[#This Row],[libras planta]]*454)/M584</f>
        <v>176320.16399622997</v>
      </c>
      <c r="L584" s="174">
        <v>8241.2199999999993</v>
      </c>
      <c r="M584" s="19">
        <v>21.22</v>
      </c>
      <c r="N584" s="9" t="str">
        <f>UPPER(TEXT(TablaCosechas[[#This Row],[COSECHA]],"MMMM"))</f>
        <v>NOVIEMBRE</v>
      </c>
      <c r="O584" s="9" t="str">
        <f>IF(A584="DO 29","BAP",IF(A584="RO 14","BAP",(VLOOKUP(TablaCosechas[[#This Row],[COD]],Tabla7[[CODIGO]:[CERTIFICACION]],3,0))))</f>
        <v>CONVENCIONAL</v>
      </c>
      <c r="P584" s="180">
        <f>+L584-E584</f>
        <v>441.21999999999935</v>
      </c>
      <c r="Q584" s="181">
        <f>+M584-F584</f>
        <v>1.2199999999999989</v>
      </c>
      <c r="R584" s="9"/>
    </row>
    <row r="585" spans="1:18" x14ac:dyDescent="0.25">
      <c r="A585" s="9" t="s">
        <v>19</v>
      </c>
      <c r="B585" s="9">
        <f>ROW() - ROW(TablaCosechas[[#Headers],[ID]]) - 4</f>
        <v>580</v>
      </c>
      <c r="C585" s="9" t="str">
        <f>LEFT(A585,2)</f>
        <v>CH</v>
      </c>
      <c r="D585" s="182" t="s">
        <v>366</v>
      </c>
      <c r="E585" s="178">
        <v>38600</v>
      </c>
      <c r="F585" s="19">
        <v>30</v>
      </c>
      <c r="G585" s="195">
        <v>45987</v>
      </c>
      <c r="H585" s="9" t="str">
        <f>VLOOKUP(TablaCosechas[[#This Row],[COD]],DATOS!$E$3:$F$27,2,0)</f>
        <v>CHERNA</v>
      </c>
      <c r="I585" s="9" t="str">
        <f>RIGHT(TablaCosechas[[#This Row],[SECTOR/PISCINA]],2)</f>
        <v>13</v>
      </c>
      <c r="J585" s="9" t="str">
        <f>VLOOKUP(TablaCosechas[[#This Row],[COD]],Tabla7[#All],4,0)</f>
        <v>SANTIAGO OBRIEN</v>
      </c>
      <c r="K585" s="179">
        <f>(TablaCosechas[[#This Row],[libras planta]]*454)/M585</f>
        <v>586759.87176905014</v>
      </c>
      <c r="L585" s="174">
        <v>38501.270000000004</v>
      </c>
      <c r="M585" s="19">
        <v>29.79</v>
      </c>
      <c r="N585" s="9" t="str">
        <f>UPPER(TEXT(TablaCosechas[[#This Row],[COSECHA]],"MMMM"))</f>
        <v>NOVIEMBRE</v>
      </c>
      <c r="O585" s="9" t="str">
        <f>IF(A585="DO 29","BAP",IF(A585="RO 14","BAP",(VLOOKUP(TablaCosechas[[#This Row],[COD]],Tabla7[[CODIGO]:[CERTIFICACION]],3,0))))</f>
        <v>ASC</v>
      </c>
      <c r="P585" s="180">
        <f>+L585-E585</f>
        <v>-98.729999999995925</v>
      </c>
      <c r="Q585" s="181">
        <f>+M585-F585</f>
        <v>-0.21000000000000085</v>
      </c>
      <c r="R585" s="9"/>
    </row>
    <row r="586" spans="1:18" x14ac:dyDescent="0.25">
      <c r="A586" s="9" t="s">
        <v>17</v>
      </c>
      <c r="B586" s="9">
        <f>ROW() - ROW(TablaCosechas[[#Headers],[ID]]) - 4</f>
        <v>581</v>
      </c>
      <c r="C586" s="9" t="str">
        <f>LEFT(A586,2)</f>
        <v>CH</v>
      </c>
      <c r="D586" s="182" t="s">
        <v>366</v>
      </c>
      <c r="E586" s="178">
        <f>44700+4700</f>
        <v>49400</v>
      </c>
      <c r="F586" s="19">
        <v>28</v>
      </c>
      <c r="G586" s="195">
        <v>45987</v>
      </c>
      <c r="H586" s="9" t="str">
        <f>VLOOKUP(TablaCosechas[[#This Row],[COD]],DATOS!$E$3:$F$27,2,0)</f>
        <v>CHERNA</v>
      </c>
      <c r="I586" s="9" t="str">
        <f>RIGHT(TablaCosechas[[#This Row],[SECTOR/PISCINA]],2)</f>
        <v>11</v>
      </c>
      <c r="J586" s="9" t="str">
        <f>VLOOKUP(TablaCosechas[[#This Row],[COD]],Tabla7[#All],4,0)</f>
        <v>SANTIAGO OBRIEN</v>
      </c>
      <c r="K586" s="179">
        <f>(TablaCosechas[[#This Row],[libras planta]]*454)/M586</f>
        <v>771532.05506530183</v>
      </c>
      <c r="L586" s="174">
        <f>43161.48+4982.8</f>
        <v>48144.280000000006</v>
      </c>
      <c r="M586" s="19">
        <v>28.33</v>
      </c>
      <c r="N586" s="9" t="str">
        <f>UPPER(TEXT(TablaCosechas[[#This Row],[COSECHA]],"MMMM"))</f>
        <v>NOVIEMBRE</v>
      </c>
      <c r="O586" s="9" t="str">
        <f>IF(A586="DO 29","BAP",IF(A586="RO 14","BAP",(VLOOKUP(TablaCosechas[[#This Row],[COD]],Tabla7[[CODIGO]:[CERTIFICACION]],3,0))))</f>
        <v>ASC</v>
      </c>
      <c r="P586" s="180">
        <f>+L586-E586</f>
        <v>-1255.7199999999939</v>
      </c>
      <c r="Q586" s="181">
        <f>+M586-F586</f>
        <v>0.32999999999999829</v>
      </c>
      <c r="R586" s="9"/>
    </row>
    <row r="587" spans="1:18" x14ac:dyDescent="0.25">
      <c r="A587" s="9" t="s">
        <v>340</v>
      </c>
      <c r="B587" s="9">
        <f>ROW() - ROW(TablaCosechas[[#Headers],[ID]]) - 4</f>
        <v>582</v>
      </c>
      <c r="C587" s="9" t="str">
        <f>LEFT(A587,2)</f>
        <v>WA</v>
      </c>
      <c r="D587" s="182" t="s">
        <v>367</v>
      </c>
      <c r="E587" s="178">
        <v>8200</v>
      </c>
      <c r="F587" s="19">
        <v>20.5</v>
      </c>
      <c r="G587" s="195">
        <v>45988</v>
      </c>
      <c r="H587" s="9" t="str">
        <f>VLOOKUP(TablaCosechas[[#This Row],[COD]],DATOS!$E$3:$F$27,2,0)</f>
        <v>WAHOO</v>
      </c>
      <c r="I587" s="9" t="str">
        <f>RIGHT(TablaCosechas[[#This Row],[SECTOR/PISCINA]],2)</f>
        <v>29</v>
      </c>
      <c r="J587" s="9" t="str">
        <f>VLOOKUP(TablaCosechas[[#This Row],[COD]],Tabla7[#All],4,0)</f>
        <v>JUNIOR ESQUIVEL</v>
      </c>
      <c r="K587" s="179">
        <f>(TablaCosechas[[#This Row],[libras planta]]*454)/M587</f>
        <v>153419.81502347416</v>
      </c>
      <c r="L587" s="174">
        <v>7197.89</v>
      </c>
      <c r="M587" s="19">
        <v>21.3</v>
      </c>
      <c r="N587" s="9" t="str">
        <f>UPPER(TEXT(TablaCosechas[[#This Row],[COSECHA]],"MMMM"))</f>
        <v>NOVIEMBRE</v>
      </c>
      <c r="O587" s="9" t="str">
        <f>IF(A587="DO 29","BAP",IF(A587="RO 14","BAP",(VLOOKUP(TablaCosechas[[#This Row],[COD]],Tabla7[[CODIGO]:[CERTIFICACION]],3,0))))</f>
        <v>CONVENCIONAL</v>
      </c>
      <c r="P587" s="180">
        <f>+L587-E587</f>
        <v>-1002.1099999999997</v>
      </c>
      <c r="Q587" s="181">
        <f>+M587-F587</f>
        <v>0.80000000000000071</v>
      </c>
      <c r="R587" s="9"/>
    </row>
    <row r="588" spans="1:18" x14ac:dyDescent="0.25">
      <c r="A588" s="9" t="s">
        <v>304</v>
      </c>
      <c r="B588" s="9">
        <f>ROW() - ROW(TablaCosechas[[#Headers],[ID]]) - 4</f>
        <v>583</v>
      </c>
      <c r="C588" s="9" t="str">
        <f>LEFT(A588,2)</f>
        <v>PA</v>
      </c>
      <c r="D588" s="182" t="s">
        <v>367</v>
      </c>
      <c r="E588" s="178">
        <v>9400</v>
      </c>
      <c r="F588" s="19">
        <v>28</v>
      </c>
      <c r="G588" s="195">
        <v>45988</v>
      </c>
      <c r="H588" s="9" t="str">
        <f>VLOOKUP(TablaCosechas[[#This Row],[COD]],DATOS!$E$3:$F$27,2,0)</f>
        <v>PAMPANO</v>
      </c>
      <c r="I588" s="9" t="str">
        <f>RIGHT(TablaCosechas[[#This Row],[SECTOR/PISCINA]],2)</f>
        <v>06</v>
      </c>
      <c r="J588" s="9" t="str">
        <f>VLOOKUP(TablaCosechas[[#This Row],[COD]],Tabla7[#All],4,0)</f>
        <v>GUSTAVO CARRASCO</v>
      </c>
      <c r="K588" s="179">
        <f>(TablaCosechas[[#This Row],[libras planta]]*454)/M588</f>
        <v>147753.23120168658</v>
      </c>
      <c r="L588" s="174">
        <v>9262.24</v>
      </c>
      <c r="M588" s="19">
        <v>28.46</v>
      </c>
      <c r="N588" s="9" t="str">
        <f>UPPER(TEXT(TablaCosechas[[#This Row],[COSECHA]],"MMMM"))</f>
        <v>NOVIEMBRE</v>
      </c>
      <c r="O588" s="9" t="str">
        <f>IF(A588="DO 29","BAP",IF(A588="RO 14","BAP",(VLOOKUP(TablaCosechas[[#This Row],[COD]],Tabla7[[CODIGO]:[CERTIFICACION]],3,0))))</f>
        <v>ASC</v>
      </c>
      <c r="P588" s="180">
        <f>+L588-E588</f>
        <v>-137.76000000000022</v>
      </c>
      <c r="Q588" s="181">
        <f>+M588-F588</f>
        <v>0.46000000000000085</v>
      </c>
      <c r="R588" s="9"/>
    </row>
    <row r="589" spans="1:18" x14ac:dyDescent="0.25">
      <c r="A589" s="9" t="s">
        <v>296</v>
      </c>
      <c r="B589" s="9">
        <f>ROW() - ROW(TablaCosechas[[#Headers],[ID]]) - 4</f>
        <v>584</v>
      </c>
      <c r="C589" s="9" t="str">
        <f>LEFT(A589,2)</f>
        <v>DE</v>
      </c>
      <c r="D589" s="182" t="s">
        <v>367</v>
      </c>
      <c r="E589" s="178">
        <v>8000</v>
      </c>
      <c r="F589" s="19">
        <v>29</v>
      </c>
      <c r="G589" s="195">
        <v>45988</v>
      </c>
      <c r="H589" s="9" t="str">
        <f>VLOOKUP(TablaCosechas[[#This Row],[COD]],DATOS!$E$3:$F$26,2,0)</f>
        <v>DELFIN</v>
      </c>
      <c r="I589" s="9" t="str">
        <f>RIGHT(TablaCosechas[[#This Row],[SECTOR/PISCINA]],2)</f>
        <v>01</v>
      </c>
      <c r="J589" s="9" t="str">
        <f>VLOOKUP(TablaCosechas[[#This Row],[COD]],Tabla7[#All],4,0)</f>
        <v>CARLOS FLORES</v>
      </c>
      <c r="K589" s="179">
        <f>(TablaCosechas[[#This Row],[libras planta]]*454)/M589</f>
        <v>129346.66227781435</v>
      </c>
      <c r="L589" s="174">
        <v>8655.4</v>
      </c>
      <c r="M589" s="19">
        <v>30.38</v>
      </c>
      <c r="N589" s="9" t="str">
        <f>UPPER(TEXT(TablaCosechas[[#This Row],[COSECHA]],"MMMM"))</f>
        <v>NOVIEMBRE</v>
      </c>
      <c r="O589" s="9" t="str">
        <f>IF(A589="DO 29","BAP",IF(A589="RO 14","BAP",(VLOOKUP(TablaCosechas[[#This Row],[COD]],Tabla7[[CODIGO]:[CERTIFICACION]],3,0))))</f>
        <v>CONVENCIONAL</v>
      </c>
      <c r="P589" s="180">
        <f>+L589-E589</f>
        <v>655.39999999999964</v>
      </c>
      <c r="Q589" s="181">
        <f>+M589-F589</f>
        <v>1.379999999999999</v>
      </c>
      <c r="R589" s="9"/>
    </row>
    <row r="590" spans="1:18" x14ac:dyDescent="0.25">
      <c r="A590" s="9" t="s">
        <v>341</v>
      </c>
      <c r="B590" s="9">
        <f>ROW() - ROW(TablaCosechas[[#Headers],[ID]]) - 4</f>
        <v>585</v>
      </c>
      <c r="C590" s="9" t="str">
        <f>LEFT(A590,2)</f>
        <v>WA</v>
      </c>
      <c r="D590" s="182" t="s">
        <v>367</v>
      </c>
      <c r="E590" s="178">
        <v>10400</v>
      </c>
      <c r="F590" s="19">
        <v>18</v>
      </c>
      <c r="G590" s="195">
        <v>45989</v>
      </c>
      <c r="H590" s="9" t="str">
        <f>VLOOKUP(TablaCosechas[[#This Row],[COD]],DATOS!$E$3:$F$27,2,0)</f>
        <v>WAHOO</v>
      </c>
      <c r="I590" s="9" t="str">
        <f>RIGHT(TablaCosechas[[#This Row],[SECTOR/PISCINA]],2)</f>
        <v>05</v>
      </c>
      <c r="J590" s="9" t="str">
        <f>VLOOKUP(TablaCosechas[[#This Row],[COD]],Tabla7[#All],4,0)</f>
        <v>JUNIOR ESQUIVEL</v>
      </c>
      <c r="K590" s="179">
        <f>(TablaCosechas[[#This Row],[libras planta]]*454)/M590</f>
        <v>265904.87869198312</v>
      </c>
      <c r="L590" s="174">
        <v>11104.75</v>
      </c>
      <c r="M590" s="19">
        <v>18.96</v>
      </c>
      <c r="N590" s="9" t="str">
        <f>UPPER(TEXT(TablaCosechas[[#This Row],[COSECHA]],"MMMM"))</f>
        <v>NOVIEMBRE</v>
      </c>
      <c r="O590" s="9" t="str">
        <f>IF(A590="DO 29","BAP",IF(A590="RO 14","BAP",(VLOOKUP(TablaCosechas[[#This Row],[COD]],Tabla7[[CODIGO]:[CERTIFICACION]],3,0))))</f>
        <v>CONVENCIONAL</v>
      </c>
      <c r="P590" s="180">
        <f>+L590-E590</f>
        <v>704.75</v>
      </c>
      <c r="Q590" s="181">
        <f>+M590-F590</f>
        <v>0.96000000000000085</v>
      </c>
      <c r="R590" s="9"/>
    </row>
    <row r="591" spans="1:18" x14ac:dyDescent="0.25">
      <c r="A591" s="9" t="s">
        <v>293</v>
      </c>
      <c r="B591" s="9">
        <f>ROW() - ROW(TablaCosechas[[#Headers],[ID]]) - 4</f>
        <v>586</v>
      </c>
      <c r="C591" s="9" t="str">
        <f>LEFT(A591,2)</f>
        <v>TA</v>
      </c>
      <c r="D591" s="182" t="s">
        <v>367</v>
      </c>
      <c r="E591" s="178">
        <v>10000</v>
      </c>
      <c r="F591" s="19">
        <v>25.5</v>
      </c>
      <c r="G591" s="195">
        <v>45989</v>
      </c>
      <c r="H591" s="9" t="str">
        <f>VLOOKUP(TablaCosechas[[#This Row],[COD]],DATOS!$E$3:$F$27,2,0)</f>
        <v>TAMBULERO</v>
      </c>
      <c r="I591" s="9" t="str">
        <f>RIGHT(TablaCosechas[[#This Row],[SECTOR/PISCINA]],2)</f>
        <v>12</v>
      </c>
      <c r="J591" s="9" t="str">
        <f>VLOOKUP(TablaCosechas[[#This Row],[COD]],Tabla7[#All],4,0)</f>
        <v>ALFONSO GRUNAUER</v>
      </c>
      <c r="K591" s="179">
        <f>(TablaCosechas[[#This Row],[libras planta]]*454)/M591</f>
        <v>153780.01918819186</v>
      </c>
      <c r="L591" s="174">
        <v>9179.3799999999992</v>
      </c>
      <c r="M591" s="19">
        <v>27.1</v>
      </c>
      <c r="N591" s="9" t="str">
        <f>UPPER(TEXT(TablaCosechas[[#This Row],[COSECHA]],"MMMM"))</f>
        <v>NOVIEMBRE</v>
      </c>
      <c r="O591" s="9" t="str">
        <f>IF(A591="DO 29","BAP",IF(A591="RO 14","BAP",(VLOOKUP(TablaCosechas[[#This Row],[COD]],Tabla7[[CODIGO]:[CERTIFICACION]],3,0))))</f>
        <v>CONVENCIONAL</v>
      </c>
      <c r="P591" s="180">
        <f>+L591-E591</f>
        <v>-820.6200000000008</v>
      </c>
      <c r="Q591" s="181">
        <f>+M591-F591</f>
        <v>1.6000000000000014</v>
      </c>
      <c r="R591" s="9"/>
    </row>
    <row r="592" spans="1:18" x14ac:dyDescent="0.25">
      <c r="A592" s="9" t="s">
        <v>255</v>
      </c>
      <c r="B592" s="9">
        <f>ROW() - ROW(TablaCosechas[[#Headers],[ID]]) - 4</f>
        <v>587</v>
      </c>
      <c r="C592" s="9" t="str">
        <f>LEFT(A592,2)</f>
        <v>RO</v>
      </c>
      <c r="D592" s="182" t="s">
        <v>366</v>
      </c>
      <c r="E592" s="178">
        <v>13600</v>
      </c>
      <c r="F592" s="19">
        <v>30</v>
      </c>
      <c r="G592" s="195">
        <v>45989</v>
      </c>
      <c r="H592" s="9" t="str">
        <f>VLOOKUP(TablaCosechas[[#This Row],[COD]],DATOS!$E$3:$F$27,2,0)</f>
        <v>ROBALO</v>
      </c>
      <c r="I592" s="9" t="str">
        <f>RIGHT(TablaCosechas[[#This Row],[SECTOR/PISCINA]],2)</f>
        <v>10</v>
      </c>
      <c r="J592" s="9" t="str">
        <f>VLOOKUP(TablaCosechas[[#This Row],[COD]],Tabla7[#All],4,0)</f>
        <v>VICTOR QUINTANA</v>
      </c>
      <c r="K592" s="179">
        <f>(TablaCosechas[[#This Row],[libras planta]]*454)/M592</f>
        <v>223243.51155527795</v>
      </c>
      <c r="L592" s="174">
        <v>15745.06</v>
      </c>
      <c r="M592" s="19">
        <v>32.020000000000003</v>
      </c>
      <c r="N592" s="9" t="str">
        <f>UPPER(TEXT(TablaCosechas[[#This Row],[COSECHA]],"MMMM"))</f>
        <v>NOVIEMBRE</v>
      </c>
      <c r="O592" s="9" t="str">
        <f>IF(A592="DO 29","BAP",IF(A592="RO 14","BAP",(VLOOKUP(TablaCosechas[[#This Row],[COD]],Tabla7[[CODIGO]:[CERTIFICACION]],3,0))))</f>
        <v>ASC</v>
      </c>
      <c r="P592" s="180">
        <f>+L592-E592</f>
        <v>2145.0599999999995</v>
      </c>
      <c r="Q592" s="181">
        <f>+M592-F592</f>
        <v>2.0200000000000031</v>
      </c>
      <c r="R592" s="9"/>
    </row>
    <row r="593" spans="1:18" x14ac:dyDescent="0.25">
      <c r="A593" s="9" t="s">
        <v>318</v>
      </c>
      <c r="B593" s="9">
        <f>ROW() - ROW(TablaCosechas[[#Headers],[ID]]) - 4</f>
        <v>588</v>
      </c>
      <c r="C593" s="9" t="str">
        <f>LEFT(A593,2)</f>
        <v>GT</v>
      </c>
      <c r="D593" s="182" t="s">
        <v>367</v>
      </c>
      <c r="E593" s="178">
        <v>4800</v>
      </c>
      <c r="F593" s="19">
        <v>23</v>
      </c>
      <c r="G593" s="195">
        <v>45989</v>
      </c>
      <c r="H593" s="9" t="str">
        <f>VLOOKUP(TablaCosechas[[#This Row],[COD]],DATOS!$E$3:$F$27,2,0)</f>
        <v>GUATO</v>
      </c>
      <c r="I593" s="9" t="str">
        <f>RIGHT(TablaCosechas[[#This Row],[SECTOR/PISCINA]],2)</f>
        <v>11</v>
      </c>
      <c r="J593" s="9" t="str">
        <f>VLOOKUP(TablaCosechas[[#This Row],[COD]],Tabla7[#All],4,0)</f>
        <v>JULIO SANTOS</v>
      </c>
      <c r="K593" s="179">
        <f>(TablaCosechas[[#This Row],[libras planta]]*454)/M593</f>
        <v>96420.059689288639</v>
      </c>
      <c r="L593" s="174">
        <v>5194.79</v>
      </c>
      <c r="M593" s="19">
        <v>24.46</v>
      </c>
      <c r="N593" s="9" t="str">
        <f>UPPER(TEXT(TablaCosechas[[#This Row],[COSECHA]],"MMMM"))</f>
        <v>NOVIEMBRE</v>
      </c>
      <c r="O593" s="9" t="str">
        <f>IF(A593="DO 29","BAP",IF(A593="RO 14","BAP",(VLOOKUP(TablaCosechas[[#This Row],[COD]],Tabla7[[CODIGO]:[CERTIFICACION]],3,0))))</f>
        <v>CONVENCIONAL</v>
      </c>
      <c r="P593" s="180">
        <f>+L593-E593</f>
        <v>394.78999999999996</v>
      </c>
      <c r="Q593" s="181">
        <f>+M593-F593</f>
        <v>1.4600000000000009</v>
      </c>
      <c r="R593" s="9"/>
    </row>
    <row r="594" spans="1:18" x14ac:dyDescent="0.25">
      <c r="A594" s="9" t="s">
        <v>152</v>
      </c>
      <c r="B594" s="9">
        <f>ROW() - ROW(TablaCosechas[[#Headers],[ID]]) - 4</f>
        <v>589</v>
      </c>
      <c r="C594" s="9" t="str">
        <f>LEFT(A594,2)</f>
        <v>DO</v>
      </c>
      <c r="D594" s="182" t="s">
        <v>367</v>
      </c>
      <c r="E594" s="178">
        <v>12200</v>
      </c>
      <c r="F594" s="19">
        <v>21</v>
      </c>
      <c r="G594" s="195">
        <v>45989</v>
      </c>
      <c r="H594" s="9" t="str">
        <f>VLOOKUP(TablaCosechas[[#This Row],[COD]],DATOS!$E$3:$F$27,2,0)</f>
        <v>DORADO</v>
      </c>
      <c r="I594" s="9" t="str">
        <f>RIGHT(TablaCosechas[[#This Row],[SECTOR/PISCINA]],2)</f>
        <v>30</v>
      </c>
      <c r="J594" s="9" t="str">
        <f>VLOOKUP(TablaCosechas[[#This Row],[COD]],Tabla7[#All],4,0)</f>
        <v>JOSE CEDEÑO</v>
      </c>
      <c r="K594" s="179">
        <f>(TablaCosechas[[#This Row],[libras planta]]*454)/M594</f>
        <v>211377.66260869565</v>
      </c>
      <c r="L594" s="174">
        <v>10708.56</v>
      </c>
      <c r="M594" s="19">
        <v>23</v>
      </c>
      <c r="N594" s="9" t="str">
        <f>UPPER(TEXT(TablaCosechas[[#This Row],[COSECHA]],"MMMM"))</f>
        <v>NOVIEMBRE</v>
      </c>
      <c r="O594" s="9" t="str">
        <f>IF(A594="DO 29","BAP",IF(A594="RO 14","BAP",(VLOOKUP(TablaCosechas[[#This Row],[COD]],Tabla7[[CODIGO]:[CERTIFICACION]],3,0))))</f>
        <v>ASC</v>
      </c>
      <c r="P594" s="180">
        <f>+L594-E594</f>
        <v>-1491.4400000000005</v>
      </c>
      <c r="Q594" s="181">
        <f>+M594-F594</f>
        <v>2</v>
      </c>
      <c r="R594" s="9"/>
    </row>
    <row r="595" spans="1:18" x14ac:dyDescent="0.25">
      <c r="A595" s="9" t="s">
        <v>9</v>
      </c>
      <c r="B595" s="9">
        <f>ROW() - ROW(TablaCosechas[[#Headers],[ID]]) - 4</f>
        <v>590</v>
      </c>
      <c r="C595" s="9" t="str">
        <f>LEFT(A595,2)</f>
        <v>CH</v>
      </c>
      <c r="D595" s="182" t="s">
        <v>367</v>
      </c>
      <c r="E595" s="178">
        <v>10500</v>
      </c>
      <c r="F595" s="19">
        <v>23</v>
      </c>
      <c r="G595" s="195">
        <v>45989</v>
      </c>
      <c r="H595" s="9" t="str">
        <f>VLOOKUP(TablaCosechas[[#This Row],[COD]],DATOS!$E$3:$F$27,2,0)</f>
        <v>CHERNA</v>
      </c>
      <c r="I595" s="9" t="str">
        <f>RIGHT(TablaCosechas[[#This Row],[SECTOR/PISCINA]],2)</f>
        <v>03</v>
      </c>
      <c r="J595" s="9" t="str">
        <f>VLOOKUP(TablaCosechas[[#This Row],[COD]],Tabla7[#All],4,0)</f>
        <v>SANTIAGO OBRIEN</v>
      </c>
      <c r="K595" s="179">
        <f>(TablaCosechas[[#This Row],[libras planta]]*454)/M595</f>
        <v>235523.98249027238</v>
      </c>
      <c r="L595" s="174">
        <v>10666.02</v>
      </c>
      <c r="M595" s="19">
        <v>20.56</v>
      </c>
      <c r="N595" s="9" t="str">
        <f>UPPER(TEXT(TablaCosechas[[#This Row],[COSECHA]],"MMMM"))</f>
        <v>NOVIEMBRE</v>
      </c>
      <c r="O595" s="9" t="str">
        <f>IF(A595="DO 29","BAP",IF(A595="RO 14","BAP",(VLOOKUP(TablaCosechas[[#This Row],[COD]],Tabla7[[CODIGO]:[CERTIFICACION]],3,0))))</f>
        <v>ASC</v>
      </c>
      <c r="P595" s="180">
        <f>+L595-E595</f>
        <v>166.02000000000044</v>
      </c>
      <c r="Q595" s="181">
        <f>+M595-F595</f>
        <v>-2.4400000000000013</v>
      </c>
      <c r="R595" s="9"/>
    </row>
    <row r="596" spans="1:18" x14ac:dyDescent="0.25">
      <c r="A596" s="9" t="s">
        <v>335</v>
      </c>
      <c r="B596" s="9">
        <f>ROW() - ROW(TablaCosechas[[#Headers],[ID]]) - 4</f>
        <v>591</v>
      </c>
      <c r="C596" s="9" t="str">
        <f>LEFT(A596,2)</f>
        <v>WA</v>
      </c>
      <c r="D596" s="182" t="s">
        <v>367</v>
      </c>
      <c r="E596" s="178">
        <v>6400</v>
      </c>
      <c r="F596" s="19">
        <v>18.5</v>
      </c>
      <c r="G596" s="195">
        <v>45990</v>
      </c>
      <c r="H596" s="9" t="str">
        <f>VLOOKUP(TablaCosechas[[#This Row],[COD]],DATOS!$E$3:$F$27,2,0)</f>
        <v>WAHOO</v>
      </c>
      <c r="I596" s="9" t="str">
        <f>RIGHT(TablaCosechas[[#This Row],[SECTOR/PISCINA]],2)</f>
        <v>19</v>
      </c>
      <c r="J596" s="9" t="str">
        <f>VLOOKUP(TablaCosechas[[#This Row],[COD]],Tabla7[#All],4,0)</f>
        <v>JUNIOR ESQUIVEL</v>
      </c>
      <c r="K596" s="179">
        <f>(TablaCosechas[[#This Row],[libras planta]]*454)/M596</f>
        <v>165638.21570680628</v>
      </c>
      <c r="L596" s="174">
        <v>6968.48</v>
      </c>
      <c r="M596" s="19">
        <v>19.100000000000001</v>
      </c>
      <c r="N596" s="9" t="str">
        <f>UPPER(TEXT(TablaCosechas[[#This Row],[COSECHA]],"MMMM"))</f>
        <v>NOVIEMBRE</v>
      </c>
      <c r="O596" s="9" t="str">
        <f>IF(A596="DO 29","BAP",IF(A596="RO 14","BAP",(VLOOKUP(TablaCosechas[[#This Row],[COD]],Tabla7[[CODIGO]:[CERTIFICACION]],3,0))))</f>
        <v>CONVENCIONAL</v>
      </c>
      <c r="P596" s="180">
        <f>+L596-E596</f>
        <v>568.47999999999956</v>
      </c>
      <c r="Q596" s="181">
        <f>+M596-F596</f>
        <v>0.60000000000000142</v>
      </c>
      <c r="R596" s="9"/>
    </row>
    <row r="597" spans="1:18" x14ac:dyDescent="0.25">
      <c r="A597" s="9" t="s">
        <v>258</v>
      </c>
      <c r="B597" s="9">
        <f>ROW() - ROW(TablaCosechas[[#Headers],[ID]]) - 4</f>
        <v>592</v>
      </c>
      <c r="C597" s="9" t="str">
        <f>LEFT(A597,2)</f>
        <v>TI</v>
      </c>
      <c r="D597" s="182" t="s">
        <v>366</v>
      </c>
      <c r="E597" s="178">
        <v>42200</v>
      </c>
      <c r="F597" s="19">
        <v>36.5</v>
      </c>
      <c r="G597" s="195">
        <v>45990</v>
      </c>
      <c r="H597" s="9" t="str">
        <f>VLOOKUP(TablaCosechas[[#This Row],[COD]],DATOS!$E$3:$F$27,2,0)</f>
        <v>TIBURON</v>
      </c>
      <c r="I597" s="9" t="str">
        <f>RIGHT(TablaCosechas[[#This Row],[SECTOR/PISCINA]],2)</f>
        <v>10</v>
      </c>
      <c r="J597" s="9" t="str">
        <f>VLOOKUP(TablaCosechas[[#This Row],[COD]],Tabla7[#All],4,0)</f>
        <v>ALFONSO GRUNAUER</v>
      </c>
      <c r="K597" s="179">
        <f>(TablaCosechas[[#This Row],[libras planta]]*454)/M597</f>
        <v>569318.16069428902</v>
      </c>
      <c r="L597" s="174">
        <v>44793.05</v>
      </c>
      <c r="M597" s="19">
        <v>35.72</v>
      </c>
      <c r="N597" s="9" t="str">
        <f>UPPER(TEXT(TablaCosechas[[#This Row],[COSECHA]],"MMMM"))</f>
        <v>NOVIEMBRE</v>
      </c>
      <c r="O597" s="9" t="str">
        <f>IF(A597="DO 29","BAP",IF(A597="RO 14","BAP",(VLOOKUP(TablaCosechas[[#This Row],[COD]],Tabla7[[CODIGO]:[CERTIFICACION]],3,0))))</f>
        <v>ASC</v>
      </c>
      <c r="P597" s="180">
        <f>+L597-E597</f>
        <v>2593.0500000000029</v>
      </c>
      <c r="Q597" s="181">
        <f>+M597-F597</f>
        <v>-0.78000000000000114</v>
      </c>
      <c r="R597" s="9"/>
    </row>
    <row r="598" spans="1:18" x14ac:dyDescent="0.25">
      <c r="A598" s="9" t="s">
        <v>128</v>
      </c>
      <c r="B598" s="9">
        <f>ROW() - ROW(TablaCosechas[[#Headers],[ID]]) - 4</f>
        <v>593</v>
      </c>
      <c r="C598" s="9" t="str">
        <f>LEFT(A598,2)</f>
        <v>PA</v>
      </c>
      <c r="D598" s="182" t="s">
        <v>367</v>
      </c>
      <c r="E598" s="178">
        <v>7800</v>
      </c>
      <c r="F598" s="19">
        <v>16</v>
      </c>
      <c r="G598" s="195">
        <v>45990</v>
      </c>
      <c r="H598" s="9" t="str">
        <f>VLOOKUP(TablaCosechas[[#This Row],[COD]],DATOS!$E$3:$F$26,2,0)</f>
        <v>PAMPANO</v>
      </c>
      <c r="I598" s="9" t="str">
        <f>RIGHT(TablaCosechas[[#This Row],[SECTOR/PISCINA]],2)</f>
        <v>14</v>
      </c>
      <c r="J598" s="9" t="str">
        <f>VLOOKUP(TablaCosechas[[#This Row],[COD]],Tabla7[#All],4,0)</f>
        <v>GUSTAVO CARRASCO</v>
      </c>
      <c r="K598" s="179">
        <f>(TablaCosechas[[#This Row],[libras planta]]*454)/M598</f>
        <v>205959.6910669975</v>
      </c>
      <c r="L598" s="174">
        <v>7312.93</v>
      </c>
      <c r="M598" s="19">
        <v>16.12</v>
      </c>
      <c r="N598" s="9" t="str">
        <f>UPPER(TEXT(TablaCosechas[[#This Row],[COSECHA]],"MMMM"))</f>
        <v>NOVIEMBRE</v>
      </c>
      <c r="O598" s="9" t="str">
        <f>IF(A598="DO 29","BAP",IF(A598="RO 14","BAP",(VLOOKUP(TablaCosechas[[#This Row],[COD]],Tabla7[[CODIGO]:[CERTIFICACION]],3,0))))</f>
        <v>ASC</v>
      </c>
      <c r="P598" s="180">
        <f>+L598-E598</f>
        <v>-487.06999999999971</v>
      </c>
      <c r="Q598" s="181">
        <f>+M598-F598</f>
        <v>0.12000000000000099</v>
      </c>
      <c r="R598" s="9"/>
    </row>
    <row r="599" spans="1:18" x14ac:dyDescent="0.25">
      <c r="A599" s="9" t="s">
        <v>321</v>
      </c>
      <c r="B599" s="9">
        <f>ROW() - ROW(TablaCosechas[[#Headers],[ID]]) - 4</f>
        <v>594</v>
      </c>
      <c r="C599" s="9" t="str">
        <f>LEFT(A599,2)</f>
        <v>GT</v>
      </c>
      <c r="D599" s="182" t="s">
        <v>367</v>
      </c>
      <c r="E599" s="178">
        <v>4200</v>
      </c>
      <c r="F599" s="19">
        <v>21</v>
      </c>
      <c r="G599" s="195">
        <v>45990</v>
      </c>
      <c r="H599" s="9" t="str">
        <f>VLOOKUP(TablaCosechas[[#This Row],[COD]],DATOS!$E$3:$F$27,2,0)</f>
        <v>GUATO</v>
      </c>
      <c r="I599" s="9" t="str">
        <f>RIGHT(TablaCosechas[[#This Row],[SECTOR/PISCINA]],2)</f>
        <v>02</v>
      </c>
      <c r="J599" s="9" t="str">
        <f>VLOOKUP(TablaCosechas[[#This Row],[COD]],Tabla7[#All],4,0)</f>
        <v>JULIO SANTOS</v>
      </c>
      <c r="K599" s="179">
        <f>(TablaCosechas[[#This Row],[libras planta]]*454)/M599</f>
        <v>84353.771582733825</v>
      </c>
      <c r="L599" s="174">
        <v>4132.22</v>
      </c>
      <c r="M599" s="19">
        <v>22.24</v>
      </c>
      <c r="N599" s="9" t="str">
        <f>UPPER(TEXT(TablaCosechas[[#This Row],[COSECHA]],"MMMM"))</f>
        <v>NOVIEMBRE</v>
      </c>
      <c r="O599" s="9" t="str">
        <f>IF(A599="DO 29","BAP",IF(A599="RO 14","BAP",(VLOOKUP(TablaCosechas[[#This Row],[COD]],Tabla7[[CODIGO]:[CERTIFICACION]],3,0))))</f>
        <v>CONVENCIONAL</v>
      </c>
      <c r="P599" s="180">
        <f>+L599-E599</f>
        <v>-67.779999999999745</v>
      </c>
      <c r="Q599" s="181">
        <f>+M599-F599</f>
        <v>1.2399999999999984</v>
      </c>
      <c r="R599" s="9"/>
    </row>
    <row r="600" spans="1:18" x14ac:dyDescent="0.25">
      <c r="A600" s="9" t="s">
        <v>297</v>
      </c>
      <c r="B600" s="9">
        <f>ROW() - ROW(TablaCosechas[[#Headers],[ID]]) - 4</f>
        <v>595</v>
      </c>
      <c r="C600" s="9" t="str">
        <f>LEFT(A600,2)</f>
        <v>DO</v>
      </c>
      <c r="D600" s="182" t="s">
        <v>367</v>
      </c>
      <c r="E600" s="178">
        <v>23700</v>
      </c>
      <c r="F600" s="19">
        <v>26</v>
      </c>
      <c r="G600" s="195">
        <v>45990</v>
      </c>
      <c r="H600" s="9" t="str">
        <f>VLOOKUP(TablaCosechas[[#This Row],[COD]],DATOS!$E$3:$F$27,2,0)</f>
        <v>DORADO</v>
      </c>
      <c r="I600" s="9" t="str">
        <f>RIGHT(TablaCosechas[[#This Row],[SECTOR/PISCINA]],2)</f>
        <v>18</v>
      </c>
      <c r="J600" s="9" t="str">
        <f>VLOOKUP(TablaCosechas[[#This Row],[COD]],Tabla7[#All],4,0)</f>
        <v>JOSE CEDEÑO</v>
      </c>
      <c r="K600" s="179">
        <f>(TablaCosechas[[#This Row],[libras planta]]*454)/M600</f>
        <v>327776.33472222218</v>
      </c>
      <c r="L600" s="174">
        <v>20792.86</v>
      </c>
      <c r="M600" s="19">
        <v>28.8</v>
      </c>
      <c r="N600" s="9" t="str">
        <f>UPPER(TEXT(TablaCosechas[[#This Row],[COSECHA]],"MMMM"))</f>
        <v>NOVIEMBRE</v>
      </c>
      <c r="O600" s="9" t="str">
        <f>IF(A600="DO 29","BAP",IF(A600="RO 14","BAP",(VLOOKUP(TablaCosechas[[#This Row],[COD]],Tabla7[[CODIGO]:[CERTIFICACION]],3,0))))</f>
        <v>ASC</v>
      </c>
      <c r="P600" s="180">
        <f>+L600-E600</f>
        <v>-2907.1399999999994</v>
      </c>
      <c r="Q600" s="181">
        <f>+M600-F600</f>
        <v>2.8000000000000007</v>
      </c>
      <c r="R600" s="9"/>
    </row>
    <row r="601" spans="1:18" x14ac:dyDescent="0.25">
      <c r="A601" s="9" t="s">
        <v>28</v>
      </c>
      <c r="B601" s="9">
        <f>ROW() - ROW(TablaCosechas[[#Headers],[ID]]) - 4</f>
        <v>596</v>
      </c>
      <c r="C601" s="9" t="str">
        <f>LEFT(A601,2)</f>
        <v>CH</v>
      </c>
      <c r="D601" s="182" t="s">
        <v>367</v>
      </c>
      <c r="E601" s="178">
        <v>5500</v>
      </c>
      <c r="F601" s="19">
        <v>28.5</v>
      </c>
      <c r="G601" s="195">
        <v>45990</v>
      </c>
      <c r="H601" s="9" t="str">
        <f>VLOOKUP(TablaCosechas[[#This Row],[COD]],DATOS!$E$3:$F$26,2,0)</f>
        <v>CHERNA</v>
      </c>
      <c r="I601" s="9" t="str">
        <f>RIGHT(TablaCosechas[[#This Row],[SECTOR/PISCINA]],2)</f>
        <v>22</v>
      </c>
      <c r="J601" s="9" t="str">
        <f>VLOOKUP(TablaCosechas[[#This Row],[COD]],Tabla7[#All],4,0)</f>
        <v>SANTIAGO OBRIEN</v>
      </c>
      <c r="K601" s="179">
        <f>(TablaCosechas[[#This Row],[libras planta]]*454)/M601</f>
        <v>91192.06142857144</v>
      </c>
      <c r="L601" s="174">
        <v>5624.18</v>
      </c>
      <c r="M601" s="19">
        <v>28</v>
      </c>
      <c r="N601" s="9" t="str">
        <f>UPPER(TEXT(TablaCosechas[[#This Row],[COSECHA]],"MMMM"))</f>
        <v>NOVIEMBRE</v>
      </c>
      <c r="O601" s="9" t="str">
        <f>IF(A601="DO 29","BAP",IF(A601="RO 14","BAP",(VLOOKUP(TablaCosechas[[#This Row],[COD]],Tabla7[[CODIGO]:[CERTIFICACION]],3,0))))</f>
        <v>ASC</v>
      </c>
      <c r="P601" s="180">
        <f>+L601-E601</f>
        <v>124.18000000000029</v>
      </c>
      <c r="Q601" s="181">
        <f>+M601-F601</f>
        <v>-0.5</v>
      </c>
      <c r="R601" s="9"/>
    </row>
    <row r="602" spans="1:18" x14ac:dyDescent="0.25">
      <c r="A602" s="9" t="s">
        <v>349</v>
      </c>
      <c r="B602" s="9">
        <f>ROW() - ROW(TablaCosechas[[#Headers],[ID]]) - 4</f>
        <v>597</v>
      </c>
      <c r="C602" s="9" t="str">
        <f>LEFT(A602,2)</f>
        <v>WA</v>
      </c>
      <c r="D602" s="182" t="s">
        <v>367</v>
      </c>
      <c r="E602" s="178">
        <v>8100</v>
      </c>
      <c r="F602" s="19">
        <v>18</v>
      </c>
      <c r="G602" s="195">
        <v>45991</v>
      </c>
      <c r="H602" s="9" t="str">
        <f>VLOOKUP(TablaCosechas[[#This Row],[COD]],DATOS!$E$3:$F$27,2,0)</f>
        <v>WAHOO</v>
      </c>
      <c r="I602" s="9" t="str">
        <f>RIGHT(TablaCosechas[[#This Row],[SECTOR/PISCINA]],2)</f>
        <v>28</v>
      </c>
      <c r="J602" s="9" t="str">
        <f>VLOOKUP(TablaCosechas[[#This Row],[COD]],Tabla7[#All],4,0)</f>
        <v>JUNIOR ESQUIVEL</v>
      </c>
      <c r="K602" s="179">
        <f>(TablaCosechas[[#This Row],[libras planta]]*454)/M602</f>
        <v>237659.84229828848</v>
      </c>
      <c r="L602" s="174">
        <v>8564.1299999999992</v>
      </c>
      <c r="M602" s="19">
        <v>16.36</v>
      </c>
      <c r="N602" s="9" t="str">
        <f>UPPER(TEXT(TablaCosechas[[#This Row],[COSECHA]],"MMMM"))</f>
        <v>NOVIEMBRE</v>
      </c>
      <c r="O602" s="9" t="str">
        <f>IF(A602="DO 29","BAP",IF(A602="RO 14","BAP",(VLOOKUP(TablaCosechas[[#This Row],[COD]],Tabla7[[CODIGO]:[CERTIFICACION]],3,0))))</f>
        <v>CONVENCIONAL</v>
      </c>
      <c r="P602" s="180">
        <f>+L602-E602</f>
        <v>464.1299999999992</v>
      </c>
      <c r="Q602" s="181">
        <f>+M602-F602</f>
        <v>-1.6400000000000006</v>
      </c>
      <c r="R602" s="9"/>
    </row>
    <row r="603" spans="1:18" x14ac:dyDescent="0.25">
      <c r="A603" s="9" t="s">
        <v>315</v>
      </c>
      <c r="B603" s="9">
        <f>ROW() - ROW(TablaCosechas[[#Headers],[ID]]) - 4</f>
        <v>598</v>
      </c>
      <c r="C603" s="9" t="str">
        <f>LEFT(A603,2)</f>
        <v>TI</v>
      </c>
      <c r="D603" s="182" t="s">
        <v>367</v>
      </c>
      <c r="E603" s="178">
        <v>16200</v>
      </c>
      <c r="F603" s="19">
        <v>26</v>
      </c>
      <c r="G603" s="195">
        <v>45991</v>
      </c>
      <c r="H603" s="9" t="str">
        <f>VLOOKUP(TablaCosechas[[#This Row],[COD]],DATOS!$E$3:$F$27,2,0)</f>
        <v>TIBURON</v>
      </c>
      <c r="I603" s="9" t="str">
        <f>RIGHT(TablaCosechas[[#This Row],[SECTOR/PISCINA]],2)</f>
        <v>05</v>
      </c>
      <c r="J603" s="9" t="str">
        <f>VLOOKUP(TablaCosechas[[#This Row],[COD]],Tabla7[#All],4,0)</f>
        <v>ALFONSO GRUNAUER</v>
      </c>
      <c r="K603" s="179">
        <f>(TablaCosechas[[#This Row],[libras planta]]*454)/M603</f>
        <v>284610.95429472026</v>
      </c>
      <c r="L603" s="174">
        <v>15910.63</v>
      </c>
      <c r="M603" s="19">
        <v>25.38</v>
      </c>
      <c r="N603" s="9" t="str">
        <f>UPPER(TEXT(TablaCosechas[[#This Row],[COSECHA]],"MMMM"))</f>
        <v>NOVIEMBRE</v>
      </c>
      <c r="O603" s="9" t="str">
        <f>IF(A603="DO 29","BAP",IF(A603="RO 14","BAP",(VLOOKUP(TablaCosechas[[#This Row],[COD]],Tabla7[[CODIGO]:[CERTIFICACION]],3,0))))</f>
        <v>ASC</v>
      </c>
      <c r="P603" s="180">
        <f>+L603-E603</f>
        <v>-289.3700000000008</v>
      </c>
      <c r="Q603" s="181">
        <f>+M603-F603</f>
        <v>-0.62000000000000099</v>
      </c>
      <c r="R603" s="9"/>
    </row>
    <row r="604" spans="1:18" x14ac:dyDescent="0.25">
      <c r="A604" s="9" t="s">
        <v>306</v>
      </c>
      <c r="B604" s="9">
        <f>ROW() - ROW(TablaCosechas[[#Headers],[ID]]) - 4</f>
        <v>599</v>
      </c>
      <c r="C604" s="9" t="str">
        <f>LEFT(A604,2)</f>
        <v>PA</v>
      </c>
      <c r="D604" s="182" t="s">
        <v>367</v>
      </c>
      <c r="E604" s="178">
        <v>13600</v>
      </c>
      <c r="F604" s="19">
        <v>23</v>
      </c>
      <c r="G604" s="195">
        <v>45991</v>
      </c>
      <c r="H604" s="9" t="str">
        <f>VLOOKUP(TablaCosechas[[#This Row],[COD]],DATOS!$E$3:$F$26,2,0)</f>
        <v>PAMPANO</v>
      </c>
      <c r="I604" s="9" t="str">
        <f>RIGHT(TablaCosechas[[#This Row],[SECTOR/PISCINA]],2)</f>
        <v>17</v>
      </c>
      <c r="J604" s="9" t="str">
        <f>VLOOKUP(TablaCosechas[[#This Row],[COD]],Tabla7[#All],4,0)</f>
        <v>GUSTAVO CARRASCO</v>
      </c>
      <c r="K604" s="179">
        <f>(TablaCosechas[[#This Row],[libras planta]]*454)/M604</f>
        <v>284494.07685810811</v>
      </c>
      <c r="L604" s="174">
        <v>14838.81</v>
      </c>
      <c r="M604" s="19">
        <v>23.68</v>
      </c>
      <c r="N604" s="9" t="str">
        <f>UPPER(TEXT(TablaCosechas[[#This Row],[COSECHA]],"MMMM"))</f>
        <v>NOVIEMBRE</v>
      </c>
      <c r="O604" s="9" t="str">
        <f>IF(A604="DO 29","BAP",IF(A604="RO 14","BAP",(VLOOKUP(TablaCosechas[[#This Row],[COD]],Tabla7[[CODIGO]:[CERTIFICACION]],3,0))))</f>
        <v>ASC</v>
      </c>
      <c r="P604" s="180">
        <f>+L604-E604</f>
        <v>1238.8099999999995</v>
      </c>
      <c r="Q604" s="181">
        <f>+M604-F604</f>
        <v>0.67999999999999972</v>
      </c>
      <c r="R604" s="9"/>
    </row>
    <row r="605" spans="1:18" x14ac:dyDescent="0.25">
      <c r="A605" s="9" t="s">
        <v>274</v>
      </c>
      <c r="B605" s="9">
        <f>ROW() - ROW(TablaCosechas[[#Headers],[ID]]) - 4</f>
        <v>600</v>
      </c>
      <c r="C605" s="9" t="str">
        <f>LEFT(A605,2)</f>
        <v>ME</v>
      </c>
      <c r="D605" s="182" t="s">
        <v>367</v>
      </c>
      <c r="E605" s="178">
        <v>5000</v>
      </c>
      <c r="F605" s="19">
        <v>24</v>
      </c>
      <c r="G605" s="195">
        <v>45991</v>
      </c>
      <c r="H605" s="9" t="str">
        <f>VLOOKUP(TablaCosechas[[#This Row],[COD]],DATOS!$E$3:$F$26,2,0)</f>
        <v>MERO</v>
      </c>
      <c r="I605" s="9" t="str">
        <f>RIGHT(TablaCosechas[[#This Row],[SECTOR/PISCINA]],2)</f>
        <v>04</v>
      </c>
      <c r="J605" s="9" t="str">
        <f>VLOOKUP(TablaCosechas[[#This Row],[COD]],Tabla7[#All],4,0)</f>
        <v>NESTOR MOGOLLON</v>
      </c>
      <c r="K605" s="179">
        <f>(TablaCosechas[[#This Row],[libras planta]]*454)/M605</f>
        <v>86301.722741433026</v>
      </c>
      <c r="L605" s="174">
        <v>4881.5600000000004</v>
      </c>
      <c r="M605" s="19">
        <v>25.68</v>
      </c>
      <c r="N605" s="9" t="str">
        <f>UPPER(TEXT(TablaCosechas[[#This Row],[COSECHA]],"MMMM"))</f>
        <v>NOVIEMBRE</v>
      </c>
      <c r="O605" s="9" t="str">
        <f>IF(A605="DO 29","BAP",IF(A605="RO 14","BAP",(VLOOKUP(TablaCosechas[[#This Row],[COD]],Tabla7[[CODIGO]:[CERTIFICACION]],3,0))))</f>
        <v>CONVENCIONAL</v>
      </c>
      <c r="P605" s="180">
        <f>+L605-E605</f>
        <v>-118.4399999999996</v>
      </c>
      <c r="Q605" s="181">
        <f>+M605-F605</f>
        <v>1.6799999999999997</v>
      </c>
      <c r="R605" s="9"/>
    </row>
    <row r="606" spans="1:18" x14ac:dyDescent="0.25">
      <c r="A606" s="9" t="s">
        <v>310</v>
      </c>
      <c r="B606" s="9">
        <f>ROW() - ROW(TablaCosechas[[#Headers],[ID]]) - 4</f>
        <v>601</v>
      </c>
      <c r="C606" s="9" t="str">
        <f>LEFT(A606,2)</f>
        <v>GT</v>
      </c>
      <c r="D606" s="182" t="s">
        <v>367</v>
      </c>
      <c r="E606" s="178">
        <v>4200</v>
      </c>
      <c r="F606" s="19">
        <v>28</v>
      </c>
      <c r="G606" s="195">
        <v>45991</v>
      </c>
      <c r="H606" s="9" t="str">
        <f>VLOOKUP(TablaCosechas[[#This Row],[COD]],DATOS!$E$3:$F$26,2,0)</f>
        <v>GUATO</v>
      </c>
      <c r="I606" s="9" t="str">
        <f>RIGHT(TablaCosechas[[#This Row],[SECTOR/PISCINA]],2)</f>
        <v>13</v>
      </c>
      <c r="J606" s="9" t="str">
        <f>VLOOKUP(TablaCosechas[[#This Row],[COD]],Tabla7[#All],4,0)</f>
        <v>JULIO SANTOS</v>
      </c>
      <c r="K606" s="179">
        <f>(TablaCosechas[[#This Row],[libras planta]]*454)/M606</f>
        <v>56073.953786906284</v>
      </c>
      <c r="L606" s="174">
        <v>3848.6</v>
      </c>
      <c r="M606" s="19">
        <v>31.16</v>
      </c>
      <c r="N606" s="9" t="str">
        <f>UPPER(TEXT(TablaCosechas[[#This Row],[COSECHA]],"MMMM"))</f>
        <v>NOVIEMBRE</v>
      </c>
      <c r="O606" s="9" t="str">
        <f>IF(A606="DO 29","BAP",IF(A606="RO 14","BAP",(VLOOKUP(TablaCosechas[[#This Row],[COD]],Tabla7[[CODIGO]:[CERTIFICACION]],3,0))))</f>
        <v>CONVENCIONAL</v>
      </c>
      <c r="P606" s="180">
        <f>+L606-E606</f>
        <v>-351.40000000000009</v>
      </c>
      <c r="Q606" s="181">
        <f>+M606-F606</f>
        <v>3.16</v>
      </c>
      <c r="R606" s="9"/>
    </row>
    <row r="607" spans="1:18" x14ac:dyDescent="0.25">
      <c r="A607" s="9" t="s">
        <v>30</v>
      </c>
      <c r="B607" s="9">
        <f>ROW() - ROW(TablaCosechas[[#Headers],[ID]]) - 4</f>
        <v>602</v>
      </c>
      <c r="C607" s="9" t="str">
        <f>LEFT(A607,2)</f>
        <v>CH</v>
      </c>
      <c r="D607" s="182" t="s">
        <v>367</v>
      </c>
      <c r="E607" s="178">
        <v>12800</v>
      </c>
      <c r="F607" s="19">
        <v>28</v>
      </c>
      <c r="G607" s="195">
        <v>45991</v>
      </c>
      <c r="H607" s="9" t="str">
        <f>VLOOKUP(TablaCosechas[[#This Row],[COD]],DATOS!$E$3:$F$27,2,0)</f>
        <v>CHERNA</v>
      </c>
      <c r="I607" s="9" t="str">
        <f>RIGHT(TablaCosechas[[#This Row],[SECTOR/PISCINA]],2)</f>
        <v>19</v>
      </c>
      <c r="J607" s="9" t="str">
        <f>VLOOKUP(TablaCosechas[[#This Row],[COD]],Tabla7[#All],4,0)</f>
        <v>SANTIAGO OBRIEN</v>
      </c>
      <c r="K607" s="179">
        <f>(TablaCosechas[[#This Row],[libras planta]]*454)/M607</f>
        <v>244575.86795491143</v>
      </c>
      <c r="L607" s="174">
        <v>13381.64</v>
      </c>
      <c r="M607" s="19">
        <v>24.84</v>
      </c>
      <c r="N607" s="9" t="str">
        <f>UPPER(TEXT(TablaCosechas[[#This Row],[COSECHA]],"MMMM"))</f>
        <v>NOVIEMBRE</v>
      </c>
      <c r="O607" s="9" t="str">
        <f>IF(A607="DO 29","BAP",IF(A607="RO 14","BAP",(VLOOKUP(TablaCosechas[[#This Row],[COD]],Tabla7[[CODIGO]:[CERTIFICACION]],3,0))))</f>
        <v>ASC</v>
      </c>
      <c r="P607" s="180">
        <f>+L607-E607</f>
        <v>581.63999999999942</v>
      </c>
      <c r="Q607" s="181">
        <f>+M607-F607</f>
        <v>-3.16</v>
      </c>
      <c r="R607" s="9"/>
    </row>
    <row r="608" spans="1:18" x14ac:dyDescent="0.25">
      <c r="A608" s="9" t="s">
        <v>317</v>
      </c>
      <c r="B608" s="9">
        <f>ROW() - ROW(TablaCosechas[[#Headers],[ID]]) - 4</f>
        <v>603</v>
      </c>
      <c r="C608" s="9" t="str">
        <f>LEFT(A608,2)</f>
        <v>CA</v>
      </c>
      <c r="D608" s="182" t="s">
        <v>367</v>
      </c>
      <c r="E608" s="178">
        <v>1400</v>
      </c>
      <c r="F608" s="19">
        <v>18</v>
      </c>
      <c r="G608" s="195">
        <v>45991</v>
      </c>
      <c r="H608" s="9" t="str">
        <f>VLOOKUP(TablaCosechas[[#This Row],[COD]],DATOS!$E$3:$F$26,2,0)</f>
        <v>CATANUDA</v>
      </c>
      <c r="I608" s="9" t="str">
        <f>RIGHT(TablaCosechas[[#This Row],[SECTOR/PISCINA]],2)</f>
        <v>13</v>
      </c>
      <c r="J608" s="9" t="str">
        <f>VLOOKUP(TablaCosechas[[#This Row],[COD]],Tabla7[#All],4,0)</f>
        <v>VICTOR QUINTANA</v>
      </c>
      <c r="K608" s="179">
        <f>(TablaCosechas[[#This Row],[libras planta]]*454)/M608</f>
        <v>29736.770242914976</v>
      </c>
      <c r="L608" s="174">
        <v>1294.27</v>
      </c>
      <c r="M608" s="19">
        <v>19.760000000000002</v>
      </c>
      <c r="N608" s="9" t="str">
        <f>UPPER(TEXT(TablaCosechas[[#This Row],[COSECHA]],"MMMM"))</f>
        <v>NOVIEMBRE</v>
      </c>
      <c r="O608" s="9" t="str">
        <f>IF(A608="DO 29","BAP",IF(A608="RO 14","BAP",(VLOOKUP(TablaCosechas[[#This Row],[COD]],Tabla7[[CODIGO]:[CERTIFICACION]],3,0))))</f>
        <v>ASC</v>
      </c>
      <c r="P608" s="180">
        <f>+L608-E608</f>
        <v>-105.73000000000002</v>
      </c>
      <c r="Q608" s="181">
        <f>+M608-F608</f>
        <v>1.7600000000000016</v>
      </c>
      <c r="R608" s="9"/>
    </row>
    <row r="609" spans="1:18" x14ac:dyDescent="0.25">
      <c r="A609" s="9" t="s">
        <v>316</v>
      </c>
      <c r="B609" s="9">
        <f>ROW() - ROW(TablaCosechas[[#Headers],[ID]]) - 4</f>
        <v>604</v>
      </c>
      <c r="C609" s="9" t="str">
        <f>LEFT(A609,2)</f>
        <v>CA</v>
      </c>
      <c r="D609" s="182" t="s">
        <v>367</v>
      </c>
      <c r="E609" s="178">
        <v>1000</v>
      </c>
      <c r="F609" s="19">
        <v>18</v>
      </c>
      <c r="G609" s="195">
        <v>45991</v>
      </c>
      <c r="H609" s="9" t="str">
        <f>VLOOKUP(TablaCosechas[[#This Row],[COD]],DATOS!$E$3:$F$26,2,0)</f>
        <v>CATANUDA</v>
      </c>
      <c r="I609" s="9" t="str">
        <f>RIGHT(TablaCosechas[[#This Row],[SECTOR/PISCINA]],2)</f>
        <v>12</v>
      </c>
      <c r="J609" s="9" t="str">
        <f>VLOOKUP(TablaCosechas[[#This Row],[COD]],Tabla7[#All],4,0)</f>
        <v>VICTOR QUINTANA</v>
      </c>
      <c r="K609" s="179">
        <f>(TablaCosechas[[#This Row],[libras planta]]*454)/M609</f>
        <v>28766.990243902441</v>
      </c>
      <c r="L609" s="174">
        <v>1039.1600000000001</v>
      </c>
      <c r="M609" s="19">
        <v>16.399999999999999</v>
      </c>
      <c r="N609" s="9" t="str">
        <f>UPPER(TEXT(TablaCosechas[[#This Row],[COSECHA]],"MMMM"))</f>
        <v>NOVIEMBRE</v>
      </c>
      <c r="O609" s="9" t="str">
        <f>IF(A609="DO 29","BAP",IF(A609="RO 14","BAP",(VLOOKUP(TablaCosechas[[#This Row],[COD]],Tabla7[[CODIGO]:[CERTIFICACION]],3,0))))</f>
        <v>ASC</v>
      </c>
      <c r="P609" s="180">
        <f>+L609-E609</f>
        <v>39.160000000000082</v>
      </c>
      <c r="Q609" s="181">
        <f>+M609-F609</f>
        <v>-1.6000000000000014</v>
      </c>
      <c r="R609" s="9"/>
    </row>
    <row r="610" spans="1:18" x14ac:dyDescent="0.25">
      <c r="A610" s="9" t="s">
        <v>351</v>
      </c>
      <c r="B610" s="9">
        <f>ROW() - ROW(TablaCosechas[[#Headers],[ID]]) - 4</f>
        <v>605</v>
      </c>
      <c r="C610" s="9" t="str">
        <f>LEFT(A610,2)</f>
        <v>WA</v>
      </c>
      <c r="D610" s="182" t="s">
        <v>367</v>
      </c>
      <c r="E610" s="178">
        <v>6100</v>
      </c>
      <c r="F610" s="19">
        <v>18</v>
      </c>
      <c r="G610" s="195">
        <v>45992</v>
      </c>
      <c r="H610" s="9" t="str">
        <f>VLOOKUP(TablaCosechas[[#This Row],[COD]],DATOS!$E$3:$F$27,2,0)</f>
        <v>WAHOO</v>
      </c>
      <c r="I610" s="9" t="str">
        <f>RIGHT(TablaCosechas[[#This Row],[SECTOR/PISCINA]],2)</f>
        <v>31</v>
      </c>
      <c r="J610" s="9" t="str">
        <f>VLOOKUP(TablaCosechas[[#This Row],[COD]],Tabla7[#All],4,0)</f>
        <v>JUNIOR ESQUIVEL</v>
      </c>
      <c r="K610" s="179">
        <f>(TablaCosechas[[#This Row],[libras planta]]*454)/M610</f>
        <v>145099.81875000001</v>
      </c>
      <c r="L610" s="174">
        <v>6136.38</v>
      </c>
      <c r="M610" s="19">
        <v>19.2</v>
      </c>
      <c r="N610" s="9" t="str">
        <f>UPPER(TEXT(TablaCosechas[[#This Row],[COSECHA]],"MMMM"))</f>
        <v>DICIEMBRE</v>
      </c>
      <c r="O610" s="9" t="str">
        <f>IF(A610="DO 29","BAP",IF(A610="RO 14","BAP",(VLOOKUP(TablaCosechas[[#This Row],[COD]],Tabla7[[CODIGO]:[CERTIFICACION]],3,0))))</f>
        <v>CONVENCIONAL</v>
      </c>
      <c r="P610" s="180">
        <f>+L610-E610</f>
        <v>36.380000000000109</v>
      </c>
      <c r="Q610" s="181">
        <f>+M610-F610</f>
        <v>1.1999999999999993</v>
      </c>
      <c r="R610" s="9"/>
    </row>
    <row r="611" spans="1:18" x14ac:dyDescent="0.25">
      <c r="A611" s="9" t="s">
        <v>289</v>
      </c>
      <c r="B611" s="9">
        <f>ROW() - ROW(TablaCosechas[[#Headers],[ID]]) - 4</f>
        <v>606</v>
      </c>
      <c r="C611" s="9" t="str">
        <f>LEFT(A611,2)</f>
        <v>TI</v>
      </c>
      <c r="D611" s="182" t="s">
        <v>367</v>
      </c>
      <c r="E611" s="178">
        <v>12200</v>
      </c>
      <c r="F611" s="19">
        <v>27</v>
      </c>
      <c r="G611" s="195">
        <v>45992</v>
      </c>
      <c r="H611" s="9" t="str">
        <f>VLOOKUP(TablaCosechas[[#This Row],[COD]],DATOS!$E$3:$F$26,2,0)</f>
        <v>TIBURON</v>
      </c>
      <c r="I611" s="9" t="str">
        <f>RIGHT(TablaCosechas[[#This Row],[SECTOR/PISCINA]],2)</f>
        <v>04</v>
      </c>
      <c r="J611" s="9" t="str">
        <f>VLOOKUP(TablaCosechas[[#This Row],[COD]],Tabla7[#All],4,0)</f>
        <v>ALFONSO GRUNAUER</v>
      </c>
      <c r="K611" s="179">
        <f>(TablaCosechas[[#This Row],[libras planta]]*454)/M611</f>
        <v>175614.27049180327</v>
      </c>
      <c r="L611" s="174">
        <v>11325.96</v>
      </c>
      <c r="M611" s="19">
        <v>29.28</v>
      </c>
      <c r="N611" s="9" t="str">
        <f>UPPER(TEXT(TablaCosechas[[#This Row],[COSECHA]],"MMMM"))</f>
        <v>DICIEMBRE</v>
      </c>
      <c r="O611" s="9" t="str">
        <f>IF(A611="DO 29","BAP",IF(A611="RO 14","BAP",(VLOOKUP(TablaCosechas[[#This Row],[COD]],Tabla7[[CODIGO]:[CERTIFICACION]],3,0))))</f>
        <v>ASC</v>
      </c>
      <c r="P611" s="180">
        <f>+L611-E611</f>
        <v>-874.04000000000087</v>
      </c>
      <c r="Q611" s="181">
        <f>+M611-F611</f>
        <v>2.2800000000000011</v>
      </c>
      <c r="R611" s="9"/>
    </row>
    <row r="612" spans="1:18" x14ac:dyDescent="0.25">
      <c r="A612" s="9" t="s">
        <v>325</v>
      </c>
      <c r="B612" s="9">
        <f>ROW() - ROW(TablaCosechas[[#Headers],[ID]]) - 4</f>
        <v>607</v>
      </c>
      <c r="C612" s="9" t="str">
        <f>LEFT(A612,2)</f>
        <v>PA</v>
      </c>
      <c r="D612" s="182" t="s">
        <v>367</v>
      </c>
      <c r="E612" s="178">
        <v>22150</v>
      </c>
      <c r="F612" s="19">
        <v>27</v>
      </c>
      <c r="G612" s="195">
        <v>45992</v>
      </c>
      <c r="H612" s="9" t="str">
        <f>VLOOKUP(TablaCosechas[[#This Row],[COD]],DATOS!$E$3:$F$27,2,0)</f>
        <v>PAMPANO</v>
      </c>
      <c r="I612" s="9" t="str">
        <f>RIGHT(TablaCosechas[[#This Row],[SECTOR/PISCINA]],2)</f>
        <v>15</v>
      </c>
      <c r="J612" s="9" t="str">
        <f>VLOOKUP(TablaCosechas[[#This Row],[COD]],Tabla7[#All],4,0)</f>
        <v>GUSTAVO CARRASCO</v>
      </c>
      <c r="K612" s="179">
        <f>(TablaCosechas[[#This Row],[libras planta]]*454)/M612</f>
        <v>352147.68648266094</v>
      </c>
      <c r="L612" s="174">
        <v>21920.03</v>
      </c>
      <c r="M612" s="19">
        <v>28.26</v>
      </c>
      <c r="N612" s="9" t="str">
        <f>UPPER(TEXT(TablaCosechas[[#This Row],[COSECHA]],"MMMM"))</f>
        <v>DICIEMBRE</v>
      </c>
      <c r="O612" s="9" t="str">
        <f>IF(A612="DO 29","BAP",IF(A612="RO 14","BAP",(VLOOKUP(TablaCosechas[[#This Row],[COD]],Tabla7[[CODIGO]:[CERTIFICACION]],3,0))))</f>
        <v>ASC</v>
      </c>
      <c r="P612" s="180">
        <f>+L612-E612</f>
        <v>-229.97000000000116</v>
      </c>
      <c r="Q612" s="181">
        <f>+M612-F612</f>
        <v>1.2600000000000016</v>
      </c>
      <c r="R612" s="9"/>
    </row>
    <row r="613" spans="1:18" x14ac:dyDescent="0.25">
      <c r="A613" s="9" t="s">
        <v>282</v>
      </c>
      <c r="B613" s="9">
        <f>ROW() - ROW(TablaCosechas[[#Headers],[ID]]) - 4</f>
        <v>608</v>
      </c>
      <c r="C613" s="9" t="str">
        <f>LEFT(A613,2)</f>
        <v>ME</v>
      </c>
      <c r="D613" s="182" t="s">
        <v>367</v>
      </c>
      <c r="E613" s="178">
        <v>8000</v>
      </c>
      <c r="F613" s="19">
        <v>21</v>
      </c>
      <c r="G613" s="195">
        <v>45992</v>
      </c>
      <c r="H613" s="9" t="str">
        <f>VLOOKUP(TablaCosechas[[#This Row],[COD]],DATOS!$E$3:$F$26,2,0)</f>
        <v>MERO</v>
      </c>
      <c r="I613" s="9" t="str">
        <f>RIGHT(TablaCosechas[[#This Row],[SECTOR/PISCINA]],2)</f>
        <v>10</v>
      </c>
      <c r="J613" s="9" t="str">
        <f>VLOOKUP(TablaCosechas[[#This Row],[COD]],Tabla7[#All],4,0)</f>
        <v>NESTOR MOGOLLON</v>
      </c>
      <c r="K613" s="179">
        <f>(TablaCosechas[[#This Row],[libras planta]]*454)/M613</f>
        <v>163665.47504798466</v>
      </c>
      <c r="L613" s="174">
        <v>7512.75</v>
      </c>
      <c r="M613" s="19">
        <v>20.84</v>
      </c>
      <c r="N613" s="9" t="str">
        <f>UPPER(TEXT(TablaCosechas[[#This Row],[COSECHA]],"MMMM"))</f>
        <v>DICIEMBRE</v>
      </c>
      <c r="O613" s="9" t="str">
        <f>IF(A613="DO 29","BAP",IF(A613="RO 14","BAP",(VLOOKUP(TablaCosechas[[#This Row],[COD]],Tabla7[[CODIGO]:[CERTIFICACION]],3,0))))</f>
        <v>CONVENCIONAL</v>
      </c>
      <c r="P613" s="180">
        <f>+L613-E613</f>
        <v>-487.25</v>
      </c>
      <c r="Q613" s="181">
        <f>+M613-F613</f>
        <v>-0.16000000000000014</v>
      </c>
      <c r="R613" s="9"/>
    </row>
    <row r="614" spans="1:18" x14ac:dyDescent="0.25">
      <c r="A614" s="9" t="s">
        <v>12</v>
      </c>
      <c r="B614" s="9">
        <f>ROW() - ROW(TablaCosechas[[#Headers],[ID]]) - 4</f>
        <v>609</v>
      </c>
      <c r="C614" s="9" t="str">
        <f>LEFT(A614,2)</f>
        <v>CH</v>
      </c>
      <c r="D614" s="182" t="s">
        <v>367</v>
      </c>
      <c r="E614" s="178">
        <v>7200</v>
      </c>
      <c r="F614" s="19">
        <v>24</v>
      </c>
      <c r="G614" s="195">
        <v>45992</v>
      </c>
      <c r="H614" s="9" t="str">
        <f>VLOOKUP(TablaCosechas[[#This Row],[COD]],DATOS!$E$3:$F$27,2,0)</f>
        <v>CHERNA</v>
      </c>
      <c r="I614" s="9" t="str">
        <f>RIGHT(TablaCosechas[[#This Row],[SECTOR/PISCINA]],2)</f>
        <v>06</v>
      </c>
      <c r="J614" s="9" t="str">
        <f>VLOOKUP(TablaCosechas[[#This Row],[COD]],Tabla7[#All],4,0)</f>
        <v>SANTIAGO OBRIEN</v>
      </c>
      <c r="K614" s="179">
        <f>(TablaCosechas[[#This Row],[libras planta]]*454)/M614</f>
        <v>145577.50757575757</v>
      </c>
      <c r="L614" s="174">
        <v>7618.77</v>
      </c>
      <c r="M614" s="19">
        <v>23.76</v>
      </c>
      <c r="N614" s="9" t="str">
        <f>UPPER(TEXT(TablaCosechas[[#This Row],[COSECHA]],"MMMM"))</f>
        <v>DICIEMBRE</v>
      </c>
      <c r="O614" s="9" t="str">
        <f>IF(A614="DO 29","BAP",IF(A614="RO 14","BAP",(VLOOKUP(TablaCosechas[[#This Row],[COD]],Tabla7[[CODIGO]:[CERTIFICACION]],3,0))))</f>
        <v>ASC</v>
      </c>
      <c r="P614" s="180">
        <f>+L614-E614</f>
        <v>418.77000000000044</v>
      </c>
      <c r="Q614" s="181">
        <f>+M614-F614</f>
        <v>-0.23999999999999844</v>
      </c>
      <c r="R614" s="9"/>
    </row>
    <row r="615" spans="1:18" x14ac:dyDescent="0.25">
      <c r="A615" s="9" t="s">
        <v>114</v>
      </c>
      <c r="B615" s="9">
        <f>ROW() - ROW(TablaCosechas[[#Headers],[ID]]) - 4</f>
        <v>610</v>
      </c>
      <c r="C615" s="9" t="str">
        <f>LEFT(A615,2)</f>
        <v>CA</v>
      </c>
      <c r="D615" s="182" t="s">
        <v>367</v>
      </c>
      <c r="E615" s="178">
        <v>6400</v>
      </c>
      <c r="F615" s="19">
        <v>18</v>
      </c>
      <c r="G615" s="195">
        <v>45992</v>
      </c>
      <c r="H615" s="9" t="str">
        <f>VLOOKUP(TablaCosechas[[#This Row],[COD]],DATOS!$E$3:$F$27,2,0)</f>
        <v>CATANUDA</v>
      </c>
      <c r="I615" s="9" t="str">
        <f>RIGHT(TablaCosechas[[#This Row],[SECTOR/PISCINA]],2)</f>
        <v>18</v>
      </c>
      <c r="J615" s="9" t="str">
        <f>VLOOKUP(TablaCosechas[[#This Row],[COD]],Tabla7[#All],4,0)</f>
        <v>VICTOR QUINTANA</v>
      </c>
      <c r="K615" s="179">
        <f>(TablaCosechas[[#This Row],[libras planta]]*454)/M615</f>
        <v>136736.41268382352</v>
      </c>
      <c r="L615" s="174">
        <v>6553.71</v>
      </c>
      <c r="M615" s="19">
        <v>21.76</v>
      </c>
      <c r="N615" s="9" t="str">
        <f>UPPER(TEXT(TablaCosechas[[#This Row],[COSECHA]],"MMMM"))</f>
        <v>DICIEMBRE</v>
      </c>
      <c r="O615" s="9" t="str">
        <f>IF(A615="DO 29","BAP",IF(A615="RO 14","BAP",(VLOOKUP(TablaCosechas[[#This Row],[COD]],Tabla7[[CODIGO]:[CERTIFICACION]],3,0))))</f>
        <v>ASC</v>
      </c>
      <c r="P615" s="180">
        <f>+L615-E615</f>
        <v>153.71000000000004</v>
      </c>
      <c r="Q615" s="181">
        <f>+M615-F615</f>
        <v>3.7600000000000016</v>
      </c>
      <c r="R615" s="9"/>
    </row>
    <row r="616" spans="1:18" x14ac:dyDescent="0.25">
      <c r="A616" s="9" t="s">
        <v>322</v>
      </c>
      <c r="B616" s="9">
        <f>ROW() - ROW(TablaCosechas[[#Headers],[ID]]) - 4</f>
        <v>611</v>
      </c>
      <c r="C616" s="9" t="str">
        <f>LEFT(A616,2)</f>
        <v>TI</v>
      </c>
      <c r="D616" s="182" t="s">
        <v>367</v>
      </c>
      <c r="E616" s="178">
        <v>8200</v>
      </c>
      <c r="F616" s="19">
        <v>25</v>
      </c>
      <c r="G616" s="195">
        <v>45993</v>
      </c>
      <c r="H616" s="9" t="str">
        <f>VLOOKUP(TablaCosechas[[#This Row],[COD]],DATOS!$E$3:$F$26,2,0)</f>
        <v>TIBURON</v>
      </c>
      <c r="I616" s="9" t="str">
        <f>RIGHT(TablaCosechas[[#This Row],[SECTOR/PISCINA]],2)</f>
        <v>12</v>
      </c>
      <c r="J616" s="9" t="str">
        <f>VLOOKUP(TablaCosechas[[#This Row],[COD]],Tabla7[#All],4,0)</f>
        <v>ALFONSO GRUNAUER</v>
      </c>
      <c r="K616" s="179">
        <f>(TablaCosechas[[#This Row],[libras planta]]*454)/M616</f>
        <v>153613.21056721057</v>
      </c>
      <c r="L616" s="174">
        <v>8709.26</v>
      </c>
      <c r="M616" s="19">
        <v>25.74</v>
      </c>
      <c r="N616" s="9" t="str">
        <f>UPPER(TEXT(TablaCosechas[[#This Row],[COSECHA]],"MMMM"))</f>
        <v>DICIEMBRE</v>
      </c>
      <c r="O616" s="9" t="str">
        <f>IF(A616="DO 29","BAP",IF(A616="RO 14","BAP",(VLOOKUP(TablaCosechas[[#This Row],[COD]],Tabla7[[CODIGO]:[CERTIFICACION]],3,0))))</f>
        <v>ASC</v>
      </c>
      <c r="P616" s="180">
        <f>+L616-E616</f>
        <v>509.26000000000022</v>
      </c>
      <c r="Q616" s="181">
        <f>+M616-F616</f>
        <v>0.73999999999999844</v>
      </c>
      <c r="R616" s="9"/>
    </row>
    <row r="617" spans="1:18" x14ac:dyDescent="0.25">
      <c r="A617" s="9" t="s">
        <v>264</v>
      </c>
      <c r="B617" s="9">
        <f>ROW() - ROW(TablaCosechas[[#Headers],[ID]]) - 4</f>
        <v>612</v>
      </c>
      <c r="C617" s="9" t="str">
        <f>LEFT(A617,2)</f>
        <v>RO</v>
      </c>
      <c r="D617" s="182" t="s">
        <v>366</v>
      </c>
      <c r="E617" s="178">
        <v>60000</v>
      </c>
      <c r="F617" s="19">
        <v>34</v>
      </c>
      <c r="G617" s="195">
        <v>45993</v>
      </c>
      <c r="H617" s="9" t="str">
        <f>VLOOKUP(TablaCosechas[[#This Row],[COD]],DATOS!$E$3:$F$27,2,0)</f>
        <v>ROBALO</v>
      </c>
      <c r="I617" s="9" t="str">
        <f>RIGHT(TablaCosechas[[#This Row],[SECTOR/PISCINA]],2)</f>
        <v>04</v>
      </c>
      <c r="J617" s="9" t="str">
        <f>VLOOKUP(TablaCosechas[[#This Row],[COD]],Tabla7[#All],4,0)</f>
        <v>VICTOR QUINTANA</v>
      </c>
      <c r="K617" s="179">
        <f>(TablaCosechas[[#This Row],[libras planta]]*454)/M617</f>
        <v>674726.71301700082</v>
      </c>
      <c r="L617" s="174">
        <v>58570.44</v>
      </c>
      <c r="M617" s="19">
        <v>39.409999999999997</v>
      </c>
      <c r="N617" s="9" t="str">
        <f>UPPER(TEXT(TablaCosechas[[#This Row],[COSECHA]],"MMMM"))</f>
        <v>DICIEMBRE</v>
      </c>
      <c r="O617" s="9" t="str">
        <f>IF(A617="DO 29","BAP",IF(A617="RO 14","BAP",(VLOOKUP(TablaCosechas[[#This Row],[COD]],Tabla7[[CODIGO]:[CERTIFICACION]],3,0))))</f>
        <v>ASC</v>
      </c>
      <c r="P617" s="180">
        <f>+L617-E617</f>
        <v>-1429.5599999999977</v>
      </c>
      <c r="Q617" s="181">
        <f>+M617-F617</f>
        <v>5.4099999999999966</v>
      </c>
      <c r="R617" s="9"/>
    </row>
    <row r="618" spans="1:18" x14ac:dyDescent="0.25">
      <c r="A618" s="9" t="s">
        <v>327</v>
      </c>
      <c r="B618" s="9">
        <f>ROW() - ROW(TablaCosechas[[#Headers],[ID]]) - 4</f>
        <v>613</v>
      </c>
      <c r="C618" s="9" t="str">
        <f>LEFT(A618,2)</f>
        <v>GT</v>
      </c>
      <c r="D618" s="182" t="s">
        <v>367</v>
      </c>
      <c r="E618" s="178">
        <v>4450</v>
      </c>
      <c r="F618" s="19">
        <v>20</v>
      </c>
      <c r="G618" s="195">
        <v>45993</v>
      </c>
      <c r="H618" s="9" t="str">
        <f>VLOOKUP(TablaCosechas[[#This Row],[COD]],DATOS!$E$3:$F$27,2,0)</f>
        <v>GUATO</v>
      </c>
      <c r="I618" s="9" t="str">
        <f>RIGHT(TablaCosechas[[#This Row],[SECTOR/PISCINA]],2)</f>
        <v>08</v>
      </c>
      <c r="J618" s="9" t="str">
        <f>VLOOKUP(TablaCosechas[[#This Row],[COD]],Tabla7[#All],4,0)</f>
        <v>JULIO SANTOS</v>
      </c>
      <c r="K618" s="179">
        <f>(TablaCosechas[[#This Row],[libras planta]]*454)/M618</f>
        <v>102657.25248508944</v>
      </c>
      <c r="L618" s="174">
        <v>4549.4799999999996</v>
      </c>
      <c r="M618" s="19">
        <v>20.12</v>
      </c>
      <c r="N618" s="9" t="str">
        <f>UPPER(TEXT(TablaCosechas[[#This Row],[COSECHA]],"MMMM"))</f>
        <v>DICIEMBRE</v>
      </c>
      <c r="O618" s="9" t="str">
        <f>IF(A618="DO 29","BAP",IF(A618="RO 14","BAP",(VLOOKUP(TablaCosechas[[#This Row],[COD]],Tabla7[[CODIGO]:[CERTIFICACION]],3,0))))</f>
        <v>CONVENCIONAL</v>
      </c>
      <c r="P618" s="180">
        <f>+L618-E618</f>
        <v>99.479999999999563</v>
      </c>
      <c r="Q618" s="181">
        <f>+M618-F618</f>
        <v>0.12000000000000099</v>
      </c>
      <c r="R618" s="9"/>
    </row>
    <row r="619" spans="1:18" x14ac:dyDescent="0.25">
      <c r="A619" s="9" t="s">
        <v>270</v>
      </c>
      <c r="B619" s="9">
        <f>ROW() - ROW(TablaCosechas[[#Headers],[ID]]) - 4</f>
        <v>614</v>
      </c>
      <c r="C619" s="9" t="str">
        <f>LEFT(A619,2)</f>
        <v>DO</v>
      </c>
      <c r="D619" s="182" t="s">
        <v>367</v>
      </c>
      <c r="E619" s="178">
        <v>8200</v>
      </c>
      <c r="F619" s="19">
        <v>31</v>
      </c>
      <c r="G619" s="195">
        <v>45993</v>
      </c>
      <c r="H619" s="9" t="str">
        <f>VLOOKUP(TablaCosechas[[#This Row],[COD]],DATOS!$E$3:$F$27,2,0)</f>
        <v>DORADO</v>
      </c>
      <c r="I619" s="9" t="str">
        <f>RIGHT(TablaCosechas[[#This Row],[SECTOR/PISCINA]],2)</f>
        <v>01</v>
      </c>
      <c r="J619" s="9" t="str">
        <f>VLOOKUP(TablaCosechas[[#This Row],[COD]],Tabla7[#All],4,0)</f>
        <v>JOSE CEDEÑO</v>
      </c>
      <c r="K619" s="179">
        <f>(TablaCosechas[[#This Row],[libras planta]]*454)/M619</f>
        <v>96363.294750158122</v>
      </c>
      <c r="L619" s="174">
        <v>6711.47</v>
      </c>
      <c r="M619" s="19">
        <v>31.62</v>
      </c>
      <c r="N619" s="9" t="str">
        <f>UPPER(TEXT(TablaCosechas[[#This Row],[COSECHA]],"MMMM"))</f>
        <v>DICIEMBRE</v>
      </c>
      <c r="O619" s="9" t="str">
        <f>IF(A619="DO 29","BAP",IF(A619="RO 14","BAP",(VLOOKUP(TablaCosechas[[#This Row],[COD]],Tabla7[[CODIGO]:[CERTIFICACION]],3,0))))</f>
        <v>ASC</v>
      </c>
      <c r="P619" s="180">
        <f>+L619-E619</f>
        <v>-1488.5299999999997</v>
      </c>
      <c r="Q619" s="181">
        <f>+M619-F619</f>
        <v>0.62000000000000099</v>
      </c>
      <c r="R619" s="9"/>
    </row>
    <row r="620" spans="1:18" x14ac:dyDescent="0.25">
      <c r="A620" s="9" t="s">
        <v>254</v>
      </c>
      <c r="B620" s="9">
        <f>ROW() - ROW(TablaCosechas[[#Headers],[ID]]) - 4</f>
        <v>615</v>
      </c>
      <c r="C620" s="9" t="str">
        <f>LEFT(A620,2)</f>
        <v>DE</v>
      </c>
      <c r="D620" s="182" t="s">
        <v>366</v>
      </c>
      <c r="E620" s="178">
        <v>35000</v>
      </c>
      <c r="F620" s="19">
        <v>28</v>
      </c>
      <c r="G620" s="195">
        <v>45993</v>
      </c>
      <c r="H620" s="9" t="str">
        <f>VLOOKUP(TablaCosechas[[#This Row],[COD]],DATOS!$E$3:$F$27,2,0)</f>
        <v>DELFIN</v>
      </c>
      <c r="I620" s="9" t="str">
        <f>RIGHT(TablaCosechas[[#This Row],[SECTOR/PISCINA]],2)</f>
        <v>12</v>
      </c>
      <c r="J620" s="9" t="str">
        <f>VLOOKUP(TablaCosechas[[#This Row],[COD]],Tabla7[#All],4,0)</f>
        <v>CARLOS FLORES</v>
      </c>
      <c r="K620" s="179">
        <f>(TablaCosechas[[#This Row],[libras planta]]*454)/M620</f>
        <v>613396.70647931297</v>
      </c>
      <c r="L620" s="174">
        <v>34615.03</v>
      </c>
      <c r="M620" s="19">
        <v>25.62</v>
      </c>
      <c r="N620" s="9" t="str">
        <f>UPPER(TEXT(TablaCosechas[[#This Row],[COSECHA]],"MMMM"))</f>
        <v>DICIEMBRE</v>
      </c>
      <c r="O620" s="9" t="str">
        <f>IF(A620="DO 29","BAP",IF(A620="RO 14","BAP",(VLOOKUP(TablaCosechas[[#This Row],[COD]],Tabla7[[CODIGO]:[CERTIFICACION]],3,0))))</f>
        <v>CONVENCIONAL</v>
      </c>
      <c r="P620" s="180">
        <f>+L620-E620</f>
        <v>-384.97000000000116</v>
      </c>
      <c r="Q620" s="181">
        <f>+M620-F620</f>
        <v>-2.379999999999999</v>
      </c>
      <c r="R620" s="9"/>
    </row>
    <row r="621" spans="1:18" x14ac:dyDescent="0.25">
      <c r="A621" s="9" t="s">
        <v>336</v>
      </c>
      <c r="B621" s="9">
        <f>ROW() - ROW(TablaCosechas[[#Headers],[ID]]) - 4</f>
        <v>616</v>
      </c>
      <c r="C621" s="9" t="str">
        <f>LEFT(A621,2)</f>
        <v>WA</v>
      </c>
      <c r="D621" s="182" t="s">
        <v>366</v>
      </c>
      <c r="E621" s="178">
        <v>18150</v>
      </c>
      <c r="F621" s="19">
        <v>19</v>
      </c>
      <c r="G621" s="195">
        <v>45994</v>
      </c>
      <c r="H621" s="9" t="str">
        <f>VLOOKUP(TablaCosechas[[#This Row],[COD]],DATOS!$E$3:$F$27,2,0)</f>
        <v>WAHOO</v>
      </c>
      <c r="I621" s="9" t="str">
        <f>RIGHT(TablaCosechas[[#This Row],[SECTOR/PISCINA]],2)</f>
        <v>12</v>
      </c>
      <c r="J621" s="9" t="str">
        <f>VLOOKUP(TablaCosechas[[#This Row],[COD]],Tabla7[#All],4,0)</f>
        <v>JUNIOR ESQUIVEL</v>
      </c>
      <c r="K621" s="179">
        <f>(TablaCosechas[[#This Row],[libras planta]]*454)/M621</f>
        <v>441197.06116207951</v>
      </c>
      <c r="L621" s="174">
        <v>19066.71</v>
      </c>
      <c r="M621" s="19">
        <v>19.62</v>
      </c>
      <c r="N621" s="9" t="str">
        <f>UPPER(TEXT(TablaCosechas[[#This Row],[COSECHA]],"MMMM"))</f>
        <v>DICIEMBRE</v>
      </c>
      <c r="O621" s="9" t="str">
        <f>IF(A621="DO 29","BAP",IF(A621="RO 14","BAP",(VLOOKUP(TablaCosechas[[#This Row],[COD]],Tabla7[[CODIGO]:[CERTIFICACION]],3,0))))</f>
        <v>CONVENCIONAL</v>
      </c>
      <c r="P621" s="180">
        <f>+L621-E621</f>
        <v>916.70999999999913</v>
      </c>
      <c r="Q621" s="181">
        <f>+M621-F621</f>
        <v>0.62000000000000099</v>
      </c>
      <c r="R621" s="9"/>
    </row>
    <row r="622" spans="1:18" x14ac:dyDescent="0.25">
      <c r="A622" s="9" t="s">
        <v>181</v>
      </c>
      <c r="B622" s="9">
        <f>ROW() - ROW(TablaCosechas[[#Headers],[ID]]) - 4</f>
        <v>617</v>
      </c>
      <c r="C622" s="9" t="str">
        <f>LEFT(A622,2)</f>
        <v>TA</v>
      </c>
      <c r="D622" s="182" t="s">
        <v>367</v>
      </c>
      <c r="E622" s="178">
        <v>20200</v>
      </c>
      <c r="F622" s="19">
        <v>29.5</v>
      </c>
      <c r="G622" s="195">
        <v>45994</v>
      </c>
      <c r="H622" s="9" t="str">
        <f>VLOOKUP(TablaCosechas[[#This Row],[COD]],DATOS!$E$3:$F$26,2,0)</f>
        <v>TAMBULERO</v>
      </c>
      <c r="I622" s="9" t="str">
        <f>RIGHT(TablaCosechas[[#This Row],[SECTOR/PISCINA]],2)</f>
        <v>10</v>
      </c>
      <c r="J622" s="9" t="str">
        <f>VLOOKUP(TablaCosechas[[#This Row],[COD]],Tabla7[#All],4,0)</f>
        <v>ALFONSO GRUNAUER</v>
      </c>
      <c r="K622" s="179">
        <f>(TablaCosechas[[#This Row],[libras planta]]*454)/M622</f>
        <v>323800.74882154883</v>
      </c>
      <c r="L622" s="174">
        <v>21182.560000000001</v>
      </c>
      <c r="M622" s="19">
        <v>29.7</v>
      </c>
      <c r="N622" s="9" t="str">
        <f>UPPER(TEXT(TablaCosechas[[#This Row],[COSECHA]],"MMMM"))</f>
        <v>DICIEMBRE</v>
      </c>
      <c r="O622" s="9" t="str">
        <f>IF(A622="DO 29","BAP",IF(A622="RO 14","BAP",(VLOOKUP(TablaCosechas[[#This Row],[COD]],Tabla7[[CODIGO]:[CERTIFICACION]],3,0))))</f>
        <v>CONVENCIONAL</v>
      </c>
      <c r="P622" s="180">
        <f>+L622-E622</f>
        <v>982.56000000000131</v>
      </c>
      <c r="Q622" s="181">
        <f>+M622-F622</f>
        <v>0.19999999999999929</v>
      </c>
      <c r="R622" s="9"/>
    </row>
    <row r="623" spans="1:18" x14ac:dyDescent="0.25">
      <c r="A623" s="9" t="s">
        <v>329</v>
      </c>
      <c r="B623" s="9">
        <f>ROW() - ROW(TablaCosechas[[#Headers],[ID]]) - 4</f>
        <v>618</v>
      </c>
      <c r="C623" s="9" t="str">
        <f>LEFT(A623,2)</f>
        <v>GT</v>
      </c>
      <c r="D623" s="182" t="s">
        <v>367</v>
      </c>
      <c r="E623" s="178">
        <v>8400</v>
      </c>
      <c r="F623" s="19">
        <v>22</v>
      </c>
      <c r="G623" s="195">
        <v>45994</v>
      </c>
      <c r="H623" s="9" t="str">
        <f>VLOOKUP(TablaCosechas[[#This Row],[COD]],DATOS!$E$3:$F$27,2,0)</f>
        <v>GUATO</v>
      </c>
      <c r="I623" s="9" t="str">
        <f>RIGHT(TablaCosechas[[#This Row],[SECTOR/PISCINA]],2)</f>
        <v>09</v>
      </c>
      <c r="J623" s="9" t="str">
        <f>VLOOKUP(TablaCosechas[[#This Row],[COD]],Tabla7[#All],4,0)</f>
        <v>JULIO SANTOS</v>
      </c>
      <c r="K623" s="179">
        <f>(TablaCosechas[[#This Row],[libras planta]]*454)/M623</f>
        <v>128726.10273972602</v>
      </c>
      <c r="L623" s="174">
        <v>6623.44</v>
      </c>
      <c r="M623" s="19">
        <v>23.36</v>
      </c>
      <c r="N623" s="9" t="str">
        <f>UPPER(TEXT(TablaCosechas[[#This Row],[COSECHA]],"MMMM"))</f>
        <v>DICIEMBRE</v>
      </c>
      <c r="O623" s="9" t="str">
        <f>IF(A623="DO 29","BAP",IF(A623="RO 14","BAP",(VLOOKUP(TablaCosechas[[#This Row],[COD]],Tabla7[[CODIGO]:[CERTIFICACION]],3,0))))</f>
        <v>CONVENCIONAL</v>
      </c>
      <c r="P623" s="180">
        <f>+L623-E623</f>
        <v>-1776.5600000000004</v>
      </c>
      <c r="Q623" s="181">
        <f>+M623-F623</f>
        <v>1.3599999999999994</v>
      </c>
      <c r="R623" s="9"/>
    </row>
    <row r="624" spans="1:18" x14ac:dyDescent="0.25">
      <c r="A624" s="9" t="s">
        <v>323</v>
      </c>
      <c r="B624" s="9">
        <f>ROW() - ROW(TablaCosechas[[#Headers],[ID]]) - 4</f>
        <v>619</v>
      </c>
      <c r="C624" s="9" t="str">
        <f>LEFT(A624,2)</f>
        <v>DO</v>
      </c>
      <c r="D624" s="182" t="s">
        <v>367</v>
      </c>
      <c r="E624" s="178">
        <v>12000</v>
      </c>
      <c r="F624" s="19">
        <v>26</v>
      </c>
      <c r="G624" s="195">
        <v>45994</v>
      </c>
      <c r="H624" s="9" t="str">
        <f>VLOOKUP(TablaCosechas[[#This Row],[COD]],DATOS!$E$3:$F$27,2,0)</f>
        <v>DORADO</v>
      </c>
      <c r="I624" s="9" t="str">
        <f>RIGHT(TablaCosechas[[#This Row],[SECTOR/PISCINA]],2)</f>
        <v>22</v>
      </c>
      <c r="J624" s="9" t="str">
        <f>VLOOKUP(TablaCosechas[[#This Row],[COD]],Tabla7[#All],4,0)</f>
        <v>JOSE CEDEÑO</v>
      </c>
      <c r="K624" s="179">
        <f>(TablaCosechas[[#This Row],[libras planta]]*454)/M624</f>
        <v>148897.27221438644</v>
      </c>
      <c r="L624" s="174">
        <v>9301.16</v>
      </c>
      <c r="M624" s="19">
        <v>28.36</v>
      </c>
      <c r="N624" s="9" t="str">
        <f>UPPER(TEXT(TablaCosechas[[#This Row],[COSECHA]],"MMMM"))</f>
        <v>DICIEMBRE</v>
      </c>
      <c r="O624" s="9" t="str">
        <f>IF(A624="DO 29","BAP",IF(A624="RO 14","BAP",(VLOOKUP(TablaCosechas[[#This Row],[COD]],Tabla7[[CODIGO]:[CERTIFICACION]],3,0))))</f>
        <v>ASC</v>
      </c>
      <c r="P624" s="180">
        <f>+L624-E624</f>
        <v>-2698.84</v>
      </c>
      <c r="Q624" s="181">
        <f>+M624-F624</f>
        <v>2.3599999999999994</v>
      </c>
      <c r="R624" s="9"/>
    </row>
    <row r="625" spans="1:18" x14ac:dyDescent="0.25">
      <c r="A625" s="9" t="s">
        <v>260</v>
      </c>
      <c r="B625" s="9">
        <f>ROW() - ROW(TablaCosechas[[#Headers],[ID]]) - 4</f>
        <v>620</v>
      </c>
      <c r="C625" s="9" t="str">
        <f>LEFT(A625,2)</f>
        <v>DO</v>
      </c>
      <c r="D625" s="182" t="s">
        <v>367</v>
      </c>
      <c r="E625" s="178">
        <v>8000</v>
      </c>
      <c r="F625" s="19">
        <v>32</v>
      </c>
      <c r="G625" s="195">
        <v>45994</v>
      </c>
      <c r="H625" s="9" t="str">
        <f>VLOOKUP(TablaCosechas[[#This Row],[COD]],DATOS!$E$3:$F$27,2,0)</f>
        <v>DORADO</v>
      </c>
      <c r="I625" s="9" t="str">
        <f>RIGHT(TablaCosechas[[#This Row],[SECTOR/PISCINA]],2)</f>
        <v>03</v>
      </c>
      <c r="J625" s="9" t="str">
        <f>VLOOKUP(TablaCosechas[[#This Row],[COD]],Tabla7[#All],4,0)</f>
        <v>JOSE CEDEÑO</v>
      </c>
      <c r="K625" s="179">
        <f>(TablaCosechas[[#This Row],[libras planta]]*454)/M625</f>
        <v>113537.3849033063</v>
      </c>
      <c r="L625" s="174">
        <v>8017.64</v>
      </c>
      <c r="M625" s="19">
        <v>32.06</v>
      </c>
      <c r="N625" s="9" t="str">
        <f>UPPER(TEXT(TablaCosechas[[#This Row],[COSECHA]],"MMMM"))</f>
        <v>DICIEMBRE</v>
      </c>
      <c r="O625" s="9" t="str">
        <f>IF(A625="DO 29","BAP",IF(A625="RO 14","BAP",(VLOOKUP(TablaCosechas[[#This Row],[COD]],Tabla7[[CODIGO]:[CERTIFICACION]],3,0))))</f>
        <v>ASC</v>
      </c>
      <c r="P625" s="180">
        <f>+L625-E625</f>
        <v>17.640000000000327</v>
      </c>
      <c r="Q625" s="181">
        <f>+M625-F625</f>
        <v>6.0000000000002274E-2</v>
      </c>
      <c r="R625" s="9"/>
    </row>
    <row r="626" spans="1:18" x14ac:dyDescent="0.25">
      <c r="A626" s="9" t="s">
        <v>273</v>
      </c>
      <c r="B626" s="9">
        <f>ROW() - ROW(TablaCosechas[[#Headers],[ID]]) - 4</f>
        <v>621</v>
      </c>
      <c r="C626" s="9" t="str">
        <f>LEFT(A626,2)</f>
        <v>DE</v>
      </c>
      <c r="D626" s="182" t="s">
        <v>366</v>
      </c>
      <c r="E626" s="178">
        <v>25600</v>
      </c>
      <c r="F626" s="19">
        <v>34</v>
      </c>
      <c r="G626" s="195">
        <v>45994</v>
      </c>
      <c r="H626" s="9" t="str">
        <f>VLOOKUP(TablaCosechas[[#This Row],[COD]],DATOS!$E$3:$F$27,2,0)</f>
        <v>DELFIN</v>
      </c>
      <c r="I626" s="9" t="str">
        <f>RIGHT(TablaCosechas[[#This Row],[SECTOR/PISCINA]],2)</f>
        <v>16</v>
      </c>
      <c r="J626" s="9" t="str">
        <f>VLOOKUP(TablaCosechas[[#This Row],[COD]],Tabla7[#All],4,0)</f>
        <v>CARLOS FLORES</v>
      </c>
      <c r="K626" s="179">
        <f>(TablaCosechas[[#This Row],[libras planta]]*454)/M626</f>
        <v>349612.70820584142</v>
      </c>
      <c r="L626" s="174">
        <v>27684.09</v>
      </c>
      <c r="M626" s="19">
        <v>35.950000000000003</v>
      </c>
      <c r="N626" s="9" t="str">
        <f>UPPER(TEXT(TablaCosechas[[#This Row],[COSECHA]],"MMMM"))</f>
        <v>DICIEMBRE</v>
      </c>
      <c r="O626" s="9" t="str">
        <f>IF(A626="DO 29","BAP",IF(A626="RO 14","BAP",(VLOOKUP(TablaCosechas[[#This Row],[COD]],Tabla7[[CODIGO]:[CERTIFICACION]],3,0))))</f>
        <v>CONVENCIONAL</v>
      </c>
      <c r="P626" s="180">
        <f>+L626-E626</f>
        <v>2084.09</v>
      </c>
      <c r="Q626" s="181">
        <f>+M626-F626</f>
        <v>1.9500000000000028</v>
      </c>
      <c r="R626" s="9"/>
    </row>
    <row r="627" spans="1:18" x14ac:dyDescent="0.25">
      <c r="A627" s="9" t="s">
        <v>374</v>
      </c>
      <c r="B627" s="9">
        <f>ROW() - ROW(TablaCosechas[[#Headers],[ID]]) - 4</f>
        <v>622</v>
      </c>
      <c r="C627" s="9" t="str">
        <f>LEFT(A627,2)</f>
        <v>WA</v>
      </c>
      <c r="D627" s="182" t="s">
        <v>366</v>
      </c>
      <c r="E627" s="178">
        <v>7900</v>
      </c>
      <c r="F627" s="19">
        <v>25</v>
      </c>
      <c r="G627" s="195">
        <v>45995</v>
      </c>
      <c r="H627" s="9" t="str">
        <f>VLOOKUP(TablaCosechas[[#This Row],[COD]],DATOS!$E$3:$F$27,2,0)</f>
        <v>WAHOO</v>
      </c>
      <c r="I627" s="9" t="str">
        <f>RIGHT(TablaCosechas[[#This Row],[SECTOR/PISCINA]],2)</f>
        <v>03</v>
      </c>
      <c r="J627" s="9" t="str">
        <f>VLOOKUP(TablaCosechas[[#This Row],[COD]],Tabla7[#All],4,0)</f>
        <v>JUNIOR ESQUIVEL</v>
      </c>
      <c r="K627" s="179">
        <f>(TablaCosechas[[#This Row],[libras planta]]*454)/M627</f>
        <v>134773.69654637176</v>
      </c>
      <c r="L627" s="174">
        <v>7650.04</v>
      </c>
      <c r="M627" s="19">
        <v>25.77</v>
      </c>
      <c r="N627" s="9" t="str">
        <f>UPPER(TEXT(TablaCosechas[[#This Row],[COSECHA]],"MMMM"))</f>
        <v>DICIEMBRE</v>
      </c>
      <c r="O627" s="9" t="str">
        <f>IF(A627="DO 29","BAP",IF(A627="RO 14","BAP",(VLOOKUP(TablaCosechas[[#This Row],[COD]],Tabla7[[CODIGO]:[CERTIFICACION]],3,0))))</f>
        <v>CONVENCIONAL</v>
      </c>
      <c r="P627" s="180">
        <f>+L627-E627</f>
        <v>-249.96000000000004</v>
      </c>
      <c r="Q627" s="181">
        <f>+M627-F627</f>
        <v>0.76999999999999957</v>
      </c>
      <c r="R627" s="9"/>
    </row>
    <row r="628" spans="1:18" x14ac:dyDescent="0.25">
      <c r="A628" s="9" t="s">
        <v>337</v>
      </c>
      <c r="B628" s="9">
        <f>ROW() - ROW(TablaCosechas[[#Headers],[ID]]) - 4</f>
        <v>623</v>
      </c>
      <c r="C628" s="9" t="str">
        <f>LEFT(A628,2)</f>
        <v>WA</v>
      </c>
      <c r="D628" s="182" t="s">
        <v>367</v>
      </c>
      <c r="E628" s="178">
        <v>4350</v>
      </c>
      <c r="F628" s="19">
        <v>19</v>
      </c>
      <c r="G628" s="195">
        <v>45995</v>
      </c>
      <c r="H628" s="9" t="str">
        <f>VLOOKUP(TablaCosechas[[#This Row],[COD]],DATOS!$E$3:$F$27,2,0)</f>
        <v>WAHOO</v>
      </c>
      <c r="I628" s="9" t="str">
        <f>RIGHT(TablaCosechas[[#This Row],[SECTOR/PISCINA]],2)</f>
        <v>03</v>
      </c>
      <c r="J628" s="9" t="str">
        <f>VLOOKUP(TablaCosechas[[#This Row],[COD]],Tabla7[#All],4,0)</f>
        <v>JUNIOR ESQUIVEL</v>
      </c>
      <c r="K628" s="179">
        <f>(TablaCosechas[[#This Row],[libras planta]]*454)/M628</f>
        <v>99126.044012282509</v>
      </c>
      <c r="L628" s="174">
        <v>4266.3500000000004</v>
      </c>
      <c r="M628" s="19">
        <v>19.54</v>
      </c>
      <c r="N628" s="9" t="str">
        <f>UPPER(TEXT(TablaCosechas[[#This Row],[COSECHA]],"MMMM"))</f>
        <v>DICIEMBRE</v>
      </c>
      <c r="O628" s="9" t="str">
        <f>IF(A628="DO 29","BAP",IF(A628="RO 14","BAP",(VLOOKUP(TablaCosechas[[#This Row],[COD]],Tabla7[[CODIGO]:[CERTIFICACION]],3,0))))</f>
        <v>CONVENCIONAL</v>
      </c>
      <c r="P628" s="180">
        <f>+L628-E628</f>
        <v>-83.649999999999636</v>
      </c>
      <c r="Q628" s="181">
        <f>+M628-F628</f>
        <v>0.53999999999999915</v>
      </c>
      <c r="R628" s="9"/>
    </row>
    <row r="629" spans="1:18" x14ac:dyDescent="0.25">
      <c r="A629" s="9" t="s">
        <v>332</v>
      </c>
      <c r="B629" s="9">
        <f>ROW() - ROW(TablaCosechas[[#Headers],[ID]]) - 4</f>
        <v>624</v>
      </c>
      <c r="C629" s="9" t="str">
        <f>LEFT(A629,2)</f>
        <v>PA</v>
      </c>
      <c r="D629" s="182" t="s">
        <v>367</v>
      </c>
      <c r="E629" s="178">
        <v>20400</v>
      </c>
      <c r="F629" s="19">
        <v>28</v>
      </c>
      <c r="G629" s="195">
        <v>45995</v>
      </c>
      <c r="H629" s="9" t="str">
        <f>VLOOKUP(TablaCosechas[[#This Row],[COD]],DATOS!$E$3:$F$26,2,0)</f>
        <v>PAMPANO</v>
      </c>
      <c r="I629" s="9" t="str">
        <f>RIGHT(TablaCosechas[[#This Row],[SECTOR/PISCINA]],2)</f>
        <v>12</v>
      </c>
      <c r="J629" s="9" t="str">
        <f>VLOOKUP(TablaCosechas[[#This Row],[COD]],Tabla7[#All],4,0)</f>
        <v>GUSTAVO CARRASCO</v>
      </c>
      <c r="K629" s="179">
        <f>(TablaCosechas[[#This Row],[libras planta]]*454)/M629</f>
        <v>300607.86161879898</v>
      </c>
      <c r="L629" s="174">
        <v>20287.72</v>
      </c>
      <c r="M629" s="19">
        <v>30.64</v>
      </c>
      <c r="N629" s="9" t="str">
        <f>UPPER(TEXT(TablaCosechas[[#This Row],[COSECHA]],"MMMM"))</f>
        <v>DICIEMBRE</v>
      </c>
      <c r="O629" s="9" t="str">
        <f>IF(A629="DO 29","BAP",IF(A629="RO 14","BAP",(VLOOKUP(TablaCosechas[[#This Row],[COD]],Tabla7[[CODIGO]:[CERTIFICACION]],3,0))))</f>
        <v>ASC</v>
      </c>
      <c r="P629" s="180">
        <f>+L629-E629</f>
        <v>-112.27999999999884</v>
      </c>
      <c r="Q629" s="181">
        <f>+M629-F629</f>
        <v>2.6400000000000006</v>
      </c>
      <c r="R629" s="9"/>
    </row>
    <row r="630" spans="1:18" x14ac:dyDescent="0.25">
      <c r="A630" s="9" t="s">
        <v>269</v>
      </c>
      <c r="B630" s="9">
        <f>ROW() - ROW(TablaCosechas[[#Headers],[ID]]) - 4</f>
        <v>625</v>
      </c>
      <c r="C630" s="9" t="str">
        <f>LEFT(A630,2)</f>
        <v>DE</v>
      </c>
      <c r="D630" s="182" t="s">
        <v>366</v>
      </c>
      <c r="E630" s="178">
        <f>27100+2000</f>
        <v>29100</v>
      </c>
      <c r="F630" s="19">
        <v>35</v>
      </c>
      <c r="G630" s="195">
        <v>45995</v>
      </c>
      <c r="H630" s="9" t="str">
        <f>VLOOKUP(TablaCosechas[[#This Row],[COD]],DATOS!$E$3:$F$27,2,0)</f>
        <v>DELFIN</v>
      </c>
      <c r="I630" s="9" t="str">
        <f>RIGHT(TablaCosechas[[#This Row],[SECTOR/PISCINA]],2)</f>
        <v>18</v>
      </c>
      <c r="J630" s="9" t="str">
        <f>VLOOKUP(TablaCosechas[[#This Row],[COD]],Tabla7[#All],4,0)</f>
        <v>CARLOS FLORES</v>
      </c>
      <c r="K630" s="179">
        <f>(TablaCosechas[[#This Row],[libras planta]]*454)/M630</f>
        <v>428811.35070508899</v>
      </c>
      <c r="L630" s="174">
        <f>29243.56+1566.63</f>
        <v>30810.190000000002</v>
      </c>
      <c r="M630" s="19">
        <v>32.619999999999997</v>
      </c>
      <c r="N630" s="9" t="str">
        <f>UPPER(TEXT(TablaCosechas[[#This Row],[COSECHA]],"MMMM"))</f>
        <v>DICIEMBRE</v>
      </c>
      <c r="O630" s="9" t="str">
        <f>IF(A630="DO 29","BAP",IF(A630="RO 14","BAP",(VLOOKUP(TablaCosechas[[#This Row],[COD]],Tabla7[[CODIGO]:[CERTIFICACION]],3,0))))</f>
        <v>CONVENCIONAL</v>
      </c>
      <c r="P630" s="180">
        <f>+L630-E630</f>
        <v>1710.1900000000023</v>
      </c>
      <c r="Q630" s="181">
        <f>+M630-F630</f>
        <v>-2.3800000000000026</v>
      </c>
      <c r="R630" s="9"/>
    </row>
    <row r="631" spans="1:18" x14ac:dyDescent="0.25">
      <c r="A631" s="9" t="s">
        <v>18</v>
      </c>
      <c r="B631" s="9">
        <f>ROW() - ROW(TablaCosechas[[#Headers],[ID]]) - 4</f>
        <v>626</v>
      </c>
      <c r="C631" s="9" t="str">
        <f>LEFT(A631,2)</f>
        <v>CH</v>
      </c>
      <c r="D631" s="182" t="s">
        <v>366</v>
      </c>
      <c r="E631" s="178">
        <v>41500</v>
      </c>
      <c r="F631" s="19">
        <v>30</v>
      </c>
      <c r="G631" s="195">
        <v>45995</v>
      </c>
      <c r="H631" s="9" t="str">
        <f>VLOOKUP(TablaCosechas[[#This Row],[COD]],DATOS!$E$3:$F$27,2,0)</f>
        <v>CHERNA</v>
      </c>
      <c r="I631" s="9" t="str">
        <f>RIGHT(TablaCosechas[[#This Row],[SECTOR/PISCINA]],2)</f>
        <v>12</v>
      </c>
      <c r="J631" s="9" t="str">
        <f>VLOOKUP(TablaCosechas[[#This Row],[COD]],Tabla7[#All],4,0)</f>
        <v>SANTIAGO OBRIEN</v>
      </c>
      <c r="K631" s="179">
        <f>(TablaCosechas[[#This Row],[libras planta]]*454)/M631</f>
        <v>667248.72644574381</v>
      </c>
      <c r="L631" s="174">
        <v>45237.7</v>
      </c>
      <c r="M631" s="19">
        <v>30.78</v>
      </c>
      <c r="N631" s="9" t="str">
        <f>UPPER(TEXT(TablaCosechas[[#This Row],[COSECHA]],"MMMM"))</f>
        <v>DICIEMBRE</v>
      </c>
      <c r="O631" s="9" t="str">
        <f>IF(A631="DO 29","BAP",IF(A631="RO 14","BAP",(VLOOKUP(TablaCosechas[[#This Row],[COD]],Tabla7[[CODIGO]:[CERTIFICACION]],3,0))))</f>
        <v>ASC</v>
      </c>
      <c r="P631" s="180">
        <f>+L631-E631</f>
        <v>3737.6999999999971</v>
      </c>
      <c r="Q631" s="181">
        <f>+M631-F631</f>
        <v>0.78000000000000114</v>
      </c>
      <c r="R631" s="9"/>
    </row>
    <row r="632" spans="1:18" x14ac:dyDescent="0.25">
      <c r="A632" s="9" t="s">
        <v>277</v>
      </c>
      <c r="B632" s="9">
        <f>ROW() - ROW(TablaCosechas[[#Headers],[ID]]) - 4</f>
        <v>627</v>
      </c>
      <c r="C632" s="9" t="str">
        <f>LEFT(A632,2)</f>
        <v>CA</v>
      </c>
      <c r="D632" s="182" t="s">
        <v>366</v>
      </c>
      <c r="E632" s="178">
        <f>46500+6500</f>
        <v>53000</v>
      </c>
      <c r="F632" s="19">
        <v>36</v>
      </c>
      <c r="G632" s="195">
        <v>45995</v>
      </c>
      <c r="H632" s="9" t="str">
        <f>VLOOKUP(TablaCosechas[[#This Row],[COD]],DATOS!$E$3:$F$27,2,0)</f>
        <v>CATANUDA</v>
      </c>
      <c r="I632" s="9" t="str">
        <f>RIGHT(TablaCosechas[[#This Row],[SECTOR/PISCINA]],2)</f>
        <v>05</v>
      </c>
      <c r="J632" s="9" t="str">
        <f>VLOOKUP(TablaCosechas[[#This Row],[COD]],Tabla7[#All],4,0)</f>
        <v>VICTOR QUINTANA</v>
      </c>
      <c r="K632" s="179">
        <f>(TablaCosechas[[#This Row],[libras planta]]*454)/M632</f>
        <v>614472.60215633421</v>
      </c>
      <c r="L632" s="174">
        <f>43869.15+6344.36</f>
        <v>50213.51</v>
      </c>
      <c r="M632" s="19">
        <v>37.1</v>
      </c>
      <c r="N632" s="9" t="str">
        <f>UPPER(TEXT(TablaCosechas[[#This Row],[COSECHA]],"MMMM"))</f>
        <v>DICIEMBRE</v>
      </c>
      <c r="O632" s="9" t="str">
        <f>IF(A632="DO 29","BAP",IF(A632="RO 14","BAP",(VLOOKUP(TablaCosechas[[#This Row],[COD]],Tabla7[[CODIGO]:[CERTIFICACION]],3,0))))</f>
        <v>ASC</v>
      </c>
      <c r="P632" s="180">
        <f>+L632-E632</f>
        <v>-2786.489999999998</v>
      </c>
      <c r="Q632" s="181">
        <f>+M632-F632</f>
        <v>1.1000000000000014</v>
      </c>
      <c r="R632" s="9"/>
    </row>
    <row r="633" spans="1:18" x14ac:dyDescent="0.25">
      <c r="A633" s="9" t="s">
        <v>343</v>
      </c>
      <c r="B633" s="9">
        <f>ROW() - ROW(TablaCosechas[[#Headers],[ID]]) - 4</f>
        <v>628</v>
      </c>
      <c r="C633" s="9" t="str">
        <f>LEFT(A633,2)</f>
        <v>WA</v>
      </c>
      <c r="D633" s="182" t="s">
        <v>367</v>
      </c>
      <c r="E633" s="178">
        <v>6400</v>
      </c>
      <c r="F633" s="19">
        <v>17</v>
      </c>
      <c r="G633" s="195">
        <v>45996</v>
      </c>
      <c r="H633" s="9" t="str">
        <f>VLOOKUP(TablaCosechas[[#This Row],[COD]],DATOS!$E$3:$F$27,2,0)</f>
        <v>WAHOO</v>
      </c>
      <c r="I633" s="9" t="str">
        <f>RIGHT(TablaCosechas[[#This Row],[SECTOR/PISCINA]],2)</f>
        <v>08</v>
      </c>
      <c r="J633" s="9" t="str">
        <f>VLOOKUP(TablaCosechas[[#This Row],[COD]],Tabla7[#All],4,0)</f>
        <v>JUNIOR ESQUIVEL</v>
      </c>
      <c r="K633" s="179">
        <f>(TablaCosechas[[#This Row],[libras planta]]*454)/M633</f>
        <v>182737.59132420088</v>
      </c>
      <c r="L633" s="174">
        <v>7051.9</v>
      </c>
      <c r="M633" s="19">
        <v>17.52</v>
      </c>
      <c r="N633" s="9" t="str">
        <f>UPPER(TEXT(TablaCosechas[[#This Row],[COSECHA]],"MMMM"))</f>
        <v>DICIEMBRE</v>
      </c>
      <c r="O633" s="9" t="str">
        <f>IF(A633="DO 29","BAP",IF(A633="RO 14","BAP",(VLOOKUP(TablaCosechas[[#This Row],[COD]],Tabla7[[CODIGO]:[CERTIFICACION]],3,0))))</f>
        <v>CONVENCIONAL</v>
      </c>
      <c r="P633" s="180">
        <f>+L633-E633</f>
        <v>651.89999999999964</v>
      </c>
      <c r="Q633" s="181">
        <f>+M633-F633</f>
        <v>0.51999999999999957</v>
      </c>
      <c r="R633" s="9"/>
    </row>
    <row r="634" spans="1:18" x14ac:dyDescent="0.25">
      <c r="A634" s="9" t="s">
        <v>275</v>
      </c>
      <c r="B634" s="9">
        <f>ROW() - ROW(TablaCosechas[[#Headers],[ID]]) - 4</f>
        <v>629</v>
      </c>
      <c r="C634" s="9" t="str">
        <f>LEFT(A634,2)</f>
        <v>PR</v>
      </c>
      <c r="D634" s="182" t="s">
        <v>367</v>
      </c>
      <c r="E634" s="178">
        <v>3600</v>
      </c>
      <c r="F634" s="19">
        <v>20</v>
      </c>
      <c r="G634" s="195">
        <v>45996</v>
      </c>
      <c r="H634" s="9" t="str">
        <f>VLOOKUP(TablaCosechas[[#This Row],[COD]],DATOS!$E$3:$F$26,2,0)</f>
        <v>PARGO ROJO</v>
      </c>
      <c r="I634" s="9" t="str">
        <f>RIGHT(TablaCosechas[[#This Row],[SECTOR/PISCINA]],2)</f>
        <v>20</v>
      </c>
      <c r="J634" s="9" t="str">
        <f>VLOOKUP(TablaCosechas[[#This Row],[COD]],Tabla7[#All],4,0)</f>
        <v>WILMER TORRES</v>
      </c>
      <c r="K634" s="179">
        <f>(TablaCosechas[[#This Row],[libras planta]]*454)/M634</f>
        <v>67941.058876811599</v>
      </c>
      <c r="L634" s="174">
        <v>3304.27</v>
      </c>
      <c r="M634" s="19">
        <v>22.08</v>
      </c>
      <c r="N634" s="9" t="str">
        <f>UPPER(TEXT(TablaCosechas[[#This Row],[COSECHA]],"MMMM"))</f>
        <v>DICIEMBRE</v>
      </c>
      <c r="O634" s="9" t="str">
        <f>IF(A634="DO 29","BAP",IF(A634="RO 14","BAP",(VLOOKUP(TablaCosechas[[#This Row],[COD]],Tabla7[[CODIGO]:[CERTIFICACION]],3,0))))</f>
        <v>CONVENCIONAL</v>
      </c>
      <c r="P634" s="180">
        <f>+L634-E634</f>
        <v>-295.73</v>
      </c>
      <c r="Q634" s="181">
        <f>+M634-F634</f>
        <v>2.0799999999999983</v>
      </c>
      <c r="R634" s="9"/>
    </row>
    <row r="635" spans="1:18" x14ac:dyDescent="0.25">
      <c r="A635" s="9" t="s">
        <v>284</v>
      </c>
      <c r="B635" s="9">
        <f>ROW() - ROW(TablaCosechas[[#Headers],[ID]]) - 4</f>
        <v>630</v>
      </c>
      <c r="C635" s="9" t="str">
        <f>LEFT(A635,2)</f>
        <v>PR</v>
      </c>
      <c r="D635" s="182" t="s">
        <v>367</v>
      </c>
      <c r="E635" s="178">
        <v>3400</v>
      </c>
      <c r="F635" s="19">
        <v>20</v>
      </c>
      <c r="G635" s="195">
        <v>45996</v>
      </c>
      <c r="H635" s="9" t="str">
        <f>VLOOKUP(TablaCosechas[[#This Row],[COD]],DATOS!$E$3:$F$26,2,0)</f>
        <v>PARGO ROJO</v>
      </c>
      <c r="I635" s="9" t="str">
        <f>RIGHT(TablaCosechas[[#This Row],[SECTOR/PISCINA]],2)</f>
        <v>18</v>
      </c>
      <c r="J635" s="9" t="str">
        <f>VLOOKUP(TablaCosechas[[#This Row],[COD]],Tabla7[#All],4,0)</f>
        <v>WILMER TORRES</v>
      </c>
      <c r="K635" s="179">
        <f>(TablaCosechas[[#This Row],[libras planta]]*454)/M635</f>
        <v>76296.430493273539</v>
      </c>
      <c r="L635" s="174">
        <v>3747.6</v>
      </c>
      <c r="M635" s="19">
        <v>22.3</v>
      </c>
      <c r="N635" s="9" t="str">
        <f>UPPER(TEXT(TablaCosechas[[#This Row],[COSECHA]],"MMMM"))</f>
        <v>DICIEMBRE</v>
      </c>
      <c r="O635" s="9" t="str">
        <f>IF(A635="DO 29","BAP",IF(A635="RO 14","BAP",(VLOOKUP(TablaCosechas[[#This Row],[COD]],Tabla7[[CODIGO]:[CERTIFICACION]],3,0))))</f>
        <v>CONVENCIONAL</v>
      </c>
      <c r="P635" s="180">
        <f>+L635-E635</f>
        <v>347.59999999999991</v>
      </c>
      <c r="Q635" s="181">
        <f>+M635-F635</f>
        <v>2.3000000000000007</v>
      </c>
      <c r="R635" s="9"/>
    </row>
    <row r="636" spans="1:18" x14ac:dyDescent="0.25">
      <c r="A636" s="9" t="s">
        <v>280</v>
      </c>
      <c r="B636" s="9">
        <f>ROW() - ROW(TablaCosechas[[#Headers],[ID]]) - 4</f>
        <v>631</v>
      </c>
      <c r="C636" s="9" t="str">
        <f>LEFT(A636,2)</f>
        <v>GT</v>
      </c>
      <c r="D636" s="182" t="s">
        <v>367</v>
      </c>
      <c r="E636" s="178">
        <v>6400</v>
      </c>
      <c r="F636" s="19">
        <v>27</v>
      </c>
      <c r="G636" s="195">
        <v>45996</v>
      </c>
      <c r="H636" s="9" t="str">
        <f>VLOOKUP(TablaCosechas[[#This Row],[COD]],DATOS!$E$3:$F$26,2,0)</f>
        <v>GUATO</v>
      </c>
      <c r="I636" s="9" t="str">
        <f>RIGHT(TablaCosechas[[#This Row],[SECTOR/PISCINA]],2)</f>
        <v>01</v>
      </c>
      <c r="J636" s="9" t="str">
        <f>VLOOKUP(TablaCosechas[[#This Row],[COD]],Tabla7[#All],4,0)</f>
        <v>JULIO SANTOS</v>
      </c>
      <c r="K636" s="179">
        <f>(TablaCosechas[[#This Row],[libras planta]]*454)/M636</f>
        <v>127487.66615027111</v>
      </c>
      <c r="L636" s="174">
        <v>7250.51</v>
      </c>
      <c r="M636" s="19">
        <v>25.82</v>
      </c>
      <c r="N636" s="9" t="str">
        <f>UPPER(TEXT(TablaCosechas[[#This Row],[COSECHA]],"MMMM"))</f>
        <v>DICIEMBRE</v>
      </c>
      <c r="O636" s="9" t="str">
        <f>IF(A636="DO 29","BAP",IF(A636="RO 14","BAP",(VLOOKUP(TablaCosechas[[#This Row],[COD]],Tabla7[[CODIGO]:[CERTIFICACION]],3,0))))</f>
        <v>CONVENCIONAL</v>
      </c>
      <c r="P636" s="180">
        <f>+L636-E636</f>
        <v>850.51000000000022</v>
      </c>
      <c r="Q636" s="181">
        <f>+M636-F636</f>
        <v>-1.1799999999999997</v>
      </c>
      <c r="R636" s="9"/>
    </row>
    <row r="637" spans="1:18" x14ac:dyDescent="0.25">
      <c r="A637" s="9" t="s">
        <v>252</v>
      </c>
      <c r="B637" s="9">
        <f>ROW() - ROW(TablaCosechas[[#Headers],[ID]]) - 4</f>
        <v>632</v>
      </c>
      <c r="C637" s="9" t="str">
        <f>LEFT(A637,2)</f>
        <v>DE</v>
      </c>
      <c r="D637" s="182" t="s">
        <v>366</v>
      </c>
      <c r="E637" s="178">
        <v>37950</v>
      </c>
      <c r="F637" s="19">
        <v>32</v>
      </c>
      <c r="G637" s="195">
        <v>45996</v>
      </c>
      <c r="H637" s="9" t="str">
        <f>VLOOKUP(TablaCosechas[[#This Row],[COD]],DATOS!$E$3:$F$27,2,0)</f>
        <v>DELFIN</v>
      </c>
      <c r="I637" s="9" t="str">
        <f>RIGHT(TablaCosechas[[#This Row],[SECTOR/PISCINA]],2)</f>
        <v>13</v>
      </c>
      <c r="J637" s="9" t="str">
        <f>VLOOKUP(TablaCosechas[[#This Row],[COD]],Tabla7[#All],4,0)</f>
        <v>CARLOS FLORES</v>
      </c>
      <c r="K637" s="179">
        <f>(TablaCosechas[[#This Row],[libras planta]]*454)/M637</f>
        <v>556635.8005164623</v>
      </c>
      <c r="L637" s="174">
        <v>37983.65</v>
      </c>
      <c r="M637" s="19">
        <v>30.98</v>
      </c>
      <c r="N637" s="9" t="str">
        <f>UPPER(TEXT(TablaCosechas[[#This Row],[COSECHA]],"MMMM"))</f>
        <v>DICIEMBRE</v>
      </c>
      <c r="O637" s="9" t="str">
        <f>IF(A637="DO 29","BAP",IF(A637="RO 14","BAP",(VLOOKUP(TablaCosechas[[#This Row],[COD]],Tabla7[[CODIGO]:[CERTIFICACION]],3,0))))</f>
        <v>CONVENCIONAL</v>
      </c>
      <c r="P637" s="180">
        <f>+L637-E637</f>
        <v>33.650000000001455</v>
      </c>
      <c r="Q637" s="181">
        <f>+M637-F637</f>
        <v>-1.0199999999999996</v>
      </c>
      <c r="R637" s="9"/>
    </row>
    <row r="638" spans="1:18" x14ac:dyDescent="0.25">
      <c r="A638" s="9" t="s">
        <v>29</v>
      </c>
      <c r="B638" s="9">
        <f>ROW() - ROW(TablaCosechas[[#Headers],[ID]]) - 4</f>
        <v>633</v>
      </c>
      <c r="C638" s="9" t="str">
        <f>LEFT(A638,2)</f>
        <v>CH</v>
      </c>
      <c r="D638" s="182" t="s">
        <v>366</v>
      </c>
      <c r="E638" s="178">
        <v>17700</v>
      </c>
      <c r="F638" s="19">
        <v>35</v>
      </c>
      <c r="G638" s="195">
        <v>45996</v>
      </c>
      <c r="H638" s="9" t="str">
        <f>VLOOKUP(TablaCosechas[[#This Row],[COD]],DATOS!$E$3:$F$27,2,0)</f>
        <v>CHERNA</v>
      </c>
      <c r="I638" s="9" t="str">
        <f>RIGHT(TablaCosechas[[#This Row],[SECTOR/PISCINA]],2)</f>
        <v>25</v>
      </c>
      <c r="J638" s="9" t="str">
        <f>VLOOKUP(TablaCosechas[[#This Row],[COD]],Tabla7[#All],4,0)</f>
        <v>SANTIAGO OBRIEN</v>
      </c>
      <c r="K638" s="179">
        <f>(TablaCosechas[[#This Row],[libras planta]]*454)/M638</f>
        <v>227006.78567399885</v>
      </c>
      <c r="L638" s="174">
        <v>17730.53</v>
      </c>
      <c r="M638" s="19">
        <v>35.46</v>
      </c>
      <c r="N638" s="9" t="str">
        <f>UPPER(TEXT(TablaCosechas[[#This Row],[COSECHA]],"MMMM"))</f>
        <v>DICIEMBRE</v>
      </c>
      <c r="O638" s="9" t="str">
        <f>IF(A638="DO 29","BAP",IF(A638="RO 14","BAP",(VLOOKUP(TablaCosechas[[#This Row],[COD]],Tabla7[[CODIGO]:[CERTIFICACION]],3,0))))</f>
        <v>ASC</v>
      </c>
      <c r="P638" s="180">
        <f>+L638-E638</f>
        <v>30.529999999998836</v>
      </c>
      <c r="Q638" s="181">
        <f>+M638-F638</f>
        <v>0.46000000000000085</v>
      </c>
      <c r="R638" s="9"/>
    </row>
    <row r="639" spans="1:18" x14ac:dyDescent="0.25">
      <c r="A639" s="9" t="s">
        <v>28</v>
      </c>
      <c r="B639" s="9">
        <f>ROW() - ROW(TablaCosechas[[#Headers],[ID]]) - 4</f>
        <v>634</v>
      </c>
      <c r="C639" s="9" t="str">
        <f>LEFT(A639,2)</f>
        <v>CH</v>
      </c>
      <c r="D639" s="182" t="s">
        <v>366</v>
      </c>
      <c r="E639" s="178">
        <v>29400</v>
      </c>
      <c r="F639" s="19">
        <v>30</v>
      </c>
      <c r="G639" s="195">
        <v>45996</v>
      </c>
      <c r="H639" s="9" t="str">
        <f>VLOOKUP(TablaCosechas[[#This Row],[COD]],DATOS!$E$3:$F$27,2,0)</f>
        <v>CHERNA</v>
      </c>
      <c r="I639" s="9" t="str">
        <f>RIGHT(TablaCosechas[[#This Row],[SECTOR/PISCINA]],2)</f>
        <v>22</v>
      </c>
      <c r="J639" s="9" t="str">
        <f>VLOOKUP(TablaCosechas[[#This Row],[COD]],Tabla7[#All],4,0)</f>
        <v>SANTIAGO OBRIEN</v>
      </c>
      <c r="K639" s="179">
        <f>(TablaCosechas[[#This Row],[libras planta]]*454)/M639</f>
        <v>452520.19376693765</v>
      </c>
      <c r="L639" s="174">
        <v>29423.78</v>
      </c>
      <c r="M639" s="19">
        <v>29.52</v>
      </c>
      <c r="N639" s="9" t="str">
        <f>UPPER(TEXT(TablaCosechas[[#This Row],[COSECHA]],"MMMM"))</f>
        <v>DICIEMBRE</v>
      </c>
      <c r="O639" s="9" t="str">
        <f>IF(A639="DO 29","BAP",IF(A639="RO 14","BAP",(VLOOKUP(TablaCosechas[[#This Row],[COD]],Tabla7[[CODIGO]:[CERTIFICACION]],3,0))))</f>
        <v>ASC</v>
      </c>
      <c r="P639" s="180">
        <f>+L639-E639</f>
        <v>23.779999999998836</v>
      </c>
      <c r="Q639" s="181">
        <f>+M639-F639</f>
        <v>-0.48000000000000043</v>
      </c>
      <c r="R639" s="9"/>
    </row>
    <row r="640" spans="1:18" x14ac:dyDescent="0.25">
      <c r="A640" s="9" t="s">
        <v>245</v>
      </c>
      <c r="B640" s="9">
        <f>ROW() - ROW(TablaCosechas[[#Headers],[ID]]) - 4</f>
        <v>635</v>
      </c>
      <c r="C640" s="9" t="str">
        <f>LEFT(A640,2)</f>
        <v>CA</v>
      </c>
      <c r="D640" s="182" t="s">
        <v>366</v>
      </c>
      <c r="E640" s="178">
        <f>35500+7900</f>
        <v>43400</v>
      </c>
      <c r="F640" s="19">
        <v>39.5</v>
      </c>
      <c r="G640" s="195">
        <v>45996</v>
      </c>
      <c r="H640" s="9" t="str">
        <f>VLOOKUP(TablaCosechas[[#This Row],[COD]],DATOS!$E$3:$F$27,2,0)</f>
        <v>CATANUDA</v>
      </c>
      <c r="I640" s="9" t="str">
        <f>RIGHT(TablaCosechas[[#This Row],[SECTOR/PISCINA]],2)</f>
        <v>16</v>
      </c>
      <c r="J640" s="9" t="str">
        <f>VLOOKUP(TablaCosechas[[#This Row],[COD]],Tabla7[#All],4,0)</f>
        <v>VICTOR QUINTANA</v>
      </c>
      <c r="K640" s="179">
        <f>(TablaCosechas[[#This Row],[libras planta]]*454)/M640</f>
        <v>416359.25229017093</v>
      </c>
      <c r="L640" s="174">
        <f>28556.06+8485.24</f>
        <v>37041.300000000003</v>
      </c>
      <c r="M640" s="19">
        <v>40.39</v>
      </c>
      <c r="N640" s="9" t="str">
        <f>UPPER(TEXT(TablaCosechas[[#This Row],[COSECHA]],"MMMM"))</f>
        <v>DICIEMBRE</v>
      </c>
      <c r="O640" s="9" t="str">
        <f>IF(A640="DO 29","BAP",IF(A640="RO 14","BAP",(VLOOKUP(TablaCosechas[[#This Row],[COD]],Tabla7[[CODIGO]:[CERTIFICACION]],3,0))))</f>
        <v>ASC</v>
      </c>
      <c r="P640" s="180">
        <f>+L640-E640</f>
        <v>-6358.6999999999971</v>
      </c>
      <c r="Q640" s="181">
        <f>+M640-F640</f>
        <v>0.89000000000000057</v>
      </c>
      <c r="R640" s="9"/>
    </row>
    <row r="641" spans="1:18" x14ac:dyDescent="0.25">
      <c r="A641" s="9" t="s">
        <v>377</v>
      </c>
      <c r="B641" s="9">
        <f>ROW() - ROW(TablaCosechas[[#Headers],[ID]]) - 4</f>
        <v>636</v>
      </c>
      <c r="C641" s="9" t="str">
        <f>LEFT(A641,2)</f>
        <v>WA</v>
      </c>
      <c r="D641" s="182" t="s">
        <v>367</v>
      </c>
      <c r="E641" s="178">
        <v>6800</v>
      </c>
      <c r="F641" s="19">
        <v>18</v>
      </c>
      <c r="G641" s="195">
        <v>45997</v>
      </c>
      <c r="H641" s="9" t="str">
        <f>VLOOKUP(TablaCosechas[[#This Row],[COD]],DATOS!$E$3:$F$27,2,0)</f>
        <v>WAHOO</v>
      </c>
      <c r="I641" s="9" t="str">
        <f>RIGHT(TablaCosechas[[#This Row],[SECTOR/PISCINA]],2)</f>
        <v>34</v>
      </c>
      <c r="J641" s="9" t="str">
        <f>VLOOKUP(TablaCosechas[[#This Row],[COD]],Tabla7[#All],4,0)</f>
        <v>JUNIOR ESQUIVEL</v>
      </c>
      <c r="K641" s="179">
        <f>(TablaCosechas[[#This Row],[libras planta]]*454)/M641</f>
        <v>169877.19153439155</v>
      </c>
      <c r="L641" s="174">
        <v>7071.98</v>
      </c>
      <c r="M641" s="19">
        <v>18.899999999999999</v>
      </c>
      <c r="N641" s="9" t="str">
        <f>UPPER(TEXT(TablaCosechas[[#This Row],[COSECHA]],"MMMM"))</f>
        <v>DICIEMBRE</v>
      </c>
      <c r="O641" s="9" t="str">
        <f>IF(A641="DO 29","BAP",IF(A641="RO 14","BAP",(VLOOKUP(TablaCosechas[[#This Row],[COD]],Tabla7[[CODIGO]:[CERTIFICACION]],3,0))))</f>
        <v>CONVENCIONAL</v>
      </c>
      <c r="P641" s="180">
        <f>+L641-E641</f>
        <v>271.97999999999956</v>
      </c>
      <c r="Q641" s="181">
        <f>+M641-F641</f>
        <v>0.89999999999999858</v>
      </c>
      <c r="R641" s="9"/>
    </row>
    <row r="642" spans="1:18" x14ac:dyDescent="0.25">
      <c r="A642" s="9" t="s">
        <v>181</v>
      </c>
      <c r="B642" s="9">
        <f>ROW() - ROW(TablaCosechas[[#Headers],[ID]]) - 4</f>
        <v>637</v>
      </c>
      <c r="C642" s="9" t="str">
        <f>LEFT(A642,2)</f>
        <v>TA</v>
      </c>
      <c r="D642" s="182" t="s">
        <v>366</v>
      </c>
      <c r="E642" s="178">
        <v>16200</v>
      </c>
      <c r="F642" s="19">
        <v>30</v>
      </c>
      <c r="G642" s="195">
        <v>45997</v>
      </c>
      <c r="H642" s="9" t="str">
        <f>VLOOKUP(TablaCosechas[[#This Row],[COD]],DATOS!$E$3:$F$27,2,0)</f>
        <v>TAMBULERO</v>
      </c>
      <c r="I642" s="9" t="str">
        <f>RIGHT(TablaCosechas[[#This Row],[SECTOR/PISCINA]],2)</f>
        <v>10</v>
      </c>
      <c r="J642" s="9" t="str">
        <f>VLOOKUP(TablaCosechas[[#This Row],[COD]],Tabla7[#All],4,0)</f>
        <v>ALFONSO GRUNAUER</v>
      </c>
      <c r="K642" s="179">
        <f>(TablaCosechas[[#This Row],[libras planta]]*454)/M642</f>
        <v>203079.41466580142</v>
      </c>
      <c r="L642" s="174">
        <v>13786.14</v>
      </c>
      <c r="M642" s="19">
        <v>30.82</v>
      </c>
      <c r="N642" s="9" t="str">
        <f>UPPER(TEXT(TablaCosechas[[#This Row],[COSECHA]],"MMMM"))</f>
        <v>DICIEMBRE</v>
      </c>
      <c r="O642" s="9" t="str">
        <f>IF(A642="DO 29","BAP",IF(A642="RO 14","BAP",(VLOOKUP(TablaCosechas[[#This Row],[COD]],Tabla7[[CODIGO]:[CERTIFICACION]],3,0))))</f>
        <v>CONVENCIONAL</v>
      </c>
      <c r="P642" s="180">
        <f>+L642-E642</f>
        <v>-2413.8600000000006</v>
      </c>
      <c r="Q642" s="181">
        <f>+M642-F642</f>
        <v>0.82000000000000028</v>
      </c>
      <c r="R642" s="9"/>
    </row>
    <row r="643" spans="1:18" x14ac:dyDescent="0.25">
      <c r="A643" s="9" t="s">
        <v>264</v>
      </c>
      <c r="B643" s="9">
        <f>ROW() - ROW(TablaCosechas[[#Headers],[ID]]) - 4</f>
        <v>638</v>
      </c>
      <c r="C643" s="9" t="str">
        <f>LEFT(A643,2)</f>
        <v>RO</v>
      </c>
      <c r="D643" s="182" t="s">
        <v>366</v>
      </c>
      <c r="E643" s="178">
        <v>41400</v>
      </c>
      <c r="F643" s="19">
        <v>38</v>
      </c>
      <c r="G643" s="195">
        <v>45997</v>
      </c>
      <c r="H643" s="9" t="str">
        <f>VLOOKUP(TablaCosechas[[#This Row],[COD]],DATOS!$E$3:$F$27,2,0)</f>
        <v>ROBALO</v>
      </c>
      <c r="I643" s="9" t="str">
        <f>RIGHT(TablaCosechas[[#This Row],[SECTOR/PISCINA]],2)</f>
        <v>04</v>
      </c>
      <c r="J643" s="9" t="str">
        <f>VLOOKUP(TablaCosechas[[#This Row],[COD]],Tabla7[#All],4,0)</f>
        <v>VICTOR QUINTANA</v>
      </c>
      <c r="K643" s="179">
        <f>(TablaCosechas[[#This Row],[libras planta]]*454)/M643</f>
        <v>486213.72494290792</v>
      </c>
      <c r="L643" s="174">
        <v>42206.35</v>
      </c>
      <c r="M643" s="19">
        <v>39.409999999999997</v>
      </c>
      <c r="N643" s="9" t="str">
        <f>UPPER(TEXT(TablaCosechas[[#This Row],[COSECHA]],"MMMM"))</f>
        <v>DICIEMBRE</v>
      </c>
      <c r="O643" s="9" t="str">
        <f>IF(A643="DO 29","BAP",IF(A643="RO 14","BAP",(VLOOKUP(TablaCosechas[[#This Row],[COD]],Tabla7[[CODIGO]:[CERTIFICACION]],3,0))))</f>
        <v>ASC</v>
      </c>
      <c r="P643" s="180">
        <f>+L643-E643</f>
        <v>806.34999999999854</v>
      </c>
      <c r="Q643" s="181">
        <f>+M643-F643</f>
        <v>1.4099999999999966</v>
      </c>
      <c r="R643" s="9"/>
    </row>
    <row r="644" spans="1:18" x14ac:dyDescent="0.25">
      <c r="A644" s="9" t="s">
        <v>288</v>
      </c>
      <c r="B644" s="9">
        <f>ROW() - ROW(TablaCosechas[[#Headers],[ID]]) - 4</f>
        <v>639</v>
      </c>
      <c r="C644" s="9" t="str">
        <f>LEFT(A644,2)</f>
        <v>PR</v>
      </c>
      <c r="D644" s="182" t="s">
        <v>367</v>
      </c>
      <c r="E644" s="178">
        <v>8000</v>
      </c>
      <c r="F644" s="19">
        <v>20</v>
      </c>
      <c r="G644" s="195">
        <v>45997</v>
      </c>
      <c r="H644" s="9" t="str">
        <f>VLOOKUP(TablaCosechas[[#This Row],[COD]],DATOS!$E$3:$F$27,2,0)</f>
        <v>PARGO ROJO</v>
      </c>
      <c r="I644" s="9" t="str">
        <f>RIGHT(TablaCosechas[[#This Row],[SECTOR/PISCINA]],2)</f>
        <v>10</v>
      </c>
      <c r="J644" s="9" t="str">
        <f>VLOOKUP(TablaCosechas[[#This Row],[COD]],Tabla7[#All],4,0)</f>
        <v>WILMER TORRES</v>
      </c>
      <c r="K644" s="179">
        <f>(TablaCosechas[[#This Row],[libras planta]]*454)/M644</f>
        <v>202320.25145631068</v>
      </c>
      <c r="L644" s="174">
        <v>9180.17</v>
      </c>
      <c r="M644" s="19">
        <v>20.6</v>
      </c>
      <c r="N644" s="9" t="str">
        <f>UPPER(TEXT(TablaCosechas[[#This Row],[COSECHA]],"MMMM"))</f>
        <v>DICIEMBRE</v>
      </c>
      <c r="O644" s="9" t="str">
        <f>IF(A644="DO 29","BAP",IF(A644="RO 14","BAP",(VLOOKUP(TablaCosechas[[#This Row],[COD]],Tabla7[[CODIGO]:[CERTIFICACION]],3,0))))</f>
        <v>CONVENCIONAL</v>
      </c>
      <c r="P644" s="180">
        <f>+L644-E644</f>
        <v>1180.17</v>
      </c>
      <c r="Q644" s="181">
        <f>+M644-F644</f>
        <v>0.60000000000000142</v>
      </c>
      <c r="R644" s="9"/>
    </row>
    <row r="645" spans="1:18" x14ac:dyDescent="0.25">
      <c r="A645" s="9" t="s">
        <v>210</v>
      </c>
      <c r="B645" s="9">
        <f>ROW() - ROW(TablaCosechas[[#Headers],[ID]]) - 4</f>
        <v>640</v>
      </c>
      <c r="C645" s="9" t="str">
        <f>LEFT(A645,2)</f>
        <v>ME</v>
      </c>
      <c r="D645" s="182" t="s">
        <v>366</v>
      </c>
      <c r="E645" s="178">
        <v>31900</v>
      </c>
      <c r="F645" s="19">
        <v>26</v>
      </c>
      <c r="G645" s="195">
        <v>45997</v>
      </c>
      <c r="H645" s="9" t="str">
        <f>VLOOKUP(TablaCosechas[[#This Row],[COD]],DATOS!$E$3:$F$27,2,0)</f>
        <v>MERO</v>
      </c>
      <c r="I645" s="9" t="str">
        <f>RIGHT(TablaCosechas[[#This Row],[SECTOR/PISCINA]],2)</f>
        <v>09</v>
      </c>
      <c r="J645" s="9" t="str">
        <f>VLOOKUP(TablaCosechas[[#This Row],[COD]],Tabla7[#All],4,0)</f>
        <v>NESTOR MOGOLLON</v>
      </c>
      <c r="K645" s="179">
        <f>(TablaCosechas[[#This Row],[libras planta]]*454)/M645</f>
        <v>494719.27096996893</v>
      </c>
      <c r="L645" s="174">
        <v>31568.32</v>
      </c>
      <c r="M645" s="19">
        <v>28.97</v>
      </c>
      <c r="N645" s="9" t="str">
        <f>UPPER(TEXT(TablaCosechas[[#This Row],[COSECHA]],"MMMM"))</f>
        <v>DICIEMBRE</v>
      </c>
      <c r="O645" s="9" t="str">
        <f>IF(A645="DO 29","BAP",IF(A645="RO 14","BAP",(VLOOKUP(TablaCosechas[[#This Row],[COD]],Tabla7[[CODIGO]:[CERTIFICACION]],3,0))))</f>
        <v>CONVENCIONAL</v>
      </c>
      <c r="P645" s="180">
        <f>+L645-E645</f>
        <v>-331.68000000000029</v>
      </c>
      <c r="Q645" s="181">
        <f>+M645-F645</f>
        <v>2.9699999999999989</v>
      </c>
      <c r="R645" s="9"/>
    </row>
    <row r="646" spans="1:18" x14ac:dyDescent="0.25">
      <c r="A646" s="9" t="s">
        <v>312</v>
      </c>
      <c r="B646" s="9">
        <f>ROW() - ROW(TablaCosechas[[#Headers],[ID]]) - 4</f>
        <v>641</v>
      </c>
      <c r="C646" s="9" t="str">
        <f>LEFT(A646,2)</f>
        <v>GT</v>
      </c>
      <c r="D646" s="182" t="s">
        <v>367</v>
      </c>
      <c r="E646" s="178">
        <v>12300</v>
      </c>
      <c r="F646" s="19">
        <v>21.5</v>
      </c>
      <c r="G646" s="195">
        <v>45997</v>
      </c>
      <c r="H646" s="9" t="str">
        <f>VLOOKUP(TablaCosechas[[#This Row],[COD]],DATOS!$E$3:$F$27,2,0)</f>
        <v>GUATO</v>
      </c>
      <c r="I646" s="9" t="str">
        <f>RIGHT(TablaCosechas[[#This Row],[SECTOR/PISCINA]],2)</f>
        <v>12</v>
      </c>
      <c r="J646" s="9" t="str">
        <f>VLOOKUP(TablaCosechas[[#This Row],[COD]],Tabla7[#All],4,0)</f>
        <v>JULIO SANTOS</v>
      </c>
      <c r="K646" s="179">
        <f>(TablaCosechas[[#This Row],[libras planta]]*454)/M646</f>
        <v>300424.2446700508</v>
      </c>
      <c r="L646" s="174">
        <v>13036.03</v>
      </c>
      <c r="M646" s="19">
        <v>19.7</v>
      </c>
      <c r="N646" s="9" t="str">
        <f>UPPER(TEXT(TablaCosechas[[#This Row],[COSECHA]],"MMMM"))</f>
        <v>DICIEMBRE</v>
      </c>
      <c r="O646" s="9" t="str">
        <f>IF(A646="DO 29","BAP",IF(A646="RO 14","BAP",(VLOOKUP(TablaCosechas[[#This Row],[COD]],Tabla7[[CODIGO]:[CERTIFICACION]],3,0))))</f>
        <v>CONVENCIONAL</v>
      </c>
      <c r="P646" s="180">
        <f>+L646-E646</f>
        <v>736.03000000000065</v>
      </c>
      <c r="Q646" s="181">
        <f>+M646-F646</f>
        <v>-1.8000000000000007</v>
      </c>
      <c r="R646" s="9"/>
    </row>
    <row r="647" spans="1:18" x14ac:dyDescent="0.25">
      <c r="A647" s="9" t="s">
        <v>307</v>
      </c>
      <c r="B647" s="9">
        <f>ROW() - ROW(TablaCosechas[[#Headers],[ID]]) - 4</f>
        <v>642</v>
      </c>
      <c r="C647" s="9" t="str">
        <f>LEFT(A647,2)</f>
        <v>DO</v>
      </c>
      <c r="D647" s="182" t="s">
        <v>367</v>
      </c>
      <c r="E647" s="178">
        <v>16200</v>
      </c>
      <c r="F647" s="19">
        <v>32</v>
      </c>
      <c r="G647" s="195">
        <v>45997</v>
      </c>
      <c r="H647" s="9" t="str">
        <f>VLOOKUP(TablaCosechas[[#This Row],[COD]],DATOS!$E$3:$F$27,2,0)</f>
        <v>DORADO</v>
      </c>
      <c r="I647" s="9" t="str">
        <f>RIGHT(TablaCosechas[[#This Row],[SECTOR/PISCINA]],2)</f>
        <v>24</v>
      </c>
      <c r="J647" s="9" t="str">
        <f>VLOOKUP(TablaCosechas[[#This Row],[COD]],Tabla7[#All],4,0)</f>
        <v>JOSE CEDEÑO</v>
      </c>
      <c r="K647" s="179">
        <f>(TablaCosechas[[#This Row],[libras planta]]*454)/M647</f>
        <v>181388.8140427866</v>
      </c>
      <c r="L647" s="174">
        <v>14567.04</v>
      </c>
      <c r="M647" s="19">
        <v>36.46</v>
      </c>
      <c r="N647" s="9" t="str">
        <f>UPPER(TEXT(TablaCosechas[[#This Row],[COSECHA]],"MMMM"))</f>
        <v>DICIEMBRE</v>
      </c>
      <c r="O647" s="9" t="str">
        <f>IF(A647="DO 29","BAP",IF(A647="RO 14","BAP",(VLOOKUP(TablaCosechas[[#This Row],[COD]],Tabla7[[CODIGO]:[CERTIFICACION]],3,0))))</f>
        <v>ASC</v>
      </c>
      <c r="P647" s="180">
        <f>+L647-E647</f>
        <v>-1632.9599999999991</v>
      </c>
      <c r="Q647" s="181">
        <f>+M647-F647</f>
        <v>4.4600000000000009</v>
      </c>
      <c r="R647" s="9"/>
    </row>
    <row r="648" spans="1:18" x14ac:dyDescent="0.25">
      <c r="A648" s="9" t="s">
        <v>267</v>
      </c>
      <c r="B648" s="9">
        <f>ROW() - ROW(TablaCosechas[[#Headers],[ID]]) - 4</f>
        <v>643</v>
      </c>
      <c r="C648" s="9" t="str">
        <f>LEFT(A648,2)</f>
        <v>DO</v>
      </c>
      <c r="D648" s="182" t="s">
        <v>366</v>
      </c>
      <c r="E648" s="178">
        <v>24050</v>
      </c>
      <c r="F648" s="19">
        <v>38</v>
      </c>
      <c r="G648" s="195">
        <v>45997</v>
      </c>
      <c r="H648" s="9" t="str">
        <f>VLOOKUP(TablaCosechas[[#This Row],[COD]],DATOS!$E$3:$F$27,2,0)</f>
        <v>DORADO</v>
      </c>
      <c r="I648" s="9" t="str">
        <f>RIGHT(TablaCosechas[[#This Row],[SECTOR/PISCINA]],2)</f>
        <v>17</v>
      </c>
      <c r="J648" s="9" t="str">
        <f>VLOOKUP(TablaCosechas[[#This Row],[COD]],Tabla7[#All],4,0)</f>
        <v>JOSE CEDEÑO</v>
      </c>
      <c r="K648" s="179">
        <f>(TablaCosechas[[#This Row],[libras planta]]*454)/M648</f>
        <v>296237.3819517314</v>
      </c>
      <c r="L648" s="174">
        <v>24873.5</v>
      </c>
      <c r="M648" s="19">
        <v>38.119999999999997</v>
      </c>
      <c r="N648" s="9" t="str">
        <f>UPPER(TEXT(TablaCosechas[[#This Row],[COSECHA]],"MMMM"))</f>
        <v>DICIEMBRE</v>
      </c>
      <c r="O648" s="9" t="str">
        <f>IF(A648="DO 29","BAP",IF(A648="RO 14","BAP",(VLOOKUP(TablaCosechas[[#This Row],[COD]],Tabla7[[CODIGO]:[CERTIFICACION]],3,0))))</f>
        <v>ASC</v>
      </c>
      <c r="P648" s="180">
        <f>+L648-E648</f>
        <v>823.5</v>
      </c>
      <c r="Q648" s="181">
        <f>+M648-F648</f>
        <v>0.11999999999999744</v>
      </c>
      <c r="R648" s="9"/>
    </row>
    <row r="649" spans="1:18" x14ac:dyDescent="0.25">
      <c r="A649" s="9" t="s">
        <v>16</v>
      </c>
      <c r="B649" s="9">
        <f>ROW() - ROW(TablaCosechas[[#Headers],[ID]]) - 4</f>
        <v>644</v>
      </c>
      <c r="C649" s="9" t="str">
        <f>LEFT(A649,2)</f>
        <v>CH</v>
      </c>
      <c r="D649" s="182" t="s">
        <v>367</v>
      </c>
      <c r="E649" s="178">
        <v>5400</v>
      </c>
      <c r="F649" s="19">
        <v>22</v>
      </c>
      <c r="G649" s="195">
        <v>45997</v>
      </c>
      <c r="H649" s="9" t="str">
        <f>VLOOKUP(TablaCosechas[[#This Row],[COD]],DATOS!$E$3:$F$27,2,0)</f>
        <v>CHERNA</v>
      </c>
      <c r="I649" s="9" t="str">
        <f>RIGHT(TablaCosechas[[#This Row],[SECTOR/PISCINA]],2)</f>
        <v>10</v>
      </c>
      <c r="J649" s="9" t="str">
        <f>VLOOKUP(TablaCosechas[[#This Row],[COD]],Tabla7[#All],4,0)</f>
        <v>SANTIAGO OBRIEN</v>
      </c>
      <c r="K649" s="179">
        <f>(TablaCosechas[[#This Row],[libras planta]]*454)/M649</f>
        <v>117639.14045936396</v>
      </c>
      <c r="L649" s="174">
        <v>5866.41</v>
      </c>
      <c r="M649" s="19">
        <v>22.64</v>
      </c>
      <c r="N649" s="9" t="str">
        <f>UPPER(TEXT(TablaCosechas[[#This Row],[COSECHA]],"MMMM"))</f>
        <v>DICIEMBRE</v>
      </c>
      <c r="O649" s="9" t="str">
        <f>IF(A649="DO 29","BAP",IF(A649="RO 14","BAP",(VLOOKUP(TablaCosechas[[#This Row],[COD]],Tabla7[[CODIGO]:[CERTIFICACION]],3,0))))</f>
        <v>ASC</v>
      </c>
      <c r="P649" s="180">
        <f>+L649-E649</f>
        <v>466.40999999999985</v>
      </c>
      <c r="Q649" s="181">
        <f>+M649-F649</f>
        <v>0.64000000000000057</v>
      </c>
      <c r="R649" s="9"/>
    </row>
    <row r="650" spans="1:18" x14ac:dyDescent="0.25">
      <c r="A650" s="9" t="s">
        <v>342</v>
      </c>
      <c r="B650" s="9">
        <f>ROW() - ROW(TablaCosechas[[#Headers],[ID]]) - 4</f>
        <v>645</v>
      </c>
      <c r="C650" s="9" t="str">
        <f>LEFT(A650,2)</f>
        <v>WA</v>
      </c>
      <c r="D650" s="182" t="s">
        <v>367</v>
      </c>
      <c r="E650" s="178">
        <v>6050</v>
      </c>
      <c r="F650" s="19">
        <v>18</v>
      </c>
      <c r="G650" s="195">
        <v>45998</v>
      </c>
      <c r="H650" s="9" t="str">
        <f>VLOOKUP(TablaCosechas[[#This Row],[COD]],DATOS!$E$3:$F$27,2,0)</f>
        <v>WAHOO</v>
      </c>
      <c r="I650" s="9" t="str">
        <f>RIGHT(TablaCosechas[[#This Row],[SECTOR/PISCINA]],2)</f>
        <v>24</v>
      </c>
      <c r="J650" s="9" t="str">
        <f>VLOOKUP(TablaCosechas[[#This Row],[COD]],Tabla7[#All],4,0)</f>
        <v>JUNIOR ESQUIVEL</v>
      </c>
      <c r="K650" s="179">
        <f>(TablaCosechas[[#This Row],[libras planta]]*454)/M650</f>
        <v>132973.76514445478</v>
      </c>
      <c r="L650" s="174">
        <v>6285.5</v>
      </c>
      <c r="M650" s="19">
        <v>21.46</v>
      </c>
      <c r="N650" s="9" t="str">
        <f>UPPER(TEXT(TablaCosechas[[#This Row],[COSECHA]],"MMMM"))</f>
        <v>DICIEMBRE</v>
      </c>
      <c r="O650" s="9" t="str">
        <f>IF(A650="DO 29","BAP",IF(A650="RO 14","BAP",(VLOOKUP(TablaCosechas[[#This Row],[COD]],Tabla7[[CODIGO]:[CERTIFICACION]],3,0))))</f>
        <v>CONVENCIONAL</v>
      </c>
      <c r="P650" s="180">
        <f>+L650-E650</f>
        <v>235.5</v>
      </c>
      <c r="Q650" s="181">
        <f>+M650-F650</f>
        <v>3.4600000000000009</v>
      </c>
      <c r="R650" s="9"/>
    </row>
    <row r="651" spans="1:18" x14ac:dyDescent="0.25">
      <c r="A651" s="9" t="s">
        <v>181</v>
      </c>
      <c r="B651" s="9">
        <f>ROW() - ROW(TablaCosechas[[#Headers],[ID]]) - 4</f>
        <v>646</v>
      </c>
      <c r="C651" s="9" t="str">
        <f>LEFT(A651,2)</f>
        <v>TA</v>
      </c>
      <c r="D651" s="182" t="s">
        <v>366</v>
      </c>
      <c r="E651" s="178">
        <v>31500</v>
      </c>
      <c r="F651" s="19">
        <v>30.5</v>
      </c>
      <c r="G651" s="195">
        <v>45998</v>
      </c>
      <c r="H651" s="9" t="str">
        <f>VLOOKUP(TablaCosechas[[#This Row],[COD]],DATOS!$E$3:$F$27,2,0)</f>
        <v>TAMBULERO</v>
      </c>
      <c r="I651" s="9" t="str">
        <f>RIGHT(TablaCosechas[[#This Row],[SECTOR/PISCINA]],2)</f>
        <v>10</v>
      </c>
      <c r="J651" s="9" t="str">
        <f>VLOOKUP(TablaCosechas[[#This Row],[COD]],Tabla7[#All],4,0)</f>
        <v>ALFONSO GRUNAUER</v>
      </c>
      <c r="K651" s="179">
        <f>(TablaCosechas[[#This Row],[libras planta]]*454)/M651</f>
        <v>452681.01362751459</v>
      </c>
      <c r="L651" s="174">
        <v>30730.46</v>
      </c>
      <c r="M651" s="19">
        <v>30.82</v>
      </c>
      <c r="N651" s="9" t="str">
        <f>UPPER(TEXT(TablaCosechas[[#This Row],[COSECHA]],"MMMM"))</f>
        <v>DICIEMBRE</v>
      </c>
      <c r="O651" s="9" t="str">
        <f>IF(A651="DO 29","BAP",IF(A651="RO 14","BAP",(VLOOKUP(TablaCosechas[[#This Row],[COD]],Tabla7[[CODIGO]:[CERTIFICACION]],3,0))))</f>
        <v>CONVENCIONAL</v>
      </c>
      <c r="P651" s="180">
        <f>+L651-E651</f>
        <v>-769.54000000000087</v>
      </c>
      <c r="Q651" s="181">
        <f>+M651-F651</f>
        <v>0.32000000000000028</v>
      </c>
      <c r="R651" s="9"/>
    </row>
    <row r="652" spans="1:18" x14ac:dyDescent="0.25">
      <c r="A652" s="9" t="s">
        <v>318</v>
      </c>
      <c r="B652" s="9">
        <f>ROW() - ROW(TablaCosechas[[#Headers],[ID]]) - 4</f>
        <v>647</v>
      </c>
      <c r="C652" s="9" t="str">
        <f>LEFT(A652,2)</f>
        <v>GT</v>
      </c>
      <c r="D652" s="182" t="s">
        <v>367</v>
      </c>
      <c r="E652" s="178">
        <v>5200</v>
      </c>
      <c r="F652" s="19">
        <v>29</v>
      </c>
      <c r="G652" s="195">
        <v>45998</v>
      </c>
      <c r="H652" s="9" t="str">
        <f>VLOOKUP(TablaCosechas[[#This Row],[COD]],DATOS!$E$3:$F$27,2,0)</f>
        <v>GUATO</v>
      </c>
      <c r="I652" s="9" t="str">
        <f>RIGHT(TablaCosechas[[#This Row],[SECTOR/PISCINA]],2)</f>
        <v>11</v>
      </c>
      <c r="J652" s="9" t="str">
        <f>VLOOKUP(TablaCosechas[[#This Row],[COD]],Tabla7[#All],4,0)</f>
        <v>JULIO SANTOS</v>
      </c>
      <c r="K652" s="179">
        <f>(TablaCosechas[[#This Row],[libras planta]]*454)/M652</f>
        <v>84627.859018659292</v>
      </c>
      <c r="L652" s="174">
        <v>5394.56</v>
      </c>
      <c r="M652" s="19">
        <v>28.94</v>
      </c>
      <c r="N652" s="9" t="str">
        <f>UPPER(TEXT(TablaCosechas[[#This Row],[COSECHA]],"MMMM"))</f>
        <v>DICIEMBRE</v>
      </c>
      <c r="O652" s="9" t="str">
        <f>IF(A652="DO 29","BAP",IF(A652="RO 14","BAP",(VLOOKUP(TablaCosechas[[#This Row],[COD]],Tabla7[[CODIGO]:[CERTIFICACION]],3,0))))</f>
        <v>CONVENCIONAL</v>
      </c>
      <c r="P652" s="180">
        <f>+L652-E652</f>
        <v>194.5600000000004</v>
      </c>
      <c r="Q652" s="181">
        <f>+M652-F652</f>
        <v>-5.9999999999998721E-2</v>
      </c>
      <c r="R652" s="9"/>
    </row>
    <row r="653" spans="1:18" x14ac:dyDescent="0.25">
      <c r="A653" s="9" t="s">
        <v>265</v>
      </c>
      <c r="B653" s="9">
        <f>ROW() - ROW(TablaCosechas[[#Headers],[ID]]) - 4</f>
        <v>648</v>
      </c>
      <c r="C653" s="9" t="str">
        <f>LEFT(A653,2)</f>
        <v>DE</v>
      </c>
      <c r="D653" s="182" t="s">
        <v>366</v>
      </c>
      <c r="E653" s="178">
        <v>15000</v>
      </c>
      <c r="F653" s="19">
        <v>34</v>
      </c>
      <c r="G653" s="195">
        <v>45998</v>
      </c>
      <c r="H653" s="9" t="str">
        <f>VLOOKUP(TablaCosechas[[#This Row],[COD]],DATOS!$E$3:$F$27,2,0)</f>
        <v>DELFIN</v>
      </c>
      <c r="I653" s="9" t="str">
        <f>RIGHT(TablaCosechas[[#This Row],[SECTOR/PISCINA]],2)</f>
        <v>04</v>
      </c>
      <c r="J653" s="9" t="str">
        <f>VLOOKUP(TablaCosechas[[#This Row],[COD]],Tabla7[#All],4,0)</f>
        <v>CARLOS FLORES</v>
      </c>
      <c r="K653" s="179">
        <f>(TablaCosechas[[#This Row],[libras planta]]*454)/M653</f>
        <v>188702.5554942021</v>
      </c>
      <c r="L653" s="174">
        <v>15054.64</v>
      </c>
      <c r="M653" s="19">
        <v>36.22</v>
      </c>
      <c r="N653" s="9" t="str">
        <f>UPPER(TEXT(TablaCosechas[[#This Row],[COSECHA]],"MMMM"))</f>
        <v>DICIEMBRE</v>
      </c>
      <c r="O653" s="9" t="str">
        <f>IF(A653="DO 29","BAP",IF(A653="RO 14","BAP",(VLOOKUP(TablaCosechas[[#This Row],[COD]],Tabla7[[CODIGO]:[CERTIFICACION]],3,0))))</f>
        <v>CONVENCIONAL</v>
      </c>
      <c r="P653" s="180">
        <f>+L653-E653</f>
        <v>54.639999999999418</v>
      </c>
      <c r="Q653" s="181">
        <f>+M653-F653</f>
        <v>2.2199999999999989</v>
      </c>
      <c r="R653" s="9"/>
    </row>
    <row r="654" spans="1:18" x14ac:dyDescent="0.25">
      <c r="A654" s="9" t="s">
        <v>16</v>
      </c>
      <c r="B654" s="9">
        <f>ROW() - ROW(TablaCosechas[[#Headers],[ID]]) - 4</f>
        <v>649</v>
      </c>
      <c r="C654" s="9" t="str">
        <f>LEFT(A654,2)</f>
        <v>CH</v>
      </c>
      <c r="D654" s="182" t="s">
        <v>367</v>
      </c>
      <c r="E654" s="178">
        <v>5400</v>
      </c>
      <c r="F654" s="19">
        <v>22</v>
      </c>
      <c r="G654" s="195">
        <v>45998</v>
      </c>
      <c r="H654" s="9" t="str">
        <f>VLOOKUP(TablaCosechas[[#This Row],[COD]],DATOS!$E$3:$F$27,2,0)</f>
        <v>CHERNA</v>
      </c>
      <c r="I654" s="9" t="str">
        <f>RIGHT(TablaCosechas[[#This Row],[SECTOR/PISCINA]],2)</f>
        <v>10</v>
      </c>
      <c r="J654" s="9" t="str">
        <f>VLOOKUP(TablaCosechas[[#This Row],[COD]],Tabla7[#All],4,0)</f>
        <v>SANTIAGO OBRIEN</v>
      </c>
      <c r="K654" s="179">
        <f>(TablaCosechas[[#This Row],[libras planta]]*454)/M654</f>
        <v>110572.77708146822</v>
      </c>
      <c r="L654" s="174">
        <v>5440.96</v>
      </c>
      <c r="M654" s="19">
        <v>22.34</v>
      </c>
      <c r="N654" s="9" t="str">
        <f>UPPER(TEXT(TablaCosechas[[#This Row],[COSECHA]],"MMMM"))</f>
        <v>DICIEMBRE</v>
      </c>
      <c r="O654" s="9" t="str">
        <f>IF(A654="DO 29","BAP",IF(A654="RO 14","BAP",(VLOOKUP(TablaCosechas[[#This Row],[COD]],Tabla7[[CODIGO]:[CERTIFICACION]],3,0))))</f>
        <v>ASC</v>
      </c>
      <c r="P654" s="180">
        <f>+L654-E654</f>
        <v>40.960000000000036</v>
      </c>
      <c r="Q654" s="181">
        <f>+M654-F654</f>
        <v>0.33999999999999986</v>
      </c>
      <c r="R654" s="9"/>
    </row>
    <row r="655" spans="1:18" x14ac:dyDescent="0.25">
      <c r="A655" s="9" t="s">
        <v>320</v>
      </c>
      <c r="B655" s="9">
        <f>ROW() - ROW(TablaCosechas[[#Headers],[ID]]) - 4</f>
        <v>650</v>
      </c>
      <c r="C655" s="9" t="str">
        <f>LEFT(A655,2)</f>
        <v>CA</v>
      </c>
      <c r="D655" s="182" t="s">
        <v>367</v>
      </c>
      <c r="E655" s="178">
        <v>4500</v>
      </c>
      <c r="F655" s="19">
        <v>25</v>
      </c>
      <c r="G655" s="195">
        <v>45998</v>
      </c>
      <c r="H655" s="9" t="str">
        <f>VLOOKUP(TablaCosechas[[#This Row],[COD]],DATOS!$E$3:$F$27,2,0)</f>
        <v>CATANUDA</v>
      </c>
      <c r="I655" s="9" t="str">
        <f>RIGHT(TablaCosechas[[#This Row],[SECTOR/PISCINA]],2)</f>
        <v>21</v>
      </c>
      <c r="J655" s="9" t="str">
        <f>VLOOKUP(TablaCosechas[[#This Row],[COD]],Tabla7[#All],4,0)</f>
        <v>VICTOR QUINTANA</v>
      </c>
      <c r="K655" s="179">
        <f>(TablaCosechas[[#This Row],[libras planta]]*454)/M655</f>
        <v>66015.325452016681</v>
      </c>
      <c r="L655" s="174">
        <v>4181.9399999999996</v>
      </c>
      <c r="M655" s="19">
        <v>28.76</v>
      </c>
      <c r="N655" s="9" t="str">
        <f>UPPER(TEXT(TablaCosechas[[#This Row],[COSECHA]],"MMMM"))</f>
        <v>DICIEMBRE</v>
      </c>
      <c r="O655" s="9" t="str">
        <f>IF(A655="DO 29","BAP",IF(A655="RO 14","BAP",(VLOOKUP(TablaCosechas[[#This Row],[COD]],Tabla7[[CODIGO]:[CERTIFICACION]],3,0))))</f>
        <v>ASC</v>
      </c>
      <c r="P655" s="180">
        <f>+L655-E655</f>
        <v>-318.0600000000004</v>
      </c>
      <c r="Q655" s="181">
        <f>+M655-F655</f>
        <v>3.7600000000000016</v>
      </c>
      <c r="R655" s="9"/>
    </row>
    <row r="656" spans="1:18" x14ac:dyDescent="0.25">
      <c r="A656" s="9" t="s">
        <v>295</v>
      </c>
      <c r="B656" s="9">
        <f>ROW() - ROW(TablaCosechas[[#Headers],[ID]]) - 4</f>
        <v>651</v>
      </c>
      <c r="C656" s="9" t="str">
        <f>LEFT(A656,2)</f>
        <v>CA</v>
      </c>
      <c r="D656" s="182" t="s">
        <v>367</v>
      </c>
      <c r="E656" s="178">
        <v>2600</v>
      </c>
      <c r="F656" s="19">
        <v>25</v>
      </c>
      <c r="G656" s="195">
        <v>45998</v>
      </c>
      <c r="H656" s="9" t="str">
        <f>VLOOKUP(TablaCosechas[[#This Row],[COD]],DATOS!$E$3:$F$27,2,0)</f>
        <v>CATANUDA</v>
      </c>
      <c r="I656" s="9" t="str">
        <f>RIGHT(TablaCosechas[[#This Row],[SECTOR/PISCINA]],2)</f>
        <v>14</v>
      </c>
      <c r="J656" s="9" t="str">
        <f>VLOOKUP(TablaCosechas[[#This Row],[COD]],Tabla7[#All],4,0)</f>
        <v>VICTOR QUINTANA</v>
      </c>
      <c r="K656" s="179">
        <f>(TablaCosechas[[#This Row],[libras planta]]*454)/M656</f>
        <v>43477.861236802411</v>
      </c>
      <c r="L656" s="174">
        <v>2539.7199999999998</v>
      </c>
      <c r="M656" s="19">
        <v>26.52</v>
      </c>
      <c r="N656" s="9" t="str">
        <f>UPPER(TEXT(TablaCosechas[[#This Row],[COSECHA]],"MMMM"))</f>
        <v>DICIEMBRE</v>
      </c>
      <c r="O656" s="9" t="str">
        <f>IF(A656="DO 29","BAP",IF(A656="RO 14","BAP",(VLOOKUP(TablaCosechas[[#This Row],[COD]],Tabla7[[CODIGO]:[CERTIFICACION]],3,0))))</f>
        <v>ASC</v>
      </c>
      <c r="P656" s="180">
        <f>+L656-E656</f>
        <v>-60.2800000000002</v>
      </c>
      <c r="Q656" s="181">
        <f>+M656-F656</f>
        <v>1.5199999999999996</v>
      </c>
      <c r="R656" s="9"/>
    </row>
    <row r="657" spans="1:18" x14ac:dyDescent="0.25">
      <c r="A657" s="9" t="s">
        <v>313</v>
      </c>
      <c r="B657" s="9">
        <f>ROW() - ROW(TablaCosechas[[#Headers],[ID]]) - 4</f>
        <v>652</v>
      </c>
      <c r="C657" s="9" t="str">
        <f>LEFT(A657,2)</f>
        <v>TI</v>
      </c>
      <c r="D657" s="182" t="s">
        <v>367</v>
      </c>
      <c r="E657" s="178">
        <v>9000</v>
      </c>
      <c r="F657" s="19">
        <v>27.5</v>
      </c>
      <c r="G657" s="195">
        <v>45999</v>
      </c>
      <c r="H657" s="9" t="str">
        <f>VLOOKUP(TablaCosechas[[#This Row],[COD]],DATOS!$E$3:$F$27,2,0)</f>
        <v>TIBURON</v>
      </c>
      <c r="I657" s="9" t="str">
        <f>RIGHT(TablaCosechas[[#This Row],[SECTOR/PISCINA]],2)</f>
        <v>20</v>
      </c>
      <c r="J657" s="9" t="str">
        <f>VLOOKUP(TablaCosechas[[#This Row],[COD]],Tabla7[#All],4,0)</f>
        <v>ALFONSO GRUNAUER</v>
      </c>
      <c r="K657" s="179">
        <f>(TablaCosechas[[#This Row],[libras planta]]*454)/M657</f>
        <v>140046.52412868632</v>
      </c>
      <c r="L657" s="174">
        <v>9204.82</v>
      </c>
      <c r="M657" s="19">
        <v>29.84</v>
      </c>
      <c r="N657" s="9" t="str">
        <f>UPPER(TEXT(TablaCosechas[[#This Row],[COSECHA]],"MMMM"))</f>
        <v>DICIEMBRE</v>
      </c>
      <c r="O657" s="9" t="str">
        <f>IF(A657="DO 29","BAP",IF(A657="RO 14","BAP",(VLOOKUP(TablaCosechas[[#This Row],[COD]],Tabla7[[CODIGO]:[CERTIFICACION]],3,0))))</f>
        <v>ASC</v>
      </c>
      <c r="P657" s="180">
        <f>+L657-E657</f>
        <v>204.81999999999971</v>
      </c>
      <c r="Q657" s="181">
        <f>+M657-F657</f>
        <v>2.34</v>
      </c>
      <c r="R657" s="9"/>
    </row>
    <row r="658" spans="1:18" x14ac:dyDescent="0.25">
      <c r="A658" s="9" t="s">
        <v>314</v>
      </c>
      <c r="B658" s="9">
        <f>ROW() - ROW(TablaCosechas[[#Headers],[ID]]) - 4</f>
        <v>653</v>
      </c>
      <c r="C658" s="9" t="str">
        <f>LEFT(A658,2)</f>
        <v>GT</v>
      </c>
      <c r="D658" s="182" t="s">
        <v>367</v>
      </c>
      <c r="E658" s="178">
        <v>6400</v>
      </c>
      <c r="F658" s="19">
        <v>27</v>
      </c>
      <c r="G658" s="195">
        <v>45999</v>
      </c>
      <c r="H658" s="9" t="str">
        <f>VLOOKUP(TablaCosechas[[#This Row],[COD]],DATOS!$E$3:$F$27,2,0)</f>
        <v>GUATO</v>
      </c>
      <c r="I658" s="9" t="str">
        <f>RIGHT(TablaCosechas[[#This Row],[SECTOR/PISCINA]],2)</f>
        <v>10</v>
      </c>
      <c r="J658" s="9" t="str">
        <f>VLOOKUP(TablaCosechas[[#This Row],[COD]],Tabla7[#All],4,0)</f>
        <v>JULIO SANTOS</v>
      </c>
      <c r="K658" s="179">
        <f>(TablaCosechas[[#This Row],[libras planta]]*454)/M658</f>
        <v>106798.5794797688</v>
      </c>
      <c r="L658" s="174">
        <v>6511.42</v>
      </c>
      <c r="M658" s="19">
        <v>27.68</v>
      </c>
      <c r="N658" s="9" t="str">
        <f>UPPER(TEXT(TablaCosechas[[#This Row],[COSECHA]],"MMMM"))</f>
        <v>DICIEMBRE</v>
      </c>
      <c r="O658" s="9" t="str">
        <f>IF(A658="DO 29","BAP",IF(A658="RO 14","BAP",(VLOOKUP(TablaCosechas[[#This Row],[COD]],Tabla7[[CODIGO]:[CERTIFICACION]],3,0))))</f>
        <v>CONVENCIONAL</v>
      </c>
      <c r="P658" s="180">
        <f>+L658-E658</f>
        <v>111.42000000000007</v>
      </c>
      <c r="Q658" s="181">
        <f>+M658-F658</f>
        <v>0.67999999999999972</v>
      </c>
      <c r="R658" s="9"/>
    </row>
    <row r="659" spans="1:18" x14ac:dyDescent="0.25">
      <c r="A659" s="9" t="s">
        <v>286</v>
      </c>
      <c r="B659" s="9">
        <f>ROW() - ROW(TablaCosechas[[#Headers],[ID]]) - 4</f>
        <v>654</v>
      </c>
      <c r="C659" s="9" t="str">
        <f>LEFT(A659,2)</f>
        <v>DO</v>
      </c>
      <c r="D659" s="182" t="s">
        <v>367</v>
      </c>
      <c r="E659" s="178">
        <v>15700</v>
      </c>
      <c r="F659" s="19">
        <v>35</v>
      </c>
      <c r="G659" s="195">
        <v>45999</v>
      </c>
      <c r="H659" s="9" t="str">
        <f>VLOOKUP(TablaCosechas[[#This Row],[COD]],DATOS!$E$3:$F$27,2,0)</f>
        <v>DORADO</v>
      </c>
      <c r="I659" s="9" t="str">
        <f>RIGHT(TablaCosechas[[#This Row],[SECTOR/PISCINA]],2)</f>
        <v>29</v>
      </c>
      <c r="J659" s="9" t="str">
        <f>VLOOKUP(TablaCosechas[[#This Row],[COD]],Tabla7[#All],4,0)</f>
        <v>JOSE CEDEÑO</v>
      </c>
      <c r="K659" s="179">
        <f>(TablaCosechas[[#This Row],[libras planta]]*454)/M659</f>
        <v>165037.38885824601</v>
      </c>
      <c r="L659" s="174">
        <v>13181.18</v>
      </c>
      <c r="M659" s="19">
        <v>36.26</v>
      </c>
      <c r="N659" s="9" t="str">
        <f>UPPER(TEXT(TablaCosechas[[#This Row],[COSECHA]],"MMMM"))</f>
        <v>DICIEMBRE</v>
      </c>
      <c r="O659" s="9" t="str">
        <f>IF(A659="DO 29","BAP",IF(A659="RO 14","BAP",(VLOOKUP(TablaCosechas[[#This Row],[COD]],Tabla7[[CODIGO]:[CERTIFICACION]],3,0))))</f>
        <v>BAP</v>
      </c>
      <c r="P659" s="180">
        <f>+L659-E659</f>
        <v>-2518.8199999999997</v>
      </c>
      <c r="Q659" s="181">
        <f>+M659-F659</f>
        <v>1.259999999999998</v>
      </c>
      <c r="R659" s="9"/>
    </row>
    <row r="660" spans="1:18" x14ac:dyDescent="0.25">
      <c r="A660" s="9" t="s">
        <v>308</v>
      </c>
      <c r="B660" s="9">
        <f>ROW() - ROW(TablaCosechas[[#Headers],[ID]]) - 4</f>
        <v>655</v>
      </c>
      <c r="C660" s="9" t="str">
        <f>LEFT(A660,2)</f>
        <v>DO</v>
      </c>
      <c r="D660" s="182" t="s">
        <v>367</v>
      </c>
      <c r="E660" s="178">
        <v>7700</v>
      </c>
      <c r="F660" s="19">
        <v>35</v>
      </c>
      <c r="G660" s="195">
        <v>45999</v>
      </c>
      <c r="H660" s="9" t="str">
        <f>VLOOKUP(TablaCosechas[[#This Row],[COD]],DATOS!$E$3:$F$27,2,0)</f>
        <v>DORADO</v>
      </c>
      <c r="I660" s="9" t="str">
        <f>RIGHT(TablaCosechas[[#This Row],[SECTOR/PISCINA]],2)</f>
        <v>26</v>
      </c>
      <c r="J660" s="9" t="str">
        <f>VLOOKUP(TablaCosechas[[#This Row],[COD]],Tabla7[#All],4,0)</f>
        <v>JOSE CEDEÑO</v>
      </c>
      <c r="K660" s="179">
        <f>(TablaCosechas[[#This Row],[libras planta]]*454)/M660</f>
        <v>91589.210555867496</v>
      </c>
      <c r="L660" s="174">
        <v>7185.92</v>
      </c>
      <c r="M660" s="19">
        <v>35.619999999999997</v>
      </c>
      <c r="N660" s="9" t="str">
        <f>UPPER(TEXT(TablaCosechas[[#This Row],[COSECHA]],"MMMM"))</f>
        <v>DICIEMBRE</v>
      </c>
      <c r="O660" s="9" t="str">
        <f>IF(A660="DO 29","BAP",IF(A660="RO 14","BAP",(VLOOKUP(TablaCosechas[[#This Row],[COD]],Tabla7[[CODIGO]:[CERTIFICACION]],3,0))))</f>
        <v>ASC</v>
      </c>
      <c r="P660" s="180">
        <f>+L660-E660</f>
        <v>-514.07999999999993</v>
      </c>
      <c r="Q660" s="181">
        <f>+M660-F660</f>
        <v>0.61999999999999744</v>
      </c>
      <c r="R660" s="9"/>
    </row>
    <row r="661" spans="1:18" x14ac:dyDescent="0.25">
      <c r="A661" s="9" t="s">
        <v>159</v>
      </c>
      <c r="B661" s="9">
        <f>ROW() - ROW(TablaCosechas[[#Headers],[ID]]) - 4</f>
        <v>656</v>
      </c>
      <c r="C661" s="9" t="str">
        <f>LEFT(A661,2)</f>
        <v>DO</v>
      </c>
      <c r="D661" s="182" t="s">
        <v>367</v>
      </c>
      <c r="E661" s="178">
        <v>20000</v>
      </c>
      <c r="F661" s="19">
        <v>22</v>
      </c>
      <c r="G661" s="195">
        <v>45999</v>
      </c>
      <c r="H661" s="9" t="str">
        <f>VLOOKUP(TablaCosechas[[#This Row],[COD]],DATOS!$E$3:$F$27,2,0)</f>
        <v>DORADO</v>
      </c>
      <c r="I661" s="9" t="str">
        <f>RIGHT(TablaCosechas[[#This Row],[SECTOR/PISCINA]],2)</f>
        <v>23</v>
      </c>
      <c r="J661" s="9" t="str">
        <f>VLOOKUP(TablaCosechas[[#This Row],[COD]],Tabla7[#All],4,0)</f>
        <v>JOSE CEDEÑO</v>
      </c>
      <c r="K661" s="179">
        <f>(TablaCosechas[[#This Row],[libras planta]]*454)/M661</f>
        <v>400564.91728624533</v>
      </c>
      <c r="L661" s="174">
        <v>18987.13</v>
      </c>
      <c r="M661" s="19">
        <v>21.52</v>
      </c>
      <c r="N661" s="9" t="str">
        <f>UPPER(TEXT(TablaCosechas[[#This Row],[COSECHA]],"MMMM"))</f>
        <v>DICIEMBRE</v>
      </c>
      <c r="O661" s="9" t="str">
        <f>IF(A661="DO 29","BAP",IF(A661="RO 14","BAP",(VLOOKUP(TablaCosechas[[#This Row],[COD]],Tabla7[[CODIGO]:[CERTIFICACION]],3,0))))</f>
        <v>ASC</v>
      </c>
      <c r="P661" s="180">
        <f>+L661-E661</f>
        <v>-1012.869999999999</v>
      </c>
      <c r="Q661" s="181">
        <f>+M661-F661</f>
        <v>-0.48000000000000043</v>
      </c>
      <c r="R661" s="9"/>
    </row>
    <row r="662" spans="1:18" x14ac:dyDescent="0.25">
      <c r="A662" s="9" t="s">
        <v>130</v>
      </c>
      <c r="B662" s="9">
        <f>ROW() - ROW(TablaCosechas[[#Headers],[ID]]) - 4</f>
        <v>657</v>
      </c>
      <c r="C662" s="9" t="str">
        <f>LEFT(A662,2)</f>
        <v>DE</v>
      </c>
      <c r="D662" s="182" t="s">
        <v>367</v>
      </c>
      <c r="E662" s="178">
        <v>14400</v>
      </c>
      <c r="F662" s="19">
        <v>23</v>
      </c>
      <c r="G662" s="195">
        <v>45999</v>
      </c>
      <c r="H662" s="9" t="str">
        <f>VLOOKUP(TablaCosechas[[#This Row],[COD]],DATOS!$E$3:$F$27,2,0)</f>
        <v>DELFIN</v>
      </c>
      <c r="I662" s="9" t="str">
        <f>RIGHT(TablaCosechas[[#This Row],[SECTOR/PISCINA]],2)</f>
        <v>27</v>
      </c>
      <c r="J662" s="9" t="str">
        <f>VLOOKUP(TablaCosechas[[#This Row],[COD]],Tabla7[#All],4,0)</f>
        <v>CARLOS FLORES</v>
      </c>
      <c r="K662" s="179">
        <f>(TablaCosechas[[#This Row],[libras planta]]*454)/M662</f>
        <v>261431.08818770229</v>
      </c>
      <c r="L662" s="174">
        <v>14234.75</v>
      </c>
      <c r="M662" s="19">
        <v>24.72</v>
      </c>
      <c r="N662" s="9" t="str">
        <f>UPPER(TEXT(TablaCosechas[[#This Row],[COSECHA]],"MMMM"))</f>
        <v>DICIEMBRE</v>
      </c>
      <c r="O662" s="9" t="str">
        <f>IF(A662="DO 29","BAP",IF(A662="RO 14","BAP",(VLOOKUP(TablaCosechas[[#This Row],[COD]],Tabla7[[CODIGO]:[CERTIFICACION]],3,0))))</f>
        <v>CONVENCIONAL</v>
      </c>
      <c r="P662" s="180">
        <f>+L662-E662</f>
        <v>-165.25</v>
      </c>
      <c r="Q662" s="181">
        <f>+M662-F662</f>
        <v>1.7199999999999989</v>
      </c>
      <c r="R662" s="9"/>
    </row>
    <row r="663" spans="1:18" x14ac:dyDescent="0.25">
      <c r="A663" s="9" t="s">
        <v>8</v>
      </c>
      <c r="B663" s="9">
        <f>ROW() - ROW(TablaCosechas[[#Headers],[ID]]) - 4</f>
        <v>658</v>
      </c>
      <c r="C663" s="9" t="str">
        <f>LEFT(A663,2)</f>
        <v>CH</v>
      </c>
      <c r="D663" s="182" t="s">
        <v>367</v>
      </c>
      <c r="E663" s="178">
        <v>8000</v>
      </c>
      <c r="F663" s="19">
        <v>26</v>
      </c>
      <c r="G663" s="195">
        <v>45999</v>
      </c>
      <c r="H663" s="9" t="str">
        <f>VLOOKUP(TablaCosechas[[#This Row],[COD]],DATOS!$E$3:$F$27,2,0)</f>
        <v>CHERNA</v>
      </c>
      <c r="I663" s="9" t="str">
        <f>RIGHT(TablaCosechas[[#This Row],[SECTOR/PISCINA]],2)</f>
        <v>02</v>
      </c>
      <c r="J663" s="9" t="str">
        <f>VLOOKUP(TablaCosechas[[#This Row],[COD]],Tabla7[#All],4,0)</f>
        <v>SANTIAGO OBRIEN</v>
      </c>
      <c r="K663" s="179">
        <f>(TablaCosechas[[#This Row],[libras planta]]*454)/M663</f>
        <v>122975.86585365856</v>
      </c>
      <c r="L663" s="174">
        <v>7107.68</v>
      </c>
      <c r="M663" s="19">
        <v>26.24</v>
      </c>
      <c r="N663" s="9" t="str">
        <f>UPPER(TEXT(TablaCosechas[[#This Row],[COSECHA]],"MMMM"))</f>
        <v>DICIEMBRE</v>
      </c>
      <c r="O663" s="9" t="str">
        <f>IF(A663="DO 29","BAP",IF(A663="RO 14","BAP",(VLOOKUP(TablaCosechas[[#This Row],[COD]],Tabla7[[CODIGO]:[CERTIFICACION]],3,0))))</f>
        <v>ASC</v>
      </c>
      <c r="P663" s="180">
        <f>+L663-E663</f>
        <v>-892.31999999999971</v>
      </c>
      <c r="Q663" s="181">
        <f>+M663-F663</f>
        <v>0.23999999999999844</v>
      </c>
      <c r="R663" s="9"/>
    </row>
    <row r="664" spans="1:18" x14ac:dyDescent="0.25">
      <c r="A664" s="9" t="s">
        <v>110</v>
      </c>
      <c r="B664" s="9">
        <f>ROW() - ROW(TablaCosechas[[#Headers],[ID]]) - 4</f>
        <v>659</v>
      </c>
      <c r="C664" s="9" t="str">
        <f>LEFT(A664,2)</f>
        <v>CA</v>
      </c>
      <c r="D664" s="182" t="s">
        <v>367</v>
      </c>
      <c r="E664" s="178">
        <v>9500</v>
      </c>
      <c r="F664" s="19">
        <v>20</v>
      </c>
      <c r="G664" s="195">
        <v>45999</v>
      </c>
      <c r="H664" s="9" t="str">
        <f>VLOOKUP(TablaCosechas[[#This Row],[COD]],DATOS!$E$3:$F$27,2,0)</f>
        <v>CATANUDA</v>
      </c>
      <c r="I664" s="9" t="str">
        <f>RIGHT(TablaCosechas[[#This Row],[SECTOR/PISCINA]],2)</f>
        <v>17</v>
      </c>
      <c r="J664" s="9" t="str">
        <f>VLOOKUP(TablaCosechas[[#This Row],[COD]],Tabla7[#All],4,0)</f>
        <v>VICTOR QUINTANA</v>
      </c>
      <c r="K664" s="179">
        <f>(TablaCosechas[[#This Row],[libras planta]]*454)/M664</f>
        <v>189568.5762867647</v>
      </c>
      <c r="L664" s="174">
        <v>9085.93</v>
      </c>
      <c r="M664" s="19">
        <v>21.76</v>
      </c>
      <c r="N664" s="9" t="str">
        <f>UPPER(TEXT(TablaCosechas[[#This Row],[COSECHA]],"MMMM"))</f>
        <v>DICIEMBRE</v>
      </c>
      <c r="O664" s="9" t="str">
        <f>IF(A664="DO 29","BAP",IF(A664="RO 14","BAP",(VLOOKUP(TablaCosechas[[#This Row],[COD]],Tabla7[[CODIGO]:[CERTIFICACION]],3,0))))</f>
        <v>ASC</v>
      </c>
      <c r="P664" s="180">
        <f>+L664-E664</f>
        <v>-414.06999999999971</v>
      </c>
      <c r="Q664" s="181">
        <f>+M664-F664</f>
        <v>1.7600000000000016</v>
      </c>
      <c r="R664" s="9"/>
    </row>
    <row r="665" spans="1:18" x14ac:dyDescent="0.25">
      <c r="A665" s="9" t="s">
        <v>118</v>
      </c>
      <c r="B665" s="9">
        <f>ROW() - ROW(TablaCosechas[[#Headers],[ID]]) - 4</f>
        <v>660</v>
      </c>
      <c r="C665" s="9" t="str">
        <f>LEFT(A665,2)</f>
        <v>TI</v>
      </c>
      <c r="D665" s="182" t="s">
        <v>367</v>
      </c>
      <c r="E665" s="178">
        <v>9000</v>
      </c>
      <c r="F665" s="19">
        <v>22.5</v>
      </c>
      <c r="G665" s="195">
        <v>46000</v>
      </c>
      <c r="H665" s="9" t="str">
        <f>VLOOKUP(TablaCosechas[[#This Row],[COD]],DATOS!$E$3:$F$27,2,0)</f>
        <v>TIBURON</v>
      </c>
      <c r="I665" s="9" t="str">
        <f>RIGHT(TablaCosechas[[#This Row],[SECTOR/PISCINA]],2)</f>
        <v>06</v>
      </c>
      <c r="J665" s="9" t="str">
        <f>VLOOKUP(TablaCosechas[[#This Row],[COD]],Tabla7[#All],4,0)</f>
        <v>ALFONSO GRUNAUER</v>
      </c>
      <c r="K665" s="179">
        <f>(TablaCosechas[[#This Row],[libras planta]]*454)/M665</f>
        <v>159757.87563451778</v>
      </c>
      <c r="L665" s="174">
        <v>8318.67</v>
      </c>
      <c r="M665" s="19">
        <v>23.64</v>
      </c>
      <c r="N665" s="9" t="str">
        <f>UPPER(TEXT(TablaCosechas[[#This Row],[COSECHA]],"MMMM"))</f>
        <v>DICIEMBRE</v>
      </c>
      <c r="O665" s="9" t="str">
        <f>IF(A665="DO 29","BAP",IF(A665="RO 14","BAP",(VLOOKUP(TablaCosechas[[#This Row],[COD]],Tabla7[[CODIGO]:[CERTIFICACION]],3,0))))</f>
        <v>ASC</v>
      </c>
      <c r="P665" s="180">
        <f>+L665-E665</f>
        <v>-681.32999999999993</v>
      </c>
      <c r="Q665" s="181">
        <f>+M665-F665</f>
        <v>1.1400000000000006</v>
      </c>
      <c r="R665" s="9"/>
    </row>
    <row r="666" spans="1:18" x14ac:dyDescent="0.25">
      <c r="A666" s="9" t="s">
        <v>129</v>
      </c>
      <c r="B666" s="9">
        <f>ROW() - ROW(TablaCosechas[[#Headers],[ID]]) - 4</f>
        <v>661</v>
      </c>
      <c r="C666" s="9" t="str">
        <f>LEFT(A666,2)</f>
        <v>RO</v>
      </c>
      <c r="D666" s="182" t="s">
        <v>367</v>
      </c>
      <c r="E666" s="178">
        <v>2400</v>
      </c>
      <c r="F666" s="19">
        <v>20</v>
      </c>
      <c r="G666" s="195">
        <v>46000</v>
      </c>
      <c r="H666" s="9" t="str">
        <f>VLOOKUP(TablaCosechas[[#This Row],[COD]],DATOS!$E$3:$F$27,2,0)</f>
        <v>ROBALO</v>
      </c>
      <c r="I666" s="9" t="str">
        <f>RIGHT(TablaCosechas[[#This Row],[SECTOR/PISCINA]],2)</f>
        <v>11</v>
      </c>
      <c r="J666" s="9" t="str">
        <f>VLOOKUP(TablaCosechas[[#This Row],[COD]],Tabla7[#All],4,0)</f>
        <v>VICTOR QUINTANA</v>
      </c>
      <c r="K666" s="179">
        <f>(TablaCosechas[[#This Row],[libras planta]]*454)/M666</f>
        <v>47652.918404351767</v>
      </c>
      <c r="L666" s="174">
        <v>2315.4699999999998</v>
      </c>
      <c r="M666" s="19">
        <v>22.06</v>
      </c>
      <c r="N666" s="9" t="str">
        <f>UPPER(TEXT(TablaCosechas[[#This Row],[COSECHA]],"MMMM"))</f>
        <v>DICIEMBRE</v>
      </c>
      <c r="O666" s="9" t="str">
        <f>IF(A666="DO 29","BAP",IF(A666="RO 14","BAP",(VLOOKUP(TablaCosechas[[#This Row],[COD]],Tabla7[[CODIGO]:[CERTIFICACION]],3,0))))</f>
        <v>ASC</v>
      </c>
      <c r="P666" s="180">
        <f>+L666-E666</f>
        <v>-84.5300000000002</v>
      </c>
      <c r="Q666" s="181">
        <f>+M666-F666</f>
        <v>2.0599999999999987</v>
      </c>
      <c r="R666" s="9"/>
    </row>
    <row r="667" spans="1:18" x14ac:dyDescent="0.25">
      <c r="A667" s="9" t="s">
        <v>276</v>
      </c>
      <c r="B667" s="9">
        <f>ROW() - ROW(TablaCosechas[[#Headers],[ID]]) - 4</f>
        <v>662</v>
      </c>
      <c r="C667" s="9" t="str">
        <f>LEFT(A667,2)</f>
        <v>DE</v>
      </c>
      <c r="D667" s="182" t="s">
        <v>366</v>
      </c>
      <c r="E667" s="178">
        <v>35800</v>
      </c>
      <c r="F667" s="19">
        <v>34</v>
      </c>
      <c r="G667" s="195">
        <v>46000</v>
      </c>
      <c r="H667" s="9" t="str">
        <f>VLOOKUP(TablaCosechas[[#This Row],[COD]],DATOS!$E$3:$F$27,2,0)</f>
        <v>DELFIN</v>
      </c>
      <c r="I667" s="9" t="str">
        <f>RIGHT(TablaCosechas[[#This Row],[SECTOR/PISCINA]],2)</f>
        <v>08</v>
      </c>
      <c r="J667" s="9" t="str">
        <f>VLOOKUP(TablaCosechas[[#This Row],[COD]],Tabla7[#All],4,0)</f>
        <v>CARLOS FLORES</v>
      </c>
      <c r="K667" s="179">
        <f>(TablaCosechas[[#This Row],[libras planta]]*454)/M667</f>
        <v>515513.98291139229</v>
      </c>
      <c r="L667" s="174">
        <v>35881.589999999997</v>
      </c>
      <c r="M667" s="19">
        <v>31.6</v>
      </c>
      <c r="N667" s="9" t="str">
        <f>UPPER(TEXT(TablaCosechas[[#This Row],[COSECHA]],"MMMM"))</f>
        <v>DICIEMBRE</v>
      </c>
      <c r="O667" s="9" t="str">
        <f>IF(A667="DO 29","BAP",IF(A667="RO 14","BAP",(VLOOKUP(TablaCosechas[[#This Row],[COD]],Tabla7[[CODIGO]:[CERTIFICACION]],3,0))))</f>
        <v>CONVENCIONAL</v>
      </c>
      <c r="P667" s="180">
        <f>+L667-E667</f>
        <v>81.589999999996508</v>
      </c>
      <c r="Q667" s="181">
        <f>+M667-F667</f>
        <v>-2.3999999999999986</v>
      </c>
      <c r="R667" s="9"/>
    </row>
    <row r="668" spans="1:18" x14ac:dyDescent="0.25">
      <c r="A668" s="9" t="s">
        <v>24</v>
      </c>
      <c r="B668" s="9">
        <f>ROW() - ROW(TablaCosechas[[#Headers],[ID]]) - 4</f>
        <v>663</v>
      </c>
      <c r="C668" s="9" t="str">
        <f>LEFT(A668,2)</f>
        <v>CH</v>
      </c>
      <c r="D668" s="182" t="s">
        <v>367</v>
      </c>
      <c r="E668" s="178">
        <v>10100</v>
      </c>
      <c r="F668" s="19">
        <v>22</v>
      </c>
      <c r="G668" s="195">
        <v>46000</v>
      </c>
      <c r="H668" s="9" t="str">
        <f>VLOOKUP(TablaCosechas[[#This Row],[COD]],DATOS!$E$3:$F$27,2,0)</f>
        <v>CHERNA</v>
      </c>
      <c r="I668" s="9" t="str">
        <f>RIGHT(TablaCosechas[[#This Row],[SECTOR/PISCINA]],2)</f>
        <v>20</v>
      </c>
      <c r="J668" s="9" t="str">
        <f>VLOOKUP(TablaCosechas[[#This Row],[COD]],Tabla7[#All],4,0)</f>
        <v>SANTIAGO OBRIEN</v>
      </c>
      <c r="K668" s="179">
        <f>(TablaCosechas[[#This Row],[libras planta]]*454)/M668</f>
        <v>223346.32252252253</v>
      </c>
      <c r="L668" s="174">
        <v>10921.34</v>
      </c>
      <c r="M668" s="19">
        <v>22.2</v>
      </c>
      <c r="N668" s="9" t="str">
        <f>UPPER(TEXT(TablaCosechas[[#This Row],[COSECHA]],"MMMM"))</f>
        <v>DICIEMBRE</v>
      </c>
      <c r="O668" s="9" t="str">
        <f>IF(A668="DO 29","BAP",IF(A668="RO 14","BAP",(VLOOKUP(TablaCosechas[[#This Row],[COD]],Tabla7[[CODIGO]:[CERTIFICACION]],3,0))))</f>
        <v>ASC</v>
      </c>
      <c r="P668" s="180">
        <f>+L668-E668</f>
        <v>821.34000000000015</v>
      </c>
      <c r="Q668" s="181">
        <f>+M668-F668</f>
        <v>0.19999999999999929</v>
      </c>
      <c r="R668" s="9"/>
    </row>
    <row r="669" spans="1:18" x14ac:dyDescent="0.25">
      <c r="A669" s="9" t="s">
        <v>136</v>
      </c>
      <c r="B669" s="9">
        <f>ROW() - ROW(TablaCosechas[[#Headers],[ID]]) - 4</f>
        <v>664</v>
      </c>
      <c r="C669" s="9" t="str">
        <f>LEFT(A669,2)</f>
        <v>CA</v>
      </c>
      <c r="D669" s="182" t="s">
        <v>367</v>
      </c>
      <c r="E669" s="178">
        <v>3000</v>
      </c>
      <c r="F669" s="19">
        <v>19</v>
      </c>
      <c r="G669" s="195">
        <v>46000</v>
      </c>
      <c r="H669" s="9" t="str">
        <f>VLOOKUP(TablaCosechas[[#This Row],[COD]],DATOS!$E$3:$F$27,2,0)</f>
        <v>CATANUDA</v>
      </c>
      <c r="I669" s="9" t="str">
        <f>RIGHT(TablaCosechas[[#This Row],[SECTOR/PISCINA]],2)</f>
        <v>10</v>
      </c>
      <c r="J669" s="9" t="str">
        <f>VLOOKUP(TablaCosechas[[#This Row],[COD]],Tabla7[#All],4,0)</f>
        <v>VICTOR QUINTANA</v>
      </c>
      <c r="K669" s="179">
        <f>(TablaCosechas[[#This Row],[libras planta]]*454)/M669</f>
        <v>58076.725776965272</v>
      </c>
      <c r="L669" s="174">
        <v>2798.94</v>
      </c>
      <c r="M669" s="19">
        <v>21.88</v>
      </c>
      <c r="N669" s="9" t="str">
        <f>UPPER(TEXT(TablaCosechas[[#This Row],[COSECHA]],"MMMM"))</f>
        <v>DICIEMBRE</v>
      </c>
      <c r="O669" s="9" t="str">
        <f>IF(A669="DO 29","BAP",IF(A669="RO 14","BAP",(VLOOKUP(TablaCosechas[[#This Row],[COD]],Tabla7[[CODIGO]:[CERTIFICACION]],3,0))))</f>
        <v>ASC</v>
      </c>
      <c r="P669" s="180">
        <f>+L669-E669</f>
        <v>-201.05999999999995</v>
      </c>
      <c r="Q669" s="181">
        <f>+M669-F669</f>
        <v>2.879999999999999</v>
      </c>
      <c r="R669" s="9"/>
    </row>
    <row r="670" spans="1:18" x14ac:dyDescent="0.25">
      <c r="A670" s="9" t="s">
        <v>122</v>
      </c>
      <c r="B670" s="9">
        <f>ROW() - ROW(TablaCosechas[[#Headers],[ID]]) - 4</f>
        <v>665</v>
      </c>
      <c r="C670" s="9" t="str">
        <f>LEFT(A670,2)</f>
        <v>TI</v>
      </c>
      <c r="D670" s="182" t="s">
        <v>367</v>
      </c>
      <c r="E670" s="178">
        <v>4600</v>
      </c>
      <c r="F670" s="19">
        <v>24</v>
      </c>
      <c r="G670" s="195">
        <v>46001</v>
      </c>
      <c r="H670" s="9" t="str">
        <f>VLOOKUP(TablaCosechas[[#This Row],[COD]],DATOS!$E$3:$F$27,2,0)</f>
        <v>TIBURON</v>
      </c>
      <c r="I670" s="9" t="str">
        <f>RIGHT(TablaCosechas[[#This Row],[SECTOR/PISCINA]],2)</f>
        <v>07</v>
      </c>
      <c r="J670" s="9" t="str">
        <f>VLOOKUP(TablaCosechas[[#This Row],[COD]],Tabla7[#All],4,0)</f>
        <v>ALFONSO GRUNAUER</v>
      </c>
      <c r="K670" s="179">
        <f>(TablaCosechas[[#This Row],[libras planta]]*454)/M670</f>
        <v>88016.95171339564</v>
      </c>
      <c r="L670" s="174">
        <v>4978.58</v>
      </c>
      <c r="M670" s="19">
        <v>25.68</v>
      </c>
      <c r="N670" s="9" t="str">
        <f>UPPER(TEXT(TablaCosechas[[#This Row],[COSECHA]],"MMMM"))</f>
        <v>DICIEMBRE</v>
      </c>
      <c r="O670" s="9" t="str">
        <f>IF(A670="DO 29","BAP",IF(A670="RO 14","BAP",(VLOOKUP(TablaCosechas[[#This Row],[COD]],Tabla7[[CODIGO]:[CERTIFICACION]],3,0))))</f>
        <v>ASC</v>
      </c>
      <c r="P670" s="180">
        <f>+L670-E670</f>
        <v>378.57999999999993</v>
      </c>
      <c r="Q670" s="181">
        <f>+M670-F670</f>
        <v>1.6799999999999997</v>
      </c>
      <c r="R670" s="9"/>
    </row>
    <row r="671" spans="1:18" x14ac:dyDescent="0.25">
      <c r="A671" s="9" t="s">
        <v>135</v>
      </c>
      <c r="B671" s="9">
        <f>ROW() - ROW(TablaCosechas[[#Headers],[ID]]) - 4</f>
        <v>666</v>
      </c>
      <c r="C671" s="9" t="str">
        <f>LEFT(A671,2)</f>
        <v>RO</v>
      </c>
      <c r="D671" s="182" t="s">
        <v>367</v>
      </c>
      <c r="E671" s="178">
        <v>6000</v>
      </c>
      <c r="F671" s="19">
        <v>19</v>
      </c>
      <c r="G671" s="195">
        <v>46001</v>
      </c>
      <c r="H671" s="9" t="str">
        <f>VLOOKUP(TablaCosechas[[#This Row],[COD]],DATOS!$E$3:$F$27,2,0)</f>
        <v>ROBALO</v>
      </c>
      <c r="I671" s="9" t="str">
        <f>RIGHT(TablaCosechas[[#This Row],[SECTOR/PISCINA]],2)</f>
        <v>12</v>
      </c>
      <c r="J671" s="9" t="str">
        <f>VLOOKUP(TablaCosechas[[#This Row],[COD]],Tabla7[#All],4,0)</f>
        <v>VICTOR QUINTANA</v>
      </c>
      <c r="K671" s="179">
        <f>(TablaCosechas[[#This Row],[libras planta]]*454)/M671</f>
        <v>113565.69006849316</v>
      </c>
      <c r="L671" s="174">
        <v>5843.38</v>
      </c>
      <c r="M671" s="19">
        <v>23.36</v>
      </c>
      <c r="N671" s="9" t="str">
        <f>UPPER(TEXT(TablaCosechas[[#This Row],[COSECHA]],"MMMM"))</f>
        <v>DICIEMBRE</v>
      </c>
      <c r="O671" s="9" t="str">
        <f>IF(A671="DO 29","BAP",IF(A671="RO 14","BAP",(VLOOKUP(TablaCosechas[[#This Row],[COD]],Tabla7[[CODIGO]:[CERTIFICACION]],3,0))))</f>
        <v>ASC</v>
      </c>
      <c r="P671" s="180">
        <f>+L671-E671</f>
        <v>-156.61999999999989</v>
      </c>
      <c r="Q671" s="181">
        <f>+M671-F671</f>
        <v>4.3599999999999994</v>
      </c>
      <c r="R671" s="9"/>
    </row>
    <row r="672" spans="1:18" x14ac:dyDescent="0.25">
      <c r="A672" s="9" t="s">
        <v>304</v>
      </c>
      <c r="B672" s="9">
        <f>ROW() - ROW(TablaCosechas[[#Headers],[ID]]) - 4</f>
        <v>667</v>
      </c>
      <c r="C672" s="9" t="str">
        <f>LEFT(A672,2)</f>
        <v>PA</v>
      </c>
      <c r="D672" s="182" t="s">
        <v>366</v>
      </c>
      <c r="E672" s="178">
        <v>15500</v>
      </c>
      <c r="F672" s="19">
        <v>34</v>
      </c>
      <c r="G672" s="195">
        <v>46001</v>
      </c>
      <c r="H672" s="9" t="str">
        <f>VLOOKUP(TablaCosechas[[#This Row],[COD]],DATOS!$E$3:$F$27,2,0)</f>
        <v>PAMPANO</v>
      </c>
      <c r="I672" s="9" t="str">
        <f>RIGHT(TablaCosechas[[#This Row],[SECTOR/PISCINA]],2)</f>
        <v>06</v>
      </c>
      <c r="J672" s="9" t="str">
        <f>VLOOKUP(TablaCosechas[[#This Row],[COD]],Tabla7[#All],4,0)</f>
        <v>GUSTAVO CARRASCO</v>
      </c>
      <c r="K672" s="179">
        <f>(TablaCosechas[[#This Row],[libras planta]]*454)/M672</f>
        <v>181031.26982316028</v>
      </c>
      <c r="L672" s="174">
        <v>13980.08</v>
      </c>
      <c r="M672" s="19">
        <v>35.06</v>
      </c>
      <c r="N672" s="9" t="str">
        <f>UPPER(TEXT(TablaCosechas[[#This Row],[COSECHA]],"MMMM"))</f>
        <v>DICIEMBRE</v>
      </c>
      <c r="O672" s="9" t="str">
        <f>IF(A672="DO 29","BAP",IF(A672="RO 14","BAP",(VLOOKUP(TablaCosechas[[#This Row],[COD]],Tabla7[[CODIGO]:[CERTIFICACION]],3,0))))</f>
        <v>ASC</v>
      </c>
      <c r="P672" s="180">
        <f>+L672-E672</f>
        <v>-1519.92</v>
      </c>
      <c r="Q672" s="181">
        <f>+M672-F672</f>
        <v>1.0600000000000023</v>
      </c>
      <c r="R672" s="9"/>
    </row>
    <row r="673" spans="1:18" x14ac:dyDescent="0.25">
      <c r="A673" s="9" t="s">
        <v>274</v>
      </c>
      <c r="B673" s="9">
        <f>ROW() - ROW(TablaCosechas[[#Headers],[ID]]) - 4</f>
        <v>668</v>
      </c>
      <c r="C673" s="9" t="str">
        <f>LEFT(A673,2)</f>
        <v>ME</v>
      </c>
      <c r="D673" s="182" t="s">
        <v>366</v>
      </c>
      <c r="E673" s="178">
        <f>18900+4700</f>
        <v>23600</v>
      </c>
      <c r="F673" s="19">
        <v>31</v>
      </c>
      <c r="G673" s="195">
        <v>46001</v>
      </c>
      <c r="H673" s="9" t="str">
        <f>VLOOKUP(TablaCosechas[[#This Row],[COD]],DATOS!$E$3:$F$27,2,0)</f>
        <v>MERO</v>
      </c>
      <c r="I673" s="9" t="str">
        <f>RIGHT(TablaCosechas[[#This Row],[SECTOR/PISCINA]],2)</f>
        <v>04</v>
      </c>
      <c r="J673" s="9" t="str">
        <f>VLOOKUP(TablaCosechas[[#This Row],[COD]],Tabla7[#All],4,0)</f>
        <v>NESTOR MOGOLLON</v>
      </c>
      <c r="K673" s="179">
        <f>(TablaCosechas[[#This Row],[libras planta]]*454)/M673</f>
        <v>358619.94117647054</v>
      </c>
      <c r="L673" s="174">
        <f>19801.05+4370.25</f>
        <v>24171.3</v>
      </c>
      <c r="M673" s="19">
        <v>30.6</v>
      </c>
      <c r="N673" s="9" t="str">
        <f>UPPER(TEXT(TablaCosechas[[#This Row],[COSECHA]],"MMMM"))</f>
        <v>DICIEMBRE</v>
      </c>
      <c r="O673" s="9" t="str">
        <f>IF(A673="DO 29","BAP",IF(A673="RO 14","BAP",(VLOOKUP(TablaCosechas[[#This Row],[COD]],Tabla7[[CODIGO]:[CERTIFICACION]],3,0))))</f>
        <v>CONVENCIONAL</v>
      </c>
      <c r="P673" s="180">
        <f>+L673-E673</f>
        <v>571.29999999999927</v>
      </c>
      <c r="Q673" s="181">
        <f>+M673-F673</f>
        <v>-0.39999999999999858</v>
      </c>
      <c r="R673" s="9"/>
    </row>
    <row r="674" spans="1:18" x14ac:dyDescent="0.25">
      <c r="A674" s="9" t="s">
        <v>278</v>
      </c>
      <c r="B674" s="9">
        <f>ROW() - ROW(TablaCosechas[[#Headers],[ID]]) - 4</f>
        <v>669</v>
      </c>
      <c r="C674" s="9" t="str">
        <f>LEFT(A674,2)</f>
        <v>ME</v>
      </c>
      <c r="D674" s="182" t="s">
        <v>366</v>
      </c>
      <c r="E674" s="178">
        <v>13400</v>
      </c>
      <c r="F674" s="19">
        <v>34</v>
      </c>
      <c r="G674" s="195">
        <v>46001</v>
      </c>
      <c r="H674" s="9" t="str">
        <f>VLOOKUP(TablaCosechas[[#This Row],[COD]],DATOS!$E$3:$F$27,2,0)</f>
        <v>MERO</v>
      </c>
      <c r="I674" s="9" t="str">
        <f>RIGHT(TablaCosechas[[#This Row],[SECTOR/PISCINA]],2)</f>
        <v>02</v>
      </c>
      <c r="J674" s="9" t="str">
        <f>VLOOKUP(TablaCosechas[[#This Row],[COD]],Tabla7[#All],4,0)</f>
        <v>NESTOR MOGOLLON</v>
      </c>
      <c r="K674" s="179">
        <f>(TablaCosechas[[#This Row],[libras planta]]*454)/M674</f>
        <v>168686.38860569714</v>
      </c>
      <c r="L674" s="174">
        <v>12391.39</v>
      </c>
      <c r="M674" s="19">
        <v>33.35</v>
      </c>
      <c r="N674" s="9" t="str">
        <f>UPPER(TEXT(TablaCosechas[[#This Row],[COSECHA]],"MMMM"))</f>
        <v>DICIEMBRE</v>
      </c>
      <c r="O674" s="9" t="str">
        <f>IF(A674="DO 29","BAP",IF(A674="RO 14","BAP",(VLOOKUP(TablaCosechas[[#This Row],[COD]],Tabla7[[CODIGO]:[CERTIFICACION]],3,0))))</f>
        <v>CONVENCIONAL</v>
      </c>
      <c r="P674" s="180">
        <f>+L674-E674</f>
        <v>-1008.6100000000006</v>
      </c>
      <c r="Q674" s="181">
        <f>+M674-F674</f>
        <v>-0.64999999999999858</v>
      </c>
      <c r="R674" s="9"/>
    </row>
    <row r="675" spans="1:18" x14ac:dyDescent="0.25">
      <c r="A675" s="9" t="s">
        <v>126</v>
      </c>
      <c r="B675" s="9">
        <f>ROW() - ROW(TablaCosechas[[#Headers],[ID]]) - 4</f>
        <v>670</v>
      </c>
      <c r="C675" s="9" t="str">
        <f>LEFT(A675,2)</f>
        <v>DO</v>
      </c>
      <c r="D675" s="182" t="s">
        <v>367</v>
      </c>
      <c r="E675" s="178">
        <v>8000</v>
      </c>
      <c r="F675" s="19">
        <v>22</v>
      </c>
      <c r="G675" s="195">
        <v>46001</v>
      </c>
      <c r="H675" s="9" t="str">
        <f>VLOOKUP(TablaCosechas[[#This Row],[COD]],DATOS!$E$3:$F$27,2,0)</f>
        <v>DORADO</v>
      </c>
      <c r="I675" s="9" t="str">
        <f>RIGHT(TablaCosechas[[#This Row],[SECTOR/PISCINA]],2)</f>
        <v>06</v>
      </c>
      <c r="J675" s="9" t="str">
        <f>VLOOKUP(TablaCosechas[[#This Row],[COD]],Tabla7[#All],4,0)</f>
        <v>JOSE CEDEÑO</v>
      </c>
      <c r="K675" s="179">
        <f>(TablaCosechas[[#This Row],[libras planta]]*454)/M675</f>
        <v>147620.98559322031</v>
      </c>
      <c r="L675" s="174">
        <v>7673.69</v>
      </c>
      <c r="M675" s="19">
        <v>23.6</v>
      </c>
      <c r="N675" s="9" t="str">
        <f>UPPER(TEXT(TablaCosechas[[#This Row],[COSECHA]],"MMMM"))</f>
        <v>DICIEMBRE</v>
      </c>
      <c r="O675" s="9" t="str">
        <f>IF(A675="DO 29","BAP",IF(A675="RO 14","BAP",(VLOOKUP(TablaCosechas[[#This Row],[COD]],Tabla7[[CODIGO]:[CERTIFICACION]],3,0))))</f>
        <v>ASC</v>
      </c>
      <c r="P675" s="180">
        <f>+L675-E675</f>
        <v>-326.3100000000004</v>
      </c>
      <c r="Q675" s="181">
        <f>+M675-F675</f>
        <v>1.6000000000000014</v>
      </c>
      <c r="R675" s="9"/>
    </row>
    <row r="676" spans="1:18" x14ac:dyDescent="0.25">
      <c r="A676" s="9" t="s">
        <v>301</v>
      </c>
      <c r="B676" s="9">
        <f>ROW() - ROW(TablaCosechas[[#Headers],[ID]]) - 4</f>
        <v>671</v>
      </c>
      <c r="C676" s="9" t="str">
        <f>LEFT(A676,2)</f>
        <v>DE</v>
      </c>
      <c r="D676" s="182" t="s">
        <v>367</v>
      </c>
      <c r="E676" s="178">
        <v>7200</v>
      </c>
      <c r="F676" s="19">
        <v>21</v>
      </c>
      <c r="G676" s="195">
        <v>46001</v>
      </c>
      <c r="H676" s="9" t="str">
        <f>VLOOKUP(TablaCosechas[[#This Row],[COD]],DATOS!$E$3:$F$27,2,0)</f>
        <v>DELFIN</v>
      </c>
      <c r="I676" s="9" t="str">
        <f>RIGHT(TablaCosechas[[#This Row],[SECTOR/PISCINA]],2)</f>
        <v>02</v>
      </c>
      <c r="J676" s="9" t="str">
        <f>VLOOKUP(TablaCosechas[[#This Row],[COD]],Tabla7[#All],4,0)</f>
        <v>CARLOS FLORES</v>
      </c>
      <c r="K676" s="179">
        <f>(TablaCosechas[[#This Row],[libras planta]]*454)/M676</f>
        <v>139371.54780361758</v>
      </c>
      <c r="L676" s="174">
        <v>7128.21</v>
      </c>
      <c r="M676" s="19">
        <v>23.22</v>
      </c>
      <c r="N676" s="9" t="str">
        <f>UPPER(TEXT(TablaCosechas[[#This Row],[COSECHA]],"MMMM"))</f>
        <v>DICIEMBRE</v>
      </c>
      <c r="O676" s="9" t="str">
        <f>IF(A676="DO 29","BAP",IF(A676="RO 14","BAP",(VLOOKUP(TablaCosechas[[#This Row],[COD]],Tabla7[[CODIGO]:[CERTIFICACION]],3,0))))</f>
        <v>CONVENCIONAL</v>
      </c>
      <c r="P676" s="180">
        <f>+L676-E676</f>
        <v>-71.789999999999964</v>
      </c>
      <c r="Q676" s="181">
        <f>+M676-F676</f>
        <v>2.2199999999999989</v>
      </c>
      <c r="R676" s="9"/>
    </row>
    <row r="677" spans="1:18" x14ac:dyDescent="0.25">
      <c r="A677" s="9" t="s">
        <v>378</v>
      </c>
      <c r="B677" s="9">
        <f>ROW() - ROW(TablaCosechas[[#Headers],[ID]]) - 4</f>
        <v>672</v>
      </c>
      <c r="C677" s="9" t="str">
        <f>LEFT(A677,2)</f>
        <v>WA</v>
      </c>
      <c r="D677" s="182" t="s">
        <v>366</v>
      </c>
      <c r="E677" s="178">
        <f>8200+200</f>
        <v>8400</v>
      </c>
      <c r="F677" s="19">
        <v>31.5</v>
      </c>
      <c r="G677" s="195">
        <v>46002</v>
      </c>
      <c r="H677" s="9" t="str">
        <f>VLOOKUP(TablaCosechas[[#This Row],[COD]],DATOS!$E$3:$F$27,2,0)</f>
        <v>WAHOO</v>
      </c>
      <c r="I677" s="9" t="str">
        <f>RIGHT(TablaCosechas[[#This Row],[SECTOR/PISCINA]],2)</f>
        <v>15</v>
      </c>
      <c r="J677" s="9" t="str">
        <f>VLOOKUP(TablaCosechas[[#This Row],[COD]],Tabla7[#All],4,0)</f>
        <v>JUNIOR ESQUIVEL</v>
      </c>
      <c r="K677" s="179">
        <f>(TablaCosechas[[#This Row],[libras planta]]*454)/M677</f>
        <v>135678.60712015259</v>
      </c>
      <c r="L677" s="174">
        <f>9166.25+235.62</f>
        <v>9401.8700000000008</v>
      </c>
      <c r="M677" s="19">
        <v>31.46</v>
      </c>
      <c r="N677" s="9" t="str">
        <f>UPPER(TEXT(TablaCosechas[[#This Row],[COSECHA]],"MMMM"))</f>
        <v>DICIEMBRE</v>
      </c>
      <c r="O677" s="9" t="str">
        <f>IF(A677="DO 29","BAP",IF(A677="RO 14","BAP",(VLOOKUP(TablaCosechas[[#This Row],[COD]],Tabla7[[CODIGO]:[CERTIFICACION]],3,0))))</f>
        <v>CONVENCIONAL</v>
      </c>
      <c r="P677" s="180">
        <f>+L677-E677</f>
        <v>1001.8700000000008</v>
      </c>
      <c r="Q677" s="181">
        <f>+M677-F677</f>
        <v>-3.9999999999999147E-2</v>
      </c>
      <c r="R677" s="9"/>
    </row>
    <row r="678" spans="1:18" x14ac:dyDescent="0.25">
      <c r="A678" s="9" t="s">
        <v>289</v>
      </c>
      <c r="B678" s="9">
        <f>ROW() - ROW(TablaCosechas[[#Headers],[ID]]) - 4</f>
        <v>673</v>
      </c>
      <c r="C678" s="9" t="str">
        <f>LEFT(A678,2)</f>
        <v>TI</v>
      </c>
      <c r="D678" s="182" t="s">
        <v>366</v>
      </c>
      <c r="E678" s="178">
        <v>40300</v>
      </c>
      <c r="F678" s="19">
        <v>32</v>
      </c>
      <c r="G678" s="195">
        <v>46002</v>
      </c>
      <c r="H678" s="9" t="str">
        <f>VLOOKUP(TablaCosechas[[#This Row],[COD]],DATOS!$E$3:$F$27,2,0)</f>
        <v>TIBURON</v>
      </c>
      <c r="I678" s="9" t="str">
        <f>RIGHT(TablaCosechas[[#This Row],[SECTOR/PISCINA]],2)</f>
        <v>04</v>
      </c>
      <c r="J678" s="9" t="str">
        <f>VLOOKUP(TablaCosechas[[#This Row],[COD]],Tabla7[#All],4,0)</f>
        <v>ALFONSO GRUNAUER</v>
      </c>
      <c r="K678" s="179">
        <f>(TablaCosechas[[#This Row],[libras planta]]*454)/M678</f>
        <v>586688.28455790796</v>
      </c>
      <c r="L678" s="174">
        <v>41507.550000000003</v>
      </c>
      <c r="M678" s="19">
        <v>32.119999999999997</v>
      </c>
      <c r="N678" s="9" t="str">
        <f>UPPER(TEXT(TablaCosechas[[#This Row],[COSECHA]],"MMMM"))</f>
        <v>DICIEMBRE</v>
      </c>
      <c r="O678" s="9" t="str">
        <f>IF(A678="DO 29","BAP",IF(A678="RO 14","BAP",(VLOOKUP(TablaCosechas[[#This Row],[COD]],Tabla7[[CODIGO]:[CERTIFICACION]],3,0))))</f>
        <v>ASC</v>
      </c>
      <c r="P678" s="180">
        <f>+L678-E678</f>
        <v>1207.5500000000029</v>
      </c>
      <c r="Q678" s="181">
        <f>+M678-F678</f>
        <v>0.11999999999999744</v>
      </c>
      <c r="R678" s="9"/>
    </row>
    <row r="679" spans="1:18" x14ac:dyDescent="0.25">
      <c r="A679" s="9" t="s">
        <v>299</v>
      </c>
      <c r="B679" s="9">
        <f>ROW() - ROW(TablaCosechas[[#Headers],[ID]]) - 4</f>
        <v>674</v>
      </c>
      <c r="C679" s="9" t="str">
        <f>LEFT(A679,2)</f>
        <v>PR</v>
      </c>
      <c r="D679" s="182" t="s">
        <v>367</v>
      </c>
      <c r="E679" s="178">
        <v>7400</v>
      </c>
      <c r="F679" s="19">
        <v>17</v>
      </c>
      <c r="G679" s="195">
        <v>46002</v>
      </c>
      <c r="H679" s="9" t="str">
        <f>VLOOKUP(TablaCosechas[[#This Row],[COD]],DATOS!$E$3:$F$27,2,0)</f>
        <v>PARGO ROJO</v>
      </c>
      <c r="I679" s="9" t="str">
        <f>RIGHT(TablaCosechas[[#This Row],[SECTOR/PISCINA]],2)</f>
        <v>13</v>
      </c>
      <c r="J679" s="9" t="str">
        <f>VLOOKUP(TablaCosechas[[#This Row],[COD]],Tabla7[#All],4,0)</f>
        <v>WILMER TORRES</v>
      </c>
      <c r="K679" s="179">
        <f>(TablaCosechas[[#This Row],[libras planta]]*454)/M679</f>
        <v>191187.85130533483</v>
      </c>
      <c r="L679" s="174">
        <v>7420.11</v>
      </c>
      <c r="M679" s="19">
        <v>17.62</v>
      </c>
      <c r="N679" s="9" t="str">
        <f>UPPER(TEXT(TablaCosechas[[#This Row],[COSECHA]],"MMMM"))</f>
        <v>DICIEMBRE</v>
      </c>
      <c r="O679" s="9" t="str">
        <f>IF(A679="DO 29","BAP",IF(A679="RO 14","BAP",(VLOOKUP(TablaCosechas[[#This Row],[COD]],Tabla7[[CODIGO]:[CERTIFICACION]],3,0))))</f>
        <v>CONVENCIONAL</v>
      </c>
      <c r="P679" s="180">
        <f>+L679-E679</f>
        <v>20.109999999999673</v>
      </c>
      <c r="Q679" s="181">
        <f>+M679-F679</f>
        <v>0.62000000000000099</v>
      </c>
      <c r="R679" s="9"/>
    </row>
    <row r="680" spans="1:18" x14ac:dyDescent="0.25">
      <c r="A680" s="9" t="s">
        <v>281</v>
      </c>
      <c r="B680" s="9">
        <f>ROW() - ROW(TablaCosechas[[#Headers],[ID]]) - 4</f>
        <v>675</v>
      </c>
      <c r="C680" s="9" t="str">
        <f>LEFT(A680,2)</f>
        <v>ME</v>
      </c>
      <c r="D680" s="182" t="s">
        <v>366</v>
      </c>
      <c r="E680" s="178">
        <v>6400</v>
      </c>
      <c r="F680" s="19">
        <v>33</v>
      </c>
      <c r="G680" s="195">
        <v>46002</v>
      </c>
      <c r="H680" s="9" t="str">
        <f>VLOOKUP(TablaCosechas[[#This Row],[COD]],DATOS!$E$3:$F$27,2,0)</f>
        <v>MERO</v>
      </c>
      <c r="I680" s="9" t="str">
        <f>RIGHT(TablaCosechas[[#This Row],[SECTOR/PISCINA]],2)</f>
        <v>01</v>
      </c>
      <c r="J680" s="9" t="str">
        <f>VLOOKUP(TablaCosechas[[#This Row],[COD]],Tabla7[#All],4,0)</f>
        <v>NESTOR MOGOLLON</v>
      </c>
      <c r="K680" s="179">
        <f>(TablaCosechas[[#This Row],[libras planta]]*454)/M680</f>
        <v>74330.33928571429</v>
      </c>
      <c r="L680" s="174">
        <v>5501.1</v>
      </c>
      <c r="M680" s="19">
        <v>33.6</v>
      </c>
      <c r="N680" s="9" t="str">
        <f>UPPER(TEXT(TablaCosechas[[#This Row],[COSECHA]],"MMMM"))</f>
        <v>DICIEMBRE</v>
      </c>
      <c r="O680" s="9" t="str">
        <f>IF(A680="DO 29","BAP",IF(A680="RO 14","BAP",(VLOOKUP(TablaCosechas[[#This Row],[COD]],Tabla7[[CODIGO]:[CERTIFICACION]],3,0))))</f>
        <v>CONVENCIONAL</v>
      </c>
      <c r="P680" s="180">
        <f>+L680-E680</f>
        <v>-898.89999999999964</v>
      </c>
      <c r="Q680" s="181">
        <f>+M680-F680</f>
        <v>0.60000000000000142</v>
      </c>
      <c r="R680" s="9"/>
    </row>
    <row r="681" spans="1:18" x14ac:dyDescent="0.25">
      <c r="A681" s="9" t="s">
        <v>323</v>
      </c>
      <c r="B681" s="9">
        <f>ROW() - ROW(TablaCosechas[[#Headers],[ID]]) - 4</f>
        <v>676</v>
      </c>
      <c r="C681" s="9" t="str">
        <f>LEFT(A681,2)</f>
        <v>DO</v>
      </c>
      <c r="D681" s="182" t="s">
        <v>367</v>
      </c>
      <c r="E681" s="178">
        <v>12200</v>
      </c>
      <c r="F681" s="19">
        <v>30</v>
      </c>
      <c r="G681" s="195">
        <v>46002</v>
      </c>
      <c r="H681" s="9" t="str">
        <f>VLOOKUP(TablaCosechas[[#This Row],[COD]],DATOS!$E$3:$F$27,2,0)</f>
        <v>DORADO</v>
      </c>
      <c r="I681" s="9" t="str">
        <f>RIGHT(TablaCosechas[[#This Row],[SECTOR/PISCINA]],2)</f>
        <v>22</v>
      </c>
      <c r="J681" s="9" t="str">
        <f>VLOOKUP(TablaCosechas[[#This Row],[COD]],Tabla7[#All],4,0)</f>
        <v>JOSE CEDEÑO</v>
      </c>
      <c r="K681" s="179">
        <f>(TablaCosechas[[#This Row],[libras planta]]*454)/M681</f>
        <v>176812.02132701423</v>
      </c>
      <c r="L681" s="174">
        <v>13147.96</v>
      </c>
      <c r="M681" s="19">
        <v>33.76</v>
      </c>
      <c r="N681" s="9" t="str">
        <f>UPPER(TEXT(TablaCosechas[[#This Row],[COSECHA]],"MMMM"))</f>
        <v>DICIEMBRE</v>
      </c>
      <c r="O681" s="9" t="str">
        <f>IF(A681="DO 29","BAP",IF(A681="RO 14","BAP",(VLOOKUP(TablaCosechas[[#This Row],[COD]],Tabla7[[CODIGO]:[CERTIFICACION]],3,0))))</f>
        <v>ASC</v>
      </c>
      <c r="P681" s="180">
        <f>+L681-E681</f>
        <v>947.95999999999913</v>
      </c>
      <c r="Q681" s="181">
        <f>+M681-F681</f>
        <v>3.759999999999998</v>
      </c>
      <c r="R681" s="9"/>
    </row>
    <row r="682" spans="1:18" x14ac:dyDescent="0.25">
      <c r="A682" s="9" t="s">
        <v>297</v>
      </c>
      <c r="B682" s="9">
        <f>ROW() - ROW(TablaCosechas[[#Headers],[ID]]) - 4</f>
        <v>677</v>
      </c>
      <c r="C682" s="9" t="str">
        <f>LEFT(A682,2)</f>
        <v>DO</v>
      </c>
      <c r="D682" s="182" t="s">
        <v>366</v>
      </c>
      <c r="E682" s="178">
        <f>18700</f>
        <v>18700</v>
      </c>
      <c r="F682" s="19">
        <v>35</v>
      </c>
      <c r="G682" s="195">
        <v>46002</v>
      </c>
      <c r="H682" s="9" t="str">
        <f>VLOOKUP(TablaCosechas[[#This Row],[COD]],DATOS!$E$3:$F$27,2,0)</f>
        <v>DORADO</v>
      </c>
      <c r="I682" s="9" t="str">
        <f>RIGHT(TablaCosechas[[#This Row],[SECTOR/PISCINA]],2)</f>
        <v>18</v>
      </c>
      <c r="J682" s="9" t="str">
        <f>VLOOKUP(TablaCosechas[[#This Row],[COD]],Tabla7[#All],4,0)</f>
        <v>JOSE CEDEÑO</v>
      </c>
      <c r="K682" s="179">
        <f>(TablaCosechas[[#This Row],[libras planta]]*454)/M682</f>
        <v>235190.96711111109</v>
      </c>
      <c r="L682" s="174">
        <v>17483.91</v>
      </c>
      <c r="M682" s="19">
        <v>33.75</v>
      </c>
      <c r="N682" s="9" t="str">
        <f>UPPER(TEXT(TablaCosechas[[#This Row],[COSECHA]],"MMMM"))</f>
        <v>DICIEMBRE</v>
      </c>
      <c r="O682" s="9" t="str">
        <f>IF(A682="DO 29","BAP",IF(A682="RO 14","BAP",(VLOOKUP(TablaCosechas[[#This Row],[COD]],Tabla7[[CODIGO]:[CERTIFICACION]],3,0))))</f>
        <v>ASC</v>
      </c>
      <c r="P682" s="180">
        <f>+L682-E682</f>
        <v>-1216.0900000000001</v>
      </c>
      <c r="Q682" s="181">
        <f>+M682-F682</f>
        <v>-1.25</v>
      </c>
      <c r="R682" s="9"/>
    </row>
    <row r="683" spans="1:18" x14ac:dyDescent="0.25">
      <c r="A683" s="9" t="s">
        <v>276</v>
      </c>
      <c r="B683" s="9">
        <f>ROW() - ROW(TablaCosechas[[#Headers],[ID]]) - 4</f>
        <v>678</v>
      </c>
      <c r="C683" s="9" t="str">
        <f>LEFT(A683,2)</f>
        <v>DE</v>
      </c>
      <c r="D683" s="182" t="s">
        <v>366</v>
      </c>
      <c r="E683" s="178">
        <v>2100</v>
      </c>
      <c r="F683" s="19">
        <v>34</v>
      </c>
      <c r="G683" s="195">
        <v>46002</v>
      </c>
      <c r="H683" s="9" t="str">
        <f>VLOOKUP(TablaCosechas[[#This Row],[COD]],DATOS!$E$3:$F$27,2,0)</f>
        <v>DELFIN</v>
      </c>
      <c r="I683" s="9" t="str">
        <f>RIGHT(TablaCosechas[[#This Row],[SECTOR/PISCINA]],2)</f>
        <v>08</v>
      </c>
      <c r="J683" s="9" t="str">
        <f>VLOOKUP(TablaCosechas[[#This Row],[COD]],Tabla7[#All],4,0)</f>
        <v>CARLOS FLORES</v>
      </c>
      <c r="K683" s="179">
        <f>(TablaCosechas[[#This Row],[libras planta]]*454)/M683</f>
        <v>30752.753164556962</v>
      </c>
      <c r="L683" s="174">
        <v>2140.5</v>
      </c>
      <c r="M683" s="19">
        <v>31.6</v>
      </c>
      <c r="N683" s="9" t="str">
        <f>UPPER(TEXT(TablaCosechas[[#This Row],[COSECHA]],"MMMM"))</f>
        <v>DICIEMBRE</v>
      </c>
      <c r="O683" s="9" t="str">
        <f>IF(A683="DO 29","BAP",IF(A683="RO 14","BAP",(VLOOKUP(TablaCosechas[[#This Row],[COD]],Tabla7[[CODIGO]:[CERTIFICACION]],3,0))))</f>
        <v>CONVENCIONAL</v>
      </c>
      <c r="P683" s="180">
        <f>+L683-E683</f>
        <v>40.5</v>
      </c>
      <c r="Q683" s="181">
        <f>+M683-F683</f>
        <v>-2.3999999999999986</v>
      </c>
      <c r="R683" s="9"/>
    </row>
    <row r="684" spans="1:18" x14ac:dyDescent="0.25">
      <c r="A684" s="9" t="s">
        <v>376</v>
      </c>
      <c r="B684" s="9">
        <f>ROW() - ROW(TablaCosechas[[#Headers],[ID]]) - 4</f>
        <v>679</v>
      </c>
      <c r="C684" s="9" t="str">
        <f>LEFT(A684,2)</f>
        <v>WA</v>
      </c>
      <c r="D684" s="182" t="s">
        <v>366</v>
      </c>
      <c r="E684" s="178">
        <v>8250</v>
      </c>
      <c r="F684" s="19">
        <v>27</v>
      </c>
      <c r="G684" s="195">
        <v>46003</v>
      </c>
      <c r="H684" s="9" t="str">
        <f>VLOOKUP(TablaCosechas[[#This Row],[COD]],DATOS!$E$3:$F$27,2,0)</f>
        <v>WAHOO</v>
      </c>
      <c r="I684" s="9" t="str">
        <f>RIGHT(TablaCosechas[[#This Row],[SECTOR/PISCINA]],2)</f>
        <v>06</v>
      </c>
      <c r="J684" s="9" t="str">
        <f>VLOOKUP(TablaCosechas[[#This Row],[COD]],Tabla7[#All],4,0)</f>
        <v>JUNIOR ESQUIVEL</v>
      </c>
      <c r="K684" s="179">
        <f>(TablaCosechas[[#This Row],[libras planta]]*454)/M684</f>
        <v>147090.48646773075</v>
      </c>
      <c r="L684" s="174">
        <v>9337.33</v>
      </c>
      <c r="M684" s="19">
        <v>28.82</v>
      </c>
      <c r="N684" s="9" t="str">
        <f>UPPER(TEXT(TablaCosechas[[#This Row],[COSECHA]],"MMMM"))</f>
        <v>DICIEMBRE</v>
      </c>
      <c r="O684" s="9" t="str">
        <f>IF(A684="DO 29","BAP",IF(A684="RO 14","BAP",(VLOOKUP(TablaCosechas[[#This Row],[COD]],Tabla7[[CODIGO]:[CERTIFICACION]],3,0))))</f>
        <v>CONVENCIONAL</v>
      </c>
      <c r="P684" s="180">
        <f>+L684-E684</f>
        <v>1087.33</v>
      </c>
      <c r="Q684" s="181">
        <f>+M684-F684</f>
        <v>1.8200000000000003</v>
      </c>
      <c r="R684" s="9"/>
    </row>
    <row r="685" spans="1:18" x14ac:dyDescent="0.25">
      <c r="A685" s="9" t="s">
        <v>143</v>
      </c>
      <c r="B685" s="9">
        <f>ROW() - ROW(TablaCosechas[[#Headers],[ID]]) - 4</f>
        <v>680</v>
      </c>
      <c r="C685" s="9" t="str">
        <f>LEFT(A685,2)</f>
        <v>TA</v>
      </c>
      <c r="D685" s="182" t="s">
        <v>367</v>
      </c>
      <c r="E685" s="178">
        <v>14000</v>
      </c>
      <c r="F685" s="19">
        <v>20.5</v>
      </c>
      <c r="G685" s="195">
        <v>46003</v>
      </c>
      <c r="H685" s="9" t="str">
        <f>VLOOKUP(TablaCosechas[[#This Row],[COD]],DATOS!$E$3:$F$27,2,0)</f>
        <v>TAMBULERO</v>
      </c>
      <c r="I685" s="9" t="str">
        <f>RIGHT(TablaCosechas[[#This Row],[SECTOR/PISCINA]],2)</f>
        <v>08</v>
      </c>
      <c r="J685" s="9" t="str">
        <f>VLOOKUP(TablaCosechas[[#This Row],[COD]],Tabla7[#All],4,0)</f>
        <v>ALFONSO GRUNAUER</v>
      </c>
      <c r="K685" s="179">
        <f>(TablaCosechas[[#This Row],[libras planta]]*454)/M685</f>
        <v>295462.8156161806</v>
      </c>
      <c r="L685" s="174">
        <v>13835.99</v>
      </c>
      <c r="M685" s="19">
        <v>21.26</v>
      </c>
      <c r="N685" s="9" t="str">
        <f>UPPER(TEXT(TablaCosechas[[#This Row],[COSECHA]],"MMMM"))</f>
        <v>DICIEMBRE</v>
      </c>
      <c r="O685" s="9" t="str">
        <f>IF(A685="DO 29","BAP",IF(A685="RO 14","BAP",(VLOOKUP(TablaCosechas[[#This Row],[COD]],Tabla7[[CODIGO]:[CERTIFICACION]],3,0))))</f>
        <v>CONVENCIONAL</v>
      </c>
      <c r="P685" s="180">
        <f>+L685-E685</f>
        <v>-164.01000000000022</v>
      </c>
      <c r="Q685" s="181">
        <f>+M685-F685</f>
        <v>0.76000000000000156</v>
      </c>
      <c r="R685" s="9"/>
    </row>
    <row r="686" spans="1:18" x14ac:dyDescent="0.25">
      <c r="A686" s="9" t="s">
        <v>131</v>
      </c>
      <c r="B686" s="9">
        <f>ROW() - ROW(TablaCosechas[[#Headers],[ID]]) - 4</f>
        <v>681</v>
      </c>
      <c r="C686" s="9" t="str">
        <f>LEFT(A686,2)</f>
        <v>RO</v>
      </c>
      <c r="D686" s="182" t="s">
        <v>367</v>
      </c>
      <c r="E686" s="178">
        <v>7000</v>
      </c>
      <c r="F686" s="19">
        <v>23</v>
      </c>
      <c r="G686" s="195">
        <v>46003</v>
      </c>
      <c r="H686" s="9" t="str">
        <f>VLOOKUP(TablaCosechas[[#This Row],[COD]],DATOS!$E$3:$F$27,2,0)</f>
        <v>ROBALO</v>
      </c>
      <c r="I686" s="9" t="str">
        <f>RIGHT(TablaCosechas[[#This Row],[SECTOR/PISCINA]],2)</f>
        <v>13</v>
      </c>
      <c r="J686" s="9" t="str">
        <f>VLOOKUP(TablaCosechas[[#This Row],[COD]],Tabla7[#All],4,0)</f>
        <v>VICTOR QUINTANA</v>
      </c>
      <c r="K686" s="179">
        <f>(TablaCosechas[[#This Row],[libras planta]]*454)/M686</f>
        <v>152501.97013651876</v>
      </c>
      <c r="L686" s="174">
        <v>7873.67</v>
      </c>
      <c r="M686" s="19">
        <v>23.44</v>
      </c>
      <c r="N686" s="9" t="str">
        <f>UPPER(TEXT(TablaCosechas[[#This Row],[COSECHA]],"MMMM"))</f>
        <v>DICIEMBRE</v>
      </c>
      <c r="O686" s="9" t="str">
        <f>IF(A686="DO 29","BAP",IF(A686="RO 14","BAP",(VLOOKUP(TablaCosechas[[#This Row],[COD]],Tabla7[[CODIGO]:[CERTIFICACION]],3,0))))</f>
        <v>ASC</v>
      </c>
      <c r="P686" s="180">
        <f>+L686-E686</f>
        <v>873.67000000000007</v>
      </c>
      <c r="Q686" s="181">
        <f>+M686-F686</f>
        <v>0.44000000000000128</v>
      </c>
      <c r="R686" s="9"/>
    </row>
    <row r="687" spans="1:18" x14ac:dyDescent="0.25">
      <c r="A687" s="9" t="s">
        <v>128</v>
      </c>
      <c r="B687" s="9">
        <f>ROW() - ROW(TablaCosechas[[#Headers],[ID]]) - 4</f>
        <v>682</v>
      </c>
      <c r="C687" s="9" t="str">
        <f>LEFT(A687,2)</f>
        <v>PA</v>
      </c>
      <c r="D687" s="182" t="s">
        <v>367</v>
      </c>
      <c r="E687" s="178">
        <v>11200</v>
      </c>
      <c r="F687" s="19">
        <v>22</v>
      </c>
      <c r="G687" s="195">
        <v>46003</v>
      </c>
      <c r="H687" s="9" t="str">
        <f>VLOOKUP(TablaCosechas[[#This Row],[COD]],DATOS!$E$3:$F$27,2,0)</f>
        <v>PAMPANO</v>
      </c>
      <c r="I687" s="9" t="str">
        <f>RIGHT(TablaCosechas[[#This Row],[SECTOR/PISCINA]],2)</f>
        <v>14</v>
      </c>
      <c r="J687" s="9" t="str">
        <f>VLOOKUP(TablaCosechas[[#This Row],[COD]],Tabla7[#All],4,0)</f>
        <v>GUSTAVO CARRASCO</v>
      </c>
      <c r="K687" s="179">
        <f>(TablaCosechas[[#This Row],[libras planta]]*454)/M687</f>
        <v>222049.87731685789</v>
      </c>
      <c r="L687" s="174">
        <v>11082.93</v>
      </c>
      <c r="M687" s="19">
        <v>22.66</v>
      </c>
      <c r="N687" s="9" t="str">
        <f>UPPER(TEXT(TablaCosechas[[#This Row],[COSECHA]],"MMMM"))</f>
        <v>DICIEMBRE</v>
      </c>
      <c r="O687" s="9" t="str">
        <f>IF(A687="DO 29","BAP",IF(A687="RO 14","BAP",(VLOOKUP(TablaCosechas[[#This Row],[COD]],Tabla7[[CODIGO]:[CERTIFICACION]],3,0))))</f>
        <v>ASC</v>
      </c>
      <c r="P687" s="180">
        <f>+L687-E687</f>
        <v>-117.06999999999971</v>
      </c>
      <c r="Q687" s="181">
        <f>+M687-F687</f>
        <v>0.66000000000000014</v>
      </c>
      <c r="R687" s="9"/>
    </row>
    <row r="688" spans="1:18" x14ac:dyDescent="0.25">
      <c r="A688" s="9" t="s">
        <v>286</v>
      </c>
      <c r="B688" s="9">
        <f>ROW() - ROW(TablaCosechas[[#Headers],[ID]]) - 4</f>
        <v>683</v>
      </c>
      <c r="C688" s="9" t="str">
        <f>LEFT(A688,2)</f>
        <v>DO</v>
      </c>
      <c r="D688" s="182" t="s">
        <v>366</v>
      </c>
      <c r="E688" s="178">
        <f>24000+3400</f>
        <v>27400</v>
      </c>
      <c r="F688" s="19">
        <v>34</v>
      </c>
      <c r="G688" s="195">
        <v>46003</v>
      </c>
      <c r="H688" s="9" t="str">
        <f>VLOOKUP(TablaCosechas[[#This Row],[COD]],DATOS!$E$3:$F$27,2,0)</f>
        <v>DORADO</v>
      </c>
      <c r="I688" s="9" t="str">
        <f>RIGHT(TablaCosechas[[#This Row],[SECTOR/PISCINA]],2)</f>
        <v>29</v>
      </c>
      <c r="J688" s="9" t="str">
        <f>VLOOKUP(TablaCosechas[[#This Row],[COD]],Tabla7[#All],4,0)</f>
        <v>JOSE CEDEÑO</v>
      </c>
      <c r="K688" s="179">
        <f>(TablaCosechas[[#This Row],[libras planta]]*454)/M688</f>
        <v>366999.12661654135</v>
      </c>
      <c r="L688" s="174">
        <f>23499.7+3378.54</f>
        <v>26878.240000000002</v>
      </c>
      <c r="M688" s="19">
        <v>33.25</v>
      </c>
      <c r="N688" s="9" t="str">
        <f>UPPER(TEXT(TablaCosechas[[#This Row],[COSECHA]],"MMMM"))</f>
        <v>DICIEMBRE</v>
      </c>
      <c r="O688" s="9" t="str">
        <f>IF(A688="DO 29","BAP",IF(A688="RO 14","BAP",(VLOOKUP(TablaCosechas[[#This Row],[COD]],Tabla7[[CODIGO]:[CERTIFICACION]],3,0))))</f>
        <v>BAP</v>
      </c>
      <c r="P688" s="180">
        <f>+L688-E688</f>
        <v>-521.7599999999984</v>
      </c>
      <c r="Q688" s="181">
        <f>+M688-F688</f>
        <v>-0.75</v>
      </c>
      <c r="R688" s="9"/>
    </row>
    <row r="689" spans="1:18" x14ac:dyDescent="0.25">
      <c r="A689" s="9" t="s">
        <v>297</v>
      </c>
      <c r="B689" s="9">
        <f>ROW() - ROW(TablaCosechas[[#Headers],[ID]]) - 4</f>
        <v>684</v>
      </c>
      <c r="C689" s="9" t="str">
        <f>LEFT(A689,2)</f>
        <v>DO</v>
      </c>
      <c r="D689" s="182" t="s">
        <v>366</v>
      </c>
      <c r="E689" s="178">
        <f>24800+3400</f>
        <v>28200</v>
      </c>
      <c r="F689" s="19">
        <v>35</v>
      </c>
      <c r="G689" s="195">
        <v>46003</v>
      </c>
      <c r="H689" s="9" t="str">
        <f>VLOOKUP(TablaCosechas[[#This Row],[COD]],DATOS!$E$3:$F$27,2,0)</f>
        <v>DORADO</v>
      </c>
      <c r="I689" s="9" t="str">
        <f>RIGHT(TablaCosechas[[#This Row],[SECTOR/PISCINA]],2)</f>
        <v>18</v>
      </c>
      <c r="J689" s="9" t="str">
        <f>VLOOKUP(TablaCosechas[[#This Row],[COD]],Tabla7[#All],4,0)</f>
        <v>JOSE CEDEÑO</v>
      </c>
      <c r="K689" s="179">
        <f>(TablaCosechas[[#This Row],[libras planta]]*454)/M689</f>
        <v>398325.07199999999</v>
      </c>
      <c r="L689" s="174">
        <f>26219.73+3391.44</f>
        <v>29611.17</v>
      </c>
      <c r="M689" s="19">
        <v>33.75</v>
      </c>
      <c r="N689" s="9" t="str">
        <f>UPPER(TEXT(TablaCosechas[[#This Row],[COSECHA]],"MMMM"))</f>
        <v>DICIEMBRE</v>
      </c>
      <c r="O689" s="9" t="str">
        <f>IF(A689="DO 29","BAP",IF(A689="RO 14","BAP",(VLOOKUP(TablaCosechas[[#This Row],[COD]],Tabla7[[CODIGO]:[CERTIFICACION]],3,0))))</f>
        <v>ASC</v>
      </c>
      <c r="P689" s="180">
        <f>+L689-E689</f>
        <v>1411.1699999999983</v>
      </c>
      <c r="Q689" s="181">
        <f>+M689-F689</f>
        <v>-1.25</v>
      </c>
      <c r="R689" s="9"/>
    </row>
    <row r="690" spans="1:18" x14ac:dyDescent="0.25">
      <c r="A690" s="9" t="s">
        <v>309</v>
      </c>
      <c r="B690" s="9">
        <f>ROW() - ROW(TablaCosechas[[#Headers],[ID]]) - 4</f>
        <v>685</v>
      </c>
      <c r="C690" s="9" t="str">
        <f>LEFT(A690,2)</f>
        <v>DE</v>
      </c>
      <c r="D690" s="182" t="s">
        <v>367</v>
      </c>
      <c r="E690" s="178">
        <v>9900</v>
      </c>
      <c r="F690" s="19">
        <v>20</v>
      </c>
      <c r="G690" s="195">
        <v>46003</v>
      </c>
      <c r="H690" s="9" t="str">
        <f>VLOOKUP(TablaCosechas[[#This Row],[COD]],DATOS!$E$3:$F$27,2,0)</f>
        <v>DELFIN</v>
      </c>
      <c r="I690" s="9" t="str">
        <f>RIGHT(TablaCosechas[[#This Row],[SECTOR/PISCINA]],2)</f>
        <v>05</v>
      </c>
      <c r="J690" s="9" t="str">
        <f>VLOOKUP(TablaCosechas[[#This Row],[COD]],Tabla7[#All],4,0)</f>
        <v>CARLOS FLORES</v>
      </c>
      <c r="K690" s="179">
        <f>(TablaCosechas[[#This Row],[libras planta]]*454)/M690</f>
        <v>203790.14246068452</v>
      </c>
      <c r="L690" s="174">
        <v>9704.7199999999993</v>
      </c>
      <c r="M690" s="19">
        <v>21.62</v>
      </c>
      <c r="N690" s="9" t="str">
        <f>UPPER(TEXT(TablaCosechas[[#This Row],[COSECHA]],"MMMM"))</f>
        <v>DICIEMBRE</v>
      </c>
      <c r="O690" s="9" t="str">
        <f>IF(A690="DO 29","BAP",IF(A690="RO 14","BAP",(VLOOKUP(TablaCosechas[[#This Row],[COD]],Tabla7[[CODIGO]:[CERTIFICACION]],3,0))))</f>
        <v>CONVENCIONAL</v>
      </c>
      <c r="P690" s="180">
        <f>+L690-E690</f>
        <v>-195.28000000000065</v>
      </c>
      <c r="Q690" s="181">
        <f>+M690-F690</f>
        <v>1.620000000000001</v>
      </c>
      <c r="R690" s="9"/>
    </row>
    <row r="691" spans="1:18" x14ac:dyDescent="0.25">
      <c r="A691" s="9" t="s">
        <v>23</v>
      </c>
      <c r="B691" s="9">
        <f>ROW() - ROW(TablaCosechas[[#Headers],[ID]]) - 4</f>
        <v>686</v>
      </c>
      <c r="C691" s="9" t="str">
        <f>LEFT(A691,2)</f>
        <v>CH</v>
      </c>
      <c r="D691" s="182" t="s">
        <v>367</v>
      </c>
      <c r="E691" s="178">
        <v>8200</v>
      </c>
      <c r="F691" s="19">
        <v>23</v>
      </c>
      <c r="G691" s="195">
        <v>46003</v>
      </c>
      <c r="H691" s="9" t="str">
        <f>VLOOKUP(TablaCosechas[[#This Row],[COD]],DATOS!$E$3:$F$27,2,0)</f>
        <v>CHERNA</v>
      </c>
      <c r="I691" s="9" t="str">
        <f>RIGHT(TablaCosechas[[#This Row],[SECTOR/PISCINA]],2)</f>
        <v>18</v>
      </c>
      <c r="J691" s="9" t="str">
        <f>VLOOKUP(TablaCosechas[[#This Row],[COD]],Tabla7[#All],4,0)</f>
        <v>SANTIAGO OBRIEN</v>
      </c>
      <c r="K691" s="179">
        <f>(TablaCosechas[[#This Row],[libras planta]]*454)/M691</f>
        <v>177147.51574468086</v>
      </c>
      <c r="L691" s="174">
        <v>9169.5300000000007</v>
      </c>
      <c r="M691" s="19">
        <v>23.5</v>
      </c>
      <c r="N691" s="9" t="str">
        <f>UPPER(TEXT(TablaCosechas[[#This Row],[COSECHA]],"MMMM"))</f>
        <v>DICIEMBRE</v>
      </c>
      <c r="O691" s="9" t="str">
        <f>IF(A691="DO 29","BAP",IF(A691="RO 14","BAP",(VLOOKUP(TablaCosechas[[#This Row],[COD]],Tabla7[[CODIGO]:[CERTIFICACION]],3,0))))</f>
        <v>ASC</v>
      </c>
      <c r="P691" s="180">
        <f>+L691-E691</f>
        <v>969.53000000000065</v>
      </c>
      <c r="Q691" s="181">
        <f>+M691-F691</f>
        <v>0.5</v>
      </c>
      <c r="R691" s="9"/>
    </row>
    <row r="692" spans="1:18" x14ac:dyDescent="0.25">
      <c r="A692" s="9" t="s">
        <v>340</v>
      </c>
      <c r="B692" s="9">
        <f>ROW() - ROW(TablaCosechas[[#Headers],[ID]]) - 4</f>
        <v>687</v>
      </c>
      <c r="C692" s="9" t="str">
        <f>LEFT(A692,2)</f>
        <v>WA</v>
      </c>
      <c r="D692" s="182" t="s">
        <v>366</v>
      </c>
      <c r="E692" s="178">
        <v>10900</v>
      </c>
      <c r="F692" s="19">
        <v>30</v>
      </c>
      <c r="G692" s="195">
        <v>46005</v>
      </c>
      <c r="H692" s="9" t="str">
        <f>VLOOKUP(TablaCosechas[[#This Row],[COD]],DATOS!$E$3:$F$27,2,0)</f>
        <v>WAHOO</v>
      </c>
      <c r="I692" s="9" t="str">
        <f>RIGHT(TablaCosechas[[#This Row],[SECTOR/PISCINA]],2)</f>
        <v>29</v>
      </c>
      <c r="J692" s="9" t="str">
        <f>VLOOKUP(TablaCosechas[[#This Row],[COD]],Tabla7[#All],4,0)</f>
        <v>JUNIOR ESQUIVEL</v>
      </c>
      <c r="K692" s="179">
        <f>(TablaCosechas[[#This Row],[libras planta]]*454)/M692</f>
        <v>179093.93858751279</v>
      </c>
      <c r="L692" s="174">
        <v>11562.21</v>
      </c>
      <c r="M692" s="19">
        <v>29.31</v>
      </c>
      <c r="N692" s="9" t="str">
        <f>UPPER(TEXT(TablaCosechas[[#This Row],[COSECHA]],"MMMM"))</f>
        <v>DICIEMBRE</v>
      </c>
      <c r="O692" s="9" t="str">
        <f>IF(A692="DO 29","BAP",IF(A692="RO 14","BAP",(VLOOKUP(TablaCosechas[[#This Row],[COD]],Tabla7[[CODIGO]:[CERTIFICACION]],3,0))))</f>
        <v>CONVENCIONAL</v>
      </c>
      <c r="P692" s="180">
        <f>+L692-E692</f>
        <v>662.20999999999913</v>
      </c>
      <c r="Q692" s="181">
        <f>+M692-F692</f>
        <v>-0.69000000000000128</v>
      </c>
      <c r="R692" s="9"/>
    </row>
    <row r="693" spans="1:18" x14ac:dyDescent="0.25">
      <c r="A693" s="9" t="s">
        <v>379</v>
      </c>
      <c r="B693" s="9">
        <f>ROW() - ROW(TablaCosechas[[#Headers],[ID]]) - 4</f>
        <v>688</v>
      </c>
      <c r="C693" s="9" t="str">
        <f>LEFT(A693,2)</f>
        <v>WA</v>
      </c>
      <c r="D693" s="182" t="s">
        <v>366</v>
      </c>
      <c r="E693" s="178">
        <v>4100</v>
      </c>
      <c r="F693" s="19">
        <v>30</v>
      </c>
      <c r="G693" s="195">
        <v>46005</v>
      </c>
      <c r="H693" s="9" t="str">
        <f>VLOOKUP(TablaCosechas[[#This Row],[COD]],DATOS!$E$3:$F$27,2,0)</f>
        <v>WAHOO</v>
      </c>
      <c r="I693" s="9" t="str">
        <f>RIGHT(TablaCosechas[[#This Row],[SECTOR/PISCINA]],2)</f>
        <v>18</v>
      </c>
      <c r="J693" s="9" t="str">
        <f>VLOOKUP(TablaCosechas[[#This Row],[COD]],Tabla7[#All],4,0)</f>
        <v>JUNIOR ESQUIVEL</v>
      </c>
      <c r="K693" s="179">
        <f>(TablaCosechas[[#This Row],[libras planta]]*454)/M693</f>
        <v>64930.719590268884</v>
      </c>
      <c r="L693" s="174">
        <v>4467.92</v>
      </c>
      <c r="M693" s="19">
        <v>31.24</v>
      </c>
      <c r="N693" s="9" t="str">
        <f>UPPER(TEXT(TablaCosechas[[#This Row],[COSECHA]],"MMMM"))</f>
        <v>DICIEMBRE</v>
      </c>
      <c r="O693" s="9" t="str">
        <f>IF(A693="DO 29","BAP",IF(A693="RO 14","BAP",(VLOOKUP(TablaCosechas[[#This Row],[COD]],Tabla7[[CODIGO]:[CERTIFICACION]],3,0))))</f>
        <v>CONVENCIONAL</v>
      </c>
      <c r="P693" s="180">
        <f>+L693-E693</f>
        <v>367.92000000000007</v>
      </c>
      <c r="Q693" s="181">
        <f>+M693-F693</f>
        <v>1.2399999999999984</v>
      </c>
      <c r="R693" s="9"/>
    </row>
    <row r="694" spans="1:18" x14ac:dyDescent="0.25">
      <c r="A694" s="9" t="s">
        <v>298</v>
      </c>
      <c r="B694" s="9">
        <f>ROW() - ROW(TablaCosechas[[#Headers],[ID]]) - 4</f>
        <v>689</v>
      </c>
      <c r="C694" s="9" t="str">
        <f>LEFT(A694,2)</f>
        <v>PR</v>
      </c>
      <c r="D694" s="182" t="s">
        <v>367</v>
      </c>
      <c r="E694" s="178">
        <v>3000</v>
      </c>
      <c r="F694" s="19">
        <v>14</v>
      </c>
      <c r="G694" s="195">
        <v>46005</v>
      </c>
      <c r="H694" s="9" t="str">
        <f>VLOOKUP(TablaCosechas[[#This Row],[COD]],DATOS!$E$3:$F$27,2,0)</f>
        <v>PARGO ROJO</v>
      </c>
      <c r="I694" s="9" t="str">
        <f>RIGHT(TablaCosechas[[#This Row],[SECTOR/PISCINA]],2)</f>
        <v>19</v>
      </c>
      <c r="J694" s="9" t="str">
        <f>VLOOKUP(TablaCosechas[[#This Row],[COD]],Tabla7[#All],4,0)</f>
        <v>WILMER TORRES</v>
      </c>
      <c r="K694" s="179">
        <f>(TablaCosechas[[#This Row],[libras planta]]*454)/M694</f>
        <v>90378.211512717535</v>
      </c>
      <c r="L694" s="174">
        <v>2974.12</v>
      </c>
      <c r="M694" s="19">
        <v>14.94</v>
      </c>
      <c r="N694" s="9" t="str">
        <f>UPPER(TEXT(TablaCosechas[[#This Row],[COSECHA]],"MMMM"))</f>
        <v>DICIEMBRE</v>
      </c>
      <c r="O694" s="9" t="str">
        <f>IF(A694="DO 29","BAP",IF(A694="RO 14","BAP",(VLOOKUP(TablaCosechas[[#This Row],[COD]],Tabla7[[CODIGO]:[CERTIFICACION]],3,0))))</f>
        <v>CONVENCIONAL</v>
      </c>
      <c r="P694" s="180">
        <f>+L694-E694</f>
        <v>-25.880000000000109</v>
      </c>
      <c r="Q694" s="181">
        <f>+M694-F694</f>
        <v>0.9399999999999995</v>
      </c>
      <c r="R694" s="9"/>
    </row>
    <row r="695" spans="1:18" x14ac:dyDescent="0.25">
      <c r="A695" s="9" t="s">
        <v>284</v>
      </c>
      <c r="B695" s="9">
        <f>ROW() - ROW(TablaCosechas[[#Headers],[ID]]) - 4</f>
        <v>690</v>
      </c>
      <c r="C695" s="9" t="str">
        <f>LEFT(A695,2)</f>
        <v>PR</v>
      </c>
      <c r="D695" s="182" t="s">
        <v>366</v>
      </c>
      <c r="E695" s="178">
        <v>14000</v>
      </c>
      <c r="F695" s="19">
        <v>24</v>
      </c>
      <c r="G695" s="195">
        <v>46005</v>
      </c>
      <c r="H695" s="9" t="str">
        <f>VLOOKUP(TablaCosechas[[#This Row],[COD]],DATOS!$E$3:$F$27,2,0)</f>
        <v>PARGO ROJO</v>
      </c>
      <c r="I695" s="9" t="str">
        <f>RIGHT(TablaCosechas[[#This Row],[SECTOR/PISCINA]],2)</f>
        <v>18</v>
      </c>
      <c r="J695" s="9" t="str">
        <f>VLOOKUP(TablaCosechas[[#This Row],[COD]],Tabla7[#All],4,0)</f>
        <v>WILMER TORRES</v>
      </c>
      <c r="K695" s="179">
        <f>(TablaCosechas[[#This Row],[libras planta]]*454)/M695</f>
        <v>281269.44379683596</v>
      </c>
      <c r="L695" s="174">
        <v>14881.26</v>
      </c>
      <c r="M695" s="19">
        <v>24.02</v>
      </c>
      <c r="N695" s="9" t="str">
        <f>UPPER(TEXT(TablaCosechas[[#This Row],[COSECHA]],"MMMM"))</f>
        <v>DICIEMBRE</v>
      </c>
      <c r="O695" s="9" t="str">
        <f>IF(A695="DO 29","BAP",IF(A695="RO 14","BAP",(VLOOKUP(TablaCosechas[[#This Row],[COD]],Tabla7[[CODIGO]:[CERTIFICACION]],3,0))))</f>
        <v>CONVENCIONAL</v>
      </c>
      <c r="P695" s="180">
        <f>+L695-E695</f>
        <v>881.26000000000022</v>
      </c>
      <c r="Q695" s="181">
        <f>+M695-F695</f>
        <v>1.9999999999999574E-2</v>
      </c>
      <c r="R695" s="9"/>
    </row>
    <row r="696" spans="1:18" x14ac:dyDescent="0.25">
      <c r="A696" s="9" t="s">
        <v>304</v>
      </c>
      <c r="B696" s="9">
        <f>ROW() - ROW(TablaCosechas[[#Headers],[ID]]) - 4</f>
        <v>691</v>
      </c>
      <c r="C696" s="9" t="str">
        <f>LEFT(A696,2)</f>
        <v>PA</v>
      </c>
      <c r="D696" s="182" t="s">
        <v>366</v>
      </c>
      <c r="E696" s="178">
        <v>10800</v>
      </c>
      <c r="F696" s="19">
        <v>35</v>
      </c>
      <c r="G696" s="195">
        <v>46005</v>
      </c>
      <c r="H696" s="9" t="str">
        <f>VLOOKUP(TablaCosechas[[#This Row],[COD]],DATOS!$E$3:$F$27,2,0)</f>
        <v>PAMPANO</v>
      </c>
      <c r="I696" s="9" t="str">
        <f>RIGHT(TablaCosechas[[#This Row],[SECTOR/PISCINA]],2)</f>
        <v>06</v>
      </c>
      <c r="J696" s="9" t="str">
        <f>VLOOKUP(TablaCosechas[[#This Row],[COD]],Tabla7[#All],4,0)</f>
        <v>GUSTAVO CARRASCO</v>
      </c>
      <c r="K696" s="179">
        <f>(TablaCosechas[[#This Row],[libras planta]]*454)/M696</f>
        <v>135617.15516257842</v>
      </c>
      <c r="L696" s="174">
        <v>10472.99</v>
      </c>
      <c r="M696" s="19">
        <v>35.06</v>
      </c>
      <c r="N696" s="9" t="str">
        <f>UPPER(TEXT(TablaCosechas[[#This Row],[COSECHA]],"MMMM"))</f>
        <v>DICIEMBRE</v>
      </c>
      <c r="O696" s="9" t="str">
        <f>IF(A696="DO 29","BAP",IF(A696="RO 14","BAP",(VLOOKUP(TablaCosechas[[#This Row],[COD]],Tabla7[[CODIGO]:[CERTIFICACION]],3,0))))</f>
        <v>ASC</v>
      </c>
      <c r="P696" s="180">
        <f>+L696-E696</f>
        <v>-327.01000000000022</v>
      </c>
      <c r="Q696" s="181">
        <f>+M696-F696</f>
        <v>6.0000000000002274E-2</v>
      </c>
      <c r="R696" s="9"/>
    </row>
    <row r="697" spans="1:18" x14ac:dyDescent="0.25">
      <c r="A697" s="9" t="s">
        <v>30</v>
      </c>
      <c r="B697" s="9">
        <f>ROW() - ROW(TablaCosechas[[#Headers],[ID]]) - 4</f>
        <v>692</v>
      </c>
      <c r="C697" s="9" t="str">
        <f>LEFT(A697,2)</f>
        <v>CH</v>
      </c>
      <c r="D697" s="182" t="s">
        <v>366</v>
      </c>
      <c r="E697" s="178">
        <v>64700</v>
      </c>
      <c r="F697" s="19">
        <v>35</v>
      </c>
      <c r="G697" s="195">
        <v>46005</v>
      </c>
      <c r="H697" s="9" t="str">
        <f>VLOOKUP(TablaCosechas[[#This Row],[COD]],DATOS!$E$3:$F$27,2,0)</f>
        <v>CHERNA</v>
      </c>
      <c r="I697" s="9" t="str">
        <f>RIGHT(TablaCosechas[[#This Row],[SECTOR/PISCINA]],2)</f>
        <v>19</v>
      </c>
      <c r="J697" s="9" t="str">
        <f>VLOOKUP(TablaCosechas[[#This Row],[COD]],Tabla7[#All],4,0)</f>
        <v>SANTIAGO OBRIEN</v>
      </c>
      <c r="K697" s="179">
        <f>(TablaCosechas[[#This Row],[libras planta]]*454)/M697</f>
        <v>883699.35546167777</v>
      </c>
      <c r="L697" s="174">
        <v>64506.16</v>
      </c>
      <c r="M697" s="19">
        <v>33.14</v>
      </c>
      <c r="N697" s="9" t="str">
        <f>UPPER(TEXT(TablaCosechas[[#This Row],[COSECHA]],"MMMM"))</f>
        <v>DICIEMBRE</v>
      </c>
      <c r="O697" s="9" t="str">
        <f>IF(A697="DO 29","BAP",IF(A697="RO 14","BAP",(VLOOKUP(TablaCosechas[[#This Row],[COD]],Tabla7[[CODIGO]:[CERTIFICACION]],3,0))))</f>
        <v>ASC</v>
      </c>
      <c r="P697" s="180">
        <f>+L697-E697</f>
        <v>-193.83999999999651</v>
      </c>
      <c r="Q697" s="181">
        <f>+M697-F697</f>
        <v>-1.8599999999999994</v>
      </c>
      <c r="R697" s="9"/>
    </row>
    <row r="698" spans="1:18" x14ac:dyDescent="0.25">
      <c r="A698" s="9" t="s">
        <v>335</v>
      </c>
      <c r="B698" s="9">
        <f>ROW() - ROW(TablaCosechas[[#Headers],[ID]]) - 4</f>
        <v>693</v>
      </c>
      <c r="C698" s="9" t="str">
        <f>LEFT(A698,2)</f>
        <v>WA</v>
      </c>
      <c r="D698" s="182" t="s">
        <v>366</v>
      </c>
      <c r="E698" s="178">
        <v>10300</v>
      </c>
      <c r="F698" s="19">
        <v>25</v>
      </c>
      <c r="G698" s="195">
        <v>46006</v>
      </c>
      <c r="H698" s="9" t="str">
        <f>VLOOKUP(TablaCosechas[[#This Row],[COD]],DATOS!$E$3:$F$27,2,0)</f>
        <v>WAHOO</v>
      </c>
      <c r="I698" s="9" t="str">
        <f>RIGHT(TablaCosechas[[#This Row],[SECTOR/PISCINA]],2)</f>
        <v>19</v>
      </c>
      <c r="J698" s="9" t="str">
        <f>VLOOKUP(TablaCosechas[[#This Row],[COD]],Tabla7[#All],4,0)</f>
        <v>JUNIOR ESQUIVEL</v>
      </c>
      <c r="K698" s="179">
        <f>(TablaCosechas[[#This Row],[libras planta]]*454)/M698</f>
        <v>176605.83160237386</v>
      </c>
      <c r="L698" s="174">
        <v>10487.43</v>
      </c>
      <c r="M698" s="19">
        <v>26.96</v>
      </c>
      <c r="N698" s="9" t="str">
        <f>UPPER(TEXT(TablaCosechas[[#This Row],[COSECHA]],"MMMM"))</f>
        <v>DICIEMBRE</v>
      </c>
      <c r="O698" s="9" t="str">
        <f>IF(A698="DO 29","BAP",IF(A698="RO 14","BAP",(VLOOKUP(TablaCosechas[[#This Row],[COD]],Tabla7[[CODIGO]:[CERTIFICACION]],3,0))))</f>
        <v>CONVENCIONAL</v>
      </c>
      <c r="P698" s="180">
        <f>+L698-E698</f>
        <v>187.43000000000029</v>
      </c>
      <c r="Q698" s="181">
        <f>+M698-F698</f>
        <v>1.9600000000000009</v>
      </c>
      <c r="R698" s="9"/>
    </row>
    <row r="699" spans="1:18" x14ac:dyDescent="0.25">
      <c r="A699" s="9" t="s">
        <v>300</v>
      </c>
      <c r="B699" s="9">
        <f>ROW() - ROW(TablaCosechas[[#Headers],[ID]]) - 4</f>
        <v>694</v>
      </c>
      <c r="C699" s="9" t="str">
        <f>LEFT(A699,2)</f>
        <v>TI</v>
      </c>
      <c r="D699" s="182" t="s">
        <v>366</v>
      </c>
      <c r="E699" s="178">
        <v>69000</v>
      </c>
      <c r="F699" s="19">
        <v>41</v>
      </c>
      <c r="G699" s="195">
        <v>46006</v>
      </c>
      <c r="H699" s="9" t="str">
        <f>VLOOKUP(TablaCosechas[[#This Row],[COD]],DATOS!$E$3:$F$27,2,0)</f>
        <v>TIBURON</v>
      </c>
      <c r="I699" s="9" t="str">
        <f>RIGHT(TablaCosechas[[#This Row],[SECTOR/PISCINA]],2)</f>
        <v>15</v>
      </c>
      <c r="J699" s="9" t="str">
        <f>VLOOKUP(TablaCosechas[[#This Row],[COD]],Tabla7[#All],4,0)</f>
        <v>ALFONSO GRUNAUER</v>
      </c>
      <c r="K699" s="179">
        <f>(TablaCosechas[[#This Row],[libras planta]]*454)/M699</f>
        <v>810174.10544993647</v>
      </c>
      <c r="L699" s="174">
        <v>70399.489999999991</v>
      </c>
      <c r="M699" s="19">
        <v>39.450000000000003</v>
      </c>
      <c r="N699" s="9" t="str">
        <f>UPPER(TEXT(TablaCosechas[[#This Row],[COSECHA]],"MMMM"))</f>
        <v>DICIEMBRE</v>
      </c>
      <c r="O699" s="9" t="str">
        <f>IF(A699="DO 29","BAP",IF(A699="RO 14","BAP",(VLOOKUP(TablaCosechas[[#This Row],[COD]],Tabla7[[CODIGO]:[CERTIFICACION]],3,0))))</f>
        <v>ASC</v>
      </c>
      <c r="P699" s="180">
        <f>+L699-E699</f>
        <v>1399.4899999999907</v>
      </c>
      <c r="Q699" s="181">
        <f>+M699-F699</f>
        <v>-1.5499999999999972</v>
      </c>
      <c r="R699" s="9"/>
    </row>
    <row r="700" spans="1:18" x14ac:dyDescent="0.25">
      <c r="A700" s="9" t="s">
        <v>150</v>
      </c>
      <c r="B700" s="9">
        <f>ROW() - ROW(TablaCosechas[[#Headers],[ID]]) - 4</f>
        <v>695</v>
      </c>
      <c r="C700" s="9" t="str">
        <f>LEFT(A700,2)</f>
        <v>RO</v>
      </c>
      <c r="D700" s="182" t="s">
        <v>367</v>
      </c>
      <c r="E700" s="178">
        <v>12800</v>
      </c>
      <c r="F700" s="19">
        <v>21</v>
      </c>
      <c r="G700" s="195">
        <v>46006</v>
      </c>
      <c r="H700" s="9" t="str">
        <f>VLOOKUP(TablaCosechas[[#This Row],[COD]],DATOS!$E$3:$F$27,2,0)</f>
        <v>ROBALO</v>
      </c>
      <c r="I700" s="9" t="str">
        <f>RIGHT(TablaCosechas[[#This Row],[SECTOR/PISCINA]],2)</f>
        <v>07</v>
      </c>
      <c r="J700" s="9" t="str">
        <f>VLOOKUP(TablaCosechas[[#This Row],[COD]],Tabla7[#All],4,0)</f>
        <v>VICTOR QUINTANA</v>
      </c>
      <c r="K700" s="179">
        <f>(TablaCosechas[[#This Row],[libras planta]]*454)/M700</f>
        <v>243941.92268041236</v>
      </c>
      <c r="L700" s="174">
        <v>12508.74</v>
      </c>
      <c r="M700" s="19">
        <v>23.28</v>
      </c>
      <c r="N700" s="9" t="str">
        <f>UPPER(TEXT(TablaCosechas[[#This Row],[COSECHA]],"MMMM"))</f>
        <v>DICIEMBRE</v>
      </c>
      <c r="O700" s="9" t="str">
        <f>IF(A700="DO 29","BAP",IF(A700="RO 14","BAP",(VLOOKUP(TablaCosechas[[#This Row],[COD]],Tabla7[[CODIGO]:[CERTIFICACION]],3,0))))</f>
        <v>ASC</v>
      </c>
      <c r="P700" s="180">
        <f>+L700-E700</f>
        <v>-291.26000000000022</v>
      </c>
      <c r="Q700" s="181">
        <f>+M700-F700</f>
        <v>2.2800000000000011</v>
      </c>
      <c r="R700" s="9"/>
    </row>
    <row r="701" spans="1:18" x14ac:dyDescent="0.25">
      <c r="A701" s="9" t="s">
        <v>275</v>
      </c>
      <c r="B701" s="9">
        <f>ROW() - ROW(TablaCosechas[[#Headers],[ID]]) - 4</f>
        <v>696</v>
      </c>
      <c r="C701" s="9" t="str">
        <f>LEFT(A701,2)</f>
        <v>PR</v>
      </c>
      <c r="D701" s="182" t="s">
        <v>366</v>
      </c>
      <c r="E701" s="178">
        <v>11200</v>
      </c>
      <c r="F701" s="19">
        <v>25</v>
      </c>
      <c r="G701" s="195">
        <v>46006</v>
      </c>
      <c r="H701" s="9" t="str">
        <f>VLOOKUP(TablaCosechas[[#This Row],[COD]],DATOS!$E$3:$F$27,2,0)</f>
        <v>PARGO ROJO</v>
      </c>
      <c r="I701" s="9" t="str">
        <f>RIGHT(TablaCosechas[[#This Row],[SECTOR/PISCINA]],2)</f>
        <v>20</v>
      </c>
      <c r="J701" s="9" t="str">
        <f>VLOOKUP(TablaCosechas[[#This Row],[COD]],Tabla7[#All],4,0)</f>
        <v>WILMER TORRES</v>
      </c>
      <c r="K701" s="179">
        <f>(TablaCosechas[[#This Row],[libras planta]]*454)/M701</f>
        <v>214088.8031007752</v>
      </c>
      <c r="L701" s="174">
        <v>12166.28</v>
      </c>
      <c r="M701" s="19">
        <v>25.8</v>
      </c>
      <c r="N701" s="9" t="str">
        <f>UPPER(TEXT(TablaCosechas[[#This Row],[COSECHA]],"MMMM"))</f>
        <v>DICIEMBRE</v>
      </c>
      <c r="O701" s="9" t="str">
        <f>IF(A701="DO 29","BAP",IF(A701="RO 14","BAP",(VLOOKUP(TablaCosechas[[#This Row],[COD]],Tabla7[[CODIGO]:[CERTIFICACION]],3,0))))</f>
        <v>CONVENCIONAL</v>
      </c>
      <c r="P701" s="180">
        <f>+L701-E701</f>
        <v>966.28000000000065</v>
      </c>
      <c r="Q701" s="181">
        <f>+M701-F701</f>
        <v>0.80000000000000071</v>
      </c>
      <c r="R701" s="9"/>
    </row>
    <row r="702" spans="1:18" x14ac:dyDescent="0.25">
      <c r="A702" s="9" t="s">
        <v>167</v>
      </c>
      <c r="B702" s="9">
        <f>ROW() - ROW(TablaCosechas[[#Headers],[ID]]) - 4</f>
        <v>697</v>
      </c>
      <c r="C702" s="9" t="str">
        <f>LEFT(A702,2)</f>
        <v>PA</v>
      </c>
      <c r="D702" s="182" t="s">
        <v>367</v>
      </c>
      <c r="E702" s="178">
        <v>2200</v>
      </c>
      <c r="F702" s="19">
        <v>17</v>
      </c>
      <c r="G702" s="195">
        <v>46006</v>
      </c>
      <c r="H702" s="9" t="str">
        <f>VLOOKUP(TablaCosechas[[#This Row],[COD]],DATOS!$E$3:$F$27,2,0)</f>
        <v>PAMPANO</v>
      </c>
      <c r="I702" s="9" t="str">
        <f>RIGHT(TablaCosechas[[#This Row],[SECTOR/PISCINA]],2)</f>
        <v>10</v>
      </c>
      <c r="J702" s="9" t="str">
        <f>VLOOKUP(TablaCosechas[[#This Row],[COD]],Tabla7[#All],4,0)</f>
        <v>GUSTAVO CARRASCO</v>
      </c>
      <c r="K702" s="179">
        <f>(TablaCosechas[[#This Row],[libras planta]]*454)/M702</f>
        <v>42429.991236611495</v>
      </c>
      <c r="L702" s="174">
        <v>1919.63</v>
      </c>
      <c r="M702" s="19">
        <v>20.54</v>
      </c>
      <c r="N702" s="9" t="str">
        <f>UPPER(TEXT(TablaCosechas[[#This Row],[COSECHA]],"MMMM"))</f>
        <v>DICIEMBRE</v>
      </c>
      <c r="O702" s="9" t="str">
        <f>IF(A702="DO 29","BAP",IF(A702="RO 14","BAP",(VLOOKUP(TablaCosechas[[#This Row],[COD]],Tabla7[[CODIGO]:[CERTIFICACION]],3,0))))</f>
        <v>ASC</v>
      </c>
      <c r="P702" s="180">
        <f>+L702-E702</f>
        <v>-280.36999999999989</v>
      </c>
      <c r="Q702" s="181">
        <f>+M702-F702</f>
        <v>3.5399999999999991</v>
      </c>
      <c r="R702" s="9"/>
    </row>
    <row r="703" spans="1:18" x14ac:dyDescent="0.25">
      <c r="A703" s="9" t="s">
        <v>170</v>
      </c>
      <c r="B703" s="9">
        <f>ROW() - ROW(TablaCosechas[[#Headers],[ID]]) - 4</f>
        <v>698</v>
      </c>
      <c r="C703" s="9" t="str">
        <f>LEFT(A703,2)</f>
        <v>PA</v>
      </c>
      <c r="D703" s="182" t="s">
        <v>367</v>
      </c>
      <c r="E703" s="178">
        <v>3400</v>
      </c>
      <c r="F703" s="19">
        <v>16</v>
      </c>
      <c r="G703" s="195">
        <v>46006</v>
      </c>
      <c r="H703" s="9" t="str">
        <f>VLOOKUP(TablaCosechas[[#This Row],[COD]],DATOS!$E$3:$F$27,2,0)</f>
        <v>PAMPANO</v>
      </c>
      <c r="I703" s="9" t="str">
        <f>RIGHT(TablaCosechas[[#This Row],[SECTOR/PISCINA]],2)</f>
        <v>08</v>
      </c>
      <c r="J703" s="9" t="str">
        <f>VLOOKUP(TablaCosechas[[#This Row],[COD]],Tabla7[#All],4,0)</f>
        <v>GUSTAVO CARRASCO</v>
      </c>
      <c r="K703" s="179">
        <f>(TablaCosechas[[#This Row],[libras planta]]*454)/M703</f>
        <v>82258.100849256909</v>
      </c>
      <c r="L703" s="174">
        <v>3413.53</v>
      </c>
      <c r="M703" s="19">
        <v>18.84</v>
      </c>
      <c r="N703" s="9" t="str">
        <f>UPPER(TEXT(TablaCosechas[[#This Row],[COSECHA]],"MMMM"))</f>
        <v>DICIEMBRE</v>
      </c>
      <c r="O703" s="9" t="str">
        <f>IF(A703="DO 29","BAP",IF(A703="RO 14","BAP",(VLOOKUP(TablaCosechas[[#This Row],[COD]],Tabla7[[CODIGO]:[CERTIFICACION]],3,0))))</f>
        <v>ASC</v>
      </c>
      <c r="P703" s="180">
        <f>+L703-E703</f>
        <v>13.5300000000002</v>
      </c>
      <c r="Q703" s="181">
        <f>+M703-F703</f>
        <v>2.84</v>
      </c>
      <c r="R703" s="9"/>
    </row>
    <row r="704" spans="1:18" x14ac:dyDescent="0.25">
      <c r="A704" s="9" t="s">
        <v>321</v>
      </c>
      <c r="B704" s="9">
        <f>ROW() - ROW(TablaCosechas[[#Headers],[ID]]) - 4</f>
        <v>699</v>
      </c>
      <c r="C704" s="9" t="str">
        <f>LEFT(A704,2)</f>
        <v>GT</v>
      </c>
      <c r="D704" s="182" t="s">
        <v>367</v>
      </c>
      <c r="E704" s="178">
        <v>5500</v>
      </c>
      <c r="F704" s="19">
        <v>28</v>
      </c>
      <c r="G704" s="195">
        <v>46006</v>
      </c>
      <c r="H704" s="9" t="str">
        <f>VLOOKUP(TablaCosechas[[#This Row],[COD]],DATOS!$E$3:$F$27,2,0)</f>
        <v>GUATO</v>
      </c>
      <c r="I704" s="9" t="str">
        <f>RIGHT(TablaCosechas[[#This Row],[SECTOR/PISCINA]],2)</f>
        <v>02</v>
      </c>
      <c r="J704" s="9" t="str">
        <f>VLOOKUP(TablaCosechas[[#This Row],[COD]],Tabla7[#All],4,0)</f>
        <v>JULIO SANTOS</v>
      </c>
      <c r="K704" s="179">
        <f>(TablaCosechas[[#This Row],[libras planta]]*454)/M704</f>
        <v>105535.46443812232</v>
      </c>
      <c r="L704" s="174">
        <v>6536.69</v>
      </c>
      <c r="M704" s="19">
        <v>28.12</v>
      </c>
      <c r="N704" s="9" t="str">
        <f>UPPER(TEXT(TablaCosechas[[#This Row],[COSECHA]],"MMMM"))</f>
        <v>DICIEMBRE</v>
      </c>
      <c r="O704" s="9" t="str">
        <f>IF(A704="DO 29","BAP",IF(A704="RO 14","BAP",(VLOOKUP(TablaCosechas[[#This Row],[COD]],Tabla7[[CODIGO]:[CERTIFICACION]],3,0))))</f>
        <v>CONVENCIONAL</v>
      </c>
      <c r="P704" s="180">
        <f>+L704-E704</f>
        <v>1036.6899999999996</v>
      </c>
      <c r="Q704" s="181">
        <f>+M704-F704</f>
        <v>0.12000000000000099</v>
      </c>
      <c r="R704" s="9"/>
    </row>
    <row r="705" spans="1:18" x14ac:dyDescent="0.25">
      <c r="A705" s="9" t="s">
        <v>296</v>
      </c>
      <c r="B705" s="9">
        <f>ROW() - ROW(TablaCosechas[[#Headers],[ID]]) - 4</f>
        <v>700</v>
      </c>
      <c r="C705" s="9" t="str">
        <f>LEFT(A705,2)</f>
        <v>DE</v>
      </c>
      <c r="D705" s="182" t="s">
        <v>366</v>
      </c>
      <c r="E705" s="178">
        <v>31400</v>
      </c>
      <c r="F705" s="19">
        <v>37</v>
      </c>
      <c r="G705" s="195">
        <v>46006</v>
      </c>
      <c r="H705" s="9" t="str">
        <f>VLOOKUP(TablaCosechas[[#This Row],[COD]],DATOS!$E$3:$F$27,2,0)</f>
        <v>DELFIN</v>
      </c>
      <c r="I705" s="9" t="str">
        <f>RIGHT(TablaCosechas[[#This Row],[SECTOR/PISCINA]],2)</f>
        <v>01</v>
      </c>
      <c r="J705" s="9" t="str">
        <f>VLOOKUP(TablaCosechas[[#This Row],[COD]],Tabla7[#All],4,0)</f>
        <v>CARLOS FLORES</v>
      </c>
      <c r="K705" s="179">
        <f>(TablaCosechas[[#This Row],[libras planta]]*454)/M705</f>
        <v>437720.23110865965</v>
      </c>
      <c r="L705" s="174">
        <v>34959.769999999997</v>
      </c>
      <c r="M705" s="19">
        <v>36.26</v>
      </c>
      <c r="N705" s="9" t="str">
        <f>UPPER(TEXT(TablaCosechas[[#This Row],[COSECHA]],"MMMM"))</f>
        <v>DICIEMBRE</v>
      </c>
      <c r="O705" s="9" t="str">
        <f>IF(A705="DO 29","BAP",IF(A705="RO 14","BAP",(VLOOKUP(TablaCosechas[[#This Row],[COD]],Tabla7[[CODIGO]:[CERTIFICACION]],3,0))))</f>
        <v>CONVENCIONAL</v>
      </c>
      <c r="P705" s="180">
        <f>+L705-E705</f>
        <v>3559.7699999999968</v>
      </c>
      <c r="Q705" s="181">
        <f>+M705-F705</f>
        <v>-0.74000000000000199</v>
      </c>
      <c r="R705" s="9"/>
    </row>
    <row r="706" spans="1:18" x14ac:dyDescent="0.25">
      <c r="A706" s="9" t="s">
        <v>337</v>
      </c>
      <c r="B706" s="9">
        <f>ROW() - ROW(TablaCosechas[[#Headers],[ID]]) - 4</f>
        <v>701</v>
      </c>
      <c r="C706" s="9" t="str">
        <f>LEFT(A706,2)</f>
        <v>WA</v>
      </c>
      <c r="D706" s="182" t="s">
        <v>366</v>
      </c>
      <c r="E706" s="178">
        <v>13600</v>
      </c>
      <c r="F706" s="19">
        <v>24</v>
      </c>
      <c r="G706" s="195">
        <v>46007</v>
      </c>
      <c r="H706" s="9" t="str">
        <f>VLOOKUP(TablaCosechas[[#This Row],[COD]],DATOS!$E$3:$F$27,2,0)</f>
        <v>WAHOO</v>
      </c>
      <c r="I706" s="9" t="str">
        <f>RIGHT(TablaCosechas[[#This Row],[SECTOR/PISCINA]],2)</f>
        <v>03</v>
      </c>
      <c r="J706" s="9" t="str">
        <f>VLOOKUP(TablaCosechas[[#This Row],[COD]],Tabla7[#All],4,0)</f>
        <v>JUNIOR ESQUIVEL</v>
      </c>
      <c r="K706" s="179">
        <f>(TablaCosechas[[#This Row],[libras planta]]*454)/M706</f>
        <v>258186.6140350877</v>
      </c>
      <c r="L706" s="174">
        <v>13614.51</v>
      </c>
      <c r="M706" s="19">
        <v>23.94</v>
      </c>
      <c r="N706" s="9" t="str">
        <f>UPPER(TEXT(TablaCosechas[[#This Row],[COSECHA]],"MMMM"))</f>
        <v>DICIEMBRE</v>
      </c>
      <c r="O706" s="9" t="str">
        <f>IF(A706="DO 29","BAP",IF(A706="RO 14","BAP",(VLOOKUP(TablaCosechas[[#This Row],[COD]],Tabla7[[CODIGO]:[CERTIFICACION]],3,0))))</f>
        <v>CONVENCIONAL</v>
      </c>
      <c r="P706" s="180">
        <f>+L706-E706</f>
        <v>14.510000000000218</v>
      </c>
      <c r="Q706" s="181">
        <f>+M706-F706</f>
        <v>-5.9999999999998721E-2</v>
      </c>
      <c r="R706" s="9"/>
    </row>
    <row r="707" spans="1:18" x14ac:dyDescent="0.25">
      <c r="A707" s="9" t="s">
        <v>294</v>
      </c>
      <c r="B707" s="9">
        <f>ROW() - ROW(TablaCosechas[[#Headers],[ID]]) - 4</f>
        <v>702</v>
      </c>
      <c r="C707" s="9" t="str">
        <f>LEFT(A707,2)</f>
        <v>RO</v>
      </c>
      <c r="D707" s="182" t="s">
        <v>366</v>
      </c>
      <c r="E707" s="178">
        <v>50800</v>
      </c>
      <c r="F707" s="19">
        <v>37</v>
      </c>
      <c r="G707" s="195">
        <v>46007</v>
      </c>
      <c r="H707" s="9" t="str">
        <f>VLOOKUP(TablaCosechas[[#This Row],[COD]],DATOS!$E$3:$F$27,2,0)</f>
        <v>ROBALO</v>
      </c>
      <c r="I707" s="9" t="str">
        <f>RIGHT(TablaCosechas[[#This Row],[SECTOR/PISCINA]],2)</f>
        <v>15</v>
      </c>
      <c r="J707" s="9" t="str">
        <f>VLOOKUP(TablaCosechas[[#This Row],[COD]],Tabla7[#All],4,0)</f>
        <v>VICTOR QUINTANA</v>
      </c>
      <c r="K707" s="179">
        <f>(TablaCosechas[[#This Row],[libras planta]]*454)/M707</f>
        <v>556229.96020633751</v>
      </c>
      <c r="L707" s="174">
        <v>49876.92</v>
      </c>
      <c r="M707" s="19">
        <v>40.71</v>
      </c>
      <c r="N707" s="9" t="str">
        <f>UPPER(TEXT(TablaCosechas[[#This Row],[COSECHA]],"MMMM"))</f>
        <v>DICIEMBRE</v>
      </c>
      <c r="O707" s="9" t="str">
        <f>IF(A707="DO 29","BAP",IF(A707="RO 14","BAP",(VLOOKUP(TablaCosechas[[#This Row],[COD]],Tabla7[[CODIGO]:[CERTIFICACION]],3,0))))</f>
        <v>ASC</v>
      </c>
      <c r="P707" s="180">
        <f>+L707-E707</f>
        <v>-923.08000000000175</v>
      </c>
      <c r="Q707" s="181">
        <f>+M707-F707</f>
        <v>3.7100000000000009</v>
      </c>
      <c r="R707" s="9"/>
    </row>
    <row r="708" spans="1:18" x14ac:dyDescent="0.25">
      <c r="A708" s="9" t="s">
        <v>272</v>
      </c>
      <c r="B708" s="9">
        <f>ROW() - ROW(TablaCosechas[[#Headers],[ID]]) - 4</f>
        <v>703</v>
      </c>
      <c r="C708" s="9" t="str">
        <f>LEFT(A708,2)</f>
        <v>PR</v>
      </c>
      <c r="D708" s="182" t="s">
        <v>366</v>
      </c>
      <c r="E708" s="178">
        <v>16300</v>
      </c>
      <c r="F708" s="19">
        <v>25</v>
      </c>
      <c r="G708" s="195">
        <v>46007</v>
      </c>
      <c r="H708" s="9" t="str">
        <f>VLOOKUP(TablaCosechas[[#This Row],[COD]],DATOS!$E$3:$F$27,2,0)</f>
        <v>PARGO ROJO</v>
      </c>
      <c r="I708" s="9" t="str">
        <f>RIGHT(TablaCosechas[[#This Row],[SECTOR/PISCINA]],2)</f>
        <v>07</v>
      </c>
      <c r="J708" s="9" t="str">
        <f>VLOOKUP(TablaCosechas[[#This Row],[COD]],Tabla7[#All],4,0)</f>
        <v>WILMER TORRES</v>
      </c>
      <c r="K708" s="179">
        <f>(TablaCosechas[[#This Row],[libras planta]]*454)/M708</f>
        <v>314519.59007633588</v>
      </c>
      <c r="L708" s="174">
        <v>18150.689999999999</v>
      </c>
      <c r="M708" s="19">
        <v>26.2</v>
      </c>
      <c r="N708" s="9" t="str">
        <f>UPPER(TEXT(TablaCosechas[[#This Row],[COSECHA]],"MMMM"))</f>
        <v>DICIEMBRE</v>
      </c>
      <c r="O708" s="9" t="str">
        <f>IF(A708="DO 29","BAP",IF(A708="RO 14","BAP",(VLOOKUP(TablaCosechas[[#This Row],[COD]],Tabla7[[CODIGO]:[CERTIFICACION]],3,0))))</f>
        <v>CONVENCIONAL</v>
      </c>
      <c r="P708" s="180">
        <f>+L708-E708</f>
        <v>1850.6899999999987</v>
      </c>
      <c r="Q708" s="181">
        <f>+M708-F708</f>
        <v>1.1999999999999993</v>
      </c>
      <c r="R708" s="9"/>
    </row>
    <row r="709" spans="1:18" x14ac:dyDescent="0.25">
      <c r="A709" s="9" t="s">
        <v>263</v>
      </c>
      <c r="B709" s="9">
        <f>ROW() - ROW(TablaCosechas[[#Headers],[ID]]) - 4</f>
        <v>704</v>
      </c>
      <c r="C709" s="9" t="str">
        <f>LEFT(A709,2)</f>
        <v>PA</v>
      </c>
      <c r="D709" s="182" t="s">
        <v>366</v>
      </c>
      <c r="E709" s="178">
        <v>11400</v>
      </c>
      <c r="F709" s="19">
        <v>29.5</v>
      </c>
      <c r="G709" s="195">
        <v>46007</v>
      </c>
      <c r="H709" s="9" t="str">
        <f>VLOOKUP(TablaCosechas[[#This Row],[COD]],DATOS!$E$3:$F$27,2,0)</f>
        <v>PAMPANO</v>
      </c>
      <c r="I709" s="9" t="str">
        <f>RIGHT(TablaCosechas[[#This Row],[SECTOR/PISCINA]],2)</f>
        <v>02</v>
      </c>
      <c r="J709" s="9" t="str">
        <f>VLOOKUP(TablaCosechas[[#This Row],[COD]],Tabla7[#All],4,0)</f>
        <v>GUSTAVO CARRASCO</v>
      </c>
      <c r="K709" s="179">
        <f>(TablaCosechas[[#This Row],[libras planta]]*454)/M709</f>
        <v>176240.09177318908</v>
      </c>
      <c r="L709" s="174">
        <v>11843.8</v>
      </c>
      <c r="M709" s="19">
        <v>30.51</v>
      </c>
      <c r="N709" s="9" t="str">
        <f>UPPER(TEXT(TablaCosechas[[#This Row],[COSECHA]],"MMMM"))</f>
        <v>DICIEMBRE</v>
      </c>
      <c r="O709" s="9" t="str">
        <f>IF(A709="DO 29","BAP",IF(A709="RO 14","BAP",(VLOOKUP(TablaCosechas[[#This Row],[COD]],Tabla7[[CODIGO]:[CERTIFICACION]],3,0))))</f>
        <v>ASC</v>
      </c>
      <c r="P709" s="180">
        <f>+L709-E709</f>
        <v>443.79999999999927</v>
      </c>
      <c r="Q709" s="181">
        <f>+M709-F709</f>
        <v>1.0100000000000016</v>
      </c>
      <c r="R709" s="9"/>
    </row>
    <row r="710" spans="1:18" x14ac:dyDescent="0.25">
      <c r="A710" s="9" t="s">
        <v>282</v>
      </c>
      <c r="B710" s="9">
        <f>ROW() - ROW(TablaCosechas[[#Headers],[ID]]) - 4</f>
        <v>705</v>
      </c>
      <c r="C710" s="9" t="str">
        <f>LEFT(A710,2)</f>
        <v>ME</v>
      </c>
      <c r="D710" s="182" t="s">
        <v>366</v>
      </c>
      <c r="E710" s="178">
        <f>26200+6800</f>
        <v>33000</v>
      </c>
      <c r="F710" s="19">
        <v>28.5</v>
      </c>
      <c r="G710" s="195">
        <v>46007</v>
      </c>
      <c r="H710" s="9" t="str">
        <f>VLOOKUP(TablaCosechas[[#This Row],[COD]],DATOS!$E$3:$F$27,2,0)</f>
        <v>MERO</v>
      </c>
      <c r="I710" s="9" t="str">
        <f>RIGHT(TablaCosechas[[#This Row],[SECTOR/PISCINA]],2)</f>
        <v>10</v>
      </c>
      <c r="J710" s="9" t="str">
        <f>VLOOKUP(TablaCosechas[[#This Row],[COD]],Tabla7[#All],4,0)</f>
        <v>NESTOR MOGOLLON</v>
      </c>
      <c r="K710" s="179">
        <f>(TablaCosechas[[#This Row],[libras planta]]*454)/M710</f>
        <v>528651.45460893854</v>
      </c>
      <c r="L710" s="174">
        <f>26737.18+6612.11</f>
        <v>33349.29</v>
      </c>
      <c r="M710" s="19">
        <v>28.64</v>
      </c>
      <c r="N710" s="9" t="str">
        <f>UPPER(TEXT(TablaCosechas[[#This Row],[COSECHA]],"MMMM"))</f>
        <v>DICIEMBRE</v>
      </c>
      <c r="O710" s="9" t="str">
        <f>IF(A710="DO 29","BAP",IF(A710="RO 14","BAP",(VLOOKUP(TablaCosechas[[#This Row],[COD]],Tabla7[[CODIGO]:[CERTIFICACION]],3,0))))</f>
        <v>CONVENCIONAL</v>
      </c>
      <c r="P710" s="180">
        <f>+L710-E710</f>
        <v>349.29000000000087</v>
      </c>
      <c r="Q710" s="181">
        <f>+M710-F710</f>
        <v>0.14000000000000057</v>
      </c>
      <c r="R710" s="9"/>
    </row>
    <row r="711" spans="1:18" x14ac:dyDescent="0.25">
      <c r="A711" s="9" t="s">
        <v>310</v>
      </c>
      <c r="B711" s="9">
        <f>ROW() - ROW(TablaCosechas[[#Headers],[ID]]) - 4</f>
        <v>706</v>
      </c>
      <c r="C711" s="9" t="str">
        <f>LEFT(A711,2)</f>
        <v>GT</v>
      </c>
      <c r="D711" s="182" t="s">
        <v>366</v>
      </c>
      <c r="E711" s="178">
        <v>6300</v>
      </c>
      <c r="F711" s="19">
        <v>38</v>
      </c>
      <c r="G711" s="195">
        <v>46007</v>
      </c>
      <c r="H711" s="9" t="str">
        <f>VLOOKUP(TablaCosechas[[#This Row],[COD]],DATOS!$E$3:$F$27,2,0)</f>
        <v>GUATO</v>
      </c>
      <c r="I711" s="9" t="str">
        <f>RIGHT(TablaCosechas[[#This Row],[SECTOR/PISCINA]],2)</f>
        <v>13</v>
      </c>
      <c r="J711" s="9" t="str">
        <f>VLOOKUP(TablaCosechas[[#This Row],[COD]],Tabla7[#All],4,0)</f>
        <v>JULIO SANTOS</v>
      </c>
      <c r="K711" s="179">
        <f>(TablaCosechas[[#This Row],[libras planta]]*454)/M711</f>
        <v>85299.511615343043</v>
      </c>
      <c r="L711" s="174">
        <v>6955.48</v>
      </c>
      <c r="M711" s="19">
        <v>37.020000000000003</v>
      </c>
      <c r="N711" s="9" t="str">
        <f>UPPER(TEXT(TablaCosechas[[#This Row],[COSECHA]],"MMMM"))</f>
        <v>DICIEMBRE</v>
      </c>
      <c r="O711" s="9" t="str">
        <f>IF(A711="DO 29","BAP",IF(A711="RO 14","BAP",(VLOOKUP(TablaCosechas[[#This Row],[COD]],Tabla7[[CODIGO]:[CERTIFICACION]],3,0))))</f>
        <v>CONVENCIONAL</v>
      </c>
      <c r="P711" s="180">
        <f>+L711-E711</f>
        <v>655.47999999999956</v>
      </c>
      <c r="Q711" s="181">
        <f>+M711-F711</f>
        <v>-0.97999999999999687</v>
      </c>
      <c r="R711" s="9"/>
    </row>
    <row r="712" spans="1:18" x14ac:dyDescent="0.25">
      <c r="A712" s="9" t="s">
        <v>132</v>
      </c>
      <c r="B712" s="9">
        <f>ROW() - ROW(TablaCosechas[[#Headers],[ID]]) - 4</f>
        <v>707</v>
      </c>
      <c r="C712" s="9" t="str">
        <f>LEFT(A712,2)</f>
        <v>DO</v>
      </c>
      <c r="D712" s="182" t="s">
        <v>367</v>
      </c>
      <c r="E712" s="178">
        <v>12000</v>
      </c>
      <c r="F712" s="19">
        <v>25</v>
      </c>
      <c r="G712" s="195">
        <v>46007</v>
      </c>
      <c r="H712" s="9" t="str">
        <f>VLOOKUP(TablaCosechas[[#This Row],[COD]],DATOS!$E$3:$F$27,2,0)</f>
        <v>DORADO</v>
      </c>
      <c r="I712" s="9" t="str">
        <f>RIGHT(TablaCosechas[[#This Row],[SECTOR/PISCINA]],2)</f>
        <v>28</v>
      </c>
      <c r="J712" s="9" t="str">
        <f>VLOOKUP(TablaCosechas[[#This Row],[COD]],Tabla7[#All],4,0)</f>
        <v>JOSE CEDEÑO</v>
      </c>
      <c r="K712" s="179">
        <f>(TablaCosechas[[#This Row],[libras planta]]*454)/M712</f>
        <v>179278.96778615491</v>
      </c>
      <c r="L712" s="174">
        <v>11522.82</v>
      </c>
      <c r="M712" s="19">
        <v>29.18</v>
      </c>
      <c r="N712" s="9" t="str">
        <f>UPPER(TEXT(TablaCosechas[[#This Row],[COSECHA]],"MMMM"))</f>
        <v>DICIEMBRE</v>
      </c>
      <c r="O712" s="9" t="str">
        <f>IF(A712="DO 29","BAP",IF(A712="RO 14","BAP",(VLOOKUP(TablaCosechas[[#This Row],[COD]],Tabla7[[CODIGO]:[CERTIFICACION]],3,0))))</f>
        <v>ASC</v>
      </c>
      <c r="P712" s="180">
        <f>+L712-E712</f>
        <v>-477.18000000000029</v>
      </c>
      <c r="Q712" s="181">
        <f>+M712-F712</f>
        <v>4.18</v>
      </c>
      <c r="R712" s="9"/>
    </row>
    <row r="713" spans="1:18" x14ac:dyDescent="0.25">
      <c r="A713" s="9" t="s">
        <v>270</v>
      </c>
      <c r="B713" s="9">
        <f>ROW() - ROW(TablaCosechas[[#Headers],[ID]]) - 4</f>
        <v>708</v>
      </c>
      <c r="C713" s="9" t="str">
        <f>LEFT(A713,2)</f>
        <v>DO</v>
      </c>
      <c r="D713" s="182" t="s">
        <v>366</v>
      </c>
      <c r="E713" s="178">
        <v>21700</v>
      </c>
      <c r="F713" s="19">
        <v>37</v>
      </c>
      <c r="G713" s="195">
        <v>46007</v>
      </c>
      <c r="H713" s="9" t="str">
        <f>VLOOKUP(TablaCosechas[[#This Row],[COD]],DATOS!$E$3:$F$27,2,0)</f>
        <v>DORADO</v>
      </c>
      <c r="I713" s="9" t="str">
        <f>RIGHT(TablaCosechas[[#This Row],[SECTOR/PISCINA]],2)</f>
        <v>01</v>
      </c>
      <c r="J713" s="9" t="str">
        <f>VLOOKUP(TablaCosechas[[#This Row],[COD]],Tabla7[#All],4,0)</f>
        <v>JOSE CEDEÑO</v>
      </c>
      <c r="K713" s="179">
        <f>(TablaCosechas[[#This Row],[libras planta]]*454)/M713</f>
        <v>210181.61871037551</v>
      </c>
      <c r="L713" s="174">
        <v>17372.420000000002</v>
      </c>
      <c r="M713" s="19">
        <v>37.525063934673462</v>
      </c>
      <c r="N713" s="9" t="str">
        <f>UPPER(TEXT(TablaCosechas[[#This Row],[COSECHA]],"MMMM"))</f>
        <v>DICIEMBRE</v>
      </c>
      <c r="O713" s="9" t="str">
        <f>IF(A713="DO 29","BAP",IF(A713="RO 14","BAP",(VLOOKUP(TablaCosechas[[#This Row],[COD]],Tabla7[[CODIGO]:[CERTIFICACION]],3,0))))</f>
        <v>ASC</v>
      </c>
      <c r="P713" s="180">
        <f>+L713-E713</f>
        <v>-4327.5799999999981</v>
      </c>
      <c r="Q713" s="181">
        <f>+M713-F713</f>
        <v>0.52506393467346157</v>
      </c>
      <c r="R713" s="9"/>
    </row>
    <row r="714" spans="1:18" x14ac:dyDescent="0.25">
      <c r="A714" s="9" t="s">
        <v>9</v>
      </c>
      <c r="B714" s="9">
        <f>ROW() - ROW(TablaCosechas[[#Headers],[ID]]) - 4</f>
        <v>709</v>
      </c>
      <c r="C714" s="9" t="str">
        <f>LEFT(A714,2)</f>
        <v>CH</v>
      </c>
      <c r="D714" s="182" t="s">
        <v>366</v>
      </c>
      <c r="E714" s="178">
        <v>49150</v>
      </c>
      <c r="F714" s="19">
        <v>29</v>
      </c>
      <c r="G714" s="195">
        <v>46007</v>
      </c>
      <c r="H714" s="9" t="str">
        <f>VLOOKUP(TablaCosechas[[#This Row],[COD]],DATOS!$E$3:$F$27,2,0)</f>
        <v>CHERNA</v>
      </c>
      <c r="I714" s="9" t="str">
        <f>RIGHT(TablaCosechas[[#This Row],[SECTOR/PISCINA]],2)</f>
        <v>03</v>
      </c>
      <c r="J714" s="9" t="str">
        <f>VLOOKUP(TablaCosechas[[#This Row],[COD]],Tabla7[#All],4,0)</f>
        <v>SANTIAGO OBRIEN</v>
      </c>
      <c r="K714" s="179">
        <f>(TablaCosechas[[#This Row],[libras planta]]*454)/M714</f>
        <v>803005.4978479197</v>
      </c>
      <c r="L714" s="174">
        <v>49312.32</v>
      </c>
      <c r="M714" s="19">
        <v>27.88</v>
      </c>
      <c r="N714" s="9" t="str">
        <f>UPPER(TEXT(TablaCosechas[[#This Row],[COSECHA]],"MMMM"))</f>
        <v>DICIEMBRE</v>
      </c>
      <c r="O714" s="9" t="str">
        <f>IF(A714="DO 29","BAP",IF(A714="RO 14","BAP",(VLOOKUP(TablaCosechas[[#This Row],[COD]],Tabla7[[CODIGO]:[CERTIFICACION]],3,0))))</f>
        <v>ASC</v>
      </c>
      <c r="P714" s="180">
        <f>+L714-E714</f>
        <v>162.31999999999971</v>
      </c>
      <c r="Q714" s="181">
        <f>+M714-F714</f>
        <v>-1.120000000000001</v>
      </c>
      <c r="R714" s="9"/>
    </row>
    <row r="715" spans="1:18" x14ac:dyDescent="0.25">
      <c r="A715" s="9" t="s">
        <v>338</v>
      </c>
      <c r="B715" s="9">
        <f>ROW() - ROW(TablaCosechas[[#Headers],[ID]]) - 4</f>
        <v>710</v>
      </c>
      <c r="C715" s="9" t="str">
        <f>LEFT(A715,2)</f>
        <v>WA</v>
      </c>
      <c r="D715" s="182" t="s">
        <v>366</v>
      </c>
      <c r="E715" s="178">
        <v>16500</v>
      </c>
      <c r="F715" s="19">
        <v>23</v>
      </c>
      <c r="G715" s="195">
        <v>46008</v>
      </c>
      <c r="H715" s="9" t="str">
        <f>VLOOKUP(TablaCosechas[[#This Row],[COD]],DATOS!$E$3:$F$27,2,0)</f>
        <v>WAHOO</v>
      </c>
      <c r="I715" s="9" t="str">
        <f>RIGHT(TablaCosechas[[#This Row],[SECTOR/PISCINA]],2)</f>
        <v>07</v>
      </c>
      <c r="J715" s="9" t="str">
        <f>VLOOKUP(TablaCosechas[[#This Row],[COD]],Tabla7[#All],4,0)</f>
        <v>JUNIOR ESQUIVEL</v>
      </c>
      <c r="K715" s="179">
        <f>(TablaCosechas[[#This Row],[libras planta]]*454)/M715</f>
        <v>361289.98792062124</v>
      </c>
      <c r="L715" s="174">
        <v>18446.48</v>
      </c>
      <c r="M715" s="19">
        <v>23.18</v>
      </c>
      <c r="N715" s="9" t="str">
        <f>UPPER(TEXT(TablaCosechas[[#This Row],[COSECHA]],"MMMM"))</f>
        <v>DICIEMBRE</v>
      </c>
      <c r="O715" s="9" t="str">
        <f>IF(A715="DO 29","BAP",IF(A715="RO 14","BAP",(VLOOKUP(TablaCosechas[[#This Row],[COD]],Tabla7[[CODIGO]:[CERTIFICACION]],3,0))))</f>
        <v>CONVENCIONAL</v>
      </c>
      <c r="P715" s="180">
        <f>+L715-E715</f>
        <v>1946.4799999999996</v>
      </c>
      <c r="Q715" s="181">
        <f>+M715-F715</f>
        <v>0.17999999999999972</v>
      </c>
      <c r="R715" s="9"/>
    </row>
    <row r="716" spans="1:18" x14ac:dyDescent="0.25">
      <c r="A716" s="9" t="s">
        <v>160</v>
      </c>
      <c r="B716" s="9">
        <f>ROW() - ROW(TablaCosechas[[#Headers],[ID]]) - 4</f>
        <v>711</v>
      </c>
      <c r="C716" s="9" t="str">
        <f>LEFT(A716,2)</f>
        <v>TI</v>
      </c>
      <c r="D716" s="182" t="s">
        <v>367</v>
      </c>
      <c r="E716" s="178">
        <v>6800</v>
      </c>
      <c r="F716" s="19">
        <v>22</v>
      </c>
      <c r="G716" s="195">
        <v>46008</v>
      </c>
      <c r="H716" s="9" t="str">
        <f>VLOOKUP(TablaCosechas[[#This Row],[COD]],DATOS!$E$3:$F$27,2,0)</f>
        <v>TIBURON</v>
      </c>
      <c r="I716" s="9" t="str">
        <f>RIGHT(TablaCosechas[[#This Row],[SECTOR/PISCINA]],2)</f>
        <v>14</v>
      </c>
      <c r="J716" s="9" t="str">
        <f>VLOOKUP(TablaCosechas[[#This Row],[COD]],Tabla7[#All],4,0)</f>
        <v>ALFONSO GRUNAUER</v>
      </c>
      <c r="K716" s="179">
        <f>(TablaCosechas[[#This Row],[libras planta]]*454)/M716</f>
        <v>122019.08789386402</v>
      </c>
      <c r="L716" s="174">
        <v>6482.6</v>
      </c>
      <c r="M716" s="19">
        <v>24.12</v>
      </c>
      <c r="N716" s="9" t="str">
        <f>UPPER(TEXT(TablaCosechas[[#This Row],[COSECHA]],"MMMM"))</f>
        <v>DICIEMBRE</v>
      </c>
      <c r="O716" s="9" t="str">
        <f>IF(A716="DO 29","BAP",IF(A716="RO 14","BAP",(VLOOKUP(TablaCosechas[[#This Row],[COD]],Tabla7[[CODIGO]:[CERTIFICACION]],3,0))))</f>
        <v>ASC</v>
      </c>
      <c r="P716" s="180">
        <f>+L716-E716</f>
        <v>-317.39999999999964</v>
      </c>
      <c r="Q716" s="181">
        <f>+M716-F716</f>
        <v>2.120000000000001</v>
      </c>
      <c r="R716" s="9"/>
    </row>
    <row r="717" spans="1:18" x14ac:dyDescent="0.25">
      <c r="A717" s="9" t="s">
        <v>156</v>
      </c>
      <c r="B717" s="9">
        <f>ROW() - ROW(TablaCosechas[[#Headers],[ID]]) - 4</f>
        <v>712</v>
      </c>
      <c r="C717" s="9" t="str">
        <f>LEFT(A717,2)</f>
        <v>TI</v>
      </c>
      <c r="D717" s="182" t="s">
        <v>367</v>
      </c>
      <c r="E717" s="178">
        <v>9950</v>
      </c>
      <c r="F717" s="19">
        <v>22.5</v>
      </c>
      <c r="G717" s="195">
        <v>46008</v>
      </c>
      <c r="H717" s="9" t="str">
        <f>VLOOKUP(TablaCosechas[[#This Row],[COD]],DATOS!$E$3:$F$27,2,0)</f>
        <v>TIBURON</v>
      </c>
      <c r="I717" s="9" t="str">
        <f>RIGHT(TablaCosechas[[#This Row],[SECTOR/PISCINA]],2)</f>
        <v>11</v>
      </c>
      <c r="J717" s="9" t="str">
        <f>VLOOKUP(TablaCosechas[[#This Row],[COD]],Tabla7[#All],4,0)</f>
        <v>ALFONSO GRUNAUER</v>
      </c>
      <c r="K717" s="179">
        <f>(TablaCosechas[[#This Row],[libras planta]]*454)/M717</f>
        <v>192204.67710049421</v>
      </c>
      <c r="L717" s="174">
        <v>10279.14</v>
      </c>
      <c r="M717" s="19">
        <v>24.28</v>
      </c>
      <c r="N717" s="9" t="str">
        <f>UPPER(TEXT(TablaCosechas[[#This Row],[COSECHA]],"MMMM"))</f>
        <v>DICIEMBRE</v>
      </c>
      <c r="O717" s="9" t="str">
        <f>IF(A717="DO 29","BAP",IF(A717="RO 14","BAP",(VLOOKUP(TablaCosechas[[#This Row],[COD]],Tabla7[[CODIGO]:[CERTIFICACION]],3,0))))</f>
        <v>ASC</v>
      </c>
      <c r="P717" s="180">
        <f>+L717-E717</f>
        <v>329.13999999999942</v>
      </c>
      <c r="Q717" s="181">
        <f>+M717-F717</f>
        <v>1.7800000000000011</v>
      </c>
      <c r="R717" s="9"/>
    </row>
    <row r="718" spans="1:18" x14ac:dyDescent="0.25">
      <c r="A718" s="9" t="s">
        <v>315</v>
      </c>
      <c r="B718" s="9">
        <f>ROW() - ROW(TablaCosechas[[#Headers],[ID]]) - 4</f>
        <v>713</v>
      </c>
      <c r="C718" s="9" t="str">
        <f>LEFT(A718,2)</f>
        <v>TI</v>
      </c>
      <c r="D718" s="182" t="s">
        <v>366</v>
      </c>
      <c r="E718" s="178">
        <v>67250</v>
      </c>
      <c r="F718" s="19">
        <v>34</v>
      </c>
      <c r="G718" s="195">
        <v>46008</v>
      </c>
      <c r="H718" s="9" t="str">
        <f>VLOOKUP(TablaCosechas[[#This Row],[COD]],DATOS!$E$3:$F$27,2,0)</f>
        <v>TIBURON</v>
      </c>
      <c r="I718" s="9" t="str">
        <f>RIGHT(TablaCosechas[[#This Row],[SECTOR/PISCINA]],2)</f>
        <v>05</v>
      </c>
      <c r="J718" s="9" t="str">
        <f>VLOOKUP(TablaCosechas[[#This Row],[COD]],Tabla7[#All],4,0)</f>
        <v>ALFONSO GRUNAUER</v>
      </c>
      <c r="K718" s="179">
        <f>(TablaCosechas[[#This Row],[libras planta]]*454)/M718</f>
        <v>914894.71770334931</v>
      </c>
      <c r="L718" s="174">
        <v>67387.839999999997</v>
      </c>
      <c r="M718" s="19">
        <v>33.44</v>
      </c>
      <c r="N718" s="9" t="str">
        <f>UPPER(TEXT(TablaCosechas[[#This Row],[COSECHA]],"MMMM"))</f>
        <v>DICIEMBRE</v>
      </c>
      <c r="O718" s="9" t="str">
        <f>IF(A718="DO 29","BAP",IF(A718="RO 14","BAP",(VLOOKUP(TablaCosechas[[#This Row],[COD]],Tabla7[[CODIGO]:[CERTIFICACION]],3,0))))</f>
        <v>ASC</v>
      </c>
      <c r="P718" s="180">
        <f>+L718-E718</f>
        <v>137.83999999999651</v>
      </c>
      <c r="Q718" s="181">
        <f>+M718-F718</f>
        <v>-0.56000000000000227</v>
      </c>
      <c r="R718" s="9"/>
    </row>
    <row r="719" spans="1:18" x14ac:dyDescent="0.25">
      <c r="A719" s="9" t="s">
        <v>285</v>
      </c>
      <c r="B719" s="9">
        <f>ROW() - ROW(TablaCosechas[[#Headers],[ID]]) - 4</f>
        <v>714</v>
      </c>
      <c r="C719" s="9" t="str">
        <f>LEFT(A719,2)</f>
        <v>RO</v>
      </c>
      <c r="D719" s="182" t="s">
        <v>366</v>
      </c>
      <c r="E719" s="178">
        <v>29700</v>
      </c>
      <c r="F719" s="19">
        <v>34</v>
      </c>
      <c r="G719" s="195">
        <v>46008</v>
      </c>
      <c r="H719" s="9" t="str">
        <f>VLOOKUP(TablaCosechas[[#This Row],[COD]],DATOS!$E$3:$F$27,2,0)</f>
        <v>ROBALO</v>
      </c>
      <c r="I719" s="9" t="str">
        <f>RIGHT(TablaCosechas[[#This Row],[SECTOR/PISCINA]],2)</f>
        <v>05</v>
      </c>
      <c r="J719" s="9" t="str">
        <f>VLOOKUP(TablaCosechas[[#This Row],[COD]],Tabla7[#All],4,0)</f>
        <v>VICTOR QUINTANA</v>
      </c>
      <c r="K719" s="179">
        <f>(TablaCosechas[[#This Row],[libras planta]]*454)/M719</f>
        <v>345609.39113244845</v>
      </c>
      <c r="L719" s="174">
        <v>26956.01</v>
      </c>
      <c r="M719" s="19">
        <v>35.409999999999997</v>
      </c>
      <c r="N719" s="9" t="str">
        <f>UPPER(TEXT(TablaCosechas[[#This Row],[COSECHA]],"MMMM"))</f>
        <v>DICIEMBRE</v>
      </c>
      <c r="O719" s="9" t="str">
        <f>IF(A719="DO 29","BAP",IF(A719="RO 14","BAP",(VLOOKUP(TablaCosechas[[#This Row],[COD]],Tabla7[[CODIGO]:[CERTIFICACION]],3,0))))</f>
        <v>ASC</v>
      </c>
      <c r="P719" s="180">
        <f>+L719-E719</f>
        <v>-2743.9900000000016</v>
      </c>
      <c r="Q719" s="181">
        <f>+M719-F719</f>
        <v>1.4099999999999966</v>
      </c>
      <c r="R719" s="9"/>
    </row>
    <row r="720" spans="1:18" x14ac:dyDescent="0.25">
      <c r="A720" s="9" t="s">
        <v>288</v>
      </c>
      <c r="B720" s="9">
        <f>ROW() - ROW(TablaCosechas[[#Headers],[ID]]) - 4</f>
        <v>715</v>
      </c>
      <c r="C720" s="9" t="str">
        <f>LEFT(A720,2)</f>
        <v>PR</v>
      </c>
      <c r="D720" s="182" t="s">
        <v>366</v>
      </c>
      <c r="E720" s="178">
        <v>36400</v>
      </c>
      <c r="F720" s="19">
        <v>25</v>
      </c>
      <c r="G720" s="195">
        <v>46008</v>
      </c>
      <c r="H720" s="9" t="str">
        <f>VLOOKUP(TablaCosechas[[#This Row],[COD]],DATOS!$E$3:$F$27,2,0)</f>
        <v>PARGO ROJO</v>
      </c>
      <c r="I720" s="9" t="str">
        <f>RIGHT(TablaCosechas[[#This Row],[SECTOR/PISCINA]],2)</f>
        <v>10</v>
      </c>
      <c r="J720" s="9" t="str">
        <f>VLOOKUP(TablaCosechas[[#This Row],[COD]],Tabla7[#All],4,0)</f>
        <v>WILMER TORRES</v>
      </c>
      <c r="K720" s="179">
        <f>(TablaCosechas[[#This Row],[libras planta]]*454)/M720</f>
        <v>744215.60411899316</v>
      </c>
      <c r="L720" s="174">
        <v>42980.91</v>
      </c>
      <c r="M720" s="19">
        <v>26.22</v>
      </c>
      <c r="N720" s="9" t="str">
        <f>UPPER(TEXT(TablaCosechas[[#This Row],[COSECHA]],"MMMM"))</f>
        <v>DICIEMBRE</v>
      </c>
      <c r="O720" s="9" t="str">
        <f>IF(A720="DO 29","BAP",IF(A720="RO 14","BAP",(VLOOKUP(TablaCosechas[[#This Row],[COD]],Tabla7[[CODIGO]:[CERTIFICACION]],3,0))))</f>
        <v>CONVENCIONAL</v>
      </c>
      <c r="P720" s="180">
        <f>+L720-E720</f>
        <v>6580.9100000000035</v>
      </c>
      <c r="Q720" s="181">
        <f>+M720-F720</f>
        <v>1.2199999999999989</v>
      </c>
      <c r="R720" s="9"/>
    </row>
    <row r="721" spans="1:18" x14ac:dyDescent="0.25">
      <c r="A721" s="9" t="s">
        <v>306</v>
      </c>
      <c r="B721" s="9">
        <f>ROW() - ROW(TablaCosechas[[#Headers],[ID]]) - 4</f>
        <v>716</v>
      </c>
      <c r="C721" s="9" t="str">
        <f>LEFT(A721,2)</f>
        <v>PA</v>
      </c>
      <c r="D721" s="182" t="s">
        <v>366</v>
      </c>
      <c r="E721" s="178">
        <v>39700</v>
      </c>
      <c r="F721" s="19">
        <v>30</v>
      </c>
      <c r="G721" s="195">
        <v>46008</v>
      </c>
      <c r="H721" s="9" t="str">
        <f>VLOOKUP(TablaCosechas[[#This Row],[COD]],DATOS!$E$3:$F$27,2,0)</f>
        <v>PAMPANO</v>
      </c>
      <c r="I721" s="9" t="str">
        <f>RIGHT(TablaCosechas[[#This Row],[SECTOR/PISCINA]],2)</f>
        <v>17</v>
      </c>
      <c r="J721" s="9" t="str">
        <f>VLOOKUP(TablaCosechas[[#This Row],[COD]],Tabla7[#All],4,0)</f>
        <v>GUSTAVO CARRASCO</v>
      </c>
      <c r="K721" s="179">
        <f>(TablaCosechas[[#This Row],[libras planta]]*454)/M721</f>
        <v>532721.31572327041</v>
      </c>
      <c r="L721" s="174">
        <v>37313.96</v>
      </c>
      <c r="M721" s="19">
        <v>31.8</v>
      </c>
      <c r="N721" s="9" t="str">
        <f>UPPER(TEXT(TablaCosechas[[#This Row],[COSECHA]],"MMMM"))</f>
        <v>DICIEMBRE</v>
      </c>
      <c r="O721" s="9" t="str">
        <f>IF(A721="DO 29","BAP",IF(A721="RO 14","BAP",(VLOOKUP(TablaCosechas[[#This Row],[COD]],Tabla7[[CODIGO]:[CERTIFICACION]],3,0))))</f>
        <v>ASC</v>
      </c>
      <c r="P721" s="180">
        <f>+L721-E721</f>
        <v>-2386.0400000000009</v>
      </c>
      <c r="Q721" s="181">
        <f>+M721-F721</f>
        <v>1.8000000000000007</v>
      </c>
      <c r="R721" s="9"/>
    </row>
    <row r="722" spans="1:18" x14ac:dyDescent="0.25">
      <c r="A722" s="9" t="s">
        <v>120</v>
      </c>
      <c r="B722" s="9">
        <f>ROW() - ROW(TablaCosechas[[#Headers],[ID]]) - 4</f>
        <v>717</v>
      </c>
      <c r="C722" s="9" t="str">
        <f>LEFT(A722,2)</f>
        <v>ME</v>
      </c>
      <c r="D722" s="182" t="s">
        <v>367</v>
      </c>
      <c r="E722" s="178">
        <v>3500</v>
      </c>
      <c r="F722" s="19">
        <v>28</v>
      </c>
      <c r="G722" s="195">
        <v>46008</v>
      </c>
      <c r="H722" s="9" t="str">
        <f>VLOOKUP(TablaCosechas[[#This Row],[COD]],DATOS!$E$3:$F$27,2,0)</f>
        <v>MERO</v>
      </c>
      <c r="I722" s="9" t="str">
        <f>RIGHT(TablaCosechas[[#This Row],[SECTOR/PISCINA]],2)</f>
        <v>19</v>
      </c>
      <c r="J722" s="9" t="str">
        <f>VLOOKUP(TablaCosechas[[#This Row],[COD]],Tabla7[#All],4,0)</f>
        <v>NESTOR MOGOLLON</v>
      </c>
      <c r="K722" s="179">
        <f>(TablaCosechas[[#This Row],[libras planta]]*454)/M722</f>
        <v>53934.183135704872</v>
      </c>
      <c r="L722" s="174">
        <v>3606.7</v>
      </c>
      <c r="M722" s="19">
        <v>30.36</v>
      </c>
      <c r="N722" s="9" t="str">
        <f>UPPER(TEXT(TablaCosechas[[#This Row],[COSECHA]],"MMMM"))</f>
        <v>DICIEMBRE</v>
      </c>
      <c r="O722" s="9" t="str">
        <f>IF(A722="DO 29","BAP",IF(A722="RO 14","BAP",(VLOOKUP(TablaCosechas[[#This Row],[COD]],Tabla7[[CODIGO]:[CERTIFICACION]],3,0))))</f>
        <v>CONVENCIONAL</v>
      </c>
      <c r="P722" s="180">
        <f>+L722-E722</f>
        <v>106.69999999999982</v>
      </c>
      <c r="Q722" s="181">
        <f>+M722-F722</f>
        <v>2.3599999999999994</v>
      </c>
      <c r="R722" s="9"/>
    </row>
    <row r="723" spans="1:18" x14ac:dyDescent="0.25">
      <c r="A723" s="9" t="s">
        <v>119</v>
      </c>
      <c r="B723" s="9">
        <f>ROW() - ROW(TablaCosechas[[#Headers],[ID]]) - 4</f>
        <v>718</v>
      </c>
      <c r="C723" s="9" t="str">
        <f>LEFT(A723,2)</f>
        <v>ME</v>
      </c>
      <c r="D723" s="182" t="s">
        <v>367</v>
      </c>
      <c r="E723" s="178">
        <v>2000</v>
      </c>
      <c r="F723" s="19">
        <v>27</v>
      </c>
      <c r="G723" s="195">
        <v>46008</v>
      </c>
      <c r="H723" s="9" t="str">
        <f>VLOOKUP(TablaCosechas[[#This Row],[COD]],DATOS!$E$3:$F$27,2,0)</f>
        <v>MERO</v>
      </c>
      <c r="I723" s="9" t="str">
        <f>RIGHT(TablaCosechas[[#This Row],[SECTOR/PISCINA]],2)</f>
        <v>13</v>
      </c>
      <c r="J723" s="9" t="str">
        <f>VLOOKUP(TablaCosechas[[#This Row],[COD]],Tabla7[#All],4,0)</f>
        <v>NESTOR MOGOLLON</v>
      </c>
      <c r="K723" s="179">
        <f>(TablaCosechas[[#This Row],[libras planta]]*454)/M723</f>
        <v>33706.711705202317</v>
      </c>
      <c r="L723" s="174">
        <v>2055.0700000000002</v>
      </c>
      <c r="M723" s="19">
        <v>27.68</v>
      </c>
      <c r="N723" s="9" t="str">
        <f>UPPER(TEXT(TablaCosechas[[#This Row],[COSECHA]],"MMMM"))</f>
        <v>DICIEMBRE</v>
      </c>
      <c r="O723" s="9" t="str">
        <f>IF(A723="DO 29","BAP",IF(A723="RO 14","BAP",(VLOOKUP(TablaCosechas[[#This Row],[COD]],Tabla7[[CODIGO]:[CERTIFICACION]],3,0))))</f>
        <v>CONVENCIONAL</v>
      </c>
      <c r="P723" s="180">
        <f>+L723-E723</f>
        <v>55.070000000000164</v>
      </c>
      <c r="Q723" s="181">
        <f>+M723-F723</f>
        <v>0.67999999999999972</v>
      </c>
      <c r="R723" s="9"/>
    </row>
    <row r="724" spans="1:18" x14ac:dyDescent="0.25">
      <c r="A724" s="9" t="s">
        <v>327</v>
      </c>
      <c r="B724" s="9">
        <f>ROW() - ROW(TablaCosechas[[#Headers],[ID]]) - 4</f>
        <v>719</v>
      </c>
      <c r="C724" s="9" t="str">
        <f>LEFT(A724,2)</f>
        <v>GT</v>
      </c>
      <c r="D724" s="182" t="s">
        <v>367</v>
      </c>
      <c r="E724" s="178">
        <v>4000</v>
      </c>
      <c r="F724" s="19">
        <v>26</v>
      </c>
      <c r="G724" s="195">
        <v>46008</v>
      </c>
      <c r="H724" s="9" t="str">
        <f>VLOOKUP(TablaCosechas[[#This Row],[COD]],DATOS!$E$3:$F$27,2,0)</f>
        <v>GUATO</v>
      </c>
      <c r="I724" s="9" t="str">
        <f>RIGHT(TablaCosechas[[#This Row],[SECTOR/PISCINA]],2)</f>
        <v>08</v>
      </c>
      <c r="J724" s="9" t="str">
        <f>VLOOKUP(TablaCosechas[[#This Row],[COD]],Tabla7[#All],4,0)</f>
        <v>JULIO SANTOS</v>
      </c>
      <c r="K724" s="179">
        <f>(TablaCosechas[[#This Row],[libras planta]]*454)/M724</f>
        <v>72234.607786589768</v>
      </c>
      <c r="L724" s="174">
        <v>4413.63</v>
      </c>
      <c r="M724" s="19">
        <v>27.74</v>
      </c>
      <c r="N724" s="9" t="str">
        <f>UPPER(TEXT(TablaCosechas[[#This Row],[COSECHA]],"MMMM"))</f>
        <v>DICIEMBRE</v>
      </c>
      <c r="O724" s="9" t="str">
        <f>IF(A724="DO 29","BAP",IF(A724="RO 14","BAP",(VLOOKUP(TablaCosechas[[#This Row],[COD]],Tabla7[[CODIGO]:[CERTIFICACION]],3,0))))</f>
        <v>CONVENCIONAL</v>
      </c>
      <c r="P724" s="180">
        <f>+L724-E724</f>
        <v>413.63000000000011</v>
      </c>
      <c r="Q724" s="181">
        <f>+M724-F724</f>
        <v>1.7399999999999984</v>
      </c>
      <c r="R724" s="9"/>
    </row>
    <row r="725" spans="1:18" x14ac:dyDescent="0.25">
      <c r="A725" s="9" t="s">
        <v>13</v>
      </c>
      <c r="B725" s="9">
        <f>ROW() - ROW(TablaCosechas[[#Headers],[ID]]) - 4</f>
        <v>720</v>
      </c>
      <c r="C725" s="9" t="str">
        <f>LEFT(A725,2)</f>
        <v>CH</v>
      </c>
      <c r="D725" s="182" t="s">
        <v>366</v>
      </c>
      <c r="E725" s="178">
        <v>27700</v>
      </c>
      <c r="F725" s="19">
        <v>34</v>
      </c>
      <c r="G725" s="195">
        <v>46008</v>
      </c>
      <c r="H725" s="9" t="str">
        <f>VLOOKUP(TablaCosechas[[#This Row],[COD]],DATOS!$E$3:$F$27,2,0)</f>
        <v>CHERNA</v>
      </c>
      <c r="I725" s="9" t="str">
        <f>RIGHT(TablaCosechas[[#This Row],[SECTOR/PISCINA]],2)</f>
        <v>07</v>
      </c>
      <c r="J725" s="9" t="str">
        <f>VLOOKUP(TablaCosechas[[#This Row],[COD]],Tabla7[#All],4,0)</f>
        <v>SANTIAGO OBRIEN</v>
      </c>
      <c r="K725" s="179">
        <f>(TablaCosechas[[#This Row],[libras planta]]*454)/M725</f>
        <v>384914.839605182</v>
      </c>
      <c r="L725" s="174">
        <v>27486.65</v>
      </c>
      <c r="M725" s="19">
        <v>32.42</v>
      </c>
      <c r="N725" s="9" t="str">
        <f>UPPER(TEXT(TablaCosechas[[#This Row],[COSECHA]],"MMMM"))</f>
        <v>DICIEMBRE</v>
      </c>
      <c r="O725" s="9" t="str">
        <f>IF(A725="DO 29","BAP",IF(A725="RO 14","BAP",(VLOOKUP(TablaCosechas[[#This Row],[COD]],Tabla7[[CODIGO]:[CERTIFICACION]],3,0))))</f>
        <v>ASC</v>
      </c>
      <c r="P725" s="180">
        <f>+L725-E725</f>
        <v>-213.34999999999854</v>
      </c>
      <c r="Q725" s="181">
        <f>+M725-F725</f>
        <v>-1.5799999999999983</v>
      </c>
      <c r="R725" s="9"/>
    </row>
    <row r="726" spans="1:18" x14ac:dyDescent="0.25">
      <c r="A726" s="9" t="s">
        <v>343</v>
      </c>
      <c r="B726" s="9">
        <f>ROW() - ROW(TablaCosechas[[#Headers],[ID]]) - 4</f>
        <v>721</v>
      </c>
      <c r="C726" s="9" t="str">
        <f>LEFT(A726,2)</f>
        <v>WA</v>
      </c>
      <c r="D726" s="182" t="s">
        <v>366</v>
      </c>
      <c r="E726" s="178">
        <f>15600+2200</f>
        <v>17800</v>
      </c>
      <c r="F726" s="19">
        <v>21</v>
      </c>
      <c r="G726" s="195">
        <v>46009</v>
      </c>
      <c r="H726" s="9" t="str">
        <f>VLOOKUP(TablaCosechas[[#This Row],[COD]],DATOS!$E$3:$F$27,2,0)</f>
        <v>WAHOO</v>
      </c>
      <c r="I726" s="9" t="str">
        <f>RIGHT(TablaCosechas[[#This Row],[SECTOR/PISCINA]],2)</f>
        <v>08</v>
      </c>
      <c r="J726" s="9" t="str">
        <f>VLOOKUP(TablaCosechas[[#This Row],[COD]],Tabla7[#All],4,0)</f>
        <v>JUNIOR ESQUIVEL</v>
      </c>
      <c r="K726" s="179">
        <f>(TablaCosechas[[#This Row],[libras planta]]*454)/M726</f>
        <v>424457.46579804562</v>
      </c>
      <c r="L726" s="174">
        <f>17577.81+2513.8</f>
        <v>20091.61</v>
      </c>
      <c r="M726" s="19">
        <v>21.49</v>
      </c>
      <c r="N726" s="9" t="str">
        <f>UPPER(TEXT(TablaCosechas[[#This Row],[COSECHA]],"MMMM"))</f>
        <v>DICIEMBRE</v>
      </c>
      <c r="O726" s="9" t="str">
        <f>IF(A726="DO 29","BAP",IF(A726="RO 14","BAP",(VLOOKUP(TablaCosechas[[#This Row],[COD]],Tabla7[[CODIGO]:[CERTIFICACION]],3,0))))</f>
        <v>CONVENCIONAL</v>
      </c>
      <c r="P726" s="180">
        <f>+L726-E726</f>
        <v>2291.6100000000006</v>
      </c>
      <c r="Q726" s="181">
        <f>+M726-F726</f>
        <v>0.48999999999999844</v>
      </c>
      <c r="R726" s="9"/>
    </row>
    <row r="727" spans="1:18" x14ac:dyDescent="0.25">
      <c r="A727" s="9" t="s">
        <v>303</v>
      </c>
      <c r="B727" s="9">
        <f>ROW() - ROW(TablaCosechas[[#Headers],[ID]]) - 4</f>
        <v>722</v>
      </c>
      <c r="C727" s="9" t="str">
        <f>LEFT(A727,2)</f>
        <v>TI</v>
      </c>
      <c r="D727" s="182" t="s">
        <v>366</v>
      </c>
      <c r="E727" s="178">
        <v>50400</v>
      </c>
      <c r="F727" s="19">
        <v>36</v>
      </c>
      <c r="G727" s="195">
        <v>46009</v>
      </c>
      <c r="H727" s="9" t="str">
        <f>VLOOKUP(TablaCosechas[[#This Row],[COD]],DATOS!$E$3:$F$27,2,0)</f>
        <v>TIBURON</v>
      </c>
      <c r="I727" s="9" t="str">
        <f>RIGHT(TablaCosechas[[#This Row],[SECTOR/PISCINA]],2)</f>
        <v>16</v>
      </c>
      <c r="J727" s="9" t="str">
        <f>VLOOKUP(TablaCosechas[[#This Row],[COD]],Tabla7[#All],4,0)</f>
        <v>ALFONSO GRUNAUER</v>
      </c>
      <c r="K727" s="179">
        <f>(TablaCosechas[[#This Row],[libras planta]]*454)/M727</f>
        <v>630766.87917017099</v>
      </c>
      <c r="L727" s="174">
        <v>49558.27</v>
      </c>
      <c r="M727" s="19">
        <v>35.67</v>
      </c>
      <c r="N727" s="9" t="str">
        <f>UPPER(TEXT(TablaCosechas[[#This Row],[COSECHA]],"MMMM"))</f>
        <v>DICIEMBRE</v>
      </c>
      <c r="O727" s="9" t="str">
        <f>IF(A727="DO 29","BAP",IF(A727="RO 14","BAP",(VLOOKUP(TablaCosechas[[#This Row],[COD]],Tabla7[[CODIGO]:[CERTIFICACION]],3,0))))</f>
        <v>ASC</v>
      </c>
      <c r="P727" s="180">
        <f>+L727-E727</f>
        <v>-841.7300000000032</v>
      </c>
      <c r="Q727" s="181">
        <f>+M727-F727</f>
        <v>-0.32999999999999829</v>
      </c>
      <c r="R727" s="9"/>
    </row>
    <row r="728" spans="1:18" x14ac:dyDescent="0.25">
      <c r="A728" s="9" t="s">
        <v>285</v>
      </c>
      <c r="B728" s="9">
        <f>ROW() - ROW(TablaCosechas[[#Headers],[ID]]) - 4</f>
        <v>723</v>
      </c>
      <c r="C728" s="9" t="str">
        <f>LEFT(A728,2)</f>
        <v>RO</v>
      </c>
      <c r="D728" s="182" t="s">
        <v>366</v>
      </c>
      <c r="E728" s="178">
        <v>30200</v>
      </c>
      <c r="F728" s="19">
        <v>34</v>
      </c>
      <c r="G728" s="195">
        <v>46009</v>
      </c>
      <c r="H728" s="9" t="str">
        <f>VLOOKUP(TablaCosechas[[#This Row],[COD]],DATOS!$E$3:$F$27,2,0)</f>
        <v>ROBALO</v>
      </c>
      <c r="I728" s="9" t="str">
        <f>RIGHT(TablaCosechas[[#This Row],[SECTOR/PISCINA]],2)</f>
        <v>05</v>
      </c>
      <c r="J728" s="9" t="str">
        <f>VLOOKUP(TablaCosechas[[#This Row],[COD]],Tabla7[#All],4,0)</f>
        <v>VICTOR QUINTANA</v>
      </c>
      <c r="K728" s="179">
        <f>(TablaCosechas[[#This Row],[libras planta]]*454)/M728</f>
        <v>333112.27506354143</v>
      </c>
      <c r="L728" s="174">
        <v>25981.29</v>
      </c>
      <c r="M728" s="19">
        <v>35.409999999999997</v>
      </c>
      <c r="N728" s="9" t="str">
        <f>UPPER(TEXT(TablaCosechas[[#This Row],[COSECHA]],"MMMM"))</f>
        <v>DICIEMBRE</v>
      </c>
      <c r="O728" s="9" t="str">
        <f>IF(A728="DO 29","BAP",IF(A728="RO 14","BAP",(VLOOKUP(TablaCosechas[[#This Row],[COD]],Tabla7[[CODIGO]:[CERTIFICACION]],3,0))))</f>
        <v>ASC</v>
      </c>
      <c r="P728" s="180">
        <f>+L728-E728</f>
        <v>-4218.7099999999991</v>
      </c>
      <c r="Q728" s="181">
        <f>+M728-F728</f>
        <v>1.4099999999999966</v>
      </c>
      <c r="R728" s="9"/>
    </row>
    <row r="729" spans="1:18" x14ac:dyDescent="0.25">
      <c r="A729" s="9" t="s">
        <v>325</v>
      </c>
      <c r="B729" s="9">
        <f>ROW() - ROW(TablaCosechas[[#Headers],[ID]]) - 4</f>
        <v>724</v>
      </c>
      <c r="C729" s="9" t="str">
        <f>LEFT(A729,2)</f>
        <v>PA</v>
      </c>
      <c r="D729" s="182" t="s">
        <v>366</v>
      </c>
      <c r="E729" s="178">
        <v>30300</v>
      </c>
      <c r="F729" s="19">
        <v>34</v>
      </c>
      <c r="G729" s="195">
        <v>46009</v>
      </c>
      <c r="H729" s="9" t="str">
        <f>VLOOKUP(TablaCosechas[[#This Row],[COD]],DATOS!$E$3:$F$27,2,0)</f>
        <v>PAMPANO</v>
      </c>
      <c r="I729" s="9" t="str">
        <f>RIGHT(TablaCosechas[[#This Row],[SECTOR/PISCINA]],2)</f>
        <v>15</v>
      </c>
      <c r="J729" s="9" t="str">
        <f>VLOOKUP(TablaCosechas[[#This Row],[COD]],Tabla7[#All],4,0)</f>
        <v>GUSTAVO CARRASCO</v>
      </c>
      <c r="K729" s="179">
        <f>(TablaCosechas[[#This Row],[libras planta]]*454)/M729</f>
        <v>370739.61929671612</v>
      </c>
      <c r="L729" s="174">
        <v>28099.45</v>
      </c>
      <c r="M729" s="19">
        <v>34.409999999999997</v>
      </c>
      <c r="N729" s="9" t="str">
        <f>UPPER(TEXT(TablaCosechas[[#This Row],[COSECHA]],"MMMM"))</f>
        <v>DICIEMBRE</v>
      </c>
      <c r="O729" s="9" t="str">
        <f>IF(A729="DO 29","BAP",IF(A729="RO 14","BAP",(VLOOKUP(TablaCosechas[[#This Row],[COD]],Tabla7[[CODIGO]:[CERTIFICACION]],3,0))))</f>
        <v>ASC</v>
      </c>
      <c r="P729" s="180">
        <f>+L729-E729</f>
        <v>-2200.5499999999993</v>
      </c>
      <c r="Q729" s="181">
        <f>+M729-F729</f>
        <v>0.40999999999999659</v>
      </c>
      <c r="R729" s="9"/>
    </row>
    <row r="730" spans="1:18" x14ac:dyDescent="0.25">
      <c r="A730" s="9" t="s">
        <v>292</v>
      </c>
      <c r="B730" s="9">
        <f>ROW() - ROW(TablaCosechas[[#Headers],[ID]]) - 4</f>
        <v>725</v>
      </c>
      <c r="C730" s="9" t="str">
        <f>LEFT(A730,2)</f>
        <v>ME</v>
      </c>
      <c r="D730" s="182" t="s">
        <v>367</v>
      </c>
      <c r="E730" s="178">
        <v>5100</v>
      </c>
      <c r="F730" s="19">
        <v>30</v>
      </c>
      <c r="G730" s="195">
        <v>46009</v>
      </c>
      <c r="H730" s="9" t="str">
        <f>VLOOKUP(TablaCosechas[[#This Row],[COD]],DATOS!$E$3:$F$27,2,0)</f>
        <v>MERO</v>
      </c>
      <c r="I730" s="9" t="str">
        <f>RIGHT(TablaCosechas[[#This Row],[SECTOR/PISCINA]],2)</f>
        <v>07</v>
      </c>
      <c r="J730" s="9" t="str">
        <f>VLOOKUP(TablaCosechas[[#This Row],[COD]],Tabla7[#All],4,0)</f>
        <v>NESTOR MOGOLLON</v>
      </c>
      <c r="K730" s="179">
        <f>(TablaCosechas[[#This Row],[libras planta]]*454)/M730</f>
        <v>84580.455954897814</v>
      </c>
      <c r="L730" s="174">
        <v>5287.21</v>
      </c>
      <c r="M730" s="19">
        <v>28.38</v>
      </c>
      <c r="N730" s="9" t="str">
        <f>UPPER(TEXT(TablaCosechas[[#This Row],[COSECHA]],"MMMM"))</f>
        <v>DICIEMBRE</v>
      </c>
      <c r="O730" s="9" t="str">
        <f>IF(A730="DO 29","BAP",IF(A730="RO 14","BAP",(VLOOKUP(TablaCosechas[[#This Row],[COD]],Tabla7[[CODIGO]:[CERTIFICACION]],3,0))))</f>
        <v>CONVENCIONAL</v>
      </c>
      <c r="P730" s="180">
        <f>+L730-E730</f>
        <v>187.21000000000004</v>
      </c>
      <c r="Q730" s="181">
        <f>+M730-F730</f>
        <v>-1.620000000000001</v>
      </c>
      <c r="R730" s="9"/>
    </row>
    <row r="731" spans="1:18" x14ac:dyDescent="0.25">
      <c r="A731" s="9" t="s">
        <v>329</v>
      </c>
      <c r="B731" s="9">
        <f>ROW() - ROW(TablaCosechas[[#Headers],[ID]]) - 4</f>
        <v>726</v>
      </c>
      <c r="C731" s="9" t="str">
        <f>LEFT(A731,2)</f>
        <v>GT</v>
      </c>
      <c r="D731" s="182" t="s">
        <v>366</v>
      </c>
      <c r="E731" s="178">
        <v>13300</v>
      </c>
      <c r="F731" s="19">
        <v>29</v>
      </c>
      <c r="G731" s="195">
        <v>46009</v>
      </c>
      <c r="H731" s="9" t="str">
        <f>VLOOKUP(TablaCosechas[[#This Row],[COD]],DATOS!$E$3:$F$27,2,0)</f>
        <v>GUATO</v>
      </c>
      <c r="I731" s="9" t="str">
        <f>RIGHT(TablaCosechas[[#This Row],[SECTOR/PISCINA]],2)</f>
        <v>09</v>
      </c>
      <c r="J731" s="9" t="str">
        <f>VLOOKUP(TablaCosechas[[#This Row],[COD]],Tabla7[#All],4,0)</f>
        <v>JULIO SANTOS</v>
      </c>
      <c r="K731" s="179">
        <f>(TablaCosechas[[#This Row],[libras planta]]*454)/M731</f>
        <v>214206.4076305221</v>
      </c>
      <c r="L731" s="174">
        <v>14097.99</v>
      </c>
      <c r="M731" s="19">
        <v>29.88</v>
      </c>
      <c r="N731" s="9" t="str">
        <f>UPPER(TEXT(TablaCosechas[[#This Row],[COSECHA]],"MMMM"))</f>
        <v>DICIEMBRE</v>
      </c>
      <c r="O731" s="9" t="str">
        <f>IF(A731="DO 29","BAP",IF(A731="RO 14","BAP",(VLOOKUP(TablaCosechas[[#This Row],[COD]],Tabla7[[CODIGO]:[CERTIFICACION]],3,0))))</f>
        <v>CONVENCIONAL</v>
      </c>
      <c r="P731" s="180">
        <f>+L731-E731</f>
        <v>797.98999999999978</v>
      </c>
      <c r="Q731" s="181">
        <f>+M731-F731</f>
        <v>0.87999999999999901</v>
      </c>
      <c r="R731" s="9"/>
    </row>
    <row r="732" spans="1:18" x14ac:dyDescent="0.25">
      <c r="A732" s="9" t="s">
        <v>144</v>
      </c>
      <c r="B732" s="9">
        <f>ROW() - ROW(TablaCosechas[[#Headers],[ID]]) - 4</f>
        <v>727</v>
      </c>
      <c r="C732" s="9" t="str">
        <f>LEFT(A732,2)</f>
        <v>DO</v>
      </c>
      <c r="D732" s="182" t="s">
        <v>367</v>
      </c>
      <c r="E732" s="178">
        <v>12000</v>
      </c>
      <c r="F732" s="19">
        <v>24</v>
      </c>
      <c r="G732" s="195">
        <v>46009</v>
      </c>
      <c r="H732" s="9" t="str">
        <f>VLOOKUP(TablaCosechas[[#This Row],[COD]],DATOS!$E$3:$F$27,2,0)</f>
        <v>DORADO</v>
      </c>
      <c r="I732" s="9" t="str">
        <f>RIGHT(TablaCosechas[[#This Row],[SECTOR/PISCINA]],2)</f>
        <v>09</v>
      </c>
      <c r="J732" s="9" t="str">
        <f>VLOOKUP(TablaCosechas[[#This Row],[COD]],Tabla7[#All],4,0)</f>
        <v>JOSE CEDEÑO</v>
      </c>
      <c r="K732" s="179">
        <f>(TablaCosechas[[#This Row],[libras planta]]*454)/M732</f>
        <v>228676.6140350877</v>
      </c>
      <c r="L732" s="174">
        <v>12058.41</v>
      </c>
      <c r="M732" s="19">
        <v>23.94</v>
      </c>
      <c r="N732" s="9" t="str">
        <f>UPPER(TEXT(TablaCosechas[[#This Row],[COSECHA]],"MMMM"))</f>
        <v>DICIEMBRE</v>
      </c>
      <c r="O732" s="9" t="str">
        <f>IF(A732="DO 29","BAP",IF(A732="RO 14","BAP",(VLOOKUP(TablaCosechas[[#This Row],[COD]],Tabla7[[CODIGO]:[CERTIFICACION]],3,0))))</f>
        <v>ASC</v>
      </c>
      <c r="P732" s="180">
        <f>+L732-E732</f>
        <v>58.409999999999854</v>
      </c>
      <c r="Q732" s="181">
        <f>+M732-F732</f>
        <v>-5.9999999999998721E-2</v>
      </c>
      <c r="R732" s="9"/>
    </row>
    <row r="733" spans="1:18" x14ac:dyDescent="0.25">
      <c r="A733" s="9" t="s">
        <v>127</v>
      </c>
      <c r="B733" s="9">
        <f>ROW() - ROW(TablaCosechas[[#Headers],[ID]]) - 4</f>
        <v>728</v>
      </c>
      <c r="C733" s="9" t="str">
        <f>LEFT(A733,2)</f>
        <v>DO</v>
      </c>
      <c r="D733" s="182" t="s">
        <v>367</v>
      </c>
      <c r="E733" s="178">
        <v>10200</v>
      </c>
      <c r="F733" s="19">
        <v>24</v>
      </c>
      <c r="G733" s="195">
        <v>46009</v>
      </c>
      <c r="H733" s="9" t="str">
        <f>VLOOKUP(TablaCosechas[[#This Row],[COD]],DATOS!$E$3:$F$27,2,0)</f>
        <v>DORADO</v>
      </c>
      <c r="I733" s="9" t="str">
        <f>RIGHT(TablaCosechas[[#This Row],[SECTOR/PISCINA]],2)</f>
        <v>07</v>
      </c>
      <c r="J733" s="9" t="str">
        <f>VLOOKUP(TablaCosechas[[#This Row],[COD]],Tabla7[#All],4,0)</f>
        <v>JOSE CEDEÑO</v>
      </c>
      <c r="K733" s="179">
        <f>(TablaCosechas[[#This Row],[libras planta]]*454)/M733</f>
        <v>173982.76935229066</v>
      </c>
      <c r="L733" s="174">
        <v>9703.18</v>
      </c>
      <c r="M733" s="19">
        <v>25.32</v>
      </c>
      <c r="N733" s="9" t="str">
        <f>UPPER(TEXT(TablaCosechas[[#This Row],[COSECHA]],"MMMM"))</f>
        <v>DICIEMBRE</v>
      </c>
      <c r="O733" s="9" t="str">
        <f>IF(A733="DO 29","BAP",IF(A733="RO 14","BAP",(VLOOKUP(TablaCosechas[[#This Row],[COD]],Tabla7[[CODIGO]:[CERTIFICACION]],3,0))))</f>
        <v>ASC</v>
      </c>
      <c r="P733" s="180">
        <f>+L733-E733</f>
        <v>-496.81999999999971</v>
      </c>
      <c r="Q733" s="181">
        <f>+M733-F733</f>
        <v>1.3200000000000003</v>
      </c>
      <c r="R733" s="9"/>
    </row>
    <row r="734" spans="1:18" x14ac:dyDescent="0.25">
      <c r="A734" s="9" t="s">
        <v>301</v>
      </c>
      <c r="B734" s="9">
        <f>ROW() - ROW(TablaCosechas[[#Headers],[ID]]) - 4</f>
        <v>729</v>
      </c>
      <c r="C734" s="9" t="str">
        <f>LEFT(A734,2)</f>
        <v>DE</v>
      </c>
      <c r="D734" s="182" t="s">
        <v>366</v>
      </c>
      <c r="E734" s="178">
        <v>21050</v>
      </c>
      <c r="F734" s="19">
        <v>25</v>
      </c>
      <c r="G734" s="195">
        <v>46009</v>
      </c>
      <c r="H734" s="9" t="str">
        <f>VLOOKUP(TablaCosechas[[#This Row],[COD]],DATOS!$E$3:$F$27,2,0)</f>
        <v>DELFIN</v>
      </c>
      <c r="I734" s="9" t="str">
        <f>RIGHT(TablaCosechas[[#This Row],[SECTOR/PISCINA]],2)</f>
        <v>02</v>
      </c>
      <c r="J734" s="9" t="str">
        <f>VLOOKUP(TablaCosechas[[#This Row],[COD]],Tabla7[#All],4,0)</f>
        <v>CARLOS FLORES</v>
      </c>
      <c r="K734" s="179">
        <f>(TablaCosechas[[#This Row],[libras planta]]*454)/M734</f>
        <v>414927.71623794216</v>
      </c>
      <c r="L734" s="174">
        <v>22738.77</v>
      </c>
      <c r="M734" s="19">
        <v>24.88</v>
      </c>
      <c r="N734" s="9" t="str">
        <f>UPPER(TEXT(TablaCosechas[[#This Row],[COSECHA]],"MMMM"))</f>
        <v>DICIEMBRE</v>
      </c>
      <c r="O734" s="9" t="str">
        <f>IF(A734="DO 29","BAP",IF(A734="RO 14","BAP",(VLOOKUP(TablaCosechas[[#This Row],[COD]],Tabla7[[CODIGO]:[CERTIFICACION]],3,0))))</f>
        <v>CONVENCIONAL</v>
      </c>
      <c r="P734" s="180">
        <f>+L734-E734</f>
        <v>1688.7700000000004</v>
      </c>
      <c r="Q734" s="181">
        <f>+M734-F734</f>
        <v>-0.12000000000000099</v>
      </c>
      <c r="R734" s="9"/>
    </row>
    <row r="735" spans="1:18" x14ac:dyDescent="0.25">
      <c r="A735" s="9" t="s">
        <v>12</v>
      </c>
      <c r="B735" s="9">
        <f>ROW() - ROW(TablaCosechas[[#Headers],[ID]]) - 4</f>
        <v>730</v>
      </c>
      <c r="C735" s="9" t="str">
        <f>LEFT(A735,2)</f>
        <v>CH</v>
      </c>
      <c r="D735" s="182" t="s">
        <v>366</v>
      </c>
      <c r="E735" s="178">
        <f>27900+350</f>
        <v>28250</v>
      </c>
      <c r="F735" s="19">
        <v>33</v>
      </c>
      <c r="G735" s="195">
        <v>46009</v>
      </c>
      <c r="H735" s="9" t="str">
        <f>VLOOKUP(TablaCosechas[[#This Row],[COD]],DATOS!$E$3:$F$27,2,0)</f>
        <v>CHERNA</v>
      </c>
      <c r="I735" s="9" t="str">
        <f>RIGHT(TablaCosechas[[#This Row],[SECTOR/PISCINA]],2)</f>
        <v>06</v>
      </c>
      <c r="J735" s="9" t="str">
        <f>VLOOKUP(TablaCosechas[[#This Row],[COD]],Tabla7[#All],4,0)</f>
        <v>SANTIAGO OBRIEN</v>
      </c>
      <c r="K735" s="179">
        <f>(TablaCosechas[[#This Row],[libras planta]]*454)/M735</f>
        <v>397895.40063492069</v>
      </c>
      <c r="L735" s="174">
        <f>27305.06+302.22</f>
        <v>27607.280000000002</v>
      </c>
      <c r="M735" s="19">
        <v>31.5</v>
      </c>
      <c r="N735" s="9" t="str">
        <f>UPPER(TEXT(TablaCosechas[[#This Row],[COSECHA]],"MMMM"))</f>
        <v>DICIEMBRE</v>
      </c>
      <c r="O735" s="9" t="str">
        <f>IF(A735="DO 29","BAP",IF(A735="RO 14","BAP",(VLOOKUP(TablaCosechas[[#This Row],[COD]],Tabla7[[CODIGO]:[CERTIFICACION]],3,0))))</f>
        <v>ASC</v>
      </c>
      <c r="P735" s="180">
        <f>+L735-E735</f>
        <v>-642.71999999999753</v>
      </c>
      <c r="Q735" s="181">
        <f>+M735-F735</f>
        <v>-1.5</v>
      </c>
      <c r="R735" s="9"/>
    </row>
    <row r="736" spans="1:18" x14ac:dyDescent="0.25">
      <c r="A736" s="9" t="s">
        <v>351</v>
      </c>
      <c r="B736" s="9">
        <f>ROW() - ROW(TablaCosechas[[#Headers],[ID]]) - 4</f>
        <v>731</v>
      </c>
      <c r="C736" s="9" t="str">
        <f>LEFT(A736,2)</f>
        <v>WA</v>
      </c>
      <c r="D736" s="182" t="s">
        <v>366</v>
      </c>
      <c r="E736" s="178">
        <v>16300</v>
      </c>
      <c r="F736" s="19">
        <v>27</v>
      </c>
      <c r="G736" s="195">
        <v>46010</v>
      </c>
      <c r="H736" s="9" t="str">
        <f>VLOOKUP(TablaCosechas[[#This Row],[COD]],DATOS!$E$3:$F$27,2,0)</f>
        <v>WAHOO</v>
      </c>
      <c r="I736" s="9" t="str">
        <f>RIGHT(TablaCosechas[[#This Row],[SECTOR/PISCINA]],2)</f>
        <v>31</v>
      </c>
      <c r="J736" s="9" t="str">
        <f>VLOOKUP(TablaCosechas[[#This Row],[COD]],Tabla7[#All],4,0)</f>
        <v>JUNIOR ESQUIVEL</v>
      </c>
      <c r="K736" s="179">
        <f>(TablaCosechas[[#This Row],[libras planta]]*454)/M736</f>
        <v>289553.69800569804</v>
      </c>
      <c r="L736" s="174">
        <v>17908.96</v>
      </c>
      <c r="M736" s="19">
        <v>28.08</v>
      </c>
      <c r="N736" s="9" t="str">
        <f>UPPER(TEXT(TablaCosechas[[#This Row],[COSECHA]],"MMMM"))</f>
        <v>DICIEMBRE</v>
      </c>
      <c r="O736" s="9" t="str">
        <f>IF(A736="DO 29","BAP",IF(A736="RO 14","BAP",(VLOOKUP(TablaCosechas[[#This Row],[COD]],Tabla7[[CODIGO]:[CERTIFICACION]],3,0))))</f>
        <v>CONVENCIONAL</v>
      </c>
      <c r="P736" s="180">
        <f>+L736-E736</f>
        <v>1608.9599999999991</v>
      </c>
      <c r="Q736" s="181">
        <f>+M736-F736</f>
        <v>1.0799999999999983</v>
      </c>
      <c r="R736" s="9"/>
    </row>
    <row r="737" spans="1:18" x14ac:dyDescent="0.25">
      <c r="A737" s="9" t="s">
        <v>303</v>
      </c>
      <c r="B737" s="9">
        <f>ROW() - ROW(TablaCosechas[[#Headers],[ID]]) - 4</f>
        <v>732</v>
      </c>
      <c r="C737" s="9" t="str">
        <f>LEFT(A737,2)</f>
        <v>TI</v>
      </c>
      <c r="D737" s="182" t="s">
        <v>366</v>
      </c>
      <c r="E737" s="178">
        <f>43500+2200</f>
        <v>45700</v>
      </c>
      <c r="F737" s="19">
        <v>36</v>
      </c>
      <c r="G737" s="195">
        <v>46010</v>
      </c>
      <c r="H737" s="9" t="str">
        <f>VLOOKUP(TablaCosechas[[#This Row],[COD]],DATOS!$E$3:$F$27,2,0)</f>
        <v>TIBURON</v>
      </c>
      <c r="I737" s="9" t="str">
        <f>RIGHT(TablaCosechas[[#This Row],[SECTOR/PISCINA]],2)</f>
        <v>16</v>
      </c>
      <c r="J737" s="9" t="str">
        <f>VLOOKUP(TablaCosechas[[#This Row],[COD]],Tabla7[#All],4,0)</f>
        <v>ALFONSO GRUNAUER</v>
      </c>
      <c r="K737" s="179">
        <f>(TablaCosechas[[#This Row],[libras planta]]*454)/M737</f>
        <v>593267.39557050739</v>
      </c>
      <c r="L737" s="174">
        <f>44029.08+2582.92</f>
        <v>46612</v>
      </c>
      <c r="M737" s="19">
        <v>35.67</v>
      </c>
      <c r="N737" s="9" t="str">
        <f>UPPER(TEXT(TablaCosechas[[#This Row],[COSECHA]],"MMMM"))</f>
        <v>DICIEMBRE</v>
      </c>
      <c r="O737" s="9" t="str">
        <f>IF(A737="DO 29","BAP",IF(A737="RO 14","BAP",(VLOOKUP(TablaCosechas[[#This Row],[COD]],Tabla7[[CODIGO]:[CERTIFICACION]],3,0))))</f>
        <v>ASC</v>
      </c>
      <c r="P737" s="180">
        <f>+L737-E737</f>
        <v>912</v>
      </c>
      <c r="Q737" s="181">
        <f>+M737-F737</f>
        <v>-0.32999999999999829</v>
      </c>
      <c r="R737" s="9"/>
    </row>
    <row r="738" spans="1:18" x14ac:dyDescent="0.25">
      <c r="A738" s="9" t="s">
        <v>285</v>
      </c>
      <c r="B738" s="9">
        <f>ROW() - ROW(TablaCosechas[[#Headers],[ID]]) - 4</f>
        <v>733</v>
      </c>
      <c r="C738" s="9" t="str">
        <f>LEFT(A738,2)</f>
        <v>RO</v>
      </c>
      <c r="D738" s="182" t="s">
        <v>366</v>
      </c>
      <c r="E738" s="178">
        <f>62500+18000</f>
        <v>80500</v>
      </c>
      <c r="F738" s="19">
        <v>34</v>
      </c>
      <c r="G738" s="195">
        <v>46010</v>
      </c>
      <c r="H738" s="9" t="str">
        <f>VLOOKUP(TablaCosechas[[#This Row],[COD]],DATOS!$E$3:$F$27,2,0)</f>
        <v>ROBALO</v>
      </c>
      <c r="I738" s="9" t="str">
        <f>RIGHT(TablaCosechas[[#This Row],[SECTOR/PISCINA]],2)</f>
        <v>05</v>
      </c>
      <c r="J738" s="9" t="str">
        <f>VLOOKUP(TablaCosechas[[#This Row],[COD]],Tabla7[#All],4,0)</f>
        <v>VICTOR QUINTANA</v>
      </c>
      <c r="K738" s="179">
        <f>(TablaCosechas[[#This Row],[libras planta]]*454)/M738</f>
        <v>1143262.5179327873</v>
      </c>
      <c r="L738" s="174">
        <f>68698.13+20471.31</f>
        <v>89169.44</v>
      </c>
      <c r="M738" s="19">
        <v>35.409999999999997</v>
      </c>
      <c r="N738" s="9" t="str">
        <f>UPPER(TEXT(TablaCosechas[[#This Row],[COSECHA]],"MMMM"))</f>
        <v>DICIEMBRE</v>
      </c>
      <c r="O738" s="9" t="str">
        <f>IF(A738="DO 29","BAP",IF(A738="RO 14","BAP",(VLOOKUP(TablaCosechas[[#This Row],[COD]],Tabla7[[CODIGO]:[CERTIFICACION]],3,0))))</f>
        <v>ASC</v>
      </c>
      <c r="P738" s="180">
        <f>+L738-E738</f>
        <v>8669.4400000000023</v>
      </c>
      <c r="Q738" s="181">
        <f>+M738-F738</f>
        <v>1.4099999999999966</v>
      </c>
      <c r="R738" s="9"/>
    </row>
    <row r="739" spans="1:18" x14ac:dyDescent="0.25">
      <c r="A739" s="9" t="s">
        <v>325</v>
      </c>
      <c r="B739" s="9">
        <f>ROW() - ROW(TablaCosechas[[#Headers],[ID]]) - 4</f>
        <v>734</v>
      </c>
      <c r="C739" s="9" t="str">
        <f>LEFT(A739,2)</f>
        <v>PA</v>
      </c>
      <c r="D739" s="182" t="s">
        <v>366</v>
      </c>
      <c r="E739" s="178">
        <f>49700+9500</f>
        <v>59200</v>
      </c>
      <c r="F739" s="19">
        <v>34</v>
      </c>
      <c r="G739" s="195">
        <v>46010</v>
      </c>
      <c r="H739" s="9" t="str">
        <f>VLOOKUP(TablaCosechas[[#This Row],[COD]],DATOS!$E$3:$F$27,2,0)</f>
        <v>PAMPANO</v>
      </c>
      <c r="I739" s="9" t="str">
        <f>RIGHT(TablaCosechas[[#This Row],[SECTOR/PISCINA]],2)</f>
        <v>15</v>
      </c>
      <c r="J739" s="9" t="str">
        <f>VLOOKUP(TablaCosechas[[#This Row],[COD]],Tabla7[#All],4,0)</f>
        <v>GUSTAVO CARRASCO</v>
      </c>
      <c r="K739" s="179">
        <f>(TablaCosechas[[#This Row],[libras planta]]*454)/M739</f>
        <v>777802.14123801223</v>
      </c>
      <c r="L739" s="174">
        <f>49623.19+9328.73</f>
        <v>58951.92</v>
      </c>
      <c r="M739" s="19">
        <v>34.409999999999997</v>
      </c>
      <c r="N739" s="9" t="str">
        <f>UPPER(TEXT(TablaCosechas[[#This Row],[COSECHA]],"MMMM"))</f>
        <v>DICIEMBRE</v>
      </c>
      <c r="O739" s="9" t="str">
        <f>IF(A739="DO 29","BAP",IF(A739="RO 14","BAP",(VLOOKUP(TablaCosechas[[#This Row],[COD]],Tabla7[[CODIGO]:[CERTIFICACION]],3,0))))</f>
        <v>ASC</v>
      </c>
      <c r="P739" s="180">
        <f>+L739-E739</f>
        <v>-248.08000000000175</v>
      </c>
      <c r="Q739" s="181">
        <f>+M739-F739</f>
        <v>0.40999999999999659</v>
      </c>
      <c r="R739" s="9"/>
    </row>
    <row r="740" spans="1:18" x14ac:dyDescent="0.25">
      <c r="A740" s="9" t="s">
        <v>280</v>
      </c>
      <c r="B740" s="9">
        <f>ROW() - ROW(TablaCosechas[[#Headers],[ID]]) - 4</f>
        <v>735</v>
      </c>
      <c r="C740" s="9" t="str">
        <f>LEFT(A740,2)</f>
        <v>GT</v>
      </c>
      <c r="D740" s="182" t="s">
        <v>366</v>
      </c>
      <c r="E740" s="178">
        <v>19150</v>
      </c>
      <c r="F740" s="19">
        <v>32</v>
      </c>
      <c r="G740" s="195">
        <v>46010</v>
      </c>
      <c r="H740" s="9" t="str">
        <f>VLOOKUP(TablaCosechas[[#This Row],[COD]],DATOS!$E$3:$F$27,2,0)</f>
        <v>GUATO</v>
      </c>
      <c r="I740" s="9" t="str">
        <f>RIGHT(TablaCosechas[[#This Row],[SECTOR/PISCINA]],2)</f>
        <v>01</v>
      </c>
      <c r="J740" s="9" t="str">
        <f>VLOOKUP(TablaCosechas[[#This Row],[COD]],Tabla7[#All],4,0)</f>
        <v>JULIO SANTOS</v>
      </c>
      <c r="K740" s="179">
        <f>(TablaCosechas[[#This Row],[libras planta]]*454)/M740</f>
        <v>268185.31937500002</v>
      </c>
      <c r="L740" s="174">
        <v>18902.93</v>
      </c>
      <c r="M740" s="19">
        <v>32</v>
      </c>
      <c r="N740" s="9" t="str">
        <f>UPPER(TEXT(TablaCosechas[[#This Row],[COSECHA]],"MMMM"))</f>
        <v>DICIEMBRE</v>
      </c>
      <c r="O740" s="9" t="str">
        <f>IF(A740="DO 29","BAP",IF(A740="RO 14","BAP",(VLOOKUP(TablaCosechas[[#This Row],[COD]],Tabla7[[CODIGO]:[CERTIFICACION]],3,0))))</f>
        <v>CONVENCIONAL</v>
      </c>
      <c r="P740" s="180">
        <f>+L740-E740</f>
        <v>-247.06999999999971</v>
      </c>
      <c r="Q740" s="181">
        <f>+M740-F740</f>
        <v>0</v>
      </c>
      <c r="R740" s="9"/>
    </row>
    <row r="741" spans="1:18" x14ac:dyDescent="0.25">
      <c r="A741" s="9" t="s">
        <v>331</v>
      </c>
      <c r="B741" s="9">
        <f>ROW() - ROW(TablaCosechas[[#Headers],[ID]]) - 4</f>
        <v>736</v>
      </c>
      <c r="C741" s="9" t="str">
        <f>LEFT(A741,2)</f>
        <v>DO</v>
      </c>
      <c r="D741" s="182" t="s">
        <v>367</v>
      </c>
      <c r="E741" s="178">
        <v>24200</v>
      </c>
      <c r="F741" s="19">
        <v>38</v>
      </c>
      <c r="G741" s="195">
        <v>46010</v>
      </c>
      <c r="H741" s="9" t="str">
        <f>VLOOKUP(TablaCosechas[[#This Row],[COD]],DATOS!$E$3:$F$27,2,0)</f>
        <v>DORADO</v>
      </c>
      <c r="I741" s="9" t="str">
        <f>RIGHT(TablaCosechas[[#This Row],[SECTOR/PISCINA]],2)</f>
        <v>25</v>
      </c>
      <c r="J741" s="9" t="str">
        <f>VLOOKUP(TablaCosechas[[#This Row],[COD]],Tabla7[#All],4,0)</f>
        <v>JOSE CEDEÑO</v>
      </c>
      <c r="K741" s="179">
        <f>(TablaCosechas[[#This Row],[libras planta]]*454)/M741</f>
        <v>237502.78328328329</v>
      </c>
      <c r="L741" s="174">
        <v>20904.43</v>
      </c>
      <c r="M741" s="19">
        <v>39.96</v>
      </c>
      <c r="N741" s="9" t="str">
        <f>UPPER(TEXT(TablaCosechas[[#This Row],[COSECHA]],"MMMM"))</f>
        <v>DICIEMBRE</v>
      </c>
      <c r="O741" s="9" t="str">
        <f>IF(A741="DO 29","BAP",IF(A741="RO 14","BAP",(VLOOKUP(TablaCosechas[[#This Row],[COD]],Tabla7[[CODIGO]:[CERTIFICACION]],3,0))))</f>
        <v>ASC</v>
      </c>
      <c r="P741" s="180">
        <f>+L741-E741</f>
        <v>-3295.5699999999997</v>
      </c>
      <c r="Q741" s="181">
        <f>+M741-F741</f>
        <v>1.9600000000000009</v>
      </c>
      <c r="R741" s="9"/>
    </row>
    <row r="742" spans="1:18" x14ac:dyDescent="0.25">
      <c r="A742" s="9" t="s">
        <v>147</v>
      </c>
      <c r="B742" s="9">
        <f>ROW() - ROW(TablaCosechas[[#Headers],[ID]]) - 4</f>
        <v>737</v>
      </c>
      <c r="C742" s="9" t="str">
        <f>LEFT(A742,2)</f>
        <v>DO</v>
      </c>
      <c r="D742" s="182" t="s">
        <v>367</v>
      </c>
      <c r="E742" s="178">
        <v>9600</v>
      </c>
      <c r="F742" s="19">
        <v>23</v>
      </c>
      <c r="G742" s="195">
        <v>46010</v>
      </c>
      <c r="H742" s="9" t="str">
        <f>VLOOKUP(TablaCosechas[[#This Row],[COD]],DATOS!$E$3:$F$27,2,0)</f>
        <v>DORADO</v>
      </c>
      <c r="I742" s="9" t="str">
        <f>RIGHT(TablaCosechas[[#This Row],[SECTOR/PISCINA]],2)</f>
        <v>08</v>
      </c>
      <c r="J742" s="9" t="str">
        <f>VLOOKUP(TablaCosechas[[#This Row],[COD]],Tabla7[#All],4,0)</f>
        <v>JOSE CEDEÑO</v>
      </c>
      <c r="K742" s="179">
        <f>(TablaCosechas[[#This Row],[libras planta]]*454)/M742</f>
        <v>163134.81756180731</v>
      </c>
      <c r="L742" s="174">
        <v>8429.83</v>
      </c>
      <c r="M742" s="19">
        <v>23.46</v>
      </c>
      <c r="N742" s="9" t="str">
        <f>UPPER(TEXT(TablaCosechas[[#This Row],[COSECHA]],"MMMM"))</f>
        <v>DICIEMBRE</v>
      </c>
      <c r="O742" s="9" t="str">
        <f>IF(A742="DO 29","BAP",IF(A742="RO 14","BAP",(VLOOKUP(TablaCosechas[[#This Row],[COD]],Tabla7[[CODIGO]:[CERTIFICACION]],3,0))))</f>
        <v>ASC</v>
      </c>
      <c r="P742" s="180">
        <f>+L742-E742</f>
        <v>-1170.17</v>
      </c>
      <c r="Q742" s="181">
        <f>+M742-F742</f>
        <v>0.46000000000000085</v>
      </c>
      <c r="R742" s="9"/>
    </row>
    <row r="743" spans="1:18" x14ac:dyDescent="0.25">
      <c r="A743" s="9" t="s">
        <v>20</v>
      </c>
      <c r="B743" s="9">
        <f>ROW() - ROW(TablaCosechas[[#Headers],[ID]]) - 4</f>
        <v>738</v>
      </c>
      <c r="C743" s="9" t="str">
        <f>LEFT(A743,2)</f>
        <v>CH</v>
      </c>
      <c r="D743" s="182" t="s">
        <v>367</v>
      </c>
      <c r="E743" s="178">
        <v>5300</v>
      </c>
      <c r="F743" s="19">
        <v>32</v>
      </c>
      <c r="G743" s="195">
        <v>46010</v>
      </c>
      <c r="H743" s="9" t="str">
        <f>VLOOKUP(TablaCosechas[[#This Row],[COD]],DATOS!$E$3:$F$27,2,0)</f>
        <v>CHERNA</v>
      </c>
      <c r="I743" s="9" t="str">
        <f>RIGHT(TablaCosechas[[#This Row],[SECTOR/PISCINA]],2)</f>
        <v>14</v>
      </c>
      <c r="J743" s="9" t="str">
        <f>VLOOKUP(TablaCosechas[[#This Row],[COD]],Tabla7[#All],4,0)</f>
        <v>SANTIAGO OBRIEN</v>
      </c>
      <c r="K743" s="179">
        <f>(TablaCosechas[[#This Row],[libras planta]]*454)/M743</f>
        <v>88852.163599182008</v>
      </c>
      <c r="L743" s="174">
        <v>5742.12</v>
      </c>
      <c r="M743" s="19">
        <v>29.34</v>
      </c>
      <c r="N743" s="9" t="str">
        <f>UPPER(TEXT(TablaCosechas[[#This Row],[COSECHA]],"MMMM"))</f>
        <v>DICIEMBRE</v>
      </c>
      <c r="O743" s="9" t="str">
        <f>IF(A743="DO 29","BAP",IF(A743="RO 14","BAP",(VLOOKUP(TablaCosechas[[#This Row],[COD]],Tabla7[[CODIGO]:[CERTIFICACION]],3,0))))</f>
        <v>ASC</v>
      </c>
      <c r="P743" s="180">
        <f>+L743-E743</f>
        <v>442.11999999999989</v>
      </c>
      <c r="Q743" s="181">
        <f>+M743-F743</f>
        <v>-2.66</v>
      </c>
      <c r="R743" s="9"/>
    </row>
    <row r="744" spans="1:18" x14ac:dyDescent="0.25">
      <c r="A744" s="9" t="s">
        <v>342</v>
      </c>
      <c r="B744" s="9">
        <f>ROW() - ROW(TablaCosechas[[#Headers],[ID]]) - 4</f>
        <v>739</v>
      </c>
      <c r="C744" s="9" t="str">
        <f>LEFT(A744,2)</f>
        <v>WA</v>
      </c>
      <c r="D744" s="182" t="s">
        <v>366</v>
      </c>
      <c r="E744" s="178">
        <v>9800</v>
      </c>
      <c r="F744" s="19">
        <v>23</v>
      </c>
      <c r="G744" s="195">
        <v>46011</v>
      </c>
      <c r="H744" s="9" t="str">
        <f>VLOOKUP(TablaCosechas[[#This Row],[COD]],DATOS!$E$3:$F$27,2,0)</f>
        <v>WAHOO</v>
      </c>
      <c r="I744" s="9" t="str">
        <f>RIGHT(TablaCosechas[[#This Row],[SECTOR/PISCINA]],2)</f>
        <v>24</v>
      </c>
      <c r="J744" s="9" t="str">
        <f>VLOOKUP(TablaCosechas[[#This Row],[COD]],Tabla7[#All],4,0)</f>
        <v>JUNIOR ESQUIVEL</v>
      </c>
      <c r="K744" s="179">
        <f>(TablaCosechas[[#This Row],[libras planta]]*454)/M744</f>
        <v>207704.71731008717</v>
      </c>
      <c r="L744" s="174">
        <v>11021.16</v>
      </c>
      <c r="M744" s="19">
        <v>24.09</v>
      </c>
      <c r="N744" s="9" t="str">
        <f>UPPER(TEXT(TablaCosechas[[#This Row],[COSECHA]],"MMMM"))</f>
        <v>DICIEMBRE</v>
      </c>
      <c r="O744" s="9" t="str">
        <f>IF(A744="DO 29","BAP",IF(A744="RO 14","BAP",(VLOOKUP(TablaCosechas[[#This Row],[COD]],Tabla7[[CODIGO]:[CERTIFICACION]],3,0))))</f>
        <v>CONVENCIONAL</v>
      </c>
      <c r="P744" s="180">
        <f>+L744-E744</f>
        <v>1221.1599999999999</v>
      </c>
      <c r="Q744" s="181">
        <f>+M744-F744</f>
        <v>1.0899999999999999</v>
      </c>
      <c r="R744" s="9"/>
    </row>
    <row r="745" spans="1:18" x14ac:dyDescent="0.25">
      <c r="A745" s="9" t="s">
        <v>305</v>
      </c>
      <c r="B745" s="9">
        <f>ROW() - ROW(TablaCosechas[[#Headers],[ID]]) - 4</f>
        <v>740</v>
      </c>
      <c r="C745" s="9" t="str">
        <f>LEFT(A745,2)</f>
        <v>TA</v>
      </c>
      <c r="D745" s="182" t="s">
        <v>366</v>
      </c>
      <c r="E745" s="178">
        <f>84800+1200</f>
        <v>86000</v>
      </c>
      <c r="F745" s="19">
        <v>34</v>
      </c>
      <c r="G745" s="195">
        <v>46011</v>
      </c>
      <c r="H745" s="9" t="str">
        <f>VLOOKUP(TablaCosechas[[#This Row],[COD]],DATOS!$E$3:$F$27,2,0)</f>
        <v>TAMBULERO</v>
      </c>
      <c r="I745" s="9" t="str">
        <f>RIGHT(TablaCosechas[[#This Row],[SECTOR/PISCINA]],2)</f>
        <v>18</v>
      </c>
      <c r="J745" s="9" t="str">
        <f>VLOOKUP(TablaCosechas[[#This Row],[COD]],Tabla7[#All],4,0)</f>
        <v>ALFONSO GRUNAUER</v>
      </c>
      <c r="K745" s="179">
        <f>(TablaCosechas[[#This Row],[libras planta]]*454)/M745</f>
        <v>1198187.1635276531</v>
      </c>
      <c r="L745" s="174">
        <f>86790.33+1490.2</f>
        <v>88280.53</v>
      </c>
      <c r="M745" s="19">
        <v>33.450000000000003</v>
      </c>
      <c r="N745" s="9" t="str">
        <f>UPPER(TEXT(TablaCosechas[[#This Row],[COSECHA]],"MMMM"))</f>
        <v>DICIEMBRE</v>
      </c>
      <c r="O745" s="9" t="str">
        <f>IF(A745="DO 29","BAP",IF(A745="RO 14","BAP",(VLOOKUP(TablaCosechas[[#This Row],[COD]],Tabla7[[CODIGO]:[CERTIFICACION]],3,0))))</f>
        <v>CONVENCIONAL</v>
      </c>
      <c r="P745" s="180">
        <f>+L745-E745</f>
        <v>2280.5299999999988</v>
      </c>
      <c r="Q745" s="181">
        <f>+M745-F745</f>
        <v>-0.54999999999999716</v>
      </c>
      <c r="R745" s="9"/>
    </row>
    <row r="746" spans="1:18" x14ac:dyDescent="0.25">
      <c r="A746" s="9" t="s">
        <v>171</v>
      </c>
      <c r="B746" s="9">
        <f>ROW() - ROW(TablaCosechas[[#Headers],[ID]]) - 4</f>
        <v>741</v>
      </c>
      <c r="C746" s="9" t="str">
        <f>LEFT(A746,2)</f>
        <v>TA</v>
      </c>
      <c r="D746" s="182" t="s">
        <v>367</v>
      </c>
      <c r="E746" s="178">
        <v>5250</v>
      </c>
      <c r="F746" s="19">
        <v>21</v>
      </c>
      <c r="G746" s="195">
        <v>46011</v>
      </c>
      <c r="H746" s="9" t="str">
        <f>VLOOKUP(TablaCosechas[[#This Row],[COD]],DATOS!$E$3:$F$27,2,0)</f>
        <v>TAMBULERO</v>
      </c>
      <c r="I746" s="9" t="str">
        <f>RIGHT(TablaCosechas[[#This Row],[SECTOR/PISCINA]],2)</f>
        <v>13</v>
      </c>
      <c r="J746" s="9" t="str">
        <f>VLOOKUP(TablaCosechas[[#This Row],[COD]],Tabla7[#All],4,0)</f>
        <v>ALFONSO GRUNAUER</v>
      </c>
      <c r="K746" s="179">
        <f>(TablaCosechas[[#This Row],[libras planta]]*454)/M746</f>
        <v>134837.52855659396</v>
      </c>
      <c r="L746" s="174">
        <v>5720.2</v>
      </c>
      <c r="M746" s="19">
        <v>19.260000000000002</v>
      </c>
      <c r="N746" s="9" t="str">
        <f>UPPER(TEXT(TablaCosechas[[#This Row],[COSECHA]],"MMMM"))</f>
        <v>DICIEMBRE</v>
      </c>
      <c r="O746" s="9" t="str">
        <f>IF(A746="DO 29","BAP",IF(A746="RO 14","BAP",(VLOOKUP(TablaCosechas[[#This Row],[COD]],Tabla7[[CODIGO]:[CERTIFICACION]],3,0))))</f>
        <v>CONVENCIONAL</v>
      </c>
      <c r="P746" s="180">
        <f>+L746-E746</f>
        <v>470.19999999999982</v>
      </c>
      <c r="Q746" s="181">
        <f>+M746-F746</f>
        <v>-1.7399999999999984</v>
      </c>
      <c r="R746" s="9"/>
    </row>
    <row r="747" spans="1:18" x14ac:dyDescent="0.25">
      <c r="A747" s="9" t="s">
        <v>162</v>
      </c>
      <c r="B747" s="9">
        <f>ROW() - ROW(TablaCosechas[[#Headers],[ID]]) - 4</f>
        <v>742</v>
      </c>
      <c r="C747" s="9" t="str">
        <f>LEFT(A747,2)</f>
        <v>TA</v>
      </c>
      <c r="D747" s="182" t="s">
        <v>367</v>
      </c>
      <c r="E747" s="178">
        <v>10200</v>
      </c>
      <c r="F747" s="19">
        <v>20</v>
      </c>
      <c r="G747" s="195">
        <v>46011</v>
      </c>
      <c r="H747" s="9" t="str">
        <f>VLOOKUP(TablaCosechas[[#This Row],[COD]],DATOS!$E$3:$F$27,2,0)</f>
        <v>TAMBULERO</v>
      </c>
      <c r="I747" s="9" t="str">
        <f>RIGHT(TablaCosechas[[#This Row],[SECTOR/PISCINA]],2)</f>
        <v>06</v>
      </c>
      <c r="J747" s="9" t="str">
        <f>VLOOKUP(TablaCosechas[[#This Row],[COD]],Tabla7[#All],4,0)</f>
        <v>ALFONSO GRUNAUER</v>
      </c>
      <c r="K747" s="179">
        <f>(TablaCosechas[[#This Row],[libras planta]]*454)/M747</f>
        <v>223482.07381193122</v>
      </c>
      <c r="L747" s="174">
        <v>9736.73</v>
      </c>
      <c r="M747" s="19">
        <v>19.78</v>
      </c>
      <c r="N747" s="9" t="str">
        <f>UPPER(TEXT(TablaCosechas[[#This Row],[COSECHA]],"MMMM"))</f>
        <v>DICIEMBRE</v>
      </c>
      <c r="O747" s="9" t="str">
        <f>IF(A747="DO 29","BAP",IF(A747="RO 14","BAP",(VLOOKUP(TablaCosechas[[#This Row],[COD]],Tabla7[[CODIGO]:[CERTIFICACION]],3,0))))</f>
        <v>CONVENCIONAL</v>
      </c>
      <c r="P747" s="180">
        <f>+L747-E747</f>
        <v>-463.27000000000044</v>
      </c>
      <c r="Q747" s="181">
        <f>+M747-F747</f>
        <v>-0.21999999999999886</v>
      </c>
      <c r="R747" s="9"/>
    </row>
    <row r="748" spans="1:18" x14ac:dyDescent="0.25">
      <c r="A748" s="9" t="s">
        <v>312</v>
      </c>
      <c r="B748" s="9">
        <f>ROW() - ROW(TablaCosechas[[#Headers],[ID]]) - 4</f>
        <v>743</v>
      </c>
      <c r="C748" s="9" t="str">
        <f>LEFT(A748,2)</f>
        <v>GT</v>
      </c>
      <c r="D748" s="182" t="s">
        <v>366</v>
      </c>
      <c r="E748" s="178">
        <v>21500</v>
      </c>
      <c r="F748" s="19">
        <v>24</v>
      </c>
      <c r="G748" s="195">
        <v>46011</v>
      </c>
      <c r="H748" s="9" t="str">
        <f>VLOOKUP(TablaCosechas[[#This Row],[COD]],DATOS!$E$3:$F$27,2,0)</f>
        <v>GUATO</v>
      </c>
      <c r="I748" s="9" t="str">
        <f>RIGHT(TablaCosechas[[#This Row],[SECTOR/PISCINA]],2)</f>
        <v>12</v>
      </c>
      <c r="J748" s="9" t="str">
        <f>VLOOKUP(TablaCosechas[[#This Row],[COD]],Tabla7[#All],4,0)</f>
        <v>JULIO SANTOS</v>
      </c>
      <c r="K748" s="179">
        <f>(TablaCosechas[[#This Row],[libras planta]]*454)/M748</f>
        <v>415065.42952460382</v>
      </c>
      <c r="L748" s="174">
        <v>21923.5</v>
      </c>
      <c r="M748" s="19">
        <v>23.98</v>
      </c>
      <c r="N748" s="9" t="str">
        <f>UPPER(TEXT(TablaCosechas[[#This Row],[COSECHA]],"MMMM"))</f>
        <v>DICIEMBRE</v>
      </c>
      <c r="O748" s="9" t="str">
        <f>IF(A748="DO 29","BAP",IF(A748="RO 14","BAP",(VLOOKUP(TablaCosechas[[#This Row],[COD]],Tabla7[[CODIGO]:[CERTIFICACION]],3,0))))</f>
        <v>CONVENCIONAL</v>
      </c>
      <c r="P748" s="180">
        <f>+L748-E748</f>
        <v>423.5</v>
      </c>
      <c r="Q748" s="181">
        <f>+M748-F748</f>
        <v>-1.9999999999999574E-2</v>
      </c>
      <c r="R748" s="9"/>
    </row>
    <row r="749" spans="1:18" x14ac:dyDescent="0.25">
      <c r="A749" s="9" t="s">
        <v>318</v>
      </c>
      <c r="B749" s="9">
        <f>ROW() - ROW(TablaCosechas[[#Headers],[ID]]) - 4</f>
        <v>744</v>
      </c>
      <c r="C749" s="9" t="str">
        <f>LEFT(A749,2)</f>
        <v>GT</v>
      </c>
      <c r="D749" s="182" t="s">
        <v>366</v>
      </c>
      <c r="E749" s="178">
        <v>19000</v>
      </c>
      <c r="F749" s="19">
        <v>33</v>
      </c>
      <c r="G749" s="195">
        <v>46011</v>
      </c>
      <c r="H749" s="9" t="str">
        <f>VLOOKUP(TablaCosechas[[#This Row],[COD]],DATOS!$E$3:$F$27,2,0)</f>
        <v>GUATO</v>
      </c>
      <c r="I749" s="9" t="str">
        <f>RIGHT(TablaCosechas[[#This Row],[SECTOR/PISCINA]],2)</f>
        <v>11</v>
      </c>
      <c r="J749" s="9" t="str">
        <f>VLOOKUP(TablaCosechas[[#This Row],[COD]],Tabla7[#All],4,0)</f>
        <v>JULIO SANTOS</v>
      </c>
      <c r="K749" s="179">
        <f>(TablaCosechas[[#This Row],[libras planta]]*454)/M749</f>
        <v>262357.80567550892</v>
      </c>
      <c r="L749" s="174">
        <v>18734.89</v>
      </c>
      <c r="M749" s="19">
        <v>32.42</v>
      </c>
      <c r="N749" s="9" t="str">
        <f>UPPER(TEXT(TablaCosechas[[#This Row],[COSECHA]],"MMMM"))</f>
        <v>DICIEMBRE</v>
      </c>
      <c r="O749" s="9" t="str">
        <f>IF(A749="DO 29","BAP",IF(A749="RO 14","BAP",(VLOOKUP(TablaCosechas[[#This Row],[COD]],Tabla7[[CODIGO]:[CERTIFICACION]],3,0))))</f>
        <v>CONVENCIONAL</v>
      </c>
      <c r="P749" s="180">
        <f>+L749-E749</f>
        <v>-265.11000000000058</v>
      </c>
      <c r="Q749" s="181">
        <f>+M749-F749</f>
        <v>-0.57999999999999829</v>
      </c>
      <c r="R749" s="9"/>
    </row>
    <row r="750" spans="1:18" x14ac:dyDescent="0.25">
      <c r="A750" s="9" t="s">
        <v>309</v>
      </c>
      <c r="B750" s="9">
        <f>ROW() - ROW(TablaCosechas[[#Headers],[ID]]) - 4</f>
        <v>745</v>
      </c>
      <c r="C750" s="9" t="str">
        <f>LEFT(A750,2)</f>
        <v>DE</v>
      </c>
      <c r="D750" s="182" t="s">
        <v>366</v>
      </c>
      <c r="E750" s="178">
        <f>27000+5000</f>
        <v>32000</v>
      </c>
      <c r="F750" s="19">
        <v>23</v>
      </c>
      <c r="G750" s="195">
        <v>46011</v>
      </c>
      <c r="H750" s="9" t="str">
        <f>VLOOKUP(TablaCosechas[[#This Row],[COD]],DATOS!$E$3:$F$27,2,0)</f>
        <v>DELFIN</v>
      </c>
      <c r="I750" s="9" t="str">
        <f>RIGHT(TablaCosechas[[#This Row],[SECTOR/PISCINA]],2)</f>
        <v>05</v>
      </c>
      <c r="J750" s="9" t="str">
        <f>VLOOKUP(TablaCosechas[[#This Row],[COD]],Tabla7[#All],4,0)</f>
        <v>CARLOS FLORES</v>
      </c>
      <c r="K750" s="179">
        <f>(TablaCosechas[[#This Row],[libras planta]]*454)/M750</f>
        <v>691278.80920761416</v>
      </c>
      <c r="L750" s="174">
        <f>29781.15+4615.3</f>
        <v>34396.450000000004</v>
      </c>
      <c r="M750" s="19">
        <v>22.59</v>
      </c>
      <c r="N750" s="9" t="str">
        <f>UPPER(TEXT(TablaCosechas[[#This Row],[COSECHA]],"MMMM"))</f>
        <v>DICIEMBRE</v>
      </c>
      <c r="O750" s="9" t="str">
        <f>IF(A750="DO 29","BAP",IF(A750="RO 14","BAP",(VLOOKUP(TablaCosechas[[#This Row],[COD]],Tabla7[[CODIGO]:[CERTIFICACION]],3,0))))</f>
        <v>CONVENCIONAL</v>
      </c>
      <c r="P750" s="180">
        <f>+L750-E750</f>
        <v>2396.4500000000044</v>
      </c>
      <c r="Q750" s="181">
        <f>+M750-F750</f>
        <v>-0.41000000000000014</v>
      </c>
      <c r="R750" s="9"/>
    </row>
    <row r="751" spans="1:18" x14ac:dyDescent="0.25">
      <c r="A751" s="9" t="s">
        <v>26</v>
      </c>
      <c r="B751" s="9">
        <f>ROW() - ROW(TablaCosechas[[#Headers],[ID]]) - 4</f>
        <v>746</v>
      </c>
      <c r="C751" s="9" t="str">
        <f>LEFT(A751,2)</f>
        <v>CH</v>
      </c>
      <c r="D751" s="182" t="s">
        <v>367</v>
      </c>
      <c r="E751" s="178">
        <v>8000</v>
      </c>
      <c r="F751" s="19">
        <v>23</v>
      </c>
      <c r="G751" s="195">
        <v>46011</v>
      </c>
      <c r="H751" s="9" t="str">
        <f>VLOOKUP(TablaCosechas[[#This Row],[COD]],DATOS!$E$3:$F$27,2,0)</f>
        <v>CHERNA</v>
      </c>
      <c r="I751" s="9" t="str">
        <f>RIGHT(TablaCosechas[[#This Row],[SECTOR/PISCINA]],2)</f>
        <v>23</v>
      </c>
      <c r="J751" s="9" t="str">
        <f>VLOOKUP(TablaCosechas[[#This Row],[COD]],Tabla7[#All],4,0)</f>
        <v>SANTIAGO OBRIEN</v>
      </c>
      <c r="K751" s="179">
        <f>(TablaCosechas[[#This Row],[libras planta]]*454)/M751</f>
        <v>165733.11852502197</v>
      </c>
      <c r="L751" s="174">
        <v>8315.86</v>
      </c>
      <c r="M751" s="19">
        <v>22.78</v>
      </c>
      <c r="N751" s="9" t="str">
        <f>UPPER(TEXT(TablaCosechas[[#This Row],[COSECHA]],"MMMM"))</f>
        <v>DICIEMBRE</v>
      </c>
      <c r="O751" s="9" t="str">
        <f>IF(A751="DO 29","BAP",IF(A751="RO 14","BAP",(VLOOKUP(TablaCosechas[[#This Row],[COD]],Tabla7[[CODIGO]:[CERTIFICACION]],3,0))))</f>
        <v>ASC</v>
      </c>
      <c r="P751" s="180">
        <f>+L751-E751</f>
        <v>315.86000000000058</v>
      </c>
      <c r="Q751" s="181">
        <f>+M751-F751</f>
        <v>-0.21999999999999886</v>
      </c>
      <c r="R751" s="9"/>
    </row>
    <row r="752" spans="1:18" x14ac:dyDescent="0.25">
      <c r="A752" s="9" t="s">
        <v>377</v>
      </c>
      <c r="B752" s="9">
        <f>ROW() - ROW(TablaCosechas[[#Headers],[ID]]) - 4</f>
        <v>747</v>
      </c>
      <c r="C752" s="9" t="str">
        <f>LEFT(A752,2)</f>
        <v>WA</v>
      </c>
      <c r="D752" s="182" t="s">
        <v>366</v>
      </c>
      <c r="E752" s="178">
        <f>12000+750</f>
        <v>12750</v>
      </c>
      <c r="F752" s="19">
        <v>23</v>
      </c>
      <c r="G752" s="195">
        <v>46012</v>
      </c>
      <c r="H752" s="9" t="str">
        <f>VLOOKUP(TablaCosechas[[#This Row],[COD]],DATOS!$E$3:$F$27,2,0)</f>
        <v>WAHOO</v>
      </c>
      <c r="I752" s="9" t="str">
        <f>RIGHT(TablaCosechas[[#This Row],[SECTOR/PISCINA]],2)</f>
        <v>34</v>
      </c>
      <c r="J752" s="9" t="str">
        <f>VLOOKUP(TablaCosechas[[#This Row],[COD]],Tabla7[#All],4,0)</f>
        <v>JUNIOR ESQUIVEL</v>
      </c>
      <c r="K752" s="179">
        <f>(TablaCosechas[[#This Row],[libras planta]]*454)/M752</f>
        <v>285956.17188188626</v>
      </c>
      <c r="L752" s="174">
        <f>13564.39+727.12</f>
        <v>14291.51</v>
      </c>
      <c r="M752" s="19">
        <v>22.69</v>
      </c>
      <c r="N752" s="9" t="str">
        <f>UPPER(TEXT(TablaCosechas[[#This Row],[COSECHA]],"MMMM"))</f>
        <v>DICIEMBRE</v>
      </c>
      <c r="O752" s="9" t="str">
        <f>IF(A752="DO 29","BAP",IF(A752="RO 14","BAP",(VLOOKUP(TablaCosechas[[#This Row],[COD]],Tabla7[[CODIGO]:[CERTIFICACION]],3,0))))</f>
        <v>CONVENCIONAL</v>
      </c>
      <c r="P752" s="180">
        <f>+L752-E752</f>
        <v>1541.5100000000002</v>
      </c>
      <c r="Q752" s="181">
        <f>+M752-F752</f>
        <v>-0.30999999999999872</v>
      </c>
      <c r="R752" s="9"/>
    </row>
    <row r="753" spans="1:18" x14ac:dyDescent="0.25">
      <c r="A753" s="9" t="s">
        <v>313</v>
      </c>
      <c r="B753" s="9">
        <f>ROW() - ROW(TablaCosechas[[#Headers],[ID]]) - 4</f>
        <v>748</v>
      </c>
      <c r="C753" s="9" t="str">
        <f>LEFT(A753,2)</f>
        <v>TI</v>
      </c>
      <c r="D753" s="182" t="s">
        <v>366</v>
      </c>
      <c r="E753" s="178">
        <v>29100</v>
      </c>
      <c r="F753" s="19">
        <v>34</v>
      </c>
      <c r="G753" s="195">
        <v>46012</v>
      </c>
      <c r="H753" s="9" t="str">
        <f>VLOOKUP(TablaCosechas[[#This Row],[COD]],DATOS!$E$3:$F$27,2,0)</f>
        <v>TIBURON</v>
      </c>
      <c r="I753" s="9" t="str">
        <f>RIGHT(TablaCosechas[[#This Row],[SECTOR/PISCINA]],2)</f>
        <v>20</v>
      </c>
      <c r="J753" s="9" t="str">
        <f>VLOOKUP(TablaCosechas[[#This Row],[COD]],Tabla7[#All],4,0)</f>
        <v>ALFONSO GRUNAUER</v>
      </c>
      <c r="K753" s="179">
        <f>(TablaCosechas[[#This Row],[libras planta]]*454)/M753</f>
        <v>385122.52178834181</v>
      </c>
      <c r="L753" s="174">
        <v>29978.48</v>
      </c>
      <c r="M753" s="19">
        <v>35.340000000000003</v>
      </c>
      <c r="N753" s="9" t="str">
        <f>UPPER(TEXT(TablaCosechas[[#This Row],[COSECHA]],"MMMM"))</f>
        <v>DICIEMBRE</v>
      </c>
      <c r="O753" s="9" t="str">
        <f>IF(A753="DO 29","BAP",IF(A753="RO 14","BAP",(VLOOKUP(TablaCosechas[[#This Row],[COD]],Tabla7[[CODIGO]:[CERTIFICACION]],3,0))))</f>
        <v>ASC</v>
      </c>
      <c r="P753" s="180">
        <f>+L753-E753</f>
        <v>878.47999999999956</v>
      </c>
      <c r="Q753" s="181">
        <f>+M753-F753</f>
        <v>1.3400000000000034</v>
      </c>
      <c r="R753" s="9"/>
    </row>
    <row r="754" spans="1:18" x14ac:dyDescent="0.25">
      <c r="A754" s="9" t="s">
        <v>168</v>
      </c>
      <c r="B754" s="9">
        <f>ROW() - ROW(TablaCosechas[[#Headers],[ID]]) - 4</f>
        <v>749</v>
      </c>
      <c r="C754" s="9" t="str">
        <f>LEFT(A754,2)</f>
        <v>TA</v>
      </c>
      <c r="D754" s="182" t="s">
        <v>367</v>
      </c>
      <c r="E754" s="178">
        <v>9800</v>
      </c>
      <c r="F754" s="19">
        <v>19</v>
      </c>
      <c r="G754" s="195">
        <v>46012</v>
      </c>
      <c r="H754" s="9" t="str">
        <f>VLOOKUP(TablaCosechas[[#This Row],[COD]],DATOS!$E$3:$F$27,2,0)</f>
        <v>TAMBULERO</v>
      </c>
      <c r="I754" s="9" t="str">
        <f>RIGHT(TablaCosechas[[#This Row],[SECTOR/PISCINA]],2)</f>
        <v>27</v>
      </c>
      <c r="J754" s="9" t="str">
        <f>VLOOKUP(TablaCosechas[[#This Row],[COD]],Tabla7[#All],4,0)</f>
        <v>ALFONSO GRUNAUER</v>
      </c>
      <c r="K754" s="179">
        <f>(TablaCosechas[[#This Row],[libras planta]]*454)/M754</f>
        <v>238492.53488372089</v>
      </c>
      <c r="L754" s="174">
        <v>9938.94</v>
      </c>
      <c r="M754" s="19">
        <v>18.920000000000002</v>
      </c>
      <c r="N754" s="9" t="str">
        <f>UPPER(TEXT(TablaCosechas[[#This Row],[COSECHA]],"MMMM"))</f>
        <v>DICIEMBRE</v>
      </c>
      <c r="O754" s="9" t="str">
        <f>IF(A754="DO 29","BAP",IF(A754="RO 14","BAP",(VLOOKUP(TablaCosechas[[#This Row],[COD]],Tabla7[[CODIGO]:[CERTIFICACION]],3,0))))</f>
        <v>CONVENCIONAL</v>
      </c>
      <c r="P754" s="180">
        <f>+L754-E754</f>
        <v>138.94000000000051</v>
      </c>
      <c r="Q754" s="181">
        <f>+M754-F754</f>
        <v>-7.9999999999998295E-2</v>
      </c>
      <c r="R754" s="9"/>
    </row>
    <row r="755" spans="1:18" x14ac:dyDescent="0.25">
      <c r="A755" s="9" t="s">
        <v>166</v>
      </c>
      <c r="B755" s="9">
        <f>ROW() - ROW(TablaCosechas[[#Headers],[ID]]) - 4</f>
        <v>750</v>
      </c>
      <c r="C755" s="9" t="str">
        <f>LEFT(A755,2)</f>
        <v>TA</v>
      </c>
      <c r="D755" s="182" t="s">
        <v>367</v>
      </c>
      <c r="E755" s="178">
        <v>5250</v>
      </c>
      <c r="F755" s="19">
        <v>22</v>
      </c>
      <c r="G755" s="195">
        <v>46012</v>
      </c>
      <c r="H755" s="9" t="str">
        <f>VLOOKUP(TablaCosechas[[#This Row],[COD]],DATOS!$E$3:$F$27,2,0)</f>
        <v>TAMBULERO</v>
      </c>
      <c r="I755" s="9" t="str">
        <f>RIGHT(TablaCosechas[[#This Row],[SECTOR/PISCINA]],2)</f>
        <v>01</v>
      </c>
      <c r="J755" s="9" t="str">
        <f>VLOOKUP(TablaCosechas[[#This Row],[COD]],Tabla7[#All],4,0)</f>
        <v>ALFONSO GRUNAUER</v>
      </c>
      <c r="K755" s="179">
        <f>(TablaCosechas[[#This Row],[libras planta]]*454)/M755</f>
        <v>107127.0355871886</v>
      </c>
      <c r="L755" s="174">
        <v>5304.44</v>
      </c>
      <c r="M755" s="19">
        <v>22.48</v>
      </c>
      <c r="N755" s="9" t="str">
        <f>UPPER(TEXT(TablaCosechas[[#This Row],[COSECHA]],"MMMM"))</f>
        <v>DICIEMBRE</v>
      </c>
      <c r="O755" s="9" t="str">
        <f>IF(A755="DO 29","BAP",IF(A755="RO 14","BAP",(VLOOKUP(TablaCosechas[[#This Row],[COD]],Tabla7[[CODIGO]:[CERTIFICACION]],3,0))))</f>
        <v>CONVENCIONAL</v>
      </c>
      <c r="P755" s="180">
        <f>+L755-E755</f>
        <v>54.4399999999996</v>
      </c>
      <c r="Q755" s="181">
        <f>+M755-F755</f>
        <v>0.48000000000000043</v>
      </c>
      <c r="R755" s="9"/>
    </row>
    <row r="756" spans="1:18" x14ac:dyDescent="0.25">
      <c r="A756" s="9" t="s">
        <v>294</v>
      </c>
      <c r="B756" s="9">
        <f>ROW() - ROW(TablaCosechas[[#Headers],[ID]]) - 4</f>
        <v>751</v>
      </c>
      <c r="C756" s="9" t="str">
        <f>LEFT(A756,2)</f>
        <v>RO</v>
      </c>
      <c r="D756" s="182" t="s">
        <v>366</v>
      </c>
      <c r="E756" s="178">
        <v>20000</v>
      </c>
      <c r="F756" s="19">
        <v>40</v>
      </c>
      <c r="G756" s="195">
        <v>46012</v>
      </c>
      <c r="H756" s="9" t="str">
        <f>VLOOKUP(TablaCosechas[[#This Row],[COD]],DATOS!$E$3:$F$27,2,0)</f>
        <v>ROBALO</v>
      </c>
      <c r="I756" s="9" t="str">
        <f>RIGHT(TablaCosechas[[#This Row],[SECTOR/PISCINA]],2)</f>
        <v>15</v>
      </c>
      <c r="J756" s="9" t="str">
        <f>VLOOKUP(TablaCosechas[[#This Row],[COD]],Tabla7[#All],4,0)</f>
        <v>VICTOR QUINTANA</v>
      </c>
      <c r="K756" s="179">
        <f>(TablaCosechas[[#This Row],[libras planta]]*454)/M756</f>
        <v>247688.83910587081</v>
      </c>
      <c r="L756" s="174">
        <v>22210.16</v>
      </c>
      <c r="M756" s="19">
        <v>40.71</v>
      </c>
      <c r="N756" s="9" t="str">
        <f>UPPER(TEXT(TablaCosechas[[#This Row],[COSECHA]],"MMMM"))</f>
        <v>DICIEMBRE</v>
      </c>
      <c r="O756" s="9" t="str">
        <f>IF(A756="DO 29","BAP",IF(A756="RO 14","BAP",(VLOOKUP(TablaCosechas[[#This Row],[COD]],Tabla7[[CODIGO]:[CERTIFICACION]],3,0))))</f>
        <v>ASC</v>
      </c>
      <c r="P756" s="180">
        <f>+L756-E756</f>
        <v>2210.16</v>
      </c>
      <c r="Q756" s="181">
        <f>+M756-F756</f>
        <v>0.71000000000000085</v>
      </c>
      <c r="R756" s="9"/>
    </row>
    <row r="757" spans="1:18" x14ac:dyDescent="0.25">
      <c r="A757" s="9" t="s">
        <v>298</v>
      </c>
      <c r="B757" s="9">
        <f>ROW() - ROW(TablaCosechas[[#Headers],[ID]]) - 4</f>
        <v>752</v>
      </c>
      <c r="C757" s="9" t="str">
        <f>LEFT(A757,2)</f>
        <v>PR</v>
      </c>
      <c r="D757" s="182" t="s">
        <v>366</v>
      </c>
      <c r="E757" s="178">
        <v>9850</v>
      </c>
      <c r="F757" s="19">
        <v>16</v>
      </c>
      <c r="G757" s="195">
        <v>46012</v>
      </c>
      <c r="H757" s="9" t="str">
        <f>VLOOKUP(TablaCosechas[[#This Row],[COD]],DATOS!$E$3:$F$27,2,0)</f>
        <v>PARGO ROJO</v>
      </c>
      <c r="I757" s="9" t="str">
        <f>RIGHT(TablaCosechas[[#This Row],[SECTOR/PISCINA]],2)</f>
        <v>19</v>
      </c>
      <c r="J757" s="9" t="str">
        <f>VLOOKUP(TablaCosechas[[#This Row],[COD]],Tabla7[#All],4,0)</f>
        <v>WILMER TORRES</v>
      </c>
      <c r="K757" s="179">
        <f>(TablaCosechas[[#This Row],[libras planta]]*454)/M757</f>
        <v>308690.96511627908</v>
      </c>
      <c r="L757" s="174">
        <v>11694.9</v>
      </c>
      <c r="M757" s="19">
        <v>17.2</v>
      </c>
      <c r="N757" s="9" t="str">
        <f>UPPER(TEXT(TablaCosechas[[#This Row],[COSECHA]],"MMMM"))</f>
        <v>DICIEMBRE</v>
      </c>
      <c r="O757" s="9" t="str">
        <f>IF(A757="DO 29","BAP",IF(A757="RO 14","BAP",(VLOOKUP(TablaCosechas[[#This Row],[COD]],Tabla7[[CODIGO]:[CERTIFICACION]],3,0))))</f>
        <v>CONVENCIONAL</v>
      </c>
      <c r="P757" s="180">
        <f>+L757-E757</f>
        <v>1844.8999999999996</v>
      </c>
      <c r="Q757" s="181">
        <f>+M757-F757</f>
        <v>1.1999999999999993</v>
      </c>
      <c r="R757" s="9"/>
    </row>
    <row r="758" spans="1:18" x14ac:dyDescent="0.25">
      <c r="A758" s="9" t="s">
        <v>325</v>
      </c>
      <c r="B758" s="9">
        <f>ROW() - ROW(TablaCosechas[[#Headers],[ID]]) - 4</f>
        <v>753</v>
      </c>
      <c r="C758" s="9" t="str">
        <f>LEFT(A758,2)</f>
        <v>PA</v>
      </c>
      <c r="D758" s="182" t="s">
        <v>366</v>
      </c>
      <c r="E758" s="178">
        <v>500</v>
      </c>
      <c r="F758" s="19">
        <v>34</v>
      </c>
      <c r="G758" s="195">
        <v>46012</v>
      </c>
      <c r="H758" s="9" t="str">
        <f>VLOOKUP(TablaCosechas[[#This Row],[COD]],DATOS!$E$3:$F$27,2,0)</f>
        <v>PAMPANO</v>
      </c>
      <c r="I758" s="9" t="str">
        <f>RIGHT(TablaCosechas[[#This Row],[SECTOR/PISCINA]],2)</f>
        <v>15</v>
      </c>
      <c r="J758" s="9" t="str">
        <f>VLOOKUP(TablaCosechas[[#This Row],[COD]],Tabla7[#All],4,0)</f>
        <v>GUSTAVO CARRASCO</v>
      </c>
      <c r="K758" s="179">
        <f>(TablaCosechas[[#This Row],[libras planta]]*454)/M758</f>
        <v>5328.9915722173782</v>
      </c>
      <c r="L758" s="174">
        <v>403.9</v>
      </c>
      <c r="M758" s="19">
        <v>34.409999999999997</v>
      </c>
      <c r="N758" s="9" t="str">
        <f>UPPER(TEXT(TablaCosechas[[#This Row],[COSECHA]],"MMMM"))</f>
        <v>DICIEMBRE</v>
      </c>
      <c r="O758" s="9" t="str">
        <f>IF(A758="DO 29","BAP",IF(A758="RO 14","BAP",(VLOOKUP(TablaCosechas[[#This Row],[COD]],Tabla7[[CODIGO]:[CERTIFICACION]],3,0))))</f>
        <v>ASC</v>
      </c>
      <c r="P758" s="180">
        <f>+L758-E758</f>
        <v>-96.100000000000023</v>
      </c>
      <c r="Q758" s="181">
        <f>+M758-F758</f>
        <v>0.40999999999999659</v>
      </c>
      <c r="R758" s="9"/>
    </row>
    <row r="759" spans="1:18" x14ac:dyDescent="0.25">
      <c r="A759" s="9" t="s">
        <v>164</v>
      </c>
      <c r="B759" s="9">
        <f>ROW() - ROW(TablaCosechas[[#Headers],[ID]]) - 4</f>
        <v>754</v>
      </c>
      <c r="C759" s="9" t="str">
        <f>LEFT(A759,2)</f>
        <v>PA</v>
      </c>
      <c r="D759" s="182" t="s">
        <v>367</v>
      </c>
      <c r="E759" s="178">
        <v>4700</v>
      </c>
      <c r="F759" s="19">
        <v>18</v>
      </c>
      <c r="G759" s="195">
        <v>46012</v>
      </c>
      <c r="H759" s="9" t="str">
        <f>VLOOKUP(TablaCosechas[[#This Row],[COD]],DATOS!$E$3:$F$27,2,0)</f>
        <v>PAMPANO</v>
      </c>
      <c r="I759" s="9" t="str">
        <f>RIGHT(TablaCosechas[[#This Row],[SECTOR/PISCINA]],2)</f>
        <v>11</v>
      </c>
      <c r="J759" s="9" t="str">
        <f>VLOOKUP(TablaCosechas[[#This Row],[COD]],Tabla7[#All],4,0)</f>
        <v>GUSTAVO CARRASCO</v>
      </c>
      <c r="K759" s="179">
        <f>(TablaCosechas[[#This Row],[libras planta]]*454)/M759</f>
        <v>98407.573721163484</v>
      </c>
      <c r="L759" s="174">
        <v>4322.13</v>
      </c>
      <c r="M759" s="19">
        <v>19.940000000000001</v>
      </c>
      <c r="N759" s="9" t="str">
        <f>UPPER(TEXT(TablaCosechas[[#This Row],[COSECHA]],"MMMM"))</f>
        <v>DICIEMBRE</v>
      </c>
      <c r="O759" s="9" t="str">
        <f>IF(A759="DO 29","BAP",IF(A759="RO 14","BAP",(VLOOKUP(TablaCosechas[[#This Row],[COD]],Tabla7[[CODIGO]:[CERTIFICACION]],3,0))))</f>
        <v>ASC</v>
      </c>
      <c r="P759" s="180">
        <f>+L759-E759</f>
        <v>-377.86999999999989</v>
      </c>
      <c r="Q759" s="181">
        <f>+M759-F759</f>
        <v>1.9400000000000013</v>
      </c>
      <c r="R759" s="9"/>
    </row>
    <row r="760" spans="1:18" x14ac:dyDescent="0.25">
      <c r="A760" s="9" t="s">
        <v>314</v>
      </c>
      <c r="B760" s="9">
        <f>ROW() - ROW(TablaCosechas[[#Headers],[ID]]) - 4</f>
        <v>755</v>
      </c>
      <c r="C760" s="9" t="str">
        <f>LEFT(A760,2)</f>
        <v>GT</v>
      </c>
      <c r="D760" s="182" t="s">
        <v>366</v>
      </c>
      <c r="E760" s="178">
        <v>28300</v>
      </c>
      <c r="F760" s="19">
        <v>33</v>
      </c>
      <c r="G760" s="195">
        <v>46012</v>
      </c>
      <c r="H760" s="9" t="str">
        <f>VLOOKUP(TablaCosechas[[#This Row],[COD]],DATOS!$E$3:$F$27,2,0)</f>
        <v>GUATO</v>
      </c>
      <c r="I760" s="9" t="str">
        <f>RIGHT(TablaCosechas[[#This Row],[SECTOR/PISCINA]],2)</f>
        <v>10</v>
      </c>
      <c r="J760" s="9" t="str">
        <f>VLOOKUP(TablaCosechas[[#This Row],[COD]],Tabla7[#All],4,0)</f>
        <v>JULIO SANTOS</v>
      </c>
      <c r="K760" s="179">
        <f>(TablaCosechas[[#This Row],[libras planta]]*454)/M760</f>
        <v>385276.3705953827</v>
      </c>
      <c r="L760" s="174">
        <v>27936.78</v>
      </c>
      <c r="M760" s="19">
        <v>32.92</v>
      </c>
      <c r="N760" s="9" t="str">
        <f>UPPER(TEXT(TablaCosechas[[#This Row],[COSECHA]],"MMMM"))</f>
        <v>DICIEMBRE</v>
      </c>
      <c r="O760" s="9" t="str">
        <f>IF(A760="DO 29","BAP",IF(A760="RO 14","BAP",(VLOOKUP(TablaCosechas[[#This Row],[COD]],Tabla7[[CODIGO]:[CERTIFICACION]],3,0))))</f>
        <v>CONVENCIONAL</v>
      </c>
      <c r="P760" s="180">
        <f>+L760-E760</f>
        <v>-363.22000000000116</v>
      </c>
      <c r="Q760" s="181">
        <f>+M760-F760</f>
        <v>-7.9999999999998295E-2</v>
      </c>
      <c r="R760" s="9"/>
    </row>
    <row r="761" spans="1:18" x14ac:dyDescent="0.25">
      <c r="A761" s="9" t="s">
        <v>126</v>
      </c>
      <c r="B761" s="9">
        <f>ROW() - ROW(TablaCosechas[[#Headers],[ID]]) - 4</f>
        <v>756</v>
      </c>
      <c r="C761" s="9" t="str">
        <f>LEFT(A761,2)</f>
        <v>DO</v>
      </c>
      <c r="D761" s="182" t="s">
        <v>367</v>
      </c>
      <c r="E761" s="178">
        <v>8200</v>
      </c>
      <c r="F761" s="19">
        <v>29</v>
      </c>
      <c r="G761" s="195">
        <v>46012</v>
      </c>
      <c r="H761" s="9" t="str">
        <f>VLOOKUP(TablaCosechas[[#This Row],[COD]],DATOS!$E$3:$F$27,2,0)</f>
        <v>DORADO</v>
      </c>
      <c r="I761" s="9" t="str">
        <f>RIGHT(TablaCosechas[[#This Row],[SECTOR/PISCINA]],2)</f>
        <v>06</v>
      </c>
      <c r="J761" s="9" t="str">
        <f>VLOOKUP(TablaCosechas[[#This Row],[COD]],Tabla7[#All],4,0)</f>
        <v>JOSE CEDEÑO</v>
      </c>
      <c r="K761" s="179">
        <f>(TablaCosechas[[#This Row],[libras planta]]*454)/M761</f>
        <v>105879.13274932615</v>
      </c>
      <c r="L761" s="174">
        <v>6921.79</v>
      </c>
      <c r="M761" s="19">
        <v>29.68</v>
      </c>
      <c r="N761" s="9" t="str">
        <f>UPPER(TEXT(TablaCosechas[[#This Row],[COSECHA]],"MMMM"))</f>
        <v>DICIEMBRE</v>
      </c>
      <c r="O761" s="9" t="str">
        <f>IF(A761="DO 29","BAP",IF(A761="RO 14","BAP",(VLOOKUP(TablaCosechas[[#This Row],[COD]],Tabla7[[CODIGO]:[CERTIFICACION]],3,0))))</f>
        <v>ASC</v>
      </c>
      <c r="P761" s="180">
        <f>+L761-E761</f>
        <v>-1278.21</v>
      </c>
      <c r="Q761" s="181">
        <f>+M761-F761</f>
        <v>0.67999999999999972</v>
      </c>
      <c r="R761" s="9"/>
    </row>
    <row r="762" spans="1:18" x14ac:dyDescent="0.25">
      <c r="A762" s="9" t="s">
        <v>260</v>
      </c>
      <c r="B762" s="9">
        <f>ROW() - ROW(TablaCosechas[[#Headers],[ID]]) - 4</f>
        <v>757</v>
      </c>
      <c r="C762" s="9" t="str">
        <f>LEFT(A762,2)</f>
        <v>DO</v>
      </c>
      <c r="D762" s="182" t="s">
        <v>366</v>
      </c>
      <c r="E762" s="178">
        <v>11700</v>
      </c>
      <c r="F762" s="19">
        <v>41</v>
      </c>
      <c r="G762" s="195">
        <v>46012</v>
      </c>
      <c r="H762" s="9" t="str">
        <f>VLOOKUP(TablaCosechas[[#This Row],[COD]],DATOS!$E$3:$F$27,2,0)</f>
        <v>DORADO</v>
      </c>
      <c r="I762" s="9" t="str">
        <f>RIGHT(TablaCosechas[[#This Row],[SECTOR/PISCINA]],2)</f>
        <v>03</v>
      </c>
      <c r="J762" s="9" t="str">
        <f>VLOOKUP(TablaCosechas[[#This Row],[COD]],Tabla7[#All],4,0)</f>
        <v>JOSE CEDEÑO</v>
      </c>
      <c r="K762" s="179">
        <f>(TablaCosechas[[#This Row],[libras planta]]*454)/M762</f>
        <v>106933.45090279495</v>
      </c>
      <c r="L762" s="174">
        <v>9522.73</v>
      </c>
      <c r="M762" s="19">
        <v>40.43</v>
      </c>
      <c r="N762" s="9" t="str">
        <f>UPPER(TEXT(TablaCosechas[[#This Row],[COSECHA]],"MMMM"))</f>
        <v>DICIEMBRE</v>
      </c>
      <c r="O762" s="9" t="str">
        <f>IF(A762="DO 29","BAP",IF(A762="RO 14","BAP",(VLOOKUP(TablaCosechas[[#This Row],[COD]],Tabla7[[CODIGO]:[CERTIFICACION]],3,0))))</f>
        <v>ASC</v>
      </c>
      <c r="P762" s="180">
        <f>+L762-E762</f>
        <v>-2177.2700000000004</v>
      </c>
      <c r="Q762" s="181">
        <f>+M762-F762</f>
        <v>-0.57000000000000028</v>
      </c>
      <c r="R762" s="9"/>
    </row>
    <row r="763" spans="1:18" x14ac:dyDescent="0.25">
      <c r="A763" s="9" t="s">
        <v>283</v>
      </c>
      <c r="B763" s="9">
        <f>ROW() - ROW(TablaCosechas[[#Headers],[ID]]) - 4</f>
        <v>758</v>
      </c>
      <c r="C763" s="9" t="str">
        <f>LEFT(A763,2)</f>
        <v>DE</v>
      </c>
      <c r="D763" s="182" t="s">
        <v>367</v>
      </c>
      <c r="E763" s="178">
        <v>8800</v>
      </c>
      <c r="F763" s="19">
        <v>21</v>
      </c>
      <c r="G763" s="195">
        <v>46012</v>
      </c>
      <c r="H763" s="9" t="str">
        <f>VLOOKUP(TablaCosechas[[#This Row],[COD]],DATOS!$E$3:$F$27,2,0)</f>
        <v>DELFIN</v>
      </c>
      <c r="I763" s="9" t="str">
        <f>RIGHT(TablaCosechas[[#This Row],[SECTOR/PISCINA]],2)</f>
        <v>10</v>
      </c>
      <c r="J763" s="9" t="str">
        <f>VLOOKUP(TablaCosechas[[#This Row],[COD]],Tabla7[#All],4,0)</f>
        <v>CARLOS FLORES</v>
      </c>
      <c r="K763" s="179">
        <f>(TablaCosechas[[#This Row],[libras planta]]*454)/M763</f>
        <v>168025.88948787062</v>
      </c>
      <c r="L763" s="174">
        <v>8238.4500000000007</v>
      </c>
      <c r="M763" s="19">
        <v>22.26</v>
      </c>
      <c r="N763" s="9" t="str">
        <f>UPPER(TEXT(TablaCosechas[[#This Row],[COSECHA]],"MMMM"))</f>
        <v>DICIEMBRE</v>
      </c>
      <c r="O763" s="9" t="str">
        <f>IF(A763="DO 29","BAP",IF(A763="RO 14","BAP",(VLOOKUP(TablaCosechas[[#This Row],[COD]],Tabla7[[CODIGO]:[CERTIFICACION]],3,0))))</f>
        <v>CONVENCIONAL</v>
      </c>
      <c r="P763" s="180">
        <f>+L763-E763</f>
        <v>-561.54999999999927</v>
      </c>
      <c r="Q763" s="181">
        <f>+M763-F763</f>
        <v>1.2600000000000016</v>
      </c>
      <c r="R763" s="9"/>
    </row>
    <row r="764" spans="1:18" x14ac:dyDescent="0.25">
      <c r="A764" s="9" t="s">
        <v>352</v>
      </c>
      <c r="B764" s="9">
        <f>ROW() - ROW(TablaCosechas[[#Headers],[ID]]) - 4</f>
        <v>759</v>
      </c>
      <c r="C764" s="9" t="str">
        <f>LEFT(A764,2)</f>
        <v>WA</v>
      </c>
      <c r="D764" s="182" t="s">
        <v>366</v>
      </c>
      <c r="E764" s="178">
        <v>32100</v>
      </c>
      <c r="F764" s="19">
        <v>25</v>
      </c>
      <c r="G764" s="195">
        <v>46013</v>
      </c>
      <c r="H764" s="9" t="str">
        <f>VLOOKUP(TablaCosechas[[#This Row],[COD]],DATOS!$E$3:$F$27,2,0)</f>
        <v>WAHOO</v>
      </c>
      <c r="I764" s="9" t="str">
        <f>RIGHT(TablaCosechas[[#This Row],[SECTOR/PISCINA]],2)</f>
        <v>33</v>
      </c>
      <c r="J764" s="9" t="str">
        <f>VLOOKUP(TablaCosechas[[#This Row],[COD]],Tabla7[#All],4,0)</f>
        <v>JUNIOR ESQUIVEL</v>
      </c>
      <c r="K764" s="179">
        <f>(TablaCosechas[[#This Row],[libras planta]]*454)/M764</f>
        <v>596226.43084721209</v>
      </c>
      <c r="L764" s="174">
        <v>36272.629999999997</v>
      </c>
      <c r="M764" s="19">
        <v>27.62</v>
      </c>
      <c r="N764" s="9" t="str">
        <f>UPPER(TEXT(TablaCosechas[[#This Row],[COSECHA]],"MMMM"))</f>
        <v>DICIEMBRE</v>
      </c>
      <c r="O764" s="9" t="str">
        <f>IF(A764="DO 29","BAP",IF(A764="RO 14","BAP",(VLOOKUP(TablaCosechas[[#This Row],[COD]],Tabla7[[CODIGO]:[CERTIFICACION]],3,0))))</f>
        <v>CONVENCIONAL</v>
      </c>
      <c r="P764" s="180">
        <f>+L764-E764</f>
        <v>4172.6299999999974</v>
      </c>
      <c r="Q764" s="181">
        <f>+M764-F764</f>
        <v>2.620000000000001</v>
      </c>
      <c r="R764" s="9"/>
    </row>
    <row r="765" spans="1:18" x14ac:dyDescent="0.25">
      <c r="A765" s="9" t="s">
        <v>185</v>
      </c>
      <c r="B765" s="9">
        <f>ROW() - ROW(TablaCosechas[[#Headers],[ID]]) - 4</f>
        <v>760</v>
      </c>
      <c r="C765" s="9" t="str">
        <f>LEFT(A765,2)</f>
        <v>TU</v>
      </c>
      <c r="D765" s="182" t="s">
        <v>367</v>
      </c>
      <c r="E765" s="178">
        <v>6250</v>
      </c>
      <c r="F765" s="19">
        <v>17</v>
      </c>
      <c r="G765" s="195">
        <v>46013</v>
      </c>
      <c r="H765" s="9" t="str">
        <f>VLOOKUP(TablaCosechas[[#This Row],[COD]],DATOS!$E$3:$F$27,2,0)</f>
        <v>TUNA</v>
      </c>
      <c r="I765" s="9" t="str">
        <f>RIGHT(TablaCosechas[[#This Row],[SECTOR/PISCINA]],2)</f>
        <v>4A</v>
      </c>
      <c r="J765" s="9" t="str">
        <f>VLOOKUP(TablaCosechas[[#This Row],[COD]],Tabla7[#All],4,0)</f>
        <v>GUSTAVO CARRASCO</v>
      </c>
      <c r="K765" s="179">
        <f>(TablaCosechas[[#This Row],[libras planta]]*454)/M765</f>
        <v>167118.9831271091</v>
      </c>
      <c r="L765" s="174">
        <v>6544.88</v>
      </c>
      <c r="M765" s="19">
        <v>17.78</v>
      </c>
      <c r="N765" s="9" t="str">
        <f>UPPER(TEXT(TablaCosechas[[#This Row],[COSECHA]],"MMMM"))</f>
        <v>DICIEMBRE</v>
      </c>
      <c r="O765" s="9" t="str">
        <f>IF(A765="DO 29","BAP",IF(A765="RO 14","BAP",(VLOOKUP(TablaCosechas[[#This Row],[COD]],Tabla7[[CODIGO]:[CERTIFICACION]],3,0))))</f>
        <v>ASC</v>
      </c>
      <c r="P765" s="180">
        <f>+L765-E765</f>
        <v>294.88000000000011</v>
      </c>
      <c r="Q765" s="181">
        <f>+M765-F765</f>
        <v>0.78000000000000114</v>
      </c>
      <c r="R765" s="9"/>
    </row>
    <row r="766" spans="1:18" x14ac:dyDescent="0.25">
      <c r="A766" s="9" t="s">
        <v>143</v>
      </c>
      <c r="B766" s="9">
        <f>ROW() - ROW(TablaCosechas[[#Headers],[ID]]) - 4</f>
        <v>761</v>
      </c>
      <c r="C766" s="9" t="str">
        <f>LEFT(A766,2)</f>
        <v>TA</v>
      </c>
      <c r="D766" s="182" t="s">
        <v>367</v>
      </c>
      <c r="E766" s="178">
        <v>12000</v>
      </c>
      <c r="F766" s="19">
        <v>26</v>
      </c>
      <c r="G766" s="195">
        <v>46013</v>
      </c>
      <c r="H766" s="9" t="str">
        <f>VLOOKUP(TablaCosechas[[#This Row],[COD]],DATOS!$E$3:$F$27,2,0)</f>
        <v>TAMBULERO</v>
      </c>
      <c r="I766" s="9" t="str">
        <f>RIGHT(TablaCosechas[[#This Row],[SECTOR/PISCINA]],2)</f>
        <v>08</v>
      </c>
      <c r="J766" s="9" t="str">
        <f>VLOOKUP(TablaCosechas[[#This Row],[COD]],Tabla7[#All],4,0)</f>
        <v>ALFONSO GRUNAUER</v>
      </c>
      <c r="K766" s="179">
        <f>(TablaCosechas[[#This Row],[libras planta]]*454)/M766</f>
        <v>199714.06744868035</v>
      </c>
      <c r="L766" s="174">
        <v>12000.44</v>
      </c>
      <c r="M766" s="19">
        <v>27.28</v>
      </c>
      <c r="N766" s="9" t="str">
        <f>UPPER(TEXT(TablaCosechas[[#This Row],[COSECHA]],"MMMM"))</f>
        <v>DICIEMBRE</v>
      </c>
      <c r="O766" s="9" t="str">
        <f>IF(A766="DO 29","BAP",IF(A766="RO 14","BAP",(VLOOKUP(TablaCosechas[[#This Row],[COD]],Tabla7[[CODIGO]:[CERTIFICACION]],3,0))))</f>
        <v>CONVENCIONAL</v>
      </c>
      <c r="P766" s="180">
        <f>+L766-E766</f>
        <v>0.44000000000050932</v>
      </c>
      <c r="Q766" s="181">
        <f>+M766-F766</f>
        <v>1.2800000000000011</v>
      </c>
      <c r="R766" s="9"/>
    </row>
    <row r="767" spans="1:18" x14ac:dyDescent="0.25">
      <c r="A767" s="9" t="s">
        <v>299</v>
      </c>
      <c r="B767" s="9">
        <f>ROW() - ROW(TablaCosechas[[#Headers],[ID]]) - 4</f>
        <v>762</v>
      </c>
      <c r="C767" s="9" t="str">
        <f>LEFT(A767,2)</f>
        <v>PR</v>
      </c>
      <c r="D767" s="182" t="s">
        <v>366</v>
      </c>
      <c r="E767" s="178">
        <v>35100</v>
      </c>
      <c r="F767" s="19">
        <v>21</v>
      </c>
      <c r="G767" s="195">
        <v>46013</v>
      </c>
      <c r="H767" s="9" t="str">
        <f>VLOOKUP(TablaCosechas[[#This Row],[COD]],DATOS!$E$3:$F$27,2,0)</f>
        <v>PARGO ROJO</v>
      </c>
      <c r="I767" s="9" t="str">
        <f>RIGHT(TablaCosechas[[#This Row],[SECTOR/PISCINA]],2)</f>
        <v>13</v>
      </c>
      <c r="J767" s="9" t="str">
        <f>VLOOKUP(TablaCosechas[[#This Row],[COD]],Tabla7[#All],4,0)</f>
        <v>WILMER TORRES</v>
      </c>
      <c r="K767" s="179">
        <f>(TablaCosechas[[#This Row],[libras planta]]*454)/M767</f>
        <v>894640.9501466275</v>
      </c>
      <c r="L767" s="174">
        <v>40317.96</v>
      </c>
      <c r="M767" s="19">
        <v>20.46</v>
      </c>
      <c r="N767" s="9" t="str">
        <f>UPPER(TEXT(TablaCosechas[[#This Row],[COSECHA]],"MMMM"))</f>
        <v>DICIEMBRE</v>
      </c>
      <c r="O767" s="9" t="str">
        <f>IF(A767="DO 29","BAP",IF(A767="RO 14","BAP",(VLOOKUP(TablaCosechas[[#This Row],[COD]],Tabla7[[CODIGO]:[CERTIFICACION]],3,0))))</f>
        <v>CONVENCIONAL</v>
      </c>
      <c r="P767" s="180">
        <f>+L767-E767</f>
        <v>5217.9599999999991</v>
      </c>
      <c r="Q767" s="181">
        <f>+M767-F767</f>
        <v>-0.53999999999999915</v>
      </c>
      <c r="R767" s="9"/>
    </row>
    <row r="768" spans="1:18" x14ac:dyDescent="0.25">
      <c r="A768" s="9" t="s">
        <v>326</v>
      </c>
      <c r="B768" s="9">
        <f>ROW() - ROW(TablaCosechas[[#Headers],[ID]]) - 4</f>
        <v>763</v>
      </c>
      <c r="C768" s="9" t="str">
        <f>LEFT(A768,2)</f>
        <v>GT</v>
      </c>
      <c r="D768" s="182" t="s">
        <v>366</v>
      </c>
      <c r="E768" s="178">
        <v>38000</v>
      </c>
      <c r="F768" s="19">
        <v>30</v>
      </c>
      <c r="G768" s="195">
        <v>46013</v>
      </c>
      <c r="H768" s="9" t="str">
        <f>VLOOKUP(TablaCosechas[[#This Row],[COD]],DATOS!$E$3:$F$27,2,0)</f>
        <v>GUATO</v>
      </c>
      <c r="I768" s="9" t="str">
        <f>RIGHT(TablaCosechas[[#This Row],[SECTOR/PISCINA]],2)</f>
        <v>03</v>
      </c>
      <c r="J768" s="9" t="str">
        <f>VLOOKUP(TablaCosechas[[#This Row],[COD]],Tabla7[#All],4,0)</f>
        <v>JULIO SANTOS</v>
      </c>
      <c r="K768" s="179">
        <f>(TablaCosechas[[#This Row],[libras planta]]*454)/M768</f>
        <v>601266.05969148222</v>
      </c>
      <c r="L768" s="174">
        <v>39492.85</v>
      </c>
      <c r="M768" s="19">
        <v>29.82</v>
      </c>
      <c r="N768" s="9" t="str">
        <f>UPPER(TEXT(TablaCosechas[[#This Row],[COSECHA]],"MMMM"))</f>
        <v>DICIEMBRE</v>
      </c>
      <c r="O768" s="9" t="str">
        <f>IF(A768="DO 29","BAP",IF(A768="RO 14","BAP",(VLOOKUP(TablaCosechas[[#This Row],[COD]],Tabla7[[CODIGO]:[CERTIFICACION]],3,0))))</f>
        <v>CONVENCIONAL</v>
      </c>
      <c r="P768" s="180">
        <f>+L768-E768</f>
        <v>1492.8499999999985</v>
      </c>
      <c r="Q768" s="181">
        <f>+M768-F768</f>
        <v>-0.17999999999999972</v>
      </c>
      <c r="R768" s="9"/>
    </row>
    <row r="769" spans="1:18" x14ac:dyDescent="0.25">
      <c r="A769" s="9" t="s">
        <v>137</v>
      </c>
      <c r="B769" s="9">
        <f>ROW() - ROW(TablaCosechas[[#Headers],[ID]]) - 4</f>
        <v>764</v>
      </c>
      <c r="C769" s="9" t="str">
        <f>LEFT(A769,2)</f>
        <v>DO</v>
      </c>
      <c r="D769" s="182" t="s">
        <v>367</v>
      </c>
      <c r="E769" s="178">
        <v>10100</v>
      </c>
      <c r="F769" s="19">
        <v>24</v>
      </c>
      <c r="G769" s="195">
        <v>46013</v>
      </c>
      <c r="H769" s="9" t="str">
        <f>VLOOKUP(TablaCosechas[[#This Row],[COD]],DATOS!$E$3:$F$27,2,0)</f>
        <v>DORADO</v>
      </c>
      <c r="I769" s="9" t="str">
        <f>RIGHT(TablaCosechas[[#This Row],[SECTOR/PISCINA]],2)</f>
        <v>20</v>
      </c>
      <c r="J769" s="9" t="str">
        <f>VLOOKUP(TablaCosechas[[#This Row],[COD]],Tabla7[#All],4,0)</f>
        <v>JOSE CEDEÑO</v>
      </c>
      <c r="K769" s="179">
        <f>(TablaCosechas[[#This Row],[libras planta]]*454)/M769</f>
        <v>175738.54545454544</v>
      </c>
      <c r="L769" s="174">
        <v>9665.619999999999</v>
      </c>
      <c r="M769" s="19">
        <v>24.97</v>
      </c>
      <c r="N769" s="9" t="str">
        <f>UPPER(TEXT(TablaCosechas[[#This Row],[COSECHA]],"MMMM"))</f>
        <v>DICIEMBRE</v>
      </c>
      <c r="O769" s="9" t="str">
        <f>IF(A769="DO 29","BAP",IF(A769="RO 14","BAP",(VLOOKUP(TablaCosechas[[#This Row],[COD]],Tabla7[[CODIGO]:[CERTIFICACION]],3,0))))</f>
        <v>ASC</v>
      </c>
      <c r="P769" s="180">
        <f>+L769-E769</f>
        <v>-434.38000000000102</v>
      </c>
      <c r="Q769" s="181">
        <f>+M769-F769</f>
        <v>0.96999999999999886</v>
      </c>
      <c r="R769" s="9"/>
    </row>
    <row r="770" spans="1:18" x14ac:dyDescent="0.25">
      <c r="A770" s="9" t="s">
        <v>183</v>
      </c>
      <c r="B770" s="9">
        <f>ROW() - ROW(TablaCosechas[[#Headers],[ID]]) - 4</f>
        <v>765</v>
      </c>
      <c r="C770" s="9" t="str">
        <f>LEFT(A770,2)</f>
        <v>DO</v>
      </c>
      <c r="D770" s="182" t="s">
        <v>367</v>
      </c>
      <c r="E770" s="178">
        <v>4200</v>
      </c>
      <c r="F770" s="19">
        <v>16</v>
      </c>
      <c r="G770" s="195">
        <v>46013</v>
      </c>
      <c r="H770" s="9" t="str">
        <f>VLOOKUP(TablaCosechas[[#This Row],[COD]],DATOS!$E$3:$F$27,2,0)</f>
        <v>DORADO</v>
      </c>
      <c r="I770" s="9" t="str">
        <f>RIGHT(TablaCosechas[[#This Row],[SECTOR/PISCINA]],2)</f>
        <v>05</v>
      </c>
      <c r="J770" s="9" t="str">
        <f>VLOOKUP(TablaCosechas[[#This Row],[COD]],Tabla7[#All],4,0)</f>
        <v>JOSE CEDEÑO</v>
      </c>
      <c r="K770" s="179">
        <f>(TablaCosechas[[#This Row],[libras planta]]*454)/M770</f>
        <v>109362.8009205984</v>
      </c>
      <c r="L770" s="174">
        <v>4186.62</v>
      </c>
      <c r="M770" s="19">
        <v>17.38</v>
      </c>
      <c r="N770" s="9" t="str">
        <f>UPPER(TEXT(TablaCosechas[[#This Row],[COSECHA]],"MMMM"))</f>
        <v>DICIEMBRE</v>
      </c>
      <c r="O770" s="9" t="str">
        <f>IF(A770="DO 29","BAP",IF(A770="RO 14","BAP",(VLOOKUP(TablaCosechas[[#This Row],[COD]],Tabla7[[CODIGO]:[CERTIFICACION]],3,0))))</f>
        <v>ASC</v>
      </c>
      <c r="P770" s="180">
        <f>+L770-E770</f>
        <v>-13.380000000000109</v>
      </c>
      <c r="Q770" s="181">
        <f>+M770-F770</f>
        <v>1.379999999999999</v>
      </c>
      <c r="R770" s="9"/>
    </row>
    <row r="771" spans="1:18" x14ac:dyDescent="0.25">
      <c r="A771" s="9" t="s">
        <v>368</v>
      </c>
      <c r="B771" s="9">
        <f>ROW() - ROW(TablaCosechas[[#Headers],[ID]]) - 4</f>
        <v>766</v>
      </c>
      <c r="C771" s="9" t="str">
        <f>LEFT(A771,2)</f>
        <v>DE</v>
      </c>
      <c r="D771" s="182" t="s">
        <v>366</v>
      </c>
      <c r="E771" s="178">
        <v>12600</v>
      </c>
      <c r="F771" s="19">
        <v>32</v>
      </c>
      <c r="G771" s="195">
        <v>46013</v>
      </c>
      <c r="H771" s="9" t="str">
        <f>VLOOKUP(TablaCosechas[[#This Row],[COD]],DATOS!$E$3:$F$27,2,0)</f>
        <v>DELFIN</v>
      </c>
      <c r="I771" s="9" t="str">
        <f>RIGHT(TablaCosechas[[#This Row],[SECTOR/PISCINA]],2)</f>
        <v>26</v>
      </c>
      <c r="J771" s="9" t="str">
        <f>VLOOKUP(TablaCosechas[[#This Row],[COD]],Tabla7[#All],4,0)</f>
        <v>CARLOS FLORES</v>
      </c>
      <c r="K771" s="179">
        <f>(TablaCosechas[[#This Row],[libras planta]]*454)/M771</f>
        <v>181484.06031440487</v>
      </c>
      <c r="L771" s="174">
        <v>12460.04</v>
      </c>
      <c r="M771" s="19">
        <v>31.17</v>
      </c>
      <c r="N771" s="9" t="str">
        <f>UPPER(TEXT(TablaCosechas[[#This Row],[COSECHA]],"MMMM"))</f>
        <v>DICIEMBRE</v>
      </c>
      <c r="O771" s="9" t="str">
        <f>IF(A771="DO 29","BAP",IF(A771="RO 14","BAP",(VLOOKUP(TablaCosechas[[#This Row],[COD]],Tabla7[[CODIGO]:[CERTIFICACION]],3,0))))</f>
        <v>CONVENCIONAL</v>
      </c>
      <c r="P771" s="180">
        <f>+L771-E771</f>
        <v>-139.95999999999913</v>
      </c>
      <c r="Q771" s="181">
        <f>+M771-F771</f>
        <v>-0.82999999999999829</v>
      </c>
      <c r="R771" s="9"/>
    </row>
    <row r="772" spans="1:18" x14ac:dyDescent="0.25">
      <c r="A772" s="9" t="s">
        <v>302</v>
      </c>
      <c r="B772" s="9">
        <f>ROW() - ROW(TablaCosechas[[#Headers],[ID]]) - 4</f>
        <v>767</v>
      </c>
      <c r="C772" s="9" t="str">
        <f>LEFT(A772,2)</f>
        <v>DE</v>
      </c>
      <c r="D772" s="182" t="s">
        <v>367</v>
      </c>
      <c r="E772" s="178">
        <v>6000</v>
      </c>
      <c r="F772" s="19">
        <v>31</v>
      </c>
      <c r="G772" s="195">
        <v>46013</v>
      </c>
      <c r="H772" s="9" t="str">
        <f>VLOOKUP(TablaCosechas[[#This Row],[COD]],DATOS!$E$3:$F$27,2,0)</f>
        <v>DELFIN</v>
      </c>
      <c r="I772" s="9" t="str">
        <f>RIGHT(TablaCosechas[[#This Row],[SECTOR/PISCINA]],2)</f>
        <v>23</v>
      </c>
      <c r="J772" s="9" t="str">
        <f>VLOOKUP(TablaCosechas[[#This Row],[COD]],Tabla7[#All],4,0)</f>
        <v>CARLOS FLORES</v>
      </c>
      <c r="K772" s="179">
        <f>(TablaCosechas[[#This Row],[libras planta]]*454)/M772</f>
        <v>86027.926647564484</v>
      </c>
      <c r="L772" s="174">
        <v>6613.16</v>
      </c>
      <c r="M772" s="19">
        <v>34.9</v>
      </c>
      <c r="N772" s="9" t="str">
        <f>UPPER(TEXT(TablaCosechas[[#This Row],[COSECHA]],"MMMM"))</f>
        <v>DICIEMBRE</v>
      </c>
      <c r="O772" s="9" t="str">
        <f>IF(A772="DO 29","BAP",IF(A772="RO 14","BAP",(VLOOKUP(TablaCosechas[[#This Row],[COD]],Tabla7[[CODIGO]:[CERTIFICACION]],3,0))))</f>
        <v>CONVENCIONAL</v>
      </c>
      <c r="P772" s="180">
        <f>+L772-E772</f>
        <v>613.15999999999985</v>
      </c>
      <c r="Q772" s="181">
        <f>+M772-F772</f>
        <v>3.8999999999999986</v>
      </c>
      <c r="R772" s="9"/>
    </row>
    <row r="773" spans="1:18" x14ac:dyDescent="0.25">
      <c r="A773" s="9" t="s">
        <v>115</v>
      </c>
      <c r="B773" s="9">
        <f>ROW() - ROW(TablaCosechas[[#Headers],[ID]]) - 4</f>
        <v>768</v>
      </c>
      <c r="C773" s="9" t="str">
        <f>LEFT(A773,2)</f>
        <v>DE</v>
      </c>
      <c r="D773" s="182" t="s">
        <v>367</v>
      </c>
      <c r="E773" s="178">
        <v>6000</v>
      </c>
      <c r="F773" s="19">
        <v>33</v>
      </c>
      <c r="G773" s="195">
        <v>46013</v>
      </c>
      <c r="H773" s="9" t="str">
        <f>VLOOKUP(TablaCosechas[[#This Row],[COD]],DATOS!$E$3:$F$27,2,0)</f>
        <v>DELFIN</v>
      </c>
      <c r="I773" s="9" t="str">
        <f>RIGHT(TablaCosechas[[#This Row],[SECTOR/PISCINA]],2)</f>
        <v>19</v>
      </c>
      <c r="J773" s="9" t="str">
        <f>VLOOKUP(TablaCosechas[[#This Row],[COD]],Tabla7[#All],4,0)</f>
        <v>CARLOS FLORES</v>
      </c>
      <c r="K773" s="179">
        <f>(TablaCosechas[[#This Row],[libras planta]]*454)/M773</f>
        <v>86675.675324675307</v>
      </c>
      <c r="L773" s="174">
        <v>6174.21</v>
      </c>
      <c r="M773" s="19">
        <v>32.340000000000003</v>
      </c>
      <c r="N773" s="9" t="str">
        <f>UPPER(TEXT(TablaCosechas[[#This Row],[COSECHA]],"MMMM"))</f>
        <v>DICIEMBRE</v>
      </c>
      <c r="O773" s="9" t="str">
        <f>IF(A773="DO 29","BAP",IF(A773="RO 14","BAP",(VLOOKUP(TablaCosechas[[#This Row],[COD]],Tabla7[[CODIGO]:[CERTIFICACION]],3,0))))</f>
        <v>CONVENCIONAL</v>
      </c>
      <c r="P773" s="180">
        <f>+L773-E773</f>
        <v>174.21000000000004</v>
      </c>
      <c r="Q773" s="181">
        <f>+M773-F773</f>
        <v>-0.65999999999999659</v>
      </c>
      <c r="R773" s="9"/>
    </row>
    <row r="774" spans="1:18" x14ac:dyDescent="0.25">
      <c r="A774" s="9" t="s">
        <v>8</v>
      </c>
      <c r="B774" s="9">
        <f>ROW() - ROW(TablaCosechas[[#Headers],[ID]]) - 4</f>
        <v>769</v>
      </c>
      <c r="C774" s="9" t="str">
        <f>LEFT(A774,2)</f>
        <v>CH</v>
      </c>
      <c r="D774" s="182" t="s">
        <v>366</v>
      </c>
      <c r="E774" s="178">
        <f>48600+10000</f>
        <v>58600</v>
      </c>
      <c r="F774" s="19">
        <v>32</v>
      </c>
      <c r="G774" s="195">
        <v>46013</v>
      </c>
      <c r="H774" s="9" t="str">
        <f>VLOOKUP(TablaCosechas[[#This Row],[COD]],DATOS!$E$3:$F$27,2,0)</f>
        <v>CHERNA</v>
      </c>
      <c r="I774" s="9" t="str">
        <f>RIGHT(TablaCosechas[[#This Row],[SECTOR/PISCINA]],2)</f>
        <v>02</v>
      </c>
      <c r="J774" s="9" t="str">
        <f>VLOOKUP(TablaCosechas[[#This Row],[COD]],Tabla7[#All],4,0)</f>
        <v>SANTIAGO OBRIEN</v>
      </c>
      <c r="K774" s="179">
        <f>(TablaCosechas[[#This Row],[libras planta]]*454)/M774</f>
        <v>910845.27623906697</v>
      </c>
      <c r="L774" s="174">
        <f>43826.09+11225.88</f>
        <v>55051.969999999994</v>
      </c>
      <c r="M774" s="19">
        <v>27.44</v>
      </c>
      <c r="N774" s="9" t="str">
        <f>UPPER(TEXT(TablaCosechas[[#This Row],[COSECHA]],"MMMM"))</f>
        <v>DICIEMBRE</v>
      </c>
      <c r="O774" s="9" t="str">
        <f>IF(A774="DO 29","BAP",IF(A774="RO 14","BAP",(VLOOKUP(TablaCosechas[[#This Row],[COD]],Tabla7[[CODIGO]:[CERTIFICACION]],3,0))))</f>
        <v>ASC</v>
      </c>
      <c r="P774" s="180">
        <f>+L774-E774</f>
        <v>-3548.0300000000061</v>
      </c>
      <c r="Q774" s="181">
        <f>+M774-F774</f>
        <v>-4.5599999999999987</v>
      </c>
      <c r="R774" s="9"/>
    </row>
    <row r="775" spans="1:18" x14ac:dyDescent="0.25">
      <c r="A775" s="9" t="s">
        <v>110</v>
      </c>
      <c r="B775" s="9">
        <f>ROW() - ROW(TablaCosechas[[#Headers],[ID]]) - 4</f>
        <v>770</v>
      </c>
      <c r="C775" s="9" t="str">
        <f>LEFT(A775,2)</f>
        <v>CA</v>
      </c>
      <c r="D775" s="182" t="s">
        <v>367</v>
      </c>
      <c r="E775" s="178">
        <v>8000</v>
      </c>
      <c r="F775" s="19">
        <v>23.5</v>
      </c>
      <c r="G775" s="195">
        <v>46013</v>
      </c>
      <c r="H775" s="9" t="str">
        <f>VLOOKUP(TablaCosechas[[#This Row],[COD]],DATOS!$E$3:$F$27,2,0)</f>
        <v>CATANUDA</v>
      </c>
      <c r="I775" s="9" t="str">
        <f>RIGHT(TablaCosechas[[#This Row],[SECTOR/PISCINA]],2)</f>
        <v>17</v>
      </c>
      <c r="J775" s="9" t="str">
        <f>VLOOKUP(TablaCosechas[[#This Row],[COD]],Tabla7[#All],4,0)</f>
        <v>VICTOR QUINTANA</v>
      </c>
      <c r="K775" s="179">
        <f>(TablaCosechas[[#This Row],[libras planta]]*454)/M775</f>
        <v>133684.50033400135</v>
      </c>
      <c r="L775" s="174">
        <v>8816.11</v>
      </c>
      <c r="M775" s="19">
        <v>29.94</v>
      </c>
      <c r="N775" s="9" t="str">
        <f>UPPER(TEXT(TablaCosechas[[#This Row],[COSECHA]],"MMMM"))</f>
        <v>DICIEMBRE</v>
      </c>
      <c r="O775" s="9" t="str">
        <f>IF(A775="DO 29","BAP",IF(A775="RO 14","BAP",(VLOOKUP(TablaCosechas[[#This Row],[COD]],Tabla7[[CODIGO]:[CERTIFICACION]],3,0))))</f>
        <v>ASC</v>
      </c>
      <c r="P775" s="180">
        <f>+L775-E775</f>
        <v>816.11000000000058</v>
      </c>
      <c r="Q775" s="181">
        <f>+M775-F775</f>
        <v>6.4400000000000013</v>
      </c>
      <c r="R775" s="9"/>
    </row>
    <row r="776" spans="1:18" x14ac:dyDescent="0.25">
      <c r="A776" s="9" t="s">
        <v>163</v>
      </c>
      <c r="B776" s="9">
        <f>ROW() - ROW(TablaCosechas[[#Headers],[ID]]) - 4</f>
        <v>771</v>
      </c>
      <c r="C776" s="9" t="str">
        <f>LEFT(A776,2)</f>
        <v>WA</v>
      </c>
      <c r="D776" s="182" t="s">
        <v>367</v>
      </c>
      <c r="E776" s="178">
        <v>17350</v>
      </c>
      <c r="F776" s="19">
        <v>21.5</v>
      </c>
      <c r="G776" s="195">
        <v>46014</v>
      </c>
      <c r="H776" s="9" t="str">
        <f>VLOOKUP(TablaCosechas[[#This Row],[COD]],DATOS!$E$3:$F$27,2,0)</f>
        <v>WAHOO</v>
      </c>
      <c r="I776" s="9" t="str">
        <f>RIGHT(TablaCosechas[[#This Row],[SECTOR/PISCINA]],2)</f>
        <v>37</v>
      </c>
      <c r="J776" s="9" t="str">
        <f>VLOOKUP(TablaCosechas[[#This Row],[COD]],Tabla7[#All],4,0)</f>
        <v>JUNIOR ESQUIVEL</v>
      </c>
      <c r="K776" s="179">
        <f>(TablaCosechas[[#This Row],[libras planta]]*454)/M776</f>
        <v>350515.42143505905</v>
      </c>
      <c r="L776" s="174">
        <v>17000.77</v>
      </c>
      <c r="M776" s="19">
        <v>22.02</v>
      </c>
      <c r="N776" s="9" t="str">
        <f>UPPER(TEXT(TablaCosechas[[#This Row],[COSECHA]],"MMMM"))</f>
        <v>DICIEMBRE</v>
      </c>
      <c r="O776" s="9" t="str">
        <f>IF(A776="DO 29","BAP",IF(A776="RO 14","BAP",(VLOOKUP(TablaCosechas[[#This Row],[COD]],Tabla7[[CODIGO]:[CERTIFICACION]],3,0))))</f>
        <v>CONVENCIONAL</v>
      </c>
      <c r="P776" s="180">
        <f>+L776-E776</f>
        <v>-349.22999999999956</v>
      </c>
      <c r="Q776" s="181">
        <f>+M776-F776</f>
        <v>0.51999999999999957</v>
      </c>
      <c r="R776" s="9"/>
    </row>
    <row r="777" spans="1:18" x14ac:dyDescent="0.25">
      <c r="A777" s="9" t="s">
        <v>349</v>
      </c>
      <c r="B777" s="9">
        <f>ROW() - ROW(TablaCosechas[[#Headers],[ID]]) - 4</f>
        <v>772</v>
      </c>
      <c r="C777" s="9" t="str">
        <f>LEFT(A777,2)</f>
        <v>WA</v>
      </c>
      <c r="D777" s="182" t="s">
        <v>366</v>
      </c>
      <c r="E777" s="178">
        <v>18700</v>
      </c>
      <c r="F777" s="19">
        <v>25</v>
      </c>
      <c r="G777" s="195">
        <v>46014</v>
      </c>
      <c r="H777" s="9" t="str">
        <f>VLOOKUP(TablaCosechas[[#This Row],[COD]],DATOS!$E$3:$F$27,2,0)</f>
        <v>WAHOO</v>
      </c>
      <c r="I777" s="9" t="str">
        <f>RIGHT(TablaCosechas[[#This Row],[SECTOR/PISCINA]],2)</f>
        <v>28</v>
      </c>
      <c r="J777" s="9" t="str">
        <f>VLOOKUP(TablaCosechas[[#This Row],[COD]],Tabla7[#All],4,0)</f>
        <v>JUNIOR ESQUIVEL</v>
      </c>
      <c r="K777" s="179">
        <f>(TablaCosechas[[#This Row],[libras planta]]*454)/M777</f>
        <v>350878.44</v>
      </c>
      <c r="L777" s="174">
        <v>20480.79</v>
      </c>
      <c r="M777" s="19">
        <v>26.5</v>
      </c>
      <c r="N777" s="9" t="str">
        <f>UPPER(TEXT(TablaCosechas[[#This Row],[COSECHA]],"MMMM"))</f>
        <v>DICIEMBRE</v>
      </c>
      <c r="O777" s="9" t="str">
        <f>IF(A777="DO 29","BAP",IF(A777="RO 14","BAP",(VLOOKUP(TablaCosechas[[#This Row],[COD]],Tabla7[[CODIGO]:[CERTIFICACION]],3,0))))</f>
        <v>CONVENCIONAL</v>
      </c>
      <c r="P777" s="180">
        <f>+L777-E777</f>
        <v>1780.7900000000009</v>
      </c>
      <c r="Q777" s="181">
        <f>+M777-F777</f>
        <v>1.5</v>
      </c>
      <c r="R777" s="9"/>
    </row>
    <row r="778" spans="1:18" x14ac:dyDescent="0.25">
      <c r="A778" s="9" t="s">
        <v>189</v>
      </c>
      <c r="B778" s="9">
        <f>ROW() - ROW(TablaCosechas[[#Headers],[ID]]) - 4</f>
        <v>773</v>
      </c>
      <c r="C778" s="9" t="str">
        <f>LEFT(A778,2)</f>
        <v>TU</v>
      </c>
      <c r="D778" s="182" t="s">
        <v>367</v>
      </c>
      <c r="E778" s="178">
        <v>3200</v>
      </c>
      <c r="F778" s="19">
        <v>17</v>
      </c>
      <c r="G778" s="195">
        <v>46014</v>
      </c>
      <c r="H778" s="9" t="str">
        <f>VLOOKUP(TablaCosechas[[#This Row],[COD]],DATOS!$E$3:$F$27,2,0)</f>
        <v>TUNA</v>
      </c>
      <c r="I778" s="9" t="str">
        <f>RIGHT(TablaCosechas[[#This Row],[SECTOR/PISCINA]],2)</f>
        <v>03</v>
      </c>
      <c r="J778" s="9" t="str">
        <f>VLOOKUP(TablaCosechas[[#This Row],[COD]],Tabla7[#All],4,0)</f>
        <v>GUSTAVO CARRASCO</v>
      </c>
      <c r="K778" s="179">
        <f>(TablaCosechas[[#This Row],[libras planta]]*454)/M778</f>
        <v>93962.325524044398</v>
      </c>
      <c r="L778" s="174">
        <v>3356.98</v>
      </c>
      <c r="M778" s="19">
        <v>16.22</v>
      </c>
      <c r="N778" s="9" t="str">
        <f>UPPER(TEXT(TablaCosechas[[#This Row],[COSECHA]],"MMMM"))</f>
        <v>DICIEMBRE</v>
      </c>
      <c r="O778" s="9" t="str">
        <f>IF(A778="DO 29","BAP",IF(A778="RO 14","BAP",(VLOOKUP(TablaCosechas[[#This Row],[COD]],Tabla7[[CODIGO]:[CERTIFICACION]],3,0))))</f>
        <v>ASC</v>
      </c>
      <c r="P778" s="180">
        <f>+L778-E778</f>
        <v>156.98000000000002</v>
      </c>
      <c r="Q778" s="181">
        <f>+M778-F778</f>
        <v>-0.78000000000000114</v>
      </c>
      <c r="R778" s="9"/>
    </row>
    <row r="779" spans="1:18" x14ac:dyDescent="0.25">
      <c r="A779" s="9" t="s">
        <v>176</v>
      </c>
      <c r="B779" s="9">
        <f>ROW() - ROW(TablaCosechas[[#Headers],[ID]]) - 4</f>
        <v>774</v>
      </c>
      <c r="C779" s="9" t="str">
        <f>LEFT(A779,2)</f>
        <v>TA</v>
      </c>
      <c r="D779" s="182" t="s">
        <v>367</v>
      </c>
      <c r="E779" s="178">
        <v>10200</v>
      </c>
      <c r="F779" s="19">
        <v>23</v>
      </c>
      <c r="G779" s="195">
        <v>46014</v>
      </c>
      <c r="H779" s="9" t="str">
        <f>VLOOKUP(TablaCosechas[[#This Row],[COD]],DATOS!$E$3:$F$27,2,0)</f>
        <v>TAMBULERO</v>
      </c>
      <c r="I779" s="9" t="str">
        <f>RIGHT(TablaCosechas[[#This Row],[SECTOR/PISCINA]],2)</f>
        <v>15</v>
      </c>
      <c r="J779" s="9" t="str">
        <f>VLOOKUP(TablaCosechas[[#This Row],[COD]],Tabla7[#All],4,0)</f>
        <v>ALFONSO GRUNAUER</v>
      </c>
      <c r="K779" s="179">
        <f>(TablaCosechas[[#This Row],[libras planta]]*454)/M779</f>
        <v>248481.97858319606</v>
      </c>
      <c r="L779" s="174">
        <v>13288.86</v>
      </c>
      <c r="M779" s="19">
        <v>24.28</v>
      </c>
      <c r="N779" s="9" t="str">
        <f>UPPER(TEXT(TablaCosechas[[#This Row],[COSECHA]],"MMMM"))</f>
        <v>DICIEMBRE</v>
      </c>
      <c r="O779" s="9" t="str">
        <f>IF(A779="DO 29","BAP",IF(A779="RO 14","BAP",(VLOOKUP(TablaCosechas[[#This Row],[COD]],Tabla7[[CODIGO]:[CERTIFICACION]],3,0))))</f>
        <v>CONVENCIONAL</v>
      </c>
      <c r="P779" s="180">
        <f>+L779-E779</f>
        <v>3088.8600000000006</v>
      </c>
      <c r="Q779" s="181">
        <f>+M779-F779</f>
        <v>1.2800000000000011</v>
      </c>
      <c r="R779" s="9"/>
    </row>
    <row r="780" spans="1:18" x14ac:dyDescent="0.25">
      <c r="A780" s="9" t="s">
        <v>180</v>
      </c>
      <c r="B780" s="9">
        <f>ROW() - ROW(TablaCosechas[[#Headers],[ID]]) - 4</f>
        <v>775</v>
      </c>
      <c r="C780" s="9" t="str">
        <f>LEFT(A780,2)</f>
        <v>TA</v>
      </c>
      <c r="D780" s="182" t="s">
        <v>367</v>
      </c>
      <c r="E780" s="178">
        <v>5600</v>
      </c>
      <c r="F780" s="19">
        <v>20</v>
      </c>
      <c r="G780" s="195">
        <v>46014</v>
      </c>
      <c r="H780" s="9" t="str">
        <f>VLOOKUP(TablaCosechas[[#This Row],[COD]],DATOS!$E$3:$F$27,2,0)</f>
        <v>TAMBULERO</v>
      </c>
      <c r="I780" s="9" t="str">
        <f>RIGHT(TablaCosechas[[#This Row],[SECTOR/PISCINA]],2)</f>
        <v>03</v>
      </c>
      <c r="J780" s="9" t="str">
        <f>VLOOKUP(TablaCosechas[[#This Row],[COD]],Tabla7[#All],4,0)</f>
        <v>ALFONSO GRUNAUER</v>
      </c>
      <c r="K780" s="179">
        <f>(TablaCosechas[[#This Row],[libras planta]]*454)/M780</f>
        <v>125364.7615457116</v>
      </c>
      <c r="L780" s="174">
        <v>5859.56</v>
      </c>
      <c r="M780" s="19">
        <v>21.22</v>
      </c>
      <c r="N780" s="9" t="str">
        <f>UPPER(TEXT(TablaCosechas[[#This Row],[COSECHA]],"MMMM"))</f>
        <v>DICIEMBRE</v>
      </c>
      <c r="O780" s="9" t="str">
        <f>IF(A780="DO 29","BAP",IF(A780="RO 14","BAP",(VLOOKUP(TablaCosechas[[#This Row],[COD]],Tabla7[[CODIGO]:[CERTIFICACION]],3,0))))</f>
        <v>CONVENCIONAL</v>
      </c>
      <c r="P780" s="180">
        <f>+L780-E780</f>
        <v>259.5600000000004</v>
      </c>
      <c r="Q780" s="181">
        <f>+M780-F780</f>
        <v>1.2199999999999989</v>
      </c>
      <c r="R780" s="9"/>
    </row>
    <row r="781" spans="1:18" x14ac:dyDescent="0.25">
      <c r="A781" s="9" t="s">
        <v>129</v>
      </c>
      <c r="B781" s="9">
        <f>ROW() - ROW(TablaCosechas[[#Headers],[ID]]) - 4</f>
        <v>776</v>
      </c>
      <c r="C781" s="9" t="str">
        <f>LEFT(A781,2)</f>
        <v>RO</v>
      </c>
      <c r="D781" s="182" t="s">
        <v>367</v>
      </c>
      <c r="E781" s="178">
        <v>3750</v>
      </c>
      <c r="F781" s="19">
        <v>28</v>
      </c>
      <c r="G781" s="195">
        <v>46014</v>
      </c>
      <c r="H781" s="9" t="str">
        <f>VLOOKUP(TablaCosechas[[#This Row],[COD]],DATOS!$E$3:$F$27,2,0)</f>
        <v>ROBALO</v>
      </c>
      <c r="I781" s="9" t="str">
        <f>RIGHT(TablaCosechas[[#This Row],[SECTOR/PISCINA]],2)</f>
        <v>11</v>
      </c>
      <c r="J781" s="9" t="str">
        <f>VLOOKUP(TablaCosechas[[#This Row],[COD]],Tabla7[#All],4,0)</f>
        <v>VICTOR QUINTANA</v>
      </c>
      <c r="K781" s="179">
        <f>(TablaCosechas[[#This Row],[libras planta]]*454)/M781</f>
        <v>62874.861979166664</v>
      </c>
      <c r="L781" s="174">
        <v>4254.4399999999996</v>
      </c>
      <c r="M781" s="19">
        <v>30.72</v>
      </c>
      <c r="N781" s="9" t="str">
        <f>UPPER(TEXT(TablaCosechas[[#This Row],[COSECHA]],"MMMM"))</f>
        <v>DICIEMBRE</v>
      </c>
      <c r="O781" s="9" t="str">
        <f>IF(A781="DO 29","BAP",IF(A781="RO 14","BAP",(VLOOKUP(TablaCosechas[[#This Row],[COD]],Tabla7[[CODIGO]:[CERTIFICACION]],3,0))))</f>
        <v>ASC</v>
      </c>
      <c r="P781" s="180">
        <f>+L781-E781</f>
        <v>504.4399999999996</v>
      </c>
      <c r="Q781" s="181">
        <f>+M781-F781</f>
        <v>2.7199999999999989</v>
      </c>
      <c r="R781" s="9"/>
    </row>
    <row r="782" spans="1:18" x14ac:dyDescent="0.25">
      <c r="A782" s="9" t="s">
        <v>321</v>
      </c>
      <c r="B782" s="9">
        <f>ROW() - ROW(TablaCosechas[[#Headers],[ID]]) - 4</f>
        <v>777</v>
      </c>
      <c r="C782" s="9" t="str">
        <f>LEFT(A782,2)</f>
        <v>GT</v>
      </c>
      <c r="D782" s="182" t="s">
        <v>366</v>
      </c>
      <c r="E782" s="178">
        <v>19600</v>
      </c>
      <c r="F782" s="19">
        <v>30</v>
      </c>
      <c r="G782" s="195">
        <v>46014</v>
      </c>
      <c r="H782" s="9" t="str">
        <f>VLOOKUP(TablaCosechas[[#This Row],[COD]],DATOS!$E$3:$F$27,2,0)</f>
        <v>GUATO</v>
      </c>
      <c r="I782" s="9" t="str">
        <f>RIGHT(TablaCosechas[[#This Row],[SECTOR/PISCINA]],2)</f>
        <v>02</v>
      </c>
      <c r="J782" s="9" t="str">
        <f>VLOOKUP(TablaCosechas[[#This Row],[COD]],Tabla7[#All],4,0)</f>
        <v>JULIO SANTOS</v>
      </c>
      <c r="K782" s="179">
        <f>(TablaCosechas[[#This Row],[libras planta]]*454)/M782</f>
        <v>320196.44167758845</v>
      </c>
      <c r="L782" s="174">
        <v>21525.1</v>
      </c>
      <c r="M782" s="19">
        <v>30.52</v>
      </c>
      <c r="N782" s="9" t="str">
        <f>UPPER(TEXT(TablaCosechas[[#This Row],[COSECHA]],"MMMM"))</f>
        <v>DICIEMBRE</v>
      </c>
      <c r="O782" s="9" t="str">
        <f>IF(A782="DO 29","BAP",IF(A782="RO 14","BAP",(VLOOKUP(TablaCosechas[[#This Row],[COD]],Tabla7[[CODIGO]:[CERTIFICACION]],3,0))))</f>
        <v>CONVENCIONAL</v>
      </c>
      <c r="P782" s="180">
        <f>+L782-E782</f>
        <v>1925.0999999999985</v>
      </c>
      <c r="Q782" s="181">
        <f>+M782-F782</f>
        <v>0.51999999999999957</v>
      </c>
      <c r="R782" s="9"/>
    </row>
    <row r="783" spans="1:18" x14ac:dyDescent="0.25">
      <c r="A783" s="9" t="s">
        <v>307</v>
      </c>
      <c r="B783" s="9">
        <f>ROW() - ROW(TablaCosechas[[#Headers],[ID]]) - 4</f>
        <v>778</v>
      </c>
      <c r="C783" s="9" t="str">
        <f>LEFT(A783,2)</f>
        <v>DO</v>
      </c>
      <c r="D783" s="182" t="s">
        <v>366</v>
      </c>
      <c r="E783" s="178">
        <v>39500</v>
      </c>
      <c r="F783" s="19">
        <v>40</v>
      </c>
      <c r="G783" s="195">
        <v>46014</v>
      </c>
      <c r="H783" s="9" t="str">
        <f>VLOOKUP(TablaCosechas[[#This Row],[COD]],DATOS!$E$3:$F$27,2,0)</f>
        <v>DORADO</v>
      </c>
      <c r="I783" s="9" t="str">
        <f>RIGHT(TablaCosechas[[#This Row],[SECTOR/PISCINA]],2)</f>
        <v>24</v>
      </c>
      <c r="J783" s="9" t="str">
        <f>VLOOKUP(TablaCosechas[[#This Row],[COD]],Tabla7[#All],4,0)</f>
        <v>JOSE CEDEÑO</v>
      </c>
      <c r="K783" s="179">
        <f>(TablaCosechas[[#This Row],[libras planta]]*454)/M783</f>
        <v>386748.59813084116</v>
      </c>
      <c r="L783" s="174">
        <v>36460</v>
      </c>
      <c r="M783" s="19">
        <v>42.8</v>
      </c>
      <c r="N783" s="9" t="str">
        <f>UPPER(TEXT(TablaCosechas[[#This Row],[COSECHA]],"MMMM"))</f>
        <v>DICIEMBRE</v>
      </c>
      <c r="O783" s="9" t="str">
        <f>IF(A783="DO 29","BAP",IF(A783="RO 14","BAP",(VLOOKUP(TablaCosechas[[#This Row],[COD]],Tabla7[[CODIGO]:[CERTIFICACION]],3,0))))</f>
        <v>ASC</v>
      </c>
      <c r="P783" s="180">
        <f>+L783-E783</f>
        <v>-3040</v>
      </c>
      <c r="Q783" s="181">
        <f>+M783-F783</f>
        <v>2.7999999999999972</v>
      </c>
      <c r="R783" s="9"/>
    </row>
    <row r="784" spans="1:18" x14ac:dyDescent="0.25">
      <c r="A784" s="9" t="s">
        <v>169</v>
      </c>
      <c r="B784" s="9">
        <f>ROW() - ROW(TablaCosechas[[#Headers],[ID]]) - 4</f>
        <v>779</v>
      </c>
      <c r="C784" s="9" t="str">
        <f>LEFT(A784,2)</f>
        <v>DO</v>
      </c>
      <c r="D784" s="182" t="s">
        <v>367</v>
      </c>
      <c r="E784" s="178">
        <v>12000</v>
      </c>
      <c r="F784" s="19">
        <v>24</v>
      </c>
      <c r="G784" s="195">
        <v>46014</v>
      </c>
      <c r="H784" s="9" t="str">
        <f>VLOOKUP(TablaCosechas[[#This Row],[COD]],DATOS!$E$3:$F$27,2,0)</f>
        <v>DORADO</v>
      </c>
      <c r="I784" s="9" t="str">
        <f>RIGHT(TablaCosechas[[#This Row],[SECTOR/PISCINA]],2)</f>
        <v>12</v>
      </c>
      <c r="J784" s="9" t="str">
        <f>VLOOKUP(TablaCosechas[[#This Row],[COD]],Tabla7[#All],4,0)</f>
        <v>JOSE CEDEÑO</v>
      </c>
      <c r="K784" s="179">
        <f>(TablaCosechas[[#This Row],[libras planta]]*454)/M784</f>
        <v>207385.26107977435</v>
      </c>
      <c r="L784" s="174">
        <v>11337.67</v>
      </c>
      <c r="M784" s="19">
        <v>24.82</v>
      </c>
      <c r="N784" s="9" t="str">
        <f>UPPER(TEXT(TablaCosechas[[#This Row],[COSECHA]],"MMMM"))</f>
        <v>DICIEMBRE</v>
      </c>
      <c r="O784" s="9" t="str">
        <f>IF(A784="DO 29","BAP",IF(A784="RO 14","BAP",(VLOOKUP(TablaCosechas[[#This Row],[COD]],Tabla7[[CODIGO]:[CERTIFICACION]],3,0))))</f>
        <v>ASC</v>
      </c>
      <c r="P784" s="180">
        <f>+L784-E784</f>
        <v>-662.32999999999993</v>
      </c>
      <c r="Q784" s="181">
        <f>+M784-F784</f>
        <v>0.82000000000000028</v>
      </c>
      <c r="R784" s="9"/>
    </row>
    <row r="785" spans="1:18" x14ac:dyDescent="0.25">
      <c r="A785" s="9" t="s">
        <v>125</v>
      </c>
      <c r="B785" s="9">
        <f>ROW() - ROW(TablaCosechas[[#Headers],[ID]]) - 4</f>
        <v>780</v>
      </c>
      <c r="C785" s="9" t="str">
        <f>LEFT(A785,2)</f>
        <v>DE</v>
      </c>
      <c r="D785" s="182" t="s">
        <v>367</v>
      </c>
      <c r="E785" s="178">
        <v>8000</v>
      </c>
      <c r="F785" s="19">
        <v>25</v>
      </c>
      <c r="G785" s="195">
        <v>46014</v>
      </c>
      <c r="H785" s="9" t="str">
        <f>VLOOKUP(TablaCosechas[[#This Row],[COD]],DATOS!$E$3:$F$27,2,0)</f>
        <v>DELFIN</v>
      </c>
      <c r="I785" s="9" t="str">
        <f>RIGHT(TablaCosechas[[#This Row],[SECTOR/PISCINA]],2)</f>
        <v>15</v>
      </c>
      <c r="J785" s="9" t="str">
        <f>VLOOKUP(TablaCosechas[[#This Row],[COD]],Tabla7[#All],4,0)</f>
        <v>CARLOS FLORES</v>
      </c>
      <c r="K785" s="179">
        <f>(TablaCosechas[[#This Row],[libras planta]]*454)/M785</f>
        <v>150060.217721519</v>
      </c>
      <c r="L785" s="174">
        <v>7833.54</v>
      </c>
      <c r="M785" s="19">
        <v>23.7</v>
      </c>
      <c r="N785" s="9" t="str">
        <f>UPPER(TEXT(TablaCosechas[[#This Row],[COSECHA]],"MMMM"))</f>
        <v>DICIEMBRE</v>
      </c>
      <c r="O785" s="9" t="str">
        <f>IF(A785="DO 29","BAP",IF(A785="RO 14","BAP",(VLOOKUP(TablaCosechas[[#This Row],[COD]],Tabla7[[CODIGO]:[CERTIFICACION]],3,0))))</f>
        <v>CONVENCIONAL</v>
      </c>
      <c r="P785" s="180">
        <f>+L785-E785</f>
        <v>-166.46000000000004</v>
      </c>
      <c r="Q785" s="181">
        <f>+M785-F785</f>
        <v>-1.3000000000000007</v>
      </c>
      <c r="R785" s="9"/>
    </row>
    <row r="786" spans="1:18" x14ac:dyDescent="0.25">
      <c r="A786" s="9" t="s">
        <v>341</v>
      </c>
      <c r="B786" s="9">
        <f>ROW() - ROW(TablaCosechas[[#Headers],[ID]]) - 4</f>
        <v>781</v>
      </c>
      <c r="C786" s="9" t="str">
        <f>LEFT(A786,2)</f>
        <v>WA</v>
      </c>
      <c r="D786" s="182" t="s">
        <v>366</v>
      </c>
      <c r="E786" s="178">
        <v>18500</v>
      </c>
      <c r="F786" s="19">
        <v>26</v>
      </c>
      <c r="G786" s="195">
        <v>46015</v>
      </c>
      <c r="H786" s="9" t="str">
        <f>VLOOKUP(TablaCosechas[[#This Row],[COD]],DATOS!$E$3:$F$27,2,0)</f>
        <v>WAHOO</v>
      </c>
      <c r="I786" s="9" t="str">
        <f>RIGHT(TablaCosechas[[#This Row],[SECTOR/PISCINA]],2)</f>
        <v>05</v>
      </c>
      <c r="J786" s="9" t="str">
        <f>VLOOKUP(TablaCosechas[[#This Row],[COD]],Tabla7[#All],4,0)</f>
        <v>JUNIOR ESQUIVEL</v>
      </c>
      <c r="K786" s="179">
        <f>(TablaCosechas[[#This Row],[libras planta]]*454)/M786</f>
        <v>337440.18874643877</v>
      </c>
      <c r="L786" s="174">
        <v>20870.75</v>
      </c>
      <c r="M786" s="19">
        <v>28.08</v>
      </c>
      <c r="N786" s="9" t="str">
        <f>UPPER(TEXT(TablaCosechas[[#This Row],[COSECHA]],"MMMM"))</f>
        <v>DICIEMBRE</v>
      </c>
      <c r="O786" s="9" t="str">
        <f>IF(A786="DO 29","BAP",IF(A786="RO 14","BAP",(VLOOKUP(TablaCosechas[[#This Row],[COD]],Tabla7[[CODIGO]:[CERTIFICACION]],3,0))))</f>
        <v>CONVENCIONAL</v>
      </c>
      <c r="P786" s="180">
        <f>+L786-E786</f>
        <v>2370.75</v>
      </c>
      <c r="Q786" s="181">
        <f>+M786-F786</f>
        <v>2.0799999999999983</v>
      </c>
      <c r="R786" s="9"/>
    </row>
    <row r="787" spans="1:18" x14ac:dyDescent="0.25">
      <c r="A787" s="9" t="s">
        <v>327</v>
      </c>
      <c r="B787" s="9">
        <f>ROW() - ROW(TablaCosechas[[#Headers],[ID]]) - 4</f>
        <v>782</v>
      </c>
      <c r="C787" s="9" t="str">
        <f>LEFT(A787,2)</f>
        <v>GT</v>
      </c>
      <c r="D787" s="182" t="s">
        <v>366</v>
      </c>
      <c r="E787" s="178">
        <v>15900</v>
      </c>
      <c r="F787" s="19">
        <v>30</v>
      </c>
      <c r="G787" s="195">
        <v>46015</v>
      </c>
      <c r="H787" s="9" t="str">
        <f>VLOOKUP(TablaCosechas[[#This Row],[COD]],DATOS!$E$3:$F$27,2,0)</f>
        <v>GUATO</v>
      </c>
      <c r="I787" s="9" t="str">
        <f>RIGHT(TablaCosechas[[#This Row],[SECTOR/PISCINA]],2)</f>
        <v>08</v>
      </c>
      <c r="J787" s="9" t="str">
        <f>VLOOKUP(TablaCosechas[[#This Row],[COD]],Tabla7[#All],4,0)</f>
        <v>JULIO SANTOS</v>
      </c>
      <c r="K787" s="179">
        <f>(TablaCosechas[[#This Row],[libras planta]]*454)/M787</f>
        <v>255440.54663923182</v>
      </c>
      <c r="L787" s="174">
        <v>16406.71</v>
      </c>
      <c r="M787" s="19">
        <v>29.16</v>
      </c>
      <c r="N787" s="9" t="str">
        <f>UPPER(TEXT(TablaCosechas[[#This Row],[COSECHA]],"MMMM"))</f>
        <v>DICIEMBRE</v>
      </c>
      <c r="O787" s="9" t="str">
        <f>IF(A787="DO 29","BAP",IF(A787="RO 14","BAP",(VLOOKUP(TablaCosechas[[#This Row],[COD]],Tabla7[[CODIGO]:[CERTIFICACION]],3,0))))</f>
        <v>CONVENCIONAL</v>
      </c>
      <c r="P787" s="180">
        <f>+L787-E787</f>
        <v>506.70999999999913</v>
      </c>
      <c r="Q787" s="181">
        <f>+M787-F787</f>
        <v>-0.83999999999999986</v>
      </c>
      <c r="R787" s="9"/>
    </row>
    <row r="788" spans="1:18" x14ac:dyDescent="0.25">
      <c r="A788" s="9" t="s">
        <v>326</v>
      </c>
      <c r="B788" s="9">
        <f>ROW() - ROW(TablaCosechas[[#Headers],[ID]]) - 4</f>
        <v>783</v>
      </c>
      <c r="C788" s="9" t="str">
        <f>LEFT(A788,2)</f>
        <v>GT</v>
      </c>
      <c r="D788" s="182" t="s">
        <v>366</v>
      </c>
      <c r="E788" s="178">
        <v>8700</v>
      </c>
      <c r="F788" s="19">
        <v>30</v>
      </c>
      <c r="G788" s="195">
        <v>46015</v>
      </c>
      <c r="H788" s="9" t="str">
        <f>VLOOKUP(TablaCosechas[[#This Row],[COD]],DATOS!$E$3:$F$27,2,0)</f>
        <v>GUATO</v>
      </c>
      <c r="I788" s="9" t="str">
        <f>RIGHT(TablaCosechas[[#This Row],[SECTOR/PISCINA]],2)</f>
        <v>03</v>
      </c>
      <c r="J788" s="9" t="str">
        <f>VLOOKUP(TablaCosechas[[#This Row],[COD]],Tabla7[#All],4,0)</f>
        <v>JULIO SANTOS</v>
      </c>
      <c r="K788" s="179">
        <f>(TablaCosechas[[#This Row],[libras planta]]*454)/M788</f>
        <v>157994.88302139039</v>
      </c>
      <c r="L788" s="174">
        <v>10412.35</v>
      </c>
      <c r="M788" s="19">
        <v>29.92</v>
      </c>
      <c r="N788" s="9" t="str">
        <f>UPPER(TEXT(TablaCosechas[[#This Row],[COSECHA]],"MMMM"))</f>
        <v>DICIEMBRE</v>
      </c>
      <c r="O788" s="9" t="str">
        <f>IF(A788="DO 29","BAP",IF(A788="RO 14","BAP",(VLOOKUP(TablaCosechas[[#This Row],[COD]],Tabla7[[CODIGO]:[CERTIFICACION]],3,0))))</f>
        <v>CONVENCIONAL</v>
      </c>
      <c r="P788" s="180">
        <f>+L788-E788</f>
        <v>1712.3500000000004</v>
      </c>
      <c r="Q788" s="181">
        <f>+M788-F788</f>
        <v>-7.9999999999998295E-2</v>
      </c>
      <c r="R788" s="9"/>
    </row>
    <row r="789" spans="1:18" x14ac:dyDescent="0.25">
      <c r="A789" s="9" t="s">
        <v>293</v>
      </c>
      <c r="B789" s="9">
        <f>ROW() - ROW(TablaCosechas[[#Headers],[ID]]) - 4</f>
        <v>784</v>
      </c>
      <c r="C789" s="9" t="str">
        <f>LEFT(A789,2)</f>
        <v>TA</v>
      </c>
      <c r="D789" s="182" t="s">
        <v>366</v>
      </c>
      <c r="E789" s="178">
        <v>39900</v>
      </c>
      <c r="F789" s="19">
        <v>38.5</v>
      </c>
      <c r="G789" s="195">
        <v>46017</v>
      </c>
      <c r="H789" s="9" t="str">
        <f>VLOOKUP(TablaCosechas[[#This Row],[COD]],DATOS!$E$3:$F$27,2,0)</f>
        <v>TAMBULERO</v>
      </c>
      <c r="I789" s="9" t="str">
        <f>RIGHT(TablaCosechas[[#This Row],[SECTOR/PISCINA]],2)</f>
        <v>12</v>
      </c>
      <c r="J789" s="9" t="str">
        <f>VLOOKUP(TablaCosechas[[#This Row],[COD]],Tabla7[#All],4,0)</f>
        <v>ALFONSO GRUNAUER</v>
      </c>
      <c r="K789" s="179">
        <f>(TablaCosechas[[#This Row],[libras planta]]*454)/M789</f>
        <v>500467.68104860734</v>
      </c>
      <c r="L789" s="174">
        <v>40368.120000000003</v>
      </c>
      <c r="M789" s="19">
        <v>36.619999999999997</v>
      </c>
      <c r="N789" s="9" t="str">
        <f>UPPER(TEXT(TablaCosechas[[#This Row],[COSECHA]],"MMMM"))</f>
        <v>DICIEMBRE</v>
      </c>
      <c r="O789" s="9" t="str">
        <f>IF(A789="DO 29","BAP",IF(A789="RO 14","BAP",(VLOOKUP(TablaCosechas[[#This Row],[COD]],Tabla7[[CODIGO]:[CERTIFICACION]],3,0))))</f>
        <v>CONVENCIONAL</v>
      </c>
      <c r="P789" s="180">
        <f>+L789-E789</f>
        <v>468.12000000000262</v>
      </c>
      <c r="Q789" s="181">
        <f>+M789-F789</f>
        <v>-1.8800000000000026</v>
      </c>
      <c r="R789" s="9"/>
    </row>
    <row r="790" spans="1:18" x14ac:dyDescent="0.25">
      <c r="A790" s="9" t="s">
        <v>332</v>
      </c>
      <c r="B790" s="9">
        <f>ROW() - ROW(TablaCosechas[[#Headers],[ID]]) - 4</f>
        <v>785</v>
      </c>
      <c r="C790" s="9" t="str">
        <f>LEFT(A790,2)</f>
        <v>PA</v>
      </c>
      <c r="D790" s="182" t="s">
        <v>366</v>
      </c>
      <c r="E790" s="178">
        <f>74500</f>
        <v>74500</v>
      </c>
      <c r="F790" s="19">
        <v>39</v>
      </c>
      <c r="G790" s="195">
        <v>46017</v>
      </c>
      <c r="H790" s="9" t="str">
        <f>VLOOKUP(TablaCosechas[[#This Row],[COD]],DATOS!$E$3:$F$27,2,0)</f>
        <v>PAMPANO</v>
      </c>
      <c r="I790" s="9" t="str">
        <f>RIGHT(TablaCosechas[[#This Row],[SECTOR/PISCINA]],2)</f>
        <v>12</v>
      </c>
      <c r="J790" s="9" t="str">
        <f>VLOOKUP(TablaCosechas[[#This Row],[COD]],Tabla7[#All],4,0)</f>
        <v>GUSTAVO CARRASCO</v>
      </c>
      <c r="K790" s="179">
        <f>(TablaCosechas[[#This Row],[libras planta]]*454)/M790</f>
        <v>854073.59336543595</v>
      </c>
      <c r="L790" s="174">
        <v>70319.98</v>
      </c>
      <c r="M790" s="19">
        <v>37.380000000000003</v>
      </c>
      <c r="N790" s="9" t="str">
        <f>UPPER(TEXT(TablaCosechas[[#This Row],[COSECHA]],"MMMM"))</f>
        <v>DICIEMBRE</v>
      </c>
      <c r="O790" s="9" t="str">
        <f>IF(A790="DO 29","BAP",IF(A790="RO 14","BAP",(VLOOKUP(TablaCosechas[[#This Row],[COD]],Tabla7[[CODIGO]:[CERTIFICACION]],3,0))))</f>
        <v>ASC</v>
      </c>
      <c r="P790" s="180">
        <f>+L790-E790</f>
        <v>-4180.0200000000041</v>
      </c>
      <c r="Q790" s="181">
        <f>+M790-F790</f>
        <v>-1.6199999999999974</v>
      </c>
      <c r="R790" s="9"/>
    </row>
    <row r="791" spans="1:18" x14ac:dyDescent="0.25">
      <c r="A791" s="9" t="s">
        <v>134</v>
      </c>
      <c r="B791" s="9">
        <f>ROW() - ROW(TablaCosechas[[#Headers],[ID]]) - 4</f>
        <v>786</v>
      </c>
      <c r="C791" s="9" t="str">
        <f>LEFT(A791,2)</f>
        <v>GT</v>
      </c>
      <c r="D791" s="182" t="s">
        <v>367</v>
      </c>
      <c r="E791" s="178">
        <v>4000</v>
      </c>
      <c r="F791" s="19">
        <v>24</v>
      </c>
      <c r="G791" s="195">
        <v>46017</v>
      </c>
      <c r="H791" s="9" t="str">
        <f>VLOOKUP(TablaCosechas[[#This Row],[COD]],DATOS!$E$3:$F$27,2,0)</f>
        <v>GUATO</v>
      </c>
      <c r="I791" s="9" t="str">
        <f>RIGHT(TablaCosechas[[#This Row],[SECTOR/PISCINA]],2)</f>
        <v>21</v>
      </c>
      <c r="J791" s="9" t="str">
        <f>VLOOKUP(TablaCosechas[[#This Row],[COD]],Tabla7[#All],4,0)</f>
        <v>JULIO SANTOS</v>
      </c>
      <c r="K791" s="179">
        <f>(TablaCosechas[[#This Row],[libras planta]]*454)/M791</f>
        <v>85931.537878787873</v>
      </c>
      <c r="L791" s="174">
        <v>4497.21</v>
      </c>
      <c r="M791" s="19">
        <v>23.76</v>
      </c>
      <c r="N791" s="9" t="str">
        <f>UPPER(TEXT(TablaCosechas[[#This Row],[COSECHA]],"MMMM"))</f>
        <v>DICIEMBRE</v>
      </c>
      <c r="O791" s="9" t="str">
        <f>IF(A791="DO 29","BAP",IF(A791="RO 14","BAP",(VLOOKUP(TablaCosechas[[#This Row],[COD]],Tabla7[[CODIGO]:[CERTIFICACION]],3,0))))</f>
        <v>CONVENCIONAL</v>
      </c>
      <c r="P791" s="180">
        <f>+L791-E791</f>
        <v>497.21000000000004</v>
      </c>
      <c r="Q791" s="181">
        <f>+M791-F791</f>
        <v>-0.23999999999999844</v>
      </c>
      <c r="R791" s="9"/>
    </row>
    <row r="792" spans="1:18" x14ac:dyDescent="0.25">
      <c r="A792" s="9" t="s">
        <v>308</v>
      </c>
      <c r="B792" s="9">
        <f>ROW() - ROW(TablaCosechas[[#Headers],[ID]]) - 4</f>
        <v>787</v>
      </c>
      <c r="C792" s="9" t="str">
        <f>LEFT(A792,2)</f>
        <v>DO</v>
      </c>
      <c r="D792" s="182" t="s">
        <v>366</v>
      </c>
      <c r="E792" s="178">
        <v>33000</v>
      </c>
      <c r="F792" s="19">
        <v>42</v>
      </c>
      <c r="G792" s="195">
        <v>46017</v>
      </c>
      <c r="H792" s="9" t="str">
        <f>VLOOKUP(TablaCosechas[[#This Row],[COD]],DATOS!$E$3:$F$27,2,0)</f>
        <v>DORADO</v>
      </c>
      <c r="I792" s="9" t="str">
        <f>RIGHT(TablaCosechas[[#This Row],[SECTOR/PISCINA]],2)</f>
        <v>26</v>
      </c>
      <c r="J792" s="9" t="str">
        <f>VLOOKUP(TablaCosechas[[#This Row],[COD]],Tabla7[#All],4,0)</f>
        <v>JOSE CEDEÑO</v>
      </c>
      <c r="K792" s="179">
        <f>(TablaCosechas[[#This Row],[libras planta]]*454)/M792</f>
        <v>297979.30058539071</v>
      </c>
      <c r="L792" s="174">
        <v>25787.68</v>
      </c>
      <c r="M792" s="19">
        <v>39.29</v>
      </c>
      <c r="N792" s="9" t="str">
        <f>UPPER(TEXT(TablaCosechas[[#This Row],[COSECHA]],"MMMM"))</f>
        <v>DICIEMBRE</v>
      </c>
      <c r="O792" s="9" t="str">
        <f>IF(A792="DO 29","BAP",IF(A792="RO 14","BAP",(VLOOKUP(TablaCosechas[[#This Row],[COD]],Tabla7[[CODIGO]:[CERTIFICACION]],3,0))))</f>
        <v>ASC</v>
      </c>
      <c r="P792" s="180">
        <f>+L792-E792</f>
        <v>-7212.32</v>
      </c>
      <c r="Q792" s="181">
        <f>+M792-F792</f>
        <v>-2.7100000000000009</v>
      </c>
      <c r="R792" s="9"/>
    </row>
    <row r="793" spans="1:18" x14ac:dyDescent="0.25">
      <c r="A793" s="9" t="s">
        <v>184</v>
      </c>
      <c r="B793" s="9">
        <f>ROW() - ROW(TablaCosechas[[#Headers],[ID]]) - 4</f>
        <v>788</v>
      </c>
      <c r="C793" s="9" t="str">
        <f>LEFT(A793,2)</f>
        <v>DO</v>
      </c>
      <c r="D793" s="182" t="s">
        <v>367</v>
      </c>
      <c r="E793" s="178">
        <v>10150</v>
      </c>
      <c r="F793" s="19">
        <v>20</v>
      </c>
      <c r="G793" s="195">
        <v>46017</v>
      </c>
      <c r="H793" s="9" t="str">
        <f>VLOOKUP(TablaCosechas[[#This Row],[COD]],DATOS!$E$3:$F$27,2,0)</f>
        <v>DORADO</v>
      </c>
      <c r="I793" s="9" t="str">
        <f>RIGHT(TablaCosechas[[#This Row],[SECTOR/PISCINA]],2)</f>
        <v>19</v>
      </c>
      <c r="J793" s="9" t="str">
        <f>VLOOKUP(TablaCosechas[[#This Row],[COD]],Tabla7[#All],4,0)</f>
        <v>JOSE CEDEÑO</v>
      </c>
      <c r="K793" s="179">
        <f>(TablaCosechas[[#This Row],[libras planta]]*454)/M793</f>
        <v>231713.90435606061</v>
      </c>
      <c r="L793" s="174">
        <v>10779.29</v>
      </c>
      <c r="M793" s="19">
        <v>21.12</v>
      </c>
      <c r="N793" s="9" t="str">
        <f>UPPER(TEXT(TablaCosechas[[#This Row],[COSECHA]],"MMMM"))</f>
        <v>DICIEMBRE</v>
      </c>
      <c r="O793" s="9" t="str">
        <f>IF(A793="DO 29","BAP",IF(A793="RO 14","BAP",(VLOOKUP(TablaCosechas[[#This Row],[COD]],Tabla7[[CODIGO]:[CERTIFICACION]],3,0))))</f>
        <v>ASC</v>
      </c>
      <c r="P793" s="180">
        <f>+L793-E793</f>
        <v>629.29000000000087</v>
      </c>
      <c r="Q793" s="181">
        <f>+M793-F793</f>
        <v>1.120000000000001</v>
      </c>
      <c r="R793" s="9"/>
    </row>
    <row r="794" spans="1:18" x14ac:dyDescent="0.25">
      <c r="A794" s="9" t="s">
        <v>302</v>
      </c>
      <c r="B794" s="9">
        <f>ROW() - ROW(TablaCosechas[[#Headers],[ID]]) - 4</f>
        <v>789</v>
      </c>
      <c r="C794" s="9" t="str">
        <f>LEFT(A794,2)</f>
        <v>DE</v>
      </c>
      <c r="D794" s="182" t="s">
        <v>366</v>
      </c>
      <c r="E794" s="178">
        <f>20000+900</f>
        <v>20900</v>
      </c>
      <c r="F794" s="19">
        <v>33</v>
      </c>
      <c r="G794" s="195">
        <v>46017</v>
      </c>
      <c r="H794" s="9" t="str">
        <f>VLOOKUP(TablaCosechas[[#This Row],[COD]],DATOS!$E$3:$F$27,2,0)</f>
        <v>DELFIN</v>
      </c>
      <c r="I794" s="9" t="str">
        <f>RIGHT(TablaCosechas[[#This Row],[SECTOR/PISCINA]],2)</f>
        <v>23</v>
      </c>
      <c r="J794" s="9" t="str">
        <f>VLOOKUP(TablaCosechas[[#This Row],[COD]],Tabla7[#All],4,0)</f>
        <v>CARLOS FLORES</v>
      </c>
      <c r="K794" s="179">
        <f>(TablaCosechas[[#This Row],[libras planta]]*454)/M794</f>
        <v>289715.33293160587</v>
      </c>
      <c r="L794" s="174">
        <f>20249.5+930.35</f>
        <v>21179.85</v>
      </c>
      <c r="M794" s="19">
        <v>33.19</v>
      </c>
      <c r="N794" s="9" t="str">
        <f>UPPER(TEXT(TablaCosechas[[#This Row],[COSECHA]],"MMMM"))</f>
        <v>DICIEMBRE</v>
      </c>
      <c r="O794" s="9" t="str">
        <f>IF(A794="DO 29","BAP",IF(A794="RO 14","BAP",(VLOOKUP(TablaCosechas[[#This Row],[COD]],Tabla7[[CODIGO]:[CERTIFICACION]],3,0))))</f>
        <v>CONVENCIONAL</v>
      </c>
      <c r="P794" s="180">
        <f>+L794-E794</f>
        <v>279.84999999999854</v>
      </c>
      <c r="Q794" s="181">
        <f>+M794-F794</f>
        <v>0.18999999999999773</v>
      </c>
      <c r="R794" s="9"/>
    </row>
    <row r="795" spans="1:18" x14ac:dyDescent="0.25">
      <c r="A795" s="9" t="s">
        <v>23</v>
      </c>
      <c r="B795" s="9">
        <f>ROW() - ROW(TablaCosechas[[#Headers],[ID]]) - 4</f>
        <v>790</v>
      </c>
      <c r="C795" s="9" t="str">
        <f>LEFT(A795,2)</f>
        <v>CH</v>
      </c>
      <c r="D795" s="182" t="s">
        <v>367</v>
      </c>
      <c r="E795" s="178">
        <v>9800</v>
      </c>
      <c r="F795" s="19">
        <v>30</v>
      </c>
      <c r="G795" s="195">
        <v>46017</v>
      </c>
      <c r="H795" s="9" t="str">
        <f>VLOOKUP(TablaCosechas[[#This Row],[COD]],DATOS!$E$3:$F$27,2,0)</f>
        <v>CHERNA</v>
      </c>
      <c r="I795" s="9" t="str">
        <f>RIGHT(TablaCosechas[[#This Row],[SECTOR/PISCINA]],2)</f>
        <v>18</v>
      </c>
      <c r="J795" s="9" t="str">
        <f>VLOOKUP(TablaCosechas[[#This Row],[COD]],Tabla7[#All],4,0)</f>
        <v>SANTIAGO OBRIEN</v>
      </c>
      <c r="K795" s="179">
        <f>(TablaCosechas[[#This Row],[libras planta]]*454)/M795</f>
        <v>160467.90505050507</v>
      </c>
      <c r="L795" s="174">
        <v>10497.57</v>
      </c>
      <c r="M795" s="19">
        <v>29.7</v>
      </c>
      <c r="N795" s="9" t="str">
        <f>UPPER(TEXT(TablaCosechas[[#This Row],[COSECHA]],"MMMM"))</f>
        <v>DICIEMBRE</v>
      </c>
      <c r="O795" s="9" t="str">
        <f>IF(A795="DO 29","BAP",IF(A795="RO 14","BAP",(VLOOKUP(TablaCosechas[[#This Row],[COD]],Tabla7[[CODIGO]:[CERTIFICACION]],3,0))))</f>
        <v>ASC</v>
      </c>
      <c r="P795" s="180">
        <f>+L795-E795</f>
        <v>697.56999999999971</v>
      </c>
      <c r="Q795" s="181">
        <f>+M795-F795</f>
        <v>-0.30000000000000071</v>
      </c>
      <c r="R795" s="9"/>
    </row>
    <row r="796" spans="1:18" x14ac:dyDescent="0.25">
      <c r="A796" s="9" t="s">
        <v>322</v>
      </c>
      <c r="B796" s="9">
        <f>ROW() - ROW(TablaCosechas[[#Headers],[ID]]) - 4</f>
        <v>791</v>
      </c>
      <c r="C796" s="9" t="str">
        <f>LEFT(A796,2)</f>
        <v>TI</v>
      </c>
      <c r="D796" s="182" t="s">
        <v>366</v>
      </c>
      <c r="E796" s="178">
        <v>28000</v>
      </c>
      <c r="F796" s="19">
        <v>37.5</v>
      </c>
      <c r="G796" s="195">
        <v>46018</v>
      </c>
      <c r="H796" s="9" t="str">
        <f>VLOOKUP(TablaCosechas[[#This Row],[COD]],DATOS!$E$3:$F$27,2,0)</f>
        <v>TIBURON</v>
      </c>
      <c r="I796" s="9" t="str">
        <f>RIGHT(TablaCosechas[[#This Row],[SECTOR/PISCINA]],2)</f>
        <v>12</v>
      </c>
      <c r="J796" s="9" t="str">
        <f>VLOOKUP(TablaCosechas[[#This Row],[COD]],Tabla7[#All],4,0)</f>
        <v>ALFONSO GRUNAUER</v>
      </c>
      <c r="K796" s="179">
        <f>(TablaCosechas[[#This Row],[libras planta]]*454)/M796</f>
        <v>345884.22268470342</v>
      </c>
      <c r="L796" s="174">
        <v>29285.88</v>
      </c>
      <c r="M796" s="19">
        <v>38.44</v>
      </c>
      <c r="N796" s="9" t="str">
        <f>UPPER(TEXT(TablaCosechas[[#This Row],[COSECHA]],"MMMM"))</f>
        <v>DICIEMBRE</v>
      </c>
      <c r="O796" s="9" t="str">
        <f>IF(A796="DO 29","BAP",IF(A796="RO 14","BAP",(VLOOKUP(TablaCosechas[[#This Row],[COD]],Tabla7[[CODIGO]:[CERTIFICACION]],3,0))))</f>
        <v>ASC</v>
      </c>
      <c r="P796" s="180">
        <f>+L796-E796</f>
        <v>1285.880000000001</v>
      </c>
      <c r="Q796" s="181">
        <f>+M796-F796</f>
        <v>0.93999999999999773</v>
      </c>
      <c r="R796" s="9"/>
    </row>
    <row r="797" spans="1:18" x14ac:dyDescent="0.25">
      <c r="A797" s="9" t="s">
        <v>198</v>
      </c>
      <c r="B797" s="9">
        <f>ROW() - ROW(TablaCosechas[[#Headers],[ID]]) - 4</f>
        <v>792</v>
      </c>
      <c r="C797" s="9" t="str">
        <f>LEFT(A797,2)</f>
        <v>RO</v>
      </c>
      <c r="D797" s="182" t="s">
        <v>367</v>
      </c>
      <c r="E797" s="178">
        <v>7500</v>
      </c>
      <c r="F797" s="19">
        <v>18</v>
      </c>
      <c r="G797" s="195">
        <v>46018</v>
      </c>
      <c r="H797" s="9" t="str">
        <f>VLOOKUP(TablaCosechas[[#This Row],[COD]],DATOS!$E$3:$F$27,2,0)</f>
        <v>ROBALO</v>
      </c>
      <c r="I797" s="9" t="str">
        <f>RIGHT(TablaCosechas[[#This Row],[SECTOR/PISCINA]],2)</f>
        <v>14</v>
      </c>
      <c r="J797" s="9" t="str">
        <f>VLOOKUP(TablaCosechas[[#This Row],[COD]],Tabla7[#All],4,0)</f>
        <v>VICTOR QUINTANA</v>
      </c>
      <c r="K797" s="179">
        <f>(TablaCosechas[[#This Row],[libras planta]]*454)/M797</f>
        <v>189630.15489989461</v>
      </c>
      <c r="L797" s="174">
        <v>7927.71</v>
      </c>
      <c r="M797" s="19">
        <v>18.98</v>
      </c>
      <c r="N797" s="9" t="str">
        <f>UPPER(TEXT(TablaCosechas[[#This Row],[COSECHA]],"MMMM"))</f>
        <v>DICIEMBRE</v>
      </c>
      <c r="O797" s="9" t="str">
        <f>IF(A797="DO 29","BAP",IF(A797="RO 14","BAP",(VLOOKUP(TablaCosechas[[#This Row],[COD]],Tabla7[[CODIGO]:[CERTIFICACION]],3,0))))</f>
        <v>BAP</v>
      </c>
      <c r="P797" s="180">
        <f>+L797-E797</f>
        <v>427.71000000000004</v>
      </c>
      <c r="Q797" s="181">
        <f>+M797-F797</f>
        <v>0.98000000000000043</v>
      </c>
      <c r="R797" s="9"/>
    </row>
    <row r="798" spans="1:18" x14ac:dyDescent="0.25">
      <c r="A798" s="9" t="s">
        <v>332</v>
      </c>
      <c r="B798" s="9">
        <f>ROW() - ROW(TablaCosechas[[#Headers],[ID]]) - 4</f>
        <v>793</v>
      </c>
      <c r="C798" s="9" t="str">
        <f>LEFT(A798,2)</f>
        <v>PA</v>
      </c>
      <c r="D798" s="182" t="s">
        <v>366</v>
      </c>
      <c r="E798" s="178">
        <v>2700</v>
      </c>
      <c r="F798" s="19">
        <v>39</v>
      </c>
      <c r="G798" s="195">
        <v>46018</v>
      </c>
      <c r="H798" s="9" t="str">
        <f>VLOOKUP(TablaCosechas[[#This Row],[COD]],DATOS!$E$3:$F$27,2,0)</f>
        <v>PAMPANO</v>
      </c>
      <c r="I798" s="9" t="str">
        <f>RIGHT(TablaCosechas[[#This Row],[SECTOR/PISCINA]],2)</f>
        <v>12</v>
      </c>
      <c r="J798" s="9" t="str">
        <f>VLOOKUP(TablaCosechas[[#This Row],[COD]],Tabla7[#All],4,0)</f>
        <v>GUSTAVO CARRASCO</v>
      </c>
      <c r="K798" s="179">
        <f>(TablaCosechas[[#This Row],[libras planta]]*454)/M798</f>
        <v>29719.388978063133</v>
      </c>
      <c r="L798" s="174">
        <v>2446.94</v>
      </c>
      <c r="M798" s="19">
        <v>37.380000000000003</v>
      </c>
      <c r="N798" s="9" t="str">
        <f>UPPER(TEXT(TablaCosechas[[#This Row],[COSECHA]],"MMMM"))</f>
        <v>DICIEMBRE</v>
      </c>
      <c r="O798" s="9" t="str">
        <f>IF(A798="DO 29","BAP",IF(A798="RO 14","BAP",(VLOOKUP(TablaCosechas[[#This Row],[COD]],Tabla7[[CODIGO]:[CERTIFICACION]],3,0))))</f>
        <v>ASC</v>
      </c>
      <c r="P798" s="180">
        <f>+L798-E798</f>
        <v>-253.05999999999995</v>
      </c>
      <c r="Q798" s="181">
        <f>+M798-F798</f>
        <v>-1.6199999999999974</v>
      </c>
      <c r="R798" s="9"/>
    </row>
    <row r="799" spans="1:18" x14ac:dyDescent="0.25">
      <c r="A799" s="9" t="s">
        <v>140</v>
      </c>
      <c r="B799" s="9">
        <f>ROW() - ROW(TablaCosechas[[#Headers],[ID]]) - 4</f>
        <v>794</v>
      </c>
      <c r="C799" s="9" t="str">
        <f>LEFT(A799,2)</f>
        <v>GT</v>
      </c>
      <c r="D799" s="182" t="s">
        <v>367</v>
      </c>
      <c r="E799" s="178">
        <v>5100</v>
      </c>
      <c r="F799" s="19">
        <v>23</v>
      </c>
      <c r="G799" s="195">
        <v>46018</v>
      </c>
      <c r="H799" s="9" t="str">
        <f>VLOOKUP(TablaCosechas[[#This Row],[COD]],DATOS!$E$3:$F$27,2,0)</f>
        <v>GUATO</v>
      </c>
      <c r="I799" s="9" t="str">
        <f>RIGHT(TablaCosechas[[#This Row],[SECTOR/PISCINA]],2)</f>
        <v>18</v>
      </c>
      <c r="J799" s="9" t="str">
        <f>VLOOKUP(TablaCosechas[[#This Row],[COD]],Tabla7[#All],4,0)</f>
        <v>JULIO SANTOS</v>
      </c>
      <c r="K799" s="179">
        <f>(TablaCosechas[[#This Row],[libras planta]]*454)/M799</f>
        <v>104090.76778866639</v>
      </c>
      <c r="L799" s="174">
        <v>5381.08</v>
      </c>
      <c r="M799" s="19">
        <v>23.47</v>
      </c>
      <c r="N799" s="9" t="str">
        <f>UPPER(TEXT(TablaCosechas[[#This Row],[COSECHA]],"MMMM"))</f>
        <v>DICIEMBRE</v>
      </c>
      <c r="O799" s="9" t="str">
        <f>IF(A799="DO 29","BAP",IF(A799="RO 14","BAP",(VLOOKUP(TablaCosechas[[#This Row],[COD]],Tabla7[[CODIGO]:[CERTIFICACION]],3,0))))</f>
        <v>CONVENCIONAL</v>
      </c>
      <c r="P799" s="180">
        <f>+L799-E799</f>
        <v>281.07999999999993</v>
      </c>
      <c r="Q799" s="181">
        <f>+M799-F799</f>
        <v>0.46999999999999886</v>
      </c>
      <c r="R799" s="9"/>
    </row>
    <row r="800" spans="1:18" x14ac:dyDescent="0.25">
      <c r="A800" s="9" t="s">
        <v>159</v>
      </c>
      <c r="B800" s="9">
        <f>ROW() - ROW(TablaCosechas[[#Headers],[ID]]) - 4</f>
        <v>795</v>
      </c>
      <c r="C800" s="9" t="str">
        <f>LEFT(A800,2)</f>
        <v>DO</v>
      </c>
      <c r="D800" s="182" t="s">
        <v>367</v>
      </c>
      <c r="E800" s="178">
        <v>21200</v>
      </c>
      <c r="F800" s="19">
        <v>30</v>
      </c>
      <c r="G800" s="195">
        <v>46018</v>
      </c>
      <c r="H800" s="9" t="str">
        <f>VLOOKUP(TablaCosechas[[#This Row],[COD]],DATOS!$E$3:$F$27,2,0)</f>
        <v>DORADO</v>
      </c>
      <c r="I800" s="9" t="str">
        <f>RIGHT(TablaCosechas[[#This Row],[SECTOR/PISCINA]],2)</f>
        <v>23</v>
      </c>
      <c r="J800" s="9" t="str">
        <f>VLOOKUP(TablaCosechas[[#This Row],[COD]],Tabla7[#All],4,0)</f>
        <v>JOSE CEDEÑO</v>
      </c>
      <c r="K800" s="179">
        <f>(TablaCosechas[[#This Row],[libras planta]]*454)/M800</f>
        <v>300268.12018906145</v>
      </c>
      <c r="L800" s="174">
        <v>19590.18</v>
      </c>
      <c r="M800" s="19">
        <v>29.62</v>
      </c>
      <c r="N800" s="9" t="str">
        <f>UPPER(TEXT(TablaCosechas[[#This Row],[COSECHA]],"MMMM"))</f>
        <v>DICIEMBRE</v>
      </c>
      <c r="O800" s="9" t="str">
        <f>IF(A800="DO 29","BAP",IF(A800="RO 14","BAP",(VLOOKUP(TablaCosechas[[#This Row],[COD]],Tabla7[[CODIGO]:[CERTIFICACION]],3,0))))</f>
        <v>ASC</v>
      </c>
      <c r="P800" s="180">
        <f>+L800-E800</f>
        <v>-1609.8199999999997</v>
      </c>
      <c r="Q800" s="181">
        <f>+M800-F800</f>
        <v>-0.37999999999999901</v>
      </c>
      <c r="R800" s="9"/>
    </row>
    <row r="801" spans="1:18" x14ac:dyDescent="0.25">
      <c r="A801" s="9" t="s">
        <v>16</v>
      </c>
      <c r="B801" s="9">
        <f>ROW() - ROW(TablaCosechas[[#Headers],[ID]]) - 4</f>
        <v>796</v>
      </c>
      <c r="C801" s="9" t="str">
        <f>LEFT(A801,2)</f>
        <v>CH</v>
      </c>
      <c r="D801" s="182" t="s">
        <v>366</v>
      </c>
      <c r="E801" s="178">
        <f>57750+500</f>
        <v>58250</v>
      </c>
      <c r="F801" s="19">
        <v>30.5</v>
      </c>
      <c r="G801" s="195">
        <v>46018</v>
      </c>
      <c r="H801" s="9" t="str">
        <f>VLOOKUP(TablaCosechas[[#This Row],[COD]],DATOS!$E$3:$F$27,2,0)</f>
        <v>CHERNA</v>
      </c>
      <c r="I801" s="9" t="str">
        <f>RIGHT(TablaCosechas[[#This Row],[SECTOR/PISCINA]],2)</f>
        <v>10</v>
      </c>
      <c r="J801" s="9" t="str">
        <f>VLOOKUP(TablaCosechas[[#This Row],[COD]],Tabla7[#All],4,0)</f>
        <v>SANTIAGO OBRIEN</v>
      </c>
      <c r="K801" s="179">
        <f>(TablaCosechas[[#This Row],[libras planta]]*454)/M801</f>
        <v>901813.36050156725</v>
      </c>
      <c r="L801" s="174">
        <f>56365.6+663.17</f>
        <v>57028.77</v>
      </c>
      <c r="M801" s="19">
        <v>28.71</v>
      </c>
      <c r="N801" s="9" t="str">
        <f>UPPER(TEXT(TablaCosechas[[#This Row],[COSECHA]],"MMMM"))</f>
        <v>DICIEMBRE</v>
      </c>
      <c r="O801" s="9" t="str">
        <f>IF(A801="DO 29","BAP",IF(A801="RO 14","BAP",(VLOOKUP(TablaCosechas[[#This Row],[COD]],Tabla7[[CODIGO]:[CERTIFICACION]],3,0))))</f>
        <v>ASC</v>
      </c>
      <c r="P801" s="180">
        <f>+L801-E801</f>
        <v>-1221.2300000000032</v>
      </c>
      <c r="Q801" s="181">
        <f>+M801-F801</f>
        <v>-1.7899999999999991</v>
      </c>
      <c r="R801" s="9"/>
    </row>
    <row r="802" spans="1:18" x14ac:dyDescent="0.25">
      <c r="A802" s="9" t="s">
        <v>215</v>
      </c>
      <c r="B802" s="9">
        <f>ROW() - ROW(TablaCosechas[[#Headers],[ID]]) - 4</f>
        <v>797</v>
      </c>
      <c r="C802" s="9" t="str">
        <f>LEFT(A802,2)</f>
        <v>RO</v>
      </c>
      <c r="D802" s="182" t="s">
        <v>367</v>
      </c>
      <c r="E802" s="178">
        <v>11200</v>
      </c>
      <c r="F802" s="19">
        <v>18</v>
      </c>
      <c r="G802" s="195">
        <v>46019</v>
      </c>
      <c r="H802" s="9" t="str">
        <f>VLOOKUP(TablaCosechas[[#This Row],[COD]],DATOS!$E$3:$F$27,2,0)</f>
        <v>ROBALO</v>
      </c>
      <c r="I802" s="9" t="str">
        <f>RIGHT(TablaCosechas[[#This Row],[SECTOR/PISCINA]],2)</f>
        <v>03</v>
      </c>
      <c r="J802" s="9" t="str">
        <f>VLOOKUP(TablaCosechas[[#This Row],[COD]],Tabla7[#All],4,0)</f>
        <v>VICTOR QUINTANA</v>
      </c>
      <c r="K802" s="179">
        <f>(TablaCosechas[[#This Row],[libras planta]]*454)/M802</f>
        <v>280951.04270833335</v>
      </c>
      <c r="L802" s="174">
        <v>11881.63</v>
      </c>
      <c r="M802" s="19">
        <v>19.2</v>
      </c>
      <c r="N802" s="9" t="str">
        <f>UPPER(TEXT(TablaCosechas[[#This Row],[COSECHA]],"MMMM"))</f>
        <v>DICIEMBRE</v>
      </c>
      <c r="O802" s="9" t="str">
        <f>IF(A802="DO 29","BAP",IF(A802="RO 14","BAP",(VLOOKUP(TablaCosechas[[#This Row],[COD]],Tabla7[[CODIGO]:[CERTIFICACION]],3,0))))</f>
        <v>ASC</v>
      </c>
      <c r="P802" s="180">
        <f>+L802-E802</f>
        <v>681.6299999999992</v>
      </c>
      <c r="Q802" s="181">
        <f>+M802-F802</f>
        <v>1.1999999999999993</v>
      </c>
      <c r="R802" s="9"/>
    </row>
    <row r="803" spans="1:18" x14ac:dyDescent="0.25">
      <c r="A803" s="9" t="s">
        <v>175</v>
      </c>
      <c r="B803" s="9">
        <f>ROW() - ROW(TablaCosechas[[#Headers],[ID]]) - 4</f>
        <v>798</v>
      </c>
      <c r="C803" s="9" t="str">
        <f>LEFT(A803,2)</f>
        <v>PA</v>
      </c>
      <c r="D803" s="182" t="s">
        <v>367</v>
      </c>
      <c r="E803" s="178">
        <v>4000</v>
      </c>
      <c r="F803" s="19">
        <v>15</v>
      </c>
      <c r="G803" s="195">
        <v>46019</v>
      </c>
      <c r="H803" s="9" t="str">
        <f>VLOOKUP(TablaCosechas[[#This Row],[COD]],DATOS!$E$3:$F$27,2,0)</f>
        <v>PAMPANO</v>
      </c>
      <c r="I803" s="9" t="str">
        <f>RIGHT(TablaCosechas[[#This Row],[SECTOR/PISCINA]],2)</f>
        <v>09</v>
      </c>
      <c r="J803" s="9" t="str">
        <f>VLOOKUP(TablaCosechas[[#This Row],[COD]],Tabla7[#All],4,0)</f>
        <v>GUSTAVO CARRASCO</v>
      </c>
      <c r="K803" s="179">
        <f>(TablaCosechas[[#This Row],[libras planta]]*454)/M803</f>
        <v>85494.227747389363</v>
      </c>
      <c r="L803" s="174">
        <v>3786.98</v>
      </c>
      <c r="M803" s="19">
        <v>20.11</v>
      </c>
      <c r="N803" s="9" t="str">
        <f>UPPER(TEXT(TablaCosechas[[#This Row],[COSECHA]],"MMMM"))</f>
        <v>DICIEMBRE</v>
      </c>
      <c r="O803" s="9" t="str">
        <f>IF(A803="DO 29","BAP",IF(A803="RO 14","BAP",(VLOOKUP(TablaCosechas[[#This Row],[COD]],Tabla7[[CODIGO]:[CERTIFICACION]],3,0))))</f>
        <v>ASC</v>
      </c>
      <c r="P803" s="180">
        <f>+L803-E803</f>
        <v>-213.01999999999998</v>
      </c>
      <c r="Q803" s="181">
        <f>+M803-F803</f>
        <v>5.1099999999999994</v>
      </c>
      <c r="R803" s="9"/>
    </row>
    <row r="804" spans="1:18" x14ac:dyDescent="0.25">
      <c r="A804" s="9" t="s">
        <v>197</v>
      </c>
      <c r="B804" s="9">
        <f>ROW() - ROW(TablaCosechas[[#Headers],[ID]]) - 4</f>
        <v>799</v>
      </c>
      <c r="C804" s="9" t="str">
        <f>LEFT(A804,2)</f>
        <v>PA</v>
      </c>
      <c r="D804" s="182" t="s">
        <v>367</v>
      </c>
      <c r="E804" s="178">
        <v>3600</v>
      </c>
      <c r="F804" s="19">
        <v>15</v>
      </c>
      <c r="G804" s="195">
        <v>46019</v>
      </c>
      <c r="H804" s="9" t="str">
        <f>VLOOKUP(TablaCosechas[[#This Row],[COD]],DATOS!$E$3:$F$27,2,0)</f>
        <v>PAMPANO</v>
      </c>
      <c r="I804" s="9" t="str">
        <f>RIGHT(TablaCosechas[[#This Row],[SECTOR/PISCINA]],2)</f>
        <v>05</v>
      </c>
      <c r="J804" s="9" t="str">
        <f>VLOOKUP(TablaCosechas[[#This Row],[COD]],Tabla7[#All],4,0)</f>
        <v>GUSTAVO CARRASCO</v>
      </c>
      <c r="K804" s="179">
        <f>(TablaCosechas[[#This Row],[libras planta]]*454)/M804</f>
        <v>114325.19295774649</v>
      </c>
      <c r="L804" s="174">
        <v>3575.81</v>
      </c>
      <c r="M804" s="19">
        <v>14.2</v>
      </c>
      <c r="N804" s="9" t="str">
        <f>UPPER(TEXT(TablaCosechas[[#This Row],[COSECHA]],"MMMM"))</f>
        <v>DICIEMBRE</v>
      </c>
      <c r="O804" s="9" t="str">
        <f>IF(A804="DO 29","BAP",IF(A804="RO 14","BAP",(VLOOKUP(TablaCosechas[[#This Row],[COD]],Tabla7[[CODIGO]:[CERTIFICACION]],3,0))))</f>
        <v>ASC</v>
      </c>
      <c r="P804" s="180">
        <f>+L804-E804</f>
        <v>-24.190000000000055</v>
      </c>
      <c r="Q804" s="181">
        <f>+M804-F804</f>
        <v>-0.80000000000000071</v>
      </c>
      <c r="R804" s="9"/>
    </row>
    <row r="805" spans="1:18" x14ac:dyDescent="0.25">
      <c r="A805" s="9" t="s">
        <v>148</v>
      </c>
      <c r="B805" s="9">
        <f>ROW() - ROW(TablaCosechas[[#Headers],[ID]]) - 4</f>
        <v>800</v>
      </c>
      <c r="C805" s="9" t="str">
        <f>LEFT(A805,2)</f>
        <v>GT</v>
      </c>
      <c r="D805" s="182" t="s">
        <v>367</v>
      </c>
      <c r="E805" s="178">
        <v>5200</v>
      </c>
      <c r="F805" s="19">
        <v>23</v>
      </c>
      <c r="G805" s="195">
        <v>46019</v>
      </c>
      <c r="H805" s="9" t="str">
        <f>VLOOKUP(TablaCosechas[[#This Row],[COD]],DATOS!$E$3:$F$27,2,0)</f>
        <v>GUATO</v>
      </c>
      <c r="I805" s="9" t="str">
        <f>RIGHT(TablaCosechas[[#This Row],[SECTOR/PISCINA]],2)</f>
        <v>07</v>
      </c>
      <c r="J805" s="9" t="str">
        <f>VLOOKUP(TablaCosechas[[#This Row],[COD]],Tabla7[#All],4,0)</f>
        <v>JULIO SANTOS</v>
      </c>
      <c r="K805" s="179">
        <f>(TablaCosechas[[#This Row],[libras planta]]*454)/M805</f>
        <v>103933.43852459018</v>
      </c>
      <c r="L805" s="174">
        <v>5585.85</v>
      </c>
      <c r="M805" s="19">
        <v>24.4</v>
      </c>
      <c r="N805" s="9" t="str">
        <f>UPPER(TEXT(TablaCosechas[[#This Row],[COSECHA]],"MMMM"))</f>
        <v>DICIEMBRE</v>
      </c>
      <c r="O805" s="9" t="str">
        <f>IF(A805="DO 29","BAP",IF(A805="RO 14","BAP",(VLOOKUP(TablaCosechas[[#This Row],[COD]],Tabla7[[CODIGO]:[CERTIFICACION]],3,0))))</f>
        <v>CONVENCIONAL</v>
      </c>
      <c r="P805" s="180">
        <f>+L805-E805</f>
        <v>385.85000000000036</v>
      </c>
      <c r="Q805" s="181">
        <f>+M805-F805</f>
        <v>1.3999999999999986</v>
      </c>
      <c r="R805" s="9"/>
    </row>
    <row r="806" spans="1:18" x14ac:dyDescent="0.25">
      <c r="A806" s="9" t="s">
        <v>132</v>
      </c>
      <c r="B806" s="9">
        <f>ROW() - ROW(TablaCosechas[[#Headers],[ID]]) - 4</f>
        <v>801</v>
      </c>
      <c r="C806" s="9" t="str">
        <f>LEFT(A806,2)</f>
        <v>DO</v>
      </c>
      <c r="D806" s="182" t="s">
        <v>367</v>
      </c>
      <c r="E806" s="178">
        <v>15700</v>
      </c>
      <c r="F806" s="19">
        <v>29</v>
      </c>
      <c r="G806" s="195">
        <v>46019</v>
      </c>
      <c r="H806" s="9" t="str">
        <f>VLOOKUP(TablaCosechas[[#This Row],[COD]],DATOS!$E$3:$F$27,2,0)</f>
        <v>DORADO</v>
      </c>
      <c r="I806" s="9" t="str">
        <f>RIGHT(TablaCosechas[[#This Row],[SECTOR/PISCINA]],2)</f>
        <v>28</v>
      </c>
      <c r="J806" s="9" t="str">
        <f>VLOOKUP(TablaCosechas[[#This Row],[COD]],Tabla7[#All],4,0)</f>
        <v>JOSE CEDEÑO</v>
      </c>
      <c r="K806" s="179">
        <f>(TablaCosechas[[#This Row],[libras planta]]*454)/M806</f>
        <v>181314.50384615385</v>
      </c>
      <c r="L806" s="174">
        <v>12460.38</v>
      </c>
      <c r="M806" s="19">
        <v>31.2</v>
      </c>
      <c r="N806" s="9" t="str">
        <f>UPPER(TEXT(TablaCosechas[[#This Row],[COSECHA]],"MMMM"))</f>
        <v>DICIEMBRE</v>
      </c>
      <c r="O806" s="9" t="str">
        <f>IF(A806="DO 29","BAP",IF(A806="RO 14","BAP",(VLOOKUP(TablaCosechas[[#This Row],[COD]],Tabla7[[CODIGO]:[CERTIFICACION]],3,0))))</f>
        <v>ASC</v>
      </c>
      <c r="P806" s="180">
        <f>+L806-E806</f>
        <v>-3239.6200000000008</v>
      </c>
      <c r="Q806" s="181">
        <f>+M806-F806</f>
        <v>2.1999999999999993</v>
      </c>
      <c r="R806" s="9"/>
    </row>
    <row r="807" spans="1:18" x14ac:dyDescent="0.25">
      <c r="A807" s="9" t="s">
        <v>331</v>
      </c>
      <c r="B807" s="9">
        <f>ROW() - ROW(TablaCosechas[[#Headers],[ID]]) - 4</f>
        <v>802</v>
      </c>
      <c r="C807" s="9" t="str">
        <f>LEFT(A807,2)</f>
        <v>DO</v>
      </c>
      <c r="D807" s="182" t="s">
        <v>366</v>
      </c>
      <c r="E807" s="178">
        <v>54300</v>
      </c>
      <c r="F807" s="19">
        <v>44</v>
      </c>
      <c r="G807" s="195">
        <v>46019</v>
      </c>
      <c r="H807" s="9" t="str">
        <f>VLOOKUP(TablaCosechas[[#This Row],[COD]],DATOS!$E$3:$F$27,2,0)</f>
        <v>DORADO</v>
      </c>
      <c r="I807" s="9" t="str">
        <f>RIGHT(TablaCosechas[[#This Row],[SECTOR/PISCINA]],2)</f>
        <v>25</v>
      </c>
      <c r="J807" s="9" t="str">
        <f>VLOOKUP(TablaCosechas[[#This Row],[COD]],Tabla7[#All],4,0)</f>
        <v>JOSE CEDEÑO</v>
      </c>
      <c r="K807" s="179">
        <f>(TablaCosechas[[#This Row],[libras planta]]*454)/M807</f>
        <v>558309.57344835857</v>
      </c>
      <c r="L807" s="174">
        <v>51317.75</v>
      </c>
      <c r="M807" s="19">
        <v>41.73</v>
      </c>
      <c r="N807" s="9" t="str">
        <f>UPPER(TEXT(TablaCosechas[[#This Row],[COSECHA]],"MMMM"))</f>
        <v>DICIEMBRE</v>
      </c>
      <c r="O807" s="9" t="str">
        <f>IF(A807="DO 29","BAP",IF(A807="RO 14","BAP",(VLOOKUP(TablaCosechas[[#This Row],[COD]],Tabla7[[CODIGO]:[CERTIFICACION]],3,0))))</f>
        <v>ASC</v>
      </c>
      <c r="P807" s="180">
        <f>+L807-E807</f>
        <v>-2982.25</v>
      </c>
      <c r="Q807" s="181">
        <f>+M807-F807</f>
        <v>-2.2700000000000031</v>
      </c>
      <c r="R807" s="9"/>
    </row>
    <row r="808" spans="1:18" x14ac:dyDescent="0.25">
      <c r="A808" s="9" t="s">
        <v>144</v>
      </c>
      <c r="B808" s="9">
        <f>ROW() - ROW(TablaCosechas[[#Headers],[ID]]) - 4</f>
        <v>803</v>
      </c>
      <c r="C808" s="9" t="str">
        <f>LEFT(A808,2)</f>
        <v>DO</v>
      </c>
      <c r="D808" s="182" t="s">
        <v>367</v>
      </c>
      <c r="E808" s="178">
        <v>13200</v>
      </c>
      <c r="F808" s="19">
        <v>26</v>
      </c>
      <c r="G808" s="195">
        <v>46019</v>
      </c>
      <c r="H808" s="9" t="str">
        <f>VLOOKUP(TablaCosechas[[#This Row],[COD]],DATOS!$E$3:$F$27,2,0)</f>
        <v>DORADO</v>
      </c>
      <c r="I808" s="9" t="str">
        <f>RIGHT(TablaCosechas[[#This Row],[SECTOR/PISCINA]],2)</f>
        <v>09</v>
      </c>
      <c r="J808" s="9" t="str">
        <f>VLOOKUP(TablaCosechas[[#This Row],[COD]],Tabla7[#All],4,0)</f>
        <v>JOSE CEDEÑO</v>
      </c>
      <c r="K808" s="179">
        <f>(TablaCosechas[[#This Row],[libras planta]]*454)/M808</f>
        <v>229473.62740740742</v>
      </c>
      <c r="L808" s="174">
        <v>13647.11</v>
      </c>
      <c r="M808" s="19">
        <v>27</v>
      </c>
      <c r="N808" s="9" t="str">
        <f>UPPER(TEXT(TablaCosechas[[#This Row],[COSECHA]],"MMMM"))</f>
        <v>DICIEMBRE</v>
      </c>
      <c r="O808" s="9" t="str">
        <f>IF(A808="DO 29","BAP",IF(A808="RO 14","BAP",(VLOOKUP(TablaCosechas[[#This Row],[COD]],Tabla7[[CODIGO]:[CERTIFICACION]],3,0))))</f>
        <v>ASC</v>
      </c>
      <c r="P808" s="180">
        <f>+L808-E808</f>
        <v>447.11000000000058</v>
      </c>
      <c r="Q808" s="181">
        <f>+M808-F808</f>
        <v>1</v>
      </c>
      <c r="R808" s="9"/>
    </row>
    <row r="809" spans="1:18" x14ac:dyDescent="0.25">
      <c r="A809" s="9" t="s">
        <v>25</v>
      </c>
      <c r="B809" s="9">
        <f>ROW() - ROW(TablaCosechas[[#Headers],[ID]]) - 4</f>
        <v>804</v>
      </c>
      <c r="C809" s="9" t="str">
        <f>LEFT(A809,2)</f>
        <v>CH</v>
      </c>
      <c r="D809" s="182" t="s">
        <v>367</v>
      </c>
      <c r="E809" s="178">
        <v>5600</v>
      </c>
      <c r="F809" s="19">
        <v>28</v>
      </c>
      <c r="G809" s="195">
        <v>46019</v>
      </c>
      <c r="H809" s="9" t="str">
        <f>VLOOKUP(TablaCosechas[[#This Row],[COD]],DATOS!$E$3:$F$27,2,0)</f>
        <v>CHERNA</v>
      </c>
      <c r="I809" s="9" t="str">
        <f>RIGHT(TablaCosechas[[#This Row],[SECTOR/PISCINA]],2)</f>
        <v>21</v>
      </c>
      <c r="J809" s="9" t="str">
        <f>VLOOKUP(TablaCosechas[[#This Row],[COD]],Tabla7[#All],4,0)</f>
        <v>SANTIAGO OBRIEN</v>
      </c>
      <c r="K809" s="179">
        <f>(TablaCosechas[[#This Row],[libras planta]]*454)/M809</f>
        <v>92501.333104866368</v>
      </c>
      <c r="L809" s="174">
        <v>5945.35</v>
      </c>
      <c r="M809" s="19">
        <v>29.18</v>
      </c>
      <c r="N809" s="9" t="str">
        <f>UPPER(TEXT(TablaCosechas[[#This Row],[COSECHA]],"MMMM"))</f>
        <v>DICIEMBRE</v>
      </c>
      <c r="O809" s="9" t="str">
        <f>IF(A809="DO 29","BAP",IF(A809="RO 14","BAP",(VLOOKUP(TablaCosechas[[#This Row],[COD]],Tabla7[[CODIGO]:[CERTIFICACION]],3,0))))</f>
        <v>ASC</v>
      </c>
      <c r="P809" s="180">
        <f>+L809-E809</f>
        <v>345.35000000000036</v>
      </c>
      <c r="Q809" s="181">
        <f>+M809-F809</f>
        <v>1.1799999999999997</v>
      </c>
      <c r="R809" s="9"/>
    </row>
    <row r="810" spans="1:18" x14ac:dyDescent="0.25">
      <c r="A810" s="9" t="s">
        <v>22</v>
      </c>
      <c r="B810" s="9">
        <f>ROW() - ROW(TablaCosechas[[#Headers],[ID]]) - 4</f>
        <v>805</v>
      </c>
      <c r="C810" s="9" t="str">
        <f>LEFT(A810,2)</f>
        <v>CH</v>
      </c>
      <c r="D810" s="182" t="s">
        <v>367</v>
      </c>
      <c r="E810" s="178">
        <v>7000</v>
      </c>
      <c r="F810" s="19">
        <v>23</v>
      </c>
      <c r="G810" s="195">
        <v>46019</v>
      </c>
      <c r="H810" s="9" t="str">
        <f>VLOOKUP(TablaCosechas[[#This Row],[COD]],DATOS!$E$3:$F$27,2,0)</f>
        <v>CHERNA</v>
      </c>
      <c r="I810" s="9" t="str">
        <f>RIGHT(TablaCosechas[[#This Row],[SECTOR/PISCINA]],2)</f>
        <v>16</v>
      </c>
      <c r="J810" s="9" t="str">
        <f>VLOOKUP(TablaCosechas[[#This Row],[COD]],Tabla7[#All],4,0)</f>
        <v>SANTIAGO OBRIEN</v>
      </c>
      <c r="K810" s="179">
        <f>(TablaCosechas[[#This Row],[libras planta]]*454)/M810</f>
        <v>123601.59792924936</v>
      </c>
      <c r="L810" s="174">
        <v>6310.76</v>
      </c>
      <c r="M810" s="19">
        <v>23.18</v>
      </c>
      <c r="N810" s="9" t="str">
        <f>UPPER(TEXT(TablaCosechas[[#This Row],[COSECHA]],"MMMM"))</f>
        <v>DICIEMBRE</v>
      </c>
      <c r="O810" s="9" t="str">
        <f>IF(A810="DO 29","BAP",IF(A810="RO 14","BAP",(VLOOKUP(TablaCosechas[[#This Row],[COD]],Tabla7[[CODIGO]:[CERTIFICACION]],3,0))))</f>
        <v>ASC</v>
      </c>
      <c r="P810" s="180">
        <f>+L810-E810</f>
        <v>-689.23999999999978</v>
      </c>
      <c r="Q810" s="181">
        <f>+M810-F810</f>
        <v>0.17999999999999972</v>
      </c>
      <c r="R810" s="9"/>
    </row>
    <row r="811" spans="1:18" x14ac:dyDescent="0.25">
      <c r="A811" s="9" t="s">
        <v>20</v>
      </c>
      <c r="B811" s="9">
        <f>ROW() - ROW(TablaCosechas[[#Headers],[ID]]) - 4</f>
        <v>806</v>
      </c>
      <c r="C811" s="9" t="str">
        <f>LEFT(A811,2)</f>
        <v>CH</v>
      </c>
      <c r="D811" s="182" t="s">
        <v>366</v>
      </c>
      <c r="E811" s="178">
        <v>34700</v>
      </c>
      <c r="F811" s="19">
        <v>35</v>
      </c>
      <c r="G811" s="195">
        <v>46019</v>
      </c>
      <c r="H811" s="9" t="str">
        <f>VLOOKUP(TablaCosechas[[#This Row],[COD]],DATOS!$E$3:$F$27,2,0)</f>
        <v>CHERNA</v>
      </c>
      <c r="I811" s="9" t="str">
        <f>RIGHT(TablaCosechas[[#This Row],[SECTOR/PISCINA]],2)</f>
        <v>14</v>
      </c>
      <c r="J811" s="9" t="str">
        <f>VLOOKUP(TablaCosechas[[#This Row],[COD]],Tabla7[#All],4,0)</f>
        <v>SANTIAGO OBRIEN</v>
      </c>
      <c r="K811" s="179">
        <f>(TablaCosechas[[#This Row],[libras planta]]*454)/M811</f>
        <v>476277.11685393256</v>
      </c>
      <c r="L811" s="174">
        <v>37346.839999999997</v>
      </c>
      <c r="M811" s="19">
        <v>35.6</v>
      </c>
      <c r="N811" s="9" t="str">
        <f>UPPER(TEXT(TablaCosechas[[#This Row],[COSECHA]],"MMMM"))</f>
        <v>DICIEMBRE</v>
      </c>
      <c r="O811" s="9" t="str">
        <f>IF(A811="DO 29","BAP",IF(A811="RO 14","BAP",(VLOOKUP(TablaCosechas[[#This Row],[COD]],Tabla7[[CODIGO]:[CERTIFICACION]],3,0))))</f>
        <v>ASC</v>
      </c>
      <c r="P811" s="180">
        <f>+L811-E811</f>
        <v>2646.8399999999965</v>
      </c>
      <c r="Q811" s="181">
        <f>+M811-F811</f>
        <v>0.60000000000000142</v>
      </c>
      <c r="R811" s="9"/>
    </row>
    <row r="812" spans="1:18" x14ac:dyDescent="0.25">
      <c r="A812" s="9" t="s">
        <v>188</v>
      </c>
      <c r="B812" s="9">
        <f>ROW() - ROW(TablaCosechas[[#Headers],[ID]]) - 4</f>
        <v>807</v>
      </c>
      <c r="C812" s="9" t="str">
        <f>LEFT(A812,2)</f>
        <v>TI</v>
      </c>
      <c r="D812" s="182" t="s">
        <v>367</v>
      </c>
      <c r="E812" s="178">
        <v>9000</v>
      </c>
      <c r="F812" s="19">
        <v>20.5</v>
      </c>
      <c r="G812" s="195">
        <v>46020</v>
      </c>
      <c r="H812" s="9" t="str">
        <f>VLOOKUP(TablaCosechas[[#This Row],[COD]],DATOS!$E$3:$F$27,2,0)</f>
        <v>TIBURON</v>
      </c>
      <c r="I812" s="9" t="str">
        <f>RIGHT(TablaCosechas[[#This Row],[SECTOR/PISCINA]],2)</f>
        <v>03</v>
      </c>
      <c r="J812" s="9" t="str">
        <f>VLOOKUP(TablaCosechas[[#This Row],[COD]],Tabla7[#All],4,0)</f>
        <v>ALFONSO GRUNAUER</v>
      </c>
      <c r="K812" s="179">
        <f>(TablaCosechas[[#This Row],[libras planta]]*454)/M812</f>
        <v>172621.22429078014</v>
      </c>
      <c r="L812" s="174">
        <v>8577.83</v>
      </c>
      <c r="M812" s="19">
        <v>22.56</v>
      </c>
      <c r="N812" s="9" t="str">
        <f>UPPER(TEXT(TablaCosechas[[#This Row],[COSECHA]],"MMMM"))</f>
        <v>DICIEMBRE</v>
      </c>
      <c r="O812" s="9" t="str">
        <f>IF(A812="DO 29","BAP",IF(A812="RO 14","BAP",(VLOOKUP(TablaCosechas[[#This Row],[COD]],Tabla7[[CODIGO]:[CERTIFICACION]],3,0))))</f>
        <v>ASC</v>
      </c>
      <c r="P812" s="180">
        <f>+L812-E812</f>
        <v>-422.17000000000007</v>
      </c>
      <c r="Q812" s="181">
        <f>+M812-F812</f>
        <v>2.0599999999999987</v>
      </c>
      <c r="R812" s="9"/>
    </row>
    <row r="813" spans="1:18" x14ac:dyDescent="0.25">
      <c r="A813" s="9" t="s">
        <v>292</v>
      </c>
      <c r="B813" s="9">
        <f>ROW() - ROW(TablaCosechas[[#Headers],[ID]]) - 4</f>
        <v>808</v>
      </c>
      <c r="C813" s="9" t="str">
        <f>LEFT(A813,2)</f>
        <v>ME</v>
      </c>
      <c r="D813" s="182" t="s">
        <v>366</v>
      </c>
      <c r="E813" s="178">
        <v>22700</v>
      </c>
      <c r="F813" s="19">
        <v>32</v>
      </c>
      <c r="G813" s="195">
        <v>46020</v>
      </c>
      <c r="H813" s="9" t="str">
        <f>VLOOKUP(TablaCosechas[[#This Row],[COD]],DATOS!$E$3:$F$27,2,0)</f>
        <v>MERO</v>
      </c>
      <c r="I813" s="9" t="str">
        <f>RIGHT(TablaCosechas[[#This Row],[SECTOR/PISCINA]],2)</f>
        <v>07</v>
      </c>
      <c r="J813" s="9" t="str">
        <f>VLOOKUP(TablaCosechas[[#This Row],[COD]],Tabla7[#All],4,0)</f>
        <v>NESTOR MOGOLLON</v>
      </c>
      <c r="K813" s="179">
        <f>(TablaCosechas[[#This Row],[libras planta]]*454)/M813</f>
        <v>303959.22305295948</v>
      </c>
      <c r="L813" s="174">
        <v>21491.39</v>
      </c>
      <c r="M813" s="19">
        <v>32.1</v>
      </c>
      <c r="N813" s="9" t="str">
        <f>UPPER(TEXT(TablaCosechas[[#This Row],[COSECHA]],"MMMM"))</f>
        <v>DICIEMBRE</v>
      </c>
      <c r="O813" s="9" t="str">
        <f>IF(A813="DO 29","BAP",IF(A813="RO 14","BAP",(VLOOKUP(TablaCosechas[[#This Row],[COD]],Tabla7[[CODIGO]:[CERTIFICACION]],3,0))))</f>
        <v>CONVENCIONAL</v>
      </c>
      <c r="P813" s="180">
        <f>+L813-E813</f>
        <v>-1208.6100000000006</v>
      </c>
      <c r="Q813" s="181">
        <f>+M813-F813</f>
        <v>0.10000000000000142</v>
      </c>
      <c r="R813" s="9"/>
    </row>
    <row r="814" spans="1:18" x14ac:dyDescent="0.25">
      <c r="A814" s="9" t="s">
        <v>290</v>
      </c>
      <c r="B814" s="9">
        <f>ROW() - ROW(TablaCosechas[[#Headers],[ID]]) - 4</f>
        <v>809</v>
      </c>
      <c r="C814" s="9" t="str">
        <f>LEFT(A814,2)</f>
        <v>ME</v>
      </c>
      <c r="D814" s="182" t="s">
        <v>366</v>
      </c>
      <c r="E814" s="178">
        <v>16700</v>
      </c>
      <c r="F814" s="19">
        <v>37</v>
      </c>
      <c r="G814" s="195">
        <v>46020</v>
      </c>
      <c r="H814" s="9" t="str">
        <f>VLOOKUP(TablaCosechas[[#This Row],[COD]],DATOS!$E$3:$F$27,2,0)</f>
        <v>MERO</v>
      </c>
      <c r="I814" s="9" t="str">
        <f>RIGHT(TablaCosechas[[#This Row],[SECTOR/PISCINA]],2)</f>
        <v>05</v>
      </c>
      <c r="J814" s="9" t="str">
        <f>VLOOKUP(TablaCosechas[[#This Row],[COD]],Tabla7[#All],4,0)</f>
        <v>NESTOR MOGOLLON</v>
      </c>
      <c r="K814" s="179">
        <f>(TablaCosechas[[#This Row],[libras planta]]*454)/M814</f>
        <v>236391.64725365723</v>
      </c>
      <c r="L814" s="174">
        <v>18864.47</v>
      </c>
      <c r="M814" s="19">
        <v>36.229999999999997</v>
      </c>
      <c r="N814" s="9" t="str">
        <f>UPPER(TEXT(TablaCosechas[[#This Row],[COSECHA]],"MMMM"))</f>
        <v>DICIEMBRE</v>
      </c>
      <c r="O814" s="9" t="str">
        <f>IF(A814="DO 29","BAP",IF(A814="RO 14","BAP",(VLOOKUP(TablaCosechas[[#This Row],[COD]],Tabla7[[CODIGO]:[CERTIFICACION]],3,0))))</f>
        <v>CONVENCIONAL</v>
      </c>
      <c r="P814" s="180">
        <f>+L814-E814</f>
        <v>2164.4700000000012</v>
      </c>
      <c r="Q814" s="181">
        <f>+M814-F814</f>
        <v>-0.77000000000000313</v>
      </c>
      <c r="R814" s="9"/>
    </row>
    <row r="815" spans="1:18" x14ac:dyDescent="0.25">
      <c r="A815" s="9" t="s">
        <v>138</v>
      </c>
      <c r="B815" s="9">
        <f>ROW() - ROW(TablaCosechas[[#Headers],[ID]]) - 4</f>
        <v>810</v>
      </c>
      <c r="C815" s="9" t="str">
        <f>LEFT(A815,2)</f>
        <v>GT</v>
      </c>
      <c r="D815" s="182" t="s">
        <v>367</v>
      </c>
      <c r="E815" s="178">
        <v>8300</v>
      </c>
      <c r="F815" s="19">
        <v>27</v>
      </c>
      <c r="G815" s="195">
        <v>46020</v>
      </c>
      <c r="H815" s="9" t="str">
        <f>VLOOKUP(TablaCosechas[[#This Row],[COD]],DATOS!$E$3:$F$27,2,0)</f>
        <v>GUATO</v>
      </c>
      <c r="I815" s="9" t="str">
        <f>RIGHT(TablaCosechas[[#This Row],[SECTOR/PISCINA]],2)</f>
        <v>04</v>
      </c>
      <c r="J815" s="9" t="str">
        <f>VLOOKUP(TablaCosechas[[#This Row],[COD]],Tabla7[#All],4,0)</f>
        <v>JULIO SANTOS</v>
      </c>
      <c r="K815" s="179">
        <f>(TablaCosechas[[#This Row],[libras planta]]*454)/M815</f>
        <v>134829.64417177916</v>
      </c>
      <c r="L815" s="174">
        <v>8713.44</v>
      </c>
      <c r="M815" s="19">
        <v>29.34</v>
      </c>
      <c r="N815" s="9" t="str">
        <f>UPPER(TEXT(TablaCosechas[[#This Row],[COSECHA]],"MMMM"))</f>
        <v>DICIEMBRE</v>
      </c>
      <c r="O815" s="9" t="str">
        <f>IF(A815="DO 29","BAP",IF(A815="RO 14","BAP",(VLOOKUP(TablaCosechas[[#This Row],[COD]],Tabla7[[CODIGO]:[CERTIFICACION]],3,0))))</f>
        <v>CONVENCIONAL</v>
      </c>
      <c r="P815" s="180">
        <f>+L815-E815</f>
        <v>413.44000000000051</v>
      </c>
      <c r="Q815" s="181">
        <f>+M815-F815</f>
        <v>2.34</v>
      </c>
      <c r="R815" s="9"/>
    </row>
    <row r="816" spans="1:18" x14ac:dyDescent="0.25">
      <c r="A816" s="9" t="s">
        <v>331</v>
      </c>
      <c r="B816" s="9">
        <f>ROW() - ROW(TablaCosechas[[#Headers],[ID]]) - 4</f>
        <v>811</v>
      </c>
      <c r="C816" s="9" t="str">
        <f>LEFT(A816,2)</f>
        <v>DO</v>
      </c>
      <c r="D816" s="182" t="s">
        <v>366</v>
      </c>
      <c r="E816" s="178">
        <v>1700</v>
      </c>
      <c r="F816" s="19">
        <v>44</v>
      </c>
      <c r="G816" s="195">
        <v>46020</v>
      </c>
      <c r="H816" s="9" t="str">
        <f>VLOOKUP(TablaCosechas[[#This Row],[COD]],DATOS!$E$3:$F$27,2,0)</f>
        <v>DORADO</v>
      </c>
      <c r="I816" s="9" t="str">
        <f>RIGHT(TablaCosechas[[#This Row],[SECTOR/PISCINA]],2)</f>
        <v>25</v>
      </c>
      <c r="J816" s="9" t="str">
        <f>VLOOKUP(TablaCosechas[[#This Row],[COD]],Tabla7[#All],4,0)</f>
        <v>JOSE CEDEÑO</v>
      </c>
      <c r="K816" s="179">
        <f>(TablaCosechas[[#This Row],[libras planta]]*454)/M816</f>
        <v>17278.654684878984</v>
      </c>
      <c r="L816" s="174">
        <v>1588.19</v>
      </c>
      <c r="M816" s="19">
        <v>41.73</v>
      </c>
      <c r="N816" s="9" t="str">
        <f>UPPER(TEXT(TablaCosechas[[#This Row],[COSECHA]],"MMMM"))</f>
        <v>DICIEMBRE</v>
      </c>
      <c r="O816" s="9" t="str">
        <f>IF(A816="DO 29","BAP",IF(A816="RO 14","BAP",(VLOOKUP(TablaCosechas[[#This Row],[COD]],Tabla7[[CODIGO]:[CERTIFICACION]],3,0))))</f>
        <v>ASC</v>
      </c>
      <c r="P816" s="180">
        <f>+L816-E816</f>
        <v>-111.80999999999995</v>
      </c>
      <c r="Q816" s="181">
        <f>+M816-F816</f>
        <v>-2.2700000000000031</v>
      </c>
      <c r="R816" s="9"/>
    </row>
    <row r="817" spans="1:18" x14ac:dyDescent="0.25">
      <c r="A817" s="9" t="s">
        <v>323</v>
      </c>
      <c r="B817" s="9">
        <f>ROW() - ROW(TablaCosechas[[#Headers],[ID]]) - 4</f>
        <v>812</v>
      </c>
      <c r="C817" s="9" t="str">
        <f>LEFT(A817,2)</f>
        <v>DO</v>
      </c>
      <c r="D817" s="182" t="s">
        <v>366</v>
      </c>
      <c r="E817" s="178">
        <v>42000</v>
      </c>
      <c r="F817" s="19">
        <v>39</v>
      </c>
      <c r="G817" s="195">
        <v>46020</v>
      </c>
      <c r="H817" s="9" t="str">
        <f>VLOOKUP(TablaCosechas[[#This Row],[COD]],DATOS!$E$3:$F$27,2,0)</f>
        <v>DORADO</v>
      </c>
      <c r="I817" s="9" t="str">
        <f>RIGHT(TablaCosechas[[#This Row],[SECTOR/PISCINA]],2)</f>
        <v>22</v>
      </c>
      <c r="J817" s="9" t="str">
        <f>VLOOKUP(TablaCosechas[[#This Row],[COD]],Tabla7[#All],4,0)</f>
        <v>JOSE CEDEÑO</v>
      </c>
      <c r="K817" s="179">
        <f>(TablaCosechas[[#This Row],[libras planta]]*454)/M817</f>
        <v>425479.3828425096</v>
      </c>
      <c r="L817" s="174">
        <v>36596.85</v>
      </c>
      <c r="M817" s="19">
        <v>39.049999999999997</v>
      </c>
      <c r="N817" s="9" t="str">
        <f>UPPER(TEXT(TablaCosechas[[#This Row],[COSECHA]],"MMMM"))</f>
        <v>DICIEMBRE</v>
      </c>
      <c r="O817" s="9" t="str">
        <f>IF(A817="DO 29","BAP",IF(A817="RO 14","BAP",(VLOOKUP(TablaCosechas[[#This Row],[COD]],Tabla7[[CODIGO]:[CERTIFICACION]],3,0))))</f>
        <v>ASC</v>
      </c>
      <c r="P817" s="180">
        <f>+L817-E817</f>
        <v>-5403.1500000000015</v>
      </c>
      <c r="Q817" s="181">
        <f>+M817-F817</f>
        <v>4.9999999999997158E-2</v>
      </c>
      <c r="R817" s="9"/>
    </row>
    <row r="818" spans="1:18" x14ac:dyDescent="0.25">
      <c r="A818" s="9" t="s">
        <v>24</v>
      </c>
      <c r="B818" s="9">
        <f>ROW() - ROW(TablaCosechas[[#Headers],[ID]]) - 4</f>
        <v>813</v>
      </c>
      <c r="C818" s="9" t="str">
        <f>LEFT(A818,2)</f>
        <v>CH</v>
      </c>
      <c r="D818" s="182" t="s">
        <v>367</v>
      </c>
      <c r="E818" s="178">
        <v>10200</v>
      </c>
      <c r="F818" s="19">
        <v>33</v>
      </c>
      <c r="G818" s="195">
        <v>46020</v>
      </c>
      <c r="H818" s="9" t="str">
        <f>VLOOKUP(TablaCosechas[[#This Row],[COD]],DATOS!$E$3:$F$27,2,0)</f>
        <v>CHERNA</v>
      </c>
      <c r="I818" s="9" t="str">
        <f>RIGHT(TablaCosechas[[#This Row],[SECTOR/PISCINA]],2)</f>
        <v>20</v>
      </c>
      <c r="J818" s="9" t="str">
        <f>VLOOKUP(TablaCosechas[[#This Row],[COD]],Tabla7[#All],4,0)</f>
        <v>SANTIAGO OBRIEN</v>
      </c>
      <c r="K818" s="179">
        <f>(TablaCosechas[[#This Row],[libras planta]]*454)/M818</f>
        <v>158669.97149787753</v>
      </c>
      <c r="L818" s="174">
        <v>11526.29</v>
      </c>
      <c r="M818" s="19">
        <v>32.979999999999997</v>
      </c>
      <c r="N818" s="9" t="str">
        <f>UPPER(TEXT(TablaCosechas[[#This Row],[COSECHA]],"MMMM"))</f>
        <v>DICIEMBRE</v>
      </c>
      <c r="O818" s="9" t="str">
        <f>IF(A818="DO 29","BAP",IF(A818="RO 14","BAP",(VLOOKUP(TablaCosechas[[#This Row],[COD]],Tabla7[[CODIGO]:[CERTIFICACION]],3,0))))</f>
        <v>ASC</v>
      </c>
      <c r="P818" s="180">
        <f>+L818-E818</f>
        <v>1326.2900000000009</v>
      </c>
      <c r="Q818" s="181">
        <f>+M818-F818</f>
        <v>-2.0000000000003126E-2</v>
      </c>
      <c r="R818" s="9"/>
    </row>
    <row r="819" spans="1:18" x14ac:dyDescent="0.25">
      <c r="A819" s="9" t="s">
        <v>317</v>
      </c>
      <c r="B819" s="9">
        <f>ROW() - ROW(TablaCosechas[[#Headers],[ID]]) - 4</f>
        <v>814</v>
      </c>
      <c r="C819" s="9" t="str">
        <f>LEFT(A819,2)</f>
        <v>CA</v>
      </c>
      <c r="D819" s="182" t="s">
        <v>366</v>
      </c>
      <c r="E819" s="178">
        <v>5300</v>
      </c>
      <c r="F819" s="19">
        <v>33.5</v>
      </c>
      <c r="G819" s="195">
        <v>46020</v>
      </c>
      <c r="H819" s="9" t="str">
        <f>VLOOKUP(TablaCosechas[[#This Row],[COD]],DATOS!$E$3:$F$27,2,0)</f>
        <v>CATANUDA</v>
      </c>
      <c r="I819" s="9" t="str">
        <f>RIGHT(TablaCosechas[[#This Row],[SECTOR/PISCINA]],2)</f>
        <v>13</v>
      </c>
      <c r="J819" s="9" t="str">
        <f>VLOOKUP(TablaCosechas[[#This Row],[COD]],Tabla7[#All],4,0)</f>
        <v>VICTOR QUINTANA</v>
      </c>
      <c r="K819" s="179">
        <f>(TablaCosechas[[#This Row],[libras planta]]*454)/M819</f>
        <v>91248.614096301462</v>
      </c>
      <c r="L819" s="174">
        <v>5760.32</v>
      </c>
      <c r="M819" s="19">
        <v>28.66</v>
      </c>
      <c r="N819" s="9" t="str">
        <f>UPPER(TEXT(TablaCosechas[[#This Row],[COSECHA]],"MMMM"))</f>
        <v>DICIEMBRE</v>
      </c>
      <c r="O819" s="9" t="str">
        <f>IF(A819="DO 29","BAP",IF(A819="RO 14","BAP",(VLOOKUP(TablaCosechas[[#This Row],[COD]],Tabla7[[CODIGO]:[CERTIFICACION]],3,0))))</f>
        <v>ASC</v>
      </c>
      <c r="P819" s="180">
        <f>+L819-E819</f>
        <v>460.31999999999971</v>
      </c>
      <c r="Q819" s="181">
        <f>+M819-F819</f>
        <v>-4.84</v>
      </c>
      <c r="R819" s="9"/>
    </row>
    <row r="820" spans="1:18" x14ac:dyDescent="0.25">
      <c r="A820" s="9" t="s">
        <v>316</v>
      </c>
      <c r="B820" s="9">
        <f>ROW() - ROW(TablaCosechas[[#Headers],[ID]]) - 4</f>
        <v>815</v>
      </c>
      <c r="C820" s="9" t="str">
        <f>LEFT(A820,2)</f>
        <v>CA</v>
      </c>
      <c r="D820" s="182" t="s">
        <v>366</v>
      </c>
      <c r="E820" s="178">
        <v>4000</v>
      </c>
      <c r="F820" s="19">
        <v>30</v>
      </c>
      <c r="G820" s="195">
        <v>46020</v>
      </c>
      <c r="H820" s="9" t="str">
        <f>VLOOKUP(TablaCosechas[[#This Row],[COD]],DATOS!$E$3:$F$27,2,0)</f>
        <v>CATANUDA</v>
      </c>
      <c r="I820" s="9" t="str">
        <f>RIGHT(TablaCosechas[[#This Row],[SECTOR/PISCINA]],2)</f>
        <v>12</v>
      </c>
      <c r="J820" s="9" t="str">
        <f>VLOOKUP(TablaCosechas[[#This Row],[COD]],Tabla7[#All],4,0)</f>
        <v>VICTOR QUINTANA</v>
      </c>
      <c r="K820" s="179">
        <f>(TablaCosechas[[#This Row],[libras planta]]*454)/M820</f>
        <v>68550.863815789475</v>
      </c>
      <c r="L820" s="174">
        <v>4590.1899999999996</v>
      </c>
      <c r="M820" s="19">
        <v>30.4</v>
      </c>
      <c r="N820" s="9" t="str">
        <f>UPPER(TEXT(TablaCosechas[[#This Row],[COSECHA]],"MMMM"))</f>
        <v>DICIEMBRE</v>
      </c>
      <c r="O820" s="9" t="str">
        <f>IF(A820="DO 29","BAP",IF(A820="RO 14","BAP",(VLOOKUP(TablaCosechas[[#This Row],[COD]],Tabla7[[CODIGO]:[CERTIFICACION]],3,0))))</f>
        <v>ASC</v>
      </c>
      <c r="P820" s="180">
        <f>+L820-E820</f>
        <v>590.1899999999996</v>
      </c>
      <c r="Q820" s="181">
        <f>+M820-F820</f>
        <v>0.39999999999999858</v>
      </c>
      <c r="R820" s="9"/>
    </row>
    <row r="821" spans="1:18" x14ac:dyDescent="0.25">
      <c r="A821" s="9" t="s">
        <v>172</v>
      </c>
      <c r="B821" s="9">
        <f>ROW() - ROW(TablaCosechas[[#Headers],[ID]]) - 4</f>
        <v>816</v>
      </c>
      <c r="C821" s="9" t="str">
        <f>LEFT(A821,2)</f>
        <v>TA</v>
      </c>
      <c r="D821" s="182" t="s">
        <v>367</v>
      </c>
      <c r="E821" s="178">
        <v>9900</v>
      </c>
      <c r="F821" s="19">
        <v>26</v>
      </c>
      <c r="G821" s="195">
        <v>46021</v>
      </c>
      <c r="H821" s="9" t="str">
        <f>VLOOKUP(TablaCosechas[[#This Row],[COD]],DATOS!$E$3:$F$27,2,0)</f>
        <v>TAMBULERO</v>
      </c>
      <c r="I821" s="9" t="str">
        <f>RIGHT(TablaCosechas[[#This Row],[SECTOR/PISCINA]],2)</f>
        <v>24</v>
      </c>
      <c r="J821" s="9" t="str">
        <f>VLOOKUP(TablaCosechas[[#This Row],[COD]],Tabla7[#All],4,0)</f>
        <v>ALFONSO GRUNAUER</v>
      </c>
      <c r="K821" s="179">
        <f>(TablaCosechas[[#This Row],[libras planta]]*454)/M821</f>
        <v>148260.75316034598</v>
      </c>
      <c r="L821" s="174">
        <v>9816.56</v>
      </c>
      <c r="M821" s="19">
        <v>30.06</v>
      </c>
      <c r="N821" s="9" t="str">
        <f>UPPER(TEXT(TablaCosechas[[#This Row],[COSECHA]],"MMMM"))</f>
        <v>DICIEMBRE</v>
      </c>
      <c r="O821" s="9" t="str">
        <f>IF(A821="DO 29","BAP",IF(A821="RO 14","BAP",(VLOOKUP(TablaCosechas[[#This Row],[COD]],Tabla7[[CODIGO]:[CERTIFICACION]],3,0))))</f>
        <v>CONVENCIONAL</v>
      </c>
      <c r="P821" s="180">
        <f>+L821-E821</f>
        <v>-83.440000000000509</v>
      </c>
      <c r="Q821" s="181">
        <f>+M821-F821</f>
        <v>4.0599999999999987</v>
      </c>
      <c r="R821" s="9"/>
    </row>
    <row r="822" spans="1:18" x14ac:dyDescent="0.25">
      <c r="A822" s="9" t="s">
        <v>279</v>
      </c>
      <c r="B822" s="9">
        <f>ROW() - ROW(TablaCosechas[[#Headers],[ID]]) - 4</f>
        <v>817</v>
      </c>
      <c r="C822" s="9" t="str">
        <f>LEFT(A822,2)</f>
        <v>PR</v>
      </c>
      <c r="D822" s="182" t="s">
        <v>366</v>
      </c>
      <c r="E822" s="178">
        <v>23000</v>
      </c>
      <c r="F822" s="19">
        <v>22</v>
      </c>
      <c r="G822" s="195">
        <v>46021</v>
      </c>
      <c r="H822" s="9" t="str">
        <f>VLOOKUP(TablaCosechas[[#This Row],[COD]],DATOS!$E$3:$F$27,2,0)</f>
        <v>PARGO ROJO</v>
      </c>
      <c r="I822" s="9" t="str">
        <f>RIGHT(TablaCosechas[[#This Row],[SECTOR/PISCINA]],2)</f>
        <v>30</v>
      </c>
      <c r="J822" s="9" t="str">
        <f>VLOOKUP(TablaCosechas[[#This Row],[COD]],Tabla7[#All],4,0)</f>
        <v>WILMER TORRES</v>
      </c>
      <c r="K822" s="179">
        <f>(TablaCosechas[[#This Row],[libras planta]]*454)/M822</f>
        <v>510791.77289048466</v>
      </c>
      <c r="L822" s="174">
        <v>25067.05</v>
      </c>
      <c r="M822" s="19">
        <v>22.28</v>
      </c>
      <c r="N822" s="9" t="str">
        <f>UPPER(TEXT(TablaCosechas[[#This Row],[COSECHA]],"MMMM"))</f>
        <v>DICIEMBRE</v>
      </c>
      <c r="O822" s="9" t="str">
        <f>IF(A822="DO 29","BAP",IF(A822="RO 14","BAP",(VLOOKUP(TablaCosechas[[#This Row],[COD]],Tabla7[[CODIGO]:[CERTIFICACION]],3,0))))</f>
        <v>CONVENCIONAL</v>
      </c>
      <c r="P822" s="180">
        <f>+L822-E822</f>
        <v>2067.0499999999993</v>
      </c>
      <c r="Q822" s="181">
        <f>+M822-F822</f>
        <v>0.28000000000000114</v>
      </c>
      <c r="R822" s="9"/>
    </row>
    <row r="823" spans="1:18" x14ac:dyDescent="0.25">
      <c r="A823" s="9" t="s">
        <v>145</v>
      </c>
      <c r="B823" s="9">
        <f>ROW() - ROW(TablaCosechas[[#Headers],[ID]]) - 4</f>
        <v>818</v>
      </c>
      <c r="C823" s="9" t="str">
        <f>LEFT(A823,2)</f>
        <v>GT</v>
      </c>
      <c r="D823" s="182" t="s">
        <v>367</v>
      </c>
      <c r="E823" s="178">
        <v>3700</v>
      </c>
      <c r="F823" s="19">
        <v>25</v>
      </c>
      <c r="G823" s="195">
        <v>46021</v>
      </c>
      <c r="H823" s="9" t="str">
        <f>VLOOKUP(TablaCosechas[[#This Row],[COD]],DATOS!$E$3:$F$27,2,0)</f>
        <v>GUATO</v>
      </c>
      <c r="I823" s="9" t="str">
        <f>RIGHT(TablaCosechas[[#This Row],[SECTOR/PISCINA]],2)</f>
        <v>15</v>
      </c>
      <c r="J823" s="9" t="str">
        <f>VLOOKUP(TablaCosechas[[#This Row],[COD]],Tabla7[#All],4,0)</f>
        <v>JULIO SANTOS</v>
      </c>
      <c r="K823" s="179">
        <f>(TablaCosechas[[#This Row],[libras planta]]*454)/M823</f>
        <v>79693.065778517906</v>
      </c>
      <c r="L823" s="174">
        <v>4216.3599999999997</v>
      </c>
      <c r="M823" s="19">
        <v>24.02</v>
      </c>
      <c r="N823" s="9" t="str">
        <f>UPPER(TEXT(TablaCosechas[[#This Row],[COSECHA]],"MMMM"))</f>
        <v>DICIEMBRE</v>
      </c>
      <c r="O823" s="9" t="str">
        <f>IF(A823="DO 29","BAP",IF(A823="RO 14","BAP",(VLOOKUP(TablaCosechas[[#This Row],[COD]],Tabla7[[CODIGO]:[CERTIFICACION]],3,0))))</f>
        <v>CONVENCIONAL</v>
      </c>
      <c r="P823" s="180">
        <f>+L823-E823</f>
        <v>516.35999999999967</v>
      </c>
      <c r="Q823" s="181">
        <f>+M823-F823</f>
        <v>-0.98000000000000043</v>
      </c>
      <c r="R823" s="9"/>
    </row>
    <row r="824" spans="1:18" x14ac:dyDescent="0.25">
      <c r="A824" s="9" t="s">
        <v>206</v>
      </c>
      <c r="B824" s="9">
        <f>ROW() - ROW(TablaCosechas[[#Headers],[ID]]) - 4</f>
        <v>819</v>
      </c>
      <c r="C824" s="9" t="str">
        <f>LEFT(A824,2)</f>
        <v>DO</v>
      </c>
      <c r="D824" s="182" t="s">
        <v>367</v>
      </c>
      <c r="E824" s="178">
        <v>10000</v>
      </c>
      <c r="F824" s="19">
        <v>23</v>
      </c>
      <c r="G824" s="195">
        <v>46021</v>
      </c>
      <c r="H824" s="9" t="str">
        <f>VLOOKUP(TablaCosechas[[#This Row],[COD]],DATOS!$E$3:$F$27,2,0)</f>
        <v>DORADO</v>
      </c>
      <c r="I824" s="9" t="str">
        <f>RIGHT(TablaCosechas[[#This Row],[SECTOR/PISCINA]],2)</f>
        <v>27</v>
      </c>
      <c r="J824" s="9" t="str">
        <f>VLOOKUP(TablaCosechas[[#This Row],[COD]],Tabla7[#All],4,0)</f>
        <v>JOSE CEDEÑO</v>
      </c>
      <c r="K824" s="179">
        <f>(TablaCosechas[[#This Row],[libras planta]]*454)/M824</f>
        <v>194227.89773679798</v>
      </c>
      <c r="L824" s="174">
        <v>10207.66</v>
      </c>
      <c r="M824" s="19">
        <v>23.86</v>
      </c>
      <c r="N824" s="9" t="str">
        <f>UPPER(TEXT(TablaCosechas[[#This Row],[COSECHA]],"MMMM"))</f>
        <v>DICIEMBRE</v>
      </c>
      <c r="O824" s="9" t="str">
        <f>IF(A824="DO 29","BAP",IF(A824="RO 14","BAP",(VLOOKUP(TablaCosechas[[#This Row],[COD]],Tabla7[[CODIGO]:[CERTIFICACION]],3,0))))</f>
        <v>ASC</v>
      </c>
      <c r="P824" s="180">
        <f>+L824-E824</f>
        <v>207.65999999999985</v>
      </c>
      <c r="Q824" s="181">
        <f>+M824-F824</f>
        <v>0.85999999999999943</v>
      </c>
      <c r="R824" s="9"/>
    </row>
    <row r="825" spans="1:18" x14ac:dyDescent="0.25">
      <c r="A825" s="9" t="s">
        <v>127</v>
      </c>
      <c r="B825" s="9">
        <f>ROW() - ROW(TablaCosechas[[#Headers],[ID]]) - 4</f>
        <v>820</v>
      </c>
      <c r="C825" s="9" t="str">
        <f>LEFT(A825,2)</f>
        <v>DO</v>
      </c>
      <c r="D825" s="182" t="s">
        <v>367</v>
      </c>
      <c r="E825" s="178">
        <v>7700</v>
      </c>
      <c r="F825" s="19">
        <v>28</v>
      </c>
      <c r="G825" s="195">
        <v>46021</v>
      </c>
      <c r="H825" s="9" t="str">
        <f>VLOOKUP(TablaCosechas[[#This Row],[COD]],DATOS!$E$3:$F$27,2,0)</f>
        <v>DORADO</v>
      </c>
      <c r="I825" s="9" t="str">
        <f>RIGHT(TablaCosechas[[#This Row],[SECTOR/PISCINA]],2)</f>
        <v>07</v>
      </c>
      <c r="J825" s="9" t="str">
        <f>VLOOKUP(TablaCosechas[[#This Row],[COD]],Tabla7[#All],4,0)</f>
        <v>JOSE CEDEÑO</v>
      </c>
      <c r="K825" s="179">
        <f>(TablaCosechas[[#This Row],[libras planta]]*454)/M825</f>
        <v>114990.15013586957</v>
      </c>
      <c r="L825" s="174">
        <v>7456.63</v>
      </c>
      <c r="M825" s="19">
        <v>29.44</v>
      </c>
      <c r="N825" s="9" t="str">
        <f>UPPER(TEXT(TablaCosechas[[#This Row],[COSECHA]],"MMMM"))</f>
        <v>DICIEMBRE</v>
      </c>
      <c r="O825" s="9" t="str">
        <f>IF(A825="DO 29","BAP",IF(A825="RO 14","BAP",(VLOOKUP(TablaCosechas[[#This Row],[COD]],Tabla7[[CODIGO]:[CERTIFICACION]],3,0))))</f>
        <v>ASC</v>
      </c>
      <c r="P825" s="180">
        <f>+L825-E825</f>
        <v>-243.36999999999989</v>
      </c>
      <c r="Q825" s="181">
        <f>+M825-F825</f>
        <v>1.4400000000000013</v>
      </c>
      <c r="R825" s="9"/>
    </row>
    <row r="826" spans="1:18" x14ac:dyDescent="0.25">
      <c r="A826" s="9" t="s">
        <v>283</v>
      </c>
      <c r="B826" s="9">
        <f>ROW() - ROW(TablaCosechas[[#Headers],[ID]]) - 4</f>
        <v>821</v>
      </c>
      <c r="C826" s="9" t="str">
        <f>LEFT(A826,2)</f>
        <v>DE</v>
      </c>
      <c r="D826" s="182" t="s">
        <v>366</v>
      </c>
      <c r="E826" s="178">
        <v>21800</v>
      </c>
      <c r="F826" s="19">
        <v>25</v>
      </c>
      <c r="G826" s="195">
        <v>46021</v>
      </c>
      <c r="H826" s="9" t="str">
        <f>VLOOKUP(TablaCosechas[[#This Row],[COD]],DATOS!$E$3:$F$27,2,0)</f>
        <v>DELFIN</v>
      </c>
      <c r="I826" s="9" t="str">
        <f>RIGHT(TablaCosechas[[#This Row],[SECTOR/PISCINA]],2)</f>
        <v>10</v>
      </c>
      <c r="J826" s="9" t="str">
        <f>VLOOKUP(TablaCosechas[[#This Row],[COD]],Tabla7[#All],4,0)</f>
        <v>CARLOS FLORES</v>
      </c>
      <c r="K826" s="179">
        <f>(TablaCosechas[[#This Row],[libras planta]]*454)/M826</f>
        <v>456767.18710691825</v>
      </c>
      <c r="L826" s="174">
        <v>25595.06</v>
      </c>
      <c r="M826" s="19">
        <v>25.44</v>
      </c>
      <c r="N826" s="9" t="str">
        <f>UPPER(TEXT(TablaCosechas[[#This Row],[COSECHA]],"MMMM"))</f>
        <v>DICIEMBRE</v>
      </c>
      <c r="O826" s="9" t="str">
        <f>IF(A826="DO 29","BAP",IF(A826="RO 14","BAP",(VLOOKUP(TablaCosechas[[#This Row],[COD]],Tabla7[[CODIGO]:[CERTIFICACION]],3,0))))</f>
        <v>CONVENCIONAL</v>
      </c>
      <c r="P826" s="180">
        <f>+L826-E826</f>
        <v>3795.0600000000013</v>
      </c>
      <c r="Q826" s="181">
        <f>+M826-F826</f>
        <v>0.44000000000000128</v>
      </c>
      <c r="R826" s="9"/>
    </row>
    <row r="827" spans="1:18" x14ac:dyDescent="0.25">
      <c r="A827" s="9" t="s">
        <v>11</v>
      </c>
      <c r="B827" s="9">
        <f>ROW() - ROW(TablaCosechas[[#Headers],[ID]]) - 4</f>
        <v>822</v>
      </c>
      <c r="C827" s="9" t="str">
        <f>LEFT(A827,2)</f>
        <v>CH</v>
      </c>
      <c r="D827" s="182" t="s">
        <v>367</v>
      </c>
      <c r="E827" s="178">
        <v>8200</v>
      </c>
      <c r="F827" s="19">
        <v>24</v>
      </c>
      <c r="G827" s="195">
        <v>46021</v>
      </c>
      <c r="H827" s="9" t="str">
        <f>VLOOKUP(TablaCosechas[[#This Row],[COD]],DATOS!$E$3:$F$27,2,0)</f>
        <v>CHERNA</v>
      </c>
      <c r="I827" s="9" t="str">
        <f>RIGHT(TablaCosechas[[#This Row],[SECTOR/PISCINA]],2)</f>
        <v>05</v>
      </c>
      <c r="J827" s="9" t="str">
        <f>VLOOKUP(TablaCosechas[[#This Row],[COD]],Tabla7[#All],4,0)</f>
        <v>SANTIAGO OBRIEN</v>
      </c>
      <c r="K827" s="179">
        <f>(TablaCosechas[[#This Row],[libras planta]]*454)/M827</f>
        <v>150610.70122448981</v>
      </c>
      <c r="L827" s="174">
        <v>8127.67</v>
      </c>
      <c r="M827" s="19">
        <v>24.5</v>
      </c>
      <c r="N827" s="9" t="str">
        <f>UPPER(TEXT(TablaCosechas[[#This Row],[COSECHA]],"MMMM"))</f>
        <v>DICIEMBRE</v>
      </c>
      <c r="O827" s="9" t="str">
        <f>IF(A827="DO 29","BAP",IF(A827="RO 14","BAP",(VLOOKUP(TablaCosechas[[#This Row],[COD]],Tabla7[[CODIGO]:[CERTIFICACION]],3,0))))</f>
        <v>ASC</v>
      </c>
      <c r="P827" s="180">
        <f>+L827-E827</f>
        <v>-72.329999999999927</v>
      </c>
      <c r="Q827" s="181">
        <f>+M827-F827</f>
        <v>0.5</v>
      </c>
      <c r="R827" s="9"/>
    </row>
    <row r="828" spans="1:18" x14ac:dyDescent="0.25">
      <c r="A828" s="9" t="s">
        <v>295</v>
      </c>
      <c r="B828" s="9">
        <f>ROW() - ROW(TablaCosechas[[#Headers],[ID]]) - 4</f>
        <v>823</v>
      </c>
      <c r="C828" s="9" t="str">
        <f>LEFT(A828,2)</f>
        <v>CA</v>
      </c>
      <c r="D828" s="182" t="s">
        <v>366</v>
      </c>
      <c r="E828" s="178">
        <v>10500</v>
      </c>
      <c r="F828" s="19">
        <v>36</v>
      </c>
      <c r="G828" s="195">
        <v>46021</v>
      </c>
      <c r="H828" s="9" t="str">
        <f>VLOOKUP(TablaCosechas[[#This Row],[COD]],DATOS!$E$3:$F$27,2,0)</f>
        <v>CATANUDA</v>
      </c>
      <c r="I828" s="9" t="str">
        <f>RIGHT(TablaCosechas[[#This Row],[SECTOR/PISCINA]],2)</f>
        <v>14</v>
      </c>
      <c r="J828" s="9" t="str">
        <f>VLOOKUP(TablaCosechas[[#This Row],[COD]],Tabla7[#All],4,0)</f>
        <v>VICTOR QUINTANA</v>
      </c>
      <c r="K828" s="179">
        <f>(TablaCosechas[[#This Row],[libras planta]]*454)/M828</f>
        <v>129528.1739130435</v>
      </c>
      <c r="L828" s="174">
        <v>10499.2</v>
      </c>
      <c r="M828" s="19">
        <v>36.799999999999997</v>
      </c>
      <c r="N828" s="9" t="str">
        <f>UPPER(TEXT(TablaCosechas[[#This Row],[COSECHA]],"MMMM"))</f>
        <v>DICIEMBRE</v>
      </c>
      <c r="O828" s="9" t="str">
        <f>IF(A828="DO 29","BAP",IF(A828="RO 14","BAP",(VLOOKUP(TablaCosechas[[#This Row],[COD]],Tabla7[[CODIGO]:[CERTIFICACION]],3,0))))</f>
        <v>ASC</v>
      </c>
      <c r="P828" s="180">
        <f>+L828-E828</f>
        <v>-0.7999999999992724</v>
      </c>
      <c r="Q828" s="181">
        <f>+M828-F828</f>
        <v>0.79999999999999716</v>
      </c>
      <c r="R828" s="9"/>
    </row>
    <row r="829" spans="1:18" x14ac:dyDescent="0.25">
      <c r="A829" s="9" t="s">
        <v>153</v>
      </c>
      <c r="B829" s="9">
        <f>ROW() - ROW(TablaCosechas[[#Headers],[ID]]) - 4</f>
        <v>824</v>
      </c>
      <c r="C829" s="9" t="str">
        <f>LEFT(A829,2)</f>
        <v>GT</v>
      </c>
      <c r="D829" s="182" t="s">
        <v>367</v>
      </c>
      <c r="E829" s="178">
        <v>5000</v>
      </c>
      <c r="F829" s="19">
        <v>27</v>
      </c>
      <c r="G829" s="195">
        <v>46022</v>
      </c>
      <c r="H829" s="9" t="str">
        <f>VLOOKUP(TablaCosechas[[#This Row],[COD]],DATOS!$E$3:$F$27,2,0)</f>
        <v>GUATO</v>
      </c>
      <c r="I829" s="9" t="str">
        <f>RIGHT(TablaCosechas[[#This Row],[SECTOR/PISCINA]],2)</f>
        <v>05</v>
      </c>
      <c r="J829" s="9" t="str">
        <f>VLOOKUP(TablaCosechas[[#This Row],[COD]],Tabla7[#All],4,0)</f>
        <v>JULIO SANTOS</v>
      </c>
      <c r="K829" s="179">
        <f>(TablaCosechas[[#This Row],[libras planta]]*454)/M829</f>
        <v>75822.166455696191</v>
      </c>
      <c r="L829" s="174">
        <v>5277.49</v>
      </c>
      <c r="M829" s="19">
        <v>31.6</v>
      </c>
      <c r="N829" s="9" t="str">
        <f>UPPER(TEXT(TablaCosechas[[#This Row],[COSECHA]],"MMMM"))</f>
        <v>DICIEMBRE</v>
      </c>
      <c r="O829" s="9" t="str">
        <f>IF(A829="DO 29","BAP",IF(A829="RO 14","BAP",(VLOOKUP(TablaCosechas[[#This Row],[COD]],Tabla7[[CODIGO]:[CERTIFICACION]],3,0))))</f>
        <v>CONVENCIONAL</v>
      </c>
      <c r="P829" s="180">
        <f>+L829-E829</f>
        <v>277.48999999999978</v>
      </c>
      <c r="Q829" s="181">
        <f>+M829-F829</f>
        <v>4.6000000000000014</v>
      </c>
      <c r="R829" s="9"/>
    </row>
    <row r="830" spans="1:18" x14ac:dyDescent="0.25">
      <c r="A830" s="9" t="s">
        <v>169</v>
      </c>
      <c r="B830" s="9">
        <f>ROW() - ROW(TablaCosechas[[#Headers],[ID]]) - 4</f>
        <v>825</v>
      </c>
      <c r="C830" s="9" t="str">
        <f>LEFT(A830,2)</f>
        <v>DO</v>
      </c>
      <c r="D830" s="182" t="s">
        <v>367</v>
      </c>
      <c r="E830" s="178">
        <v>10000</v>
      </c>
      <c r="F830" s="19">
        <v>25</v>
      </c>
      <c r="G830" s="195">
        <v>46022</v>
      </c>
      <c r="H830" s="9" t="str">
        <f>VLOOKUP(TablaCosechas[[#This Row],[COD]],DATOS!$E$3:$F$27,2,0)</f>
        <v>DORADO</v>
      </c>
      <c r="I830" s="9" t="str">
        <f>RIGHT(TablaCosechas[[#This Row],[SECTOR/PISCINA]],2)</f>
        <v>12</v>
      </c>
      <c r="J830" s="9" t="str">
        <f>VLOOKUP(TablaCosechas[[#This Row],[COD]],Tabla7[#All],4,0)</f>
        <v>JOSE CEDEÑO</v>
      </c>
      <c r="K830" s="179">
        <f>(TablaCosechas[[#This Row],[libras planta]]*454)/M830</f>
        <v>164066.3050139276</v>
      </c>
      <c r="L830" s="174">
        <v>10378.82</v>
      </c>
      <c r="M830" s="19">
        <v>28.72</v>
      </c>
      <c r="N830" s="9" t="str">
        <f>UPPER(TEXT(TablaCosechas[[#This Row],[COSECHA]],"MMMM"))</f>
        <v>DICIEMBRE</v>
      </c>
      <c r="O830" s="9" t="str">
        <f>IF(A830="DO 29","BAP",IF(A830="RO 14","BAP",(VLOOKUP(TablaCosechas[[#This Row],[COD]],Tabla7[[CODIGO]:[CERTIFICACION]],3,0))))</f>
        <v>ASC</v>
      </c>
      <c r="P830" s="180">
        <f>+L830-E830</f>
        <v>378.81999999999971</v>
      </c>
      <c r="Q830" s="181">
        <f>+M830-F830</f>
        <v>3.7199999999999989</v>
      </c>
      <c r="R830" s="9"/>
    </row>
    <row r="831" spans="1:18" x14ac:dyDescent="0.25">
      <c r="A831" s="9" t="s">
        <v>320</v>
      </c>
      <c r="B831" s="9">
        <f>ROW() - ROW(TablaCosechas[[#Headers],[ID]]) - 4</f>
        <v>826</v>
      </c>
      <c r="C831" s="9" t="str">
        <f>LEFT(A831,2)</f>
        <v>CA</v>
      </c>
      <c r="D831" s="182" t="s">
        <v>366</v>
      </c>
      <c r="E831" s="178">
        <v>22400</v>
      </c>
      <c r="F831" s="19">
        <v>38</v>
      </c>
      <c r="G831" s="195">
        <v>46022</v>
      </c>
      <c r="H831" s="9" t="str">
        <f>VLOOKUP(TablaCosechas[[#This Row],[COD]],DATOS!$E$3:$F$27,2,0)</f>
        <v>CATANUDA</v>
      </c>
      <c r="I831" s="9" t="str">
        <f>RIGHT(TablaCosechas[[#This Row],[SECTOR/PISCINA]],2)</f>
        <v>21</v>
      </c>
      <c r="J831" s="9" t="str">
        <f>VLOOKUP(TablaCosechas[[#This Row],[COD]],Tabla7[#All],4,0)</f>
        <v>VICTOR QUINTANA</v>
      </c>
      <c r="K831" s="179">
        <f>(TablaCosechas[[#This Row],[libras planta]]*454)/M831</f>
        <v>265095.62076160667</v>
      </c>
      <c r="L831" s="174">
        <v>22387.15</v>
      </c>
      <c r="M831" s="19">
        <v>38.340000000000003</v>
      </c>
      <c r="N831" s="9" t="str">
        <f>UPPER(TEXT(TablaCosechas[[#This Row],[COSECHA]],"MMMM"))</f>
        <v>DICIEMBRE</v>
      </c>
      <c r="O831" s="9" t="str">
        <f>IF(A831="DO 29","BAP",IF(A831="RO 14","BAP",(VLOOKUP(TablaCosechas[[#This Row],[COD]],Tabla7[[CODIGO]:[CERTIFICACION]],3,0))))</f>
        <v>ASC</v>
      </c>
      <c r="P831" s="180">
        <f>+L831-E831</f>
        <v>-12.849999999998545</v>
      </c>
      <c r="Q831" s="181">
        <f>+M831-F831</f>
        <v>0.34000000000000341</v>
      </c>
      <c r="R831" s="9"/>
    </row>
    <row r="832" spans="1:18" x14ac:dyDescent="0.25">
      <c r="A832" s="9" t="s">
        <v>157</v>
      </c>
      <c r="B832" s="9">
        <f>ROW() - ROW(TablaCosechas[[#Headers],[ID]]) - 4</f>
        <v>827</v>
      </c>
      <c r="C832" s="9" t="str">
        <f>LEFT(A832,2)</f>
        <v>WA</v>
      </c>
      <c r="D832" s="182" t="s">
        <v>367</v>
      </c>
      <c r="E832" s="178">
        <v>10050</v>
      </c>
      <c r="F832" s="19">
        <v>19</v>
      </c>
      <c r="G832" s="195">
        <v>46024</v>
      </c>
      <c r="H832" s="9" t="str">
        <f>VLOOKUP(TablaCosechas[[#This Row],[COD]],DATOS!$E$3:$F$27,2,0)</f>
        <v>WAHOO</v>
      </c>
      <c r="I832" s="9" t="str">
        <f>RIGHT(TablaCosechas[[#This Row],[SECTOR/PISCINA]],2)</f>
        <v>04</v>
      </c>
      <c r="J832" s="9" t="str">
        <f>VLOOKUP(TablaCosechas[[#This Row],[COD]],Tabla7[#All],4,0)</f>
        <v>JUNIOR ESQUIVEL</v>
      </c>
      <c r="K832" s="179">
        <f>(TablaCosechas[[#This Row],[libras planta]]*454)/M832</f>
        <v>243854.57609805925</v>
      </c>
      <c r="L832" s="215">
        <v>10516.9</v>
      </c>
      <c r="M832" s="19">
        <v>19.579999999999998</v>
      </c>
      <c r="N832" s="9" t="str">
        <f>UPPER(TEXT(TablaCosechas[[#This Row],[COSECHA]],"MMMM"))</f>
        <v>ENERO</v>
      </c>
      <c r="O832" s="9" t="str">
        <f>IF(A832="DO 29","BAP",IF(A832="RO 14","BAP",(VLOOKUP(TablaCosechas[[#This Row],[COD]],Tabla7[[CODIGO]:[CERTIFICACION]],3,0))))</f>
        <v>CONVENCIONAL</v>
      </c>
      <c r="P832" s="180">
        <f>+L832-E832</f>
        <v>466.89999999999964</v>
      </c>
      <c r="Q832" s="181">
        <f>+M832-F832</f>
        <v>0.57999999999999829</v>
      </c>
      <c r="R832" s="9"/>
    </row>
    <row r="833" spans="1:18" x14ac:dyDescent="0.25">
      <c r="A833" s="9" t="s">
        <v>192</v>
      </c>
      <c r="B833" s="9">
        <f>ROW() - ROW(TablaCosechas[[#Headers],[ID]]) - 4</f>
        <v>828</v>
      </c>
      <c r="C833" s="9" t="str">
        <f>LEFT(A833,2)</f>
        <v>TU</v>
      </c>
      <c r="D833" s="182" t="s">
        <v>367</v>
      </c>
      <c r="E833" s="178">
        <v>5600</v>
      </c>
      <c r="F833" s="19">
        <v>19</v>
      </c>
      <c r="G833" s="195">
        <v>46024</v>
      </c>
      <c r="H833" s="9" t="str">
        <f>VLOOKUP(TablaCosechas[[#This Row],[COD]],DATOS!$E$3:$F$27,2,0)</f>
        <v>TUNA</v>
      </c>
      <c r="I833" s="9" t="str">
        <f>RIGHT(TablaCosechas[[#This Row],[SECTOR/PISCINA]],2)</f>
        <v>02</v>
      </c>
      <c r="J833" s="9" t="str">
        <f>VLOOKUP(TablaCosechas[[#This Row],[COD]],Tabla7[#All],4,0)</f>
        <v>GUSTAVO CARRASCO</v>
      </c>
      <c r="K833" s="179">
        <f>(TablaCosechas[[#This Row],[libras planta]]*454)/M833</f>
        <v>129973.41768292683</v>
      </c>
      <c r="L833" s="215">
        <v>5634.09</v>
      </c>
      <c r="M833" s="19">
        <v>19.68</v>
      </c>
      <c r="N833" s="9" t="str">
        <f>UPPER(TEXT(TablaCosechas[[#This Row],[COSECHA]],"MMMM"))</f>
        <v>ENERO</v>
      </c>
      <c r="O833" s="9" t="str">
        <f>IF(A833="DO 29","BAP",IF(A833="RO 14","BAP",(VLOOKUP(TablaCosechas[[#This Row],[COD]],Tabla7[[CODIGO]:[CERTIFICACION]],3,0))))</f>
        <v>ASC</v>
      </c>
      <c r="P833" s="180">
        <f>+L833-E833</f>
        <v>34.090000000000146</v>
      </c>
      <c r="Q833" s="181">
        <f>+M833-F833</f>
        <v>0.67999999999999972</v>
      </c>
      <c r="R833" s="9"/>
    </row>
    <row r="834" spans="1:18" x14ac:dyDescent="0.25">
      <c r="A834" s="9" t="s">
        <v>195</v>
      </c>
      <c r="B834" s="9">
        <f>ROW() - ROW(TablaCosechas[[#Headers],[ID]]) - 4</f>
        <v>829</v>
      </c>
      <c r="C834" s="9" t="str">
        <f>LEFT(A834,2)</f>
        <v>TU</v>
      </c>
      <c r="D834" s="182" t="s">
        <v>367</v>
      </c>
      <c r="E834" s="178">
        <v>10250</v>
      </c>
      <c r="F834" s="19">
        <v>20</v>
      </c>
      <c r="G834" s="195">
        <v>46024</v>
      </c>
      <c r="H834" s="9" t="str">
        <f>VLOOKUP(TablaCosechas[[#This Row],[COD]],DATOS!$E$3:$F$27,2,0)</f>
        <v>TUNA</v>
      </c>
      <c r="I834" s="9" t="str">
        <f>RIGHT(TablaCosechas[[#This Row],[SECTOR/PISCINA]],2)</f>
        <v>01</v>
      </c>
      <c r="J834" s="9" t="str">
        <f>VLOOKUP(TablaCosechas[[#This Row],[COD]],Tabla7[#All],4,0)</f>
        <v>GUSTAVO CARRASCO</v>
      </c>
      <c r="K834" s="179">
        <f>(TablaCosechas[[#This Row],[libras planta]]*454)/M834</f>
        <v>227074.84501480751</v>
      </c>
      <c r="L834" s="215">
        <v>10133.34</v>
      </c>
      <c r="M834" s="19">
        <v>20.260000000000002</v>
      </c>
      <c r="N834" s="9" t="str">
        <f>UPPER(TEXT(TablaCosechas[[#This Row],[COSECHA]],"MMMM"))</f>
        <v>ENERO</v>
      </c>
      <c r="O834" s="9" t="str">
        <f>IF(A834="DO 29","BAP",IF(A834="RO 14","BAP",(VLOOKUP(TablaCosechas[[#This Row],[COD]],Tabla7[[CODIGO]:[CERTIFICACION]],3,0))))</f>
        <v>ASC</v>
      </c>
      <c r="P834" s="180">
        <f>+L834-E834</f>
        <v>-116.65999999999985</v>
      </c>
      <c r="Q834" s="181">
        <f>+M834-F834</f>
        <v>0.26000000000000156</v>
      </c>
      <c r="R834" s="9"/>
    </row>
    <row r="835" spans="1:18" x14ac:dyDescent="0.25">
      <c r="A835" s="9" t="s">
        <v>160</v>
      </c>
      <c r="B835" s="9">
        <f>ROW() - ROW(TablaCosechas[[#Headers],[ID]]) - 4</f>
        <v>830</v>
      </c>
      <c r="C835" s="9" t="str">
        <f>LEFT(A835,2)</f>
        <v>TI</v>
      </c>
      <c r="D835" s="182" t="s">
        <v>367</v>
      </c>
      <c r="E835" s="178">
        <v>6500</v>
      </c>
      <c r="F835" s="19">
        <v>31</v>
      </c>
      <c r="G835" s="195">
        <v>46024</v>
      </c>
      <c r="H835" s="9" t="str">
        <f>VLOOKUP(TablaCosechas[[#This Row],[COD]],DATOS!$E$3:$F$27,2,0)</f>
        <v>TIBURON</v>
      </c>
      <c r="I835" s="9" t="str">
        <f>RIGHT(TablaCosechas[[#This Row],[SECTOR/PISCINA]],2)</f>
        <v>14</v>
      </c>
      <c r="J835" s="9" t="str">
        <f>VLOOKUP(TablaCosechas[[#This Row],[COD]],Tabla7[#All],4,0)</f>
        <v>ALFONSO GRUNAUER</v>
      </c>
      <c r="K835" s="179">
        <f>(TablaCosechas[[#This Row],[libras planta]]*454)/M835</f>
        <v>94232.905095541413</v>
      </c>
      <c r="L835" s="215">
        <v>6517.43</v>
      </c>
      <c r="M835" s="19">
        <v>31.4</v>
      </c>
      <c r="N835" s="9" t="str">
        <f>UPPER(TEXT(TablaCosechas[[#This Row],[COSECHA]],"MMMM"))</f>
        <v>ENERO</v>
      </c>
      <c r="O835" s="9" t="str">
        <f>IF(A835="DO 29","BAP",IF(A835="RO 14","BAP",(VLOOKUP(TablaCosechas[[#This Row],[COD]],Tabla7[[CODIGO]:[CERTIFICACION]],3,0))))</f>
        <v>ASC</v>
      </c>
      <c r="P835" s="180">
        <f>+L835-E835</f>
        <v>17.430000000000291</v>
      </c>
      <c r="Q835" s="181">
        <f>+M835-F835</f>
        <v>0.39999999999999858</v>
      </c>
      <c r="R835" s="9"/>
    </row>
    <row r="836" spans="1:18" x14ac:dyDescent="0.25">
      <c r="A836" s="9" t="s">
        <v>156</v>
      </c>
      <c r="B836" s="9">
        <f>ROW() - ROW(TablaCosechas[[#Headers],[ID]]) - 4</f>
        <v>831</v>
      </c>
      <c r="C836" s="9" t="str">
        <f>LEFT(A836,2)</f>
        <v>TI</v>
      </c>
      <c r="D836" s="182" t="s">
        <v>367</v>
      </c>
      <c r="E836" s="178">
        <v>10500</v>
      </c>
      <c r="F836" s="19">
        <v>32</v>
      </c>
      <c r="G836" s="195">
        <v>46024</v>
      </c>
      <c r="H836" s="9" t="str">
        <f>VLOOKUP(TablaCosechas[[#This Row],[COD]],DATOS!$E$3:$F$27,2,0)</f>
        <v>TIBURON</v>
      </c>
      <c r="I836" s="9" t="str">
        <f>RIGHT(TablaCosechas[[#This Row],[SECTOR/PISCINA]],2)</f>
        <v>11</v>
      </c>
      <c r="J836" s="9" t="str">
        <f>VLOOKUP(TablaCosechas[[#This Row],[COD]],Tabla7[#All],4,0)</f>
        <v>ALFONSO GRUNAUER</v>
      </c>
      <c r="K836" s="179">
        <f>(TablaCosechas[[#This Row],[libras planta]]*454)/M836</f>
        <v>143178.88908872902</v>
      </c>
      <c r="L836" s="215">
        <v>10520.81</v>
      </c>
      <c r="M836" s="19">
        <v>33.36</v>
      </c>
      <c r="N836" s="9" t="str">
        <f>UPPER(TEXT(TablaCosechas[[#This Row],[COSECHA]],"MMMM"))</f>
        <v>ENERO</v>
      </c>
      <c r="O836" s="9" t="str">
        <f>IF(A836="DO 29","BAP",IF(A836="RO 14","BAP",(VLOOKUP(TablaCosechas[[#This Row],[COD]],Tabla7[[CODIGO]:[CERTIFICACION]],3,0))))</f>
        <v>ASC</v>
      </c>
      <c r="P836" s="180">
        <f>+L836-E836</f>
        <v>20.809999999999491</v>
      </c>
      <c r="Q836" s="181">
        <f>+M836-F836</f>
        <v>1.3599999999999994</v>
      </c>
      <c r="R836" s="9"/>
    </row>
    <row r="837" spans="1:18" x14ac:dyDescent="0.25">
      <c r="A837" s="9" t="s">
        <v>106</v>
      </c>
      <c r="B837" s="9">
        <f>ROW() - ROW(TablaCosechas[[#Headers],[ID]]) - 4</f>
        <v>832</v>
      </c>
      <c r="C837" s="9" t="str">
        <f>LEFT(A837,2)</f>
        <v>PR</v>
      </c>
      <c r="D837" s="182" t="s">
        <v>366</v>
      </c>
      <c r="E837" s="178">
        <v>22100</v>
      </c>
      <c r="F837" s="19">
        <v>21</v>
      </c>
      <c r="G837" s="195">
        <v>46024</v>
      </c>
      <c r="H837" s="9" t="str">
        <f>VLOOKUP(TablaCosechas[[#This Row],[COD]],DATOS!$E$3:$F$27,2,0)</f>
        <v>PARGO ROJO</v>
      </c>
      <c r="I837" s="9" t="str">
        <f>RIGHT(TablaCosechas[[#This Row],[SECTOR/PISCINA]],2)</f>
        <v>28</v>
      </c>
      <c r="J837" s="9" t="str">
        <f>VLOOKUP(TablaCosechas[[#This Row],[COD]],Tabla7[#All],4,0)</f>
        <v>WILMER TORRES</v>
      </c>
      <c r="K837" s="179">
        <f>(TablaCosechas[[#This Row],[libras planta]]*454)/M837</f>
        <v>567947.08190476196</v>
      </c>
      <c r="L837" s="215">
        <v>26270.68</v>
      </c>
      <c r="M837" s="19">
        <v>21</v>
      </c>
      <c r="N837" s="9" t="str">
        <f>UPPER(TEXT(TablaCosechas[[#This Row],[COSECHA]],"MMMM"))</f>
        <v>ENERO</v>
      </c>
      <c r="O837" s="9" t="str">
        <f>IF(A837="DO 29","BAP",IF(A837="RO 14","BAP",(VLOOKUP(TablaCosechas[[#This Row],[COD]],Tabla7[[CODIGO]:[CERTIFICACION]],3,0))))</f>
        <v>CONVENCIONAL</v>
      </c>
      <c r="P837" s="180">
        <f>+L837-E837</f>
        <v>4170.68</v>
      </c>
      <c r="Q837" s="181">
        <f>+M837-F837</f>
        <v>0</v>
      </c>
      <c r="R837" s="9"/>
    </row>
    <row r="838" spans="1:18" x14ac:dyDescent="0.25">
      <c r="A838" s="9" t="s">
        <v>26</v>
      </c>
      <c r="B838" s="9">
        <f>ROW() - ROW(TablaCosechas[[#Headers],[ID]]) - 4</f>
        <v>833</v>
      </c>
      <c r="C838" s="9" t="str">
        <f>LEFT(A838,2)</f>
        <v>CH</v>
      </c>
      <c r="D838" s="182" t="s">
        <v>367</v>
      </c>
      <c r="E838" s="178">
        <v>6200</v>
      </c>
      <c r="F838" s="19">
        <v>31.5</v>
      </c>
      <c r="G838" s="195">
        <v>46024</v>
      </c>
      <c r="H838" s="9" t="str">
        <f>VLOOKUP(TablaCosechas[[#This Row],[COD]],DATOS!$E$3:$F$27,2,0)</f>
        <v>CHERNA</v>
      </c>
      <c r="I838" s="9" t="str">
        <f>RIGHT(TablaCosechas[[#This Row],[SECTOR/PISCINA]],2)</f>
        <v>23</v>
      </c>
      <c r="J838" s="9" t="str">
        <f>VLOOKUP(TablaCosechas[[#This Row],[COD]],Tabla7[#All],4,0)</f>
        <v>SANTIAGO OBRIEN</v>
      </c>
      <c r="K838" s="179">
        <f>(TablaCosechas[[#This Row],[libras planta]]*454)/M838</f>
        <v>100960.57488247145</v>
      </c>
      <c r="L838" s="215">
        <v>6622.48</v>
      </c>
      <c r="M838" s="19">
        <v>29.78</v>
      </c>
      <c r="N838" s="9" t="str">
        <f>UPPER(TEXT(TablaCosechas[[#This Row],[COSECHA]],"MMMM"))</f>
        <v>ENERO</v>
      </c>
      <c r="O838" s="9" t="str">
        <f>IF(A838="DO 29","BAP",IF(A838="RO 14","BAP",(VLOOKUP(TablaCosechas[[#This Row],[COD]],Tabla7[[CODIGO]:[CERTIFICACION]],3,0))))</f>
        <v>ASC</v>
      </c>
      <c r="P838" s="180">
        <f>+L838-E838</f>
        <v>422.47999999999956</v>
      </c>
      <c r="Q838" s="181">
        <f>+M838-F838</f>
        <v>-1.7199999999999989</v>
      </c>
      <c r="R838" s="9"/>
    </row>
    <row r="839" spans="1:18" x14ac:dyDescent="0.25">
      <c r="A839" s="9" t="s">
        <v>212</v>
      </c>
      <c r="B839" s="9">
        <f>ROW() - ROW(TablaCosechas[[#Headers],[ID]]) - 4</f>
        <v>834</v>
      </c>
      <c r="C839" s="9" t="str">
        <f>LEFT(A839,2)</f>
        <v>CA</v>
      </c>
      <c r="D839" s="182" t="s">
        <v>367</v>
      </c>
      <c r="E839" s="178">
        <v>14650</v>
      </c>
      <c r="F839" s="19">
        <v>20</v>
      </c>
      <c r="G839" s="195">
        <v>46024</v>
      </c>
      <c r="H839" s="9" t="str">
        <f>VLOOKUP(TablaCosechas[[#This Row],[COD]],DATOS!$E$3:$F$27,2,0)</f>
        <v>CATANUDA</v>
      </c>
      <c r="I839" s="9" t="str">
        <f>RIGHT(TablaCosechas[[#This Row],[SECTOR/PISCINA]],2)</f>
        <v>09</v>
      </c>
      <c r="J839" s="9" t="str">
        <f>VLOOKUP(TablaCosechas[[#This Row],[COD]],Tabla7[#All],4,0)</f>
        <v>VICTOR QUINTANA</v>
      </c>
      <c r="K839" s="179">
        <f>(TablaCosechas[[#This Row],[libras planta]]*454)/M839</f>
        <v>354725.26015473891</v>
      </c>
      <c r="L839" s="215">
        <v>16157.97</v>
      </c>
      <c r="M839" s="19">
        <v>20.68</v>
      </c>
      <c r="N839" s="9" t="str">
        <f>UPPER(TEXT(TablaCosechas[[#This Row],[COSECHA]],"MMMM"))</f>
        <v>ENERO</v>
      </c>
      <c r="O839" s="9" t="str">
        <f>IF(A839="DO 29","BAP",IF(A839="RO 14","BAP",(VLOOKUP(TablaCosechas[[#This Row],[COD]],Tabla7[[CODIGO]:[CERTIFICACION]],3,0))))</f>
        <v>ASC</v>
      </c>
      <c r="P839" s="180">
        <f>+L839-E839</f>
        <v>1507.9699999999993</v>
      </c>
      <c r="Q839" s="181">
        <f>+M839-F839</f>
        <v>0.67999999999999972</v>
      </c>
      <c r="R839" s="9"/>
    </row>
    <row r="840" spans="1:18" x14ac:dyDescent="0.25">
      <c r="A840" s="9" t="s">
        <v>214</v>
      </c>
      <c r="B840" s="9">
        <f>ROW() - ROW(TablaCosechas[[#Headers],[ID]]) - 4</f>
        <v>835</v>
      </c>
      <c r="C840" s="9" t="str">
        <f>LEFT(A840,2)</f>
        <v>WA</v>
      </c>
      <c r="D840" s="182" t="s">
        <v>367</v>
      </c>
      <c r="E840" s="178">
        <v>14000</v>
      </c>
      <c r="F840" s="19">
        <v>19</v>
      </c>
      <c r="G840" s="195">
        <v>46025</v>
      </c>
      <c r="H840" s="9" t="str">
        <f>VLOOKUP(TablaCosechas[[#This Row],[COD]],DATOS!$E$3:$F$27,2,0)</f>
        <v>WAHOO</v>
      </c>
      <c r="I840" s="9" t="str">
        <f>RIGHT(TablaCosechas[[#This Row],[SECTOR/PISCINA]],2)</f>
        <v>30</v>
      </c>
      <c r="J840" s="9" t="str">
        <f>VLOOKUP(TablaCosechas[[#This Row],[COD]],Tabla7[#All],4,0)</f>
        <v>JUNIOR ESQUIVEL</v>
      </c>
      <c r="K840" s="179">
        <f>(TablaCosechas[[#This Row],[libras planta]]*454)/M840</f>
        <v>326551.63236763235</v>
      </c>
      <c r="L840" s="215">
        <v>14399.92</v>
      </c>
      <c r="M840" s="19">
        <v>20.02</v>
      </c>
      <c r="N840" s="9" t="str">
        <f>UPPER(TEXT(TablaCosechas[[#This Row],[COSECHA]],"MMMM"))</f>
        <v>ENERO</v>
      </c>
      <c r="O840" s="9" t="str">
        <f>IF(A840="DO 29","BAP",IF(A840="RO 14","BAP",(VLOOKUP(TablaCosechas[[#This Row],[COD]],Tabla7[[CODIGO]:[CERTIFICACION]],3,0))))</f>
        <v>CONVENCIONAL</v>
      </c>
      <c r="P840" s="180">
        <f>+L840-E840</f>
        <v>399.92000000000007</v>
      </c>
      <c r="Q840" s="181">
        <f>+M840-F840</f>
        <v>1.0199999999999996</v>
      </c>
      <c r="R840" s="9"/>
    </row>
    <row r="841" spans="1:18" x14ac:dyDescent="0.25">
      <c r="A841" s="9" t="s">
        <v>185</v>
      </c>
      <c r="B841" s="9">
        <f>ROW() - ROW(TablaCosechas[[#Headers],[ID]]) - 4</f>
        <v>836</v>
      </c>
      <c r="C841" s="9" t="str">
        <f>LEFT(A841,2)</f>
        <v>TU</v>
      </c>
      <c r="D841" s="182" t="s">
        <v>367</v>
      </c>
      <c r="E841" s="178">
        <v>9350</v>
      </c>
      <c r="F841" s="19">
        <v>20</v>
      </c>
      <c r="G841" s="195">
        <v>46025</v>
      </c>
      <c r="H841" s="9" t="str">
        <f>VLOOKUP(TablaCosechas[[#This Row],[COD]],DATOS!$E$3:$F$27,2,0)</f>
        <v>TUNA</v>
      </c>
      <c r="I841" s="9" t="str">
        <f>RIGHT(TablaCosechas[[#This Row],[SECTOR/PISCINA]],2)</f>
        <v>4A</v>
      </c>
      <c r="J841" s="9" t="str">
        <f>VLOOKUP(TablaCosechas[[#This Row],[COD]],Tabla7[#All],4,0)</f>
        <v>GUSTAVO CARRASCO</v>
      </c>
      <c r="K841" s="179">
        <f>(TablaCosechas[[#This Row],[libras planta]]*454)/M841</f>
        <v>182209.00290979631</v>
      </c>
      <c r="L841" s="215">
        <v>8275.66</v>
      </c>
      <c r="M841" s="19">
        <v>20.62</v>
      </c>
      <c r="N841" s="9" t="str">
        <f>UPPER(TEXT(TablaCosechas[[#This Row],[COSECHA]],"MMMM"))</f>
        <v>ENERO</v>
      </c>
      <c r="O841" s="9" t="str">
        <f>IF(A841="DO 29","BAP",IF(A841="RO 14","BAP",(VLOOKUP(TablaCosechas[[#This Row],[COD]],Tabla7[[CODIGO]:[CERTIFICACION]],3,0))))</f>
        <v>ASC</v>
      </c>
      <c r="P841" s="180">
        <f>+L841-E841</f>
        <v>-1074.3400000000001</v>
      </c>
      <c r="Q841" s="181">
        <f>+M841-F841</f>
        <v>0.62000000000000099</v>
      </c>
      <c r="R841" s="9"/>
    </row>
    <row r="842" spans="1:18" x14ac:dyDescent="0.25">
      <c r="A842" s="9" t="s">
        <v>109</v>
      </c>
      <c r="B842" s="9">
        <f>ROW() - ROW(TablaCosechas[[#Headers],[ID]]) - 4</f>
        <v>837</v>
      </c>
      <c r="C842" s="9" t="str">
        <f>LEFT(A842,2)</f>
        <v>TI</v>
      </c>
      <c r="D842" s="182" t="s">
        <v>366</v>
      </c>
      <c r="E842" s="178">
        <v>12100</v>
      </c>
      <c r="F842" s="19">
        <v>41</v>
      </c>
      <c r="G842" s="195">
        <v>46025</v>
      </c>
      <c r="H842" s="9" t="str">
        <f>VLOOKUP(TablaCosechas[[#This Row],[COD]],DATOS!$E$3:$F$27,2,0)</f>
        <v>TIBURON</v>
      </c>
      <c r="I842" s="9" t="str">
        <f>RIGHT(TablaCosechas[[#This Row],[SECTOR/PISCINA]],2)</f>
        <v>19</v>
      </c>
      <c r="J842" s="9" t="str">
        <f>VLOOKUP(TablaCosechas[[#This Row],[COD]],Tabla7[#All],4,0)</f>
        <v>ALFONSO GRUNAUER</v>
      </c>
      <c r="K842" s="179">
        <f>(TablaCosechas[[#This Row],[libras planta]]*454)/M842</f>
        <v>148305.87256371812</v>
      </c>
      <c r="L842" s="215">
        <v>13073.13</v>
      </c>
      <c r="M842" s="19">
        <v>40.020000000000003</v>
      </c>
      <c r="N842" s="9" t="str">
        <f>UPPER(TEXT(TablaCosechas[[#This Row],[COSECHA]],"MMMM"))</f>
        <v>ENERO</v>
      </c>
      <c r="O842" s="9" t="str">
        <f>IF(A842="DO 29","BAP",IF(A842="RO 14","BAP",(VLOOKUP(TablaCosechas[[#This Row],[COD]],Tabla7[[CODIGO]:[CERTIFICACION]],3,0))))</f>
        <v>ASC</v>
      </c>
      <c r="P842" s="180">
        <f>+L842-E842</f>
        <v>973.1299999999992</v>
      </c>
      <c r="Q842" s="181">
        <f>+M842-F842</f>
        <v>-0.97999999999999687</v>
      </c>
      <c r="R842" s="9"/>
    </row>
    <row r="843" spans="1:18" x14ac:dyDescent="0.25">
      <c r="A843" s="9" t="s">
        <v>199</v>
      </c>
      <c r="B843" s="9">
        <f>ROW() - ROW(TablaCosechas[[#Headers],[ID]]) - 4</f>
        <v>838</v>
      </c>
      <c r="C843" s="9" t="str">
        <f>LEFT(A843,2)</f>
        <v>RO</v>
      </c>
      <c r="D843" s="182" t="s">
        <v>367</v>
      </c>
      <c r="E843" s="178">
        <v>15600</v>
      </c>
      <c r="F843" s="19">
        <v>18</v>
      </c>
      <c r="G843" s="195">
        <v>46025</v>
      </c>
      <c r="H843" s="9" t="str">
        <f>VLOOKUP(TablaCosechas[[#This Row],[COD]],DATOS!$E$3:$F$27,2,0)</f>
        <v>ROBALO</v>
      </c>
      <c r="I843" s="9" t="str">
        <f>RIGHT(TablaCosechas[[#This Row],[SECTOR/PISCINA]],2)</f>
        <v>08</v>
      </c>
      <c r="J843" s="9" t="str">
        <f>VLOOKUP(TablaCosechas[[#This Row],[COD]],Tabla7[#All],4,0)</f>
        <v>VICTOR QUINTANA</v>
      </c>
      <c r="K843" s="179">
        <f>(TablaCosechas[[#This Row],[libras planta]]*454)/M843</f>
        <v>334885.47316103376</v>
      </c>
      <c r="L843" s="215">
        <v>14841.18</v>
      </c>
      <c r="M843" s="19">
        <v>20.12</v>
      </c>
      <c r="N843" s="9" t="str">
        <f>UPPER(TEXT(TablaCosechas[[#This Row],[COSECHA]],"MMMM"))</f>
        <v>ENERO</v>
      </c>
      <c r="O843" s="9" t="str">
        <f>IF(A843="DO 29","BAP",IF(A843="RO 14","BAP",(VLOOKUP(TablaCosechas[[#This Row],[COD]],Tabla7[[CODIGO]:[CERTIFICACION]],3,0))))</f>
        <v>ASC</v>
      </c>
      <c r="P843" s="180">
        <f>+L843-E843</f>
        <v>-758.81999999999971</v>
      </c>
      <c r="Q843" s="181">
        <f>+M843-F843</f>
        <v>2.120000000000001</v>
      </c>
      <c r="R843" s="9"/>
    </row>
    <row r="844" spans="1:18" x14ac:dyDescent="0.25">
      <c r="A844" s="9" t="s">
        <v>107</v>
      </c>
      <c r="B844" s="9">
        <f>ROW() - ROW(TablaCosechas[[#Headers],[ID]]) - 4</f>
        <v>839</v>
      </c>
      <c r="C844" s="9" t="str">
        <f>LEFT(A844,2)</f>
        <v>PR</v>
      </c>
      <c r="D844" s="182" t="s">
        <v>366</v>
      </c>
      <c r="E844" s="178">
        <v>16150</v>
      </c>
      <c r="F844" s="19">
        <v>20</v>
      </c>
      <c r="G844" s="195">
        <v>46025</v>
      </c>
      <c r="H844" s="9" t="str">
        <f>VLOOKUP(TablaCosechas[[#This Row],[COD]],DATOS!$E$3:$F$27,2,0)</f>
        <v>PARGO ROJO</v>
      </c>
      <c r="I844" s="9" t="str">
        <f>RIGHT(TablaCosechas[[#This Row],[SECTOR/PISCINA]],2)</f>
        <v>14</v>
      </c>
      <c r="J844" s="9" t="str">
        <f>VLOOKUP(TablaCosechas[[#This Row],[COD]],Tabla7[#All],4,0)</f>
        <v>WILMER TORRES</v>
      </c>
      <c r="K844" s="179">
        <f>(TablaCosechas[[#This Row],[libras planta]]*454)/M844</f>
        <v>373352.26464843756</v>
      </c>
      <c r="L844" s="215">
        <v>16841.97</v>
      </c>
      <c r="M844" s="19">
        <v>20.48</v>
      </c>
      <c r="N844" s="9" t="str">
        <f>UPPER(TEXT(TablaCosechas[[#This Row],[COSECHA]],"MMMM"))</f>
        <v>ENERO</v>
      </c>
      <c r="O844" s="9" t="str">
        <f>IF(A844="DO 29","BAP",IF(A844="RO 14","BAP",(VLOOKUP(TablaCosechas[[#This Row],[COD]],Tabla7[[CODIGO]:[CERTIFICACION]],3,0))))</f>
        <v>CONVENCIONAL</v>
      </c>
      <c r="P844" s="180">
        <f>+L844-E844</f>
        <v>691.97000000000116</v>
      </c>
      <c r="Q844" s="181">
        <f>+M844-F844</f>
        <v>0.48000000000000043</v>
      </c>
      <c r="R844" s="9"/>
    </row>
    <row r="845" spans="1:18" x14ac:dyDescent="0.25">
      <c r="A845" s="9" t="s">
        <v>175</v>
      </c>
      <c r="B845" s="9">
        <f>ROW() - ROW(TablaCosechas[[#Headers],[ID]]) - 4</f>
        <v>840</v>
      </c>
      <c r="C845" s="9" t="str">
        <f>LEFT(A845,2)</f>
        <v>PA</v>
      </c>
      <c r="D845" s="182" t="s">
        <v>367</v>
      </c>
      <c r="E845" s="178">
        <v>5000</v>
      </c>
      <c r="F845" s="19">
        <v>18</v>
      </c>
      <c r="G845" s="195">
        <v>46025</v>
      </c>
      <c r="H845" s="9" t="str">
        <f>VLOOKUP(TablaCosechas[[#This Row],[COD]],DATOS!$E$3:$F$27,2,0)</f>
        <v>PAMPANO</v>
      </c>
      <c r="I845" s="9" t="str">
        <f>RIGHT(TablaCosechas[[#This Row],[SECTOR/PISCINA]],2)</f>
        <v>09</v>
      </c>
      <c r="J845" s="9" t="str">
        <f>VLOOKUP(TablaCosechas[[#This Row],[COD]],Tabla7[#All],4,0)</f>
        <v>GUSTAVO CARRASCO</v>
      </c>
      <c r="K845" s="179">
        <f>(TablaCosechas[[#This Row],[libras planta]]*454)/M845</f>
        <v>108793.0949050949</v>
      </c>
      <c r="L845" s="215">
        <v>4797.4399999999996</v>
      </c>
      <c r="M845" s="19">
        <v>20.02</v>
      </c>
      <c r="N845" s="9" t="str">
        <f>UPPER(TEXT(TablaCosechas[[#This Row],[COSECHA]],"MMMM"))</f>
        <v>ENERO</v>
      </c>
      <c r="O845" s="9" t="str">
        <f>IF(A845="DO 29","BAP",IF(A845="RO 14","BAP",(VLOOKUP(TablaCosechas[[#This Row],[COD]],Tabla7[[CODIGO]:[CERTIFICACION]],3,0))))</f>
        <v>ASC</v>
      </c>
      <c r="P845" s="180">
        <f>+L845-E845</f>
        <v>-202.5600000000004</v>
      </c>
      <c r="Q845" s="181">
        <f>+M845-F845</f>
        <v>2.0199999999999996</v>
      </c>
      <c r="R845" s="9"/>
    </row>
    <row r="846" spans="1:18" x14ac:dyDescent="0.25">
      <c r="A846" s="9" t="s">
        <v>27</v>
      </c>
      <c r="B846" s="9">
        <f>ROW() - ROW(TablaCosechas[[#Headers],[ID]]) - 4</f>
        <v>841</v>
      </c>
      <c r="C846" s="9" t="str">
        <f>LEFT(A846,2)</f>
        <v>CH</v>
      </c>
      <c r="D846" s="182" t="s">
        <v>367</v>
      </c>
      <c r="E846" s="178">
        <v>7200</v>
      </c>
      <c r="F846" s="19">
        <v>30</v>
      </c>
      <c r="G846" s="195">
        <v>46025</v>
      </c>
      <c r="H846" s="9" t="str">
        <f>VLOOKUP(TablaCosechas[[#This Row],[COD]],DATOS!$E$3:$F$27,2,0)</f>
        <v>CHERNA</v>
      </c>
      <c r="I846" s="9" t="str">
        <f>RIGHT(TablaCosechas[[#This Row],[SECTOR/PISCINA]],2)</f>
        <v>24</v>
      </c>
      <c r="J846" s="9" t="str">
        <f>VLOOKUP(TablaCosechas[[#This Row],[COD]],Tabla7[#All],4,0)</f>
        <v>SANTIAGO OBRIEN</v>
      </c>
      <c r="K846" s="179">
        <f>(TablaCosechas[[#This Row],[libras planta]]*454)/M846</f>
        <v>122540.02417127071</v>
      </c>
      <c r="L846" s="215">
        <v>7816.65</v>
      </c>
      <c r="M846" s="19">
        <v>28.96</v>
      </c>
      <c r="N846" s="9" t="str">
        <f>UPPER(TEXT(TablaCosechas[[#This Row],[COSECHA]],"MMMM"))</f>
        <v>ENERO</v>
      </c>
      <c r="O846" s="9" t="str">
        <f>IF(A846="DO 29","BAP",IF(A846="RO 14","BAP",(VLOOKUP(TablaCosechas[[#This Row],[COD]],Tabla7[[CODIGO]:[CERTIFICACION]],3,0))))</f>
        <v>ASC</v>
      </c>
      <c r="P846" s="180">
        <f>+L846-E846</f>
        <v>616.64999999999964</v>
      </c>
      <c r="Q846" s="181">
        <f>+M846-F846</f>
        <v>-1.0399999999999991</v>
      </c>
      <c r="R846" s="9"/>
    </row>
    <row r="847" spans="1:18" x14ac:dyDescent="0.25">
      <c r="A847" s="9" t="s">
        <v>158</v>
      </c>
      <c r="B847" s="9">
        <f>ROW() - ROW(TablaCosechas[[#Headers],[ID]]) - 4</f>
        <v>842</v>
      </c>
      <c r="C847" s="9" t="str">
        <f>LEFT(A847,2)</f>
        <v>WA</v>
      </c>
      <c r="D847" s="182" t="s">
        <v>367</v>
      </c>
      <c r="E847" s="178">
        <v>3000</v>
      </c>
      <c r="F847" s="19">
        <v>17.5</v>
      </c>
      <c r="G847" s="195">
        <v>46026</v>
      </c>
      <c r="H847" s="9" t="str">
        <f>VLOOKUP(TablaCosechas[[#This Row],[COD]],DATOS!$E$3:$F$27,2,0)</f>
        <v>WAHOO</v>
      </c>
      <c r="I847" s="9" t="str">
        <f>RIGHT(TablaCosechas[[#This Row],[SECTOR/PISCINA]],2)</f>
        <v>04</v>
      </c>
      <c r="J847" s="9" t="str">
        <f>VLOOKUP(TablaCosechas[[#This Row],[COD]],Tabla7[#All],4,0)</f>
        <v>JUNIOR ESQUIVEL</v>
      </c>
      <c r="K847" s="179">
        <f>(TablaCosechas[[#This Row],[libras planta]]*454)/M847</f>
        <v>79658.245014245025</v>
      </c>
      <c r="L847" s="215">
        <v>3079.3</v>
      </c>
      <c r="M847" s="19">
        <v>17.55</v>
      </c>
      <c r="N847" s="9" t="str">
        <f>UPPER(TEXT(TablaCosechas[[#This Row],[COSECHA]],"MMMM"))</f>
        <v>ENERO</v>
      </c>
      <c r="O847" s="9" t="str">
        <f>IF(A847="DO 29","BAP",IF(A847="RO 14","BAP",(VLOOKUP(TablaCosechas[[#This Row],[COD]],Tabla7[[CODIGO]:[CERTIFICACION]],3,0))))</f>
        <v>CONVENCIONAL</v>
      </c>
      <c r="P847" s="180">
        <f>+L847-E847</f>
        <v>79.300000000000182</v>
      </c>
      <c r="Q847" s="181">
        <f>+M847-F847</f>
        <v>5.0000000000000711E-2</v>
      </c>
      <c r="R847" s="9"/>
    </row>
    <row r="848" spans="1:18" x14ac:dyDescent="0.25">
      <c r="A848" s="9" t="s">
        <v>112</v>
      </c>
      <c r="B848" s="9">
        <f>ROW() - ROW(TablaCosechas[[#Headers],[ID]]) - 4</f>
        <v>843</v>
      </c>
      <c r="C848" s="9" t="str">
        <f>LEFT(A848,2)</f>
        <v>TI</v>
      </c>
      <c r="D848" s="182" t="s">
        <v>366</v>
      </c>
      <c r="E848" s="178">
        <v>22400</v>
      </c>
      <c r="F848" s="19">
        <v>42</v>
      </c>
      <c r="G848" s="195">
        <v>46026</v>
      </c>
      <c r="H848" s="9" t="str">
        <f>VLOOKUP(TablaCosechas[[#This Row],[COD]],DATOS!$E$3:$F$27,2,0)</f>
        <v>TIBURON</v>
      </c>
      <c r="I848" s="9" t="str">
        <f>RIGHT(TablaCosechas[[#This Row],[SECTOR/PISCINA]],2)</f>
        <v>17</v>
      </c>
      <c r="J848" s="9" t="str">
        <f>VLOOKUP(TablaCosechas[[#This Row],[COD]],Tabla7[#All],4,0)</f>
        <v>ALFONSO GRUNAUER</v>
      </c>
      <c r="K848" s="179">
        <f>(TablaCosechas[[#This Row],[libras planta]]*454)/M848</f>
        <v>266372.9488607595</v>
      </c>
      <c r="L848" s="215">
        <v>23175.62</v>
      </c>
      <c r="M848" s="19">
        <v>39.5</v>
      </c>
      <c r="N848" s="9" t="str">
        <f>UPPER(TEXT(TablaCosechas[[#This Row],[COSECHA]],"MMMM"))</f>
        <v>ENERO</v>
      </c>
      <c r="O848" s="9" t="str">
        <f>IF(A848="DO 29","BAP",IF(A848="RO 14","BAP",(VLOOKUP(TablaCosechas[[#This Row],[COD]],Tabla7[[CODIGO]:[CERTIFICACION]],3,0))))</f>
        <v>ASC</v>
      </c>
      <c r="P848" s="180">
        <f>+L848-E848</f>
        <v>775.61999999999898</v>
      </c>
      <c r="Q848" s="181">
        <f>+M848-F848</f>
        <v>-2.5</v>
      </c>
      <c r="R848" s="9"/>
    </row>
    <row r="849" spans="1:18" x14ac:dyDescent="0.25">
      <c r="A849" s="9" t="s">
        <v>111</v>
      </c>
      <c r="B849" s="9">
        <f>ROW() - ROW(TablaCosechas[[#Headers],[ID]]) - 4</f>
        <v>844</v>
      </c>
      <c r="C849" s="9" t="str">
        <f>LEFT(A849,2)</f>
        <v>PR</v>
      </c>
      <c r="D849" s="182" t="s">
        <v>366</v>
      </c>
      <c r="E849" s="178">
        <v>10200</v>
      </c>
      <c r="F849" s="19">
        <v>28</v>
      </c>
      <c r="G849" s="195">
        <v>46026</v>
      </c>
      <c r="H849" s="9" t="str">
        <f>VLOOKUP(TablaCosechas[[#This Row],[COD]],DATOS!$E$3:$F$27,2,0)</f>
        <v>PARGO ROJO</v>
      </c>
      <c r="I849" s="9" t="str">
        <f>RIGHT(TablaCosechas[[#This Row],[SECTOR/PISCINA]],2)</f>
        <v>16</v>
      </c>
      <c r="J849" s="9" t="str">
        <f>VLOOKUP(TablaCosechas[[#This Row],[COD]],Tabla7[#All],4,0)</f>
        <v>WILMER TORRES</v>
      </c>
      <c r="K849" s="179">
        <f>(TablaCosechas[[#This Row],[libras planta]]*454)/M849</f>
        <v>177535.97253106607</v>
      </c>
      <c r="L849" s="215">
        <v>11958.26</v>
      </c>
      <c r="M849" s="19">
        <v>30.58</v>
      </c>
      <c r="N849" s="9" t="str">
        <f>UPPER(TEXT(TablaCosechas[[#This Row],[COSECHA]],"MMMM"))</f>
        <v>ENERO</v>
      </c>
      <c r="O849" s="9" t="str">
        <f>IF(A849="DO 29","BAP",IF(A849="RO 14","BAP",(VLOOKUP(TablaCosechas[[#This Row],[COD]],Tabla7[[CODIGO]:[CERTIFICACION]],3,0))))</f>
        <v>CONVENCIONAL</v>
      </c>
      <c r="P849" s="180">
        <f>+L849-E849</f>
        <v>1758.2600000000002</v>
      </c>
      <c r="Q849" s="181">
        <f>+M849-F849</f>
        <v>2.5799999999999983</v>
      </c>
      <c r="R849" s="9"/>
    </row>
    <row r="850" spans="1:18" x14ac:dyDescent="0.25">
      <c r="A850" s="9" t="s">
        <v>164</v>
      </c>
      <c r="B850" s="9">
        <f>ROW() - ROW(TablaCosechas[[#Headers],[ID]]) - 4</f>
        <v>845</v>
      </c>
      <c r="C850" s="9" t="str">
        <f>LEFT(A850,2)</f>
        <v>PA</v>
      </c>
      <c r="D850" s="182" t="s">
        <v>367</v>
      </c>
      <c r="E850" s="178">
        <v>8900</v>
      </c>
      <c r="F850" s="19">
        <v>23</v>
      </c>
      <c r="G850" s="195">
        <v>46026</v>
      </c>
      <c r="H850" s="9" t="str">
        <f>VLOOKUP(TablaCosechas[[#This Row],[COD]],DATOS!$E$3:$F$27,2,0)</f>
        <v>PAMPANO</v>
      </c>
      <c r="I850" s="9" t="str">
        <f>RIGHT(TablaCosechas[[#This Row],[SECTOR/PISCINA]],2)</f>
        <v>11</v>
      </c>
      <c r="J850" s="9" t="str">
        <f>VLOOKUP(TablaCosechas[[#This Row],[COD]],Tabla7[#All],4,0)</f>
        <v>GUSTAVO CARRASCO</v>
      </c>
      <c r="K850" s="179">
        <f>(TablaCosechas[[#This Row],[libras planta]]*454)/M850</f>
        <v>152258.7654008439</v>
      </c>
      <c r="L850" s="215">
        <v>7948.31</v>
      </c>
      <c r="M850" s="19">
        <v>23.7</v>
      </c>
      <c r="N850" s="9" t="str">
        <f>UPPER(TEXT(TablaCosechas[[#This Row],[COSECHA]],"MMMM"))</f>
        <v>ENERO</v>
      </c>
      <c r="O850" s="9" t="str">
        <f>IF(A850="DO 29","BAP",IF(A850="RO 14","BAP",(VLOOKUP(TablaCosechas[[#This Row],[COD]],Tabla7[[CODIGO]:[CERTIFICACION]],3,0))))</f>
        <v>ASC</v>
      </c>
      <c r="P850" s="180">
        <f>+L850-E850</f>
        <v>-951.6899999999996</v>
      </c>
      <c r="Q850" s="181">
        <f>+M850-F850</f>
        <v>0.69999999999999929</v>
      </c>
      <c r="R850" s="9"/>
    </row>
    <row r="851" spans="1:18" x14ac:dyDescent="0.25">
      <c r="A851" s="9" t="s">
        <v>167</v>
      </c>
      <c r="B851" s="9">
        <f>ROW() - ROW(TablaCosechas[[#Headers],[ID]]) - 4</f>
        <v>846</v>
      </c>
      <c r="C851" s="9" t="str">
        <f>LEFT(A851,2)</f>
        <v>PA</v>
      </c>
      <c r="D851" s="182" t="s">
        <v>367</v>
      </c>
      <c r="E851" s="178">
        <v>4050</v>
      </c>
      <c r="F851" s="19">
        <v>26</v>
      </c>
      <c r="G851" s="195">
        <v>46026</v>
      </c>
      <c r="H851" s="9" t="str">
        <f>VLOOKUP(TablaCosechas[[#This Row],[COD]],DATOS!$E$3:$F$27,2,0)</f>
        <v>PAMPANO</v>
      </c>
      <c r="I851" s="9" t="str">
        <f>RIGHT(TablaCosechas[[#This Row],[SECTOR/PISCINA]],2)</f>
        <v>10</v>
      </c>
      <c r="J851" s="9" t="str">
        <f>VLOOKUP(TablaCosechas[[#This Row],[COD]],Tabla7[#All],4,0)</f>
        <v>GUSTAVO CARRASCO</v>
      </c>
      <c r="K851" s="179">
        <f>(TablaCosechas[[#This Row],[libras planta]]*454)/M851</f>
        <v>52883.054221002065</v>
      </c>
      <c r="L851" s="215">
        <v>3394.3</v>
      </c>
      <c r="M851" s="19">
        <v>29.14</v>
      </c>
      <c r="N851" s="9" t="str">
        <f>UPPER(TEXT(TablaCosechas[[#This Row],[COSECHA]],"MMMM"))</f>
        <v>ENERO</v>
      </c>
      <c r="O851" s="9" t="str">
        <f>IF(A851="DO 29","BAP",IF(A851="RO 14","BAP",(VLOOKUP(TablaCosechas[[#This Row],[COD]],Tabla7[[CODIGO]:[CERTIFICACION]],3,0))))</f>
        <v>ASC</v>
      </c>
      <c r="P851" s="180">
        <f>+L851-E851</f>
        <v>-655.69999999999982</v>
      </c>
      <c r="Q851" s="181">
        <f>+M851-F851</f>
        <v>3.1400000000000006</v>
      </c>
      <c r="R851" s="9"/>
    </row>
    <row r="852" spans="1:18" x14ac:dyDescent="0.25">
      <c r="A852" s="9" t="s">
        <v>148</v>
      </c>
      <c r="B852" s="9">
        <f>ROW() - ROW(TablaCosechas[[#Headers],[ID]]) - 4</f>
        <v>847</v>
      </c>
      <c r="C852" s="9" t="str">
        <f>LEFT(A852,2)</f>
        <v>GT</v>
      </c>
      <c r="D852" s="182" t="s">
        <v>367</v>
      </c>
      <c r="E852" s="178">
        <v>6400</v>
      </c>
      <c r="F852" s="19">
        <v>27</v>
      </c>
      <c r="G852" s="195">
        <v>46026</v>
      </c>
      <c r="H852" s="9" t="str">
        <f>VLOOKUP(TablaCosechas[[#This Row],[COD]],DATOS!$E$3:$F$27,2,0)</f>
        <v>GUATO</v>
      </c>
      <c r="I852" s="9" t="str">
        <f>RIGHT(TablaCosechas[[#This Row],[SECTOR/PISCINA]],2)</f>
        <v>07</v>
      </c>
      <c r="J852" s="9" t="str">
        <f>VLOOKUP(TablaCosechas[[#This Row],[COD]],Tabla7[#All],4,0)</f>
        <v>JULIO SANTOS</v>
      </c>
      <c r="K852" s="179">
        <f>(TablaCosechas[[#This Row],[libras planta]]*454)/M852</f>
        <v>115349.75269645608</v>
      </c>
      <c r="L852" s="215">
        <v>6595.77</v>
      </c>
      <c r="M852" s="19">
        <v>25.96</v>
      </c>
      <c r="N852" s="9" t="str">
        <f>UPPER(TEXT(TablaCosechas[[#This Row],[COSECHA]],"MMMM"))</f>
        <v>ENERO</v>
      </c>
      <c r="O852" s="9" t="str">
        <f>IF(A852="DO 29","BAP",IF(A852="RO 14","BAP",(VLOOKUP(TablaCosechas[[#This Row],[COD]],Tabla7[[CODIGO]:[CERTIFICACION]],3,0))))</f>
        <v>CONVENCIONAL</v>
      </c>
      <c r="P852" s="180">
        <f>+L852-E852</f>
        <v>195.77000000000044</v>
      </c>
      <c r="Q852" s="181">
        <f>+M852-F852</f>
        <v>-1.0399999999999991</v>
      </c>
      <c r="R852" s="9"/>
    </row>
    <row r="853" spans="1:18" x14ac:dyDescent="0.25">
      <c r="A853" s="9" t="s">
        <v>110</v>
      </c>
      <c r="B853" s="9">
        <f>ROW() - ROW(TablaCosechas[[#Headers],[ID]]) - 4</f>
        <v>848</v>
      </c>
      <c r="C853" s="9" t="str">
        <f>LEFT(A853,2)</f>
        <v>CA</v>
      </c>
      <c r="D853" s="182" t="s">
        <v>366</v>
      </c>
      <c r="E853" s="178">
        <v>33000</v>
      </c>
      <c r="F853" s="19">
        <v>31</v>
      </c>
      <c r="G853" s="195">
        <v>46026</v>
      </c>
      <c r="H853" s="9" t="str">
        <f>VLOOKUP(TablaCosechas[[#This Row],[COD]],DATOS!$E$3:$F$27,2,0)</f>
        <v>CATANUDA</v>
      </c>
      <c r="I853" s="9" t="str">
        <f>RIGHT(TablaCosechas[[#This Row],[SECTOR/PISCINA]],2)</f>
        <v>17</v>
      </c>
      <c r="J853" s="9" t="str">
        <f>VLOOKUP(TablaCosechas[[#This Row],[COD]],Tabla7[#All],4,0)</f>
        <v>VICTOR QUINTANA</v>
      </c>
      <c r="K853" s="179">
        <f>(TablaCosechas[[#This Row],[libras planta]]*454)/M853</f>
        <v>504677.64535955741</v>
      </c>
      <c r="L853" s="215">
        <v>36172.269999999997</v>
      </c>
      <c r="M853" s="19">
        <v>32.54</v>
      </c>
      <c r="N853" s="9" t="str">
        <f>UPPER(TEXT(TablaCosechas[[#This Row],[COSECHA]],"MMMM"))</f>
        <v>ENERO</v>
      </c>
      <c r="O853" s="9" t="str">
        <f>IF(A853="DO 29","BAP",IF(A853="RO 14","BAP",(VLOOKUP(TablaCosechas[[#This Row],[COD]],Tabla7[[CODIGO]:[CERTIFICACION]],3,0))))</f>
        <v>ASC</v>
      </c>
      <c r="P853" s="180">
        <f>+L853-E853</f>
        <v>3172.2699999999968</v>
      </c>
      <c r="Q853" s="181">
        <f>+M853-F853</f>
        <v>1.5399999999999991</v>
      </c>
      <c r="R853" s="9"/>
    </row>
    <row r="854" spans="1:18" x14ac:dyDescent="0.25">
      <c r="A854" s="9" t="s">
        <v>189</v>
      </c>
      <c r="B854" s="9">
        <f>ROW() - ROW(TablaCosechas[[#Headers],[ID]]) - 4</f>
        <v>849</v>
      </c>
      <c r="C854" s="9" t="str">
        <f>LEFT(A854,2)</f>
        <v>TU</v>
      </c>
      <c r="D854" s="182" t="s">
        <v>367</v>
      </c>
      <c r="E854" s="178">
        <v>4450</v>
      </c>
      <c r="F854" s="19">
        <v>20</v>
      </c>
      <c r="G854" s="195">
        <v>46027</v>
      </c>
      <c r="H854" s="9" t="str">
        <f>VLOOKUP(TablaCosechas[[#This Row],[COD]],DATOS!$E$3:$F$27,2,0)</f>
        <v>TUNA</v>
      </c>
      <c r="I854" s="9" t="str">
        <f>RIGHT(TablaCosechas[[#This Row],[SECTOR/PISCINA]],2)</f>
        <v>03</v>
      </c>
      <c r="J854" s="9" t="str">
        <f>VLOOKUP(TablaCosechas[[#This Row],[COD]],Tabla7[#All],4,0)</f>
        <v>GUSTAVO CARRASCO</v>
      </c>
      <c r="K854" s="179">
        <f>(TablaCosechas[[#This Row],[libras planta]]*454)/M854</f>
        <v>90264.19819819821</v>
      </c>
      <c r="L854" s="215">
        <v>4413.8</v>
      </c>
      <c r="M854" s="19">
        <v>22.2</v>
      </c>
      <c r="N854" s="9" t="str">
        <f>UPPER(TEXT(TablaCosechas[[#This Row],[COSECHA]],"MMMM"))</f>
        <v>ENERO</v>
      </c>
      <c r="O854" s="9" t="str">
        <f>IF(A854="DO 29","BAP",IF(A854="RO 14","BAP",(VLOOKUP(TablaCosechas[[#This Row],[COD]],Tabla7[[CODIGO]:[CERTIFICACION]],3,0))))</f>
        <v>ASC</v>
      </c>
      <c r="P854" s="180">
        <f>+L854-E854</f>
        <v>-36.199999999999818</v>
      </c>
      <c r="Q854" s="181">
        <f>+M854-F854</f>
        <v>2.1999999999999993</v>
      </c>
      <c r="R854" s="9"/>
    </row>
    <row r="855" spans="1:18" x14ac:dyDescent="0.25">
      <c r="A855" s="9" t="s">
        <v>171</v>
      </c>
      <c r="B855" s="9">
        <f>ROW() - ROW(TablaCosechas[[#Headers],[ID]]) - 4</f>
        <v>850</v>
      </c>
      <c r="C855" s="9" t="str">
        <f>LEFT(A855,2)</f>
        <v>TA</v>
      </c>
      <c r="D855" s="182" t="s">
        <v>367</v>
      </c>
      <c r="E855" s="178">
        <v>5350</v>
      </c>
      <c r="F855" s="19">
        <v>28</v>
      </c>
      <c r="G855" s="195">
        <v>46027</v>
      </c>
      <c r="H855" s="9" t="str">
        <f>VLOOKUP(TablaCosechas[[#This Row],[COD]],DATOS!$E$3:$F$27,2,0)</f>
        <v>TAMBULERO</v>
      </c>
      <c r="I855" s="9" t="str">
        <f>RIGHT(TablaCosechas[[#This Row],[SECTOR/PISCINA]],2)</f>
        <v>13</v>
      </c>
      <c r="J855" s="9" t="str">
        <f>VLOOKUP(TablaCosechas[[#This Row],[COD]],Tabla7[#All],4,0)</f>
        <v>ALFONSO GRUNAUER</v>
      </c>
      <c r="K855" s="179">
        <f>(TablaCosechas[[#This Row],[libras planta]]*454)/M855</f>
        <v>89603.955405405402</v>
      </c>
      <c r="L855" s="215">
        <v>5842.02</v>
      </c>
      <c r="M855" s="19">
        <v>29.6</v>
      </c>
      <c r="N855" s="9" t="str">
        <f>UPPER(TEXT(TablaCosechas[[#This Row],[COSECHA]],"MMMM"))</f>
        <v>ENERO</v>
      </c>
      <c r="O855" s="9" t="str">
        <f>IF(A855="DO 29","BAP",IF(A855="RO 14","BAP",(VLOOKUP(TablaCosechas[[#This Row],[COD]],Tabla7[[CODIGO]:[CERTIFICACION]],3,0))))</f>
        <v>CONVENCIONAL</v>
      </c>
      <c r="P855" s="180">
        <f>+L855-E855</f>
        <v>492.02000000000044</v>
      </c>
      <c r="Q855" s="181">
        <f>+M855-F855</f>
        <v>1.6000000000000014</v>
      </c>
      <c r="R855" s="9"/>
    </row>
    <row r="856" spans="1:18" x14ac:dyDescent="0.25">
      <c r="A856" s="9" t="s">
        <v>162</v>
      </c>
      <c r="B856" s="9">
        <f>ROW() - ROW(TablaCosechas[[#Headers],[ID]]) - 4</f>
        <v>851</v>
      </c>
      <c r="C856" s="9" t="str">
        <f>LEFT(A856,2)</f>
        <v>TA</v>
      </c>
      <c r="D856" s="182" t="s">
        <v>367</v>
      </c>
      <c r="E856" s="178">
        <v>10500</v>
      </c>
      <c r="F856" s="19">
        <v>28</v>
      </c>
      <c r="G856" s="195">
        <v>46027</v>
      </c>
      <c r="H856" s="9" t="str">
        <f>VLOOKUP(TablaCosechas[[#This Row],[COD]],DATOS!$E$3:$F$27,2,0)</f>
        <v>TAMBULERO</v>
      </c>
      <c r="I856" s="9" t="str">
        <f>RIGHT(TablaCosechas[[#This Row],[SECTOR/PISCINA]],2)</f>
        <v>06</v>
      </c>
      <c r="J856" s="9" t="str">
        <f>VLOOKUP(TablaCosechas[[#This Row],[COD]],Tabla7[#All],4,0)</f>
        <v>ALFONSO GRUNAUER</v>
      </c>
      <c r="K856" s="179">
        <f>(TablaCosechas[[#This Row],[libras planta]]*454)/M856</f>
        <v>175309.31005586591</v>
      </c>
      <c r="L856" s="215">
        <v>11059.16</v>
      </c>
      <c r="M856" s="19">
        <v>28.64</v>
      </c>
      <c r="N856" s="9" t="str">
        <f>UPPER(TEXT(TablaCosechas[[#This Row],[COSECHA]],"MMMM"))</f>
        <v>ENERO</v>
      </c>
      <c r="O856" s="9" t="str">
        <f>IF(A856="DO 29","BAP",IF(A856="RO 14","BAP",(VLOOKUP(TablaCosechas[[#This Row],[COD]],Tabla7[[CODIGO]:[CERTIFICACION]],3,0))))</f>
        <v>CONVENCIONAL</v>
      </c>
      <c r="P856" s="180">
        <f>+L856-E856</f>
        <v>559.15999999999985</v>
      </c>
      <c r="Q856" s="181">
        <f>+M856-F856</f>
        <v>0.64000000000000057</v>
      </c>
      <c r="R856" s="9"/>
    </row>
    <row r="857" spans="1:18" x14ac:dyDescent="0.25">
      <c r="A857" s="9" t="s">
        <v>113</v>
      </c>
      <c r="B857" s="9">
        <f>ROW() - ROW(TablaCosechas[[#Headers],[ID]]) - 4</f>
        <v>852</v>
      </c>
      <c r="C857" s="9" t="str">
        <f>LEFT(A857,2)</f>
        <v>PR</v>
      </c>
      <c r="D857" s="182" t="s">
        <v>366</v>
      </c>
      <c r="E857" s="178">
        <v>5850</v>
      </c>
      <c r="F857" s="19">
        <v>30</v>
      </c>
      <c r="G857" s="195">
        <v>46027</v>
      </c>
      <c r="H857" s="9" t="str">
        <f>VLOOKUP(TablaCosechas[[#This Row],[COD]],DATOS!$E$3:$F$27,2,0)</f>
        <v>PARGO ROJO</v>
      </c>
      <c r="I857" s="9" t="str">
        <f>RIGHT(TablaCosechas[[#This Row],[SECTOR/PISCINA]],2)</f>
        <v>03</v>
      </c>
      <c r="J857" s="9" t="str">
        <f>VLOOKUP(TablaCosechas[[#This Row],[COD]],Tabla7[#All],4,0)</f>
        <v>WILMER TORRES</v>
      </c>
      <c r="K857" s="179">
        <f>(TablaCosechas[[#This Row],[libras planta]]*454)/M857</f>
        <v>97355.822936357901</v>
      </c>
      <c r="L857" s="215">
        <v>6806.33</v>
      </c>
      <c r="M857" s="19">
        <v>31.74</v>
      </c>
      <c r="N857" s="9" t="str">
        <f>UPPER(TEXT(TablaCosechas[[#This Row],[COSECHA]],"MMMM"))</f>
        <v>ENERO</v>
      </c>
      <c r="O857" s="9" t="str">
        <f>IF(A857="DO 29","BAP",IF(A857="RO 14","BAP",(VLOOKUP(TablaCosechas[[#This Row],[COD]],Tabla7[[CODIGO]:[CERTIFICACION]],3,0))))</f>
        <v>CONVENCIONAL</v>
      </c>
      <c r="P857" s="180">
        <f>+L857-E857</f>
        <v>956.32999999999993</v>
      </c>
      <c r="Q857" s="181">
        <f>+M857-F857</f>
        <v>1.7399999999999984</v>
      </c>
      <c r="R857" s="9"/>
    </row>
    <row r="858" spans="1:18" x14ac:dyDescent="0.25">
      <c r="A858" s="9" t="s">
        <v>170</v>
      </c>
      <c r="B858" s="9">
        <f>ROW() - ROW(TablaCosechas[[#Headers],[ID]]) - 4</f>
        <v>853</v>
      </c>
      <c r="C858" s="9" t="str">
        <f>LEFT(A858,2)</f>
        <v>PA</v>
      </c>
      <c r="D858" s="182" t="s">
        <v>367</v>
      </c>
      <c r="E858" s="178">
        <v>6900</v>
      </c>
      <c r="F858" s="19">
        <v>25</v>
      </c>
      <c r="G858" s="195">
        <v>46027</v>
      </c>
      <c r="H858" s="9" t="str">
        <f>VLOOKUP(TablaCosechas[[#This Row],[COD]],DATOS!$E$3:$F$27,2,0)</f>
        <v>PAMPANO</v>
      </c>
      <c r="I858" s="9" t="str">
        <f>RIGHT(TablaCosechas[[#This Row],[SECTOR/PISCINA]],2)</f>
        <v>08</v>
      </c>
      <c r="J858" s="9" t="str">
        <f>VLOOKUP(TablaCosechas[[#This Row],[COD]],Tabla7[#All],4,0)</f>
        <v>GUSTAVO CARRASCO</v>
      </c>
      <c r="K858" s="179">
        <f>(TablaCosechas[[#This Row],[libras planta]]*454)/M858</f>
        <v>116443.47324792766</v>
      </c>
      <c r="L858" s="215">
        <v>6807.07</v>
      </c>
      <c r="M858" s="19">
        <v>26.54</v>
      </c>
      <c r="N858" s="9" t="str">
        <f>UPPER(TEXT(TablaCosechas[[#This Row],[COSECHA]],"MMMM"))</f>
        <v>ENERO</v>
      </c>
      <c r="O858" s="9" t="str">
        <f>IF(A858="DO 29","BAP",IF(A858="RO 14","BAP",(VLOOKUP(TablaCosechas[[#This Row],[COD]],Tabla7[[CODIGO]:[CERTIFICACION]],3,0))))</f>
        <v>ASC</v>
      </c>
      <c r="P858" s="180">
        <f>+L858-E858</f>
        <v>-92.930000000000291</v>
      </c>
      <c r="Q858" s="181">
        <f>+M858-F858</f>
        <v>1.5399999999999991</v>
      </c>
      <c r="R858" s="9"/>
    </row>
    <row r="859" spans="1:18" x14ac:dyDescent="0.25">
      <c r="A859" s="9" t="s">
        <v>147</v>
      </c>
      <c r="B859" s="9">
        <f>ROW() - ROW(TablaCosechas[[#Headers],[ID]]) - 4</f>
        <v>854</v>
      </c>
      <c r="C859" s="9" t="str">
        <f>LEFT(A859,2)</f>
        <v>DO</v>
      </c>
      <c r="D859" s="182" t="s">
        <v>367</v>
      </c>
      <c r="E859" s="178">
        <v>12000</v>
      </c>
      <c r="F859" s="19">
        <v>27</v>
      </c>
      <c r="G859" s="195">
        <v>46027</v>
      </c>
      <c r="H859" s="9" t="str">
        <f>VLOOKUP(TablaCosechas[[#This Row],[COD]],DATOS!$E$3:$F$27,2,0)</f>
        <v>DORADO</v>
      </c>
      <c r="I859" s="9" t="str">
        <f>RIGHT(TablaCosechas[[#This Row],[SECTOR/PISCINA]],2)</f>
        <v>08</v>
      </c>
      <c r="J859" s="9" t="str">
        <f>VLOOKUP(TablaCosechas[[#This Row],[COD]],Tabla7[#All],4,0)</f>
        <v>JOSE CEDEÑO</v>
      </c>
      <c r="K859" s="179">
        <f>(TablaCosechas[[#This Row],[libras planta]]*454)/M859</f>
        <v>226314.32303164093</v>
      </c>
      <c r="L859" s="215">
        <v>13548.95</v>
      </c>
      <c r="M859" s="19">
        <v>27.18</v>
      </c>
      <c r="N859" s="9" t="str">
        <f>UPPER(TEXT(TablaCosechas[[#This Row],[COSECHA]],"MMMM"))</f>
        <v>ENERO</v>
      </c>
      <c r="O859" s="9" t="str">
        <f>IF(A859="DO 29","BAP",IF(A859="RO 14","BAP",(VLOOKUP(TablaCosechas[[#This Row],[COD]],Tabla7[[CODIGO]:[CERTIFICACION]],3,0))))</f>
        <v>ASC</v>
      </c>
      <c r="P859" s="180">
        <f>+L859-E859</f>
        <v>1548.9500000000007</v>
      </c>
      <c r="Q859" s="181">
        <f>+M859-F859</f>
        <v>0.17999999999999972</v>
      </c>
      <c r="R859" s="9"/>
    </row>
    <row r="860" spans="1:18" x14ac:dyDescent="0.25">
      <c r="A860" s="9" t="s">
        <v>23</v>
      </c>
      <c r="B860" s="9">
        <f>ROW() - ROW(TablaCosechas[[#Headers],[ID]]) - 4</f>
        <v>855</v>
      </c>
      <c r="C860" s="9" t="str">
        <f>LEFT(A860,2)</f>
        <v>CH</v>
      </c>
      <c r="D860" s="182" t="s">
        <v>366</v>
      </c>
      <c r="E860" s="178">
        <v>38700</v>
      </c>
      <c r="F860" s="19">
        <v>36</v>
      </c>
      <c r="G860" s="195">
        <v>46027</v>
      </c>
      <c r="H860" s="9" t="str">
        <f>VLOOKUP(TablaCosechas[[#This Row],[COD]],DATOS!$E$3:$F$27,2,0)</f>
        <v>CHERNA</v>
      </c>
      <c r="I860" s="9" t="str">
        <f>RIGHT(TablaCosechas[[#This Row],[SECTOR/PISCINA]],2)</f>
        <v>18</v>
      </c>
      <c r="J860" s="9" t="str">
        <f>VLOOKUP(TablaCosechas[[#This Row],[COD]],Tabla7[#All],4,0)</f>
        <v>SANTIAGO OBRIEN</v>
      </c>
      <c r="K860" s="179">
        <f>(TablaCosechas[[#This Row],[libras planta]]*454)/M860</f>
        <v>542992.3387755102</v>
      </c>
      <c r="L860" s="215">
        <v>41023.43</v>
      </c>
      <c r="M860" s="19">
        <v>34.299999999999997</v>
      </c>
      <c r="N860" s="9" t="str">
        <f>UPPER(TEXT(TablaCosechas[[#This Row],[COSECHA]],"MMMM"))</f>
        <v>ENERO</v>
      </c>
      <c r="O860" s="9" t="str">
        <f>IF(A860="DO 29","BAP",IF(A860="RO 14","BAP",(VLOOKUP(TablaCosechas[[#This Row],[COD]],Tabla7[[CODIGO]:[CERTIFICACION]],3,0))))</f>
        <v>ASC</v>
      </c>
      <c r="P860" s="180">
        <f>+L860-E860</f>
        <v>2323.4300000000003</v>
      </c>
      <c r="Q860" s="181">
        <f>+M860-F860</f>
        <v>-1.7000000000000028</v>
      </c>
      <c r="R860" s="9"/>
    </row>
    <row r="861" spans="1:18" x14ac:dyDescent="0.25">
      <c r="A861" s="9" t="s">
        <v>21</v>
      </c>
      <c r="B861" s="9">
        <f>ROW() - ROW(TablaCosechas[[#Headers],[ID]]) - 4</f>
        <v>856</v>
      </c>
      <c r="C861" s="9" t="str">
        <f>LEFT(A861,2)</f>
        <v>CH</v>
      </c>
      <c r="D861" s="182" t="s">
        <v>367</v>
      </c>
      <c r="E861" s="178">
        <v>2100</v>
      </c>
      <c r="F861" s="19">
        <v>20.5</v>
      </c>
      <c r="G861" s="195">
        <v>46027</v>
      </c>
      <c r="H861" s="9" t="str">
        <f>VLOOKUP(TablaCosechas[[#This Row],[COD]],DATOS!$E$3:$F$27,2,0)</f>
        <v>CHERNA</v>
      </c>
      <c r="I861" s="9" t="str">
        <f>RIGHT(TablaCosechas[[#This Row],[SECTOR/PISCINA]],2)</f>
        <v>15</v>
      </c>
      <c r="J861" s="9" t="str">
        <f>VLOOKUP(TablaCosechas[[#This Row],[COD]],Tabla7[#All],4,0)</f>
        <v>SANTIAGO OBRIEN</v>
      </c>
      <c r="K861" s="179">
        <f>(TablaCosechas[[#This Row],[libras planta]]*454)/M861</f>
        <v>44103.399628252788</v>
      </c>
      <c r="L861" s="215">
        <v>2090.54</v>
      </c>
      <c r="M861" s="19">
        <v>21.52</v>
      </c>
      <c r="N861" s="9" t="str">
        <f>UPPER(TEXT(TablaCosechas[[#This Row],[COSECHA]],"MMMM"))</f>
        <v>ENERO</v>
      </c>
      <c r="O861" s="9" t="str">
        <f>IF(A861="DO 29","BAP",IF(A861="RO 14","BAP",(VLOOKUP(TablaCosechas[[#This Row],[COD]],Tabla7[[CODIGO]:[CERTIFICACION]],3,0))))</f>
        <v>ASC</v>
      </c>
      <c r="P861" s="180">
        <f>+L861-E861</f>
        <v>-9.4600000000000364</v>
      </c>
      <c r="Q861" s="181">
        <f>+M861-F861</f>
        <v>1.0199999999999996</v>
      </c>
      <c r="R861" s="9"/>
    </row>
    <row r="862" spans="1:18" x14ac:dyDescent="0.25">
      <c r="A862" s="9" t="s">
        <v>14</v>
      </c>
      <c r="B862" s="9">
        <f>ROW() - ROW(TablaCosechas[[#Headers],[ID]]) - 4</f>
        <v>857</v>
      </c>
      <c r="C862" s="9" t="str">
        <f>LEFT(A862,2)</f>
        <v>CH</v>
      </c>
      <c r="D862" s="182" t="s">
        <v>367</v>
      </c>
      <c r="E862" s="178">
        <v>3000</v>
      </c>
      <c r="F862" s="19">
        <v>21</v>
      </c>
      <c r="G862" s="195">
        <v>46027</v>
      </c>
      <c r="H862" s="9" t="str">
        <f>VLOOKUP(TablaCosechas[[#This Row],[COD]],DATOS!$E$3:$F$27,2,0)</f>
        <v>CHERNA</v>
      </c>
      <c r="I862" s="9" t="str">
        <f>RIGHT(TablaCosechas[[#This Row],[SECTOR/PISCINA]],2)</f>
        <v>08</v>
      </c>
      <c r="J862" s="9" t="str">
        <f>VLOOKUP(TablaCosechas[[#This Row],[COD]],Tabla7[#All],4,0)</f>
        <v>SANTIAGO OBRIEN</v>
      </c>
      <c r="K862" s="179">
        <f>(TablaCosechas[[#This Row],[libras planta]]*454)/M862</f>
        <v>63167.909090909088</v>
      </c>
      <c r="L862" s="215">
        <v>2969.17</v>
      </c>
      <c r="M862" s="19">
        <v>21.34</v>
      </c>
      <c r="N862" s="9" t="str">
        <f>UPPER(TEXT(TablaCosechas[[#This Row],[COSECHA]],"MMMM"))</f>
        <v>ENERO</v>
      </c>
      <c r="O862" s="9" t="str">
        <f>IF(A862="DO 29","BAP",IF(A862="RO 14","BAP",(VLOOKUP(TablaCosechas[[#This Row],[COD]],Tabla7[[CODIGO]:[CERTIFICACION]],3,0))))</f>
        <v>ASC</v>
      </c>
      <c r="P862" s="180">
        <f>+L862-E862</f>
        <v>-30.829999999999927</v>
      </c>
      <c r="Q862" s="181">
        <f>+M862-F862</f>
        <v>0.33999999999999986</v>
      </c>
      <c r="R862" s="9"/>
    </row>
    <row r="863" spans="1:18" x14ac:dyDescent="0.25">
      <c r="A863" s="9" t="s">
        <v>114</v>
      </c>
      <c r="B863" s="9">
        <f>ROW() - ROW(TablaCosechas[[#Headers],[ID]]) - 4</f>
        <v>858</v>
      </c>
      <c r="C863" s="9" t="str">
        <f>LEFT(A863,2)</f>
        <v>CA</v>
      </c>
      <c r="D863" s="182" t="s">
        <v>366</v>
      </c>
      <c r="E863" s="178">
        <v>14100</v>
      </c>
      <c r="F863" s="19">
        <v>36</v>
      </c>
      <c r="G863" s="195">
        <v>46027</v>
      </c>
      <c r="H863" s="9" t="str">
        <f>VLOOKUP(TablaCosechas[[#This Row],[COD]],DATOS!$E$3:$F$27,2,0)</f>
        <v>CATANUDA</v>
      </c>
      <c r="I863" s="9" t="str">
        <f>RIGHT(TablaCosechas[[#This Row],[SECTOR/PISCINA]],2)</f>
        <v>18</v>
      </c>
      <c r="J863" s="9" t="str">
        <f>VLOOKUP(TablaCosechas[[#This Row],[COD]],Tabla7[#All],4,0)</f>
        <v>VICTOR QUINTANA</v>
      </c>
      <c r="K863" s="179">
        <f>(TablaCosechas[[#This Row],[libras planta]]*454)/M863</f>
        <v>170375.86651454648</v>
      </c>
      <c r="L863" s="215">
        <v>13157.22</v>
      </c>
      <c r="M863" s="19">
        <v>35.06</v>
      </c>
      <c r="N863" s="9" t="str">
        <f>UPPER(TEXT(TablaCosechas[[#This Row],[COSECHA]],"MMMM"))</f>
        <v>ENERO</v>
      </c>
      <c r="O863" s="9" t="str">
        <f>IF(A863="DO 29","BAP",IF(A863="RO 14","BAP",(VLOOKUP(TablaCosechas[[#This Row],[COD]],Tabla7[[CODIGO]:[CERTIFICACION]],3,0))))</f>
        <v>ASC</v>
      </c>
      <c r="P863" s="180">
        <f>+L863-E863</f>
        <v>-942.78000000000065</v>
      </c>
      <c r="Q863" s="181">
        <f>+M863-F863</f>
        <v>-0.93999999999999773</v>
      </c>
      <c r="R863" s="9"/>
    </row>
    <row r="864" spans="1:18" x14ac:dyDescent="0.25">
      <c r="A864" s="9" t="s">
        <v>124</v>
      </c>
      <c r="B864" s="9">
        <f>ROW() - ROW(TablaCosechas[[#Headers],[ID]]) - 4</f>
        <v>859</v>
      </c>
      <c r="C864" s="9" t="str">
        <f>LEFT(A864,2)</f>
        <v>WA</v>
      </c>
      <c r="D864" s="182" t="s">
        <v>366</v>
      </c>
      <c r="E864" s="178">
        <v>18300</v>
      </c>
      <c r="F864" s="19">
        <v>21</v>
      </c>
      <c r="G864" s="195">
        <v>46028</v>
      </c>
      <c r="H864" s="9" t="str">
        <f>VLOOKUP(TablaCosechas[[#This Row],[COD]],DATOS!$E$3:$F$27,2,0)</f>
        <v>WAHOO</v>
      </c>
      <c r="I864" s="9" t="str">
        <f>RIGHT(TablaCosechas[[#This Row],[SECTOR/PISCINA]],2)</f>
        <v>14</v>
      </c>
      <c r="J864" s="9" t="str">
        <f>VLOOKUP(TablaCosechas[[#This Row],[COD]],Tabla7[#All],4,0)</f>
        <v>JUNIOR ESQUIVEL</v>
      </c>
      <c r="K864" s="179">
        <f>(TablaCosechas[[#This Row],[libras planta]]*454)/M864</f>
        <v>442284.41947565542</v>
      </c>
      <c r="L864" s="215">
        <v>20808.8</v>
      </c>
      <c r="M864" s="19">
        <v>21.36</v>
      </c>
      <c r="N864" s="9" t="str">
        <f>UPPER(TEXT(TablaCosechas[[#This Row],[COSECHA]],"MMMM"))</f>
        <v>ENERO</v>
      </c>
      <c r="O864" s="9" t="str">
        <f>IF(A864="DO 29","BAP",IF(A864="RO 14","BAP",(VLOOKUP(TablaCosechas[[#This Row],[COD]],Tabla7[[CODIGO]:[CERTIFICACION]],3,0))))</f>
        <v>CONVENCIONAL</v>
      </c>
      <c r="P864" s="180">
        <f>+L864-E864</f>
        <v>2508.7999999999993</v>
      </c>
      <c r="Q864" s="181">
        <f>+M864-F864</f>
        <v>0.35999999999999943</v>
      </c>
      <c r="R864" s="9"/>
    </row>
    <row r="865" spans="1:18" x14ac:dyDescent="0.25">
      <c r="A865" s="9" t="s">
        <v>218</v>
      </c>
      <c r="B865" s="9">
        <f>ROW() - ROW(TablaCosechas[[#Headers],[ID]]) - 4</f>
        <v>860</v>
      </c>
      <c r="C865" s="9" t="str">
        <f>LEFT(A865,2)</f>
        <v>TU</v>
      </c>
      <c r="D865" s="182" t="s">
        <v>367</v>
      </c>
      <c r="E865" s="178">
        <v>4900</v>
      </c>
      <c r="F865" s="19">
        <v>18</v>
      </c>
      <c r="G865" s="195">
        <v>46028</v>
      </c>
      <c r="H865" s="9" t="str">
        <f>VLOOKUP(TablaCosechas[[#This Row],[COD]],DATOS!$E$3:$F$27,2,0)</f>
        <v>TUNA</v>
      </c>
      <c r="I865" s="9" t="str">
        <f>RIGHT(TablaCosechas[[#This Row],[SECTOR/PISCINA]],2)</f>
        <v>06</v>
      </c>
      <c r="J865" s="9" t="str">
        <f>VLOOKUP(TablaCosechas[[#This Row],[COD]],Tabla7[#All],4,0)</f>
        <v>GUSTAVO CARRASCO</v>
      </c>
      <c r="K865" s="179">
        <f>(TablaCosechas[[#This Row],[libras planta]]*454)/M865</f>
        <v>103709.85490605429</v>
      </c>
      <c r="L865" s="215">
        <v>4376.83</v>
      </c>
      <c r="M865" s="19">
        <v>19.16</v>
      </c>
      <c r="N865" s="9" t="str">
        <f>UPPER(TEXT(TablaCosechas[[#This Row],[COSECHA]],"MMMM"))</f>
        <v>ENERO</v>
      </c>
      <c r="O865" s="9" t="str">
        <f>IF(A865="DO 29","BAP",IF(A865="RO 14","BAP",(VLOOKUP(TablaCosechas[[#This Row],[COD]],Tabla7[[CODIGO]:[CERTIFICACION]],3,0))))</f>
        <v>ASC</v>
      </c>
      <c r="P865" s="180">
        <f>+L865-E865</f>
        <v>-523.17000000000007</v>
      </c>
      <c r="Q865" s="181">
        <f>+M865-F865</f>
        <v>1.1600000000000001</v>
      </c>
      <c r="R865" s="9"/>
    </row>
    <row r="866" spans="1:18" x14ac:dyDescent="0.25">
      <c r="A866" s="9" t="s">
        <v>118</v>
      </c>
      <c r="B866" s="9">
        <f>ROW() - ROW(TablaCosechas[[#Headers],[ID]]) - 4</f>
        <v>861</v>
      </c>
      <c r="C866" s="9" t="str">
        <f>LEFT(A866,2)</f>
        <v>TI</v>
      </c>
      <c r="D866" s="182" t="s">
        <v>366</v>
      </c>
      <c r="E866" s="178">
        <v>42000</v>
      </c>
      <c r="F866" s="19">
        <v>37</v>
      </c>
      <c r="G866" s="195">
        <v>46028</v>
      </c>
      <c r="H866" s="9" t="str">
        <f>VLOOKUP(TablaCosechas[[#This Row],[COD]],DATOS!$E$3:$F$27,2,0)</f>
        <v>TIBURON</v>
      </c>
      <c r="I866" s="9" t="str">
        <f>RIGHT(TablaCosechas[[#This Row],[SECTOR/PISCINA]],2)</f>
        <v>06</v>
      </c>
      <c r="J866" s="9" t="str">
        <f>VLOOKUP(TablaCosechas[[#This Row],[COD]],Tabla7[#All],4,0)</f>
        <v>ALFONSO GRUNAUER</v>
      </c>
      <c r="K866" s="179">
        <f>(TablaCosechas[[#This Row],[libras planta]]*454)/M866</f>
        <v>569480.47455752222</v>
      </c>
      <c r="L866" s="215">
        <v>45357.74</v>
      </c>
      <c r="M866" s="19">
        <v>36.159999999999997</v>
      </c>
      <c r="N866" s="9" t="str">
        <f>UPPER(TEXT(TablaCosechas[[#This Row],[COSECHA]],"MMMM"))</f>
        <v>ENERO</v>
      </c>
      <c r="O866" s="9" t="str">
        <f>IF(A866="DO 29","BAP",IF(A866="RO 14","BAP",(VLOOKUP(TablaCosechas[[#This Row],[COD]],Tabla7[[CODIGO]:[CERTIFICACION]],3,0))))</f>
        <v>ASC</v>
      </c>
      <c r="P866" s="180">
        <f>+L866-E866</f>
        <v>3357.739999999998</v>
      </c>
      <c r="Q866" s="181">
        <f>+M866-F866</f>
        <v>-0.84000000000000341</v>
      </c>
      <c r="R866" s="9"/>
    </row>
    <row r="867" spans="1:18" x14ac:dyDescent="0.25">
      <c r="A867" s="9" t="s">
        <v>117</v>
      </c>
      <c r="B867" s="9">
        <f>ROW() - ROW(TablaCosechas[[#Headers],[ID]]) - 4</f>
        <v>862</v>
      </c>
      <c r="C867" s="9" t="str">
        <f>LEFT(A867,2)</f>
        <v>PR</v>
      </c>
      <c r="D867" s="182" t="s">
        <v>366</v>
      </c>
      <c r="E867" s="178">
        <v>7500</v>
      </c>
      <c r="F867" s="19">
        <v>21</v>
      </c>
      <c r="G867" s="195">
        <v>46028</v>
      </c>
      <c r="H867" s="9" t="str">
        <f>VLOOKUP(TablaCosechas[[#This Row],[COD]],DATOS!$E$3:$F$27,2,0)</f>
        <v>PARGO ROJO</v>
      </c>
      <c r="I867" s="9" t="str">
        <f>RIGHT(TablaCosechas[[#This Row],[SECTOR/PISCINA]],2)</f>
        <v>05</v>
      </c>
      <c r="J867" s="9" t="str">
        <f>VLOOKUP(TablaCosechas[[#This Row],[COD]],Tabla7[#All],4,0)</f>
        <v>WILMER TORRES</v>
      </c>
      <c r="K867" s="179">
        <f>(TablaCosechas[[#This Row],[libras planta]]*454)/M867</f>
        <v>185796.8188976378</v>
      </c>
      <c r="L867" s="215">
        <v>8315.84</v>
      </c>
      <c r="M867" s="19">
        <v>20.32</v>
      </c>
      <c r="N867" s="9" t="str">
        <f>UPPER(TEXT(TablaCosechas[[#This Row],[COSECHA]],"MMMM"))</f>
        <v>ENERO</v>
      </c>
      <c r="O867" s="9" t="str">
        <f>IF(A867="DO 29","BAP",IF(A867="RO 14","BAP",(VLOOKUP(TablaCosechas[[#This Row],[COD]],Tabla7[[CODIGO]:[CERTIFICACION]],3,0))))</f>
        <v>CONVENCIONAL</v>
      </c>
      <c r="P867" s="180">
        <f>+L867-E867</f>
        <v>815.84000000000015</v>
      </c>
      <c r="Q867" s="181">
        <f>+M867-F867</f>
        <v>-0.67999999999999972</v>
      </c>
      <c r="R867" s="9"/>
    </row>
    <row r="868" spans="1:18" x14ac:dyDescent="0.25">
      <c r="A868" s="9" t="s">
        <v>221</v>
      </c>
      <c r="B868" s="9">
        <f>ROW() - ROW(TablaCosechas[[#Headers],[ID]]) - 4</f>
        <v>863</v>
      </c>
      <c r="C868" s="9" t="str">
        <f>LEFT(A868,2)</f>
        <v>MA</v>
      </c>
      <c r="D868" s="182" t="s">
        <v>367</v>
      </c>
      <c r="E868" s="178">
        <v>2900</v>
      </c>
      <c r="F868" s="19">
        <v>19.5</v>
      </c>
      <c r="G868" s="195">
        <v>46028</v>
      </c>
      <c r="H868" s="9" t="str">
        <f>VLOOKUP(TablaCosechas[[#This Row],[COD]],DATOS!$E$3:$F$27,2,0)</f>
        <v>MANTARRAYA</v>
      </c>
      <c r="I868" s="9" t="str">
        <f>RIGHT(TablaCosechas[[#This Row],[SECTOR/PISCINA]],2)</f>
        <v>11</v>
      </c>
      <c r="J868" s="9" t="str">
        <f>VLOOKUP(TablaCosechas[[#This Row],[COD]],Tabla7[#All],4,0)</f>
        <v>GUSTAVO CARRASCO</v>
      </c>
      <c r="K868" s="179">
        <f>(TablaCosechas[[#This Row],[libras planta]]*454)/M868</f>
        <v>54125.151886792453</v>
      </c>
      <c r="L868" s="215">
        <v>2527.4299999999998</v>
      </c>
      <c r="M868" s="19">
        <v>21.2</v>
      </c>
      <c r="N868" s="9" t="str">
        <f>UPPER(TEXT(TablaCosechas[[#This Row],[COSECHA]],"MMMM"))</f>
        <v>ENERO</v>
      </c>
      <c r="O868" s="9" t="str">
        <f>IF(A868="DO 29","BAP",IF(A868="RO 14","BAP",(VLOOKUP(TablaCosechas[[#This Row],[COD]],Tabla7[[CODIGO]:[CERTIFICACION]],3,0))))</f>
        <v>ASC</v>
      </c>
      <c r="P868" s="180">
        <f>+L868-E868</f>
        <v>-372.57000000000016</v>
      </c>
      <c r="Q868" s="181">
        <f>+M868-F868</f>
        <v>1.6999999999999993</v>
      </c>
      <c r="R868" s="9"/>
    </row>
    <row r="869" spans="1:18" x14ac:dyDescent="0.25">
      <c r="A869" s="9" t="s">
        <v>208</v>
      </c>
      <c r="B869" s="9">
        <f>ROW() - ROW(TablaCosechas[[#Headers],[ID]]) - 4</f>
        <v>864</v>
      </c>
      <c r="C869" s="9" t="str">
        <f>LEFT(A869,2)</f>
        <v>DO</v>
      </c>
      <c r="D869" s="182" t="s">
        <v>367</v>
      </c>
      <c r="E869" s="178">
        <v>12000</v>
      </c>
      <c r="F869" s="19">
        <v>22</v>
      </c>
      <c r="G869" s="195">
        <v>46028</v>
      </c>
      <c r="H869" s="9" t="str">
        <f>VLOOKUP(TablaCosechas[[#This Row],[COD]],DATOS!$E$3:$F$27,2,0)</f>
        <v>DORADO</v>
      </c>
      <c r="I869" s="9" t="str">
        <f>RIGHT(TablaCosechas[[#This Row],[SECTOR/PISCINA]],2)</f>
        <v>04</v>
      </c>
      <c r="J869" s="9" t="str">
        <f>VLOOKUP(TablaCosechas[[#This Row],[COD]],Tabla7[#All],4,0)</f>
        <v>JOSE CEDEÑO</v>
      </c>
      <c r="K869" s="179">
        <f>(TablaCosechas[[#This Row],[libras planta]]*454)/M869</f>
        <v>215611.313283208</v>
      </c>
      <c r="L869" s="215">
        <v>11369.46</v>
      </c>
      <c r="M869" s="19">
        <v>23.94</v>
      </c>
      <c r="N869" s="9" t="str">
        <f>UPPER(TEXT(TablaCosechas[[#This Row],[COSECHA]],"MMMM"))</f>
        <v>ENERO</v>
      </c>
      <c r="O869" s="9" t="str">
        <f>IF(A869="DO 29","BAP",IF(A869="RO 14","BAP",(VLOOKUP(TablaCosechas[[#This Row],[COD]],Tabla7[[CODIGO]:[CERTIFICACION]],3,0))))</f>
        <v>ASC</v>
      </c>
      <c r="P869" s="180">
        <f>+L869-E869</f>
        <v>-630.54000000000087</v>
      </c>
      <c r="Q869" s="181">
        <f>+M869-F869</f>
        <v>1.9400000000000013</v>
      </c>
      <c r="R869" s="9"/>
    </row>
    <row r="870" spans="1:18" x14ac:dyDescent="0.25">
      <c r="A870" s="9" t="s">
        <v>115</v>
      </c>
      <c r="B870" s="9">
        <f>ROW() - ROW(TablaCosechas[[#Headers],[ID]]) - 4</f>
        <v>865</v>
      </c>
      <c r="C870" s="9" t="str">
        <f>LEFT(A870,2)</f>
        <v>DE</v>
      </c>
      <c r="D870" s="182" t="s">
        <v>366</v>
      </c>
      <c r="E870" s="178">
        <v>23000</v>
      </c>
      <c r="F870" s="19">
        <v>36</v>
      </c>
      <c r="G870" s="195">
        <v>46028</v>
      </c>
      <c r="H870" s="9" t="str">
        <f>VLOOKUP(TablaCosechas[[#This Row],[COD]],DATOS!$E$3:$F$27,2,0)</f>
        <v>DELFIN</v>
      </c>
      <c r="I870" s="9" t="str">
        <f>RIGHT(TablaCosechas[[#This Row],[SECTOR/PISCINA]],2)</f>
        <v>19</v>
      </c>
      <c r="J870" s="9" t="str">
        <f>VLOOKUP(TablaCosechas[[#This Row],[COD]],Tabla7[#All],4,0)</f>
        <v>CARLOS FLORES</v>
      </c>
      <c r="K870" s="179">
        <f>(TablaCosechas[[#This Row],[libras planta]]*454)/M870</f>
        <v>322055.77898760204</v>
      </c>
      <c r="L870" s="215">
        <v>25052.9</v>
      </c>
      <c r="M870" s="19">
        <v>35.316915087674481</v>
      </c>
      <c r="N870" s="9" t="str">
        <f>UPPER(TEXT(TablaCosechas[[#This Row],[COSECHA]],"MMMM"))</f>
        <v>ENERO</v>
      </c>
      <c r="O870" s="9" t="str">
        <f>IF(A870="DO 29","BAP",IF(A870="RO 14","BAP",(VLOOKUP(TablaCosechas[[#This Row],[COD]],Tabla7[[CODIGO]:[CERTIFICACION]],3,0))))</f>
        <v>CONVENCIONAL</v>
      </c>
      <c r="P870" s="180">
        <f>+L870-E870</f>
        <v>2052.9000000000015</v>
      </c>
      <c r="Q870" s="181">
        <f>+M870-F870</f>
        <v>-0.68308491232551916</v>
      </c>
      <c r="R870" s="9"/>
    </row>
    <row r="871" spans="1:18" x14ac:dyDescent="0.25">
      <c r="A871" s="9" t="s">
        <v>24</v>
      </c>
      <c r="B871" s="9">
        <f>ROW() - ROW(TablaCosechas[[#Headers],[ID]]) - 4</f>
        <v>866</v>
      </c>
      <c r="C871" s="9" t="str">
        <f>LEFT(A871,2)</f>
        <v>CH</v>
      </c>
      <c r="D871" s="182" t="s">
        <v>366</v>
      </c>
      <c r="E871" s="178">
        <v>36100</v>
      </c>
      <c r="F871" s="19">
        <v>35.5</v>
      </c>
      <c r="G871" s="195">
        <v>46028</v>
      </c>
      <c r="H871" s="9" t="str">
        <f>VLOOKUP(TablaCosechas[[#This Row],[COD]],DATOS!$E$3:$F$27,2,0)</f>
        <v>CHERNA</v>
      </c>
      <c r="I871" s="9" t="str">
        <f>RIGHT(TablaCosechas[[#This Row],[SECTOR/PISCINA]],2)</f>
        <v>20</v>
      </c>
      <c r="J871" s="9" t="str">
        <f>VLOOKUP(TablaCosechas[[#This Row],[COD]],Tabla7[#All],4,0)</f>
        <v>SANTIAGO OBRIEN</v>
      </c>
      <c r="K871" s="179">
        <f>(TablaCosechas[[#This Row],[libras planta]]*454)/M871</f>
        <v>501077.3299822589</v>
      </c>
      <c r="L871" s="215">
        <v>37326.949999999997</v>
      </c>
      <c r="M871" s="19">
        <v>33.82</v>
      </c>
      <c r="N871" s="9" t="str">
        <f>UPPER(TEXT(TablaCosechas[[#This Row],[COSECHA]],"MMMM"))</f>
        <v>ENERO</v>
      </c>
      <c r="O871" s="9" t="str">
        <f>IF(A871="DO 29","BAP",IF(A871="RO 14","BAP",(VLOOKUP(TablaCosechas[[#This Row],[COD]],Tabla7[[CODIGO]:[CERTIFICACION]],3,0))))</f>
        <v>ASC</v>
      </c>
      <c r="P871" s="180">
        <f>+L871-E871</f>
        <v>1226.9499999999971</v>
      </c>
      <c r="Q871" s="181">
        <f>+M871-F871</f>
        <v>-1.6799999999999997</v>
      </c>
      <c r="R871" s="9"/>
    </row>
    <row r="872" spans="1:18" x14ac:dyDescent="0.25">
      <c r="A872" s="9" t="s">
        <v>114</v>
      </c>
      <c r="B872" s="9">
        <f>ROW() - ROW(TablaCosechas[[#Headers],[ID]]) - 4</f>
        <v>867</v>
      </c>
      <c r="C872" s="9" t="str">
        <f>LEFT(A872,2)</f>
        <v>CA</v>
      </c>
      <c r="D872" s="182" t="s">
        <v>366</v>
      </c>
      <c r="E872" s="178">
        <f>12600+800</f>
        <v>13400</v>
      </c>
      <c r="F872" s="19">
        <v>36</v>
      </c>
      <c r="G872" s="195">
        <v>46028</v>
      </c>
      <c r="H872" s="9" t="str">
        <f>VLOOKUP(TablaCosechas[[#This Row],[COD]],DATOS!$E$3:$F$27,2,0)</f>
        <v>CATANUDA</v>
      </c>
      <c r="I872" s="9" t="str">
        <f>RIGHT(TablaCosechas[[#This Row],[SECTOR/PISCINA]],2)</f>
        <v>18</v>
      </c>
      <c r="J872" s="9" t="str">
        <f>VLOOKUP(TablaCosechas[[#This Row],[COD]],Tabla7[#All],4,0)</f>
        <v>VICTOR QUINTANA</v>
      </c>
      <c r="K872" s="179">
        <f>(TablaCosechas[[#This Row],[libras planta]]*454)/M872</f>
        <v>191280.45579007416</v>
      </c>
      <c r="L872" s="215">
        <f>13877.67+893.9</f>
        <v>14771.57</v>
      </c>
      <c r="M872" s="19">
        <v>35.06</v>
      </c>
      <c r="N872" s="9" t="str">
        <f>UPPER(TEXT(TablaCosechas[[#This Row],[COSECHA]],"MMMM"))</f>
        <v>ENERO</v>
      </c>
      <c r="O872" s="9" t="str">
        <f>IF(A872="DO 29","BAP",IF(A872="RO 14","BAP",(VLOOKUP(TablaCosechas[[#This Row],[COD]],Tabla7[[CODIGO]:[CERTIFICACION]],3,0))))</f>
        <v>ASC</v>
      </c>
      <c r="P872" s="180">
        <f>+L872-E872</f>
        <v>1371.5699999999997</v>
      </c>
      <c r="Q872" s="181">
        <f>+M872-F872</f>
        <v>-0.93999999999999773</v>
      </c>
      <c r="R872" s="9"/>
    </row>
    <row r="873" spans="1:18" x14ac:dyDescent="0.25">
      <c r="A873" s="9" t="s">
        <v>124</v>
      </c>
      <c r="B873" s="9">
        <f>ROW() - ROW(TablaCosechas[[#Headers],[ID]]) - 4</f>
        <v>868</v>
      </c>
      <c r="C873" s="9" t="str">
        <f>LEFT(A873,2)</f>
        <v>WA</v>
      </c>
      <c r="D873" s="182" t="s">
        <v>366</v>
      </c>
      <c r="E873" s="178">
        <v>700</v>
      </c>
      <c r="F873" s="19">
        <v>21</v>
      </c>
      <c r="G873" s="195">
        <v>46029</v>
      </c>
      <c r="H873" s="9" t="str">
        <f>VLOOKUP(TablaCosechas[[#This Row],[COD]],DATOS!$E$3:$F$27,2,0)</f>
        <v>WAHOO</v>
      </c>
      <c r="I873" s="9" t="str">
        <f>RIGHT(TablaCosechas[[#This Row],[SECTOR/PISCINA]],2)</f>
        <v>14</v>
      </c>
      <c r="J873" s="9" t="str">
        <f>VLOOKUP(TablaCosechas[[#This Row],[COD]],Tabla7[#All],4,0)</f>
        <v>JUNIOR ESQUIVEL</v>
      </c>
      <c r="K873" s="179">
        <f>(TablaCosechas[[#This Row],[libras planta]]*454)/M873</f>
        <v>13854.651685393259</v>
      </c>
      <c r="L873" s="215">
        <v>651.84</v>
      </c>
      <c r="M873" s="19">
        <v>21.36</v>
      </c>
      <c r="N873" s="9" t="str">
        <f>UPPER(TEXT(TablaCosechas[[#This Row],[COSECHA]],"MMMM"))</f>
        <v>ENERO</v>
      </c>
      <c r="O873" s="9" t="str">
        <f>IF(A873="DO 29","BAP",IF(A873="RO 14","BAP",(VLOOKUP(TablaCosechas[[#This Row],[COD]],Tabla7[[CODIGO]:[CERTIFICACION]],3,0))))</f>
        <v>CONVENCIONAL</v>
      </c>
      <c r="P873" s="180">
        <f>+L873-E873</f>
        <v>-48.159999999999968</v>
      </c>
      <c r="Q873" s="181">
        <f>+M873-F873</f>
        <v>0.35999999999999943</v>
      </c>
      <c r="R873" s="9"/>
    </row>
    <row r="874" spans="1:18" x14ac:dyDescent="0.25">
      <c r="A874" s="9" t="s">
        <v>122</v>
      </c>
      <c r="B874" s="9">
        <f>ROW() - ROW(TablaCosechas[[#Headers],[ID]]) - 4</f>
        <v>869</v>
      </c>
      <c r="C874" s="9" t="str">
        <f>LEFT(A874,2)</f>
        <v>TI</v>
      </c>
      <c r="D874" s="182" t="s">
        <v>366</v>
      </c>
      <c r="E874" s="178">
        <v>20800</v>
      </c>
      <c r="F874" s="19">
        <v>37</v>
      </c>
      <c r="G874" s="195">
        <v>46029</v>
      </c>
      <c r="H874" s="9" t="str">
        <f>VLOOKUP(TablaCosechas[[#This Row],[COD]],DATOS!$E$3:$F$27,2,0)</f>
        <v>TIBURON</v>
      </c>
      <c r="I874" s="9" t="str">
        <f>RIGHT(TablaCosechas[[#This Row],[SECTOR/PISCINA]],2)</f>
        <v>07</v>
      </c>
      <c r="J874" s="9" t="str">
        <f>VLOOKUP(TablaCosechas[[#This Row],[COD]],Tabla7[#All],4,0)</f>
        <v>ALFONSO GRUNAUER</v>
      </c>
      <c r="K874" s="179">
        <f>(TablaCosechas[[#This Row],[libras planta]]*454)/M874</f>
        <v>265803.17509516038</v>
      </c>
      <c r="L874" s="215">
        <v>21533.57</v>
      </c>
      <c r="M874" s="19">
        <v>36.78</v>
      </c>
      <c r="N874" s="9" t="str">
        <f>UPPER(TEXT(TablaCosechas[[#This Row],[COSECHA]],"MMMM"))</f>
        <v>ENERO</v>
      </c>
      <c r="O874" s="9" t="str">
        <f>IF(A874="DO 29","BAP",IF(A874="RO 14","BAP",(VLOOKUP(TablaCosechas[[#This Row],[COD]],Tabla7[[CODIGO]:[CERTIFICACION]],3,0))))</f>
        <v>ASC</v>
      </c>
      <c r="P874" s="180">
        <f>+L874-E874</f>
        <v>733.56999999999971</v>
      </c>
      <c r="Q874" s="181">
        <f>+M874-F874</f>
        <v>-0.21999999999999886</v>
      </c>
      <c r="R874" s="9"/>
    </row>
    <row r="875" spans="1:18" x14ac:dyDescent="0.25">
      <c r="A875" s="9" t="s">
        <v>121</v>
      </c>
      <c r="B875" s="9">
        <f>ROW() - ROW(TablaCosechas[[#Headers],[ID]]) - 4</f>
        <v>870</v>
      </c>
      <c r="C875" s="9" t="str">
        <f>LEFT(A875,2)</f>
        <v>PR</v>
      </c>
      <c r="D875" s="182" t="s">
        <v>366</v>
      </c>
      <c r="E875" s="178">
        <v>24300</v>
      </c>
      <c r="F875" s="19">
        <v>27</v>
      </c>
      <c r="G875" s="195">
        <v>46029</v>
      </c>
      <c r="H875" s="9" t="str">
        <f>VLOOKUP(TablaCosechas[[#This Row],[COD]],DATOS!$E$3:$F$27,2,0)</f>
        <v>PARGO ROJO</v>
      </c>
      <c r="I875" s="9" t="str">
        <f>RIGHT(TablaCosechas[[#This Row],[SECTOR/PISCINA]],2)</f>
        <v>15</v>
      </c>
      <c r="J875" s="9" t="str">
        <f>VLOOKUP(TablaCosechas[[#This Row],[COD]],Tabla7[#All],4,0)</f>
        <v>WILMER TORRES</v>
      </c>
      <c r="K875" s="179">
        <f>(TablaCosechas[[#This Row],[libras planta]]*454)/M875</f>
        <v>444523.57967836258</v>
      </c>
      <c r="L875" s="215">
        <v>26788.91</v>
      </c>
      <c r="M875" s="19">
        <v>27.36</v>
      </c>
      <c r="N875" s="9" t="str">
        <f>UPPER(TEXT(TablaCosechas[[#This Row],[COSECHA]],"MMMM"))</f>
        <v>ENERO</v>
      </c>
      <c r="O875" s="9" t="str">
        <f>IF(A875="DO 29","BAP",IF(A875="RO 14","BAP",(VLOOKUP(TablaCosechas[[#This Row],[COD]],Tabla7[[CODIGO]:[CERTIFICACION]],3,0))))</f>
        <v>CONVENCIONAL</v>
      </c>
      <c r="P875" s="180">
        <f>+L875-E875</f>
        <v>2488.91</v>
      </c>
      <c r="Q875" s="181">
        <f>+M875-F875</f>
        <v>0.35999999999999943</v>
      </c>
      <c r="R875" s="9"/>
    </row>
    <row r="876" spans="1:18" x14ac:dyDescent="0.25">
      <c r="A876" s="9" t="s">
        <v>120</v>
      </c>
      <c r="B876" s="9">
        <f>ROW() - ROW(TablaCosechas[[#Headers],[ID]]) - 4</f>
        <v>871</v>
      </c>
      <c r="C876" s="9" t="str">
        <f>LEFT(A876,2)</f>
        <v>ME</v>
      </c>
      <c r="D876" s="182" t="s">
        <v>366</v>
      </c>
      <c r="E876" s="178">
        <v>15500</v>
      </c>
      <c r="F876" s="19">
        <v>39</v>
      </c>
      <c r="G876" s="195">
        <v>46029</v>
      </c>
      <c r="H876" s="9" t="str">
        <f>VLOOKUP(TablaCosechas[[#This Row],[COD]],DATOS!$E$3:$F$27,2,0)</f>
        <v>MERO</v>
      </c>
      <c r="I876" s="9" t="str">
        <f>RIGHT(TablaCosechas[[#This Row],[SECTOR/PISCINA]],2)</f>
        <v>19</v>
      </c>
      <c r="J876" s="9" t="str">
        <f>VLOOKUP(TablaCosechas[[#This Row],[COD]],Tabla7[#All],4,0)</f>
        <v>NESTOR MOGOLLON</v>
      </c>
      <c r="K876" s="179">
        <f>(TablaCosechas[[#This Row],[libras planta]]*454)/M876</f>
        <v>170805.57248785478</v>
      </c>
      <c r="L876" s="215">
        <v>14714.11</v>
      </c>
      <c r="M876" s="19">
        <v>39.11</v>
      </c>
      <c r="N876" s="9" t="str">
        <f>UPPER(TEXT(TablaCosechas[[#This Row],[COSECHA]],"MMMM"))</f>
        <v>ENERO</v>
      </c>
      <c r="O876" s="9" t="str">
        <f>IF(A876="DO 29","BAP",IF(A876="RO 14","BAP",(VLOOKUP(TablaCosechas[[#This Row],[COD]],Tabla7[[CODIGO]:[CERTIFICACION]],3,0))))</f>
        <v>CONVENCIONAL</v>
      </c>
      <c r="P876" s="180">
        <f>+L876-E876</f>
        <v>-785.88999999999942</v>
      </c>
      <c r="Q876" s="181">
        <f>+M876-F876</f>
        <v>0.10999999999999943</v>
      </c>
      <c r="R876" s="9"/>
    </row>
    <row r="877" spans="1:18" x14ac:dyDescent="0.25">
      <c r="A877" s="9" t="s">
        <v>119</v>
      </c>
      <c r="B877" s="9">
        <f>ROW() - ROW(TablaCosechas[[#Headers],[ID]]) - 4</f>
        <v>872</v>
      </c>
      <c r="C877" s="9" t="str">
        <f>LEFT(A877,2)</f>
        <v>ME</v>
      </c>
      <c r="D877" s="182" t="s">
        <v>366</v>
      </c>
      <c r="E877" s="178">
        <v>8200</v>
      </c>
      <c r="F877" s="19">
        <v>36.5</v>
      </c>
      <c r="G877" s="195">
        <v>46029</v>
      </c>
      <c r="H877" s="9" t="str">
        <f>VLOOKUP(TablaCosechas[[#This Row],[COD]],DATOS!$E$3:$F$27,2,0)</f>
        <v>MERO</v>
      </c>
      <c r="I877" s="9" t="str">
        <f>RIGHT(TablaCosechas[[#This Row],[SECTOR/PISCINA]],2)</f>
        <v>13</v>
      </c>
      <c r="J877" s="9" t="str">
        <f>VLOOKUP(TablaCosechas[[#This Row],[COD]],Tabla7[#All],4,0)</f>
        <v>NESTOR MOGOLLON</v>
      </c>
      <c r="K877" s="179">
        <f>(TablaCosechas[[#This Row],[libras planta]]*454)/M877</f>
        <v>105344.10888407366</v>
      </c>
      <c r="L877" s="215">
        <v>8566.75</v>
      </c>
      <c r="M877" s="19">
        <v>36.92</v>
      </c>
      <c r="N877" s="9" t="str">
        <f>UPPER(TEXT(TablaCosechas[[#This Row],[COSECHA]],"MMMM"))</f>
        <v>ENERO</v>
      </c>
      <c r="O877" s="9" t="str">
        <f>IF(A877="DO 29","BAP",IF(A877="RO 14","BAP",(VLOOKUP(TablaCosechas[[#This Row],[COD]],Tabla7[[CODIGO]:[CERTIFICACION]],3,0))))</f>
        <v>CONVENCIONAL</v>
      </c>
      <c r="P877" s="180">
        <f>+L877-E877</f>
        <v>366.75</v>
      </c>
      <c r="Q877" s="181">
        <f>+M877-F877</f>
        <v>0.42000000000000171</v>
      </c>
      <c r="R877" s="9"/>
    </row>
    <row r="878" spans="1:18" x14ac:dyDescent="0.25">
      <c r="A878" s="9" t="s">
        <v>126</v>
      </c>
      <c r="B878" s="9">
        <f>ROW() - ROW(TablaCosechas[[#Headers],[ID]]) - 4</f>
        <v>873</v>
      </c>
      <c r="C878" s="9" t="str">
        <f>LEFT(A878,2)</f>
        <v>DO</v>
      </c>
      <c r="D878" s="182" t="s">
        <v>366</v>
      </c>
      <c r="E878" s="178">
        <v>25100</v>
      </c>
      <c r="F878" s="19">
        <v>36</v>
      </c>
      <c r="G878" s="195">
        <v>46029</v>
      </c>
      <c r="H878" s="9" t="str">
        <f>VLOOKUP(TablaCosechas[[#This Row],[COD]],DATOS!$E$3:$F$27,2,0)</f>
        <v>DORADO</v>
      </c>
      <c r="I878" s="9" t="str">
        <f>RIGHT(TablaCosechas[[#This Row],[SECTOR/PISCINA]],2)</f>
        <v>06</v>
      </c>
      <c r="J878" s="9" t="str">
        <f>VLOOKUP(TablaCosechas[[#This Row],[COD]],Tabla7[#All],4,0)</f>
        <v>JOSE CEDEÑO</v>
      </c>
      <c r="K878" s="179">
        <f>(TablaCosechas[[#This Row],[libras planta]]*454)/M878</f>
        <v>301200.14251012146</v>
      </c>
      <c r="L878" s="215">
        <v>24580.32</v>
      </c>
      <c r="M878" s="19">
        <v>37.049999999999997</v>
      </c>
      <c r="N878" s="9" t="str">
        <f>UPPER(TEXT(TablaCosechas[[#This Row],[COSECHA]],"MMMM"))</f>
        <v>ENERO</v>
      </c>
      <c r="O878" s="9" t="str">
        <f>IF(A878="DO 29","BAP",IF(A878="RO 14","BAP",(VLOOKUP(TablaCosechas[[#This Row],[COD]],Tabla7[[CODIGO]:[CERTIFICACION]],3,0))))</f>
        <v>ASC</v>
      </c>
      <c r="P878" s="180">
        <f>+L878-E878</f>
        <v>-519.68000000000029</v>
      </c>
      <c r="Q878" s="181">
        <f>+M878-F878</f>
        <v>1.0499999999999972</v>
      </c>
      <c r="R878" s="9"/>
    </row>
    <row r="879" spans="1:18" x14ac:dyDescent="0.25">
      <c r="A879" s="9" t="s">
        <v>10</v>
      </c>
      <c r="B879" s="9">
        <f>ROW() - ROW(TablaCosechas[[#Headers],[ID]]) - 4</f>
        <v>874</v>
      </c>
      <c r="C879" s="9" t="str">
        <f>LEFT(A879,2)</f>
        <v>CH</v>
      </c>
      <c r="D879" s="182" t="s">
        <v>367</v>
      </c>
      <c r="E879" s="178">
        <v>7400</v>
      </c>
      <c r="F879" s="19">
        <v>20</v>
      </c>
      <c r="G879" s="195">
        <v>46029</v>
      </c>
      <c r="H879" s="9" t="str">
        <f>VLOOKUP(TablaCosechas[[#This Row],[COD]],DATOS!$E$3:$F$27,2,0)</f>
        <v>CHERNA</v>
      </c>
      <c r="I879" s="9" t="str">
        <f>RIGHT(TablaCosechas[[#This Row],[SECTOR/PISCINA]],2)</f>
        <v>04</v>
      </c>
      <c r="J879" s="9" t="str">
        <f>VLOOKUP(TablaCosechas[[#This Row],[COD]],Tabla7[#All],4,0)</f>
        <v>SANTIAGO OBRIEN</v>
      </c>
      <c r="K879" s="179">
        <f>(TablaCosechas[[#This Row],[libras planta]]*454)/M879</f>
        <v>162823.85714285716</v>
      </c>
      <c r="L879" s="215">
        <v>7180.03</v>
      </c>
      <c r="M879" s="19">
        <v>20.02</v>
      </c>
      <c r="N879" s="9" t="str">
        <f>UPPER(TEXT(TablaCosechas[[#This Row],[COSECHA]],"MMMM"))</f>
        <v>ENERO</v>
      </c>
      <c r="O879" s="9" t="str">
        <f>IF(A879="DO 29","BAP",IF(A879="RO 14","BAP",(VLOOKUP(TablaCosechas[[#This Row],[COD]],Tabla7[[CODIGO]:[CERTIFICACION]],3,0))))</f>
        <v>ASC</v>
      </c>
      <c r="P879" s="180">
        <f>+L879-E879</f>
        <v>-219.97000000000025</v>
      </c>
      <c r="Q879" s="181">
        <f>+M879-F879</f>
        <v>1.9999999999999574E-2</v>
      </c>
      <c r="R879" s="9"/>
    </row>
    <row r="880" spans="1:18" x14ac:dyDescent="0.25">
      <c r="A880" s="9" t="s">
        <v>203</v>
      </c>
      <c r="B880" s="9">
        <f>ROW() - ROW(TablaCosechas[[#Headers],[ID]]) - 4</f>
        <v>875</v>
      </c>
      <c r="C880" s="9" t="str">
        <f>LEFT(A880,2)</f>
        <v>CA</v>
      </c>
      <c r="D880" s="182" t="s">
        <v>367</v>
      </c>
      <c r="E880" s="178">
        <v>9400</v>
      </c>
      <c r="F880" s="19">
        <v>20</v>
      </c>
      <c r="G880" s="195">
        <v>46029</v>
      </c>
      <c r="H880" s="9" t="str">
        <f>VLOOKUP(TablaCosechas[[#This Row],[COD]],DATOS!$E$3:$F$27,2,0)</f>
        <v>CATANUDA</v>
      </c>
      <c r="I880" s="9" t="str">
        <f>RIGHT(TablaCosechas[[#This Row],[SECTOR/PISCINA]],2)</f>
        <v>04</v>
      </c>
      <c r="J880" s="9" t="str">
        <f>VLOOKUP(TablaCosechas[[#This Row],[COD]],Tabla7[#All],4,0)</f>
        <v>VICTOR QUINTANA</v>
      </c>
      <c r="K880" s="179">
        <f>(TablaCosechas[[#This Row],[libras planta]]*454)/M880</f>
        <v>203018.11764705883</v>
      </c>
      <c r="L880" s="215">
        <v>9882.6</v>
      </c>
      <c r="M880" s="19">
        <v>22.1</v>
      </c>
      <c r="N880" s="9" t="str">
        <f>UPPER(TEXT(TablaCosechas[[#This Row],[COSECHA]],"MMMM"))</f>
        <v>ENERO</v>
      </c>
      <c r="O880" s="9" t="str">
        <f>IF(A880="DO 29","BAP",IF(A880="RO 14","BAP",(VLOOKUP(TablaCosechas[[#This Row],[COD]],Tabla7[[CODIGO]:[CERTIFICACION]],3,0))))</f>
        <v>ASC</v>
      </c>
      <c r="P880" s="180">
        <f>+L880-E880</f>
        <v>482.60000000000036</v>
      </c>
      <c r="Q880" s="181">
        <f>+M880-F880</f>
        <v>2.1000000000000014</v>
      </c>
      <c r="R880" s="9"/>
    </row>
    <row r="881" spans="1:18" x14ac:dyDescent="0.25">
      <c r="A881" s="9" t="s">
        <v>168</v>
      </c>
      <c r="B881" s="9">
        <f>ROW() - ROW(TablaCosechas[[#Headers],[ID]]) - 4</f>
        <v>876</v>
      </c>
      <c r="C881" s="9" t="str">
        <f>LEFT(A881,2)</f>
        <v>TA</v>
      </c>
      <c r="D881" s="182" t="s">
        <v>367</v>
      </c>
      <c r="E881" s="178">
        <v>8500</v>
      </c>
      <c r="F881" s="19">
        <v>27</v>
      </c>
      <c r="G881" s="195">
        <v>46030</v>
      </c>
      <c r="H881" s="9" t="str">
        <f>VLOOKUP(TablaCosechas[[#This Row],[COD]],DATOS!$E$3:$F$27,2,0)</f>
        <v>TAMBULERO</v>
      </c>
      <c r="I881" s="9" t="str">
        <f>RIGHT(TablaCosechas[[#This Row],[SECTOR/PISCINA]],2)</f>
        <v>27</v>
      </c>
      <c r="J881" s="9" t="str">
        <f>VLOOKUP(TablaCosechas[[#This Row],[COD]],Tabla7[#All],4,0)</f>
        <v>ALFONSO GRUNAUER</v>
      </c>
      <c r="K881" s="179">
        <f>(TablaCosechas[[#This Row],[libras planta]]*454)/M881</f>
        <v>109848.55467800728</v>
      </c>
      <c r="L881" s="215">
        <v>7965.23</v>
      </c>
      <c r="M881" s="19">
        <v>32.92</v>
      </c>
      <c r="N881" s="9" t="str">
        <f>UPPER(TEXT(TablaCosechas[[#This Row],[COSECHA]],"MMMM"))</f>
        <v>ENERO</v>
      </c>
      <c r="O881" s="9" t="str">
        <f>IF(A881="DO 29","BAP",IF(A881="RO 14","BAP",(VLOOKUP(TablaCosechas[[#This Row],[COD]],Tabla7[[CODIGO]:[CERTIFICACION]],3,0))))</f>
        <v>CONVENCIONAL</v>
      </c>
      <c r="P881" s="180">
        <f>+L881-E881</f>
        <v>-534.77000000000044</v>
      </c>
      <c r="Q881" s="181">
        <f>+M881-F881</f>
        <v>5.9200000000000017</v>
      </c>
      <c r="R881" s="9"/>
    </row>
    <row r="882" spans="1:18" x14ac:dyDescent="0.25">
      <c r="A882" s="9" t="s">
        <v>129</v>
      </c>
      <c r="B882" s="9">
        <f>ROW() - ROW(TablaCosechas[[#Headers],[ID]]) - 4</f>
        <v>877</v>
      </c>
      <c r="C882" s="9" t="str">
        <f>LEFT(A882,2)</f>
        <v>RO</v>
      </c>
      <c r="D882" s="182" t="s">
        <v>366</v>
      </c>
      <c r="E882" s="178">
        <v>11200</v>
      </c>
      <c r="F882" s="19">
        <v>36</v>
      </c>
      <c r="G882" s="195">
        <v>46030</v>
      </c>
      <c r="H882" s="9" t="str">
        <f>VLOOKUP(TablaCosechas[[#This Row],[COD]],DATOS!$E$3:$F$27,2,0)</f>
        <v>ROBALO</v>
      </c>
      <c r="I882" s="9" t="str">
        <f>RIGHT(TablaCosechas[[#This Row],[SECTOR/PISCINA]],2)</f>
        <v>11</v>
      </c>
      <c r="J882" s="9" t="str">
        <f>VLOOKUP(TablaCosechas[[#This Row],[COD]],Tabla7[#All],4,0)</f>
        <v>VICTOR QUINTANA</v>
      </c>
      <c r="K882" s="179">
        <f>(TablaCosechas[[#This Row],[libras planta]]*454)/M882</f>
        <v>142529.237642083</v>
      </c>
      <c r="L882" s="215">
        <v>11876.39</v>
      </c>
      <c r="M882" s="19">
        <v>37.83</v>
      </c>
      <c r="N882" s="9" t="str">
        <f>UPPER(TEXT(TablaCosechas[[#This Row],[COSECHA]],"MMMM"))</f>
        <v>ENERO</v>
      </c>
      <c r="O882" s="9" t="str">
        <f>IF(A882="DO 29","BAP",IF(A882="RO 14","BAP",(VLOOKUP(TablaCosechas[[#This Row],[COD]],Tabla7[[CODIGO]:[CERTIFICACION]],3,0))))</f>
        <v>ASC</v>
      </c>
      <c r="P882" s="180">
        <f>+L882-E882</f>
        <v>676.38999999999942</v>
      </c>
      <c r="Q882" s="181">
        <f>+M882-F882</f>
        <v>1.8299999999999983</v>
      </c>
      <c r="R882" s="9"/>
    </row>
    <row r="883" spans="1:18" x14ac:dyDescent="0.25">
      <c r="A883" s="9" t="s">
        <v>128</v>
      </c>
      <c r="B883" s="9">
        <f>ROW() - ROW(TablaCosechas[[#Headers],[ID]]) - 4</f>
        <v>878</v>
      </c>
      <c r="C883" s="9" t="str">
        <f>LEFT(A883,2)</f>
        <v>PA</v>
      </c>
      <c r="D883" s="182" t="s">
        <v>366</v>
      </c>
      <c r="E883" s="178">
        <f>40100+3300</f>
        <v>43400</v>
      </c>
      <c r="F883" s="19">
        <v>34</v>
      </c>
      <c r="G883" s="195">
        <v>46030</v>
      </c>
      <c r="H883" s="9" t="str">
        <f>VLOOKUP(TablaCosechas[[#This Row],[COD]],DATOS!$E$3:$F$27,2,0)</f>
        <v>PAMPANO</v>
      </c>
      <c r="I883" s="9" t="str">
        <f>RIGHT(TablaCosechas[[#This Row],[SECTOR/PISCINA]],2)</f>
        <v>14</v>
      </c>
      <c r="J883" s="9" t="str">
        <f>VLOOKUP(TablaCosechas[[#This Row],[COD]],Tabla7[#All],4,0)</f>
        <v>GUSTAVO CARRASCO</v>
      </c>
      <c r="K883" s="179">
        <f>(TablaCosechas[[#This Row],[libras planta]]*454)/M883</f>
        <v>549191.1713124275</v>
      </c>
      <c r="L883" s="215">
        <f>38408.94+3252.17</f>
        <v>41661.11</v>
      </c>
      <c r="M883" s="19">
        <v>34.44</v>
      </c>
      <c r="N883" s="9" t="str">
        <f>UPPER(TEXT(TablaCosechas[[#This Row],[COSECHA]],"MMMM"))</f>
        <v>ENERO</v>
      </c>
      <c r="O883" s="9" t="str">
        <f>IF(A883="DO 29","BAP",IF(A883="RO 14","BAP",(VLOOKUP(TablaCosechas[[#This Row],[COD]],Tabla7[[CODIGO]:[CERTIFICACION]],3,0))))</f>
        <v>ASC</v>
      </c>
      <c r="P883" s="180">
        <f>+L883-E883</f>
        <v>-1738.8899999999994</v>
      </c>
      <c r="Q883" s="181">
        <f>+M883-F883</f>
        <v>0.43999999999999773</v>
      </c>
      <c r="R883" s="9"/>
    </row>
    <row r="884" spans="1:18" x14ac:dyDescent="0.25">
      <c r="A884" s="9" t="s">
        <v>134</v>
      </c>
      <c r="B884" s="9">
        <f>ROW() - ROW(TablaCosechas[[#Headers],[ID]]) - 4</f>
        <v>879</v>
      </c>
      <c r="C884" s="9" t="str">
        <f>LEFT(A884,2)</f>
        <v>GT</v>
      </c>
      <c r="D884" s="182" t="s">
        <v>367</v>
      </c>
      <c r="E884" s="178">
        <v>5000</v>
      </c>
      <c r="F884" s="19">
        <v>29</v>
      </c>
      <c r="G884" s="195">
        <v>46030</v>
      </c>
      <c r="H884" s="9" t="str">
        <f>VLOOKUP(TablaCosechas[[#This Row],[COD]],DATOS!$E$3:$F$27,2,0)</f>
        <v>GUATO</v>
      </c>
      <c r="I884" s="9" t="str">
        <f>RIGHT(TablaCosechas[[#This Row],[SECTOR/PISCINA]],2)</f>
        <v>21</v>
      </c>
      <c r="J884" s="9" t="str">
        <f>VLOOKUP(TablaCosechas[[#This Row],[COD]],Tabla7[#All],4,0)</f>
        <v>JULIO SANTOS</v>
      </c>
      <c r="K884" s="179">
        <f>(TablaCosechas[[#This Row],[libras planta]]*454)/M884</f>
        <v>90486.342335766414</v>
      </c>
      <c r="L884" s="215">
        <v>5461.07</v>
      </c>
      <c r="M884" s="19">
        <v>27.4</v>
      </c>
      <c r="N884" s="9" t="str">
        <f>UPPER(TEXT(TablaCosechas[[#This Row],[COSECHA]],"MMMM"))</f>
        <v>ENERO</v>
      </c>
      <c r="O884" s="9" t="str">
        <f>IF(A884="DO 29","BAP",IF(A884="RO 14","BAP",(VLOOKUP(TablaCosechas[[#This Row],[COD]],Tabla7[[CODIGO]:[CERTIFICACION]],3,0))))</f>
        <v>CONVENCIONAL</v>
      </c>
      <c r="P884" s="180">
        <f>+L884-E884</f>
        <v>461.06999999999971</v>
      </c>
      <c r="Q884" s="181">
        <f>+M884-F884</f>
        <v>-1.6000000000000014</v>
      </c>
      <c r="R884" s="9"/>
    </row>
    <row r="885" spans="1:18" x14ac:dyDescent="0.25">
      <c r="A885" s="9" t="s">
        <v>137</v>
      </c>
      <c r="B885" s="9">
        <f>ROW() - ROW(TablaCosechas[[#Headers],[ID]]) - 4</f>
        <v>880</v>
      </c>
      <c r="C885" s="9" t="str">
        <f>LEFT(A885,2)</f>
        <v>DO</v>
      </c>
      <c r="D885" s="182" t="s">
        <v>366</v>
      </c>
      <c r="E885" s="178">
        <f>54000+400</f>
        <v>54400</v>
      </c>
      <c r="F885" s="19">
        <v>29</v>
      </c>
      <c r="G885" s="195">
        <v>46030</v>
      </c>
      <c r="H885" s="9" t="str">
        <f>VLOOKUP(TablaCosechas[[#This Row],[COD]],DATOS!$E$3:$F$27,2,0)</f>
        <v>DORADO</v>
      </c>
      <c r="I885" s="9" t="str">
        <f>RIGHT(TablaCosechas[[#This Row],[SECTOR/PISCINA]],2)</f>
        <v>20</v>
      </c>
      <c r="J885" s="9" t="str">
        <f>VLOOKUP(TablaCosechas[[#This Row],[COD]],Tabla7[#All],4,0)</f>
        <v>JOSE CEDEÑO</v>
      </c>
      <c r="K885" s="179">
        <f>(TablaCosechas[[#This Row],[libras planta]]*454)/M885</f>
        <v>875327.14418938314</v>
      </c>
      <c r="L885" s="215">
        <f>53384.87+368.7</f>
        <v>53753.57</v>
      </c>
      <c r="M885" s="19">
        <v>27.88</v>
      </c>
      <c r="N885" s="9" t="str">
        <f>UPPER(TEXT(TablaCosechas[[#This Row],[COSECHA]],"MMMM"))</f>
        <v>ENERO</v>
      </c>
      <c r="O885" s="9" t="str">
        <f>IF(A885="DO 29","BAP",IF(A885="RO 14","BAP",(VLOOKUP(TablaCosechas[[#This Row],[COD]],Tabla7[[CODIGO]:[CERTIFICACION]],3,0))))</f>
        <v>ASC</v>
      </c>
      <c r="P885" s="180">
        <f>+L885-E885</f>
        <v>-646.43000000000029</v>
      </c>
      <c r="Q885" s="181">
        <f>+M885-F885</f>
        <v>-1.120000000000001</v>
      </c>
      <c r="R885" s="9"/>
    </row>
    <row r="886" spans="1:18" x14ac:dyDescent="0.25">
      <c r="A886" s="9" t="s">
        <v>127</v>
      </c>
      <c r="B886" s="9">
        <f>ROW() - ROW(TablaCosechas[[#Headers],[ID]]) - 4</f>
        <v>881</v>
      </c>
      <c r="C886" s="9" t="str">
        <f>LEFT(A886,2)</f>
        <v>DO</v>
      </c>
      <c r="D886" s="182" t="s">
        <v>366</v>
      </c>
      <c r="E886" s="178">
        <v>37600</v>
      </c>
      <c r="F886" s="19">
        <v>30</v>
      </c>
      <c r="G886" s="195">
        <v>46030</v>
      </c>
      <c r="H886" s="9" t="str">
        <f>VLOOKUP(TablaCosechas[[#This Row],[COD]],DATOS!$E$3:$F$27,2,0)</f>
        <v>DORADO</v>
      </c>
      <c r="I886" s="9" t="str">
        <f>RIGHT(TablaCosechas[[#This Row],[SECTOR/PISCINA]],2)</f>
        <v>07</v>
      </c>
      <c r="J886" s="9" t="str">
        <f>VLOOKUP(TablaCosechas[[#This Row],[COD]],Tabla7[#All],4,0)</f>
        <v>JOSE CEDEÑO</v>
      </c>
      <c r="K886" s="179">
        <f>(TablaCosechas[[#This Row],[libras planta]]*454)/M886</f>
        <v>578125.04509283812</v>
      </c>
      <c r="L886" s="215">
        <v>38405.839999999997</v>
      </c>
      <c r="M886" s="19">
        <v>30.16</v>
      </c>
      <c r="N886" s="9" t="str">
        <f>UPPER(TEXT(TablaCosechas[[#This Row],[COSECHA]],"MMMM"))</f>
        <v>ENERO</v>
      </c>
      <c r="O886" s="9" t="str">
        <f>IF(A886="DO 29","BAP",IF(A886="RO 14","BAP",(VLOOKUP(TablaCosechas[[#This Row],[COD]],Tabla7[[CODIGO]:[CERTIFICACION]],3,0))))</f>
        <v>ASC</v>
      </c>
      <c r="P886" s="180">
        <f>+L886-E886</f>
        <v>805.83999999999651</v>
      </c>
      <c r="Q886" s="181">
        <f>+M886-F886</f>
        <v>0.16000000000000014</v>
      </c>
      <c r="R886" s="9"/>
    </row>
    <row r="887" spans="1:18" x14ac:dyDescent="0.25">
      <c r="A887" s="9" t="s">
        <v>126</v>
      </c>
      <c r="B887" s="9">
        <f>ROW() - ROW(TablaCosechas[[#Headers],[ID]]) - 4</f>
        <v>882</v>
      </c>
      <c r="C887" s="9" t="str">
        <f>LEFT(A887,2)</f>
        <v>DO</v>
      </c>
      <c r="D887" s="182" t="s">
        <v>366</v>
      </c>
      <c r="E887" s="178">
        <v>5200</v>
      </c>
      <c r="F887" s="19">
        <v>36</v>
      </c>
      <c r="G887" s="195">
        <v>46030</v>
      </c>
      <c r="H887" s="9" t="str">
        <f>VLOOKUP(TablaCosechas[[#This Row],[COD]],DATOS!$E$3:$F$27,2,0)</f>
        <v>DORADO</v>
      </c>
      <c r="I887" s="9" t="str">
        <f>RIGHT(TablaCosechas[[#This Row],[SECTOR/PISCINA]],2)</f>
        <v>06</v>
      </c>
      <c r="J887" s="9" t="str">
        <f>VLOOKUP(TablaCosechas[[#This Row],[COD]],Tabla7[#All],4,0)</f>
        <v>JOSE CEDEÑO</v>
      </c>
      <c r="K887" s="179">
        <f>(TablaCosechas[[#This Row],[libras planta]]*454)/M887</f>
        <v>68195.2113360324</v>
      </c>
      <c r="L887" s="215">
        <v>5565.27</v>
      </c>
      <c r="M887" s="19">
        <v>37.049999999999997</v>
      </c>
      <c r="N887" s="9" t="str">
        <f>UPPER(TEXT(TablaCosechas[[#This Row],[COSECHA]],"MMMM"))</f>
        <v>ENERO</v>
      </c>
      <c r="O887" s="9" t="str">
        <f>IF(A887="DO 29","BAP",IF(A887="RO 14","BAP",(VLOOKUP(TablaCosechas[[#This Row],[COD]],Tabla7[[CODIGO]:[CERTIFICACION]],3,0))))</f>
        <v>ASC</v>
      </c>
      <c r="P887" s="180">
        <f>+L887-E887</f>
        <v>365.27000000000044</v>
      </c>
      <c r="Q887" s="181">
        <f>+M887-F887</f>
        <v>1.0499999999999972</v>
      </c>
      <c r="R887" s="9"/>
    </row>
    <row r="888" spans="1:18" x14ac:dyDescent="0.25">
      <c r="A888" s="9" t="s">
        <v>125</v>
      </c>
      <c r="B888" s="9">
        <f>ROW() - ROW(TablaCosechas[[#Headers],[ID]]) - 4</f>
        <v>883</v>
      </c>
      <c r="C888" s="9" t="str">
        <f>LEFT(A888,2)</f>
        <v>DE</v>
      </c>
      <c r="D888" s="182" t="s">
        <v>366</v>
      </c>
      <c r="E888" s="178">
        <f>34000+5750</f>
        <v>39750</v>
      </c>
      <c r="F888" s="19">
        <v>30</v>
      </c>
      <c r="G888" s="195">
        <v>46030</v>
      </c>
      <c r="H888" s="9" t="str">
        <f>VLOOKUP(TablaCosechas[[#This Row],[COD]],DATOS!$E$3:$F$27,2,0)</f>
        <v>DELFIN</v>
      </c>
      <c r="I888" s="9" t="str">
        <f>RIGHT(TablaCosechas[[#This Row],[SECTOR/PISCINA]],2)</f>
        <v>15</v>
      </c>
      <c r="J888" s="9" t="str">
        <f>VLOOKUP(TablaCosechas[[#This Row],[COD]],Tabla7[#All],4,0)</f>
        <v>CARLOS FLORES</v>
      </c>
      <c r="K888" s="179">
        <f>(TablaCosechas[[#This Row],[libras planta]]*454)/M888</f>
        <v>618923.85924713581</v>
      </c>
      <c r="L888" s="215">
        <f>35248.92+6398.93</f>
        <v>41647.85</v>
      </c>
      <c r="M888" s="19">
        <v>30.55</v>
      </c>
      <c r="N888" s="9" t="str">
        <f>UPPER(TEXT(TablaCosechas[[#This Row],[COSECHA]],"MMMM"))</f>
        <v>ENERO</v>
      </c>
      <c r="O888" s="9" t="str">
        <f>IF(A888="DO 29","BAP",IF(A888="RO 14","BAP",(VLOOKUP(TablaCosechas[[#This Row],[COD]],Tabla7[[CODIGO]:[CERTIFICACION]],3,0))))</f>
        <v>CONVENCIONAL</v>
      </c>
      <c r="P888" s="180">
        <f>+L888-E888</f>
        <v>1897.8499999999985</v>
      </c>
      <c r="Q888" s="181">
        <f>+M888-F888</f>
        <v>0.55000000000000071</v>
      </c>
      <c r="R888" s="9"/>
    </row>
    <row r="889" spans="1:18" x14ac:dyDescent="0.25">
      <c r="A889" s="9" t="s">
        <v>196</v>
      </c>
      <c r="B889" s="9">
        <f>ROW() - ROW(TablaCosechas[[#Headers],[ID]]) - 4</f>
        <v>884</v>
      </c>
      <c r="C889" s="9" t="str">
        <f>LEFT(A889,2)</f>
        <v>DE</v>
      </c>
      <c r="D889" s="182" t="s">
        <v>367</v>
      </c>
      <c r="E889" s="178">
        <v>5850</v>
      </c>
      <c r="F889" s="19">
        <v>23</v>
      </c>
      <c r="G889" s="195">
        <v>46030</v>
      </c>
      <c r="H889" s="9" t="str">
        <f>VLOOKUP(TablaCosechas[[#This Row],[COD]],DATOS!$E$3:$F$27,2,0)</f>
        <v>DELFIN</v>
      </c>
      <c r="I889" s="9" t="str">
        <f>RIGHT(TablaCosechas[[#This Row],[SECTOR/PISCINA]],2)</f>
        <v>03</v>
      </c>
      <c r="J889" s="9" t="str">
        <f>VLOOKUP(TablaCosechas[[#This Row],[COD]],Tabla7[#All],4,0)</f>
        <v>CARLOS FLORES</v>
      </c>
      <c r="K889" s="179">
        <f>(TablaCosechas[[#This Row],[libras planta]]*454)/M889</f>
        <v>115306.96712802768</v>
      </c>
      <c r="L889" s="215">
        <v>5872.02</v>
      </c>
      <c r="M889" s="19">
        <v>23.12</v>
      </c>
      <c r="N889" s="9" t="str">
        <f>UPPER(TEXT(TablaCosechas[[#This Row],[COSECHA]],"MMMM"))</f>
        <v>ENERO</v>
      </c>
      <c r="O889" s="9" t="str">
        <f>IF(A889="DO 29","BAP",IF(A889="RO 14","BAP",(VLOOKUP(TablaCosechas[[#This Row],[COD]],Tabla7[[CODIGO]:[CERTIFICACION]],3,0))))</f>
        <v>CONVENCIONAL</v>
      </c>
      <c r="P889" s="180">
        <f>+L889-E889</f>
        <v>22.020000000000437</v>
      </c>
      <c r="Q889" s="181">
        <f>+M889-F889</f>
        <v>0.12000000000000099</v>
      </c>
      <c r="R889" s="9"/>
    </row>
    <row r="890" spans="1:18" x14ac:dyDescent="0.25">
      <c r="A890" s="9" t="s">
        <v>11</v>
      </c>
      <c r="B890" s="9">
        <f>ROW() - ROW(TablaCosechas[[#Headers],[ID]]) - 4</f>
        <v>885</v>
      </c>
      <c r="C890" s="9" t="str">
        <f>LEFT(A890,2)</f>
        <v>CH</v>
      </c>
      <c r="D890" s="182" t="s">
        <v>367</v>
      </c>
      <c r="E890" s="178">
        <v>5200</v>
      </c>
      <c r="F890" s="19">
        <v>30</v>
      </c>
      <c r="G890" s="195">
        <v>46030</v>
      </c>
      <c r="H890" s="9" t="str">
        <f>VLOOKUP(TablaCosechas[[#This Row],[COD]],DATOS!$E$3:$F$27,2,0)</f>
        <v>CHERNA</v>
      </c>
      <c r="I890" s="9" t="str">
        <f>RIGHT(TablaCosechas[[#This Row],[SECTOR/PISCINA]],2)</f>
        <v>05</v>
      </c>
      <c r="J890" s="9" t="str">
        <f>VLOOKUP(TablaCosechas[[#This Row],[COD]],Tabla7[#All],4,0)</f>
        <v>SANTIAGO OBRIEN</v>
      </c>
      <c r="K890" s="179">
        <f>(TablaCosechas[[#This Row],[libras planta]]*454)/M890</f>
        <v>93988.184790874511</v>
      </c>
      <c r="L890" s="215">
        <v>5444.69</v>
      </c>
      <c r="M890" s="19">
        <v>26.3</v>
      </c>
      <c r="N890" s="9" t="str">
        <f>UPPER(TEXT(TablaCosechas[[#This Row],[COSECHA]],"MMMM"))</f>
        <v>ENERO</v>
      </c>
      <c r="O890" s="9" t="str">
        <f>IF(A890="DO 29","BAP",IF(A890="RO 14","BAP",(VLOOKUP(TablaCosechas[[#This Row],[COD]],Tabla7[[CODIGO]:[CERTIFICACION]],3,0))))</f>
        <v>ASC</v>
      </c>
      <c r="P890" s="180">
        <f>+L890-E890</f>
        <v>244.6899999999996</v>
      </c>
      <c r="Q890" s="181">
        <f>+M890-F890</f>
        <v>-3.6999999999999993</v>
      </c>
      <c r="R890" s="9"/>
    </row>
    <row r="891" spans="1:18" x14ac:dyDescent="0.25">
      <c r="A891" s="9" t="s">
        <v>181</v>
      </c>
      <c r="B891" s="9">
        <f>ROW() - ROW(TablaCosechas[[#Headers],[ID]]) - 4</f>
        <v>886</v>
      </c>
      <c r="C891" s="9" t="str">
        <f>LEFT(A891,2)</f>
        <v>TA</v>
      </c>
      <c r="D891" s="182" t="s">
        <v>367</v>
      </c>
      <c r="E891" s="178">
        <v>12000</v>
      </c>
      <c r="F891" s="19">
        <v>19.8</v>
      </c>
      <c r="G891" s="195">
        <v>46031</v>
      </c>
      <c r="H891" s="9" t="str">
        <f>VLOOKUP(TablaCosechas[[#This Row],[COD]],DATOS!$E$3:$F$27,2,0)</f>
        <v>TAMBULERO</v>
      </c>
      <c r="I891" s="9" t="str">
        <f>RIGHT(TablaCosechas[[#This Row],[SECTOR/PISCINA]],2)</f>
        <v>10</v>
      </c>
      <c r="J891" s="9" t="str">
        <f>VLOOKUP(TablaCosechas[[#This Row],[COD]],Tabla7[#All],4,0)</f>
        <v>ALFONSO GRUNAUER</v>
      </c>
      <c r="K891" s="179">
        <f>(TablaCosechas[[#This Row],[libras planta]]*454)/M891</f>
        <v>290222.1507430998</v>
      </c>
      <c r="L891" s="215">
        <v>12043.58</v>
      </c>
      <c r="M891" s="19">
        <v>18.84</v>
      </c>
      <c r="N891" s="9" t="str">
        <f>UPPER(TEXT(TablaCosechas[[#This Row],[COSECHA]],"MMMM"))</f>
        <v>ENERO</v>
      </c>
      <c r="O891" s="9" t="str">
        <f>IF(A891="DO 29","BAP",IF(A891="RO 14","BAP",(VLOOKUP(TablaCosechas[[#This Row],[COD]],Tabla7[[CODIGO]:[CERTIFICACION]],3,0))))</f>
        <v>CONVENCIONAL</v>
      </c>
      <c r="P891" s="180">
        <f>+L891-E891</f>
        <v>43.579999999999927</v>
      </c>
      <c r="Q891" s="181">
        <f>+M891-F891</f>
        <v>-0.96000000000000085</v>
      </c>
      <c r="R891" s="9"/>
    </row>
    <row r="892" spans="1:18" x14ac:dyDescent="0.25">
      <c r="A892" s="9" t="s">
        <v>131</v>
      </c>
      <c r="B892" s="9">
        <f>ROW() - ROW(TablaCosechas[[#Headers],[ID]]) - 4</f>
        <v>887</v>
      </c>
      <c r="C892" s="9" t="str">
        <f>LEFT(A892,2)</f>
        <v>RO</v>
      </c>
      <c r="D892" s="182" t="s">
        <v>366</v>
      </c>
      <c r="E892" s="178">
        <v>22800</v>
      </c>
      <c r="F892" s="19">
        <v>35</v>
      </c>
      <c r="G892" s="195">
        <v>46031</v>
      </c>
      <c r="H892" s="9" t="str">
        <f>VLOOKUP(TablaCosechas[[#This Row],[COD]],DATOS!$E$3:$F$27,2,0)</f>
        <v>ROBALO</v>
      </c>
      <c r="I892" s="9" t="str">
        <f>RIGHT(TablaCosechas[[#This Row],[SECTOR/PISCINA]],2)</f>
        <v>13</v>
      </c>
      <c r="J892" s="9" t="str">
        <f>VLOOKUP(TablaCosechas[[#This Row],[COD]],Tabla7[#All],4,0)</f>
        <v>VICTOR QUINTANA</v>
      </c>
      <c r="K892" s="179">
        <f>(TablaCosechas[[#This Row],[libras planta]]*454)/M892</f>
        <v>335321.03703703708</v>
      </c>
      <c r="L892" s="215">
        <v>25725.18</v>
      </c>
      <c r="M892" s="19">
        <v>34.83</v>
      </c>
      <c r="N892" s="9" t="str">
        <f>UPPER(TEXT(TablaCosechas[[#This Row],[COSECHA]],"MMMM"))</f>
        <v>ENERO</v>
      </c>
      <c r="O892" s="9" t="str">
        <f>IF(A892="DO 29","BAP",IF(A892="RO 14","BAP",(VLOOKUP(TablaCosechas[[#This Row],[COD]],Tabla7[[CODIGO]:[CERTIFICACION]],3,0))))</f>
        <v>ASC</v>
      </c>
      <c r="P892" s="180">
        <f>+L892-E892</f>
        <v>2925.1800000000003</v>
      </c>
      <c r="Q892" s="181">
        <f>+M892-F892</f>
        <v>-0.17000000000000171</v>
      </c>
      <c r="R892" s="9"/>
    </row>
    <row r="893" spans="1:18" x14ac:dyDescent="0.25">
      <c r="A893" s="9" t="s">
        <v>140</v>
      </c>
      <c r="B893" s="9">
        <f>ROW() - ROW(TablaCosechas[[#Headers],[ID]]) - 4</f>
        <v>888</v>
      </c>
      <c r="C893" s="9" t="str">
        <f>LEFT(A893,2)</f>
        <v>GT</v>
      </c>
      <c r="D893" s="182" t="s">
        <v>367</v>
      </c>
      <c r="E893" s="178">
        <v>8000</v>
      </c>
      <c r="F893" s="19">
        <v>28</v>
      </c>
      <c r="G893" s="195">
        <v>46031</v>
      </c>
      <c r="H893" s="9" t="str">
        <f>VLOOKUP(TablaCosechas[[#This Row],[COD]],DATOS!$E$3:$F$27,2,0)</f>
        <v>GUATO</v>
      </c>
      <c r="I893" s="9" t="str">
        <f>RIGHT(TablaCosechas[[#This Row],[SECTOR/PISCINA]],2)</f>
        <v>18</v>
      </c>
      <c r="J893" s="9" t="str">
        <f>VLOOKUP(TablaCosechas[[#This Row],[COD]],Tabla7[#All],4,0)</f>
        <v>JULIO SANTOS</v>
      </c>
      <c r="K893" s="179">
        <f>(TablaCosechas[[#This Row],[libras planta]]*454)/M893</f>
        <v>143870.01626016261</v>
      </c>
      <c r="L893" s="215">
        <v>8575.16</v>
      </c>
      <c r="M893" s="19">
        <v>27.06</v>
      </c>
      <c r="N893" s="9" t="str">
        <f>UPPER(TEXT(TablaCosechas[[#This Row],[COSECHA]],"MMMM"))</f>
        <v>ENERO</v>
      </c>
      <c r="O893" s="9" t="str">
        <f>IF(A893="DO 29","BAP",IF(A893="RO 14","BAP",(VLOOKUP(TablaCosechas[[#This Row],[COD]],Tabla7[[CODIGO]:[CERTIFICACION]],3,0))))</f>
        <v>CONVENCIONAL</v>
      </c>
      <c r="P893" s="180">
        <f>+L893-E893</f>
        <v>575.15999999999985</v>
      </c>
      <c r="Q893" s="181">
        <f>+M893-F893</f>
        <v>-0.94000000000000128</v>
      </c>
      <c r="R893" s="9"/>
    </row>
    <row r="894" spans="1:18" x14ac:dyDescent="0.25">
      <c r="A894" s="9" t="s">
        <v>216</v>
      </c>
      <c r="B894" s="9">
        <f>ROW() - ROW(TablaCosechas[[#Headers],[ID]]) - 4</f>
        <v>889</v>
      </c>
      <c r="C894" s="9" t="str">
        <f>LEFT(A894,2)</f>
        <v>DO</v>
      </c>
      <c r="D894" s="182" t="s">
        <v>367</v>
      </c>
      <c r="E894" s="178">
        <v>14000</v>
      </c>
      <c r="F894" s="19">
        <v>23</v>
      </c>
      <c r="G894" s="195">
        <v>46031</v>
      </c>
      <c r="H894" s="9" t="str">
        <f>VLOOKUP(TablaCosechas[[#This Row],[COD]],DATOS!$E$3:$F$27,2,0)</f>
        <v>DORADO</v>
      </c>
      <c r="I894" s="9" t="str">
        <f>RIGHT(TablaCosechas[[#This Row],[SECTOR/PISCINA]],2)</f>
        <v>21</v>
      </c>
      <c r="J894" s="9" t="str">
        <f>VLOOKUP(TablaCosechas[[#This Row],[COD]],Tabla7[#All],4,0)</f>
        <v>JOSE CEDEÑO</v>
      </c>
      <c r="K894" s="179">
        <f>(TablaCosechas[[#This Row],[libras planta]]*454)/M894</f>
        <v>247368.71179730797</v>
      </c>
      <c r="L894" s="215">
        <v>13763.29</v>
      </c>
      <c r="M894" s="19">
        <v>25.26</v>
      </c>
      <c r="N894" s="9" t="str">
        <f>UPPER(TEXT(TablaCosechas[[#This Row],[COSECHA]],"MMMM"))</f>
        <v>ENERO</v>
      </c>
      <c r="O894" s="9" t="str">
        <f>IF(A894="DO 29","BAP",IF(A894="RO 14","BAP",(VLOOKUP(TablaCosechas[[#This Row],[COD]],Tabla7[[CODIGO]:[CERTIFICACION]],3,0))))</f>
        <v>ASC</v>
      </c>
      <c r="P894" s="180">
        <f>+L894-E894</f>
        <v>-236.70999999999913</v>
      </c>
      <c r="Q894" s="181">
        <f>+M894-F894</f>
        <v>2.2600000000000016</v>
      </c>
      <c r="R894" s="9"/>
    </row>
    <row r="895" spans="1:18" x14ac:dyDescent="0.25">
      <c r="A895" s="9" t="s">
        <v>184</v>
      </c>
      <c r="B895" s="9">
        <f>ROW() - ROW(TablaCosechas[[#Headers],[ID]]) - 4</f>
        <v>890</v>
      </c>
      <c r="C895" s="9" t="str">
        <f>LEFT(A895,2)</f>
        <v>DO</v>
      </c>
      <c r="D895" s="182" t="s">
        <v>367</v>
      </c>
      <c r="E895" s="178">
        <v>20000</v>
      </c>
      <c r="F895" s="19">
        <v>24</v>
      </c>
      <c r="G895" s="195">
        <v>46031</v>
      </c>
      <c r="H895" s="9" t="str">
        <f>VLOOKUP(TablaCosechas[[#This Row],[COD]],DATOS!$E$3:$F$27,2,0)</f>
        <v>DORADO</v>
      </c>
      <c r="I895" s="9" t="str">
        <f>RIGHT(TablaCosechas[[#This Row],[SECTOR/PISCINA]],2)</f>
        <v>19</v>
      </c>
      <c r="J895" s="9" t="str">
        <f>VLOOKUP(TablaCosechas[[#This Row],[COD]],Tabla7[#All],4,0)</f>
        <v>JOSE CEDEÑO</v>
      </c>
      <c r="K895" s="179">
        <f>(TablaCosechas[[#This Row],[libras planta]]*454)/M895</f>
        <v>371131.25953565509</v>
      </c>
      <c r="L895" s="215">
        <v>19717.37</v>
      </c>
      <c r="M895" s="19">
        <v>24.12</v>
      </c>
      <c r="N895" s="9" t="str">
        <f>UPPER(TEXT(TablaCosechas[[#This Row],[COSECHA]],"MMMM"))</f>
        <v>ENERO</v>
      </c>
      <c r="O895" s="9" t="str">
        <f>IF(A895="DO 29","BAP",IF(A895="RO 14","BAP",(VLOOKUP(TablaCosechas[[#This Row],[COD]],Tabla7[[CODIGO]:[CERTIFICACION]],3,0))))</f>
        <v>ASC</v>
      </c>
      <c r="P895" s="180">
        <f>+L895-E895</f>
        <v>-282.63000000000102</v>
      </c>
      <c r="Q895" s="181">
        <f>+M895-F895</f>
        <v>0.12000000000000099</v>
      </c>
      <c r="R895" s="9"/>
    </row>
    <row r="896" spans="1:18" x14ac:dyDescent="0.25">
      <c r="A896" s="9" t="s">
        <v>130</v>
      </c>
      <c r="B896" s="9">
        <f>ROW() - ROW(TablaCosechas[[#Headers],[ID]]) - 4</f>
        <v>891</v>
      </c>
      <c r="C896" s="9" t="str">
        <f>LEFT(A896,2)</f>
        <v>DE</v>
      </c>
      <c r="D896" s="182" t="s">
        <v>366</v>
      </c>
      <c r="E896" s="178">
        <f>64600+2800</f>
        <v>67400</v>
      </c>
      <c r="F896" s="19">
        <v>37</v>
      </c>
      <c r="G896" s="195">
        <v>46031</v>
      </c>
      <c r="H896" s="9" t="str">
        <f>VLOOKUP(TablaCosechas[[#This Row],[COD]],DATOS!$E$3:$F$27,2,0)</f>
        <v>DELFIN</v>
      </c>
      <c r="I896" s="9" t="str">
        <f>RIGHT(TablaCosechas[[#This Row],[SECTOR/PISCINA]],2)</f>
        <v>27</v>
      </c>
      <c r="J896" s="9" t="str">
        <f>VLOOKUP(TablaCosechas[[#This Row],[COD]],Tabla7[#All],4,0)</f>
        <v>CARLOS FLORES</v>
      </c>
      <c r="K896" s="179">
        <f>(TablaCosechas[[#This Row],[libras planta]]*454)/M896</f>
        <v>885465.66196418891</v>
      </c>
      <c r="L896" s="215">
        <f>68751.38+3139.07</f>
        <v>71890.450000000012</v>
      </c>
      <c r="M896" s="19">
        <v>36.86</v>
      </c>
      <c r="N896" s="9" t="str">
        <f>UPPER(TEXT(TablaCosechas[[#This Row],[COSECHA]],"MMMM"))</f>
        <v>ENERO</v>
      </c>
      <c r="O896" s="9" t="str">
        <f>IF(A896="DO 29","BAP",IF(A896="RO 14","BAP",(VLOOKUP(TablaCosechas[[#This Row],[COD]],Tabla7[[CODIGO]:[CERTIFICACION]],3,0))))</f>
        <v>CONVENCIONAL</v>
      </c>
      <c r="P896" s="180">
        <f>+L896-E896</f>
        <v>4490.4500000000116</v>
      </c>
      <c r="Q896" s="181">
        <f>+M896-F896</f>
        <v>-0.14000000000000057</v>
      </c>
      <c r="R896" s="9"/>
    </row>
    <row r="897" spans="1:18" x14ac:dyDescent="0.25">
      <c r="A897" s="9" t="s">
        <v>193</v>
      </c>
      <c r="B897" s="9">
        <f>ROW() - ROW(TablaCosechas[[#Headers],[ID]]) - 4</f>
        <v>892</v>
      </c>
      <c r="C897" s="9" t="str">
        <f>LEFT(A897,2)</f>
        <v>DE</v>
      </c>
      <c r="D897" s="182" t="s">
        <v>367</v>
      </c>
      <c r="E897" s="178">
        <v>7000</v>
      </c>
      <c r="F897" s="19">
        <v>23</v>
      </c>
      <c r="G897" s="195">
        <v>46031</v>
      </c>
      <c r="H897" s="9" t="str">
        <f>VLOOKUP(TablaCosechas[[#This Row],[COD]],DATOS!$E$3:$F$27,2,0)</f>
        <v>DELFIN</v>
      </c>
      <c r="I897" s="9" t="str">
        <f>RIGHT(TablaCosechas[[#This Row],[SECTOR/PISCINA]],2)</f>
        <v>21</v>
      </c>
      <c r="J897" s="9" t="str">
        <f>VLOOKUP(TablaCosechas[[#This Row],[COD]],Tabla7[#All],4,0)</f>
        <v>CARLOS FLORES</v>
      </c>
      <c r="K897" s="179">
        <f>(TablaCosechas[[#This Row],[libras planta]]*454)/M897</f>
        <v>139351.17457475382</v>
      </c>
      <c r="L897" s="215">
        <v>6857.06</v>
      </c>
      <c r="M897" s="19">
        <v>22.34</v>
      </c>
      <c r="N897" s="9" t="str">
        <f>UPPER(TEXT(TablaCosechas[[#This Row],[COSECHA]],"MMMM"))</f>
        <v>ENERO</v>
      </c>
      <c r="O897" s="9" t="str">
        <f>IF(A897="DO 29","BAP",IF(A897="RO 14","BAP",(VLOOKUP(TablaCosechas[[#This Row],[COD]],Tabla7[[CODIGO]:[CERTIFICACION]],3,0))))</f>
        <v>CONVENCIONAL</v>
      </c>
      <c r="P897" s="180">
        <f>+L897-E897</f>
        <v>-142.9399999999996</v>
      </c>
      <c r="Q897" s="181">
        <f>+M897-F897</f>
        <v>-0.66000000000000014</v>
      </c>
      <c r="R897" s="9"/>
    </row>
    <row r="898" spans="1:18" x14ac:dyDescent="0.25">
      <c r="A898" s="9" t="s">
        <v>27</v>
      </c>
      <c r="B898" s="9">
        <f>ROW() - ROW(TablaCosechas[[#Headers],[ID]]) - 4</f>
        <v>893</v>
      </c>
      <c r="C898" s="9" t="str">
        <f>LEFT(A898,2)</f>
        <v>CH</v>
      </c>
      <c r="D898" s="182" t="s">
        <v>367</v>
      </c>
      <c r="E898" s="178">
        <v>6200</v>
      </c>
      <c r="F898" s="19">
        <v>33</v>
      </c>
      <c r="G898" s="195">
        <v>46031</v>
      </c>
      <c r="H898" s="9" t="str">
        <f>VLOOKUP(TablaCosechas[[#This Row],[COD]],DATOS!$E$3:$F$27,2,0)</f>
        <v>CHERNA</v>
      </c>
      <c r="I898" s="9" t="str">
        <f>RIGHT(TablaCosechas[[#This Row],[SECTOR/PISCINA]],2)</f>
        <v>24</v>
      </c>
      <c r="J898" s="9" t="str">
        <f>VLOOKUP(TablaCosechas[[#This Row],[COD]],Tabla7[#All],4,0)</f>
        <v>SANTIAGO OBRIEN</v>
      </c>
      <c r="K898" s="179">
        <f>(TablaCosechas[[#This Row],[libras planta]]*454)/M898</f>
        <v>90951.691943127968</v>
      </c>
      <c r="L898" s="215">
        <v>5917.87</v>
      </c>
      <c r="M898" s="19">
        <v>29.54</v>
      </c>
      <c r="N898" s="9" t="str">
        <f>UPPER(TEXT(TablaCosechas[[#This Row],[COSECHA]],"MMMM"))</f>
        <v>ENERO</v>
      </c>
      <c r="O898" s="9" t="str">
        <f>IF(A898="DO 29","BAP",IF(A898="RO 14","BAP",(VLOOKUP(TablaCosechas[[#This Row],[COD]],Tabla7[[CODIGO]:[CERTIFICACION]],3,0))))</f>
        <v>ASC</v>
      </c>
      <c r="P898" s="180">
        <f>+L898-E898</f>
        <v>-282.13000000000011</v>
      </c>
      <c r="Q898" s="181">
        <f>+M898-F898</f>
        <v>-3.4600000000000009</v>
      </c>
      <c r="R898" s="9"/>
    </row>
    <row r="899" spans="1:18" x14ac:dyDescent="0.25">
      <c r="A899" s="9" t="s">
        <v>237</v>
      </c>
      <c r="B899" s="9">
        <f>ROW() - ROW(TablaCosechas[[#Headers],[ID]]) - 4</f>
        <v>894</v>
      </c>
      <c r="C899" s="9" t="str">
        <f>LEFT(A899,2)</f>
        <v>TI</v>
      </c>
      <c r="D899" s="182" t="s">
        <v>367</v>
      </c>
      <c r="E899" s="178">
        <v>6000</v>
      </c>
      <c r="F899" s="19">
        <v>19</v>
      </c>
      <c r="G899" s="195">
        <v>46032</v>
      </c>
      <c r="H899" s="9" t="str">
        <f>VLOOKUP(TablaCosechas[[#This Row],[COD]],DATOS!$E$3:$F$27,2,0)</f>
        <v>TIBURON</v>
      </c>
      <c r="I899" s="9" t="str">
        <f>RIGHT(TablaCosechas[[#This Row],[SECTOR/PISCINA]],2)</f>
        <v>08</v>
      </c>
      <c r="J899" s="9" t="str">
        <f>VLOOKUP(TablaCosechas[[#This Row],[COD]],Tabla7[#All],4,0)</f>
        <v>ALFONSO GRUNAUER</v>
      </c>
      <c r="K899" s="179">
        <f>(TablaCosechas[[#This Row],[libras planta]]*454)/M899</f>
        <v>152130.35005452562</v>
      </c>
      <c r="L899" s="215">
        <v>6145.53</v>
      </c>
      <c r="M899" s="19">
        <v>18.34</v>
      </c>
      <c r="N899" s="9" t="str">
        <f>UPPER(TEXT(TablaCosechas[[#This Row],[COSECHA]],"MMMM"))</f>
        <v>ENERO</v>
      </c>
      <c r="O899" s="9" t="str">
        <f>IF(A899="DO 29","BAP",IF(A899="RO 14","BAP",(VLOOKUP(TablaCosechas[[#This Row],[COD]],Tabla7[[CODIGO]:[CERTIFICACION]],3,0))))</f>
        <v>ASC</v>
      </c>
      <c r="P899" s="180">
        <f>+L899-E899</f>
        <v>145.52999999999975</v>
      </c>
      <c r="Q899" s="181">
        <f>+M899-F899</f>
        <v>-0.66000000000000014</v>
      </c>
      <c r="R899" s="9"/>
    </row>
    <row r="900" spans="1:18" x14ac:dyDescent="0.25">
      <c r="A900" s="9" t="s">
        <v>188</v>
      </c>
      <c r="B900" s="9">
        <f>ROW() - ROW(TablaCosechas[[#Headers],[ID]]) - 4</f>
        <v>895</v>
      </c>
      <c r="C900" s="9" t="str">
        <f>LEFT(A900,2)</f>
        <v>TI</v>
      </c>
      <c r="D900" s="182" t="s">
        <v>367</v>
      </c>
      <c r="E900" s="178">
        <v>10500</v>
      </c>
      <c r="F900" s="19">
        <v>29</v>
      </c>
      <c r="G900" s="195">
        <v>46032</v>
      </c>
      <c r="H900" s="9" t="str">
        <f>VLOOKUP(TablaCosechas[[#This Row],[COD]],DATOS!$E$3:$F$27,2,0)</f>
        <v>TIBURON</v>
      </c>
      <c r="I900" s="9" t="str">
        <f>RIGHT(TablaCosechas[[#This Row],[SECTOR/PISCINA]],2)</f>
        <v>03</v>
      </c>
      <c r="J900" s="9" t="str">
        <f>VLOOKUP(TablaCosechas[[#This Row],[COD]],Tabla7[#All],4,0)</f>
        <v>ALFONSO GRUNAUER</v>
      </c>
      <c r="K900" s="179">
        <f>(TablaCosechas[[#This Row],[libras planta]]*454)/M900</f>
        <v>154491.21560846563</v>
      </c>
      <c r="L900" s="215">
        <v>10290.34</v>
      </c>
      <c r="M900" s="19">
        <v>30.24</v>
      </c>
      <c r="N900" s="9" t="str">
        <f>UPPER(TEXT(TablaCosechas[[#This Row],[COSECHA]],"MMMM"))</f>
        <v>ENERO</v>
      </c>
      <c r="O900" s="9" t="str">
        <f>IF(A900="DO 29","BAP",IF(A900="RO 14","BAP",(VLOOKUP(TablaCosechas[[#This Row],[COD]],Tabla7[[CODIGO]:[CERTIFICACION]],3,0))))</f>
        <v>ASC</v>
      </c>
      <c r="P900" s="180">
        <f>+L900-E900</f>
        <v>-209.65999999999985</v>
      </c>
      <c r="Q900" s="181">
        <f>+M900-F900</f>
        <v>1.2399999999999984</v>
      </c>
      <c r="R900" s="9"/>
    </row>
    <row r="901" spans="1:18" x14ac:dyDescent="0.25">
      <c r="A901" s="9" t="s">
        <v>135</v>
      </c>
      <c r="B901" s="9">
        <f>ROW() - ROW(TablaCosechas[[#Headers],[ID]]) - 4</f>
        <v>896</v>
      </c>
      <c r="C901" s="9" t="str">
        <f>LEFT(A901,2)</f>
        <v>RO</v>
      </c>
      <c r="D901" s="182" t="s">
        <v>366</v>
      </c>
      <c r="E901" s="178">
        <v>25350</v>
      </c>
      <c r="F901" s="19">
        <v>37</v>
      </c>
      <c r="G901" s="195">
        <v>46032</v>
      </c>
      <c r="H901" s="9" t="str">
        <f>VLOOKUP(TablaCosechas[[#This Row],[COD]],DATOS!$E$3:$F$27,2,0)</f>
        <v>ROBALO</v>
      </c>
      <c r="I901" s="9" t="str">
        <f>RIGHT(TablaCosechas[[#This Row],[SECTOR/PISCINA]],2)</f>
        <v>12</v>
      </c>
      <c r="J901" s="9" t="str">
        <f>VLOOKUP(TablaCosechas[[#This Row],[COD]],Tabla7[#All],4,0)</f>
        <v>VICTOR QUINTANA</v>
      </c>
      <c r="K901" s="179">
        <f>(TablaCosechas[[#This Row],[libras planta]]*454)/M901</f>
        <v>358522.72936552501</v>
      </c>
      <c r="L901" s="215">
        <v>28129.03</v>
      </c>
      <c r="M901" s="19">
        <v>35.619999999999997</v>
      </c>
      <c r="N901" s="9" t="str">
        <f>UPPER(TEXT(TablaCosechas[[#This Row],[COSECHA]],"MMMM"))</f>
        <v>ENERO</v>
      </c>
      <c r="O901" s="9" t="str">
        <f>IF(A901="DO 29","BAP",IF(A901="RO 14","BAP",(VLOOKUP(TablaCosechas[[#This Row],[COD]],Tabla7[[CODIGO]:[CERTIFICACION]],3,0))))</f>
        <v>ASC</v>
      </c>
      <c r="P901" s="180">
        <f>+L901-E901</f>
        <v>2779.0299999999988</v>
      </c>
      <c r="Q901" s="181">
        <f>+M901-F901</f>
        <v>-1.3800000000000026</v>
      </c>
      <c r="R901" s="9"/>
    </row>
    <row r="902" spans="1:18" x14ac:dyDescent="0.25">
      <c r="A902" s="9" t="s">
        <v>134</v>
      </c>
      <c r="B902" s="9">
        <f>ROW() - ROW(TablaCosechas[[#Headers],[ID]]) - 4</f>
        <v>897</v>
      </c>
      <c r="C902" s="9" t="str">
        <f>LEFT(A902,2)</f>
        <v>GT</v>
      </c>
      <c r="D902" s="182" t="s">
        <v>366</v>
      </c>
      <c r="E902" s="178">
        <v>9200</v>
      </c>
      <c r="F902" s="19">
        <v>30</v>
      </c>
      <c r="G902" s="195">
        <v>46032</v>
      </c>
      <c r="H902" s="9" t="str">
        <f>VLOOKUP(TablaCosechas[[#This Row],[COD]],DATOS!$E$3:$F$27,2,0)</f>
        <v>GUATO</v>
      </c>
      <c r="I902" s="9" t="str">
        <f>RIGHT(TablaCosechas[[#This Row],[SECTOR/PISCINA]],2)</f>
        <v>21</v>
      </c>
      <c r="J902" s="9" t="str">
        <f>VLOOKUP(TablaCosechas[[#This Row],[COD]],Tabla7[#All],4,0)</f>
        <v>JULIO SANTOS</v>
      </c>
      <c r="K902" s="179">
        <f>(TablaCosechas[[#This Row],[libras planta]]*454)/M902</f>
        <v>135917.86265223272</v>
      </c>
      <c r="L902" s="215">
        <v>8849.6299999999992</v>
      </c>
      <c r="M902" s="19">
        <v>29.56</v>
      </c>
      <c r="N902" s="9" t="str">
        <f>UPPER(TEXT(TablaCosechas[[#This Row],[COSECHA]],"MMMM"))</f>
        <v>ENERO</v>
      </c>
      <c r="O902" s="9" t="str">
        <f>IF(A902="DO 29","BAP",IF(A902="RO 14","BAP",(VLOOKUP(TablaCosechas[[#This Row],[COD]],Tabla7[[CODIGO]:[CERTIFICACION]],3,0))))</f>
        <v>CONVENCIONAL</v>
      </c>
      <c r="P902" s="180">
        <f>+L902-E902</f>
        <v>-350.3700000000008</v>
      </c>
      <c r="Q902" s="181">
        <f>+M902-F902</f>
        <v>-0.44000000000000128</v>
      </c>
      <c r="R902" s="9"/>
    </row>
    <row r="903" spans="1:18" x14ac:dyDescent="0.25">
      <c r="A903" s="9" t="s">
        <v>152</v>
      </c>
      <c r="B903" s="9">
        <f>ROW() - ROW(TablaCosechas[[#Headers],[ID]]) - 4</f>
        <v>898</v>
      </c>
      <c r="C903" s="9" t="str">
        <f>LEFT(A903,2)</f>
        <v>DO</v>
      </c>
      <c r="D903" s="182" t="s">
        <v>367</v>
      </c>
      <c r="E903" s="178">
        <v>200</v>
      </c>
      <c r="F903" s="19">
        <v>45</v>
      </c>
      <c r="G903" s="195">
        <v>46032</v>
      </c>
      <c r="H903" s="9" t="str">
        <f>VLOOKUP(TablaCosechas[[#This Row],[COD]],DATOS!$E$3:$F$27,2,0)</f>
        <v>DORADO</v>
      </c>
      <c r="I903" s="9" t="str">
        <f>RIGHT(TablaCosechas[[#This Row],[SECTOR/PISCINA]],2)</f>
        <v>30</v>
      </c>
      <c r="J903" s="9" t="str">
        <f>VLOOKUP(TablaCosechas[[#This Row],[COD]],Tabla7[#All],4,0)</f>
        <v>JOSE CEDEÑO</v>
      </c>
      <c r="K903" s="179">
        <f>(TablaCosechas[[#This Row],[libras planta]]*454)/M903</f>
        <v>847.01492537313425</v>
      </c>
      <c r="L903" s="215">
        <v>85</v>
      </c>
      <c r="M903" s="19">
        <v>45.56</v>
      </c>
      <c r="N903" s="9" t="str">
        <f>UPPER(TEXT(TablaCosechas[[#This Row],[COSECHA]],"MMMM"))</f>
        <v>ENERO</v>
      </c>
      <c r="O903" s="9" t="str">
        <f>IF(A903="DO 29","BAP",IF(A903="RO 14","BAP",(VLOOKUP(TablaCosechas[[#This Row],[COD]],Tabla7[[CODIGO]:[CERTIFICACION]],3,0))))</f>
        <v>ASC</v>
      </c>
      <c r="P903" s="180">
        <f>+L903-E903</f>
        <v>-115</v>
      </c>
      <c r="Q903" s="181">
        <f>+M903-F903</f>
        <v>0.56000000000000227</v>
      </c>
      <c r="R903" s="9"/>
    </row>
    <row r="904" spans="1:18" x14ac:dyDescent="0.25">
      <c r="A904" s="9" t="s">
        <v>132</v>
      </c>
      <c r="B904" s="9">
        <f>ROW() - ROW(TablaCosechas[[#Headers],[ID]]) - 4</f>
        <v>899</v>
      </c>
      <c r="C904" s="9" t="str">
        <f>LEFT(A904,2)</f>
        <v>DO</v>
      </c>
      <c r="D904" s="182" t="s">
        <v>366</v>
      </c>
      <c r="E904" s="178">
        <v>40000</v>
      </c>
      <c r="F904" s="19">
        <v>37</v>
      </c>
      <c r="G904" s="195">
        <v>46032</v>
      </c>
      <c r="H904" s="9" t="str">
        <f>VLOOKUP(TablaCosechas[[#This Row],[COD]],DATOS!$E$3:$F$27,2,0)</f>
        <v>DORADO</v>
      </c>
      <c r="I904" s="9" t="str">
        <f>RIGHT(TablaCosechas[[#This Row],[SECTOR/PISCINA]],2)</f>
        <v>28</v>
      </c>
      <c r="J904" s="9" t="str">
        <f>VLOOKUP(TablaCosechas[[#This Row],[COD]],Tabla7[#All],4,0)</f>
        <v>JOSE CEDEÑO</v>
      </c>
      <c r="K904" s="179">
        <f>(TablaCosechas[[#This Row],[libras planta]]*454)/M904</f>
        <v>528668.01063234475</v>
      </c>
      <c r="L904" s="215">
        <v>41618.050000000003</v>
      </c>
      <c r="M904" s="19">
        <v>35.74</v>
      </c>
      <c r="N904" s="9" t="str">
        <f>UPPER(TEXT(TablaCosechas[[#This Row],[COSECHA]],"MMMM"))</f>
        <v>ENERO</v>
      </c>
      <c r="O904" s="9" t="str">
        <f>IF(A904="DO 29","BAP",IF(A904="RO 14","BAP",(VLOOKUP(TablaCosechas[[#This Row],[COD]],Tabla7[[CODIGO]:[CERTIFICACION]],3,0))))</f>
        <v>ASC</v>
      </c>
      <c r="P904" s="180">
        <f>+L904-E904</f>
        <v>1618.0500000000029</v>
      </c>
      <c r="Q904" s="181">
        <f>+M904-F904</f>
        <v>-1.259999999999998</v>
      </c>
      <c r="R904" s="9"/>
    </row>
    <row r="905" spans="1:18" x14ac:dyDescent="0.25">
      <c r="A905" s="9" t="s">
        <v>137</v>
      </c>
      <c r="B905" s="9">
        <f>ROW() - ROW(TablaCosechas[[#Headers],[ID]]) - 4</f>
        <v>900</v>
      </c>
      <c r="C905" s="9" t="str">
        <f>LEFT(A905,2)</f>
        <v>DO</v>
      </c>
      <c r="D905" s="182" t="s">
        <v>366</v>
      </c>
      <c r="E905" s="178">
        <v>4000</v>
      </c>
      <c r="F905" s="19">
        <v>29</v>
      </c>
      <c r="G905" s="195">
        <v>46032</v>
      </c>
      <c r="H905" s="9" t="str">
        <f>VLOOKUP(TablaCosechas[[#This Row],[COD]],DATOS!$E$3:$F$27,2,0)</f>
        <v>DORADO</v>
      </c>
      <c r="I905" s="9" t="str">
        <f>RIGHT(TablaCosechas[[#This Row],[SECTOR/PISCINA]],2)</f>
        <v>20</v>
      </c>
      <c r="J905" s="9" t="str">
        <f>VLOOKUP(TablaCosechas[[#This Row],[COD]],Tabla7[#All],4,0)</f>
        <v>JOSE CEDEÑO</v>
      </c>
      <c r="K905" s="179">
        <f>(TablaCosechas[[#This Row],[libras planta]]*454)/M905</f>
        <v>65166.586800573888</v>
      </c>
      <c r="L905" s="215">
        <v>4001.86</v>
      </c>
      <c r="M905" s="19">
        <v>27.88</v>
      </c>
      <c r="N905" s="9" t="str">
        <f>UPPER(TEXT(TablaCosechas[[#This Row],[COSECHA]],"MMMM"))</f>
        <v>ENERO</v>
      </c>
      <c r="O905" s="9" t="str">
        <f>IF(A905="DO 29","BAP",IF(A905="RO 14","BAP",(VLOOKUP(TablaCosechas[[#This Row],[COD]],Tabla7[[CODIGO]:[CERTIFICACION]],3,0))))</f>
        <v>ASC</v>
      </c>
      <c r="P905" s="180">
        <f>+L905-E905</f>
        <v>1.8600000000001273</v>
      </c>
      <c r="Q905" s="181">
        <f>+M905-F905</f>
        <v>-1.120000000000001</v>
      </c>
      <c r="R905" s="9"/>
    </row>
    <row r="906" spans="1:18" x14ac:dyDescent="0.25">
      <c r="A906" s="9" t="s">
        <v>183</v>
      </c>
      <c r="B906" s="9">
        <f>ROW() - ROW(TablaCosechas[[#Headers],[ID]]) - 4</f>
        <v>901</v>
      </c>
      <c r="C906" s="9" t="str">
        <f>LEFT(A906,2)</f>
        <v>DO</v>
      </c>
      <c r="D906" s="182" t="s">
        <v>367</v>
      </c>
      <c r="E906" s="178">
        <v>8800</v>
      </c>
      <c r="F906" s="19">
        <v>26</v>
      </c>
      <c r="G906" s="195">
        <v>46032</v>
      </c>
      <c r="H906" s="9" t="str">
        <f>VLOOKUP(TablaCosechas[[#This Row],[COD]],DATOS!$E$3:$F$27,2,0)</f>
        <v>DORADO</v>
      </c>
      <c r="I906" s="9" t="str">
        <f>RIGHT(TablaCosechas[[#This Row],[SECTOR/PISCINA]],2)</f>
        <v>05</v>
      </c>
      <c r="J906" s="9" t="str">
        <f>VLOOKUP(TablaCosechas[[#This Row],[COD]],Tabla7[#All],4,0)</f>
        <v>JOSE CEDEÑO</v>
      </c>
      <c r="K906" s="179">
        <f>(TablaCosechas[[#This Row],[libras planta]]*454)/M906</f>
        <v>146447.60773480663</v>
      </c>
      <c r="L906" s="215">
        <v>8173.97</v>
      </c>
      <c r="M906" s="19">
        <v>25.34</v>
      </c>
      <c r="N906" s="9" t="str">
        <f>UPPER(TEXT(TablaCosechas[[#This Row],[COSECHA]],"MMMM"))</f>
        <v>ENERO</v>
      </c>
      <c r="O906" s="9" t="str">
        <f>IF(A906="DO 29","BAP",IF(A906="RO 14","BAP",(VLOOKUP(TablaCosechas[[#This Row],[COD]],Tabla7[[CODIGO]:[CERTIFICACION]],3,0))))</f>
        <v>ASC</v>
      </c>
      <c r="P906" s="180">
        <f>+L906-E906</f>
        <v>-626.02999999999975</v>
      </c>
      <c r="Q906" s="181">
        <f>+M906-F906</f>
        <v>-0.66000000000000014</v>
      </c>
      <c r="R906" s="9"/>
    </row>
    <row r="907" spans="1:18" x14ac:dyDescent="0.25">
      <c r="A907" s="9" t="s">
        <v>187</v>
      </c>
      <c r="B907" s="9">
        <f>ROW() - ROW(TablaCosechas[[#Headers],[ID]]) - 4</f>
        <v>902</v>
      </c>
      <c r="C907" s="9" t="str">
        <f>LEFT(A907,2)</f>
        <v>DE</v>
      </c>
      <c r="D907" s="182" t="s">
        <v>367</v>
      </c>
      <c r="E907" s="178">
        <v>6700</v>
      </c>
      <c r="F907" s="19">
        <v>23</v>
      </c>
      <c r="G907" s="195">
        <v>46032</v>
      </c>
      <c r="H907" s="9" t="str">
        <f>VLOOKUP(TablaCosechas[[#This Row],[COD]],DATOS!$E$3:$F$27,2,0)</f>
        <v>DELFIN</v>
      </c>
      <c r="I907" s="9" t="str">
        <f>RIGHT(TablaCosechas[[#This Row],[SECTOR/PISCINA]],2)</f>
        <v>22</v>
      </c>
      <c r="J907" s="9" t="str">
        <f>VLOOKUP(TablaCosechas[[#This Row],[COD]],Tabla7[#All],4,0)</f>
        <v>CARLOS FLORES</v>
      </c>
      <c r="K907" s="179">
        <f>(TablaCosechas[[#This Row],[libras planta]]*454)/M907</f>
        <v>128623.77881355931</v>
      </c>
      <c r="L907" s="215">
        <v>6686.17</v>
      </c>
      <c r="M907" s="19">
        <v>23.6</v>
      </c>
      <c r="N907" s="9" t="str">
        <f>UPPER(TEXT(TablaCosechas[[#This Row],[COSECHA]],"MMMM"))</f>
        <v>ENERO</v>
      </c>
      <c r="O907" s="9" t="str">
        <f>IF(A907="DO 29","BAP",IF(A907="RO 14","BAP",(VLOOKUP(TablaCosechas[[#This Row],[COD]],Tabla7[[CODIGO]:[CERTIFICACION]],3,0))))</f>
        <v>CONVENCIONAL</v>
      </c>
      <c r="P907" s="180">
        <f>+L907-E907</f>
        <v>-13.829999999999927</v>
      </c>
      <c r="Q907" s="181">
        <f>+M907-F907</f>
        <v>0.60000000000000142</v>
      </c>
      <c r="R907" s="9"/>
    </row>
    <row r="908" spans="1:18" x14ac:dyDescent="0.25">
      <c r="A908" s="9" t="s">
        <v>174</v>
      </c>
      <c r="B908" s="9">
        <f>ROW() - ROW(TablaCosechas[[#Headers],[ID]]) - 4</f>
        <v>903</v>
      </c>
      <c r="C908" s="9" t="str">
        <f>LEFT(A908,2)</f>
        <v>DE</v>
      </c>
      <c r="D908" s="182" t="s">
        <v>367</v>
      </c>
      <c r="E908" s="178">
        <v>12000</v>
      </c>
      <c r="F908" s="19">
        <v>29</v>
      </c>
      <c r="G908" s="195">
        <v>46032</v>
      </c>
      <c r="H908" s="9" t="str">
        <f>VLOOKUP(TablaCosechas[[#This Row],[COD]],DATOS!$E$3:$F$27,2,0)</f>
        <v>DELFIN</v>
      </c>
      <c r="I908" s="9" t="str">
        <f>RIGHT(TablaCosechas[[#This Row],[SECTOR/PISCINA]],2)</f>
        <v>07</v>
      </c>
      <c r="J908" s="9" t="str">
        <f>VLOOKUP(TablaCosechas[[#This Row],[COD]],Tabla7[#All],4,0)</f>
        <v>CARLOS FLORES</v>
      </c>
      <c r="K908" s="179">
        <f>(TablaCosechas[[#This Row],[libras planta]]*454)/M908</f>
        <v>199420.86746987954</v>
      </c>
      <c r="L908" s="215">
        <v>12395.72</v>
      </c>
      <c r="M908" s="19">
        <v>28.22</v>
      </c>
      <c r="N908" s="9" t="str">
        <f>UPPER(TEXT(TablaCosechas[[#This Row],[COSECHA]],"MMMM"))</f>
        <v>ENERO</v>
      </c>
      <c r="O908" s="9" t="str">
        <f>IF(A908="DO 29","BAP",IF(A908="RO 14","BAP",(VLOOKUP(TablaCosechas[[#This Row],[COD]],Tabla7[[CODIGO]:[CERTIFICACION]],3,0))))</f>
        <v>CONVENCIONAL</v>
      </c>
      <c r="P908" s="180">
        <f>+L908-E908</f>
        <v>395.71999999999935</v>
      </c>
      <c r="Q908" s="181">
        <f>+M908-F908</f>
        <v>-0.78000000000000114</v>
      </c>
      <c r="R908" s="9"/>
    </row>
    <row r="909" spans="1:18" x14ac:dyDescent="0.25">
      <c r="A909" s="9" t="s">
        <v>22</v>
      </c>
      <c r="B909" s="9">
        <f>ROW() - ROW(TablaCosechas[[#Headers],[ID]]) - 4</f>
        <v>904</v>
      </c>
      <c r="C909" s="9" t="str">
        <f>LEFT(A909,2)</f>
        <v>CH</v>
      </c>
      <c r="D909" s="182" t="s">
        <v>367</v>
      </c>
      <c r="E909" s="178">
        <v>8000</v>
      </c>
      <c r="F909" s="19">
        <v>27.5</v>
      </c>
      <c r="G909" s="195">
        <v>46032</v>
      </c>
      <c r="H909" s="9" t="str">
        <f>VLOOKUP(TablaCosechas[[#This Row],[COD]],DATOS!$E$3:$F$27,2,0)</f>
        <v>CHERNA</v>
      </c>
      <c r="I909" s="9" t="str">
        <f>RIGHT(TablaCosechas[[#This Row],[SECTOR/PISCINA]],2)</f>
        <v>16</v>
      </c>
      <c r="J909" s="9" t="str">
        <f>VLOOKUP(TablaCosechas[[#This Row],[COD]],Tabla7[#All],4,0)</f>
        <v>SANTIAGO OBRIEN</v>
      </c>
      <c r="K909" s="179">
        <f>(TablaCosechas[[#This Row],[libras planta]]*454)/M909</f>
        <v>121271.33706293706</v>
      </c>
      <c r="L909" s="215">
        <v>7639.56</v>
      </c>
      <c r="M909" s="19">
        <v>28.6</v>
      </c>
      <c r="N909" s="9" t="str">
        <f>UPPER(TEXT(TablaCosechas[[#This Row],[COSECHA]],"MMMM"))</f>
        <v>ENERO</v>
      </c>
      <c r="O909" s="9" t="str">
        <f>IF(A909="DO 29","BAP",IF(A909="RO 14","BAP",(VLOOKUP(TablaCosechas[[#This Row],[COD]],Tabla7[[CODIGO]:[CERTIFICACION]],3,0))))</f>
        <v>ASC</v>
      </c>
      <c r="P909" s="180">
        <f>+L909-E909</f>
        <v>-360.4399999999996</v>
      </c>
      <c r="Q909" s="181">
        <f>+M909-F909</f>
        <v>1.1000000000000014</v>
      </c>
      <c r="R909" s="9"/>
    </row>
    <row r="910" spans="1:18" x14ac:dyDescent="0.25">
      <c r="A910" s="9" t="s">
        <v>205</v>
      </c>
      <c r="B910" s="9">
        <f>ROW() - ROW(TablaCosechas[[#Headers],[ID]]) - 4</f>
        <v>905</v>
      </c>
      <c r="C910" s="9" t="str">
        <f>LEFT(A910,2)</f>
        <v>BA</v>
      </c>
      <c r="D910" s="182" t="s">
        <v>367</v>
      </c>
      <c r="E910" s="178">
        <v>3950</v>
      </c>
      <c r="F910" s="19">
        <v>20</v>
      </c>
      <c r="G910" s="195">
        <v>46032</v>
      </c>
      <c r="H910" s="9" t="str">
        <f>VLOOKUP(TablaCosechas[[#This Row],[COD]],DATOS!$E$3:$F$27,2,0)</f>
        <v>BARRACUDA</v>
      </c>
      <c r="I910" s="9" t="str">
        <f>RIGHT(TablaCosechas[[#This Row],[SECTOR/PISCINA]],2)</f>
        <v>03</v>
      </c>
      <c r="J910" s="9" t="str">
        <f>VLOOKUP(TablaCosechas[[#This Row],[COD]],Tabla7[#All],4,0)</f>
        <v>GUSTAVO CARRASCO</v>
      </c>
      <c r="K910" s="179">
        <f>(TablaCosechas[[#This Row],[libras planta]]*454)/M910</f>
        <v>80400.037037037022</v>
      </c>
      <c r="L910" s="215">
        <v>3825.2</v>
      </c>
      <c r="M910" s="19">
        <v>21.6</v>
      </c>
      <c r="N910" s="9" t="str">
        <f>UPPER(TEXT(TablaCosechas[[#This Row],[COSECHA]],"MMMM"))</f>
        <v>ENERO</v>
      </c>
      <c r="O910" s="9" t="str">
        <f>IF(A910="DO 29","BAP",IF(A910="RO 14","BAP",(VLOOKUP(TablaCosechas[[#This Row],[COD]],Tabla7[[CODIGO]:[CERTIFICACION]],3,0))))</f>
        <v>CONVENCIONAL</v>
      </c>
      <c r="P910" s="180">
        <f>+L910-E910</f>
        <v>-124.80000000000018</v>
      </c>
      <c r="Q910" s="181">
        <f>+M910-F910</f>
        <v>1.6000000000000014</v>
      </c>
      <c r="R910" s="9"/>
    </row>
    <row r="911" spans="1:18" x14ac:dyDescent="0.25">
      <c r="A911" s="9" t="s">
        <v>207</v>
      </c>
      <c r="B911" s="9">
        <f>ROW() - ROW(TablaCosechas[[#Headers],[ID]]) - 4</f>
        <v>906</v>
      </c>
      <c r="C911" s="9" t="str">
        <f>LEFT(A911,2)</f>
        <v>BA</v>
      </c>
      <c r="D911" s="182" t="s">
        <v>367</v>
      </c>
      <c r="E911" s="178">
        <v>5350</v>
      </c>
      <c r="F911" s="19">
        <v>19</v>
      </c>
      <c r="G911" s="195">
        <v>46032</v>
      </c>
      <c r="H911" s="9" t="str">
        <f>VLOOKUP(TablaCosechas[[#This Row],[COD]],DATOS!$E$3:$F$27,2,0)</f>
        <v>BARRACUDA</v>
      </c>
      <c r="I911" s="9" t="str">
        <f>RIGHT(TablaCosechas[[#This Row],[SECTOR/PISCINA]],2)</f>
        <v>02</v>
      </c>
      <c r="J911" s="9" t="str">
        <f>VLOOKUP(TablaCosechas[[#This Row],[COD]],Tabla7[#All],4,0)</f>
        <v>GUSTAVO CARRASCO</v>
      </c>
      <c r="K911" s="179">
        <f>(TablaCosechas[[#This Row],[libras planta]]*454)/M911</f>
        <v>108546.50477099237</v>
      </c>
      <c r="L911" s="215">
        <v>5011.3100000000004</v>
      </c>
      <c r="M911" s="19">
        <v>20.96</v>
      </c>
      <c r="N911" s="9" t="str">
        <f>UPPER(TEXT(TablaCosechas[[#This Row],[COSECHA]],"MMMM"))</f>
        <v>ENERO</v>
      </c>
      <c r="O911" s="9" t="str">
        <f>IF(A911="DO 29","BAP",IF(A911="RO 14","BAP",(VLOOKUP(TablaCosechas[[#This Row],[COD]],Tabla7[[CODIGO]:[CERTIFICACION]],3,0))))</f>
        <v>CONVENCIONAL</v>
      </c>
      <c r="P911" s="180">
        <f>+L911-E911</f>
        <v>-338.6899999999996</v>
      </c>
      <c r="Q911" s="181">
        <f>+M911-F911</f>
        <v>1.9600000000000009</v>
      </c>
      <c r="R911" s="9"/>
    </row>
    <row r="912" spans="1:18" x14ac:dyDescent="0.25">
      <c r="A912" s="9" t="s">
        <v>179</v>
      </c>
      <c r="B912" s="9">
        <f>ROW() - ROW(TablaCosechas[[#Headers],[ID]]) - 4</f>
        <v>907</v>
      </c>
      <c r="C912" s="9" t="str">
        <f>LEFT(A912,2)</f>
        <v>TI</v>
      </c>
      <c r="D912" s="182" t="s">
        <v>367</v>
      </c>
      <c r="E912" s="178">
        <v>6000</v>
      </c>
      <c r="F912" s="19">
        <v>26</v>
      </c>
      <c r="G912" s="195">
        <v>46033</v>
      </c>
      <c r="H912" s="9" t="str">
        <f>VLOOKUP(TablaCosechas[[#This Row],[COD]],DATOS!$E$3:$F$27,2,0)</f>
        <v>TIBURON</v>
      </c>
      <c r="I912" s="9" t="str">
        <f>RIGHT(TablaCosechas[[#This Row],[SECTOR/PISCINA]],2)</f>
        <v>13</v>
      </c>
      <c r="J912" s="9" t="str">
        <f>VLOOKUP(TablaCosechas[[#This Row],[COD]],Tabla7[#All],4,0)</f>
        <v>ALFONSO GRUNAUER</v>
      </c>
      <c r="K912" s="179">
        <f>(TablaCosechas[[#This Row],[libras planta]]*454)/M912</f>
        <v>111752.74558032282</v>
      </c>
      <c r="L912" s="215">
        <v>6404.86</v>
      </c>
      <c r="M912" s="19">
        <v>26.02</v>
      </c>
      <c r="N912" s="9" t="str">
        <f>UPPER(TEXT(TablaCosechas[[#This Row],[COSECHA]],"MMMM"))</f>
        <v>ENERO</v>
      </c>
      <c r="O912" s="9" t="str">
        <f>IF(A912="DO 29","BAP",IF(A912="RO 14","BAP",(VLOOKUP(TablaCosechas[[#This Row],[COD]],Tabla7[[CODIGO]:[CERTIFICACION]],3,0))))</f>
        <v>ASC</v>
      </c>
      <c r="P912" s="180">
        <f>+L912-E912</f>
        <v>404.85999999999967</v>
      </c>
      <c r="Q912" s="181">
        <f>+M912-F912</f>
        <v>1.9999999999999574E-2</v>
      </c>
      <c r="R912" s="9"/>
    </row>
    <row r="913" spans="1:18" x14ac:dyDescent="0.25">
      <c r="A913" s="9" t="s">
        <v>224</v>
      </c>
      <c r="B913" s="9">
        <f>ROW() - ROW(TablaCosechas[[#Headers],[ID]]) - 4</f>
        <v>908</v>
      </c>
      <c r="C913" s="9" t="str">
        <f>LEFT(A913,2)</f>
        <v>TI</v>
      </c>
      <c r="D913" s="182" t="s">
        <v>367</v>
      </c>
      <c r="E913" s="178">
        <v>10500</v>
      </c>
      <c r="F913" s="19">
        <v>18</v>
      </c>
      <c r="G913" s="195">
        <v>46033</v>
      </c>
      <c r="H913" s="9" t="str">
        <f>VLOOKUP(TablaCosechas[[#This Row],[COD]],DATOS!$E$3:$F$27,2,0)</f>
        <v>TIBURON</v>
      </c>
      <c r="I913" s="9" t="str">
        <f>RIGHT(TablaCosechas[[#This Row],[SECTOR/PISCINA]],2)</f>
        <v>02</v>
      </c>
      <c r="J913" s="9" t="str">
        <f>VLOOKUP(TablaCosechas[[#This Row],[COD]],Tabla7[#All],4,0)</f>
        <v>ALFONSO GRUNAUER</v>
      </c>
      <c r="K913" s="179">
        <f>(TablaCosechas[[#This Row],[libras planta]]*454)/M913</f>
        <v>288779.66399082565</v>
      </c>
      <c r="L913" s="215">
        <v>11093.21</v>
      </c>
      <c r="M913" s="19">
        <v>17.440000000000001</v>
      </c>
      <c r="N913" s="9" t="str">
        <f>UPPER(TEXT(TablaCosechas[[#This Row],[COSECHA]],"MMMM"))</f>
        <v>ENERO</v>
      </c>
      <c r="O913" s="9" t="str">
        <f>IF(A913="DO 29","BAP",IF(A913="RO 14","BAP",(VLOOKUP(TablaCosechas[[#This Row],[COD]],Tabla7[[CODIGO]:[CERTIFICACION]],3,0))))</f>
        <v>ASC</v>
      </c>
      <c r="P913" s="180">
        <f>+L913-E913</f>
        <v>593.20999999999913</v>
      </c>
      <c r="Q913" s="181">
        <f>+M913-F913</f>
        <v>-0.55999999999999872</v>
      </c>
      <c r="R913" s="9"/>
    </row>
    <row r="914" spans="1:18" x14ac:dyDescent="0.25">
      <c r="A914" s="9" t="s">
        <v>139</v>
      </c>
      <c r="B914" s="9">
        <f>ROW() - ROW(TablaCosechas[[#Headers],[ID]]) - 4</f>
        <v>909</v>
      </c>
      <c r="C914" s="9" t="str">
        <f>LEFT(A914,2)</f>
        <v>PR</v>
      </c>
      <c r="D914" s="182" t="s">
        <v>366</v>
      </c>
      <c r="E914" s="178">
        <v>13500</v>
      </c>
      <c r="F914" s="19">
        <v>21</v>
      </c>
      <c r="G914" s="195">
        <v>46033</v>
      </c>
      <c r="H914" s="9" t="str">
        <f>VLOOKUP(TablaCosechas[[#This Row],[COD]],DATOS!$E$3:$F$27,2,0)</f>
        <v>PARGO ROJO</v>
      </c>
      <c r="I914" s="9" t="str">
        <f>RIGHT(TablaCosechas[[#This Row],[SECTOR/PISCINA]],2)</f>
        <v>17</v>
      </c>
      <c r="J914" s="9" t="str">
        <f>VLOOKUP(TablaCosechas[[#This Row],[COD]],Tabla7[#All],4,0)</f>
        <v>WILMER TORRES</v>
      </c>
      <c r="K914" s="179">
        <f>(TablaCosechas[[#This Row],[libras planta]]*454)/M914</f>
        <v>326205.92969472706</v>
      </c>
      <c r="L914" s="215">
        <v>15534.3</v>
      </c>
      <c r="M914" s="19">
        <v>21.62</v>
      </c>
      <c r="N914" s="9" t="str">
        <f>UPPER(TEXT(TablaCosechas[[#This Row],[COSECHA]],"MMMM"))</f>
        <v>ENERO</v>
      </c>
      <c r="O914" s="9" t="str">
        <f>IF(A914="DO 29","BAP",IF(A914="RO 14","BAP",(VLOOKUP(TablaCosechas[[#This Row],[COD]],Tabla7[[CODIGO]:[CERTIFICACION]],3,0))))</f>
        <v>CONVENCIONAL</v>
      </c>
      <c r="P914" s="180">
        <f>+L914-E914</f>
        <v>2034.2999999999993</v>
      </c>
      <c r="Q914" s="181">
        <f>+M914-F914</f>
        <v>0.62000000000000099</v>
      </c>
      <c r="R914" s="9"/>
    </row>
    <row r="915" spans="1:18" x14ac:dyDescent="0.25">
      <c r="A915" s="9" t="s">
        <v>247</v>
      </c>
      <c r="B915" s="9">
        <f>ROW() - ROW(TablaCosechas[[#Headers],[ID]]) - 4</f>
        <v>910</v>
      </c>
      <c r="C915" s="9" t="str">
        <f>LEFT(A915,2)</f>
        <v>PA</v>
      </c>
      <c r="D915" s="182" t="s">
        <v>367</v>
      </c>
      <c r="E915" s="178">
        <v>24900</v>
      </c>
      <c r="F915" s="19">
        <v>19</v>
      </c>
      <c r="G915" s="195">
        <v>46033</v>
      </c>
      <c r="H915" s="9" t="str">
        <f>VLOOKUP(TablaCosechas[[#This Row],[COD]],DATOS!$E$3:$F$27,2,0)</f>
        <v>PAMPANO</v>
      </c>
      <c r="I915" s="9" t="str">
        <f>RIGHT(TablaCosechas[[#This Row],[SECTOR/PISCINA]],2)</f>
        <v>18</v>
      </c>
      <c r="J915" s="9" t="str">
        <f>VLOOKUP(TablaCosechas[[#This Row],[COD]],Tabla7[#All],4,0)</f>
        <v>GUSTAVO CARRASCO</v>
      </c>
      <c r="K915" s="179">
        <f>(TablaCosechas[[#This Row],[libras planta]]*454)/M915</f>
        <v>493749.03775322292</v>
      </c>
      <c r="L915" s="215">
        <v>23621.65</v>
      </c>
      <c r="M915" s="19">
        <v>21.72</v>
      </c>
      <c r="N915" s="9" t="str">
        <f>UPPER(TEXT(TablaCosechas[[#This Row],[COSECHA]],"MMMM"))</f>
        <v>ENERO</v>
      </c>
      <c r="O915" s="9" t="str">
        <f>IF(A915="DO 29","BAP",IF(A915="RO 14","BAP",(VLOOKUP(TablaCosechas[[#This Row],[COD]],Tabla7[[CODIGO]:[CERTIFICACION]],3,0))))</f>
        <v>ASC</v>
      </c>
      <c r="P915" s="180">
        <f>+L915-E915</f>
        <v>-1278.3499999999985</v>
      </c>
      <c r="Q915" s="181">
        <f>+M915-F915</f>
        <v>2.7199999999999989</v>
      </c>
      <c r="R915" s="9"/>
    </row>
    <row r="916" spans="1:18" x14ac:dyDescent="0.25">
      <c r="A916" s="9" t="s">
        <v>138</v>
      </c>
      <c r="B916" s="9">
        <f>ROW() - ROW(TablaCosechas[[#Headers],[ID]]) - 4</f>
        <v>911</v>
      </c>
      <c r="C916" s="9" t="str">
        <f>LEFT(A916,2)</f>
        <v>GT</v>
      </c>
      <c r="D916" s="182" t="s">
        <v>366</v>
      </c>
      <c r="E916" s="178">
        <v>32800</v>
      </c>
      <c r="F916" s="19">
        <v>33</v>
      </c>
      <c r="G916" s="195">
        <v>46033</v>
      </c>
      <c r="H916" s="9" t="str">
        <f>VLOOKUP(TablaCosechas[[#This Row],[COD]],DATOS!$E$3:$F$27,2,0)</f>
        <v>GUATO</v>
      </c>
      <c r="I916" s="9" t="str">
        <f>RIGHT(TablaCosechas[[#This Row],[SECTOR/PISCINA]],2)</f>
        <v>04</v>
      </c>
      <c r="J916" s="9" t="str">
        <f>VLOOKUP(TablaCosechas[[#This Row],[COD]],Tabla7[#All],4,0)</f>
        <v>JULIO SANTOS</v>
      </c>
      <c r="K916" s="179">
        <f>(TablaCosechas[[#This Row],[libras planta]]*454)/M916</f>
        <v>451050.34478672995</v>
      </c>
      <c r="L916" s="215">
        <v>33540.660000000003</v>
      </c>
      <c r="M916" s="19">
        <v>33.76</v>
      </c>
      <c r="N916" s="9" t="str">
        <f>UPPER(TEXT(TablaCosechas[[#This Row],[COSECHA]],"MMMM"))</f>
        <v>ENERO</v>
      </c>
      <c r="O916" s="9" t="str">
        <f>IF(A916="DO 29","BAP",IF(A916="RO 14","BAP",(VLOOKUP(TablaCosechas[[#This Row],[COD]],Tabla7[[CODIGO]:[CERTIFICACION]],3,0))))</f>
        <v>CONVENCIONAL</v>
      </c>
      <c r="P916" s="180">
        <f>+L916-E916</f>
        <v>740.66000000000349</v>
      </c>
      <c r="Q916" s="181">
        <f>+M916-F916</f>
        <v>0.75999999999999801</v>
      </c>
      <c r="R916" s="9"/>
    </row>
    <row r="917" spans="1:18" x14ac:dyDescent="0.25">
      <c r="A917" s="9" t="s">
        <v>206</v>
      </c>
      <c r="B917" s="9">
        <f>ROW() - ROW(TablaCosechas[[#Headers],[ID]]) - 4</f>
        <v>912</v>
      </c>
      <c r="C917" s="9" t="str">
        <f>LEFT(A917,2)</f>
        <v>DO</v>
      </c>
      <c r="D917" s="182" t="s">
        <v>367</v>
      </c>
      <c r="E917" s="178">
        <v>12000</v>
      </c>
      <c r="F917" s="19">
        <v>29</v>
      </c>
      <c r="G917" s="195">
        <v>46033</v>
      </c>
      <c r="H917" s="9" t="str">
        <f>VLOOKUP(TablaCosechas[[#This Row],[COD]],DATOS!$E$3:$F$27,2,0)</f>
        <v>DORADO</v>
      </c>
      <c r="I917" s="9" t="str">
        <f>RIGHT(TablaCosechas[[#This Row],[SECTOR/PISCINA]],2)</f>
        <v>27</v>
      </c>
      <c r="J917" s="9" t="str">
        <f>VLOOKUP(TablaCosechas[[#This Row],[COD]],Tabla7[#All],4,0)</f>
        <v>JOSE CEDEÑO</v>
      </c>
      <c r="K917" s="179">
        <f>(TablaCosechas[[#This Row],[libras planta]]*454)/M917</f>
        <v>208957.55665399239</v>
      </c>
      <c r="L917" s="215">
        <v>12104.81</v>
      </c>
      <c r="M917" s="19">
        <v>26.3</v>
      </c>
      <c r="N917" s="9" t="str">
        <f>UPPER(TEXT(TablaCosechas[[#This Row],[COSECHA]],"MMMM"))</f>
        <v>ENERO</v>
      </c>
      <c r="O917" s="9" t="str">
        <f>IF(A917="DO 29","BAP",IF(A917="RO 14","BAP",(VLOOKUP(TablaCosechas[[#This Row],[COD]],Tabla7[[CODIGO]:[CERTIFICACION]],3,0))))</f>
        <v>ASC</v>
      </c>
      <c r="P917" s="180">
        <f>+L917-E917</f>
        <v>104.80999999999949</v>
      </c>
      <c r="Q917" s="181">
        <f>+M917-F917</f>
        <v>-2.6999999999999993</v>
      </c>
      <c r="R917" s="9"/>
    </row>
    <row r="918" spans="1:18" x14ac:dyDescent="0.25">
      <c r="A918" s="9" t="s">
        <v>137</v>
      </c>
      <c r="B918" s="9">
        <f>ROW() - ROW(TablaCosechas[[#Headers],[ID]]) - 4</f>
        <v>913</v>
      </c>
      <c r="C918" s="9" t="str">
        <f>LEFT(A918,2)</f>
        <v>DO</v>
      </c>
      <c r="D918" s="182" t="s">
        <v>366</v>
      </c>
      <c r="E918" s="178">
        <v>2450</v>
      </c>
      <c r="F918" s="19">
        <v>29</v>
      </c>
      <c r="G918" s="195">
        <v>46033</v>
      </c>
      <c r="H918" s="9" t="str">
        <f>VLOOKUP(TablaCosechas[[#This Row],[COD]],DATOS!$E$3:$F$27,2,0)</f>
        <v>DORADO</v>
      </c>
      <c r="I918" s="9" t="str">
        <f>RIGHT(TablaCosechas[[#This Row],[SECTOR/PISCINA]],2)</f>
        <v>20</v>
      </c>
      <c r="J918" s="9" t="str">
        <f>VLOOKUP(TablaCosechas[[#This Row],[COD]],Tabla7[#All],4,0)</f>
        <v>JOSE CEDEÑO</v>
      </c>
      <c r="K918" s="179">
        <f>(TablaCosechas[[#This Row],[libras planta]]*454)/M918</f>
        <v>40097.742467718796</v>
      </c>
      <c r="L918" s="215">
        <v>2462.39</v>
      </c>
      <c r="M918" s="19">
        <v>27.88</v>
      </c>
      <c r="N918" s="9" t="str">
        <f>UPPER(TEXT(TablaCosechas[[#This Row],[COSECHA]],"MMMM"))</f>
        <v>ENERO</v>
      </c>
      <c r="O918" s="9" t="str">
        <f>IF(A918="DO 29","BAP",IF(A918="RO 14","BAP",(VLOOKUP(TablaCosechas[[#This Row],[COD]],Tabla7[[CODIGO]:[CERTIFICACION]],3,0))))</f>
        <v>ASC</v>
      </c>
      <c r="P918" s="180">
        <f>+L918-E918</f>
        <v>12.389999999999873</v>
      </c>
      <c r="Q918" s="181">
        <f>+M918-F918</f>
        <v>-1.120000000000001</v>
      </c>
      <c r="R918" s="9"/>
    </row>
    <row r="919" spans="1:18" x14ac:dyDescent="0.25">
      <c r="A919" s="9" t="s">
        <v>136</v>
      </c>
      <c r="B919" s="9">
        <f>ROW() - ROW(TablaCosechas[[#Headers],[ID]]) - 4</f>
        <v>914</v>
      </c>
      <c r="C919" s="9" t="str">
        <f>LEFT(A919,2)</f>
        <v>CA</v>
      </c>
      <c r="D919" s="182" t="s">
        <v>366</v>
      </c>
      <c r="E919" s="178">
        <v>12000</v>
      </c>
      <c r="F919" s="19">
        <v>40</v>
      </c>
      <c r="G919" s="195">
        <v>46033</v>
      </c>
      <c r="H919" s="9" t="str">
        <f>VLOOKUP(TablaCosechas[[#This Row],[COD]],DATOS!$E$3:$F$27,2,0)</f>
        <v>CATANUDA</v>
      </c>
      <c r="I919" s="9" t="str">
        <f>RIGHT(TablaCosechas[[#This Row],[SECTOR/PISCINA]],2)</f>
        <v>10</v>
      </c>
      <c r="J919" s="9" t="str">
        <f>VLOOKUP(TablaCosechas[[#This Row],[COD]],Tabla7[#All],4,0)</f>
        <v>VICTOR QUINTANA</v>
      </c>
      <c r="K919" s="179">
        <f>(TablaCosechas[[#This Row],[libras planta]]*454)/M919</f>
        <v>141384.091392136</v>
      </c>
      <c r="L919" s="215">
        <v>11721.8</v>
      </c>
      <c r="M919" s="19">
        <v>37.64</v>
      </c>
      <c r="N919" s="9" t="str">
        <f>UPPER(TEXT(TablaCosechas[[#This Row],[COSECHA]],"MMMM"))</f>
        <v>ENERO</v>
      </c>
      <c r="O919" s="9" t="str">
        <f>IF(A919="DO 29","BAP",IF(A919="RO 14","BAP",(VLOOKUP(TablaCosechas[[#This Row],[COD]],Tabla7[[CODIGO]:[CERTIFICACION]],3,0))))</f>
        <v>ASC</v>
      </c>
      <c r="P919" s="180">
        <f>+L919-E919</f>
        <v>-278.20000000000073</v>
      </c>
      <c r="Q919" s="181">
        <f>+M919-F919</f>
        <v>-2.3599999999999994</v>
      </c>
      <c r="R919" s="9"/>
    </row>
    <row r="920" spans="1:18" x14ac:dyDescent="0.25">
      <c r="A920" s="9" t="s">
        <v>200</v>
      </c>
      <c r="B920" s="9">
        <f>ROW() - ROW(TablaCosechas[[#Headers],[ID]]) - 4</f>
        <v>915</v>
      </c>
      <c r="C920" s="9" t="str">
        <f>LEFT(A920,2)</f>
        <v>CA</v>
      </c>
      <c r="D920" s="182" t="s">
        <v>367</v>
      </c>
      <c r="E920" s="178">
        <v>15800</v>
      </c>
      <c r="F920" s="19">
        <v>18</v>
      </c>
      <c r="G920" s="195">
        <v>46033</v>
      </c>
      <c r="H920" s="9" t="str">
        <f>VLOOKUP(TablaCosechas[[#This Row],[COD]],DATOS!$E$3:$F$27,2,0)</f>
        <v>CATANUDA</v>
      </c>
      <c r="I920" s="9" t="str">
        <f>RIGHT(TablaCosechas[[#This Row],[SECTOR/PISCINA]],2)</f>
        <v>03</v>
      </c>
      <c r="J920" s="9" t="str">
        <f>VLOOKUP(TablaCosechas[[#This Row],[COD]],Tabla7[#All],4,0)</f>
        <v>VICTOR QUINTANA</v>
      </c>
      <c r="K920" s="179">
        <f>(TablaCosechas[[#This Row],[libras planta]]*454)/M920</f>
        <v>320087.66282420745</v>
      </c>
      <c r="L920" s="215">
        <v>14678.91</v>
      </c>
      <c r="M920" s="19">
        <v>20.82</v>
      </c>
      <c r="N920" s="9" t="str">
        <f>UPPER(TEXT(TablaCosechas[[#This Row],[COSECHA]],"MMMM"))</f>
        <v>ENERO</v>
      </c>
      <c r="O920" s="9" t="str">
        <f>IF(A920="DO 29","BAP",IF(A920="RO 14","BAP",(VLOOKUP(TablaCosechas[[#This Row],[COD]],Tabla7[[CODIGO]:[CERTIFICACION]],3,0))))</f>
        <v>ASC</v>
      </c>
      <c r="P920" s="180">
        <f>+L920-E920</f>
        <v>-1121.0900000000001</v>
      </c>
      <c r="Q920" s="181">
        <f>+M920-F920</f>
        <v>2.8200000000000003</v>
      </c>
      <c r="R920" s="9"/>
    </row>
    <row r="921" spans="1:18" x14ac:dyDescent="0.25">
      <c r="A921" s="9" t="s">
        <v>163</v>
      </c>
      <c r="B921" s="9">
        <f>ROW() - ROW(TablaCosechas[[#Headers],[ID]]) - 4</f>
        <v>916</v>
      </c>
      <c r="C921" s="9" t="str">
        <f>LEFT(A921,2)</f>
        <v>WA</v>
      </c>
      <c r="D921" s="182" t="s">
        <v>367</v>
      </c>
      <c r="E921" s="178">
        <v>12800</v>
      </c>
      <c r="F921" s="19">
        <v>31</v>
      </c>
      <c r="G921" s="195">
        <v>46034</v>
      </c>
      <c r="H921" s="9" t="str">
        <f>VLOOKUP(TablaCosechas[[#This Row],[COD]],DATOS!$E$3:$F$27,2,0)</f>
        <v>WAHOO</v>
      </c>
      <c r="I921" s="9" t="str">
        <f>RIGHT(TablaCosechas[[#This Row],[SECTOR/PISCINA]],2)</f>
        <v>37</v>
      </c>
      <c r="J921" s="9" t="str">
        <f>VLOOKUP(TablaCosechas[[#This Row],[COD]],Tabla7[#All],4,0)</f>
        <v>JUNIOR ESQUIVEL</v>
      </c>
      <c r="K921" s="179">
        <f>(TablaCosechas[[#This Row],[libras planta]]*454)/M921</f>
        <v>191860.16613007084</v>
      </c>
      <c r="L921" s="215">
        <v>13125.94</v>
      </c>
      <c r="M921" s="19">
        <v>31.06</v>
      </c>
      <c r="N921" s="9" t="str">
        <f>UPPER(TEXT(TablaCosechas[[#This Row],[COSECHA]],"MMMM"))</f>
        <v>ENERO</v>
      </c>
      <c r="O921" s="9" t="str">
        <f>IF(A921="DO 29","BAP",IF(A921="RO 14","BAP",(VLOOKUP(TablaCosechas[[#This Row],[COD]],Tabla7[[CODIGO]:[CERTIFICACION]],3,0))))</f>
        <v>CONVENCIONAL</v>
      </c>
      <c r="P921" s="180">
        <f>+L921-E921</f>
        <v>325.94000000000051</v>
      </c>
      <c r="Q921" s="181">
        <f>+M921-F921</f>
        <v>5.9999999999998721E-2</v>
      </c>
      <c r="R921" s="9"/>
    </row>
    <row r="922" spans="1:18" x14ac:dyDescent="0.25">
      <c r="A922" s="9" t="s">
        <v>195</v>
      </c>
      <c r="B922" s="9">
        <f>ROW() - ROW(TablaCosechas[[#Headers],[ID]]) - 4</f>
        <v>917</v>
      </c>
      <c r="C922" s="9" t="str">
        <f>LEFT(A922,2)</f>
        <v>TU</v>
      </c>
      <c r="D922" s="182" t="s">
        <v>367</v>
      </c>
      <c r="E922" s="178">
        <v>11300</v>
      </c>
      <c r="F922" s="19">
        <v>22</v>
      </c>
      <c r="G922" s="195">
        <v>46034</v>
      </c>
      <c r="H922" s="9" t="str">
        <f>VLOOKUP(TablaCosechas[[#This Row],[COD]],DATOS!$E$3:$F$27,2,0)</f>
        <v>TUNA</v>
      </c>
      <c r="I922" s="9" t="str">
        <f>RIGHT(TablaCosechas[[#This Row],[SECTOR/PISCINA]],2)</f>
        <v>01</v>
      </c>
      <c r="J922" s="9" t="str">
        <f>VLOOKUP(TablaCosechas[[#This Row],[COD]],Tabla7[#All],4,0)</f>
        <v>GUSTAVO CARRASCO</v>
      </c>
      <c r="K922" s="179">
        <f>(TablaCosechas[[#This Row],[libras planta]]*454)/M922</f>
        <v>195376.39836734693</v>
      </c>
      <c r="L922" s="215">
        <v>10543.44</v>
      </c>
      <c r="M922" s="19">
        <v>24.5</v>
      </c>
      <c r="N922" s="9" t="str">
        <f>UPPER(TEXT(TablaCosechas[[#This Row],[COSECHA]],"MMMM"))</f>
        <v>ENERO</v>
      </c>
      <c r="O922" s="9" t="str">
        <f>IF(A922="DO 29","BAP",IF(A922="RO 14","BAP",(VLOOKUP(TablaCosechas[[#This Row],[COD]],Tabla7[[CODIGO]:[CERTIFICACION]],3,0))))</f>
        <v>ASC</v>
      </c>
      <c r="P922" s="180">
        <f>+L922-E922</f>
        <v>-756.55999999999949</v>
      </c>
      <c r="Q922" s="181">
        <f>+M922-F922</f>
        <v>2.5</v>
      </c>
      <c r="R922" s="9"/>
    </row>
    <row r="923" spans="1:18" x14ac:dyDescent="0.25">
      <c r="A923" s="9" t="s">
        <v>232</v>
      </c>
      <c r="B923" s="9">
        <f>ROW() - ROW(TablaCosechas[[#Headers],[ID]]) - 4</f>
        <v>918</v>
      </c>
      <c r="C923" s="9" t="str">
        <f>LEFT(A923,2)</f>
        <v>TI</v>
      </c>
      <c r="D923" s="182" t="s">
        <v>367</v>
      </c>
      <c r="E923" s="178">
        <v>8500</v>
      </c>
      <c r="F923" s="19">
        <v>19</v>
      </c>
      <c r="G923" s="195">
        <v>46034</v>
      </c>
      <c r="H923" s="9" t="str">
        <f>VLOOKUP(TablaCosechas[[#This Row],[COD]],DATOS!$E$3:$F$27,2,0)</f>
        <v>TIBURON</v>
      </c>
      <c r="I923" s="9" t="str">
        <f>RIGHT(TablaCosechas[[#This Row],[SECTOR/PISCINA]],2)</f>
        <v>09</v>
      </c>
      <c r="J923" s="9" t="str">
        <f>VLOOKUP(TablaCosechas[[#This Row],[COD]],Tabla7[#All],4,0)</f>
        <v>ALFONSO GRUNAUER</v>
      </c>
      <c r="K923" s="179">
        <f>(TablaCosechas[[#This Row],[libras planta]]*454)/M923</f>
        <v>188462.9979338843</v>
      </c>
      <c r="L923" s="215">
        <v>8036.66</v>
      </c>
      <c r="M923" s="19">
        <v>19.36</v>
      </c>
      <c r="N923" s="9" t="str">
        <f>UPPER(TEXT(TablaCosechas[[#This Row],[COSECHA]],"MMMM"))</f>
        <v>ENERO</v>
      </c>
      <c r="O923" s="9" t="str">
        <f>IF(A923="DO 29","BAP",IF(A923="RO 14","BAP",(VLOOKUP(TablaCosechas[[#This Row],[COD]],Tabla7[[CODIGO]:[CERTIFICACION]],3,0))))</f>
        <v>ASC</v>
      </c>
      <c r="P923" s="180">
        <f>+L923-E923</f>
        <v>-463.34000000000015</v>
      </c>
      <c r="Q923" s="181">
        <f>+M923-F923</f>
        <v>0.35999999999999943</v>
      </c>
      <c r="R923" s="9"/>
    </row>
    <row r="924" spans="1:18" x14ac:dyDescent="0.25">
      <c r="A924" s="9" t="s">
        <v>143</v>
      </c>
      <c r="B924" s="9">
        <f>ROW() - ROW(TablaCosechas[[#Headers],[ID]]) - 4</f>
        <v>919</v>
      </c>
      <c r="C924" s="9" t="str">
        <f>LEFT(A924,2)</f>
        <v>TA</v>
      </c>
      <c r="D924" s="182" t="s">
        <v>366</v>
      </c>
      <c r="E924" s="178">
        <v>54200</v>
      </c>
      <c r="F924" s="19">
        <v>37</v>
      </c>
      <c r="G924" s="195">
        <v>46034</v>
      </c>
      <c r="H924" s="9" t="str">
        <f>VLOOKUP(TablaCosechas[[#This Row],[COD]],DATOS!$E$3:$F$27,2,0)</f>
        <v>TAMBULERO</v>
      </c>
      <c r="I924" s="9" t="str">
        <f>RIGHT(TablaCosechas[[#This Row],[SECTOR/PISCINA]],2)</f>
        <v>08</v>
      </c>
      <c r="J924" s="9" t="str">
        <f>VLOOKUP(TablaCosechas[[#This Row],[COD]],Tabla7[#All],4,0)</f>
        <v>ALFONSO GRUNAUER</v>
      </c>
      <c r="K924" s="179">
        <f>(TablaCosechas[[#This Row],[libras planta]]*454)/M924</f>
        <v>675883.370652174</v>
      </c>
      <c r="L924" s="215">
        <v>54785.26</v>
      </c>
      <c r="M924" s="19">
        <v>36.799999999999997</v>
      </c>
      <c r="N924" s="9" t="str">
        <f>UPPER(TEXT(TablaCosechas[[#This Row],[COSECHA]],"MMMM"))</f>
        <v>ENERO</v>
      </c>
      <c r="O924" s="9" t="str">
        <f>IF(A924="DO 29","BAP",IF(A924="RO 14","BAP",(VLOOKUP(TablaCosechas[[#This Row],[COD]],Tabla7[[CODIGO]:[CERTIFICACION]],3,0))))</f>
        <v>CONVENCIONAL</v>
      </c>
      <c r="P924" s="180">
        <f>+L924-E924</f>
        <v>585.26000000000204</v>
      </c>
      <c r="Q924" s="181">
        <f>+M924-F924</f>
        <v>-0.20000000000000284</v>
      </c>
      <c r="R924" s="9"/>
    </row>
    <row r="925" spans="1:18" x14ac:dyDescent="0.25">
      <c r="A925" s="9" t="s">
        <v>142</v>
      </c>
      <c r="B925" s="9">
        <f>ROW() - ROW(TablaCosechas[[#Headers],[ID]]) - 4</f>
        <v>920</v>
      </c>
      <c r="C925" s="9" t="str">
        <f>LEFT(A925,2)</f>
        <v>PR</v>
      </c>
      <c r="D925" s="182" t="s">
        <v>366</v>
      </c>
      <c r="E925" s="178">
        <v>7200</v>
      </c>
      <c r="F925" s="19">
        <v>20</v>
      </c>
      <c r="G925" s="195">
        <v>46034</v>
      </c>
      <c r="H925" s="9" t="str">
        <f>VLOOKUP(TablaCosechas[[#This Row],[COD]],DATOS!$E$3:$F$27,2,0)</f>
        <v>PARGO ROJO</v>
      </c>
      <c r="I925" s="9" t="str">
        <f>RIGHT(TablaCosechas[[#This Row],[SECTOR/PISCINA]],2)</f>
        <v>22</v>
      </c>
      <c r="J925" s="9" t="str">
        <f>VLOOKUP(TablaCosechas[[#This Row],[COD]],Tabla7[#All],4,0)</f>
        <v>WILMER TORRES</v>
      </c>
      <c r="K925" s="179">
        <f>(TablaCosechas[[#This Row],[libras planta]]*454)/M925</f>
        <v>196918.04152637484</v>
      </c>
      <c r="L925" s="215">
        <v>7729.25</v>
      </c>
      <c r="M925" s="19">
        <v>17.82</v>
      </c>
      <c r="N925" s="9" t="str">
        <f>UPPER(TEXT(TablaCosechas[[#This Row],[COSECHA]],"MMMM"))</f>
        <v>ENERO</v>
      </c>
      <c r="O925" s="9" t="str">
        <f>IF(A925="DO 29","BAP",IF(A925="RO 14","BAP",(VLOOKUP(TablaCosechas[[#This Row],[COD]],Tabla7[[CODIGO]:[CERTIFICACION]],3,0))))</f>
        <v>CONVENCIONAL</v>
      </c>
      <c r="P925" s="180">
        <f>+L925-E925</f>
        <v>529.25</v>
      </c>
      <c r="Q925" s="181">
        <f>+M925-F925</f>
        <v>-2.1799999999999997</v>
      </c>
      <c r="R925" s="9"/>
    </row>
    <row r="926" spans="1:18" x14ac:dyDescent="0.25">
      <c r="A926" s="9" t="s">
        <v>141</v>
      </c>
      <c r="B926" s="9">
        <f>ROW() - ROW(TablaCosechas[[#Headers],[ID]]) - 4</f>
        <v>921</v>
      </c>
      <c r="C926" s="9" t="str">
        <f>LEFT(A926,2)</f>
        <v>PR</v>
      </c>
      <c r="D926" s="182" t="s">
        <v>366</v>
      </c>
      <c r="E926" s="178">
        <v>5400</v>
      </c>
      <c r="F926" s="19">
        <v>21</v>
      </c>
      <c r="G926" s="195">
        <v>46034</v>
      </c>
      <c r="H926" s="9" t="str">
        <f>VLOOKUP(TablaCosechas[[#This Row],[COD]],DATOS!$E$3:$F$27,2,0)</f>
        <v>PARGO ROJO</v>
      </c>
      <c r="I926" s="9" t="str">
        <f>RIGHT(TablaCosechas[[#This Row],[SECTOR/PISCINA]],2)</f>
        <v>21</v>
      </c>
      <c r="J926" s="9" t="str">
        <f>VLOOKUP(TablaCosechas[[#This Row],[COD]],Tabla7[#All],4,0)</f>
        <v>WILMER TORRES</v>
      </c>
      <c r="K926" s="179">
        <f>(TablaCosechas[[#This Row],[libras planta]]*454)/M926</f>
        <v>124651.86825251601</v>
      </c>
      <c r="L926" s="215">
        <v>6001.96</v>
      </c>
      <c r="M926" s="19">
        <v>21.86</v>
      </c>
      <c r="N926" s="9" t="str">
        <f>UPPER(TEXT(TablaCosechas[[#This Row],[COSECHA]],"MMMM"))</f>
        <v>ENERO</v>
      </c>
      <c r="O926" s="9" t="str">
        <f>IF(A926="DO 29","BAP",IF(A926="RO 14","BAP",(VLOOKUP(TablaCosechas[[#This Row],[COD]],Tabla7[[CODIGO]:[CERTIFICACION]],3,0))))</f>
        <v>CONVENCIONAL</v>
      </c>
      <c r="P926" s="180">
        <f>+L926-E926</f>
        <v>601.96</v>
      </c>
      <c r="Q926" s="181">
        <f>+M926-F926</f>
        <v>0.85999999999999943</v>
      </c>
      <c r="R926" s="9"/>
    </row>
    <row r="927" spans="1:18" x14ac:dyDescent="0.25">
      <c r="A927" s="9" t="s">
        <v>140</v>
      </c>
      <c r="B927" s="9">
        <f>ROW() - ROW(TablaCosechas[[#Headers],[ID]]) - 4</f>
        <v>922</v>
      </c>
      <c r="C927" s="9" t="str">
        <f>LEFT(A927,2)</f>
        <v>GT</v>
      </c>
      <c r="D927" s="182" t="s">
        <v>366</v>
      </c>
      <c r="E927" s="178">
        <v>17000</v>
      </c>
      <c r="F927" s="19">
        <v>29</v>
      </c>
      <c r="G927" s="195">
        <v>46034</v>
      </c>
      <c r="H927" s="9" t="str">
        <f>VLOOKUP(TablaCosechas[[#This Row],[COD]],DATOS!$E$3:$F$27,2,0)</f>
        <v>GUATO</v>
      </c>
      <c r="I927" s="9" t="str">
        <f>RIGHT(TablaCosechas[[#This Row],[SECTOR/PISCINA]],2)</f>
        <v>18</v>
      </c>
      <c r="J927" s="9" t="str">
        <f>VLOOKUP(TablaCosechas[[#This Row],[COD]],Tabla7[#All],4,0)</f>
        <v>JULIO SANTOS</v>
      </c>
      <c r="K927" s="179">
        <f>(TablaCosechas[[#This Row],[libras planta]]*454)/M927</f>
        <v>293718.52461322077</v>
      </c>
      <c r="L927" s="215">
        <v>18399.46</v>
      </c>
      <c r="M927" s="19">
        <v>28.44</v>
      </c>
      <c r="N927" s="9" t="str">
        <f>UPPER(TEXT(TablaCosechas[[#This Row],[COSECHA]],"MMMM"))</f>
        <v>ENERO</v>
      </c>
      <c r="O927" s="9" t="str">
        <f>IF(A927="DO 29","BAP",IF(A927="RO 14","BAP",(VLOOKUP(TablaCosechas[[#This Row],[COD]],Tabla7[[CODIGO]:[CERTIFICACION]],3,0))))</f>
        <v>CONVENCIONAL</v>
      </c>
      <c r="P927" s="180">
        <f>+L927-E927</f>
        <v>1399.4599999999991</v>
      </c>
      <c r="Q927" s="181">
        <f>+M927-F927</f>
        <v>-0.55999999999999872</v>
      </c>
      <c r="R927" s="9"/>
    </row>
    <row r="928" spans="1:18" x14ac:dyDescent="0.25">
      <c r="A928" s="9" t="s">
        <v>219</v>
      </c>
      <c r="B928" s="9">
        <f>ROW() - ROW(TablaCosechas[[#Headers],[ID]]) - 4</f>
        <v>923</v>
      </c>
      <c r="C928" s="9" t="str">
        <f>LEFT(A928,2)</f>
        <v>DO</v>
      </c>
      <c r="D928" s="182" t="s">
        <v>367</v>
      </c>
      <c r="E928" s="178">
        <v>16700</v>
      </c>
      <c r="F928" s="19">
        <v>24</v>
      </c>
      <c r="G928" s="195">
        <v>46034</v>
      </c>
      <c r="H928" s="9" t="str">
        <f>VLOOKUP(TablaCosechas[[#This Row],[COD]],DATOS!$E$3:$F$27,2,0)</f>
        <v>DORADO</v>
      </c>
      <c r="I928" s="9" t="str">
        <f>RIGHT(TablaCosechas[[#This Row],[SECTOR/PISCINA]],2)</f>
        <v>11</v>
      </c>
      <c r="J928" s="9" t="str">
        <f>VLOOKUP(TablaCosechas[[#This Row],[COD]],Tabla7[#All],4,0)</f>
        <v>JOSE CEDEÑO</v>
      </c>
      <c r="K928" s="179">
        <f>(TablaCosechas[[#This Row],[libras planta]]*454)/M928</f>
        <v>321361.09872340428</v>
      </c>
      <c r="L928" s="215">
        <v>16634.330000000002</v>
      </c>
      <c r="M928" s="19">
        <v>23.5</v>
      </c>
      <c r="N928" s="9" t="str">
        <f>UPPER(TEXT(TablaCosechas[[#This Row],[COSECHA]],"MMMM"))</f>
        <v>ENERO</v>
      </c>
      <c r="O928" s="9" t="str">
        <f>IF(A928="DO 29","BAP",IF(A928="RO 14","BAP",(VLOOKUP(TablaCosechas[[#This Row],[COD]],Tabla7[[CODIGO]:[CERTIFICACION]],3,0))))</f>
        <v>ASC</v>
      </c>
      <c r="P928" s="180">
        <f>+L928-E928</f>
        <v>-65.669999999998254</v>
      </c>
      <c r="Q928" s="181">
        <f>+M928-F928</f>
        <v>-0.5</v>
      </c>
      <c r="R928" s="9"/>
    </row>
    <row r="929" spans="1:18" x14ac:dyDescent="0.25">
      <c r="A929" s="9" t="s">
        <v>25</v>
      </c>
      <c r="B929" s="9">
        <f>ROW() - ROW(TablaCosechas[[#Headers],[ID]]) - 4</f>
        <v>924</v>
      </c>
      <c r="C929" s="9" t="str">
        <f>LEFT(A929,2)</f>
        <v>CH</v>
      </c>
      <c r="D929" s="182" t="s">
        <v>366</v>
      </c>
      <c r="E929" s="178">
        <v>22000</v>
      </c>
      <c r="F929" s="19">
        <v>36</v>
      </c>
      <c r="G929" s="195">
        <v>46034</v>
      </c>
      <c r="H929" s="9" t="str">
        <f>VLOOKUP(TablaCosechas[[#This Row],[COD]],DATOS!$E$3:$F$27,2,0)</f>
        <v>CHERNA</v>
      </c>
      <c r="I929" s="9" t="str">
        <f>RIGHT(TablaCosechas[[#This Row],[SECTOR/PISCINA]],2)</f>
        <v>21</v>
      </c>
      <c r="J929" s="9" t="str">
        <f>VLOOKUP(TablaCosechas[[#This Row],[COD]],Tabla7[#All],4,0)</f>
        <v>SANTIAGO OBRIEN</v>
      </c>
      <c r="K929" s="179">
        <f>(TablaCosechas[[#This Row],[libras planta]]*454)/M929</f>
        <v>307153.90945790074</v>
      </c>
      <c r="L929" s="215">
        <v>23462.769999999997</v>
      </c>
      <c r="M929" s="19">
        <v>34.68</v>
      </c>
      <c r="N929" s="9" t="str">
        <f>UPPER(TEXT(TablaCosechas[[#This Row],[COSECHA]],"MMMM"))</f>
        <v>ENERO</v>
      </c>
      <c r="O929" s="9" t="str">
        <f>IF(A929="DO 29","BAP",IF(A929="RO 14","BAP",(VLOOKUP(TablaCosechas[[#This Row],[COD]],Tabla7[[CODIGO]:[CERTIFICACION]],3,0))))</f>
        <v>ASC</v>
      </c>
      <c r="P929" s="180">
        <f>+L929-E929</f>
        <v>1462.7699999999968</v>
      </c>
      <c r="Q929" s="181">
        <f>+M929-F929</f>
        <v>-1.3200000000000003</v>
      </c>
      <c r="R929" s="9"/>
    </row>
    <row r="930" spans="1:18" x14ac:dyDescent="0.25">
      <c r="A930" s="9" t="s">
        <v>209</v>
      </c>
      <c r="B930" s="9">
        <f>ROW() - ROW(TablaCosechas[[#Headers],[ID]]) - 4</f>
        <v>925</v>
      </c>
      <c r="C930" s="9" t="str">
        <f>LEFT(A930,2)</f>
        <v>BA</v>
      </c>
      <c r="D930" s="182" t="s">
        <v>367</v>
      </c>
      <c r="E930" s="178">
        <v>5300</v>
      </c>
      <c r="F930" s="19">
        <v>20</v>
      </c>
      <c r="G930" s="195">
        <v>46034</v>
      </c>
      <c r="H930" s="9" t="str">
        <f>VLOOKUP(TablaCosechas[[#This Row],[COD]],DATOS!$E$3:$F$27,2,0)</f>
        <v>BARRACUDA</v>
      </c>
      <c r="I930" s="9" t="str">
        <f>RIGHT(TablaCosechas[[#This Row],[SECTOR/PISCINA]],2)</f>
        <v>05</v>
      </c>
      <c r="J930" s="9" t="str">
        <f>VLOOKUP(TablaCosechas[[#This Row],[COD]],Tabla7[#All],4,0)</f>
        <v>GUSTAVO CARRASCO</v>
      </c>
      <c r="K930" s="179">
        <f>(TablaCosechas[[#This Row],[libras planta]]*454)/M930</f>
        <v>115171.82139446035</v>
      </c>
      <c r="L930" s="215">
        <v>5312.11</v>
      </c>
      <c r="M930" s="19">
        <v>20.94</v>
      </c>
      <c r="N930" s="9" t="str">
        <f>UPPER(TEXT(TablaCosechas[[#This Row],[COSECHA]],"MMMM"))</f>
        <v>ENERO</v>
      </c>
      <c r="O930" s="9" t="str">
        <f>IF(A930="DO 29","BAP",IF(A930="RO 14","BAP",(VLOOKUP(TablaCosechas[[#This Row],[COD]],Tabla7[[CODIGO]:[CERTIFICACION]],3,0))))</f>
        <v>CONVENCIONAL</v>
      </c>
      <c r="P930" s="180">
        <f>+L930-E930</f>
        <v>12.109999999999673</v>
      </c>
      <c r="Q930" s="181">
        <f>+M930-F930</f>
        <v>0.94000000000000128</v>
      </c>
      <c r="R930" s="9"/>
    </row>
    <row r="931" spans="1:18" x14ac:dyDescent="0.25">
      <c r="A931" s="9" t="s">
        <v>176</v>
      </c>
      <c r="B931" s="9">
        <f>ROW() - ROW(TablaCosechas[[#Headers],[ID]]) - 4</f>
        <v>926</v>
      </c>
      <c r="C931" s="9" t="str">
        <f>LEFT(A931,2)</f>
        <v>TA</v>
      </c>
      <c r="D931" s="182" t="s">
        <v>367</v>
      </c>
      <c r="E931" s="178">
        <v>8000</v>
      </c>
      <c r="F931" s="19">
        <v>33.5</v>
      </c>
      <c r="G931" s="195">
        <v>46035</v>
      </c>
      <c r="H931" s="9" t="str">
        <f>VLOOKUP(TablaCosechas[[#This Row],[COD]],DATOS!$E$3:$F$27,2,0)</f>
        <v>TAMBULERO</v>
      </c>
      <c r="I931" s="9" t="str">
        <f>RIGHT(TablaCosechas[[#This Row],[SECTOR/PISCINA]],2)</f>
        <v>15</v>
      </c>
      <c r="J931" s="9" t="str">
        <f>VLOOKUP(TablaCosechas[[#This Row],[COD]],Tabla7[#All],4,0)</f>
        <v>ALFONSO GRUNAUER</v>
      </c>
      <c r="K931" s="179">
        <f>(TablaCosechas[[#This Row],[libras planta]]*454)/M931</f>
        <v>97108.62608695653</v>
      </c>
      <c r="L931" s="215">
        <v>7871.36</v>
      </c>
      <c r="M931" s="19">
        <v>36.799999999999997</v>
      </c>
      <c r="N931" s="9" t="str">
        <f>UPPER(TEXT(TablaCosechas[[#This Row],[COSECHA]],"MMMM"))</f>
        <v>ENERO</v>
      </c>
      <c r="O931" s="9" t="str">
        <f>IF(A931="DO 29","BAP",IF(A931="RO 14","BAP",(VLOOKUP(TablaCosechas[[#This Row],[COD]],Tabla7[[CODIGO]:[CERTIFICACION]],3,0))))</f>
        <v>CONVENCIONAL</v>
      </c>
      <c r="P931" s="180">
        <f>+L931-E931</f>
        <v>-128.64000000000033</v>
      </c>
      <c r="Q931" s="181">
        <f>+M931-F931</f>
        <v>3.2999999999999972</v>
      </c>
      <c r="R931" s="9"/>
    </row>
    <row r="932" spans="1:18" x14ac:dyDescent="0.25">
      <c r="A932" s="9" t="s">
        <v>198</v>
      </c>
      <c r="B932" s="9">
        <f>ROW() - ROW(TablaCosechas[[#Headers],[ID]]) - 4</f>
        <v>927</v>
      </c>
      <c r="C932" s="9" t="str">
        <f>LEFT(A932,2)</f>
        <v>RO</v>
      </c>
      <c r="D932" s="182" t="s">
        <v>367</v>
      </c>
      <c r="E932" s="178">
        <v>15050</v>
      </c>
      <c r="F932" s="19">
        <v>26</v>
      </c>
      <c r="G932" s="195">
        <v>46035</v>
      </c>
      <c r="H932" s="9" t="str">
        <f>VLOOKUP(TablaCosechas[[#This Row],[COD]],DATOS!$E$3:$F$27,2,0)</f>
        <v>ROBALO</v>
      </c>
      <c r="I932" s="9" t="str">
        <f>RIGHT(TablaCosechas[[#This Row],[SECTOR/PISCINA]],2)</f>
        <v>14</v>
      </c>
      <c r="J932" s="9" t="str">
        <f>VLOOKUP(TablaCosechas[[#This Row],[COD]],Tabla7[#All],4,0)</f>
        <v>VICTOR QUINTANA</v>
      </c>
      <c r="K932" s="179">
        <f>(TablaCosechas[[#This Row],[libras planta]]*454)/M932</f>
        <v>243757.11559139783</v>
      </c>
      <c r="L932" s="215">
        <v>15978.44</v>
      </c>
      <c r="M932" s="19">
        <v>29.76</v>
      </c>
      <c r="N932" s="9" t="str">
        <f>UPPER(TEXT(TablaCosechas[[#This Row],[COSECHA]],"MMMM"))</f>
        <v>ENERO</v>
      </c>
      <c r="O932" s="9" t="str">
        <f>IF(A932="DO 29","BAP",IF(A932="RO 14","BAP",(VLOOKUP(TablaCosechas[[#This Row],[COD]],Tabla7[[CODIGO]:[CERTIFICACION]],3,0))))</f>
        <v>BAP</v>
      </c>
      <c r="P932" s="180">
        <f>+L932-E932</f>
        <v>928.44000000000051</v>
      </c>
      <c r="Q932" s="181">
        <f>+M932-F932</f>
        <v>3.7600000000000016</v>
      </c>
      <c r="R932" s="9"/>
    </row>
    <row r="933" spans="1:18" x14ac:dyDescent="0.25">
      <c r="A933" s="9" t="s">
        <v>146</v>
      </c>
      <c r="B933" s="9">
        <f>ROW() - ROW(TablaCosechas[[#Headers],[ID]]) - 4</f>
        <v>928</v>
      </c>
      <c r="C933" s="9" t="str">
        <f>LEFT(A933,2)</f>
        <v>PR</v>
      </c>
      <c r="D933" s="182" t="s">
        <v>366</v>
      </c>
      <c r="E933" s="178">
        <v>14400</v>
      </c>
      <c r="F933" s="19">
        <v>22</v>
      </c>
      <c r="G933" s="195">
        <v>46035</v>
      </c>
      <c r="H933" s="9" t="str">
        <f>VLOOKUP(TablaCosechas[[#This Row],[COD]],DATOS!$E$3:$F$27,2,0)</f>
        <v>PARGO ROJO</v>
      </c>
      <c r="I933" s="9" t="str">
        <f>RIGHT(TablaCosechas[[#This Row],[SECTOR/PISCINA]],2)</f>
        <v>29</v>
      </c>
      <c r="J933" s="9" t="str">
        <f>VLOOKUP(TablaCosechas[[#This Row],[COD]],Tabla7[#All],4,0)</f>
        <v>WILMER TORRES</v>
      </c>
      <c r="K933" s="179">
        <f>(TablaCosechas[[#This Row],[libras planta]]*454)/M933</f>
        <v>330920.02007299266</v>
      </c>
      <c r="L933" s="215">
        <v>15977.46</v>
      </c>
      <c r="M933" s="19">
        <v>21.92</v>
      </c>
      <c r="N933" s="9" t="str">
        <f>UPPER(TEXT(TablaCosechas[[#This Row],[COSECHA]],"MMMM"))</f>
        <v>ENERO</v>
      </c>
      <c r="O933" s="9" t="str">
        <f>IF(A933="DO 29","BAP",IF(A933="RO 14","BAP",(VLOOKUP(TablaCosechas[[#This Row],[COD]],Tabla7[[CODIGO]:[CERTIFICACION]],3,0))))</f>
        <v>CONVENCIONAL</v>
      </c>
      <c r="P933" s="180">
        <f>+L933-E933</f>
        <v>1577.4599999999991</v>
      </c>
      <c r="Q933" s="181">
        <f>+M933-F933</f>
        <v>-7.9999999999998295E-2</v>
      </c>
      <c r="R933" s="9"/>
    </row>
    <row r="934" spans="1:18" x14ac:dyDescent="0.25">
      <c r="A934" s="9" t="s">
        <v>246</v>
      </c>
      <c r="B934" s="9">
        <f>ROW() - ROW(TablaCosechas[[#Headers],[ID]]) - 4</f>
        <v>929</v>
      </c>
      <c r="C934" s="9" t="str">
        <f>LEFT(A934,2)</f>
        <v>MA</v>
      </c>
      <c r="D934" s="182" t="s">
        <v>367</v>
      </c>
      <c r="E934" s="178">
        <v>3800</v>
      </c>
      <c r="F934" s="19">
        <v>18</v>
      </c>
      <c r="G934" s="195">
        <v>46035</v>
      </c>
      <c r="H934" s="9" t="str">
        <f>VLOOKUP(TablaCosechas[[#This Row],[COD]],DATOS!$E$3:$F$27,2,0)</f>
        <v>MANTARRAYA</v>
      </c>
      <c r="I934" s="9" t="str">
        <f>RIGHT(TablaCosechas[[#This Row],[SECTOR/PISCINA]],2)</f>
        <v>09</v>
      </c>
      <c r="J934" s="9" t="str">
        <f>VLOOKUP(TablaCosechas[[#This Row],[COD]],Tabla7[#All],4,0)</f>
        <v>GUSTAVO CARRASCO</v>
      </c>
      <c r="K934" s="179">
        <f>(TablaCosechas[[#This Row],[libras planta]]*454)/M934</f>
        <v>80694.143434343438</v>
      </c>
      <c r="L934" s="215">
        <v>3519.26</v>
      </c>
      <c r="M934" s="19">
        <v>19.8</v>
      </c>
      <c r="N934" s="9" t="str">
        <f>UPPER(TEXT(TablaCosechas[[#This Row],[COSECHA]],"MMMM"))</f>
        <v>ENERO</v>
      </c>
      <c r="O934" s="9" t="str">
        <f>IF(A934="DO 29","BAP",IF(A934="RO 14","BAP",(VLOOKUP(TablaCosechas[[#This Row],[COD]],Tabla7[[CODIGO]:[CERTIFICACION]],3,0))))</f>
        <v>ASC</v>
      </c>
      <c r="P934" s="180">
        <f>+L934-E934</f>
        <v>-280.73999999999978</v>
      </c>
      <c r="Q934" s="181">
        <f>+M934-F934</f>
        <v>1.8000000000000007</v>
      </c>
      <c r="R934" s="9"/>
    </row>
    <row r="935" spans="1:18" x14ac:dyDescent="0.25">
      <c r="A935" s="9" t="s">
        <v>145</v>
      </c>
      <c r="B935" s="9">
        <f>ROW() - ROW(TablaCosechas[[#Headers],[ID]]) - 4</f>
        <v>930</v>
      </c>
      <c r="C935" s="9" t="str">
        <f>LEFT(A935,2)</f>
        <v>GT</v>
      </c>
      <c r="D935" s="182" t="s">
        <v>366</v>
      </c>
      <c r="E935" s="178">
        <v>12800</v>
      </c>
      <c r="F935" s="19">
        <v>30</v>
      </c>
      <c r="G935" s="195">
        <v>46035</v>
      </c>
      <c r="H935" s="9" t="str">
        <f>VLOOKUP(TablaCosechas[[#This Row],[COD]],DATOS!$E$3:$F$27,2,0)</f>
        <v>GUATO</v>
      </c>
      <c r="I935" s="9" t="str">
        <f>RIGHT(TablaCosechas[[#This Row],[SECTOR/PISCINA]],2)</f>
        <v>15</v>
      </c>
      <c r="J935" s="9" t="str">
        <f>VLOOKUP(TablaCosechas[[#This Row],[COD]],Tabla7[#All],4,0)</f>
        <v>JULIO SANTOS</v>
      </c>
      <c r="K935" s="179">
        <f>(TablaCosechas[[#This Row],[libras planta]]*454)/M935</f>
        <v>201879.16447368421</v>
      </c>
      <c r="L935" s="215">
        <v>13517.9</v>
      </c>
      <c r="M935" s="19">
        <v>30.4</v>
      </c>
      <c r="N935" s="9" t="str">
        <f>UPPER(TEXT(TablaCosechas[[#This Row],[COSECHA]],"MMMM"))</f>
        <v>ENERO</v>
      </c>
      <c r="O935" s="9" t="str">
        <f>IF(A935="DO 29","BAP",IF(A935="RO 14","BAP",(VLOOKUP(TablaCosechas[[#This Row],[COD]],Tabla7[[CODIGO]:[CERTIFICACION]],3,0))))</f>
        <v>CONVENCIONAL</v>
      </c>
      <c r="P935" s="180">
        <f>+L935-E935</f>
        <v>717.89999999999964</v>
      </c>
      <c r="Q935" s="181">
        <f>+M935-F935</f>
        <v>0.39999999999999858</v>
      </c>
      <c r="R935" s="9"/>
    </row>
    <row r="936" spans="1:18" x14ac:dyDescent="0.25">
      <c r="A936" s="9" t="s">
        <v>144</v>
      </c>
      <c r="B936" s="9">
        <f>ROW() - ROW(TablaCosechas[[#Headers],[ID]]) - 4</f>
        <v>931</v>
      </c>
      <c r="C936" s="9" t="str">
        <f>LEFT(A936,2)</f>
        <v>DO</v>
      </c>
      <c r="D936" s="182" t="s">
        <v>366</v>
      </c>
      <c r="E936" s="178">
        <v>45800</v>
      </c>
      <c r="F936" s="19">
        <v>30</v>
      </c>
      <c r="G936" s="195">
        <v>46035</v>
      </c>
      <c r="H936" s="9" t="str">
        <f>VLOOKUP(TablaCosechas[[#This Row],[COD]],DATOS!$E$3:$F$27,2,0)</f>
        <v>DORADO</v>
      </c>
      <c r="I936" s="9" t="str">
        <f>RIGHT(TablaCosechas[[#This Row],[SECTOR/PISCINA]],2)</f>
        <v>09</v>
      </c>
      <c r="J936" s="9" t="str">
        <f>VLOOKUP(TablaCosechas[[#This Row],[COD]],Tabla7[#All],4,0)</f>
        <v>JOSE CEDEÑO</v>
      </c>
      <c r="K936" s="179">
        <f>(TablaCosechas[[#This Row],[libras planta]]*454)/M936</f>
        <v>714563.61466666672</v>
      </c>
      <c r="L936" s="215">
        <v>47217.86</v>
      </c>
      <c r="M936" s="19">
        <v>30</v>
      </c>
      <c r="N936" s="9" t="str">
        <f>UPPER(TEXT(TablaCosechas[[#This Row],[COSECHA]],"MMMM"))</f>
        <v>ENERO</v>
      </c>
      <c r="O936" s="9" t="str">
        <f>IF(A936="DO 29","BAP",IF(A936="RO 14","BAP",(VLOOKUP(TablaCosechas[[#This Row],[COD]],Tabla7[[CODIGO]:[CERTIFICACION]],3,0))))</f>
        <v>ASC</v>
      </c>
      <c r="P936" s="180">
        <f>+L936-E936</f>
        <v>1417.8600000000006</v>
      </c>
      <c r="Q936" s="181">
        <f>+M936-F936</f>
        <v>0</v>
      </c>
      <c r="R936" s="9"/>
    </row>
    <row r="937" spans="1:18" x14ac:dyDescent="0.25">
      <c r="A937" s="9" t="s">
        <v>26</v>
      </c>
      <c r="B937" s="9">
        <f>ROW() - ROW(TablaCosechas[[#Headers],[ID]]) - 4</f>
        <v>932</v>
      </c>
      <c r="C937" s="9" t="str">
        <f>LEFT(A937,2)</f>
        <v>CH</v>
      </c>
      <c r="D937" s="182" t="s">
        <v>366</v>
      </c>
      <c r="E937" s="178">
        <v>31350</v>
      </c>
      <c r="F937" s="19">
        <v>36</v>
      </c>
      <c r="G937" s="195">
        <v>46035</v>
      </c>
      <c r="H937" s="9" t="str">
        <f>VLOOKUP(TablaCosechas[[#This Row],[COD]],DATOS!$E$3:$F$27,2,0)</f>
        <v>CHERNA</v>
      </c>
      <c r="I937" s="9" t="str">
        <f>RIGHT(TablaCosechas[[#This Row],[SECTOR/PISCINA]],2)</f>
        <v>23</v>
      </c>
      <c r="J937" s="9" t="str">
        <f>VLOOKUP(TablaCosechas[[#This Row],[COD]],Tabla7[#All],4,0)</f>
        <v>SANTIAGO OBRIEN</v>
      </c>
      <c r="K937" s="179">
        <f>(TablaCosechas[[#This Row],[libras planta]]*454)/M937</f>
        <v>418356.29731242999</v>
      </c>
      <c r="L937" s="215">
        <v>32915.61</v>
      </c>
      <c r="M937" s="19">
        <v>35.72</v>
      </c>
      <c r="N937" s="9" t="str">
        <f>UPPER(TEXT(TablaCosechas[[#This Row],[COSECHA]],"MMMM"))</f>
        <v>ENERO</v>
      </c>
      <c r="O937" s="9" t="str">
        <f>IF(A937="DO 29","BAP",IF(A937="RO 14","BAP",(VLOOKUP(TablaCosechas[[#This Row],[COD]],Tabla7[[CODIGO]:[CERTIFICACION]],3,0))))</f>
        <v>ASC</v>
      </c>
      <c r="P937" s="180">
        <f>+L937-E937</f>
        <v>1565.6100000000006</v>
      </c>
      <c r="Q937" s="181">
        <f>+M937-F937</f>
        <v>-0.28000000000000114</v>
      </c>
      <c r="R937" s="9"/>
    </row>
    <row r="938" spans="1:18" x14ac:dyDescent="0.25">
      <c r="A938" s="9" t="s">
        <v>226</v>
      </c>
      <c r="B938" s="9">
        <f>ROW() - ROW(TablaCosechas[[#Headers],[ID]]) - 4</f>
        <v>933</v>
      </c>
      <c r="C938" s="9" t="str">
        <f>LEFT(A938,2)</f>
        <v>BA</v>
      </c>
      <c r="D938" s="182" t="s">
        <v>367</v>
      </c>
      <c r="E938" s="178">
        <v>4550</v>
      </c>
      <c r="F938" s="19">
        <v>20</v>
      </c>
      <c r="G938" s="195">
        <v>46035</v>
      </c>
      <c r="H938" s="9" t="str">
        <f>VLOOKUP(TablaCosechas[[#This Row],[COD]],DATOS!$E$3:$F$27,2,0)</f>
        <v>BARRACUDA</v>
      </c>
      <c r="I938" s="9" t="str">
        <f>RIGHT(TablaCosechas[[#This Row],[SECTOR/PISCINA]],2)</f>
        <v>01</v>
      </c>
      <c r="J938" s="9" t="str">
        <f>VLOOKUP(TablaCosechas[[#This Row],[COD]],Tabla7[#All],4,0)</f>
        <v>GUSTAVO CARRASCO</v>
      </c>
      <c r="K938" s="179">
        <f>(TablaCosechas[[#This Row],[libras planta]]*454)/M938</f>
        <v>99930.588571428569</v>
      </c>
      <c r="L938" s="215">
        <v>4622.34</v>
      </c>
      <c r="M938" s="19">
        <v>21</v>
      </c>
      <c r="N938" s="9" t="str">
        <f>UPPER(TEXT(TablaCosechas[[#This Row],[COSECHA]],"MMMM"))</f>
        <v>ENERO</v>
      </c>
      <c r="O938" s="9" t="str">
        <f>IF(A938="DO 29","BAP",IF(A938="RO 14","BAP",(VLOOKUP(TablaCosechas[[#This Row],[COD]],Tabla7[[CODIGO]:[CERTIFICACION]],3,0))))</f>
        <v>CONVENCIONAL</v>
      </c>
      <c r="P938" s="180">
        <f>+L938-E938</f>
        <v>72.340000000000146</v>
      </c>
      <c r="Q938" s="181">
        <f>+M938-F938</f>
        <v>1</v>
      </c>
      <c r="R938" s="9"/>
    </row>
    <row r="939" spans="1:18" x14ac:dyDescent="0.25">
      <c r="A939" s="9" t="s">
        <v>189</v>
      </c>
      <c r="B939" s="9">
        <f>ROW() - ROW(TablaCosechas[[#Headers],[ID]]) - 4</f>
        <v>934</v>
      </c>
      <c r="C939" s="9" t="str">
        <f>LEFT(A939,2)</f>
        <v>TU</v>
      </c>
      <c r="D939" s="182" t="s">
        <v>367</v>
      </c>
      <c r="E939" s="178">
        <v>5550</v>
      </c>
      <c r="F939" s="19">
        <v>24</v>
      </c>
      <c r="G939" s="195">
        <v>46036</v>
      </c>
      <c r="H939" s="9" t="str">
        <f>VLOOKUP(TablaCosechas[[#This Row],[COD]],DATOS!$E$3:$F$27,2,0)</f>
        <v>TUNA</v>
      </c>
      <c r="I939" s="9" t="str">
        <f>RIGHT(TablaCosechas[[#This Row],[SECTOR/PISCINA]],2)</f>
        <v>03</v>
      </c>
      <c r="J939" s="9" t="str">
        <f>VLOOKUP(TablaCosechas[[#This Row],[COD]],Tabla7[#All],4,0)</f>
        <v>GUSTAVO CARRASCO</v>
      </c>
      <c r="K939" s="179">
        <f>(TablaCosechas[[#This Row],[libras planta]]*454)/M939</f>
        <v>98897.791967871497</v>
      </c>
      <c r="L939" s="215">
        <v>5424.13</v>
      </c>
      <c r="M939" s="19">
        <v>24.9</v>
      </c>
      <c r="N939" s="9" t="str">
        <f>UPPER(TEXT(TablaCosechas[[#This Row],[COSECHA]],"MMMM"))</f>
        <v>ENERO</v>
      </c>
      <c r="O939" s="9" t="str">
        <f>IF(A939="DO 29","BAP",IF(A939="RO 14","BAP",(VLOOKUP(TablaCosechas[[#This Row],[COD]],Tabla7[[CODIGO]:[CERTIFICACION]],3,0))))</f>
        <v>ASC</v>
      </c>
      <c r="P939" s="180">
        <f>+L939-E939</f>
        <v>-125.86999999999989</v>
      </c>
      <c r="Q939" s="181">
        <f>+M939-F939</f>
        <v>0.89999999999999858</v>
      </c>
      <c r="R939" s="9"/>
    </row>
    <row r="940" spans="1:18" x14ac:dyDescent="0.25">
      <c r="A940" s="9" t="s">
        <v>150</v>
      </c>
      <c r="B940" s="9">
        <f>ROW() - ROW(TablaCosechas[[#Headers],[ID]]) - 4</f>
        <v>935</v>
      </c>
      <c r="C940" s="9" t="str">
        <f>LEFT(A940,2)</f>
        <v>RO</v>
      </c>
      <c r="D940" s="182" t="s">
        <v>366</v>
      </c>
      <c r="E940" s="178">
        <v>38600</v>
      </c>
      <c r="F940" s="19">
        <v>35</v>
      </c>
      <c r="G940" s="195">
        <v>46036</v>
      </c>
      <c r="H940" s="9" t="str">
        <f>VLOOKUP(TablaCosechas[[#This Row],[COD]],DATOS!$E$3:$F$27,2,0)</f>
        <v>ROBALO</v>
      </c>
      <c r="I940" s="9" t="str">
        <f>RIGHT(TablaCosechas[[#This Row],[SECTOR/PISCINA]],2)</f>
        <v>07</v>
      </c>
      <c r="J940" s="9" t="str">
        <f>VLOOKUP(TablaCosechas[[#This Row],[COD]],Tabla7[#All],4,0)</f>
        <v>VICTOR QUINTANA</v>
      </c>
      <c r="K940" s="179">
        <f>(TablaCosechas[[#This Row],[libras planta]]*454)/M940</f>
        <v>516153.73816155997</v>
      </c>
      <c r="L940" s="215">
        <v>40814.800000000003</v>
      </c>
      <c r="M940" s="19">
        <v>35.9</v>
      </c>
      <c r="N940" s="9" t="str">
        <f>UPPER(TEXT(TablaCosechas[[#This Row],[COSECHA]],"MMMM"))</f>
        <v>ENERO</v>
      </c>
      <c r="O940" s="9" t="str">
        <f>IF(A940="DO 29","BAP",IF(A940="RO 14","BAP",(VLOOKUP(TablaCosechas[[#This Row],[COD]],Tabla7[[CODIGO]:[CERTIFICACION]],3,0))))</f>
        <v>ASC</v>
      </c>
      <c r="P940" s="180">
        <f>+L940-E940</f>
        <v>2214.8000000000029</v>
      </c>
      <c r="Q940" s="181">
        <f>+M940-F940</f>
        <v>0.89999999999999858</v>
      </c>
      <c r="R940" s="9"/>
    </row>
    <row r="941" spans="1:18" x14ac:dyDescent="0.25">
      <c r="A941" s="9" t="s">
        <v>149</v>
      </c>
      <c r="B941" s="9">
        <f>ROW() - ROW(TablaCosechas[[#Headers],[ID]]) - 4</f>
        <v>936</v>
      </c>
      <c r="C941" s="9" t="str">
        <f>LEFT(A941,2)</f>
        <v>PR</v>
      </c>
      <c r="D941" s="182" t="s">
        <v>366</v>
      </c>
      <c r="E941" s="178">
        <v>15200</v>
      </c>
      <c r="F941" s="19">
        <v>21</v>
      </c>
      <c r="G941" s="195">
        <v>46036</v>
      </c>
      <c r="H941" s="9" t="str">
        <f>VLOOKUP(TablaCosechas[[#This Row],[COD]],DATOS!$E$3:$F$27,2,0)</f>
        <v>PARGO ROJO</v>
      </c>
      <c r="I941" s="9" t="str">
        <f>RIGHT(TablaCosechas[[#This Row],[SECTOR/PISCINA]],2)</f>
        <v>31</v>
      </c>
      <c r="J941" s="9" t="str">
        <f>VLOOKUP(TablaCosechas[[#This Row],[COD]],Tabla7[#All],4,0)</f>
        <v>WILMER TORRES</v>
      </c>
      <c r="K941" s="179">
        <f>(TablaCosechas[[#This Row],[libras planta]]*454)/M941</f>
        <v>389148.36788048543</v>
      </c>
      <c r="L941" s="215">
        <v>18360.259999999998</v>
      </c>
      <c r="M941" s="19">
        <v>21.42</v>
      </c>
      <c r="N941" s="9" t="str">
        <f>UPPER(TEXT(TablaCosechas[[#This Row],[COSECHA]],"MMMM"))</f>
        <v>ENERO</v>
      </c>
      <c r="O941" s="9" t="str">
        <f>IF(A941="DO 29","BAP",IF(A941="RO 14","BAP",(VLOOKUP(TablaCosechas[[#This Row],[COD]],Tabla7[[CODIGO]:[CERTIFICACION]],3,0))))</f>
        <v>CONVENCIONAL</v>
      </c>
      <c r="P941" s="180">
        <f>+L941-E941</f>
        <v>3160.2599999999984</v>
      </c>
      <c r="Q941" s="181">
        <f>+M941-F941</f>
        <v>0.42000000000000171</v>
      </c>
      <c r="R941" s="9"/>
    </row>
    <row r="942" spans="1:18" x14ac:dyDescent="0.25">
      <c r="A942" s="9" t="s">
        <v>175</v>
      </c>
      <c r="B942" s="9">
        <f>ROW() - ROW(TablaCosechas[[#Headers],[ID]]) - 4</f>
        <v>937</v>
      </c>
      <c r="C942" s="9" t="str">
        <f>LEFT(A942,2)</f>
        <v>PA</v>
      </c>
      <c r="D942" s="182" t="s">
        <v>367</v>
      </c>
      <c r="E942" s="178">
        <v>4900</v>
      </c>
      <c r="F942" s="19">
        <v>21</v>
      </c>
      <c r="G942" s="195">
        <v>46036</v>
      </c>
      <c r="H942" s="9" t="str">
        <f>VLOOKUP(TablaCosechas[[#This Row],[COD]],DATOS!$E$3:$F$27,2,0)</f>
        <v>PAMPANO</v>
      </c>
      <c r="I942" s="9" t="str">
        <f>RIGHT(TablaCosechas[[#This Row],[SECTOR/PISCINA]],2)</f>
        <v>09</v>
      </c>
      <c r="J942" s="9" t="str">
        <f>VLOOKUP(TablaCosechas[[#This Row],[COD]],Tabla7[#All],4,0)</f>
        <v>GUSTAVO CARRASCO</v>
      </c>
      <c r="K942" s="179">
        <f>(TablaCosechas[[#This Row],[libras planta]]*454)/M942</f>
        <v>94374.920331950212</v>
      </c>
      <c r="L942" s="215">
        <v>5009.7700000000004</v>
      </c>
      <c r="M942" s="19">
        <v>24.1</v>
      </c>
      <c r="N942" s="9" t="str">
        <f>UPPER(TEXT(TablaCosechas[[#This Row],[COSECHA]],"MMMM"))</f>
        <v>ENERO</v>
      </c>
      <c r="O942" s="9" t="str">
        <f>IF(A942="DO 29","BAP",IF(A942="RO 14","BAP",(VLOOKUP(TablaCosechas[[#This Row],[COD]],Tabla7[[CODIGO]:[CERTIFICACION]],3,0))))</f>
        <v>ASC</v>
      </c>
      <c r="P942" s="180">
        <f>+L942-E942</f>
        <v>109.77000000000044</v>
      </c>
      <c r="Q942" s="181">
        <f>+M942-F942</f>
        <v>3.1000000000000014</v>
      </c>
      <c r="R942" s="9"/>
    </row>
    <row r="943" spans="1:18" x14ac:dyDescent="0.25">
      <c r="A943" s="9" t="s">
        <v>148</v>
      </c>
      <c r="B943" s="9">
        <f>ROW() - ROW(TablaCosechas[[#Headers],[ID]]) - 4</f>
        <v>938</v>
      </c>
      <c r="C943" s="9" t="str">
        <f>LEFT(A943,2)</f>
        <v>GT</v>
      </c>
      <c r="D943" s="182" t="s">
        <v>366</v>
      </c>
      <c r="E943" s="178">
        <v>11700</v>
      </c>
      <c r="F943" s="19">
        <v>29</v>
      </c>
      <c r="G943" s="195">
        <v>46036</v>
      </c>
      <c r="H943" s="9" t="str">
        <f>VLOOKUP(TablaCosechas[[#This Row],[COD]],DATOS!$E$3:$F$27,2,0)</f>
        <v>GUATO</v>
      </c>
      <c r="I943" s="9" t="str">
        <f>RIGHT(TablaCosechas[[#This Row],[SECTOR/PISCINA]],2)</f>
        <v>07</v>
      </c>
      <c r="J943" s="9" t="str">
        <f>VLOOKUP(TablaCosechas[[#This Row],[COD]],Tabla7[#All],4,0)</f>
        <v>JULIO SANTOS</v>
      </c>
      <c r="K943" s="179">
        <f>(TablaCosechas[[#This Row],[libras planta]]*454)/M943</f>
        <v>188935.09754479097</v>
      </c>
      <c r="L943" s="215">
        <v>12542.96</v>
      </c>
      <c r="M943" s="19">
        <v>30.14</v>
      </c>
      <c r="N943" s="9" t="str">
        <f>UPPER(TEXT(TablaCosechas[[#This Row],[COSECHA]],"MMMM"))</f>
        <v>ENERO</v>
      </c>
      <c r="O943" s="9" t="str">
        <f>IF(A943="DO 29","BAP",IF(A943="RO 14","BAP",(VLOOKUP(TablaCosechas[[#This Row],[COD]],Tabla7[[CODIGO]:[CERTIFICACION]],3,0))))</f>
        <v>CONVENCIONAL</v>
      </c>
      <c r="P943" s="180">
        <f>+L943-E943</f>
        <v>842.95999999999913</v>
      </c>
      <c r="Q943" s="181">
        <f>+M943-F943</f>
        <v>1.1400000000000006</v>
      </c>
      <c r="R943" s="9"/>
    </row>
    <row r="944" spans="1:18" x14ac:dyDescent="0.25">
      <c r="A944" s="9" t="s">
        <v>220</v>
      </c>
      <c r="B944" s="9">
        <f>ROW() - ROW(TablaCosechas[[#Headers],[ID]]) - 4</f>
        <v>939</v>
      </c>
      <c r="C944" s="9" t="str">
        <f>LEFT(A944,2)</f>
        <v>DO</v>
      </c>
      <c r="D944" s="182" t="s">
        <v>367</v>
      </c>
      <c r="E944" s="178">
        <v>8000</v>
      </c>
      <c r="F944" s="19">
        <v>21</v>
      </c>
      <c r="G944" s="195">
        <v>46036</v>
      </c>
      <c r="H944" s="9" t="str">
        <f>VLOOKUP(TablaCosechas[[#This Row],[COD]],DATOS!$E$3:$F$27,2,0)</f>
        <v>DORADO</v>
      </c>
      <c r="I944" s="9" t="str">
        <f>RIGHT(TablaCosechas[[#This Row],[SECTOR/PISCINA]],2)</f>
        <v>13</v>
      </c>
      <c r="J944" s="9" t="str">
        <f>VLOOKUP(TablaCosechas[[#This Row],[COD]],Tabla7[#All],4,0)</f>
        <v>JOSE CEDEÑO</v>
      </c>
      <c r="K944" s="179">
        <f>(TablaCosechas[[#This Row],[libras planta]]*454)/M944</f>
        <v>146769.01885175667</v>
      </c>
      <c r="L944" s="215">
        <v>7545.35</v>
      </c>
      <c r="M944" s="19">
        <v>23.34</v>
      </c>
      <c r="N944" s="9" t="str">
        <f>UPPER(TEXT(TablaCosechas[[#This Row],[COSECHA]],"MMMM"))</f>
        <v>ENERO</v>
      </c>
      <c r="O944" s="9" t="str">
        <f>IF(A944="DO 29","BAP",IF(A944="RO 14","BAP",(VLOOKUP(TablaCosechas[[#This Row],[COD]],Tabla7[[CODIGO]:[CERTIFICACION]],3,0))))</f>
        <v>ASC</v>
      </c>
      <c r="P944" s="180">
        <f>+L944-E944</f>
        <v>-454.64999999999964</v>
      </c>
      <c r="Q944" s="181">
        <f>+M944-F944</f>
        <v>2.34</v>
      </c>
      <c r="R944" s="9"/>
    </row>
    <row r="945" spans="1:18" x14ac:dyDescent="0.25">
      <c r="A945" s="9" t="s">
        <v>147</v>
      </c>
      <c r="B945" s="9">
        <f>ROW() - ROW(TablaCosechas[[#Headers],[ID]]) - 4</f>
        <v>940</v>
      </c>
      <c r="C945" s="9" t="str">
        <f>LEFT(A945,2)</f>
        <v>DO</v>
      </c>
      <c r="D945" s="182" t="s">
        <v>366</v>
      </c>
      <c r="E945" s="178">
        <v>40400</v>
      </c>
      <c r="F945" s="19">
        <v>28</v>
      </c>
      <c r="G945" s="195">
        <v>46036</v>
      </c>
      <c r="H945" s="9" t="str">
        <f>VLOOKUP(TablaCosechas[[#This Row],[COD]],DATOS!$E$3:$F$27,2,0)</f>
        <v>DORADO</v>
      </c>
      <c r="I945" s="9" t="str">
        <f>RIGHT(TablaCosechas[[#This Row],[SECTOR/PISCINA]],2)</f>
        <v>08</v>
      </c>
      <c r="J945" s="9" t="str">
        <f>VLOOKUP(TablaCosechas[[#This Row],[COD]],Tabla7[#All],4,0)</f>
        <v>JOSE CEDEÑO</v>
      </c>
      <c r="K945" s="179">
        <f>(TablaCosechas[[#This Row],[libras planta]]*454)/M945</f>
        <v>638509.27090532123</v>
      </c>
      <c r="L945" s="215">
        <v>40701.449999999997</v>
      </c>
      <c r="M945" s="19">
        <v>28.94</v>
      </c>
      <c r="N945" s="9" t="str">
        <f>UPPER(TEXT(TablaCosechas[[#This Row],[COSECHA]],"MMMM"))</f>
        <v>ENERO</v>
      </c>
      <c r="O945" s="9" t="str">
        <f>IF(A945="DO 29","BAP",IF(A945="RO 14","BAP",(VLOOKUP(TablaCosechas[[#This Row],[COD]],Tabla7[[CODIGO]:[CERTIFICACION]],3,0))))</f>
        <v>ASC</v>
      </c>
      <c r="P945" s="180">
        <f>+L945-E945</f>
        <v>301.44999999999709</v>
      </c>
      <c r="Q945" s="181">
        <f>+M945-F945</f>
        <v>0.94000000000000128</v>
      </c>
      <c r="R945" s="9"/>
    </row>
    <row r="946" spans="1:18" x14ac:dyDescent="0.25">
      <c r="A946" s="9" t="s">
        <v>182</v>
      </c>
      <c r="B946" s="9">
        <f>ROW() - ROW(TablaCosechas[[#Headers],[ID]]) - 4</f>
        <v>941</v>
      </c>
      <c r="C946" s="9" t="str">
        <f>LEFT(A946,2)</f>
        <v>DE</v>
      </c>
      <c r="D946" s="182" t="s">
        <v>367</v>
      </c>
      <c r="E946" s="178">
        <v>4000</v>
      </c>
      <c r="F946" s="19">
        <v>27</v>
      </c>
      <c r="G946" s="195">
        <v>46036</v>
      </c>
      <c r="H946" s="9" t="str">
        <f>VLOOKUP(TablaCosechas[[#This Row],[COD]],DATOS!$E$3:$F$27,2,0)</f>
        <v>DELFIN</v>
      </c>
      <c r="I946" s="9" t="str">
        <f>RIGHT(TablaCosechas[[#This Row],[SECTOR/PISCINA]],2)</f>
        <v>24</v>
      </c>
      <c r="J946" s="9" t="str">
        <f>VLOOKUP(TablaCosechas[[#This Row],[COD]],Tabla7[#All],4,0)</f>
        <v>CARLOS FLORES</v>
      </c>
      <c r="K946" s="179">
        <f>(TablaCosechas[[#This Row],[libras planta]]*454)/M946</f>
        <v>58013.884910485933</v>
      </c>
      <c r="L946" s="215">
        <v>3997.08</v>
      </c>
      <c r="M946" s="19">
        <v>31.28</v>
      </c>
      <c r="N946" s="9" t="str">
        <f>UPPER(TEXT(TablaCosechas[[#This Row],[COSECHA]],"MMMM"))</f>
        <v>ENERO</v>
      </c>
      <c r="O946" s="9" t="str">
        <f>IF(A946="DO 29","BAP",IF(A946="RO 14","BAP",(VLOOKUP(TablaCosechas[[#This Row],[COD]],Tabla7[[CODIGO]:[CERTIFICACION]],3,0))))</f>
        <v>CONVENCIONAL</v>
      </c>
      <c r="P946" s="180">
        <f>+L946-E946</f>
        <v>-2.9200000000000728</v>
      </c>
      <c r="Q946" s="181">
        <f>+M946-F946</f>
        <v>4.2800000000000011</v>
      </c>
      <c r="R946" s="9"/>
    </row>
    <row r="947" spans="1:18" x14ac:dyDescent="0.25">
      <c r="A947" s="9" t="s">
        <v>194</v>
      </c>
      <c r="B947" s="9">
        <f>ROW() - ROW(TablaCosechas[[#Headers],[ID]]) - 4</f>
        <v>942</v>
      </c>
      <c r="C947" s="9" t="str">
        <f>LEFT(A947,2)</f>
        <v>DE</v>
      </c>
      <c r="D947" s="182" t="s">
        <v>367</v>
      </c>
      <c r="E947" s="178">
        <v>3200</v>
      </c>
      <c r="F947" s="19">
        <v>26</v>
      </c>
      <c r="G947" s="195">
        <v>46036</v>
      </c>
      <c r="H947" s="9" t="str">
        <f>VLOOKUP(TablaCosechas[[#This Row],[COD]],DATOS!$E$3:$F$27,2,0)</f>
        <v>DELFIN</v>
      </c>
      <c r="I947" s="9" t="str">
        <f>RIGHT(TablaCosechas[[#This Row],[SECTOR/PISCINA]],2)</f>
        <v>20</v>
      </c>
      <c r="J947" s="9" t="str">
        <f>VLOOKUP(TablaCosechas[[#This Row],[COD]],Tabla7[#All],4,0)</f>
        <v>CARLOS FLORES</v>
      </c>
      <c r="K947" s="179">
        <f>(TablaCosechas[[#This Row],[libras planta]]*454)/M947</f>
        <v>57083.977011494244</v>
      </c>
      <c r="L947" s="215">
        <v>3281.7</v>
      </c>
      <c r="M947" s="19">
        <v>26.1</v>
      </c>
      <c r="N947" s="9" t="str">
        <f>UPPER(TEXT(TablaCosechas[[#This Row],[COSECHA]],"MMMM"))</f>
        <v>ENERO</v>
      </c>
      <c r="O947" s="9" t="str">
        <f>IF(A947="DO 29","BAP",IF(A947="RO 14","BAP",(VLOOKUP(TablaCosechas[[#This Row],[COD]],Tabla7[[CODIGO]:[CERTIFICACION]],3,0))))</f>
        <v>CONVENCIONAL</v>
      </c>
      <c r="P947" s="180">
        <f>+L947-E947</f>
        <v>81.699999999999818</v>
      </c>
      <c r="Q947" s="181">
        <f>+M947-F947</f>
        <v>0.10000000000000142</v>
      </c>
      <c r="R947" s="9"/>
    </row>
    <row r="948" spans="1:18" x14ac:dyDescent="0.25">
      <c r="A948" s="9" t="s">
        <v>27</v>
      </c>
      <c r="B948" s="9">
        <f>ROW() - ROW(TablaCosechas[[#Headers],[ID]]) - 4</f>
        <v>943</v>
      </c>
      <c r="C948" s="9" t="str">
        <f>LEFT(A948,2)</f>
        <v>CH</v>
      </c>
      <c r="D948" s="182" t="s">
        <v>366</v>
      </c>
      <c r="E948" s="178">
        <v>15850</v>
      </c>
      <c r="F948" s="19">
        <v>36</v>
      </c>
      <c r="G948" s="195">
        <v>46036</v>
      </c>
      <c r="H948" s="9" t="str">
        <f>VLOOKUP(TablaCosechas[[#This Row],[COD]],DATOS!$E$3:$F$27,2,0)</f>
        <v>CHERNA</v>
      </c>
      <c r="I948" s="9" t="str">
        <f>RIGHT(TablaCosechas[[#This Row],[SECTOR/PISCINA]],2)</f>
        <v>24</v>
      </c>
      <c r="J948" s="9" t="str">
        <f>VLOOKUP(TablaCosechas[[#This Row],[COD]],Tabla7[#All],4,0)</f>
        <v>SANTIAGO OBRIEN</v>
      </c>
      <c r="K948" s="179">
        <f>(TablaCosechas[[#This Row],[libras planta]]*454)/M948</f>
        <v>236514.76502403847</v>
      </c>
      <c r="L948" s="215">
        <v>17337.47</v>
      </c>
      <c r="M948" s="19">
        <v>33.28</v>
      </c>
      <c r="N948" s="9" t="str">
        <f>UPPER(TEXT(TablaCosechas[[#This Row],[COSECHA]],"MMMM"))</f>
        <v>ENERO</v>
      </c>
      <c r="O948" s="9" t="str">
        <f>IF(A948="DO 29","BAP",IF(A948="RO 14","BAP",(VLOOKUP(TablaCosechas[[#This Row],[COD]],Tabla7[[CODIGO]:[CERTIFICACION]],3,0))))</f>
        <v>ASC</v>
      </c>
      <c r="P948" s="180">
        <f>+L948-E948</f>
        <v>1487.4700000000012</v>
      </c>
      <c r="Q948" s="181">
        <f>+M948-F948</f>
        <v>-2.7199999999999989</v>
      </c>
      <c r="R948" s="9"/>
    </row>
    <row r="949" spans="1:18" x14ac:dyDescent="0.25">
      <c r="A949" s="9" t="s">
        <v>185</v>
      </c>
      <c r="B949" s="9">
        <f>ROW() - ROW(TablaCosechas[[#Headers],[ID]]) - 4</f>
        <v>944</v>
      </c>
      <c r="C949" s="9" t="str">
        <f>LEFT(A949,2)</f>
        <v>TU</v>
      </c>
      <c r="D949" s="182" t="s">
        <v>367</v>
      </c>
      <c r="E949" s="178">
        <v>10800</v>
      </c>
      <c r="F949" s="19">
        <v>27</v>
      </c>
      <c r="G949" s="195">
        <v>46037</v>
      </c>
      <c r="H949" s="9" t="str">
        <f>VLOOKUP(TablaCosechas[[#This Row],[COD]],DATOS!$E$3:$F$27,2,0)</f>
        <v>TUNA</v>
      </c>
      <c r="I949" s="9" t="str">
        <f>RIGHT(TablaCosechas[[#This Row],[SECTOR/PISCINA]],2)</f>
        <v>4A</v>
      </c>
      <c r="J949" s="9" t="str">
        <f>VLOOKUP(TablaCosechas[[#This Row],[COD]],Tabla7[#All],4,0)</f>
        <v>GUSTAVO CARRASCO</v>
      </c>
      <c r="K949" s="179">
        <f>(TablaCosechas[[#This Row],[libras planta]]*454)/M949</f>
        <v>169904.01846590909</v>
      </c>
      <c r="L949" s="215">
        <v>10538.54</v>
      </c>
      <c r="M949" s="19">
        <v>28.16</v>
      </c>
      <c r="N949" s="9" t="str">
        <f>UPPER(TEXT(TablaCosechas[[#This Row],[COSECHA]],"MMMM"))</f>
        <v>ENERO</v>
      </c>
      <c r="O949" s="9" t="str">
        <f>IF(A949="DO 29","BAP",IF(A949="RO 14","BAP",(VLOOKUP(TablaCosechas[[#This Row],[COD]],Tabla7[[CODIGO]:[CERTIFICACION]],3,0))))</f>
        <v>ASC</v>
      </c>
      <c r="P949" s="180">
        <f>+L949-E949</f>
        <v>-261.45999999999913</v>
      </c>
      <c r="Q949" s="181">
        <f>+M949-F949</f>
        <v>1.1600000000000001</v>
      </c>
      <c r="R949" s="9"/>
    </row>
    <row r="950" spans="1:18" x14ac:dyDescent="0.25">
      <c r="A950" s="9" t="s">
        <v>181</v>
      </c>
      <c r="B950" s="9">
        <f>ROW() - ROW(TablaCosechas[[#Headers],[ID]]) - 4</f>
        <v>945</v>
      </c>
      <c r="C950" s="9" t="str">
        <f>LEFT(A950,2)</f>
        <v>TA</v>
      </c>
      <c r="D950" s="182" t="s">
        <v>367</v>
      </c>
      <c r="E950" s="178">
        <v>12000</v>
      </c>
      <c r="F950" s="19">
        <v>23</v>
      </c>
      <c r="G950" s="195">
        <v>46037</v>
      </c>
      <c r="H950" s="9" t="str">
        <f>VLOOKUP(TablaCosechas[[#This Row],[COD]],DATOS!$E$3:$F$27,2,0)</f>
        <v>TAMBULERO</v>
      </c>
      <c r="I950" s="9" t="str">
        <f>RIGHT(TablaCosechas[[#This Row],[SECTOR/PISCINA]],2)</f>
        <v>10</v>
      </c>
      <c r="J950" s="9" t="str">
        <f>VLOOKUP(TablaCosechas[[#This Row],[COD]],Tabla7[#All],4,0)</f>
        <v>ALFONSO GRUNAUER</v>
      </c>
      <c r="K950" s="179">
        <f>(TablaCosechas[[#This Row],[libras planta]]*454)/M950</f>
        <v>234285.60100166945</v>
      </c>
      <c r="L950" s="215">
        <v>12364.5</v>
      </c>
      <c r="M950" s="19">
        <v>23.96</v>
      </c>
      <c r="N950" s="9" t="str">
        <f>UPPER(TEXT(TablaCosechas[[#This Row],[COSECHA]],"MMMM"))</f>
        <v>ENERO</v>
      </c>
      <c r="O950" s="9" t="str">
        <f>IF(A950="DO 29","BAP",IF(A950="RO 14","BAP",(VLOOKUP(TablaCosechas[[#This Row],[COD]],Tabla7[[CODIGO]:[CERTIFICACION]],3,0))))</f>
        <v>CONVENCIONAL</v>
      </c>
      <c r="P950" s="180">
        <f>+L950-E950</f>
        <v>364.5</v>
      </c>
      <c r="Q950" s="181">
        <f>+M950-F950</f>
        <v>0.96000000000000085</v>
      </c>
      <c r="R950" s="9"/>
    </row>
    <row r="951" spans="1:18" x14ac:dyDescent="0.25">
      <c r="A951" s="9" t="s">
        <v>215</v>
      </c>
      <c r="B951" s="9">
        <f>ROW() - ROW(TablaCosechas[[#Headers],[ID]]) - 4</f>
        <v>946</v>
      </c>
      <c r="C951" s="9" t="str">
        <f>LEFT(A951,2)</f>
        <v>RO</v>
      </c>
      <c r="D951" s="182" t="s">
        <v>367</v>
      </c>
      <c r="E951" s="178">
        <v>15400</v>
      </c>
      <c r="F951" s="19">
        <v>26</v>
      </c>
      <c r="G951" s="195">
        <v>46037</v>
      </c>
      <c r="H951" s="9" t="str">
        <f>VLOOKUP(TablaCosechas[[#This Row],[COD]],DATOS!$E$3:$F$27,2,0)</f>
        <v>ROBALO</v>
      </c>
      <c r="I951" s="9" t="str">
        <f>RIGHT(TablaCosechas[[#This Row],[SECTOR/PISCINA]],2)</f>
        <v>03</v>
      </c>
      <c r="J951" s="9" t="str">
        <f>VLOOKUP(TablaCosechas[[#This Row],[COD]],Tabla7[#All],4,0)</f>
        <v>VICTOR QUINTANA</v>
      </c>
      <c r="K951" s="179">
        <f>(TablaCosechas[[#This Row],[libras planta]]*454)/M951</f>
        <v>246511.94113756617</v>
      </c>
      <c r="L951" s="215">
        <v>16419.650000000001</v>
      </c>
      <c r="M951" s="19">
        <v>30.24</v>
      </c>
      <c r="N951" s="9" t="str">
        <f>UPPER(TEXT(TablaCosechas[[#This Row],[COSECHA]],"MMMM"))</f>
        <v>ENERO</v>
      </c>
      <c r="O951" s="9" t="str">
        <f>IF(A951="DO 29","BAP",IF(A951="RO 14","BAP",(VLOOKUP(TablaCosechas[[#This Row],[COD]],Tabla7[[CODIGO]:[CERTIFICACION]],3,0))))</f>
        <v>ASC</v>
      </c>
      <c r="P951" s="180">
        <f>+L951-E951</f>
        <v>1019.6500000000015</v>
      </c>
      <c r="Q951" s="181">
        <f>+M951-F951</f>
        <v>4.2399999999999984</v>
      </c>
      <c r="R951" s="9"/>
    </row>
    <row r="952" spans="1:18" x14ac:dyDescent="0.25">
      <c r="A952" s="9" t="s">
        <v>154</v>
      </c>
      <c r="B952" s="9">
        <f>ROW() - ROW(TablaCosechas[[#Headers],[ID]]) - 4</f>
        <v>947</v>
      </c>
      <c r="C952" s="9" t="str">
        <f>LEFT(A952,2)</f>
        <v>PR</v>
      </c>
      <c r="D952" s="182" t="s">
        <v>366</v>
      </c>
      <c r="E952" s="178">
        <v>8500</v>
      </c>
      <c r="F952" s="19">
        <v>16.5</v>
      </c>
      <c r="G952" s="195">
        <v>46037</v>
      </c>
      <c r="H952" s="9" t="str">
        <f>VLOOKUP(TablaCosechas[[#This Row],[COD]],DATOS!$E$3:$F$27,2,0)</f>
        <v>PARGO ROJO</v>
      </c>
      <c r="I952" s="9" t="str">
        <f>RIGHT(TablaCosechas[[#This Row],[SECTOR/PISCINA]],2)</f>
        <v>02</v>
      </c>
      <c r="J952" s="9" t="str">
        <f>VLOOKUP(TablaCosechas[[#This Row],[COD]],Tabla7[#All],4,0)</f>
        <v>WILMER TORRES</v>
      </c>
      <c r="K952" s="179">
        <f>(TablaCosechas[[#This Row],[libras planta]]*454)/M952</f>
        <v>268448.26219512196</v>
      </c>
      <c r="L952" s="215">
        <v>9697.25</v>
      </c>
      <c r="M952" s="19">
        <v>16.399999999999999</v>
      </c>
      <c r="N952" s="9" t="str">
        <f>UPPER(TEXT(TablaCosechas[[#This Row],[COSECHA]],"MMMM"))</f>
        <v>ENERO</v>
      </c>
      <c r="O952" s="9" t="str">
        <f>IF(A952="DO 29","BAP",IF(A952="RO 14","BAP",(VLOOKUP(TablaCosechas[[#This Row],[COD]],Tabla7[[CODIGO]:[CERTIFICACION]],3,0))))</f>
        <v>CONVENCIONAL</v>
      </c>
      <c r="P952" s="180">
        <f>+L952-E952</f>
        <v>1197.25</v>
      </c>
      <c r="Q952" s="181">
        <f>+M952-F952</f>
        <v>-0.10000000000000142</v>
      </c>
      <c r="R952" s="9"/>
    </row>
    <row r="953" spans="1:18" x14ac:dyDescent="0.25">
      <c r="A953" s="9" t="s">
        <v>221</v>
      </c>
      <c r="B953" s="9">
        <f>ROW() - ROW(TablaCosechas[[#Headers],[ID]]) - 4</f>
        <v>948</v>
      </c>
      <c r="C953" s="9" t="str">
        <f>LEFT(A953,2)</f>
        <v>MA</v>
      </c>
      <c r="D953" s="182" t="s">
        <v>367</v>
      </c>
      <c r="E953" s="178">
        <v>4700</v>
      </c>
      <c r="F953" s="19">
        <v>25</v>
      </c>
      <c r="G953" s="195">
        <v>46037</v>
      </c>
      <c r="H953" s="9" t="str">
        <f>VLOOKUP(TablaCosechas[[#This Row],[COD]],DATOS!$E$3:$F$27,2,0)</f>
        <v>MANTARRAYA</v>
      </c>
      <c r="I953" s="9" t="str">
        <f>RIGHT(TablaCosechas[[#This Row],[SECTOR/PISCINA]],2)</f>
        <v>11</v>
      </c>
      <c r="J953" s="9" t="str">
        <f>VLOOKUP(TablaCosechas[[#This Row],[COD]],Tabla7[#All],4,0)</f>
        <v>GUSTAVO CARRASCO</v>
      </c>
      <c r="K953" s="179">
        <f>(TablaCosechas[[#This Row],[libras planta]]*454)/M953</f>
        <v>72236.663768115934</v>
      </c>
      <c r="L953" s="215">
        <v>4391.4799999999996</v>
      </c>
      <c r="M953" s="19">
        <v>27.6</v>
      </c>
      <c r="N953" s="9" t="str">
        <f>UPPER(TEXT(TablaCosechas[[#This Row],[COSECHA]],"MMMM"))</f>
        <v>ENERO</v>
      </c>
      <c r="O953" s="9" t="str">
        <f>IF(A953="DO 29","BAP",IF(A953="RO 14","BAP",(VLOOKUP(TablaCosechas[[#This Row],[COD]],Tabla7[[CODIGO]:[CERTIFICACION]],3,0))))</f>
        <v>ASC</v>
      </c>
      <c r="P953" s="180">
        <f>+L953-E953</f>
        <v>-308.52000000000044</v>
      </c>
      <c r="Q953" s="181">
        <f>+M953-F953</f>
        <v>2.6000000000000014</v>
      </c>
      <c r="R953" s="9"/>
    </row>
    <row r="954" spans="1:18" x14ac:dyDescent="0.25">
      <c r="A954" s="9" t="s">
        <v>153</v>
      </c>
      <c r="B954" s="9">
        <f>ROW() - ROW(TablaCosechas[[#Headers],[ID]]) - 4</f>
        <v>949</v>
      </c>
      <c r="C954" s="9" t="str">
        <f>LEFT(A954,2)</f>
        <v>GT</v>
      </c>
      <c r="D954" s="182" t="s">
        <v>366</v>
      </c>
      <c r="E954" s="178">
        <v>20100</v>
      </c>
      <c r="F954" s="19">
        <v>33</v>
      </c>
      <c r="G954" s="195">
        <v>46037</v>
      </c>
      <c r="H954" s="9" t="str">
        <f>VLOOKUP(TablaCosechas[[#This Row],[COD]],DATOS!$E$3:$F$27,2,0)</f>
        <v>GUATO</v>
      </c>
      <c r="I954" s="9" t="str">
        <f>RIGHT(TablaCosechas[[#This Row],[SECTOR/PISCINA]],2)</f>
        <v>05</v>
      </c>
      <c r="J954" s="9" t="str">
        <f>VLOOKUP(TablaCosechas[[#This Row],[COD]],Tabla7[#All],4,0)</f>
        <v>JULIO SANTOS</v>
      </c>
      <c r="K954" s="179">
        <f>(TablaCosechas[[#This Row],[libras planta]]*454)/M954</f>
        <v>286353.43777777778</v>
      </c>
      <c r="L954" s="215">
        <v>22706.44</v>
      </c>
      <c r="M954" s="19">
        <v>36</v>
      </c>
      <c r="N954" s="9" t="str">
        <f>UPPER(TEXT(TablaCosechas[[#This Row],[COSECHA]],"MMMM"))</f>
        <v>ENERO</v>
      </c>
      <c r="O954" s="9" t="str">
        <f>IF(A954="DO 29","BAP",IF(A954="RO 14","BAP",(VLOOKUP(TablaCosechas[[#This Row],[COD]],Tabla7[[CODIGO]:[CERTIFICACION]],3,0))))</f>
        <v>CONVENCIONAL</v>
      </c>
      <c r="P954" s="180">
        <f>+L954-E954</f>
        <v>2606.4399999999987</v>
      </c>
      <c r="Q954" s="181">
        <f>+M954-F954</f>
        <v>3</v>
      </c>
      <c r="R954" s="9"/>
    </row>
    <row r="955" spans="1:18" x14ac:dyDescent="0.25">
      <c r="A955" s="9" t="s">
        <v>152</v>
      </c>
      <c r="B955" s="9">
        <f>ROW() - ROW(TablaCosechas[[#Headers],[ID]]) - 4</f>
        <v>950</v>
      </c>
      <c r="C955" s="9" t="str">
        <f>LEFT(A955,2)</f>
        <v>DO</v>
      </c>
      <c r="D955" s="182" t="s">
        <v>366</v>
      </c>
      <c r="E955" s="178">
        <v>26850</v>
      </c>
      <c r="F955" s="19">
        <v>47</v>
      </c>
      <c r="G955" s="195">
        <v>46037</v>
      </c>
      <c r="H955" s="9" t="str">
        <f>VLOOKUP(TablaCosechas[[#This Row],[COD]],DATOS!$E$3:$F$27,2,0)</f>
        <v>DORADO</v>
      </c>
      <c r="I955" s="9" t="str">
        <f>RIGHT(TablaCosechas[[#This Row],[SECTOR/PISCINA]],2)</f>
        <v>30</v>
      </c>
      <c r="J955" s="9" t="str">
        <f>VLOOKUP(TablaCosechas[[#This Row],[COD]],Tabla7[#All],4,0)</f>
        <v>JOSE CEDEÑO</v>
      </c>
      <c r="K955" s="179">
        <f>(TablaCosechas[[#This Row],[libras planta]]*454)/M955</f>
        <v>275541.62818261632</v>
      </c>
      <c r="L955" s="215">
        <v>27651.27</v>
      </c>
      <c r="M955" s="19">
        <v>45.56</v>
      </c>
      <c r="N955" s="9" t="str">
        <f>UPPER(TEXT(TablaCosechas[[#This Row],[COSECHA]],"MMMM"))</f>
        <v>ENERO</v>
      </c>
      <c r="O955" s="9" t="str">
        <f>IF(A955="DO 29","BAP",IF(A955="RO 14","BAP",(VLOOKUP(TablaCosechas[[#This Row],[COD]],Tabla7[[CODIGO]:[CERTIFICACION]],3,0))))</f>
        <v>ASC</v>
      </c>
      <c r="P955" s="180">
        <f>+L955-E955</f>
        <v>801.27000000000044</v>
      </c>
      <c r="Q955" s="181">
        <f>+M955-F955</f>
        <v>-1.4399999999999977</v>
      </c>
      <c r="R955" s="9"/>
    </row>
    <row r="956" spans="1:18" x14ac:dyDescent="0.25">
      <c r="A956" s="9" t="s">
        <v>21</v>
      </c>
      <c r="B956" s="9">
        <f>ROW() - ROW(TablaCosechas[[#Headers],[ID]]) - 4</f>
        <v>951</v>
      </c>
      <c r="C956" s="9" t="str">
        <f>LEFT(A956,2)</f>
        <v>CH</v>
      </c>
      <c r="D956" s="182" t="s">
        <v>367</v>
      </c>
      <c r="E956" s="178">
        <v>2850</v>
      </c>
      <c r="F956" s="19">
        <v>25</v>
      </c>
      <c r="G956" s="195">
        <v>46037</v>
      </c>
      <c r="H956" s="9" t="str">
        <f>VLOOKUP(TablaCosechas[[#This Row],[COD]],DATOS!$E$3:$F$27,2,0)</f>
        <v>CHERNA</v>
      </c>
      <c r="I956" s="9" t="str">
        <f>RIGHT(TablaCosechas[[#This Row],[SECTOR/PISCINA]],2)</f>
        <v>15</v>
      </c>
      <c r="J956" s="9" t="str">
        <f>VLOOKUP(TablaCosechas[[#This Row],[COD]],Tabla7[#All],4,0)</f>
        <v>SANTIAGO OBRIEN</v>
      </c>
      <c r="K956" s="179">
        <f>(TablaCosechas[[#This Row],[libras planta]]*454)/M956</f>
        <v>54941.235059760955</v>
      </c>
      <c r="L956" s="215">
        <v>3037.5</v>
      </c>
      <c r="M956" s="19">
        <v>25.1</v>
      </c>
      <c r="N956" s="9" t="str">
        <f>UPPER(TEXT(TablaCosechas[[#This Row],[COSECHA]],"MMMM"))</f>
        <v>ENERO</v>
      </c>
      <c r="O956" s="9" t="str">
        <f>IF(A956="DO 29","BAP",IF(A956="RO 14","BAP",(VLOOKUP(TablaCosechas[[#This Row],[COD]],Tabla7[[CODIGO]:[CERTIFICACION]],3,0))))</f>
        <v>ASC</v>
      </c>
      <c r="P956" s="180">
        <f>+L956-E956</f>
        <v>187.5</v>
      </c>
      <c r="Q956" s="181">
        <f>+M956-F956</f>
        <v>0.10000000000000142</v>
      </c>
      <c r="R956" s="9"/>
    </row>
    <row r="957" spans="1:18" x14ac:dyDescent="0.25">
      <c r="A957" s="9" t="s">
        <v>14</v>
      </c>
      <c r="B957" s="9">
        <f>ROW() - ROW(TablaCosechas[[#Headers],[ID]]) - 4</f>
        <v>952</v>
      </c>
      <c r="C957" s="9" t="str">
        <f>LEFT(A957,2)</f>
        <v>CH</v>
      </c>
      <c r="D957" s="182" t="s">
        <v>367</v>
      </c>
      <c r="E957" s="178">
        <v>2800</v>
      </c>
      <c r="F957" s="19">
        <v>25</v>
      </c>
      <c r="G957" s="195">
        <v>46037</v>
      </c>
      <c r="H957" s="9" t="str">
        <f>VLOOKUP(TablaCosechas[[#This Row],[COD]],DATOS!$E$3:$F$27,2,0)</f>
        <v>CHERNA</v>
      </c>
      <c r="I957" s="9" t="str">
        <f>RIGHT(TablaCosechas[[#This Row],[SECTOR/PISCINA]],2)</f>
        <v>08</v>
      </c>
      <c r="J957" s="9" t="str">
        <f>VLOOKUP(TablaCosechas[[#This Row],[COD]],Tabla7[#All],4,0)</f>
        <v>SANTIAGO OBRIEN</v>
      </c>
      <c r="K957" s="179">
        <f>(TablaCosechas[[#This Row],[libras planta]]*454)/M957</f>
        <v>51158.697327044021</v>
      </c>
      <c r="L957" s="215">
        <v>2866.69</v>
      </c>
      <c r="M957" s="19">
        <v>25.44</v>
      </c>
      <c r="N957" s="9" t="str">
        <f>UPPER(TEXT(TablaCosechas[[#This Row],[COSECHA]],"MMMM"))</f>
        <v>ENERO</v>
      </c>
      <c r="O957" s="9" t="str">
        <f>IF(A957="DO 29","BAP",IF(A957="RO 14","BAP",(VLOOKUP(TablaCosechas[[#This Row],[COD]],Tabla7[[CODIGO]:[CERTIFICACION]],3,0))))</f>
        <v>ASC</v>
      </c>
      <c r="P957" s="180">
        <f>+L957-E957</f>
        <v>66.690000000000055</v>
      </c>
      <c r="Q957" s="181">
        <f>+M957-F957</f>
        <v>0.44000000000000128</v>
      </c>
      <c r="R957" s="9"/>
    </row>
    <row r="958" spans="1:18" x14ac:dyDescent="0.25">
      <c r="A958" s="9" t="s">
        <v>213</v>
      </c>
      <c r="B958" s="9">
        <f>ROW() - ROW(TablaCosechas[[#Headers],[ID]]) - 4</f>
        <v>953</v>
      </c>
      <c r="C958" s="9" t="str">
        <f>LEFT(A958,2)</f>
        <v>CA</v>
      </c>
      <c r="D958" s="182" t="s">
        <v>367</v>
      </c>
      <c r="E958" s="178">
        <v>8800</v>
      </c>
      <c r="F958" s="19">
        <v>18</v>
      </c>
      <c r="G958" s="195">
        <v>46037</v>
      </c>
      <c r="H958" s="9" t="str">
        <f>VLOOKUP(TablaCosechas[[#This Row],[COD]],DATOS!$E$3:$F$27,2,0)</f>
        <v>CATANUDA</v>
      </c>
      <c r="I958" s="9" t="str">
        <f>RIGHT(TablaCosechas[[#This Row],[SECTOR/PISCINA]],2)</f>
        <v>07</v>
      </c>
      <c r="J958" s="9" t="str">
        <f>VLOOKUP(TablaCosechas[[#This Row],[COD]],Tabla7[#All],4,0)</f>
        <v>VICTOR QUINTANA</v>
      </c>
      <c r="K958" s="179">
        <f>(TablaCosechas[[#This Row],[libras planta]]*454)/M958</f>
        <v>193232.54720616571</v>
      </c>
      <c r="L958" s="215">
        <v>8835.92</v>
      </c>
      <c r="M958" s="19">
        <v>20.76</v>
      </c>
      <c r="N958" s="9" t="str">
        <f>UPPER(TEXT(TablaCosechas[[#This Row],[COSECHA]],"MMMM"))</f>
        <v>ENERO</v>
      </c>
      <c r="O958" s="9" t="str">
        <f>IF(A958="DO 29","BAP",IF(A958="RO 14","BAP",(VLOOKUP(TablaCosechas[[#This Row],[COD]],Tabla7[[CODIGO]:[CERTIFICACION]],3,0))))</f>
        <v>ASC</v>
      </c>
      <c r="P958" s="180">
        <f>+L958-E958</f>
        <v>35.920000000000073</v>
      </c>
      <c r="Q958" s="181">
        <f>+M958-F958</f>
        <v>2.7600000000000016</v>
      </c>
      <c r="R958" s="9"/>
    </row>
    <row r="959" spans="1:18" x14ac:dyDescent="0.25">
      <c r="A959" s="9" t="s">
        <v>158</v>
      </c>
      <c r="B959" s="9">
        <f>ROW() - ROW(TablaCosechas[[#Headers],[ID]]) - 4</f>
        <v>954</v>
      </c>
      <c r="C959" s="9" t="str">
        <f>LEFT(A959,2)</f>
        <v>WA</v>
      </c>
      <c r="D959" s="182" t="s">
        <v>366</v>
      </c>
      <c r="E959" s="178">
        <v>7000</v>
      </c>
      <c r="F959" s="19">
        <v>22.5</v>
      </c>
      <c r="G959" s="195">
        <v>46038</v>
      </c>
      <c r="H959" s="9" t="str">
        <f>VLOOKUP(TablaCosechas[[#This Row],[COD]],DATOS!$E$3:$F$27,2,0)</f>
        <v>WAHOO</v>
      </c>
      <c r="I959" s="9" t="str">
        <f>RIGHT(TablaCosechas[[#This Row],[SECTOR/PISCINA]],2)</f>
        <v>04</v>
      </c>
      <c r="J959" s="9" t="str">
        <f>VLOOKUP(TablaCosechas[[#This Row],[COD]],Tabla7[#All],4,0)</f>
        <v>JUNIOR ESQUIVEL</v>
      </c>
      <c r="K959" s="179">
        <f>(TablaCosechas[[#This Row],[libras planta]]*454)/M959</f>
        <v>164055.61746174618</v>
      </c>
      <c r="L959" s="215">
        <v>8029.33</v>
      </c>
      <c r="M959" s="19">
        <v>22.22</v>
      </c>
      <c r="N959" s="9" t="str">
        <f>UPPER(TEXT(TablaCosechas[[#This Row],[COSECHA]],"MMMM"))</f>
        <v>ENERO</v>
      </c>
      <c r="O959" s="9" t="str">
        <f>IF(A959="DO 29","BAP",IF(A959="RO 14","BAP",(VLOOKUP(TablaCosechas[[#This Row],[COD]],Tabla7[[CODIGO]:[CERTIFICACION]],3,0))))</f>
        <v>CONVENCIONAL</v>
      </c>
      <c r="P959" s="180">
        <f>+L959-E959</f>
        <v>1029.33</v>
      </c>
      <c r="Q959" s="181">
        <f>+M959-F959</f>
        <v>-0.28000000000000114</v>
      </c>
      <c r="R959" s="9"/>
    </row>
    <row r="960" spans="1:18" x14ac:dyDescent="0.25">
      <c r="A960" s="9" t="s">
        <v>157</v>
      </c>
      <c r="B960" s="9">
        <f>ROW() - ROW(TablaCosechas[[#Headers],[ID]]) - 4</f>
        <v>955</v>
      </c>
      <c r="C960" s="9" t="str">
        <f>LEFT(A960,2)</f>
        <v>WA</v>
      </c>
      <c r="D960" s="182" t="s">
        <v>366</v>
      </c>
      <c r="E960" s="178">
        <v>23400</v>
      </c>
      <c r="F960" s="19">
        <v>23.5</v>
      </c>
      <c r="G960" s="195">
        <v>46038</v>
      </c>
      <c r="H960" s="9" t="str">
        <f>VLOOKUP(TablaCosechas[[#This Row],[COD]],DATOS!$E$3:$F$27,2,0)</f>
        <v>WAHOO</v>
      </c>
      <c r="I960" s="9" t="str">
        <f>RIGHT(TablaCosechas[[#This Row],[SECTOR/PISCINA]],2)</f>
        <v>04</v>
      </c>
      <c r="J960" s="9" t="str">
        <f>VLOOKUP(TablaCosechas[[#This Row],[COD]],Tabla7[#All],4,0)</f>
        <v>JUNIOR ESQUIVEL</v>
      </c>
      <c r="K960" s="179">
        <f>(TablaCosechas[[#This Row],[libras planta]]*454)/M960</f>
        <v>499152.20311149524</v>
      </c>
      <c r="L960" s="215">
        <v>25441.37</v>
      </c>
      <c r="M960" s="19">
        <v>23.14</v>
      </c>
      <c r="N960" s="9" t="str">
        <f>UPPER(TEXT(TablaCosechas[[#This Row],[COSECHA]],"MMMM"))</f>
        <v>ENERO</v>
      </c>
      <c r="O960" s="9" t="str">
        <f>IF(A960="DO 29","BAP",IF(A960="RO 14","BAP",(VLOOKUP(TablaCosechas[[#This Row],[COD]],Tabla7[[CODIGO]:[CERTIFICACION]],3,0))))</f>
        <v>CONVENCIONAL</v>
      </c>
      <c r="P960" s="180">
        <f>+L960-E960</f>
        <v>2041.369999999999</v>
      </c>
      <c r="Q960" s="181">
        <f>+M960-F960</f>
        <v>-0.35999999999999943</v>
      </c>
      <c r="R960" s="9"/>
    </row>
    <row r="961" spans="1:18" x14ac:dyDescent="0.25">
      <c r="A961" s="9" t="s">
        <v>156</v>
      </c>
      <c r="B961" s="9">
        <f>ROW() - ROW(TablaCosechas[[#Headers],[ID]]) - 4</f>
        <v>956</v>
      </c>
      <c r="C961" s="9" t="str">
        <f>LEFT(A961,2)</f>
        <v>TI</v>
      </c>
      <c r="D961" s="182" t="s">
        <v>366</v>
      </c>
      <c r="E961" s="178">
        <v>47300</v>
      </c>
      <c r="F961" s="19">
        <v>37.299999999999997</v>
      </c>
      <c r="G961" s="195">
        <v>46038</v>
      </c>
      <c r="H961" s="9" t="str">
        <f>VLOOKUP(TablaCosechas[[#This Row],[COD]],DATOS!$E$3:$F$27,2,0)</f>
        <v>TIBURON</v>
      </c>
      <c r="I961" s="9" t="str">
        <f>RIGHT(TablaCosechas[[#This Row],[SECTOR/PISCINA]],2)</f>
        <v>11</v>
      </c>
      <c r="J961" s="9" t="str">
        <f>VLOOKUP(TablaCosechas[[#This Row],[COD]],Tabla7[#All],4,0)</f>
        <v>ALFONSO GRUNAUER</v>
      </c>
      <c r="K961" s="179">
        <f>(TablaCosechas[[#This Row],[libras planta]]*454)/M961</f>
        <v>576515.22853368567</v>
      </c>
      <c r="L961" s="215">
        <v>48064.100000000006</v>
      </c>
      <c r="M961" s="19">
        <v>37.85</v>
      </c>
      <c r="N961" s="9" t="str">
        <f>UPPER(TEXT(TablaCosechas[[#This Row],[COSECHA]],"MMMM"))</f>
        <v>ENERO</v>
      </c>
      <c r="O961" s="9" t="str">
        <f>IF(A961="DO 29","BAP",IF(A961="RO 14","BAP",(VLOOKUP(TablaCosechas[[#This Row],[COD]],Tabla7[[CODIGO]:[CERTIFICACION]],3,0))))</f>
        <v>ASC</v>
      </c>
      <c r="P961" s="180">
        <f>+L961-E961</f>
        <v>764.10000000000582</v>
      </c>
      <c r="Q961" s="181">
        <f>+M961-F961</f>
        <v>0.55000000000000426</v>
      </c>
      <c r="R961" s="9"/>
    </row>
    <row r="962" spans="1:18" x14ac:dyDescent="0.25">
      <c r="A962" s="9" t="s">
        <v>199</v>
      </c>
      <c r="B962" s="9">
        <f>ROW() - ROW(TablaCosechas[[#Headers],[ID]]) - 4</f>
        <v>957</v>
      </c>
      <c r="C962" s="9" t="str">
        <f>LEFT(A962,2)</f>
        <v>RO</v>
      </c>
      <c r="D962" s="182" t="s">
        <v>367</v>
      </c>
      <c r="E962" s="178">
        <v>14200</v>
      </c>
      <c r="F962" s="19">
        <v>25</v>
      </c>
      <c r="G962" s="195">
        <v>46038</v>
      </c>
      <c r="H962" s="9" t="str">
        <f>VLOOKUP(TablaCosechas[[#This Row],[COD]],DATOS!$E$3:$F$27,2,0)</f>
        <v>ROBALO</v>
      </c>
      <c r="I962" s="9" t="str">
        <f>RIGHT(TablaCosechas[[#This Row],[SECTOR/PISCINA]],2)</f>
        <v>08</v>
      </c>
      <c r="J962" s="9" t="str">
        <f>VLOOKUP(TablaCosechas[[#This Row],[COD]],Tabla7[#All],4,0)</f>
        <v>VICTOR QUINTANA</v>
      </c>
      <c r="K962" s="179">
        <f>(TablaCosechas[[#This Row],[libras planta]]*454)/M962</f>
        <v>209510.96594202897</v>
      </c>
      <c r="L962" s="215">
        <v>12736.79</v>
      </c>
      <c r="M962" s="19">
        <v>27.6</v>
      </c>
      <c r="N962" s="9" t="str">
        <f>UPPER(TEXT(TablaCosechas[[#This Row],[COSECHA]],"MMMM"))</f>
        <v>ENERO</v>
      </c>
      <c r="O962" s="9" t="str">
        <f>IF(A962="DO 29","BAP",IF(A962="RO 14","BAP",(VLOOKUP(TablaCosechas[[#This Row],[COD]],Tabla7[[CODIGO]:[CERTIFICACION]],3,0))))</f>
        <v>ASC</v>
      </c>
      <c r="P962" s="180">
        <f>+L962-E962</f>
        <v>-1463.2099999999991</v>
      </c>
      <c r="Q962" s="181">
        <f>+M962-F962</f>
        <v>2.6000000000000014</v>
      </c>
      <c r="R962" s="9"/>
    </row>
    <row r="963" spans="1:18" x14ac:dyDescent="0.25">
      <c r="A963" s="9" t="s">
        <v>155</v>
      </c>
      <c r="B963" s="9">
        <f>ROW() - ROW(TablaCosechas[[#Headers],[ID]]) - 4</f>
        <v>958</v>
      </c>
      <c r="C963" s="9" t="str">
        <f>LEFT(A963,2)</f>
        <v>PR</v>
      </c>
      <c r="D963" s="182" t="s">
        <v>366</v>
      </c>
      <c r="E963" s="178">
        <v>10800</v>
      </c>
      <c r="F963" s="19">
        <v>20</v>
      </c>
      <c r="G963" s="195">
        <v>46038</v>
      </c>
      <c r="H963" s="9" t="str">
        <f>VLOOKUP(TablaCosechas[[#This Row],[COD]],DATOS!$E$3:$F$27,2,0)</f>
        <v>PARGO ROJO</v>
      </c>
      <c r="I963" s="9" t="str">
        <f>RIGHT(TablaCosechas[[#This Row],[SECTOR/PISCINA]],2)</f>
        <v>24</v>
      </c>
      <c r="J963" s="9" t="str">
        <f>VLOOKUP(TablaCosechas[[#This Row],[COD]],Tabla7[#All],4,0)</f>
        <v>WILMER TORRES</v>
      </c>
      <c r="K963" s="179">
        <f>(TablaCosechas[[#This Row],[libras planta]]*454)/M963</f>
        <v>260225.96510468598</v>
      </c>
      <c r="L963" s="215">
        <v>11498.09</v>
      </c>
      <c r="M963" s="19">
        <v>20.059999999999999</v>
      </c>
      <c r="N963" s="9" t="str">
        <f>UPPER(TEXT(TablaCosechas[[#This Row],[COSECHA]],"MMMM"))</f>
        <v>ENERO</v>
      </c>
      <c r="O963" s="9" t="str">
        <f>IF(A963="DO 29","BAP",IF(A963="RO 14","BAP",(VLOOKUP(TablaCosechas[[#This Row],[COD]],Tabla7[[CODIGO]:[CERTIFICACION]],3,0))))</f>
        <v>CONVENCIONAL</v>
      </c>
      <c r="P963" s="180">
        <f>+L963-E963</f>
        <v>698.09000000000015</v>
      </c>
      <c r="Q963" s="181">
        <f>+M963-F963</f>
        <v>5.9999999999998721E-2</v>
      </c>
      <c r="R963" s="9"/>
    </row>
    <row r="964" spans="1:18" x14ac:dyDescent="0.25">
      <c r="A964" s="9" t="s">
        <v>197</v>
      </c>
      <c r="B964" s="9">
        <f>ROW() - ROW(TablaCosechas[[#Headers],[ID]]) - 4</f>
        <v>959</v>
      </c>
      <c r="C964" s="9" t="str">
        <f>LEFT(A964,2)</f>
        <v>PA</v>
      </c>
      <c r="D964" s="182" t="s">
        <v>367</v>
      </c>
      <c r="E964" s="178">
        <v>4950</v>
      </c>
      <c r="F964" s="19">
        <v>21</v>
      </c>
      <c r="G964" s="195">
        <v>46038</v>
      </c>
      <c r="H964" s="9" t="str">
        <f>VLOOKUP(TablaCosechas[[#This Row],[COD]],DATOS!$E$3:$F$27,2,0)</f>
        <v>PAMPANO</v>
      </c>
      <c r="I964" s="9" t="str">
        <f>RIGHT(TablaCosechas[[#This Row],[SECTOR/PISCINA]],2)</f>
        <v>05</v>
      </c>
      <c r="J964" s="9" t="str">
        <f>VLOOKUP(TablaCosechas[[#This Row],[COD]],Tabla7[#All],4,0)</f>
        <v>GUSTAVO CARRASCO</v>
      </c>
      <c r="K964" s="179">
        <f>(TablaCosechas[[#This Row],[libras planta]]*454)/M964</f>
        <v>84400.481865284964</v>
      </c>
      <c r="L964" s="215">
        <v>4305.54</v>
      </c>
      <c r="M964" s="19">
        <v>23.16</v>
      </c>
      <c r="N964" s="9" t="str">
        <f>UPPER(TEXT(TablaCosechas[[#This Row],[COSECHA]],"MMMM"))</f>
        <v>ENERO</v>
      </c>
      <c r="O964" s="9" t="str">
        <f>IF(A964="DO 29","BAP",IF(A964="RO 14","BAP",(VLOOKUP(TablaCosechas[[#This Row],[COD]],Tabla7[[CODIGO]:[CERTIFICACION]],3,0))))</f>
        <v>ASC</v>
      </c>
      <c r="P964" s="180">
        <f>+L964-E964</f>
        <v>-644.46</v>
      </c>
      <c r="Q964" s="181">
        <f>+M964-F964</f>
        <v>2.16</v>
      </c>
      <c r="R964" s="9"/>
    </row>
    <row r="965" spans="1:18" x14ac:dyDescent="0.25">
      <c r="A965" s="9" t="s">
        <v>244</v>
      </c>
      <c r="B965" s="9">
        <f>ROW() - ROW(TablaCosechas[[#Headers],[ID]]) - 4</f>
        <v>960</v>
      </c>
      <c r="C965" s="9" t="str">
        <f>LEFT(A965,2)</f>
        <v>PA</v>
      </c>
      <c r="D965" s="182" t="s">
        <v>367</v>
      </c>
      <c r="E965" s="178">
        <v>7000</v>
      </c>
      <c r="F965" s="19">
        <v>16</v>
      </c>
      <c r="G965" s="195">
        <v>46038</v>
      </c>
      <c r="H965" s="9" t="str">
        <f>VLOOKUP(TablaCosechas[[#This Row],[COD]],DATOS!$E$3:$F$27,2,0)</f>
        <v>PAMPANO</v>
      </c>
      <c r="I965" s="9" t="str">
        <f>RIGHT(TablaCosechas[[#This Row],[SECTOR/PISCINA]],2)</f>
        <v>03</v>
      </c>
      <c r="J965" s="9" t="str">
        <f>VLOOKUP(TablaCosechas[[#This Row],[COD]],Tabla7[#All],4,0)</f>
        <v>GUSTAVO CARRASCO</v>
      </c>
      <c r="K965" s="179">
        <f>(TablaCosechas[[#This Row],[libras planta]]*454)/M965</f>
        <v>172459.73451327436</v>
      </c>
      <c r="L965" s="215">
        <v>6868</v>
      </c>
      <c r="M965" s="19">
        <v>18.079999999999998</v>
      </c>
      <c r="N965" s="9" t="str">
        <f>UPPER(TEXT(TablaCosechas[[#This Row],[COSECHA]],"MMMM"))</f>
        <v>ENERO</v>
      </c>
      <c r="O965" s="9" t="str">
        <f>IF(A965="DO 29","BAP",IF(A965="RO 14","BAP",(VLOOKUP(TablaCosechas[[#This Row],[COD]],Tabla7[[CODIGO]:[CERTIFICACION]],3,0))))</f>
        <v>ASC</v>
      </c>
      <c r="P965" s="180">
        <f>+L965-E965</f>
        <v>-132</v>
      </c>
      <c r="Q965" s="181">
        <f>+M965-F965</f>
        <v>2.0799999999999983</v>
      </c>
      <c r="R965" s="9"/>
    </row>
    <row r="966" spans="1:18" x14ac:dyDescent="0.25">
      <c r="A966" s="9" t="s">
        <v>249</v>
      </c>
      <c r="B966" s="9">
        <f>ROW() - ROW(TablaCosechas[[#Headers],[ID]]) - 4</f>
        <v>961</v>
      </c>
      <c r="C966" s="9" t="str">
        <f>LEFT(A966,2)</f>
        <v>DO</v>
      </c>
      <c r="D966" s="182" t="s">
        <v>367</v>
      </c>
      <c r="E966" s="178">
        <v>14400</v>
      </c>
      <c r="F966" s="19">
        <v>20</v>
      </c>
      <c r="G966" s="195">
        <v>46038</v>
      </c>
      <c r="H966" s="9" t="str">
        <f>VLOOKUP(TablaCosechas[[#This Row],[COD]],DATOS!$E$3:$F$27,2,0)</f>
        <v>DORADO</v>
      </c>
      <c r="I966" s="9" t="str">
        <f>RIGHT(TablaCosechas[[#This Row],[SECTOR/PISCINA]],2)</f>
        <v>14</v>
      </c>
      <c r="J966" s="9" t="str">
        <f>VLOOKUP(TablaCosechas[[#This Row],[COD]],Tabla7[#All],4,0)</f>
        <v>JOSE CEDEÑO</v>
      </c>
      <c r="K966" s="179">
        <f>(TablaCosechas[[#This Row],[libras planta]]*454)/M966</f>
        <v>304953.06111111108</v>
      </c>
      <c r="L966" s="215">
        <v>14508.78</v>
      </c>
      <c r="M966" s="19">
        <v>21.6</v>
      </c>
      <c r="N966" s="9" t="str">
        <f>UPPER(TEXT(TablaCosechas[[#This Row],[COSECHA]],"MMMM"))</f>
        <v>ENERO</v>
      </c>
      <c r="O966" s="9" t="str">
        <f>IF(A966="DO 29","BAP",IF(A966="RO 14","BAP",(VLOOKUP(TablaCosechas[[#This Row],[COD]],Tabla7[[CODIGO]:[CERTIFICACION]],3,0))))</f>
        <v>ASC</v>
      </c>
      <c r="P966" s="180">
        <f>+L966-E966</f>
        <v>108.78000000000065</v>
      </c>
      <c r="Q966" s="181">
        <f>+M966-F966</f>
        <v>1.6000000000000014</v>
      </c>
      <c r="R966" s="9"/>
    </row>
    <row r="967" spans="1:18" x14ac:dyDescent="0.25">
      <c r="A967" s="9" t="s">
        <v>208</v>
      </c>
      <c r="B967" s="9">
        <f>ROW() - ROW(TablaCosechas[[#Headers],[ID]]) - 4</f>
        <v>962</v>
      </c>
      <c r="C967" s="9" t="str">
        <f>LEFT(A967,2)</f>
        <v>DO</v>
      </c>
      <c r="D967" s="182" t="s">
        <v>367</v>
      </c>
      <c r="E967" s="178">
        <v>24800</v>
      </c>
      <c r="F967" s="19">
        <v>26</v>
      </c>
      <c r="G967" s="195">
        <v>46038</v>
      </c>
      <c r="H967" s="9" t="str">
        <f>VLOOKUP(TablaCosechas[[#This Row],[COD]],DATOS!$E$3:$F$27,2,0)</f>
        <v>DORADO</v>
      </c>
      <c r="I967" s="9" t="str">
        <f>RIGHT(TablaCosechas[[#This Row],[SECTOR/PISCINA]],2)</f>
        <v>04</v>
      </c>
      <c r="J967" s="9" t="str">
        <f>VLOOKUP(TablaCosechas[[#This Row],[COD]],Tabla7[#All],4,0)</f>
        <v>JOSE CEDEÑO</v>
      </c>
      <c r="K967" s="179">
        <f>(TablaCosechas[[#This Row],[libras planta]]*454)/M967</f>
        <v>394610.80570142536</v>
      </c>
      <c r="L967" s="215">
        <v>23172.52</v>
      </c>
      <c r="M967" s="19">
        <v>26.66</v>
      </c>
      <c r="N967" s="9" t="str">
        <f>UPPER(TEXT(TablaCosechas[[#This Row],[COSECHA]],"MMMM"))</f>
        <v>ENERO</v>
      </c>
      <c r="O967" s="9" t="str">
        <f>IF(A967="DO 29","BAP",IF(A967="RO 14","BAP",(VLOOKUP(TablaCosechas[[#This Row],[COD]],Tabla7[[CODIGO]:[CERTIFICACION]],3,0))))</f>
        <v>ASC</v>
      </c>
      <c r="P967" s="180">
        <f>+L967-E967</f>
        <v>-1627.4799999999996</v>
      </c>
      <c r="Q967" s="181">
        <f>+M967-F967</f>
        <v>0.66000000000000014</v>
      </c>
      <c r="R967" s="9"/>
    </row>
    <row r="968" spans="1:18" x14ac:dyDescent="0.25">
      <c r="A968" s="9" t="s">
        <v>212</v>
      </c>
      <c r="B968" s="9">
        <f>ROW() - ROW(TablaCosechas[[#Headers],[ID]]) - 4</f>
        <v>963</v>
      </c>
      <c r="C968" s="9" t="str">
        <f>LEFT(A968,2)</f>
        <v>CA</v>
      </c>
      <c r="D968" s="182" t="s">
        <v>367</v>
      </c>
      <c r="E968" s="178">
        <v>12400</v>
      </c>
      <c r="F968" s="19">
        <v>25</v>
      </c>
      <c r="G968" s="195">
        <v>46038</v>
      </c>
      <c r="H968" s="9" t="str">
        <f>VLOOKUP(TablaCosechas[[#This Row],[COD]],DATOS!$E$3:$F$27,2,0)</f>
        <v>CATANUDA</v>
      </c>
      <c r="I968" s="9" t="str">
        <f>RIGHT(TablaCosechas[[#This Row],[SECTOR/PISCINA]],2)</f>
        <v>09</v>
      </c>
      <c r="J968" s="9" t="str">
        <f>VLOOKUP(TablaCosechas[[#This Row],[COD]],Tabla7[#All],4,0)</f>
        <v>VICTOR QUINTANA</v>
      </c>
      <c r="K968" s="179">
        <f>(TablaCosechas[[#This Row],[libras planta]]*454)/M968</f>
        <v>174563.00000000003</v>
      </c>
      <c r="L968" s="215">
        <v>12065.61</v>
      </c>
      <c r="M968" s="19">
        <v>31.38</v>
      </c>
      <c r="N968" s="9" t="str">
        <f>UPPER(TEXT(TablaCosechas[[#This Row],[COSECHA]],"MMMM"))</f>
        <v>ENERO</v>
      </c>
      <c r="O968" s="9" t="str">
        <f>IF(A968="DO 29","BAP",IF(A968="RO 14","BAP",(VLOOKUP(TablaCosechas[[#This Row],[COD]],Tabla7[[CODIGO]:[CERTIFICACION]],3,0))))</f>
        <v>ASC</v>
      </c>
      <c r="P968" s="180">
        <f>+L968-E968</f>
        <v>-334.38999999999942</v>
      </c>
      <c r="Q968" s="181">
        <f>+M968-F968</f>
        <v>6.379999999999999</v>
      </c>
      <c r="R968" s="9"/>
    </row>
    <row r="969" spans="1:18" x14ac:dyDescent="0.25">
      <c r="A969" s="9" t="s">
        <v>218</v>
      </c>
      <c r="B969" s="9">
        <f>ROW() - ROW(TablaCosechas[[#Headers],[ID]]) - 4</f>
        <v>964</v>
      </c>
      <c r="C969" s="9" t="str">
        <f>LEFT(A969,2)</f>
        <v>TU</v>
      </c>
      <c r="D969" s="182" t="s">
        <v>367</v>
      </c>
      <c r="E969" s="178">
        <v>6800</v>
      </c>
      <c r="F969" s="19">
        <v>21</v>
      </c>
      <c r="G969" s="195">
        <v>46039</v>
      </c>
      <c r="H969" s="9" t="str">
        <f>VLOOKUP(TablaCosechas[[#This Row],[COD]],DATOS!$E$3:$F$27,2,0)</f>
        <v>TUNA</v>
      </c>
      <c r="I969" s="9" t="str">
        <f>RIGHT(TablaCosechas[[#This Row],[SECTOR/PISCINA]],2)</f>
        <v>06</v>
      </c>
      <c r="J969" s="9" t="str">
        <f>VLOOKUP(TablaCosechas[[#This Row],[COD]],Tabla7[#All],4,0)</f>
        <v>GUSTAVO CARRASCO</v>
      </c>
      <c r="K969" s="179">
        <f>(TablaCosechas[[#This Row],[libras planta]]*454)/M969</f>
        <v>113074.37500000001</v>
      </c>
      <c r="L969" s="215">
        <v>6495.55</v>
      </c>
      <c r="M969" s="19">
        <v>26.08</v>
      </c>
      <c r="N969" s="9" t="str">
        <f>UPPER(TEXT(TablaCosechas[[#This Row],[COSECHA]],"MMMM"))</f>
        <v>ENERO</v>
      </c>
      <c r="O969" s="9" t="str">
        <f>IF(A969="DO 29","BAP",IF(A969="RO 14","BAP",(VLOOKUP(TablaCosechas[[#This Row],[COD]],Tabla7[[CODIGO]:[CERTIFICACION]],3,0))))</f>
        <v>ASC</v>
      </c>
      <c r="P969" s="180">
        <f>+L969-E969</f>
        <v>-304.44999999999982</v>
      </c>
      <c r="Q969" s="181">
        <f>+M969-F969</f>
        <v>5.0799999999999983</v>
      </c>
      <c r="R969" s="9"/>
    </row>
    <row r="970" spans="1:18" x14ac:dyDescent="0.25">
      <c r="A970" s="9" t="s">
        <v>192</v>
      </c>
      <c r="B970" s="9">
        <f>ROW() - ROW(TablaCosechas[[#Headers],[ID]]) - 4</f>
        <v>965</v>
      </c>
      <c r="C970" s="9" t="str">
        <f>LEFT(A970,2)</f>
        <v>TU</v>
      </c>
      <c r="D970" s="182" t="s">
        <v>367</v>
      </c>
      <c r="E970" s="178">
        <v>7200</v>
      </c>
      <c r="F970" s="19">
        <v>25</v>
      </c>
      <c r="G970" s="195">
        <v>46039</v>
      </c>
      <c r="H970" s="9" t="str">
        <f>VLOOKUP(TablaCosechas[[#This Row],[COD]],DATOS!$E$3:$F$27,2,0)</f>
        <v>TUNA</v>
      </c>
      <c r="I970" s="9" t="str">
        <f>RIGHT(TablaCosechas[[#This Row],[SECTOR/PISCINA]],2)</f>
        <v>02</v>
      </c>
      <c r="J970" s="9" t="str">
        <f>VLOOKUP(TablaCosechas[[#This Row],[COD]],Tabla7[#All],4,0)</f>
        <v>GUSTAVO CARRASCO</v>
      </c>
      <c r="K970" s="179">
        <f>(TablaCosechas[[#This Row],[libras planta]]*454)/M970</f>
        <v>116833.15137614679</v>
      </c>
      <c r="L970" s="215">
        <v>6732.06</v>
      </c>
      <c r="M970" s="19">
        <v>26.16</v>
      </c>
      <c r="N970" s="9" t="str">
        <f>UPPER(TEXT(TablaCosechas[[#This Row],[COSECHA]],"MMMM"))</f>
        <v>ENERO</v>
      </c>
      <c r="O970" s="9" t="str">
        <f>IF(A970="DO 29","BAP",IF(A970="RO 14","BAP",(VLOOKUP(TablaCosechas[[#This Row],[COD]],Tabla7[[CODIGO]:[CERTIFICACION]],3,0))))</f>
        <v>ASC</v>
      </c>
      <c r="P970" s="180">
        <f>+L970-E970</f>
        <v>-467.9399999999996</v>
      </c>
      <c r="Q970" s="181">
        <f>+M970-F970</f>
        <v>1.1600000000000001</v>
      </c>
      <c r="R970" s="9"/>
    </row>
    <row r="971" spans="1:18" x14ac:dyDescent="0.25">
      <c r="A971" s="9" t="s">
        <v>160</v>
      </c>
      <c r="B971" s="9">
        <f>ROW() - ROW(TablaCosechas[[#Headers],[ID]]) - 4</f>
        <v>966</v>
      </c>
      <c r="C971" s="9" t="str">
        <f>LEFT(A971,2)</f>
        <v>TI</v>
      </c>
      <c r="D971" s="182" t="s">
        <v>366</v>
      </c>
      <c r="E971" s="178">
        <v>25600</v>
      </c>
      <c r="F971" s="19">
        <v>36</v>
      </c>
      <c r="G971" s="195">
        <v>46039</v>
      </c>
      <c r="H971" s="9" t="str">
        <f>VLOOKUP(TablaCosechas[[#This Row],[COD]],DATOS!$E$3:$F$27,2,0)</f>
        <v>TIBURON</v>
      </c>
      <c r="I971" s="9" t="str">
        <f>RIGHT(TablaCosechas[[#This Row],[SECTOR/PISCINA]],2)</f>
        <v>14</v>
      </c>
      <c r="J971" s="9" t="str">
        <f>VLOOKUP(TablaCosechas[[#This Row],[COD]],Tabla7[#All],4,0)</f>
        <v>ALFONSO GRUNAUER</v>
      </c>
      <c r="K971" s="179">
        <f>(TablaCosechas[[#This Row],[libras planta]]*454)/M971</f>
        <v>389271.53976670204</v>
      </c>
      <c r="L971" s="215">
        <v>32342.12</v>
      </c>
      <c r="M971" s="19">
        <v>37.72</v>
      </c>
      <c r="N971" s="9" t="str">
        <f>UPPER(TEXT(TablaCosechas[[#This Row],[COSECHA]],"MMMM"))</f>
        <v>ENERO</v>
      </c>
      <c r="O971" s="9" t="str">
        <f>IF(A971="DO 29","BAP",IF(A971="RO 14","BAP",(VLOOKUP(TablaCosechas[[#This Row],[COD]],Tabla7[[CODIGO]:[CERTIFICACION]],3,0))))</f>
        <v>ASC</v>
      </c>
      <c r="P971" s="180">
        <f>+L971-E971</f>
        <v>6742.119999999999</v>
      </c>
      <c r="Q971" s="181">
        <f>+M971-F971</f>
        <v>1.7199999999999989</v>
      </c>
      <c r="R971" s="9"/>
    </row>
    <row r="972" spans="1:18" x14ac:dyDescent="0.25">
      <c r="A972" s="9" t="s">
        <v>239</v>
      </c>
      <c r="B972" s="9">
        <f>ROW() - ROW(TablaCosechas[[#Headers],[ID]]) - 4</f>
        <v>967</v>
      </c>
      <c r="C972" s="9" t="str">
        <f>LEFT(A972,2)</f>
        <v>TA</v>
      </c>
      <c r="D972" s="182" t="s">
        <v>367</v>
      </c>
      <c r="E972" s="178">
        <v>18000</v>
      </c>
      <c r="F972" s="19">
        <v>20</v>
      </c>
      <c r="G972" s="195">
        <v>46039</v>
      </c>
      <c r="H972" s="9" t="str">
        <f>VLOOKUP(TablaCosechas[[#This Row],[COD]],DATOS!$E$3:$F$27,2,0)</f>
        <v>TAMBULERO</v>
      </c>
      <c r="I972" s="9" t="str">
        <f>RIGHT(TablaCosechas[[#This Row],[SECTOR/PISCINA]],2)</f>
        <v>7A</v>
      </c>
      <c r="J972" s="9" t="str">
        <f>VLOOKUP(TablaCosechas[[#This Row],[COD]],Tabla7[#All],4,0)</f>
        <v>ALFONSO GRUNAUER</v>
      </c>
      <c r="K972" s="179">
        <f>(TablaCosechas[[#This Row],[libras planta]]*454)/M972</f>
        <v>387371.01973684214</v>
      </c>
      <c r="L972" s="215">
        <v>18156.95</v>
      </c>
      <c r="M972" s="19">
        <v>21.28</v>
      </c>
      <c r="N972" s="9" t="str">
        <f>UPPER(TEXT(TablaCosechas[[#This Row],[COSECHA]],"MMMM"))</f>
        <v>ENERO</v>
      </c>
      <c r="O972" s="9" t="str">
        <f>IF(A972="DO 29","BAP",IF(A972="RO 14","BAP",(VLOOKUP(TablaCosechas[[#This Row],[COD]],Tabla7[[CODIGO]:[CERTIFICACION]],3,0))))</f>
        <v>CONVENCIONAL</v>
      </c>
      <c r="P972" s="180">
        <f>+L972-E972</f>
        <v>156.95000000000073</v>
      </c>
      <c r="Q972" s="181">
        <f>+M972-F972</f>
        <v>1.2800000000000011</v>
      </c>
      <c r="R972" s="9"/>
    </row>
    <row r="973" spans="1:18" x14ac:dyDescent="0.25">
      <c r="A973" s="9" t="s">
        <v>159</v>
      </c>
      <c r="B973" s="9">
        <f>ROW() - ROW(TablaCosechas[[#Headers],[ID]]) - 4</f>
        <v>968</v>
      </c>
      <c r="C973" s="9" t="str">
        <f>LEFT(A973,2)</f>
        <v>DO</v>
      </c>
      <c r="D973" s="182" t="s">
        <v>366</v>
      </c>
      <c r="E973" s="178">
        <v>62900</v>
      </c>
      <c r="F973" s="19">
        <v>37.5</v>
      </c>
      <c r="G973" s="195">
        <v>46039</v>
      </c>
      <c r="H973" s="9" t="str">
        <f>VLOOKUP(TablaCosechas[[#This Row],[COD]],DATOS!$E$3:$F$27,2,0)</f>
        <v>DORADO</v>
      </c>
      <c r="I973" s="9" t="str">
        <f>RIGHT(TablaCosechas[[#This Row],[SECTOR/PISCINA]],2)</f>
        <v>23</v>
      </c>
      <c r="J973" s="9" t="str">
        <f>VLOOKUP(TablaCosechas[[#This Row],[COD]],Tabla7[#All],4,0)</f>
        <v>JOSE CEDEÑO</v>
      </c>
      <c r="K973" s="179">
        <f>(TablaCosechas[[#This Row],[libras planta]]*454)/M973</f>
        <v>737253.70261612395</v>
      </c>
      <c r="L973" s="215">
        <v>60831.55</v>
      </c>
      <c r="M973" s="19">
        <v>37.46</v>
      </c>
      <c r="N973" s="9" t="str">
        <f>UPPER(TEXT(TablaCosechas[[#This Row],[COSECHA]],"MMMM"))</f>
        <v>ENERO</v>
      </c>
      <c r="O973" s="9" t="str">
        <f>IF(A973="DO 29","BAP",IF(A973="RO 14","BAP",(VLOOKUP(TablaCosechas[[#This Row],[COD]],Tabla7[[CODIGO]:[CERTIFICACION]],3,0))))</f>
        <v>ASC</v>
      </c>
      <c r="P973" s="180">
        <f>+L973-E973</f>
        <v>-2068.4499999999971</v>
      </c>
      <c r="Q973" s="181">
        <f>+M973-F973</f>
        <v>-3.9999999999999147E-2</v>
      </c>
      <c r="R973" s="9"/>
    </row>
    <row r="974" spans="1:18" x14ac:dyDescent="0.25">
      <c r="A974" s="9" t="s">
        <v>174</v>
      </c>
      <c r="B974" s="9">
        <f>ROW() - ROW(TablaCosechas[[#Headers],[ID]]) - 4</f>
        <v>969</v>
      </c>
      <c r="C974" s="9" t="str">
        <f>LEFT(A974,2)</f>
        <v>DE</v>
      </c>
      <c r="D974" s="182" t="s">
        <v>367</v>
      </c>
      <c r="E974" s="178">
        <v>12000</v>
      </c>
      <c r="F974" s="19">
        <v>30</v>
      </c>
      <c r="G974" s="195">
        <v>46039</v>
      </c>
      <c r="H974" s="9" t="str">
        <f>VLOOKUP(TablaCosechas[[#This Row],[COD]],DATOS!$E$3:$F$27,2,0)</f>
        <v>DELFIN</v>
      </c>
      <c r="I974" s="9" t="str">
        <f>RIGHT(TablaCosechas[[#This Row],[SECTOR/PISCINA]],2)</f>
        <v>07</v>
      </c>
      <c r="J974" s="9" t="str">
        <f>VLOOKUP(TablaCosechas[[#This Row],[COD]],Tabla7[#All],4,0)</f>
        <v>CARLOS FLORES</v>
      </c>
      <c r="K974" s="179">
        <f>(TablaCosechas[[#This Row],[libras planta]]*454)/M974</f>
        <v>177865.09922178989</v>
      </c>
      <c r="L974" s="215">
        <v>12082.29</v>
      </c>
      <c r="M974" s="19">
        <v>30.84</v>
      </c>
      <c r="N974" s="9" t="str">
        <f>UPPER(TEXT(TablaCosechas[[#This Row],[COSECHA]],"MMMM"))</f>
        <v>ENERO</v>
      </c>
      <c r="O974" s="9" t="str">
        <f>IF(A974="DO 29","BAP",IF(A974="RO 14","BAP",(VLOOKUP(TablaCosechas[[#This Row],[COD]],Tabla7[[CODIGO]:[CERTIFICACION]],3,0))))</f>
        <v>CONVENCIONAL</v>
      </c>
      <c r="P974" s="180">
        <f>+L974-E974</f>
        <v>82.290000000000873</v>
      </c>
      <c r="Q974" s="181">
        <f>+M974-F974</f>
        <v>0.83999999999999986</v>
      </c>
      <c r="R974" s="9"/>
    </row>
    <row r="975" spans="1:18" x14ac:dyDescent="0.25">
      <c r="A975" s="9" t="s">
        <v>242</v>
      </c>
      <c r="B975" s="9">
        <f>ROW() - ROW(TablaCosechas[[#Headers],[ID]]) - 4</f>
        <v>970</v>
      </c>
      <c r="C975" s="9" t="str">
        <f>LEFT(A975,2)</f>
        <v>DE</v>
      </c>
      <c r="D975" s="182" t="s">
        <v>367</v>
      </c>
      <c r="E975" s="178">
        <v>15200</v>
      </c>
      <c r="F975" s="19">
        <v>21</v>
      </c>
      <c r="G975" s="195">
        <v>46039</v>
      </c>
      <c r="H975" s="9" t="str">
        <f>VLOOKUP(TablaCosechas[[#This Row],[COD]],DATOS!$E$3:$F$27,2,0)</f>
        <v>DELFIN</v>
      </c>
      <c r="I975" s="9" t="str">
        <f>RIGHT(TablaCosechas[[#This Row],[SECTOR/PISCINA]],2)</f>
        <v>06</v>
      </c>
      <c r="J975" s="9" t="str">
        <f>VLOOKUP(TablaCosechas[[#This Row],[COD]],Tabla7[#All],4,0)</f>
        <v>CARLOS FLORES</v>
      </c>
      <c r="K975" s="179">
        <f>(TablaCosechas[[#This Row],[libras planta]]*454)/M975</f>
        <v>349704.93470149254</v>
      </c>
      <c r="L975" s="215">
        <v>16514.7</v>
      </c>
      <c r="M975" s="19">
        <v>21.44</v>
      </c>
      <c r="N975" s="9" t="str">
        <f>UPPER(TEXT(TablaCosechas[[#This Row],[COSECHA]],"MMMM"))</f>
        <v>ENERO</v>
      </c>
      <c r="O975" s="9" t="str">
        <f>IF(A975="DO 29","BAP",IF(A975="RO 14","BAP",(VLOOKUP(TablaCosechas[[#This Row],[COD]],Tabla7[[CODIGO]:[CERTIFICACION]],3,0))))</f>
        <v>CONVENCIONAL</v>
      </c>
      <c r="P975" s="180">
        <f>+L975-E975</f>
        <v>1314.7000000000007</v>
      </c>
      <c r="Q975" s="181">
        <f>+M975-F975</f>
        <v>0.44000000000000128</v>
      </c>
      <c r="R975" s="9"/>
    </row>
    <row r="976" spans="1:18" x14ac:dyDescent="0.25">
      <c r="A976" s="9" t="s">
        <v>163</v>
      </c>
      <c r="B976" s="9">
        <f>ROW() - ROW(TablaCosechas[[#Headers],[ID]]) - 4</f>
        <v>971</v>
      </c>
      <c r="C976" s="9" t="str">
        <f>LEFT(A976,2)</f>
        <v>WA</v>
      </c>
      <c r="D976" s="182" t="s">
        <v>366</v>
      </c>
      <c r="E976" s="178">
        <v>21200</v>
      </c>
      <c r="F976" s="19">
        <v>35</v>
      </c>
      <c r="G976" s="195">
        <v>46040</v>
      </c>
      <c r="H976" s="9" t="str">
        <f>VLOOKUP(TablaCosechas[[#This Row],[COD]],DATOS!$E$3:$F$27,2,0)</f>
        <v>WAHOO</v>
      </c>
      <c r="I976" s="9" t="str">
        <f>RIGHT(TablaCosechas[[#This Row],[SECTOR/PISCINA]],2)</f>
        <v>37</v>
      </c>
      <c r="J976" s="9" t="str">
        <f>VLOOKUP(TablaCosechas[[#This Row],[COD]],Tabla7[#All],4,0)</f>
        <v>JUNIOR ESQUIVEL</v>
      </c>
      <c r="K976" s="179">
        <f>(TablaCosechas[[#This Row],[libras planta]]*454)/M976</f>
        <v>241181.91803278687</v>
      </c>
      <c r="L976" s="215">
        <v>18795.189999999999</v>
      </c>
      <c r="M976" s="19">
        <v>35.380000000000003</v>
      </c>
      <c r="N976" s="9" t="str">
        <f>UPPER(TEXT(TablaCosechas[[#This Row],[COSECHA]],"MMMM"))</f>
        <v>ENERO</v>
      </c>
      <c r="O976" s="9" t="str">
        <f>IF(A976="DO 29","BAP",IF(A976="RO 14","BAP",(VLOOKUP(TablaCosechas[[#This Row],[COD]],Tabla7[[CODIGO]:[CERTIFICACION]],3,0))))</f>
        <v>CONVENCIONAL</v>
      </c>
      <c r="P976" s="180">
        <f>+L976-E976</f>
        <v>-2404.8100000000013</v>
      </c>
      <c r="Q976" s="181">
        <f>+M976-F976</f>
        <v>0.38000000000000256</v>
      </c>
      <c r="R976" s="9"/>
    </row>
    <row r="977" spans="1:18" x14ac:dyDescent="0.25">
      <c r="A977" s="9" t="s">
        <v>162</v>
      </c>
      <c r="B977" s="9">
        <f>ROW() - ROW(TablaCosechas[[#Headers],[ID]]) - 4</f>
        <v>972</v>
      </c>
      <c r="C977" s="9" t="str">
        <f>LEFT(A977,2)</f>
        <v>TA</v>
      </c>
      <c r="D977" s="182" t="s">
        <v>366</v>
      </c>
      <c r="E977" s="178">
        <v>28250</v>
      </c>
      <c r="F977" s="19">
        <v>35</v>
      </c>
      <c r="G977" s="195">
        <v>46040</v>
      </c>
      <c r="H977" s="9" t="str">
        <f>VLOOKUP(TablaCosechas[[#This Row],[COD]],DATOS!$E$3:$F$27,2,0)</f>
        <v>TAMBULERO</v>
      </c>
      <c r="I977" s="9" t="str">
        <f>RIGHT(TablaCosechas[[#This Row],[SECTOR/PISCINA]],2)</f>
        <v>06</v>
      </c>
      <c r="J977" s="9" t="str">
        <f>VLOOKUP(TablaCosechas[[#This Row],[COD]],Tabla7[#All],4,0)</f>
        <v>ALFONSO GRUNAUER</v>
      </c>
      <c r="K977" s="179">
        <f>(TablaCosechas[[#This Row],[libras planta]]*454)/M977</f>
        <v>409037.41202922992</v>
      </c>
      <c r="L977" s="215">
        <v>32056.28</v>
      </c>
      <c r="M977" s="19">
        <v>35.58</v>
      </c>
      <c r="N977" s="9" t="str">
        <f>UPPER(TEXT(TablaCosechas[[#This Row],[COSECHA]],"MMMM"))</f>
        <v>ENERO</v>
      </c>
      <c r="O977" s="9" t="str">
        <f>IF(A977="DO 29","BAP",IF(A977="RO 14","BAP",(VLOOKUP(TablaCosechas[[#This Row],[COD]],Tabla7[[CODIGO]:[CERTIFICACION]],3,0))))</f>
        <v>CONVENCIONAL</v>
      </c>
      <c r="P977" s="180">
        <f>+L977-E977</f>
        <v>3806.2799999999988</v>
      </c>
      <c r="Q977" s="181">
        <f>+M977-F977</f>
        <v>0.57999999999999829</v>
      </c>
      <c r="R977" s="9"/>
    </row>
    <row r="978" spans="1:18" x14ac:dyDescent="0.25">
      <c r="A978" s="9" t="s">
        <v>161</v>
      </c>
      <c r="B978" s="9">
        <f>ROW() - ROW(TablaCosechas[[#Headers],[ID]]) - 4</f>
        <v>973</v>
      </c>
      <c r="C978" s="9" t="str">
        <f>LEFT(A978,2)</f>
        <v>PR</v>
      </c>
      <c r="D978" s="182" t="s">
        <v>366</v>
      </c>
      <c r="E978" s="178">
        <v>15700</v>
      </c>
      <c r="F978" s="19">
        <v>20</v>
      </c>
      <c r="G978" s="195">
        <v>46040</v>
      </c>
      <c r="H978" s="9" t="str">
        <f>VLOOKUP(TablaCosechas[[#This Row],[COD]],DATOS!$E$3:$F$27,2,0)</f>
        <v>PARGO ROJO</v>
      </c>
      <c r="I978" s="9" t="str">
        <f>RIGHT(TablaCosechas[[#This Row],[SECTOR/PISCINA]],2)</f>
        <v>27</v>
      </c>
      <c r="J978" s="9" t="str">
        <f>VLOOKUP(TablaCosechas[[#This Row],[COD]],Tabla7[#All],4,0)</f>
        <v>WILMER TORRES</v>
      </c>
      <c r="K978" s="179">
        <f>(TablaCosechas[[#This Row],[libras planta]]*454)/M978</f>
        <v>364750.34420289862</v>
      </c>
      <c r="L978" s="215">
        <v>17739.400000000001</v>
      </c>
      <c r="M978" s="19">
        <v>22.08</v>
      </c>
      <c r="N978" s="9" t="str">
        <f>UPPER(TEXT(TablaCosechas[[#This Row],[COSECHA]],"MMMM"))</f>
        <v>ENERO</v>
      </c>
      <c r="O978" s="9" t="str">
        <f>IF(A978="DO 29","BAP",IF(A978="RO 14","BAP",(VLOOKUP(TablaCosechas[[#This Row],[COD]],Tabla7[[CODIGO]:[CERTIFICACION]],3,0))))</f>
        <v>CONVENCIONAL</v>
      </c>
      <c r="P978" s="180">
        <f>+L978-E978</f>
        <v>2039.4000000000015</v>
      </c>
      <c r="Q978" s="181">
        <f>+M978-F978</f>
        <v>2.0799999999999983</v>
      </c>
      <c r="R978" s="9"/>
    </row>
    <row r="979" spans="1:18" x14ac:dyDescent="0.25">
      <c r="A979" s="9" t="s">
        <v>210</v>
      </c>
      <c r="B979" s="9">
        <f>ROW() - ROW(TablaCosechas[[#Headers],[ID]]) - 4</f>
        <v>974</v>
      </c>
      <c r="C979" s="9" t="str">
        <f>LEFT(A979,2)</f>
        <v>ME</v>
      </c>
      <c r="D979" s="182" t="s">
        <v>367</v>
      </c>
      <c r="E979" s="178">
        <v>14500</v>
      </c>
      <c r="F979" s="19">
        <v>25</v>
      </c>
      <c r="G979" s="195">
        <v>46040</v>
      </c>
      <c r="H979" s="9" t="str">
        <f>VLOOKUP(TablaCosechas[[#This Row],[COD]],DATOS!$E$3:$F$27,2,0)</f>
        <v>MERO</v>
      </c>
      <c r="I979" s="9" t="str">
        <f>RIGHT(TablaCosechas[[#This Row],[SECTOR/PISCINA]],2)</f>
        <v>09</v>
      </c>
      <c r="J979" s="9" t="str">
        <f>VLOOKUP(TablaCosechas[[#This Row],[COD]],Tabla7[#All],4,0)</f>
        <v>NESTOR MOGOLLON</v>
      </c>
      <c r="K979" s="179">
        <f>(TablaCosechas[[#This Row],[libras planta]]*454)/M979</f>
        <v>262739.38645418326</v>
      </c>
      <c r="L979" s="215">
        <v>14525.9</v>
      </c>
      <c r="M979" s="19">
        <v>25.1</v>
      </c>
      <c r="N979" s="9" t="str">
        <f>UPPER(TEXT(TablaCosechas[[#This Row],[COSECHA]],"MMMM"))</f>
        <v>ENERO</v>
      </c>
      <c r="O979" s="9" t="str">
        <f>IF(A979="DO 29","BAP",IF(A979="RO 14","BAP",(VLOOKUP(TablaCosechas[[#This Row],[COD]],Tabla7[[CODIGO]:[CERTIFICACION]],3,0))))</f>
        <v>CONVENCIONAL</v>
      </c>
      <c r="P979" s="180">
        <f>+L979-E979</f>
        <v>25.899999999999636</v>
      </c>
      <c r="Q979" s="181">
        <f>+M979-F979</f>
        <v>0.10000000000000142</v>
      </c>
      <c r="R979" s="9"/>
    </row>
    <row r="980" spans="1:18" x14ac:dyDescent="0.25">
      <c r="A980" s="9" t="s">
        <v>196</v>
      </c>
      <c r="B980" s="9">
        <f>ROW() - ROW(TablaCosechas[[#Headers],[ID]]) - 4</f>
        <v>975</v>
      </c>
      <c r="C980" s="9" t="str">
        <f>LEFT(A980,2)</f>
        <v>DE</v>
      </c>
      <c r="D980" s="182" t="s">
        <v>367</v>
      </c>
      <c r="E980" s="178">
        <v>5800</v>
      </c>
      <c r="F980" s="19">
        <v>20</v>
      </c>
      <c r="G980" s="195">
        <v>46040</v>
      </c>
      <c r="H980" s="9" t="str">
        <f>VLOOKUP(TablaCosechas[[#This Row],[COD]],DATOS!$E$3:$F$27,2,0)</f>
        <v>DELFIN</v>
      </c>
      <c r="I980" s="9" t="str">
        <f>RIGHT(TablaCosechas[[#This Row],[SECTOR/PISCINA]],2)</f>
        <v>03</v>
      </c>
      <c r="J980" s="9" t="str">
        <f>VLOOKUP(TablaCosechas[[#This Row],[COD]],Tabla7[#All],4,0)</f>
        <v>CARLOS FLORES</v>
      </c>
      <c r="K980" s="179">
        <f>(TablaCosechas[[#This Row],[libras planta]]*454)/M980</f>
        <v>100796.34558823529</v>
      </c>
      <c r="L980" s="215">
        <v>6038.9</v>
      </c>
      <c r="M980" s="19">
        <v>27.2</v>
      </c>
      <c r="N980" s="9" t="str">
        <f>UPPER(TEXT(TablaCosechas[[#This Row],[COSECHA]],"MMMM"))</f>
        <v>ENERO</v>
      </c>
      <c r="O980" s="9" t="str">
        <f>IF(A980="DO 29","BAP",IF(A980="RO 14","BAP",(VLOOKUP(TablaCosechas[[#This Row],[COD]],Tabla7[[CODIGO]:[CERTIFICACION]],3,0))))</f>
        <v>CONVENCIONAL</v>
      </c>
      <c r="P980" s="180">
        <f>+L980-E980</f>
        <v>238.89999999999964</v>
      </c>
      <c r="Q980" s="181">
        <f>+M980-F980</f>
        <v>7.1999999999999993</v>
      </c>
      <c r="R980" s="9"/>
    </row>
    <row r="981" spans="1:18" x14ac:dyDescent="0.25">
      <c r="A981" s="9" t="s">
        <v>10</v>
      </c>
      <c r="B981" s="9">
        <f>ROW() - ROW(TablaCosechas[[#Headers],[ID]]) - 4</f>
        <v>976</v>
      </c>
      <c r="C981" s="9" t="str">
        <f>LEFT(A981,2)</f>
        <v>CH</v>
      </c>
      <c r="D981" s="182" t="s">
        <v>367</v>
      </c>
      <c r="E981" s="178">
        <v>5800</v>
      </c>
      <c r="F981" s="19">
        <v>25</v>
      </c>
      <c r="G981" s="195">
        <v>46040</v>
      </c>
      <c r="H981" s="9" t="str">
        <f>VLOOKUP(TablaCosechas[[#This Row],[COD]],DATOS!$E$3:$F$27,2,0)</f>
        <v>CHERNA</v>
      </c>
      <c r="I981" s="9" t="str">
        <f>RIGHT(TablaCosechas[[#This Row],[SECTOR/PISCINA]],2)</f>
        <v>04</v>
      </c>
      <c r="J981" s="9" t="str">
        <f>VLOOKUP(TablaCosechas[[#This Row],[COD]],Tabla7[#All],4,0)</f>
        <v>SANTIAGO OBRIEN</v>
      </c>
      <c r="K981" s="179">
        <f>(TablaCosechas[[#This Row],[libras planta]]*454)/M981</f>
        <v>104268.43112840469</v>
      </c>
      <c r="L981" s="215">
        <v>5902.42</v>
      </c>
      <c r="M981" s="19">
        <v>25.7</v>
      </c>
      <c r="N981" s="9" t="str">
        <f>UPPER(TEXT(TablaCosechas[[#This Row],[COSECHA]],"MMMM"))</f>
        <v>ENERO</v>
      </c>
      <c r="O981" s="9" t="str">
        <f>IF(A981="DO 29","BAP",IF(A981="RO 14","BAP",(VLOOKUP(TablaCosechas[[#This Row],[COD]],Tabla7[[CODIGO]:[CERTIFICACION]],3,0))))</f>
        <v>ASC</v>
      </c>
      <c r="P981" s="180">
        <f>+L981-E981</f>
        <v>102.42000000000007</v>
      </c>
      <c r="Q981" s="181">
        <f>+M981-F981</f>
        <v>0.69999999999999929</v>
      </c>
      <c r="R981" s="9"/>
    </row>
    <row r="982" spans="1:18" x14ac:dyDescent="0.25">
      <c r="A982" s="9" t="s">
        <v>202</v>
      </c>
      <c r="B982" s="9">
        <f>ROW() - ROW(TablaCosechas[[#Headers],[ID]]) - 4</f>
        <v>977</v>
      </c>
      <c r="C982" s="9" t="str">
        <f>LEFT(A982,2)</f>
        <v>BA</v>
      </c>
      <c r="D982" s="182" t="s">
        <v>367</v>
      </c>
      <c r="E982" s="178">
        <v>10400</v>
      </c>
      <c r="F982" s="19">
        <v>27</v>
      </c>
      <c r="G982" s="195">
        <v>46040</v>
      </c>
      <c r="H982" s="9" t="str">
        <f>VLOOKUP(TablaCosechas[[#This Row],[COD]],DATOS!$E$3:$F$27,2,0)</f>
        <v>BARRACUDA</v>
      </c>
      <c r="I982" s="9" t="str">
        <f>RIGHT(TablaCosechas[[#This Row],[SECTOR/PISCINA]],2)</f>
        <v>04</v>
      </c>
      <c r="J982" s="9" t="str">
        <f>VLOOKUP(TablaCosechas[[#This Row],[COD]],Tabla7[#All],4,0)</f>
        <v>GUSTAVO CARRASCO</v>
      </c>
      <c r="K982" s="179">
        <f>(TablaCosechas[[#This Row],[libras planta]]*454)/M982</f>
        <v>138448.27436194898</v>
      </c>
      <c r="L982" s="215">
        <v>10514.75</v>
      </c>
      <c r="M982" s="19">
        <v>34.479999999999997</v>
      </c>
      <c r="N982" s="9" t="str">
        <f>UPPER(TEXT(TablaCosechas[[#This Row],[COSECHA]],"MMMM"))</f>
        <v>ENERO</v>
      </c>
      <c r="O982" s="9" t="str">
        <f>IF(A982="DO 29","BAP",IF(A982="RO 14","BAP",(VLOOKUP(TablaCosechas[[#This Row],[COD]],Tabla7[[CODIGO]:[CERTIFICACION]],3,0))))</f>
        <v>CONVENCIONAL</v>
      </c>
      <c r="P982" s="180">
        <f>+L982-E982</f>
        <v>114.75</v>
      </c>
      <c r="Q982" s="181">
        <f>+M982-F982</f>
        <v>7.4799999999999969</v>
      </c>
      <c r="R982" s="9"/>
    </row>
    <row r="983" spans="1:18" x14ac:dyDescent="0.25">
      <c r="A983" s="9" t="s">
        <v>236</v>
      </c>
      <c r="B983" s="9">
        <f>ROW() - ROW(TablaCosechas[[#Headers],[ID]]) - 4</f>
        <v>978</v>
      </c>
      <c r="C983" s="9" t="str">
        <f>LEFT(A983,2)</f>
        <v>WA</v>
      </c>
      <c r="D983" s="182" t="s">
        <v>367</v>
      </c>
      <c r="E983" s="178">
        <v>2800</v>
      </c>
      <c r="F983" s="19">
        <v>20</v>
      </c>
      <c r="G983" s="195">
        <v>46041</v>
      </c>
      <c r="H983" s="9" t="str">
        <f>VLOOKUP(TablaCosechas[[#This Row],[COD]],DATOS!$E$3:$F$27,2,0)</f>
        <v>WAHOO</v>
      </c>
      <c r="I983" s="9" t="str">
        <f>RIGHT(TablaCosechas[[#This Row],[SECTOR/PISCINA]],2)</f>
        <v>32</v>
      </c>
      <c r="J983" s="9" t="str">
        <f>VLOOKUP(TablaCosechas[[#This Row],[COD]],Tabla7[#All],4,0)</f>
        <v>JUNIOR ESQUIVEL</v>
      </c>
      <c r="K983" s="179">
        <f>(TablaCosechas[[#This Row],[libras planta]]*454)/M983</f>
        <v>67272.594537815137</v>
      </c>
      <c r="L983" s="215">
        <v>2821.3</v>
      </c>
      <c r="M983" s="19">
        <v>19.04</v>
      </c>
      <c r="N983" s="9" t="str">
        <f>UPPER(TEXT(TablaCosechas[[#This Row],[COSECHA]],"MMMM"))</f>
        <v>ENERO</v>
      </c>
      <c r="O983" s="9" t="str">
        <f>IF(A983="DO 29","BAP",IF(A983="RO 14","BAP",(VLOOKUP(TablaCosechas[[#This Row],[COD]],Tabla7[[CODIGO]:[CERTIFICACION]],3,0))))</f>
        <v>CONVENCIONAL</v>
      </c>
      <c r="P983" s="180">
        <f>+L983-E983</f>
        <v>21.300000000000182</v>
      </c>
      <c r="Q983" s="181">
        <f>+M983-F983</f>
        <v>-0.96000000000000085</v>
      </c>
      <c r="R983" s="9"/>
    </row>
    <row r="984" spans="1:18" x14ac:dyDescent="0.25">
      <c r="A984" s="9" t="s">
        <v>166</v>
      </c>
      <c r="B984" s="9">
        <f>ROW() - ROW(TablaCosechas[[#Headers],[ID]]) - 4</f>
        <v>979</v>
      </c>
      <c r="C984" s="9" t="str">
        <f>LEFT(A984,2)</f>
        <v>TA</v>
      </c>
      <c r="D984" s="182" t="s">
        <v>366</v>
      </c>
      <c r="E984" s="178">
        <v>24100</v>
      </c>
      <c r="F984" s="19">
        <v>37.200000000000003</v>
      </c>
      <c r="G984" s="195">
        <v>46041</v>
      </c>
      <c r="H984" s="9" t="str">
        <f>VLOOKUP(TablaCosechas[[#This Row],[COD]],DATOS!$E$3:$F$27,2,0)</f>
        <v>TAMBULERO</v>
      </c>
      <c r="I984" s="9" t="str">
        <f>RIGHT(TablaCosechas[[#This Row],[SECTOR/PISCINA]],2)</f>
        <v>01</v>
      </c>
      <c r="J984" s="9" t="str">
        <f>VLOOKUP(TablaCosechas[[#This Row],[COD]],Tabla7[#All],4,0)</f>
        <v>ALFONSO GRUNAUER</v>
      </c>
      <c r="K984" s="179">
        <f>(TablaCosechas[[#This Row],[libras planta]]*454)/M984</f>
        <v>290406.51245551597</v>
      </c>
      <c r="L984" s="215">
        <v>25164.3</v>
      </c>
      <c r="M984" s="19">
        <v>39.340000000000003</v>
      </c>
      <c r="N984" s="9" t="str">
        <f>UPPER(TEXT(TablaCosechas[[#This Row],[COSECHA]],"MMMM"))</f>
        <v>ENERO</v>
      </c>
      <c r="O984" s="9" t="str">
        <f>IF(A984="DO 29","BAP",IF(A984="RO 14","BAP",(VLOOKUP(TablaCosechas[[#This Row],[COD]],Tabla7[[CODIGO]:[CERTIFICACION]],3,0))))</f>
        <v>CONVENCIONAL</v>
      </c>
      <c r="P984" s="180">
        <f>+L984-E984</f>
        <v>1064.2999999999993</v>
      </c>
      <c r="Q984" s="181">
        <f>+M984-F984</f>
        <v>2.1400000000000006</v>
      </c>
      <c r="R984" s="9"/>
    </row>
    <row r="985" spans="1:18" x14ac:dyDescent="0.25">
      <c r="A985" s="9" t="s">
        <v>165</v>
      </c>
      <c r="B985" s="9">
        <f>ROW() - ROW(TablaCosechas[[#Headers],[ID]]) - 4</f>
        <v>980</v>
      </c>
      <c r="C985" s="9" t="str">
        <f>LEFT(A985,2)</f>
        <v>PR</v>
      </c>
      <c r="D985" s="182" t="s">
        <v>366</v>
      </c>
      <c r="E985" s="178">
        <v>23800</v>
      </c>
      <c r="F985" s="19">
        <v>21</v>
      </c>
      <c r="G985" s="195">
        <v>46041</v>
      </c>
      <c r="H985" s="9" t="str">
        <f>VLOOKUP(TablaCosechas[[#This Row],[COD]],DATOS!$E$3:$F$27,2,0)</f>
        <v>PARGO ROJO</v>
      </c>
      <c r="I985" s="9" t="str">
        <f>RIGHT(TablaCosechas[[#This Row],[SECTOR/PISCINA]],2)</f>
        <v>32</v>
      </c>
      <c r="J985" s="9" t="str">
        <f>VLOOKUP(TablaCosechas[[#This Row],[COD]],Tabla7[#All],4,0)</f>
        <v>WILMER TORRES</v>
      </c>
      <c r="K985" s="179">
        <f>(TablaCosechas[[#This Row],[libras planta]]*454)/M985</f>
        <v>631096.61290322593</v>
      </c>
      <c r="L985" s="215">
        <v>29302.9</v>
      </c>
      <c r="M985" s="19">
        <v>21.08</v>
      </c>
      <c r="N985" s="9" t="str">
        <f>UPPER(TEXT(TablaCosechas[[#This Row],[COSECHA]],"MMMM"))</f>
        <v>ENERO</v>
      </c>
      <c r="O985" s="9" t="str">
        <f>IF(A985="DO 29","BAP",IF(A985="RO 14","BAP",(VLOOKUP(TablaCosechas[[#This Row],[COD]],Tabla7[[CODIGO]:[CERTIFICACION]],3,0))))</f>
        <v>CONVENCIONAL</v>
      </c>
      <c r="P985" s="180">
        <f>+L985-E985</f>
        <v>5502.9000000000015</v>
      </c>
      <c r="Q985" s="181">
        <f>+M985-F985</f>
        <v>7.9999999999998295E-2</v>
      </c>
      <c r="R985" s="9"/>
    </row>
    <row r="986" spans="1:18" x14ac:dyDescent="0.25">
      <c r="A986" s="9" t="s">
        <v>164</v>
      </c>
      <c r="B986" s="9">
        <f>ROW() - ROW(TablaCosechas[[#Headers],[ID]]) - 4</f>
        <v>981</v>
      </c>
      <c r="C986" s="9" t="str">
        <f>LEFT(A986,2)</f>
        <v>PA</v>
      </c>
      <c r="D986" s="182" t="s">
        <v>366</v>
      </c>
      <c r="E986" s="178">
        <v>28500</v>
      </c>
      <c r="F986" s="19">
        <v>30</v>
      </c>
      <c r="G986" s="195">
        <v>46041</v>
      </c>
      <c r="H986" s="9" t="str">
        <f>VLOOKUP(TablaCosechas[[#This Row],[COD]],DATOS!$E$3:$F$27,2,0)</f>
        <v>PAMPANO</v>
      </c>
      <c r="I986" s="9" t="str">
        <f>RIGHT(TablaCosechas[[#This Row],[SECTOR/PISCINA]],2)</f>
        <v>11</v>
      </c>
      <c r="J986" s="9" t="str">
        <f>VLOOKUP(TablaCosechas[[#This Row],[COD]],Tabla7[#All],4,0)</f>
        <v>GUSTAVO CARRASCO</v>
      </c>
      <c r="K986" s="179">
        <f>(TablaCosechas[[#This Row],[libras planta]]*454)/M986</f>
        <v>402810.51670792076</v>
      </c>
      <c r="L986" s="215">
        <v>28675.85</v>
      </c>
      <c r="M986" s="19">
        <v>32.32</v>
      </c>
      <c r="N986" s="9" t="str">
        <f>UPPER(TEXT(TablaCosechas[[#This Row],[COSECHA]],"MMMM"))</f>
        <v>ENERO</v>
      </c>
      <c r="O986" s="9" t="str">
        <f>IF(A986="DO 29","BAP",IF(A986="RO 14","BAP",(VLOOKUP(TablaCosechas[[#This Row],[COD]],Tabla7[[CODIGO]:[CERTIFICACION]],3,0))))</f>
        <v>ASC</v>
      </c>
      <c r="P986" s="180">
        <f>+L986-E986</f>
        <v>175.84999999999854</v>
      </c>
      <c r="Q986" s="181">
        <f>+M986-F986</f>
        <v>2.3200000000000003</v>
      </c>
      <c r="R986" s="9"/>
    </row>
    <row r="987" spans="1:18" x14ac:dyDescent="0.25">
      <c r="A987" s="9" t="s">
        <v>235</v>
      </c>
      <c r="B987" s="9">
        <f>ROW() - ROW(TablaCosechas[[#Headers],[ID]]) - 4</f>
        <v>982</v>
      </c>
      <c r="C987" s="9" t="str">
        <f>LEFT(A987,2)</f>
        <v>ME</v>
      </c>
      <c r="D987" s="182" t="s">
        <v>367</v>
      </c>
      <c r="E987" s="178">
        <v>4000</v>
      </c>
      <c r="F987" s="19">
        <v>25</v>
      </c>
      <c r="G987" s="195">
        <v>46041</v>
      </c>
      <c r="H987" s="9" t="str">
        <f>VLOOKUP(TablaCosechas[[#This Row],[COD]],DATOS!$E$3:$F$27,2,0)</f>
        <v>MERO</v>
      </c>
      <c r="I987" s="9" t="str">
        <f>RIGHT(TablaCosechas[[#This Row],[SECTOR/PISCINA]],2)</f>
        <v>18</v>
      </c>
      <c r="J987" s="9" t="str">
        <f>VLOOKUP(TablaCosechas[[#This Row],[COD]],Tabla7[#All],4,0)</f>
        <v>NESTOR MOGOLLON</v>
      </c>
      <c r="K987" s="179">
        <f>(TablaCosechas[[#This Row],[libras planta]]*454)/M987</f>
        <v>65098.683032490975</v>
      </c>
      <c r="L987" s="215">
        <v>3971.88</v>
      </c>
      <c r="M987" s="19">
        <v>27.7</v>
      </c>
      <c r="N987" s="9" t="str">
        <f>UPPER(TEXT(TablaCosechas[[#This Row],[COSECHA]],"MMMM"))</f>
        <v>ENERO</v>
      </c>
      <c r="O987" s="9" t="str">
        <f>IF(A987="DO 29","BAP",IF(A987="RO 14","BAP",(VLOOKUP(TablaCosechas[[#This Row],[COD]],Tabla7[[CODIGO]:[CERTIFICACION]],3,0))))</f>
        <v>CONVENCIONAL</v>
      </c>
      <c r="P987" s="180">
        <f>+L987-E987</f>
        <v>-28.119999999999891</v>
      </c>
      <c r="Q987" s="181">
        <f>+M987-F987</f>
        <v>2.6999999999999993</v>
      </c>
      <c r="R987" s="9"/>
    </row>
    <row r="988" spans="1:18" x14ac:dyDescent="0.25">
      <c r="A988" s="9" t="s">
        <v>234</v>
      </c>
      <c r="B988" s="9">
        <f>ROW() - ROW(TablaCosechas[[#Headers],[ID]]) - 4</f>
        <v>983</v>
      </c>
      <c r="C988" s="9" t="str">
        <f>LEFT(A988,2)</f>
        <v>ME</v>
      </c>
      <c r="D988" s="182" t="s">
        <v>367</v>
      </c>
      <c r="E988" s="178">
        <v>2750</v>
      </c>
      <c r="F988" s="19">
        <v>24</v>
      </c>
      <c r="G988" s="195">
        <v>46041</v>
      </c>
      <c r="H988" s="9" t="str">
        <f>VLOOKUP(TablaCosechas[[#This Row],[COD]],DATOS!$E$3:$F$27,2,0)</f>
        <v>MERO</v>
      </c>
      <c r="I988" s="9" t="str">
        <f>RIGHT(TablaCosechas[[#This Row],[SECTOR/PISCINA]],2)</f>
        <v>15</v>
      </c>
      <c r="J988" s="9" t="str">
        <f>VLOOKUP(TablaCosechas[[#This Row],[COD]],Tabla7[#All],4,0)</f>
        <v>NESTOR MOGOLLON</v>
      </c>
      <c r="K988" s="179">
        <f>(TablaCosechas[[#This Row],[libras planta]]*454)/M988</f>
        <v>42339.263817243926</v>
      </c>
      <c r="L988" s="215">
        <v>2531.0300000000002</v>
      </c>
      <c r="M988" s="19">
        <v>27.14</v>
      </c>
      <c r="N988" s="9" t="str">
        <f>UPPER(TEXT(TablaCosechas[[#This Row],[COSECHA]],"MMMM"))</f>
        <v>ENERO</v>
      </c>
      <c r="O988" s="9" t="str">
        <f>IF(A988="DO 29","BAP",IF(A988="RO 14","BAP",(VLOOKUP(TablaCosechas[[#This Row],[COD]],Tabla7[[CODIGO]:[CERTIFICACION]],3,0))))</f>
        <v>CONVENCIONAL</v>
      </c>
      <c r="P988" s="180">
        <f>+L988-E988</f>
        <v>-218.9699999999998</v>
      </c>
      <c r="Q988" s="181">
        <f>+M988-F988</f>
        <v>3.1400000000000006</v>
      </c>
      <c r="R988" s="9"/>
    </row>
    <row r="989" spans="1:18" x14ac:dyDescent="0.25">
      <c r="A989" s="9" t="s">
        <v>228</v>
      </c>
      <c r="B989" s="9">
        <f>ROW() - ROW(TablaCosechas[[#Headers],[ID]]) - 4</f>
        <v>984</v>
      </c>
      <c r="C989" s="9" t="str">
        <f>LEFT(A989,2)</f>
        <v>ME</v>
      </c>
      <c r="D989" s="182" t="s">
        <v>367</v>
      </c>
      <c r="E989" s="178">
        <v>800</v>
      </c>
      <c r="F989" s="19">
        <v>20</v>
      </c>
      <c r="G989" s="195">
        <v>46041</v>
      </c>
      <c r="H989" s="9" t="str">
        <f>VLOOKUP(TablaCosechas[[#This Row],[COD]],DATOS!$E$3:$F$27,2,0)</f>
        <v>MERO</v>
      </c>
      <c r="I989" s="9" t="str">
        <f>RIGHT(TablaCosechas[[#This Row],[SECTOR/PISCINA]],2)</f>
        <v>14</v>
      </c>
      <c r="J989" s="9" t="str">
        <f>VLOOKUP(TablaCosechas[[#This Row],[COD]],Tabla7[#All],4,0)</f>
        <v>NESTOR MOGOLLON</v>
      </c>
      <c r="K989" s="179">
        <f>(TablaCosechas[[#This Row],[libras planta]]*454)/M989</f>
        <v>15865.727117194181</v>
      </c>
      <c r="L989" s="215">
        <v>817.05</v>
      </c>
      <c r="M989" s="19">
        <v>23.38</v>
      </c>
      <c r="N989" s="9" t="str">
        <f>UPPER(TEXT(TablaCosechas[[#This Row],[COSECHA]],"MMMM"))</f>
        <v>ENERO</v>
      </c>
      <c r="O989" s="9" t="str">
        <f>IF(A989="DO 29","BAP",IF(A989="RO 14","BAP",(VLOOKUP(TablaCosechas[[#This Row],[COD]],Tabla7[[CODIGO]:[CERTIFICACION]],3,0))))</f>
        <v>CONVENCIONAL</v>
      </c>
      <c r="P989" s="180">
        <f>+L989-E989</f>
        <v>17.049999999999955</v>
      </c>
      <c r="Q989" s="181">
        <f>+M989-F989</f>
        <v>3.379999999999999</v>
      </c>
      <c r="R989" s="9"/>
    </row>
    <row r="990" spans="1:18" x14ac:dyDescent="0.25">
      <c r="A990" s="9" t="s">
        <v>216</v>
      </c>
      <c r="B990" s="9">
        <f>ROW() - ROW(TablaCosechas[[#Headers],[ID]]) - 4</f>
        <v>985</v>
      </c>
      <c r="C990" s="9" t="str">
        <f>LEFT(A990,2)</f>
        <v>DO</v>
      </c>
      <c r="D990" s="182" t="s">
        <v>367</v>
      </c>
      <c r="E990" s="178">
        <v>12000</v>
      </c>
      <c r="F990" s="19">
        <v>25</v>
      </c>
      <c r="G990" s="195">
        <v>46041</v>
      </c>
      <c r="H990" s="9" t="str">
        <f>VLOOKUP(TablaCosechas[[#This Row],[COD]],DATOS!$E$3:$F$27,2,0)</f>
        <v>DORADO</v>
      </c>
      <c r="I990" s="9" t="str">
        <f>RIGHT(TablaCosechas[[#This Row],[SECTOR/PISCINA]],2)</f>
        <v>21</v>
      </c>
      <c r="J990" s="9" t="str">
        <f>VLOOKUP(TablaCosechas[[#This Row],[COD]],Tabla7[#All],4,0)</f>
        <v>JOSE CEDEÑO</v>
      </c>
      <c r="K990" s="179">
        <f>(TablaCosechas[[#This Row],[libras planta]]*454)/M990</f>
        <v>180830.56458333333</v>
      </c>
      <c r="L990" s="215">
        <v>11471.19</v>
      </c>
      <c r="M990" s="19">
        <v>28.8</v>
      </c>
      <c r="N990" s="9" t="str">
        <f>UPPER(TEXT(TablaCosechas[[#This Row],[COSECHA]],"MMMM"))</f>
        <v>ENERO</v>
      </c>
      <c r="O990" s="9" t="str">
        <f>IF(A990="DO 29","BAP",IF(A990="RO 14","BAP",(VLOOKUP(TablaCosechas[[#This Row],[COD]],Tabla7[[CODIGO]:[CERTIFICACION]],3,0))))</f>
        <v>ASC</v>
      </c>
      <c r="P990" s="180">
        <f>+L990-E990</f>
        <v>-528.80999999999949</v>
      </c>
      <c r="Q990" s="181">
        <f>+M990-F990</f>
        <v>3.8000000000000007</v>
      </c>
      <c r="R990" s="9"/>
    </row>
    <row r="991" spans="1:18" x14ac:dyDescent="0.25">
      <c r="A991" s="9" t="s">
        <v>7</v>
      </c>
      <c r="B991" s="9">
        <f>ROW() - ROW(TablaCosechas[[#Headers],[ID]]) - 4</f>
        <v>986</v>
      </c>
      <c r="C991" s="9" t="str">
        <f>LEFT(A991,2)</f>
        <v>CH</v>
      </c>
      <c r="D991" s="182" t="s">
        <v>367</v>
      </c>
      <c r="E991" s="178">
        <v>10500</v>
      </c>
      <c r="F991" s="19">
        <v>22</v>
      </c>
      <c r="G991" s="195">
        <v>46041</v>
      </c>
      <c r="H991" s="9" t="str">
        <f>VLOOKUP(TablaCosechas[[#This Row],[COD]],DATOS!$E$3:$F$27,2,0)</f>
        <v>CHERNA</v>
      </c>
      <c r="I991" s="9" t="str">
        <f>RIGHT(TablaCosechas[[#This Row],[SECTOR/PISCINA]],2)</f>
        <v>01</v>
      </c>
      <c r="J991" s="9" t="str">
        <f>VLOOKUP(TablaCosechas[[#This Row],[COD]],Tabla7[#All],4,0)</f>
        <v>SANTIAGO OBRIEN</v>
      </c>
      <c r="K991" s="179">
        <f>(TablaCosechas[[#This Row],[libras planta]]*454)/M991</f>
        <v>242009.79591836734</v>
      </c>
      <c r="L991" s="215">
        <v>11492.8</v>
      </c>
      <c r="M991" s="19">
        <v>21.56</v>
      </c>
      <c r="N991" s="9" t="str">
        <f>UPPER(TEXT(TablaCosechas[[#This Row],[COSECHA]],"MMMM"))</f>
        <v>ENERO</v>
      </c>
      <c r="O991" s="9" t="str">
        <f>IF(A991="DO 29","BAP",IF(A991="RO 14","BAP",(VLOOKUP(TablaCosechas[[#This Row],[COD]],Tabla7[[CODIGO]:[CERTIFICACION]],3,0))))</f>
        <v>ASC</v>
      </c>
      <c r="P991" s="180">
        <f>+L991-E991</f>
        <v>992.79999999999927</v>
      </c>
      <c r="Q991" s="181">
        <f>+M991-F991</f>
        <v>-0.44000000000000128</v>
      </c>
      <c r="R991" s="9"/>
    </row>
    <row r="992" spans="1:18" x14ac:dyDescent="0.25">
      <c r="A992" s="9" t="s">
        <v>224</v>
      </c>
      <c r="B992" s="9">
        <f>ROW() - ROW(TablaCosechas[[#Headers],[ID]]) - 4</f>
        <v>987</v>
      </c>
      <c r="C992" s="9" t="str">
        <f>LEFT(A992,2)</f>
        <v>TI</v>
      </c>
      <c r="D992" s="182" t="s">
        <v>367</v>
      </c>
      <c r="E992" s="178">
        <v>11200</v>
      </c>
      <c r="F992" s="19">
        <v>22</v>
      </c>
      <c r="G992" s="195">
        <v>46042</v>
      </c>
      <c r="H992" s="9" t="str">
        <f>VLOOKUP(TablaCosechas[[#This Row],[COD]],DATOS!$E$3:$F$27,2,0)</f>
        <v>TIBURON</v>
      </c>
      <c r="I992" s="9" t="str">
        <f>RIGHT(TablaCosechas[[#This Row],[SECTOR/PISCINA]],2)</f>
        <v>02</v>
      </c>
      <c r="J992" s="9" t="str">
        <f>VLOOKUP(TablaCosechas[[#This Row],[COD]],Tabla7[#All],4,0)</f>
        <v>ALFONSO GRUNAUER</v>
      </c>
      <c r="K992" s="179">
        <f>(TablaCosechas[[#This Row],[libras planta]]*454)/M992</f>
        <v>219239.13563829791</v>
      </c>
      <c r="L992" s="215">
        <v>10894.35</v>
      </c>
      <c r="M992" s="19">
        <v>22.56</v>
      </c>
      <c r="N992" s="9" t="str">
        <f>UPPER(TEXT(TablaCosechas[[#This Row],[COSECHA]],"MMMM"))</f>
        <v>ENERO</v>
      </c>
      <c r="O992" s="9" t="str">
        <f>IF(A992="DO 29","BAP",IF(A992="RO 14","BAP",(VLOOKUP(TablaCosechas[[#This Row],[COD]],Tabla7[[CODIGO]:[CERTIFICACION]],3,0))))</f>
        <v>ASC</v>
      </c>
      <c r="P992" s="180">
        <f>+L992-E992</f>
        <v>-305.64999999999964</v>
      </c>
      <c r="Q992" s="181">
        <f>+M992-F992</f>
        <v>0.55999999999999872</v>
      </c>
      <c r="R992" s="9"/>
    </row>
    <row r="993" spans="1:18" x14ac:dyDescent="0.25">
      <c r="A993" s="9" t="s">
        <v>168</v>
      </c>
      <c r="B993" s="9">
        <f>ROW() - ROW(TablaCosechas[[#Headers],[ID]]) - 4</f>
        <v>988</v>
      </c>
      <c r="C993" s="9" t="str">
        <f>LEFT(A993,2)</f>
        <v>TA</v>
      </c>
      <c r="D993" s="182" t="s">
        <v>366</v>
      </c>
      <c r="E993" s="178">
        <v>27900</v>
      </c>
      <c r="F993" s="19">
        <v>37.5</v>
      </c>
      <c r="G993" s="195">
        <v>46042</v>
      </c>
      <c r="H993" s="9" t="str">
        <f>VLOOKUP(TablaCosechas[[#This Row],[COD]],DATOS!$E$3:$F$27,2,0)</f>
        <v>TAMBULERO</v>
      </c>
      <c r="I993" s="9" t="str">
        <f>RIGHT(TablaCosechas[[#This Row],[SECTOR/PISCINA]],2)</f>
        <v>27</v>
      </c>
      <c r="J993" s="9" t="str">
        <f>VLOOKUP(TablaCosechas[[#This Row],[COD]],Tabla7[#All],4,0)</f>
        <v>ALFONSO GRUNAUER</v>
      </c>
      <c r="K993" s="179">
        <f>(TablaCosechas[[#This Row],[libras planta]]*454)/M993</f>
        <v>335586.12460896769</v>
      </c>
      <c r="L993" s="215">
        <v>28354.81</v>
      </c>
      <c r="M993" s="19">
        <v>38.36</v>
      </c>
      <c r="N993" s="9" t="str">
        <f>UPPER(TEXT(TablaCosechas[[#This Row],[COSECHA]],"MMMM"))</f>
        <v>ENERO</v>
      </c>
      <c r="O993" s="9" t="str">
        <f>IF(A993="DO 29","BAP",IF(A993="RO 14","BAP",(VLOOKUP(TablaCosechas[[#This Row],[COD]],Tabla7[[CODIGO]:[CERTIFICACION]],3,0))))</f>
        <v>CONVENCIONAL</v>
      </c>
      <c r="P993" s="180">
        <f>+L993-E993</f>
        <v>454.81000000000131</v>
      </c>
      <c r="Q993" s="181">
        <f>+M993-F993</f>
        <v>0.85999999999999943</v>
      </c>
      <c r="R993" s="9"/>
    </row>
    <row r="994" spans="1:18" x14ac:dyDescent="0.25">
      <c r="A994" s="9" t="s">
        <v>247</v>
      </c>
      <c r="B994" s="9">
        <f>ROW() - ROW(TablaCosechas[[#Headers],[ID]]) - 4</f>
        <v>989</v>
      </c>
      <c r="C994" s="9" t="str">
        <f>LEFT(A994,2)</f>
        <v>PA</v>
      </c>
      <c r="D994" s="182" t="s">
        <v>367</v>
      </c>
      <c r="E994" s="178">
        <v>27200</v>
      </c>
      <c r="F994" s="19">
        <v>25</v>
      </c>
      <c r="G994" s="195">
        <v>46042</v>
      </c>
      <c r="H994" s="9" t="str">
        <f>VLOOKUP(TablaCosechas[[#This Row],[COD]],DATOS!$E$3:$F$27,2,0)</f>
        <v>PAMPANO</v>
      </c>
      <c r="I994" s="9" t="str">
        <f>RIGHT(TablaCosechas[[#This Row],[SECTOR/PISCINA]],2)</f>
        <v>18</v>
      </c>
      <c r="J994" s="9" t="str">
        <f>VLOOKUP(TablaCosechas[[#This Row],[COD]],Tabla7[#All],4,0)</f>
        <v>GUSTAVO CARRASCO</v>
      </c>
      <c r="K994" s="179">
        <f>(TablaCosechas[[#This Row],[libras planta]]*454)/M994</f>
        <v>434313.71680736769</v>
      </c>
      <c r="L994" s="215">
        <v>24929.99</v>
      </c>
      <c r="M994" s="19">
        <v>26.06</v>
      </c>
      <c r="N994" s="9" t="str">
        <f>UPPER(TEXT(TablaCosechas[[#This Row],[COSECHA]],"MMMM"))</f>
        <v>ENERO</v>
      </c>
      <c r="O994" s="9" t="str">
        <f>IF(A994="DO 29","BAP",IF(A994="RO 14","BAP",(VLOOKUP(TablaCosechas[[#This Row],[COD]],Tabla7[[CODIGO]:[CERTIFICACION]],3,0))))</f>
        <v>ASC</v>
      </c>
      <c r="P994" s="180">
        <f>+L994-E994</f>
        <v>-2270.0099999999984</v>
      </c>
      <c r="Q994" s="181">
        <f>+M994-F994</f>
        <v>1.0599999999999987</v>
      </c>
      <c r="R994" s="9"/>
    </row>
    <row r="995" spans="1:18" x14ac:dyDescent="0.25">
      <c r="A995" s="9" t="s">
        <v>167</v>
      </c>
      <c r="B995" s="9">
        <f>ROW() - ROW(TablaCosechas[[#Headers],[ID]]) - 4</f>
        <v>990</v>
      </c>
      <c r="C995" s="9" t="str">
        <f>LEFT(A995,2)</f>
        <v>PA</v>
      </c>
      <c r="D995" s="182" t="s">
        <v>366</v>
      </c>
      <c r="E995" s="178">
        <v>11100</v>
      </c>
      <c r="F995" s="19">
        <v>34.5</v>
      </c>
      <c r="G995" s="195">
        <v>46042</v>
      </c>
      <c r="H995" s="9" t="str">
        <f>VLOOKUP(TablaCosechas[[#This Row],[COD]],DATOS!$E$3:$F$27,2,0)</f>
        <v>PAMPANO</v>
      </c>
      <c r="I995" s="9" t="str">
        <f>RIGHT(TablaCosechas[[#This Row],[SECTOR/PISCINA]],2)</f>
        <v>10</v>
      </c>
      <c r="J995" s="9" t="str">
        <f>VLOOKUP(TablaCosechas[[#This Row],[COD]],Tabla7[#All],4,0)</f>
        <v>GUSTAVO CARRASCO</v>
      </c>
      <c r="K995" s="179">
        <f>(TablaCosechas[[#This Row],[libras planta]]*454)/M995</f>
        <v>133776.55918585966</v>
      </c>
      <c r="L995" s="215">
        <v>11002.68</v>
      </c>
      <c r="M995" s="19">
        <v>37.340000000000003</v>
      </c>
      <c r="N995" s="9" t="str">
        <f>UPPER(TEXT(TablaCosechas[[#This Row],[COSECHA]],"MMMM"))</f>
        <v>ENERO</v>
      </c>
      <c r="O995" s="9" t="str">
        <f>IF(A995="DO 29","BAP",IF(A995="RO 14","BAP",(VLOOKUP(TablaCosechas[[#This Row],[COD]],Tabla7[[CODIGO]:[CERTIFICACION]],3,0))))</f>
        <v>ASC</v>
      </c>
      <c r="P995" s="180">
        <f>+L995-E995</f>
        <v>-97.319999999999709</v>
      </c>
      <c r="Q995" s="181">
        <f>+M995-F995</f>
        <v>2.8400000000000034</v>
      </c>
      <c r="R995" s="9"/>
    </row>
    <row r="996" spans="1:18" x14ac:dyDescent="0.25">
      <c r="A996" s="9" t="s">
        <v>183</v>
      </c>
      <c r="B996" s="9">
        <f>ROW() - ROW(TablaCosechas[[#Headers],[ID]]) - 4</f>
        <v>991</v>
      </c>
      <c r="C996" s="9" t="str">
        <f>LEFT(A996,2)</f>
        <v>DO</v>
      </c>
      <c r="D996" s="182" t="s">
        <v>367</v>
      </c>
      <c r="E996" s="178">
        <v>8900</v>
      </c>
      <c r="F996" s="19">
        <v>29</v>
      </c>
      <c r="G996" s="195">
        <v>46042</v>
      </c>
      <c r="H996" s="9" t="str">
        <f>VLOOKUP(TablaCosechas[[#This Row],[COD]],DATOS!$E$3:$F$27,2,0)</f>
        <v>DORADO</v>
      </c>
      <c r="I996" s="9" t="str">
        <f>RIGHT(TablaCosechas[[#This Row],[SECTOR/PISCINA]],2)</f>
        <v>05</v>
      </c>
      <c r="J996" s="9" t="str">
        <f>VLOOKUP(TablaCosechas[[#This Row],[COD]],Tabla7[#All],4,0)</f>
        <v>JOSE CEDEÑO</v>
      </c>
      <c r="K996" s="179">
        <f>(TablaCosechas[[#This Row],[libras planta]]*454)/M996</f>
        <v>149128.71777003483</v>
      </c>
      <c r="L996" s="215">
        <v>9427.2999999999993</v>
      </c>
      <c r="M996" s="19">
        <v>28.7</v>
      </c>
      <c r="N996" s="9" t="str">
        <f>UPPER(TEXT(TablaCosechas[[#This Row],[COSECHA]],"MMMM"))</f>
        <v>ENERO</v>
      </c>
      <c r="O996" s="9" t="str">
        <f>IF(A996="DO 29","BAP",IF(A996="RO 14","BAP",(VLOOKUP(TablaCosechas[[#This Row],[COD]],Tabla7[[CODIGO]:[CERTIFICACION]],3,0))))</f>
        <v>ASC</v>
      </c>
      <c r="P996" s="180">
        <f>+L996-E996</f>
        <v>527.29999999999927</v>
      </c>
      <c r="Q996" s="181">
        <f>+M996-F996</f>
        <v>-0.30000000000000071</v>
      </c>
      <c r="R996" s="9"/>
    </row>
    <row r="997" spans="1:18" x14ac:dyDescent="0.25">
      <c r="A997" s="9" t="s">
        <v>270</v>
      </c>
      <c r="B997" s="9">
        <f>ROW() - ROW(TablaCosechas[[#Headers],[ID]]) - 4</f>
        <v>992</v>
      </c>
      <c r="C997" s="9" t="str">
        <f>LEFT(A997,2)</f>
        <v>DO</v>
      </c>
      <c r="D997" s="182" t="s">
        <v>367</v>
      </c>
      <c r="E997" s="178">
        <v>7750</v>
      </c>
      <c r="F997" s="19">
        <v>20</v>
      </c>
      <c r="G997" s="195">
        <v>46042</v>
      </c>
      <c r="H997" s="9" t="str">
        <f>VLOOKUP(TablaCosechas[[#This Row],[COD]],DATOS!$E$3:$F$27,2,0)</f>
        <v>DORADO</v>
      </c>
      <c r="I997" s="9" t="str">
        <f>RIGHT(TablaCosechas[[#This Row],[SECTOR/PISCINA]],2)</f>
        <v>01</v>
      </c>
      <c r="J997" s="9" t="str">
        <f>VLOOKUP(TablaCosechas[[#This Row],[COD]],Tabla7[#All],4,0)</f>
        <v>JOSE CEDEÑO</v>
      </c>
      <c r="K997" s="179">
        <f>(TablaCosechas[[#This Row],[libras planta]]*454)/M997</f>
        <v>171302.45454545456</v>
      </c>
      <c r="L997" s="215">
        <v>7885.95</v>
      </c>
      <c r="M997" s="19">
        <v>20.9</v>
      </c>
      <c r="N997" s="9" t="str">
        <f>UPPER(TEXT(TablaCosechas[[#This Row],[COSECHA]],"MMMM"))</f>
        <v>ENERO</v>
      </c>
      <c r="O997" s="9" t="str">
        <f>IF(A997="DO 29","BAP",IF(A997="RO 14","BAP",(VLOOKUP(TablaCosechas[[#This Row],[COD]],Tabla7[[CODIGO]:[CERTIFICACION]],3,0))))</f>
        <v>ASC</v>
      </c>
      <c r="P997" s="180">
        <f>+L997-E997</f>
        <v>135.94999999999982</v>
      </c>
      <c r="Q997" s="49">
        <f>+M997-F997</f>
        <v>0.89999999999999858</v>
      </c>
      <c r="R997" s="9"/>
    </row>
    <row r="998" spans="1:18" x14ac:dyDescent="0.25">
      <c r="A998" s="9" t="s">
        <v>203</v>
      </c>
      <c r="B998" s="9">
        <f>ROW() - ROW(TablaCosechas[[#Headers],[ID]]) - 4</f>
        <v>993</v>
      </c>
      <c r="C998" s="9" t="str">
        <f>LEFT(A998,2)</f>
        <v>CA</v>
      </c>
      <c r="D998" s="182" t="s">
        <v>367</v>
      </c>
      <c r="E998" s="178">
        <v>11200</v>
      </c>
      <c r="F998" s="19">
        <v>29</v>
      </c>
      <c r="G998" s="195">
        <v>46042</v>
      </c>
      <c r="H998" s="9" t="str">
        <f>VLOOKUP(TablaCosechas[[#This Row],[COD]],DATOS!$E$3:$F$27,2,0)</f>
        <v>CATANUDA</v>
      </c>
      <c r="I998" s="9" t="str">
        <f>RIGHT(TablaCosechas[[#This Row],[SECTOR/PISCINA]],2)</f>
        <v>04</v>
      </c>
      <c r="J998" s="9" t="str">
        <f>VLOOKUP(TablaCosechas[[#This Row],[COD]],Tabla7[#All],4,0)</f>
        <v>VICTOR QUINTANA</v>
      </c>
      <c r="K998" s="179">
        <f>(TablaCosechas[[#This Row],[libras planta]]*454)/M998</f>
        <v>165830.70988867059</v>
      </c>
      <c r="L998" s="215">
        <v>11155.22</v>
      </c>
      <c r="M998" s="19">
        <v>30.54</v>
      </c>
      <c r="N998" s="9" t="str">
        <f>UPPER(TEXT(TablaCosechas[[#This Row],[COSECHA]],"MMMM"))</f>
        <v>ENERO</v>
      </c>
      <c r="O998" s="9" t="str">
        <f>IF(A998="DO 29","BAP",IF(A998="RO 14","BAP",(VLOOKUP(TablaCosechas[[#This Row],[COD]],Tabla7[[CODIGO]:[CERTIFICACION]],3,0))))</f>
        <v>ASC</v>
      </c>
      <c r="P998" s="180">
        <f>+L998-E998</f>
        <v>-44.780000000000655</v>
      </c>
      <c r="Q998" s="49">
        <f>+M998-F998</f>
        <v>1.5399999999999991</v>
      </c>
      <c r="R998" s="9"/>
    </row>
    <row r="999" spans="1:18" x14ac:dyDescent="0.25">
      <c r="A999" s="9" t="s">
        <v>232</v>
      </c>
      <c r="B999" s="9">
        <f>ROW() - ROW(TablaCosechas[[#Headers],[ID]]) - 4</f>
        <v>994</v>
      </c>
      <c r="C999" s="9" t="str">
        <f>LEFT(A999,2)</f>
        <v>TI</v>
      </c>
      <c r="D999" s="182" t="s">
        <v>367</v>
      </c>
      <c r="E999" s="178">
        <v>10500</v>
      </c>
      <c r="F999" s="19">
        <v>23</v>
      </c>
      <c r="G999" s="195">
        <v>46043</v>
      </c>
      <c r="H999" s="9" t="str">
        <f>VLOOKUP(TablaCosechas[[#This Row],[COD]],DATOS!$E$3:$F$27,2,0)</f>
        <v>TIBURON</v>
      </c>
      <c r="I999" s="9" t="str">
        <f>RIGHT(TablaCosechas[[#This Row],[SECTOR/PISCINA]],2)</f>
        <v>09</v>
      </c>
      <c r="J999" s="9" t="str">
        <f>VLOOKUP(TablaCosechas[[#This Row],[COD]],Tabla7[#All],4,0)</f>
        <v>ALFONSO GRUNAUER</v>
      </c>
      <c r="K999" s="179">
        <f>(TablaCosechas[[#This Row],[libras planta]]*454)/M999</f>
        <v>211678.77970511711</v>
      </c>
      <c r="L999" s="215">
        <v>10751.79</v>
      </c>
      <c r="M999" s="205">
        <v>23.06</v>
      </c>
      <c r="N999" s="9" t="str">
        <f>UPPER(TEXT(TablaCosechas[[#This Row],[COSECHA]],"MMMM"))</f>
        <v>ENERO</v>
      </c>
      <c r="O999" s="9" t="str">
        <f>IF(A999="DO 29","BAP",IF(A999="RO 14","BAP",(VLOOKUP(TablaCosechas[[#This Row],[COD]],Tabla7[[CODIGO]:[CERTIFICACION]],3,0))))</f>
        <v>ASC</v>
      </c>
      <c r="P999" s="180">
        <f>+L999-E999</f>
        <v>251.79000000000087</v>
      </c>
      <c r="Q999" s="49">
        <f>+M999-F999</f>
        <v>5.9999999999998721E-2</v>
      </c>
      <c r="R999" s="9"/>
    </row>
    <row r="1000" spans="1:18" x14ac:dyDescent="0.25">
      <c r="A1000" s="9" t="s">
        <v>237</v>
      </c>
      <c r="B1000" s="9">
        <f>ROW() - ROW(TablaCosechas[[#Headers],[ID]]) - 4</f>
        <v>995</v>
      </c>
      <c r="C1000" s="9" t="str">
        <f>LEFT(A1000,2)</f>
        <v>TI</v>
      </c>
      <c r="D1000" s="182" t="s">
        <v>367</v>
      </c>
      <c r="E1000" s="178">
        <v>10500</v>
      </c>
      <c r="F1000" s="19">
        <v>23</v>
      </c>
      <c r="G1000" s="195">
        <v>46043</v>
      </c>
      <c r="H1000" s="9" t="str">
        <f>VLOOKUP(TablaCosechas[[#This Row],[COD]],DATOS!$E$3:$F$27,2,0)</f>
        <v>TIBURON</v>
      </c>
      <c r="I1000" s="9" t="str">
        <f>RIGHT(TablaCosechas[[#This Row],[SECTOR/PISCINA]],2)</f>
        <v>08</v>
      </c>
      <c r="J1000" s="9" t="str">
        <f>VLOOKUP(TablaCosechas[[#This Row],[COD]],Tabla7[#All],4,0)</f>
        <v>ALFONSO GRUNAUER</v>
      </c>
      <c r="K1000" s="179">
        <f>(TablaCosechas[[#This Row],[libras planta]]*454)/M1000</f>
        <v>205218.50243506493</v>
      </c>
      <c r="L1000" s="215">
        <v>11137.85</v>
      </c>
      <c r="M1000" s="205">
        <v>24.64</v>
      </c>
      <c r="N1000" s="9" t="str">
        <f>UPPER(TEXT(TablaCosechas[[#This Row],[COSECHA]],"MMMM"))</f>
        <v>ENERO</v>
      </c>
      <c r="O1000" s="9" t="str">
        <f>IF(A1000="DO 29","BAP",IF(A1000="RO 14","BAP",(VLOOKUP(TablaCosechas[[#This Row],[COD]],Tabla7[[CODIGO]:[CERTIFICACION]],3,0))))</f>
        <v>ASC</v>
      </c>
      <c r="P1000" s="180">
        <f>+L1000-E1000</f>
        <v>637.85000000000036</v>
      </c>
      <c r="Q1000" s="49">
        <f>+M1000-F1000</f>
        <v>1.6400000000000006</v>
      </c>
      <c r="R1000" s="9"/>
    </row>
    <row r="1001" spans="1:18" x14ac:dyDescent="0.25">
      <c r="A1001" s="9" t="s">
        <v>171</v>
      </c>
      <c r="B1001" s="9">
        <f>ROW() - ROW(TablaCosechas[[#Headers],[ID]]) - 4</f>
        <v>996</v>
      </c>
      <c r="C1001" s="9" t="str">
        <f>LEFT(A1001,2)</f>
        <v>TA</v>
      </c>
      <c r="D1001" s="182" t="s">
        <v>366</v>
      </c>
      <c r="E1001" s="178">
        <v>22600</v>
      </c>
      <c r="F1001" s="19">
        <v>38</v>
      </c>
      <c r="G1001" s="195">
        <v>46043</v>
      </c>
      <c r="H1001" s="9" t="str">
        <f>VLOOKUP(TablaCosechas[[#This Row],[COD]],DATOS!$E$3:$F$27,2,0)</f>
        <v>TAMBULERO</v>
      </c>
      <c r="I1001" s="9" t="str">
        <f>RIGHT(TablaCosechas[[#This Row],[SECTOR/PISCINA]],2)</f>
        <v>13</v>
      </c>
      <c r="J1001" s="9" t="str">
        <f>VLOOKUP(TablaCosechas[[#This Row],[COD]],Tabla7[#All],4,0)</f>
        <v>ALFONSO GRUNAUER</v>
      </c>
      <c r="K1001" s="179">
        <f>(TablaCosechas[[#This Row],[libras planta]]*454)/M1001</f>
        <v>286860.79925053538</v>
      </c>
      <c r="L1001" s="215">
        <v>23605.99</v>
      </c>
      <c r="M1001" s="205">
        <v>37.36</v>
      </c>
      <c r="N1001" s="9" t="str">
        <f>UPPER(TEXT(TablaCosechas[[#This Row],[COSECHA]],"MMMM"))</f>
        <v>ENERO</v>
      </c>
      <c r="O1001" s="9" t="str">
        <f>IF(A1001="DO 29","BAP",IF(A1001="RO 14","BAP",(VLOOKUP(TablaCosechas[[#This Row],[COD]],Tabla7[[CODIGO]:[CERTIFICACION]],3,0))))</f>
        <v>CONVENCIONAL</v>
      </c>
      <c r="P1001" s="180">
        <f>+L1001-E1001</f>
        <v>1005.9900000000016</v>
      </c>
      <c r="Q1001" s="49">
        <f>+M1001-F1001</f>
        <v>-0.64000000000000057</v>
      </c>
      <c r="R1001" s="9"/>
    </row>
    <row r="1002" spans="1:18" x14ac:dyDescent="0.25">
      <c r="A1002" s="9" t="s">
        <v>170</v>
      </c>
      <c r="B1002" s="9">
        <f>ROW() - ROW(TablaCosechas[[#Headers],[ID]]) - 4</f>
        <v>997</v>
      </c>
      <c r="C1002" s="9" t="str">
        <f>LEFT(A1002,2)</f>
        <v>PA</v>
      </c>
      <c r="D1002" s="182" t="s">
        <v>366</v>
      </c>
      <c r="E1002" s="178">
        <v>18650</v>
      </c>
      <c r="F1002" s="19">
        <v>32</v>
      </c>
      <c r="G1002" s="195">
        <v>46043</v>
      </c>
      <c r="H1002" s="9" t="str">
        <f>VLOOKUP(TablaCosechas[[#This Row],[COD]],DATOS!$E$3:$F$27,2,0)</f>
        <v>PAMPANO</v>
      </c>
      <c r="I1002" s="9" t="str">
        <f>RIGHT(TablaCosechas[[#This Row],[SECTOR/PISCINA]],2)</f>
        <v>08</v>
      </c>
      <c r="J1002" s="9" t="str">
        <f>VLOOKUP(TablaCosechas[[#This Row],[COD]],Tabla7[#All],4,0)</f>
        <v>GUSTAVO CARRASCO</v>
      </c>
      <c r="K1002" s="179">
        <f>(TablaCosechas[[#This Row],[libras planta]]*454)/M1002</f>
        <v>253421.31147540986</v>
      </c>
      <c r="L1002" s="215">
        <v>18387</v>
      </c>
      <c r="M1002" s="205">
        <v>32.94</v>
      </c>
      <c r="N1002" s="9" t="str">
        <f>UPPER(TEXT(TablaCosechas[[#This Row],[COSECHA]],"MMMM"))</f>
        <v>ENERO</v>
      </c>
      <c r="O1002" s="9" t="str">
        <f>IF(A1002="DO 29","BAP",IF(A1002="RO 14","BAP",(VLOOKUP(TablaCosechas[[#This Row],[COD]],Tabla7[[CODIGO]:[CERTIFICACION]],3,0))))</f>
        <v>ASC</v>
      </c>
      <c r="P1002" s="180">
        <f>+L1002-E1002</f>
        <v>-263</v>
      </c>
      <c r="Q1002" s="49">
        <f>+M1002-F1002</f>
        <v>0.93999999999999773</v>
      </c>
      <c r="R1002" s="9"/>
    </row>
    <row r="1003" spans="1:18" x14ac:dyDescent="0.25">
      <c r="A1003" s="9" t="s">
        <v>169</v>
      </c>
      <c r="B1003" s="9">
        <f>ROW() - ROW(TablaCosechas[[#Headers],[ID]]) - 4</f>
        <v>998</v>
      </c>
      <c r="C1003" s="9" t="str">
        <f>LEFT(A1003,2)</f>
        <v>DO</v>
      </c>
      <c r="D1003" s="182" t="s">
        <v>366</v>
      </c>
      <c r="E1003" s="178">
        <v>42000</v>
      </c>
      <c r="F1003" s="19">
        <v>35</v>
      </c>
      <c r="G1003" s="195">
        <v>46043</v>
      </c>
      <c r="H1003" s="9" t="str">
        <f>VLOOKUP(TablaCosechas[[#This Row],[COD]],DATOS!$E$3:$F$27,2,0)</f>
        <v>DORADO</v>
      </c>
      <c r="I1003" s="9" t="str">
        <f>RIGHT(TablaCosechas[[#This Row],[SECTOR/PISCINA]],2)</f>
        <v>12</v>
      </c>
      <c r="J1003" s="9" t="str">
        <f>VLOOKUP(TablaCosechas[[#This Row],[COD]],Tabla7[#All],4,0)</f>
        <v>JOSE CEDEÑO</v>
      </c>
      <c r="K1003" s="179">
        <f>(TablaCosechas[[#This Row],[libras planta]]*454)/M1003</f>
        <v>603091.17425622349</v>
      </c>
      <c r="L1003" s="215">
        <v>43757.32</v>
      </c>
      <c r="M1003" s="205">
        <v>32.94</v>
      </c>
      <c r="N1003" s="9" t="str">
        <f>UPPER(TEXT(TablaCosechas[[#This Row],[COSECHA]],"MMMM"))</f>
        <v>ENERO</v>
      </c>
      <c r="O1003" s="9" t="str">
        <f>IF(A1003="DO 29","BAP",IF(A1003="RO 14","BAP",(VLOOKUP(TablaCosechas[[#This Row],[COD]],Tabla7[[CODIGO]:[CERTIFICACION]],3,0))))</f>
        <v>ASC</v>
      </c>
      <c r="P1003" s="180">
        <f>+L1003-E1003</f>
        <v>1757.3199999999997</v>
      </c>
      <c r="Q1003" s="49">
        <f>+M1003-F1003</f>
        <v>-2.0600000000000023</v>
      </c>
      <c r="R1003" s="9"/>
    </row>
    <row r="1004" spans="1:18" x14ac:dyDescent="0.25">
      <c r="A1004" s="9" t="s">
        <v>236</v>
      </c>
      <c r="B1004" s="9">
        <f>ROW() - ROW(TablaCosechas[[#Headers],[ID]]) - 4</f>
        <v>999</v>
      </c>
      <c r="C1004" s="9" t="str">
        <f>LEFT(A1004,2)</f>
        <v>WA</v>
      </c>
      <c r="D1004" s="182" t="s">
        <v>367</v>
      </c>
      <c r="E1004" s="178">
        <v>14400</v>
      </c>
      <c r="F1004" s="19">
        <v>21</v>
      </c>
      <c r="G1004" s="195">
        <v>46044</v>
      </c>
      <c r="H1004" s="9" t="str">
        <f>VLOOKUP(TablaCosechas[[#This Row],[COD]],DATOS!$E$3:$F$27,2,0)</f>
        <v>WAHOO</v>
      </c>
      <c r="I1004" s="9" t="str">
        <f>RIGHT(TablaCosechas[[#This Row],[SECTOR/PISCINA]],2)</f>
        <v>32</v>
      </c>
      <c r="J1004" s="9" t="str">
        <f>VLOOKUP(TablaCosechas[[#This Row],[COD]],Tabla7[#All],4,0)</f>
        <v>JUNIOR ESQUIVEL</v>
      </c>
      <c r="K1004" s="179">
        <f>(TablaCosechas[[#This Row],[libras planta]]*454)/M1004</f>
        <v>345866.53629032261</v>
      </c>
      <c r="L1004" s="215">
        <v>15114.52</v>
      </c>
      <c r="M1004" s="205">
        <v>19.84</v>
      </c>
      <c r="N1004" s="9" t="str">
        <f>UPPER(TEXT(TablaCosechas[[#This Row],[COSECHA]],"MMMM"))</f>
        <v>ENERO</v>
      </c>
      <c r="O1004" s="9" t="str">
        <f>IF(A1004="DO 29","BAP",IF(A1004="RO 14","BAP",(VLOOKUP(TablaCosechas[[#This Row],[COD]],Tabla7[[CODIGO]:[CERTIFICACION]],3,0))))</f>
        <v>CONVENCIONAL</v>
      </c>
      <c r="P1004" s="180">
        <f>+L1004-E1004</f>
        <v>714.52000000000044</v>
      </c>
      <c r="Q1004" s="49">
        <f>+M1004-F1004</f>
        <v>-1.1600000000000001</v>
      </c>
      <c r="R1004" s="9"/>
    </row>
    <row r="1005" spans="1:18" x14ac:dyDescent="0.25">
      <c r="A1005" s="9" t="s">
        <v>173</v>
      </c>
      <c r="B1005" s="9">
        <f>ROW() - ROW(TablaCosechas[[#Headers],[ID]]) - 4</f>
        <v>1000</v>
      </c>
      <c r="C1005" s="9" t="str">
        <f>LEFT(A1005,2)</f>
        <v>TI</v>
      </c>
      <c r="D1005" s="182" t="s">
        <v>366</v>
      </c>
      <c r="E1005" s="178">
        <f>46200+1500</f>
        <v>47700</v>
      </c>
      <c r="F1005" s="19">
        <v>31</v>
      </c>
      <c r="G1005" s="195">
        <v>46044</v>
      </c>
      <c r="H1005" s="9" t="str">
        <f>VLOOKUP(TablaCosechas[[#This Row],[COD]],DATOS!$E$3:$F$27,2,0)</f>
        <v>TIBURON</v>
      </c>
      <c r="I1005" s="9" t="str">
        <f>RIGHT(TablaCosechas[[#This Row],[SECTOR/PISCINA]],2)</f>
        <v>01</v>
      </c>
      <c r="J1005" s="9" t="str">
        <f>VLOOKUP(TablaCosechas[[#This Row],[COD]],Tabla7[#All],4,0)</f>
        <v>ALFONSO GRUNAUER</v>
      </c>
      <c r="K1005" s="179">
        <f>(TablaCosechas[[#This Row],[libras planta]]*454)/M1005</f>
        <v>693357.14285714284</v>
      </c>
      <c r="L1005" s="215">
        <f>46718.43+1816.57</f>
        <v>48535</v>
      </c>
      <c r="M1005" s="205">
        <v>31.78</v>
      </c>
      <c r="N1005" s="9" t="str">
        <f>UPPER(TEXT(TablaCosechas[[#This Row],[COSECHA]],"MMMM"))</f>
        <v>ENERO</v>
      </c>
      <c r="O1005" s="9" t="str">
        <f>IF(A1005="DO 29","BAP",IF(A1005="RO 14","BAP",(VLOOKUP(TablaCosechas[[#This Row],[COD]],Tabla7[[CODIGO]:[CERTIFICACION]],3,0))))</f>
        <v>ASC</v>
      </c>
      <c r="P1005" s="180">
        <f>+L1005-E1005</f>
        <v>835</v>
      </c>
      <c r="Q1005" s="49">
        <f>+M1005-F1005</f>
        <v>0.78000000000000114</v>
      </c>
      <c r="R1005" s="9"/>
    </row>
    <row r="1006" spans="1:18" x14ac:dyDescent="0.25">
      <c r="A1006" s="9" t="s">
        <v>230</v>
      </c>
      <c r="B1006" s="9">
        <f>ROW() - ROW(TablaCosechas[[#Headers],[ID]]) - 4</f>
        <v>1001</v>
      </c>
      <c r="C1006" s="9" t="str">
        <f>LEFT(A1006,2)</f>
        <v>TA</v>
      </c>
      <c r="D1006" s="182" t="s">
        <v>367</v>
      </c>
      <c r="E1006" s="178">
        <v>7800</v>
      </c>
      <c r="F1006" s="19">
        <v>21.5</v>
      </c>
      <c r="G1006" s="195">
        <v>46044</v>
      </c>
      <c r="H1006" s="9" t="str">
        <f>VLOOKUP(TablaCosechas[[#This Row],[COD]],DATOS!$E$3:$F$27,2,0)</f>
        <v>TAMBULERO</v>
      </c>
      <c r="I1006" s="9" t="str">
        <f>RIGHT(TablaCosechas[[#This Row],[SECTOR/PISCINA]],2)</f>
        <v>26</v>
      </c>
      <c r="J1006" s="9" t="str">
        <f>VLOOKUP(TablaCosechas[[#This Row],[COD]],Tabla7[#All],4,0)</f>
        <v>ALFONSO GRUNAUER</v>
      </c>
      <c r="K1006" s="179">
        <f>(TablaCosechas[[#This Row],[libras planta]]*454)/M1006</f>
        <v>167230.88143908422</v>
      </c>
      <c r="L1006" s="215">
        <v>9009.84</v>
      </c>
      <c r="M1006" s="205">
        <v>24.46</v>
      </c>
      <c r="N1006" s="9" t="str">
        <f>UPPER(TEXT(TablaCosechas[[#This Row],[COSECHA]],"MMMM"))</f>
        <v>ENERO</v>
      </c>
      <c r="O1006" s="9" t="str">
        <f>IF(A1006="DO 29","BAP",IF(A1006="RO 14","BAP",(VLOOKUP(TablaCosechas[[#This Row],[COD]],Tabla7[[CODIGO]:[CERTIFICACION]],3,0))))</f>
        <v>CONVENCIONAL</v>
      </c>
      <c r="P1006" s="180">
        <f>+L1006-E1006</f>
        <v>1209.8400000000001</v>
      </c>
      <c r="Q1006" s="49">
        <f>+M1006-F1006</f>
        <v>2.9600000000000009</v>
      </c>
      <c r="R1006" s="9"/>
    </row>
    <row r="1007" spans="1:18" x14ac:dyDescent="0.25">
      <c r="A1007" s="9" t="s">
        <v>172</v>
      </c>
      <c r="B1007" s="9">
        <f>ROW() - ROW(TablaCosechas[[#Headers],[ID]]) - 4</f>
        <v>1002</v>
      </c>
      <c r="C1007" s="9" t="str">
        <f>LEFT(A1007,2)</f>
        <v>TA</v>
      </c>
      <c r="D1007" s="182" t="s">
        <v>366</v>
      </c>
      <c r="E1007" s="178">
        <v>34100</v>
      </c>
      <c r="F1007" s="19">
        <v>41</v>
      </c>
      <c r="G1007" s="195">
        <v>46044</v>
      </c>
      <c r="H1007" s="9" t="str">
        <f>VLOOKUP(TablaCosechas[[#This Row],[COD]],DATOS!$E$3:$F$27,2,0)</f>
        <v>TAMBULERO</v>
      </c>
      <c r="I1007" s="9" t="str">
        <f>RIGHT(TablaCosechas[[#This Row],[SECTOR/PISCINA]],2)</f>
        <v>24</v>
      </c>
      <c r="J1007" s="9" t="str">
        <f>VLOOKUP(TablaCosechas[[#This Row],[COD]],Tabla7[#All],4,0)</f>
        <v>ALFONSO GRUNAUER</v>
      </c>
      <c r="K1007" s="179">
        <f>(TablaCosechas[[#This Row],[libras planta]]*454)/M1007</f>
        <v>409603.11111111112</v>
      </c>
      <c r="L1007" s="215">
        <v>36864.28</v>
      </c>
      <c r="M1007" s="205">
        <v>40.86</v>
      </c>
      <c r="N1007" s="9" t="str">
        <f>UPPER(TEXT(TablaCosechas[[#This Row],[COSECHA]],"MMMM"))</f>
        <v>ENERO</v>
      </c>
      <c r="O1007" s="9" t="str">
        <f>IF(A1007="DO 29","BAP",IF(A1007="RO 14","BAP",(VLOOKUP(TablaCosechas[[#This Row],[COD]],Tabla7[[CODIGO]:[CERTIFICACION]],3,0))))</f>
        <v>CONVENCIONAL</v>
      </c>
      <c r="P1007" s="180">
        <f>+L1007-E1007</f>
        <v>2764.2799999999988</v>
      </c>
      <c r="Q1007" s="49">
        <f>+M1007-F1007</f>
        <v>-0.14000000000000057</v>
      </c>
      <c r="R1007" s="9"/>
    </row>
    <row r="1008" spans="1:18" x14ac:dyDescent="0.25">
      <c r="A1008" s="9" t="s">
        <v>268</v>
      </c>
      <c r="B1008" s="9">
        <f>ROW() - ROW(TablaCosechas[[#Headers],[ID]]) - 4</f>
        <v>1003</v>
      </c>
      <c r="C1008" s="9" t="str">
        <f>LEFT(A1008,2)</f>
        <v>MA</v>
      </c>
      <c r="D1008" s="182" t="s">
        <v>367</v>
      </c>
      <c r="E1008" s="178">
        <v>7400</v>
      </c>
      <c r="F1008" s="19">
        <v>16</v>
      </c>
      <c r="G1008" s="195">
        <v>46044</v>
      </c>
      <c r="H1008" s="9" t="str">
        <f>VLOOKUP(TablaCosechas[[#This Row],[COD]],DATOS!$E$3:$F$27,2,0)</f>
        <v>MANTARRAYA</v>
      </c>
      <c r="I1008" s="9" t="str">
        <f>RIGHT(TablaCosechas[[#This Row],[SECTOR/PISCINA]],2)</f>
        <v>10</v>
      </c>
      <c r="J1008" s="9" t="str">
        <f>VLOOKUP(TablaCosechas[[#This Row],[COD]],Tabla7[#All],4,0)</f>
        <v>GUSTAVO CARRASCO</v>
      </c>
      <c r="K1008" s="179">
        <f>(TablaCosechas[[#This Row],[libras planta]]*454)/M1008</f>
        <v>214707.79829890642</v>
      </c>
      <c r="L1008" s="215">
        <v>7784.34</v>
      </c>
      <c r="M1008" s="205">
        <v>16.46</v>
      </c>
      <c r="N1008" s="9" t="str">
        <f>UPPER(TEXT(TablaCosechas[[#This Row],[COSECHA]],"MMMM"))</f>
        <v>ENERO</v>
      </c>
      <c r="O1008" s="9" t="str">
        <f>IF(A1008="DO 29","BAP",IF(A1008="RO 14","BAP",(VLOOKUP(TablaCosechas[[#This Row],[COD]],Tabla7[[CODIGO]:[CERTIFICACION]],3,0))))</f>
        <v>ASC</v>
      </c>
      <c r="P1008" s="180">
        <f>+L1008-E1008</f>
        <v>384.34000000000015</v>
      </c>
      <c r="Q1008" s="49">
        <f>+M1008-F1008</f>
        <v>0.46000000000000085</v>
      </c>
      <c r="R1008" s="9"/>
    </row>
    <row r="1009" spans="1:18" x14ac:dyDescent="0.25">
      <c r="A1009" s="9" t="s">
        <v>249</v>
      </c>
      <c r="B1009" s="9">
        <f>ROW() - ROW(TablaCosechas[[#Headers],[ID]]) - 4</f>
        <v>1004</v>
      </c>
      <c r="C1009" s="9" t="str">
        <f>LEFT(A1009,2)</f>
        <v>DO</v>
      </c>
      <c r="D1009" s="182" t="s">
        <v>367</v>
      </c>
      <c r="E1009" s="178">
        <v>14400</v>
      </c>
      <c r="F1009" s="19">
        <v>24</v>
      </c>
      <c r="G1009" s="195">
        <v>46044</v>
      </c>
      <c r="H1009" s="9" t="str">
        <f>VLOOKUP(TablaCosechas[[#This Row],[COD]],DATOS!$E$3:$F$27,2,0)</f>
        <v>DORADO</v>
      </c>
      <c r="I1009" s="9" t="str">
        <f>RIGHT(TablaCosechas[[#This Row],[SECTOR/PISCINA]],2)</f>
        <v>14</v>
      </c>
      <c r="J1009" s="9" t="str">
        <f>VLOOKUP(TablaCosechas[[#This Row],[COD]],Tabla7[#All],4,0)</f>
        <v>JOSE CEDEÑO</v>
      </c>
      <c r="K1009" s="179">
        <f>(TablaCosechas[[#This Row],[libras planta]]*454)/M1009</f>
        <v>244620.46376811597</v>
      </c>
      <c r="L1009" s="215">
        <v>13384.08</v>
      </c>
      <c r="M1009" s="205">
        <v>24.84</v>
      </c>
      <c r="N1009" s="9" t="str">
        <f>UPPER(TEXT(TablaCosechas[[#This Row],[COSECHA]],"MMMM"))</f>
        <v>ENERO</v>
      </c>
      <c r="O1009" s="9" t="str">
        <f>IF(A1009="DO 29","BAP",IF(A1009="RO 14","BAP",(VLOOKUP(TablaCosechas[[#This Row],[COD]],Tabla7[[CODIGO]:[CERTIFICACION]],3,0))))</f>
        <v>ASC</v>
      </c>
      <c r="P1009" s="180">
        <f>+L1009-E1009</f>
        <v>-1015.9200000000001</v>
      </c>
      <c r="Q1009" s="49">
        <f>+M1009-F1009</f>
        <v>0.83999999999999986</v>
      </c>
      <c r="R1009" s="9"/>
    </row>
    <row r="1010" spans="1:18" x14ac:dyDescent="0.25">
      <c r="A1010" s="9" t="s">
        <v>220</v>
      </c>
      <c r="B1010" s="9">
        <f>ROW() - ROW(TablaCosechas[[#Headers],[ID]]) - 4</f>
        <v>1005</v>
      </c>
      <c r="C1010" s="9" t="str">
        <f>LEFT(A1010,2)</f>
        <v>DO</v>
      </c>
      <c r="D1010" s="182" t="s">
        <v>367</v>
      </c>
      <c r="E1010" s="178">
        <v>10000</v>
      </c>
      <c r="F1010" s="19">
        <v>27.5</v>
      </c>
      <c r="G1010" s="195">
        <v>46044</v>
      </c>
      <c r="H1010" s="9" t="str">
        <f>VLOOKUP(TablaCosechas[[#This Row],[COD]],DATOS!$E$3:$F$27,2,0)</f>
        <v>DORADO</v>
      </c>
      <c r="I1010" s="9" t="str">
        <f>RIGHT(TablaCosechas[[#This Row],[SECTOR/PISCINA]],2)</f>
        <v>13</v>
      </c>
      <c r="J1010" s="9" t="str">
        <f>VLOOKUP(TablaCosechas[[#This Row],[COD]],Tabla7[#All],4,0)</f>
        <v>JOSE CEDEÑO</v>
      </c>
      <c r="K1010" s="179">
        <f>(TablaCosechas[[#This Row],[libras planta]]*454)/M1010</f>
        <v>148977.95602018747</v>
      </c>
      <c r="L1010" s="215">
        <v>9102.75</v>
      </c>
      <c r="M1010" s="205">
        <v>27.74</v>
      </c>
      <c r="N1010" s="9" t="str">
        <f>UPPER(TEXT(TablaCosechas[[#This Row],[COSECHA]],"MMMM"))</f>
        <v>ENERO</v>
      </c>
      <c r="O1010" s="9" t="str">
        <f>IF(A1010="DO 29","BAP",IF(A1010="RO 14","BAP",(VLOOKUP(TablaCosechas[[#This Row],[COD]],Tabla7[[CODIGO]:[CERTIFICACION]],3,0))))</f>
        <v>ASC</v>
      </c>
      <c r="P1010" s="180">
        <f>+L1010-E1010</f>
        <v>-897.25</v>
      </c>
      <c r="Q1010" s="49">
        <f>+M1010-F1010</f>
        <v>0.23999999999999844</v>
      </c>
      <c r="R1010" s="9"/>
    </row>
    <row r="1011" spans="1:18" x14ac:dyDescent="0.25">
      <c r="A1011" s="9" t="s">
        <v>250</v>
      </c>
      <c r="B1011" s="9">
        <f>ROW() - ROW(TablaCosechas[[#Headers],[ID]]) - 4</f>
        <v>1006</v>
      </c>
      <c r="C1011" s="9" t="str">
        <f>LEFT(A1011,2)</f>
        <v>DO</v>
      </c>
      <c r="D1011" s="182" t="s">
        <v>367</v>
      </c>
      <c r="E1011" s="178">
        <v>5700</v>
      </c>
      <c r="F1011" s="19">
        <v>23</v>
      </c>
      <c r="G1011" s="195">
        <v>46044</v>
      </c>
      <c r="H1011" s="9" t="str">
        <f>VLOOKUP(TablaCosechas[[#This Row],[COD]],DATOS!$E$3:$F$27,2,0)</f>
        <v>DORADO</v>
      </c>
      <c r="I1011" s="9" t="str">
        <f>RIGHT(TablaCosechas[[#This Row],[SECTOR/PISCINA]],2)</f>
        <v>10</v>
      </c>
      <c r="J1011" s="9" t="str">
        <f>VLOOKUP(TablaCosechas[[#This Row],[COD]],Tabla7[#All],4,0)</f>
        <v>JOSE CEDEÑO</v>
      </c>
      <c r="K1011" s="179">
        <f>(TablaCosechas[[#This Row],[libras planta]]*454)/M1011</f>
        <v>82345.670839469807</v>
      </c>
      <c r="L1011" s="215">
        <v>4926.2299999999996</v>
      </c>
      <c r="M1011" s="205">
        <v>27.16</v>
      </c>
      <c r="N1011" s="9" t="str">
        <f>UPPER(TEXT(TablaCosechas[[#This Row],[COSECHA]],"MMMM"))</f>
        <v>ENERO</v>
      </c>
      <c r="O1011" s="9" t="str">
        <f>IF(A1011="DO 29","BAP",IF(A1011="RO 14","BAP",(VLOOKUP(TablaCosechas[[#This Row],[COD]],Tabla7[[CODIGO]:[CERTIFICACION]],3,0))))</f>
        <v>ASC</v>
      </c>
      <c r="P1011" s="180">
        <f>+L1011-E1011</f>
        <v>-773.77000000000044</v>
      </c>
      <c r="Q1011" s="49">
        <f>+M1011-F1011</f>
        <v>4.16</v>
      </c>
      <c r="R1011" s="9"/>
    </row>
    <row r="1012" spans="1:18" x14ac:dyDescent="0.25">
      <c r="A1012" s="9" t="s">
        <v>176</v>
      </c>
      <c r="B1012" s="9">
        <f>ROW() - ROW(TablaCosechas[[#Headers],[ID]]) - 4</f>
        <v>1007</v>
      </c>
      <c r="C1012" s="9" t="str">
        <f>LEFT(A1012,2)</f>
        <v>TA</v>
      </c>
      <c r="D1012" s="182" t="s">
        <v>366</v>
      </c>
      <c r="E1012" s="178">
        <v>35000</v>
      </c>
      <c r="F1012" s="19">
        <v>37</v>
      </c>
      <c r="G1012" s="195">
        <v>46045</v>
      </c>
      <c r="H1012" s="9" t="str">
        <f>VLOOKUP(TablaCosechas[[#This Row],[COD]],DATOS!$E$3:$F$27,2,0)</f>
        <v>TAMBULERO</v>
      </c>
      <c r="I1012" s="9" t="str">
        <f>RIGHT(TablaCosechas[[#This Row],[SECTOR/PISCINA]],2)</f>
        <v>15</v>
      </c>
      <c r="J1012" s="9" t="str">
        <f>VLOOKUP(TablaCosechas[[#This Row],[COD]],Tabla7[#All],4,0)</f>
        <v>ALFONSO GRUNAUER</v>
      </c>
      <c r="K1012" s="179">
        <f>(TablaCosechas[[#This Row],[libras planta]]*454)/M1012</f>
        <v>442701.41155419225</v>
      </c>
      <c r="L1012" s="215">
        <v>38146.43</v>
      </c>
      <c r="M1012" s="205">
        <v>39.119999999999997</v>
      </c>
      <c r="N1012" s="9" t="str">
        <f>UPPER(TEXT(TablaCosechas[[#This Row],[COSECHA]],"MMMM"))</f>
        <v>ENERO</v>
      </c>
      <c r="O1012" s="9" t="str">
        <f>IF(A1012="DO 29","BAP",IF(A1012="RO 14","BAP",(VLOOKUP(TablaCosechas[[#This Row],[COD]],Tabla7[[CODIGO]:[CERTIFICACION]],3,0))))</f>
        <v>CONVENCIONAL</v>
      </c>
      <c r="P1012" s="180">
        <f>+L1012-E1012</f>
        <v>3146.4300000000003</v>
      </c>
      <c r="Q1012" s="49">
        <f>+M1012-F1012</f>
        <v>2.1199999999999974</v>
      </c>
      <c r="R1012" s="9"/>
    </row>
    <row r="1013" spans="1:18" x14ac:dyDescent="0.25">
      <c r="A1013" s="9" t="s">
        <v>255</v>
      </c>
      <c r="B1013" s="9">
        <f>ROW() - ROW(TablaCosechas[[#Headers],[ID]]) - 4</f>
        <v>1008</v>
      </c>
      <c r="C1013" s="9" t="str">
        <f>LEFT(A1013,2)</f>
        <v>RO</v>
      </c>
      <c r="D1013" s="182" t="s">
        <v>367</v>
      </c>
      <c r="E1013" s="178">
        <v>3000</v>
      </c>
      <c r="F1013" s="19">
        <v>18</v>
      </c>
      <c r="G1013" s="195">
        <v>46045</v>
      </c>
      <c r="H1013" s="9" t="str">
        <f>VLOOKUP(TablaCosechas[[#This Row],[COD]],DATOS!$E$3:$F$27,2,0)</f>
        <v>ROBALO</v>
      </c>
      <c r="I1013" s="9" t="str">
        <f>RIGHT(TablaCosechas[[#This Row],[SECTOR/PISCINA]],2)</f>
        <v>10</v>
      </c>
      <c r="J1013" s="9" t="str">
        <f>VLOOKUP(TablaCosechas[[#This Row],[COD]],Tabla7[#All],4,0)</f>
        <v>VICTOR QUINTANA</v>
      </c>
      <c r="K1013" s="179">
        <f>(TablaCosechas[[#This Row],[libras planta]]*454)/M1013</f>
        <v>89567.46483516485</v>
      </c>
      <c r="L1013" s="215">
        <v>3590.59</v>
      </c>
      <c r="M1013" s="205">
        <v>18.2</v>
      </c>
      <c r="N1013" s="9" t="str">
        <f>UPPER(TEXT(TablaCosechas[[#This Row],[COSECHA]],"MMMM"))</f>
        <v>ENERO</v>
      </c>
      <c r="O1013" s="9" t="str">
        <f>IF(A1013="DO 29","BAP",IF(A1013="RO 14","BAP",(VLOOKUP(TablaCosechas[[#This Row],[COD]],Tabla7[[CODIGO]:[CERTIFICACION]],3,0))))</f>
        <v>ASC</v>
      </c>
      <c r="P1013" s="180">
        <f>+L1013-E1013</f>
        <v>590.59000000000015</v>
      </c>
      <c r="Q1013" s="49">
        <f>+M1013-F1013</f>
        <v>0.19999999999999929</v>
      </c>
      <c r="R1013" s="9"/>
    </row>
    <row r="1014" spans="1:18" x14ac:dyDescent="0.25">
      <c r="A1014" s="9" t="s">
        <v>175</v>
      </c>
      <c r="B1014" s="9">
        <f>ROW() - ROW(TablaCosechas[[#Headers],[ID]]) - 4</f>
        <v>1009</v>
      </c>
      <c r="C1014" s="9" t="str">
        <f>LEFT(A1014,2)</f>
        <v>PA</v>
      </c>
      <c r="D1014" s="182" t="s">
        <v>366</v>
      </c>
      <c r="E1014" s="178">
        <v>12350</v>
      </c>
      <c r="F1014" s="19">
        <v>27</v>
      </c>
      <c r="G1014" s="195">
        <v>46045</v>
      </c>
      <c r="H1014" s="9" t="str">
        <f>VLOOKUP(TablaCosechas[[#This Row],[COD]],DATOS!$E$3:$F$27,2,0)</f>
        <v>PAMPANO</v>
      </c>
      <c r="I1014" s="9" t="str">
        <f>RIGHT(TablaCosechas[[#This Row],[SECTOR/PISCINA]],2)</f>
        <v>09</v>
      </c>
      <c r="J1014" s="9" t="str">
        <f>VLOOKUP(TablaCosechas[[#This Row],[COD]],Tabla7[#All],4,0)</f>
        <v>GUSTAVO CARRASCO</v>
      </c>
      <c r="K1014" s="179">
        <f>(TablaCosechas[[#This Row],[libras planta]]*454)/M1014</f>
        <v>194898.15854450941</v>
      </c>
      <c r="L1014" s="215">
        <v>13213.58</v>
      </c>
      <c r="M1014" s="205">
        <v>30.78</v>
      </c>
      <c r="N1014" s="9" t="str">
        <f>UPPER(TEXT(TablaCosechas[[#This Row],[COSECHA]],"MMMM"))</f>
        <v>ENERO</v>
      </c>
      <c r="O1014" s="9" t="str">
        <f>IF(A1014="DO 29","BAP",IF(A1014="RO 14","BAP",(VLOOKUP(TablaCosechas[[#This Row],[COD]],Tabla7[[CODIGO]:[CERTIFICACION]],3,0))))</f>
        <v>ASC</v>
      </c>
      <c r="P1014" s="180">
        <f>+L1014-E1014</f>
        <v>863.57999999999993</v>
      </c>
      <c r="Q1014" s="181">
        <f>+M1014-F1014</f>
        <v>3.7800000000000011</v>
      </c>
      <c r="R1014" s="9"/>
    </row>
    <row r="1015" spans="1:18" x14ac:dyDescent="0.25">
      <c r="A1015" s="9" t="s">
        <v>219</v>
      </c>
      <c r="B1015" s="9">
        <f>ROW() - ROW(TablaCosechas[[#Headers],[ID]]) - 4</f>
        <v>1010</v>
      </c>
      <c r="C1015" s="9" t="str">
        <f>LEFT(A1015,2)</f>
        <v>DO</v>
      </c>
      <c r="D1015" s="182" t="s">
        <v>367</v>
      </c>
      <c r="E1015" s="178">
        <v>20000</v>
      </c>
      <c r="F1015" s="19">
        <v>26</v>
      </c>
      <c r="G1015" s="195">
        <v>46045</v>
      </c>
      <c r="H1015" s="9" t="str">
        <f>VLOOKUP(TablaCosechas[[#This Row],[COD]],DATOS!$E$3:$F$27,2,0)</f>
        <v>DORADO</v>
      </c>
      <c r="I1015" s="9" t="str">
        <f>RIGHT(TablaCosechas[[#This Row],[SECTOR/PISCINA]],2)</f>
        <v>11</v>
      </c>
      <c r="J1015" s="9" t="str">
        <f>VLOOKUP(TablaCosechas[[#This Row],[COD]],Tabla7[#All],4,0)</f>
        <v>JOSE CEDEÑO</v>
      </c>
      <c r="K1015" s="179">
        <f>(TablaCosechas[[#This Row],[libras planta]]*454)/M1015</f>
        <v>304944.97220242338</v>
      </c>
      <c r="L1015" s="215">
        <v>18847.48</v>
      </c>
      <c r="M1015" s="205">
        <v>28.06</v>
      </c>
      <c r="N1015" s="9" t="str">
        <f>UPPER(TEXT(TablaCosechas[[#This Row],[COSECHA]],"MMMM"))</f>
        <v>ENERO</v>
      </c>
      <c r="O1015" s="9" t="str">
        <f>IF(A1015="DO 29","BAP",IF(A1015="RO 14","BAP",(VLOOKUP(TablaCosechas[[#This Row],[COD]],Tabla7[[CODIGO]:[CERTIFICACION]],3,0))))</f>
        <v>ASC</v>
      </c>
      <c r="P1015" s="180">
        <f>+L1015-E1015</f>
        <v>-1152.5200000000004</v>
      </c>
      <c r="Q1015" s="181">
        <f>+M1015-F1015</f>
        <v>2.0599999999999987</v>
      </c>
      <c r="R1015" s="9"/>
    </row>
    <row r="1016" spans="1:18" x14ac:dyDescent="0.25">
      <c r="A1016" s="9" t="s">
        <v>174</v>
      </c>
      <c r="B1016" s="9">
        <f>ROW() - ROW(TablaCosechas[[#Headers],[ID]]) - 4</f>
        <v>1011</v>
      </c>
      <c r="C1016" s="9" t="str">
        <f>LEFT(A1016,2)</f>
        <v>DE</v>
      </c>
      <c r="D1016" s="182" t="s">
        <v>366</v>
      </c>
      <c r="E1016" s="178">
        <v>18450</v>
      </c>
      <c r="F1016" s="19">
        <v>33</v>
      </c>
      <c r="G1016" s="195">
        <v>46045</v>
      </c>
      <c r="H1016" s="9" t="str">
        <f>VLOOKUP(TablaCosechas[[#This Row],[COD]],DATOS!$E$3:$F$27,2,0)</f>
        <v>DELFIN</v>
      </c>
      <c r="I1016" s="9" t="str">
        <f>RIGHT(TablaCosechas[[#This Row],[SECTOR/PISCINA]],2)</f>
        <v>07</v>
      </c>
      <c r="J1016" s="9" t="str">
        <f>VLOOKUP(TablaCosechas[[#This Row],[COD]],Tabla7[#All],4,0)</f>
        <v>CARLOS FLORES</v>
      </c>
      <c r="K1016" s="179">
        <f>(TablaCosechas[[#This Row],[libras planta]]*454)/M1016</f>
        <v>270138.99872122763</v>
      </c>
      <c r="L1016" s="215">
        <v>18612.22</v>
      </c>
      <c r="M1016" s="205">
        <v>31.28</v>
      </c>
      <c r="N1016" s="9" t="str">
        <f>UPPER(TEXT(TablaCosechas[[#This Row],[COSECHA]],"MMMM"))</f>
        <v>ENERO</v>
      </c>
      <c r="O1016" s="9" t="str">
        <f>IF(A1016="DO 29","BAP",IF(A1016="RO 14","BAP",(VLOOKUP(TablaCosechas[[#This Row],[COD]],Tabla7[[CODIGO]:[CERTIFICACION]],3,0))))</f>
        <v>CONVENCIONAL</v>
      </c>
      <c r="P1016" s="180">
        <f>+L1016-E1016</f>
        <v>162.22000000000116</v>
      </c>
      <c r="Q1016" s="181">
        <f>+M1016-F1016</f>
        <v>-1.7199999999999989</v>
      </c>
      <c r="R1016" s="9"/>
    </row>
    <row r="1017" spans="1:18" x14ac:dyDescent="0.25">
      <c r="A1017" s="9" t="s">
        <v>211</v>
      </c>
      <c r="B1017" s="9">
        <f>ROW() - ROW(TablaCosechas[[#Headers],[ID]]) - 4</f>
        <v>1012</v>
      </c>
      <c r="C1017" s="9" t="str">
        <f>LEFT(A1017,2)</f>
        <v>WA</v>
      </c>
      <c r="D1017" s="182" t="s">
        <v>367</v>
      </c>
      <c r="E1017" s="178">
        <v>10200</v>
      </c>
      <c r="F1017" s="19">
        <v>26</v>
      </c>
      <c r="G1017" s="195">
        <v>46046</v>
      </c>
      <c r="H1017" s="9" t="str">
        <f>VLOOKUP(TablaCosechas[[#This Row],[COD]],DATOS!$E$3:$F$27,2,0)</f>
        <v>WAHOO</v>
      </c>
      <c r="I1017" s="9" t="str">
        <f>RIGHT(TablaCosechas[[#This Row],[SECTOR/PISCINA]],2)</f>
        <v>13</v>
      </c>
      <c r="J1017" s="9" t="str">
        <f>VLOOKUP(TablaCosechas[[#This Row],[COD]],Tabla7[#All],4,0)</f>
        <v>JUNIOR ESQUIVEL</v>
      </c>
      <c r="K1017" s="179">
        <f>(TablaCosechas[[#This Row],[libras planta]]*454)/M1017</f>
        <v>156298.4144460028</v>
      </c>
      <c r="L1017" s="215">
        <v>9818.57</v>
      </c>
      <c r="M1017" s="19">
        <v>28.52</v>
      </c>
      <c r="N1017" s="9" t="str">
        <f>UPPER(TEXT(TablaCosechas[[#This Row],[COSECHA]],"MMMM"))</f>
        <v>ENERO</v>
      </c>
      <c r="O1017" s="9" t="str">
        <f>IF(A1017="DO 29","BAP",IF(A1017="RO 14","BAP",(VLOOKUP(TablaCosechas[[#This Row],[COD]],Tabla7[[CODIGO]:[CERTIFICACION]],3,0))))</f>
        <v>CONVENCIONAL</v>
      </c>
      <c r="P1017" s="180">
        <f>+L1017-E1017</f>
        <v>-381.43000000000029</v>
      </c>
      <c r="Q1017" s="181">
        <f>+M1017-F1017</f>
        <v>2.5199999999999996</v>
      </c>
      <c r="R1017" s="9"/>
    </row>
    <row r="1018" spans="1:18" x14ac:dyDescent="0.25">
      <c r="A1018" s="9" t="s">
        <v>239</v>
      </c>
      <c r="B1018" s="9">
        <f>ROW() - ROW(TablaCosechas[[#Headers],[ID]]) - 4</f>
        <v>1013</v>
      </c>
      <c r="C1018" s="9" t="str">
        <f>LEFT(A1018,2)</f>
        <v>TA</v>
      </c>
      <c r="D1018" s="182" t="s">
        <v>367</v>
      </c>
      <c r="E1018" s="178">
        <v>12000</v>
      </c>
      <c r="F1018" s="19">
        <v>22</v>
      </c>
      <c r="G1018" s="195">
        <v>46046</v>
      </c>
      <c r="H1018" s="9" t="str">
        <f>VLOOKUP(TablaCosechas[[#This Row],[COD]],DATOS!$E$3:$F$27,2,0)</f>
        <v>TAMBULERO</v>
      </c>
      <c r="I1018" s="9" t="str">
        <f>RIGHT(TablaCosechas[[#This Row],[SECTOR/PISCINA]],2)</f>
        <v>7A</v>
      </c>
      <c r="J1018" s="9" t="str">
        <f>VLOOKUP(TablaCosechas[[#This Row],[COD]],Tabla7[#All],4,0)</f>
        <v>ALFONSO GRUNAUER</v>
      </c>
      <c r="K1018" s="179">
        <f>(TablaCosechas[[#This Row],[libras planta]]*454)/M1018</f>
        <v>270599.6013745704</v>
      </c>
      <c r="L1018" s="215">
        <v>13875.68</v>
      </c>
      <c r="M1018" s="19">
        <v>23.28</v>
      </c>
      <c r="N1018" s="9" t="str">
        <f>UPPER(TEXT(TablaCosechas[[#This Row],[COSECHA]],"MMMM"))</f>
        <v>ENERO</v>
      </c>
      <c r="O1018" s="9" t="str">
        <f>IF(A1018="DO 29","BAP",IF(A1018="RO 14","BAP",(VLOOKUP(TablaCosechas[[#This Row],[COD]],Tabla7[[CODIGO]:[CERTIFICACION]],3,0))))</f>
        <v>CONVENCIONAL</v>
      </c>
      <c r="P1018" s="180">
        <f>+L1018-E1018</f>
        <v>1875.6800000000003</v>
      </c>
      <c r="Q1018" s="181">
        <f>+M1018-F1018</f>
        <v>1.2800000000000011</v>
      </c>
      <c r="R1018" s="9"/>
    </row>
    <row r="1019" spans="1:18" x14ac:dyDescent="0.25">
      <c r="A1019" s="9" t="s">
        <v>178</v>
      </c>
      <c r="B1019" s="9">
        <f>ROW() - ROW(TablaCosechas[[#Headers],[ID]]) - 4</f>
        <v>1014</v>
      </c>
      <c r="C1019" s="9" t="str">
        <f>LEFT(A1019,2)</f>
        <v>PR</v>
      </c>
      <c r="D1019" s="182" t="s">
        <v>366</v>
      </c>
      <c r="E1019" s="178">
        <v>22300</v>
      </c>
      <c r="F1019" s="19">
        <v>17.5</v>
      </c>
      <c r="G1019" s="195">
        <v>46046</v>
      </c>
      <c r="H1019" s="9" t="str">
        <f>VLOOKUP(TablaCosechas[[#This Row],[COD]],DATOS!$E$3:$F$27,2,0)</f>
        <v>PARGO ROJO</v>
      </c>
      <c r="I1019" s="9" t="str">
        <f>RIGHT(TablaCosechas[[#This Row],[SECTOR/PISCINA]],2)</f>
        <v>09</v>
      </c>
      <c r="J1019" s="9" t="str">
        <f>VLOOKUP(TablaCosechas[[#This Row],[COD]],Tabla7[#All],4,0)</f>
        <v>WILMER TORRES</v>
      </c>
      <c r="K1019" s="179">
        <f>(TablaCosechas[[#This Row],[libras planta]]*454)/M1019</f>
        <v>637908.27748132334</v>
      </c>
      <c r="L1019" s="215">
        <v>26331.279999999999</v>
      </c>
      <c r="M1019" s="19">
        <v>18.739999999999998</v>
      </c>
      <c r="N1019" s="9" t="str">
        <f>UPPER(TEXT(TablaCosechas[[#This Row],[COSECHA]],"MMMM"))</f>
        <v>ENERO</v>
      </c>
      <c r="O1019" s="9" t="str">
        <f>IF(A1019="DO 29","BAP",IF(A1019="RO 14","BAP",(VLOOKUP(TablaCosechas[[#This Row],[COD]],Tabla7[[CODIGO]:[CERTIFICACION]],3,0))))</f>
        <v>CONVENCIONAL</v>
      </c>
      <c r="P1019" s="180">
        <f>+L1019-E1019</f>
        <v>4031.2799999999988</v>
      </c>
      <c r="Q1019" s="181">
        <f>+M1019-F1019</f>
        <v>1.2399999999999984</v>
      </c>
      <c r="R1019" s="9"/>
    </row>
    <row r="1020" spans="1:18" x14ac:dyDescent="0.25">
      <c r="A1020" s="9" t="s">
        <v>253</v>
      </c>
      <c r="B1020" s="9">
        <f>ROW() - ROW(TablaCosechas[[#Headers],[ID]]) - 4</f>
        <v>1015</v>
      </c>
      <c r="C1020" s="9" t="str">
        <f>LEFT(A1020,2)</f>
        <v>DO</v>
      </c>
      <c r="D1020" s="182" t="s">
        <v>367</v>
      </c>
      <c r="E1020" s="178">
        <v>8400</v>
      </c>
      <c r="F1020" s="19">
        <v>20</v>
      </c>
      <c r="G1020" s="195">
        <v>46046</v>
      </c>
      <c r="H1020" s="9" t="str">
        <f>VLOOKUP(TablaCosechas[[#This Row],[COD]],DATOS!$E$3:$F$27,2,0)</f>
        <v>DORADO</v>
      </c>
      <c r="I1020" s="9" t="str">
        <f>RIGHT(TablaCosechas[[#This Row],[SECTOR/PISCINA]],2)</f>
        <v>16</v>
      </c>
      <c r="J1020" s="9" t="str">
        <f>VLOOKUP(TablaCosechas[[#This Row],[COD]],Tabla7[#All],4,0)</f>
        <v>JOSE CEDEÑO</v>
      </c>
      <c r="K1020" s="179">
        <f>(TablaCosechas[[#This Row],[libras planta]]*454)/M1020</f>
        <v>226418.73114754097</v>
      </c>
      <c r="L1020" s="215">
        <v>9126.57</v>
      </c>
      <c r="M1020" s="19">
        <v>18.3</v>
      </c>
      <c r="N1020" s="9" t="str">
        <f>UPPER(TEXT(TablaCosechas[[#This Row],[COSECHA]],"MMMM"))</f>
        <v>ENERO</v>
      </c>
      <c r="O1020" s="9" t="str">
        <f>IF(A1020="DO 29","BAP",IF(A1020="RO 14","BAP",(VLOOKUP(TablaCosechas[[#This Row],[COD]],Tabla7[[CODIGO]:[CERTIFICACION]],3,0))))</f>
        <v>ASC</v>
      </c>
      <c r="P1020" s="180">
        <f>+L1020-E1020</f>
        <v>726.56999999999971</v>
      </c>
      <c r="Q1020" s="181">
        <f>+M1020-F1020</f>
        <v>-1.6999999999999993</v>
      </c>
      <c r="R1020" s="9"/>
    </row>
    <row r="1021" spans="1:18" x14ac:dyDescent="0.25">
      <c r="A1021" s="9" t="s">
        <v>177</v>
      </c>
      <c r="B1021" s="9">
        <f>ROW() - ROW(TablaCosechas[[#Headers],[ID]]) - 4</f>
        <v>1016</v>
      </c>
      <c r="C1021" s="9" t="str">
        <f>LEFT(A1021,2)</f>
        <v>DE</v>
      </c>
      <c r="D1021" s="182" t="s">
        <v>366</v>
      </c>
      <c r="E1021" s="178">
        <v>30900</v>
      </c>
      <c r="F1021" s="19">
        <v>40</v>
      </c>
      <c r="G1021" s="195">
        <v>46046</v>
      </c>
      <c r="H1021" s="9" t="str">
        <f>VLOOKUP(TablaCosechas[[#This Row],[COD]],DATOS!$E$3:$F$27,2,0)</f>
        <v>DELFIN</v>
      </c>
      <c r="I1021" s="9" t="str">
        <f>RIGHT(TablaCosechas[[#This Row],[SECTOR/PISCINA]],2)</f>
        <v>09</v>
      </c>
      <c r="J1021" s="9" t="str">
        <f>VLOOKUP(TablaCosechas[[#This Row],[COD]],Tabla7[#All],4,0)</f>
        <v>CARLOS FLORES</v>
      </c>
      <c r="K1021" s="179">
        <f>(TablaCosechas[[#This Row],[libras planta]]*454)/M1021</f>
        <v>339309.44055944058</v>
      </c>
      <c r="L1021" s="215">
        <v>29925</v>
      </c>
      <c r="M1021" s="19">
        <v>40.04</v>
      </c>
      <c r="N1021" s="9" t="str">
        <f>UPPER(TEXT(TablaCosechas[[#This Row],[COSECHA]],"MMMM"))</f>
        <v>ENERO</v>
      </c>
      <c r="O1021" s="9" t="str">
        <f>IF(A1021="DO 29","BAP",IF(A1021="RO 14","BAP",(VLOOKUP(TablaCosechas[[#This Row],[COD]],Tabla7[[CODIGO]:[CERTIFICACION]],3,0))))</f>
        <v>CONVENCIONAL</v>
      </c>
      <c r="P1021" s="180">
        <f>+L1021-E1021</f>
        <v>-975</v>
      </c>
      <c r="Q1021" s="181">
        <f>+M1021-F1021</f>
        <v>3.9999999999999147E-2</v>
      </c>
      <c r="R1021" s="9"/>
    </row>
    <row r="1022" spans="1:18" x14ac:dyDescent="0.25">
      <c r="A1022" s="9" t="s">
        <v>22</v>
      </c>
      <c r="B1022" s="9">
        <f>ROW() - ROW(TablaCosechas[[#Headers],[ID]]) - 4</f>
        <v>1017</v>
      </c>
      <c r="C1022" s="9" t="str">
        <f>LEFT(A1022,2)</f>
        <v>CH</v>
      </c>
      <c r="D1022" s="182" t="s">
        <v>366</v>
      </c>
      <c r="E1022" s="178">
        <v>37500</v>
      </c>
      <c r="F1022" s="19">
        <v>32.6</v>
      </c>
      <c r="G1022" s="195">
        <v>46046</v>
      </c>
      <c r="H1022" s="9" t="str">
        <f>VLOOKUP(TablaCosechas[[#This Row],[COD]],DATOS!$E$3:$F$27,2,0)</f>
        <v>CHERNA</v>
      </c>
      <c r="I1022" s="9" t="str">
        <f>RIGHT(TablaCosechas[[#This Row],[SECTOR/PISCINA]],2)</f>
        <v>16</v>
      </c>
      <c r="J1022" s="9" t="str">
        <f>VLOOKUP(TablaCosechas[[#This Row],[COD]],Tabla7[#All],4,0)</f>
        <v>SANTIAGO OBRIEN</v>
      </c>
      <c r="K1022" s="179">
        <f>(TablaCosechas[[#This Row],[libras planta]]*454)/M1022</f>
        <v>553208.07999999996</v>
      </c>
      <c r="L1022" s="215">
        <v>42648.2</v>
      </c>
      <c r="M1022" s="19">
        <v>35</v>
      </c>
      <c r="N1022" s="9" t="str">
        <f>UPPER(TEXT(TablaCosechas[[#This Row],[COSECHA]],"MMMM"))</f>
        <v>ENERO</v>
      </c>
      <c r="O1022" s="9" t="str">
        <f>IF(A1022="DO 29","BAP",IF(A1022="RO 14","BAP",(VLOOKUP(TablaCosechas[[#This Row],[COD]],Tabla7[[CODIGO]:[CERTIFICACION]],3,0))))</f>
        <v>ASC</v>
      </c>
      <c r="P1022" s="180">
        <f>+L1022-E1022</f>
        <v>5148.1999999999971</v>
      </c>
      <c r="Q1022" s="181">
        <f>+M1022-F1022</f>
        <v>2.3999999999999986</v>
      </c>
      <c r="R1022" s="9"/>
    </row>
    <row r="1023" spans="1:18" x14ac:dyDescent="0.25">
      <c r="A1023" s="9" t="s">
        <v>277</v>
      </c>
      <c r="B1023" s="9">
        <f>ROW() - ROW(TablaCosechas[[#Headers],[ID]]) - 4</f>
        <v>1018</v>
      </c>
      <c r="C1023" s="9" t="str">
        <f>LEFT(A1023,2)</f>
        <v>CA</v>
      </c>
      <c r="D1023" s="182" t="s">
        <v>367</v>
      </c>
      <c r="E1023" s="178">
        <v>5600</v>
      </c>
      <c r="F1023" s="19">
        <v>18</v>
      </c>
      <c r="G1023" s="195">
        <v>46046</v>
      </c>
      <c r="H1023" s="9" t="str">
        <f>VLOOKUP(TablaCosechas[[#This Row],[COD]],DATOS!$E$3:$F$27,2,0)</f>
        <v>CATANUDA</v>
      </c>
      <c r="I1023" s="9" t="str">
        <f>RIGHT(TablaCosechas[[#This Row],[SECTOR/PISCINA]],2)</f>
        <v>05</v>
      </c>
      <c r="J1023" s="9" t="str">
        <f>VLOOKUP(TablaCosechas[[#This Row],[COD]],Tabla7[#All],4,0)</f>
        <v>VICTOR QUINTANA</v>
      </c>
      <c r="K1023" s="179">
        <f>(TablaCosechas[[#This Row],[libras planta]]*454)/M1023</f>
        <v>134112.73131094256</v>
      </c>
      <c r="L1023" s="215">
        <v>5453.13</v>
      </c>
      <c r="M1023" s="19">
        <v>18.46</v>
      </c>
      <c r="N1023" s="9" t="str">
        <f>UPPER(TEXT(TablaCosechas[[#This Row],[COSECHA]],"MMMM"))</f>
        <v>ENERO</v>
      </c>
      <c r="O1023" s="9" t="str">
        <f>IF(A1023="DO 29","BAP",IF(A1023="RO 14","BAP",(VLOOKUP(TablaCosechas[[#This Row],[COD]],Tabla7[[CODIGO]:[CERTIFICACION]],3,0))))</f>
        <v>ASC</v>
      </c>
      <c r="P1023" s="180">
        <f>+L1023-E1023</f>
        <v>-146.86999999999989</v>
      </c>
      <c r="Q1023" s="181">
        <f>+M1023-F1023</f>
        <v>0.46000000000000085</v>
      </c>
      <c r="R1023" s="9"/>
    </row>
    <row r="1024" spans="1:18" x14ac:dyDescent="0.25">
      <c r="A1024" s="9" t="s">
        <v>205</v>
      </c>
      <c r="B1024" s="9">
        <f>ROW() - ROW(TablaCosechas[[#Headers],[ID]]) - 4</f>
        <v>1019</v>
      </c>
      <c r="C1024" s="9" t="str">
        <f>LEFT(A1024,2)</f>
        <v>BA</v>
      </c>
      <c r="D1024" s="182" t="s">
        <v>367</v>
      </c>
      <c r="E1024" s="178">
        <v>3750</v>
      </c>
      <c r="F1024" s="19">
        <v>28</v>
      </c>
      <c r="G1024" s="195">
        <v>46046</v>
      </c>
      <c r="H1024" s="9" t="str">
        <f>VLOOKUP(TablaCosechas[[#This Row],[COD]],DATOS!$E$3:$F$27,2,0)</f>
        <v>BARRACUDA</v>
      </c>
      <c r="I1024" s="9" t="str">
        <f>RIGHT(TablaCosechas[[#This Row],[SECTOR/PISCINA]],2)</f>
        <v>03</v>
      </c>
      <c r="J1024" s="9" t="str">
        <f>VLOOKUP(TablaCosechas[[#This Row],[COD]],Tabla7[#All],4,0)</f>
        <v>GUSTAVO CARRASCO</v>
      </c>
      <c r="K1024" s="179">
        <f>(TablaCosechas[[#This Row],[libras planta]]*454)/M1024</f>
        <v>58060.131319763626</v>
      </c>
      <c r="L1024" s="215">
        <v>3895.4</v>
      </c>
      <c r="M1024" s="19">
        <v>30.46</v>
      </c>
      <c r="N1024" s="9" t="str">
        <f>UPPER(TEXT(TablaCosechas[[#This Row],[COSECHA]],"MMMM"))</f>
        <v>ENERO</v>
      </c>
      <c r="O1024" s="9" t="str">
        <f>IF(A1024="DO 29","BAP",IF(A1024="RO 14","BAP",(VLOOKUP(TablaCosechas[[#This Row],[COD]],Tabla7[[CODIGO]:[CERTIFICACION]],3,0))))</f>
        <v>CONVENCIONAL</v>
      </c>
      <c r="P1024" s="180">
        <f>+L1024-E1024</f>
        <v>145.40000000000009</v>
      </c>
      <c r="Q1024" s="181">
        <f>+M1024-F1024</f>
        <v>2.4600000000000009</v>
      </c>
      <c r="R1024" s="9"/>
    </row>
    <row r="1025" spans="1:18" x14ac:dyDescent="0.25">
      <c r="A1025" s="9" t="s">
        <v>207</v>
      </c>
      <c r="B1025" s="9">
        <f>ROW() - ROW(TablaCosechas[[#Headers],[ID]]) - 4</f>
        <v>1020</v>
      </c>
      <c r="C1025" s="9" t="str">
        <f>LEFT(A1025,2)</f>
        <v>BA</v>
      </c>
      <c r="D1025" s="182" t="s">
        <v>367</v>
      </c>
      <c r="E1025" s="178">
        <v>5250</v>
      </c>
      <c r="F1025" s="19">
        <v>28</v>
      </c>
      <c r="G1025" s="195">
        <v>46046</v>
      </c>
      <c r="H1025" s="9" t="str">
        <f>VLOOKUP(TablaCosechas[[#This Row],[COD]],DATOS!$E$3:$F$27,2,0)</f>
        <v>BARRACUDA</v>
      </c>
      <c r="I1025" s="9" t="str">
        <f>RIGHT(TablaCosechas[[#This Row],[SECTOR/PISCINA]],2)</f>
        <v>02</v>
      </c>
      <c r="J1025" s="9" t="str">
        <f>VLOOKUP(TablaCosechas[[#This Row],[COD]],Tabla7[#All],4,0)</f>
        <v>GUSTAVO CARRASCO</v>
      </c>
      <c r="K1025" s="179">
        <f>(TablaCosechas[[#This Row],[libras planta]]*454)/M1025</f>
        <v>87770.263691683591</v>
      </c>
      <c r="L1025" s="215">
        <v>5718.6</v>
      </c>
      <c r="M1025" s="19">
        <v>29.58</v>
      </c>
      <c r="N1025" s="9" t="str">
        <f>UPPER(TEXT(TablaCosechas[[#This Row],[COSECHA]],"MMMM"))</f>
        <v>ENERO</v>
      </c>
      <c r="O1025" s="9" t="str">
        <f>IF(A1025="DO 29","BAP",IF(A1025="RO 14","BAP",(VLOOKUP(TablaCosechas[[#This Row],[COD]],Tabla7[[CODIGO]:[CERTIFICACION]],3,0))))</f>
        <v>CONVENCIONAL</v>
      </c>
      <c r="P1025" s="180">
        <f>+L1025-E1025</f>
        <v>468.60000000000036</v>
      </c>
      <c r="Q1025" s="181">
        <f>+M1025-F1025</f>
        <v>1.5799999999999983</v>
      </c>
      <c r="R1025" s="9"/>
    </row>
    <row r="1026" spans="1:18" x14ac:dyDescent="0.25">
      <c r="A1026" s="9" t="s">
        <v>179</v>
      </c>
      <c r="B1026" s="9">
        <f>ROW() - ROW(TablaCosechas[[#Headers],[ID]]) - 4</f>
        <v>1021</v>
      </c>
      <c r="C1026" s="9" t="str">
        <f>LEFT(A1026,2)</f>
        <v>TI</v>
      </c>
      <c r="D1026" s="182" t="s">
        <v>366</v>
      </c>
      <c r="E1026" s="178">
        <v>29600</v>
      </c>
      <c r="F1026" s="19">
        <v>33</v>
      </c>
      <c r="G1026" s="195">
        <v>46048</v>
      </c>
      <c r="H1026" s="9" t="str">
        <f>VLOOKUP(TablaCosechas[[#This Row],[COD]],DATOS!$E$3:$F$27,2,0)</f>
        <v>TIBURON</v>
      </c>
      <c r="I1026" s="9" t="str">
        <f>RIGHT(TablaCosechas[[#This Row],[SECTOR/PISCINA]],2)</f>
        <v>13</v>
      </c>
      <c r="J1026" s="9" t="str">
        <f>VLOOKUP(TablaCosechas[[#This Row],[COD]],Tabla7[#All],4,0)</f>
        <v>ALFONSO GRUNAUER</v>
      </c>
      <c r="K1026" s="179">
        <f>(TablaCosechas[[#This Row],[libras planta]]*454)/M1026</f>
        <v>419577.95842450764</v>
      </c>
      <c r="L1026" s="215">
        <v>33788.04</v>
      </c>
      <c r="M1026" s="19">
        <v>36.56</v>
      </c>
      <c r="N1026" s="9" t="str">
        <f>UPPER(TEXT(TablaCosechas[[#This Row],[COSECHA]],"MMMM"))</f>
        <v>ENERO</v>
      </c>
      <c r="O1026" s="9" t="str">
        <f>IF(A1026="DO 29","BAP",IF(A1026="RO 14","BAP",(VLOOKUP(TablaCosechas[[#This Row],[COD]],Tabla7[[CODIGO]:[CERTIFICACION]],3,0))))</f>
        <v>ASC</v>
      </c>
      <c r="P1026" s="180">
        <f>+L1026-E1026</f>
        <v>4188.0400000000009</v>
      </c>
      <c r="Q1026" s="181">
        <f>+M1026-F1026</f>
        <v>3.5600000000000023</v>
      </c>
      <c r="R1026" s="9"/>
    </row>
    <row r="1027" spans="1:18" x14ac:dyDescent="0.25">
      <c r="A1027" s="9" t="s">
        <v>248</v>
      </c>
      <c r="B1027" s="9">
        <f>ROW() - ROW(TablaCosechas[[#Headers],[ID]]) - 4</f>
        <v>1022</v>
      </c>
      <c r="C1027" s="9" t="str">
        <f>LEFT(A1027,2)</f>
        <v>TA</v>
      </c>
      <c r="D1027" s="182" t="s">
        <v>367</v>
      </c>
      <c r="E1027" s="178">
        <v>12250</v>
      </c>
      <c r="F1027" s="19">
        <v>22.5</v>
      </c>
      <c r="G1027" s="195">
        <v>46048</v>
      </c>
      <c r="H1027" s="9" t="str">
        <f>VLOOKUP(TablaCosechas[[#This Row],[COD]],DATOS!$E$3:$F$27,2,0)</f>
        <v>TAMBULERO</v>
      </c>
      <c r="I1027" s="9" t="str">
        <f>RIGHT(TablaCosechas[[#This Row],[SECTOR/PISCINA]],2)</f>
        <v>16</v>
      </c>
      <c r="J1027" s="9" t="str">
        <f>VLOOKUP(TablaCosechas[[#This Row],[COD]],Tabla7[#All],4,0)</f>
        <v>ALFONSO GRUNAUER</v>
      </c>
      <c r="K1027" s="179">
        <f>(TablaCosechas[[#This Row],[libras planta]]*454)/M1027</f>
        <v>223816.45468873129</v>
      </c>
      <c r="L1027" s="215">
        <v>12512.03</v>
      </c>
      <c r="M1027" s="19">
        <v>25.38</v>
      </c>
      <c r="N1027" s="9" t="str">
        <f>UPPER(TEXT(TablaCosechas[[#This Row],[COSECHA]],"MMMM"))</f>
        <v>ENERO</v>
      </c>
      <c r="O1027" s="9" t="str">
        <f>IF(A1027="DO 29","BAP",IF(A1027="RO 14","BAP",(VLOOKUP(TablaCosechas[[#This Row],[COD]],Tabla7[[CODIGO]:[CERTIFICACION]],3,0))))</f>
        <v>CONVENCIONAL</v>
      </c>
      <c r="P1027" s="180">
        <f>+L1027-E1027</f>
        <v>262.03000000000065</v>
      </c>
      <c r="Q1027" s="181">
        <f>+M1027-F1027</f>
        <v>2.879999999999999</v>
      </c>
      <c r="R1027" s="9"/>
    </row>
    <row r="1028" spans="1:18" x14ac:dyDescent="0.25">
      <c r="A1028" s="9" t="s">
        <v>181</v>
      </c>
      <c r="B1028" s="9">
        <f>ROW() - ROW(TablaCosechas[[#Headers],[ID]]) - 4</f>
        <v>1023</v>
      </c>
      <c r="C1028" s="9" t="str">
        <f>LEFT(A1028,2)</f>
        <v>TA</v>
      </c>
      <c r="D1028" s="182" t="s">
        <v>366</v>
      </c>
      <c r="E1028" s="178">
        <v>48000</v>
      </c>
      <c r="F1028" s="19">
        <v>28</v>
      </c>
      <c r="G1028" s="195">
        <v>46049</v>
      </c>
      <c r="H1028" s="9" t="str">
        <f>VLOOKUP(TablaCosechas[[#This Row],[COD]],DATOS!$E$3:$F$27,2,0)</f>
        <v>TAMBULERO</v>
      </c>
      <c r="I1028" s="9" t="str">
        <f>RIGHT(TablaCosechas[[#This Row],[SECTOR/PISCINA]],2)</f>
        <v>10</v>
      </c>
      <c r="J1028" s="9" t="str">
        <f>VLOOKUP(TablaCosechas[[#This Row],[COD]],Tabla7[#All],4,0)</f>
        <v>ALFONSO GRUNAUER</v>
      </c>
      <c r="K1028" s="179">
        <f>(TablaCosechas[[#This Row],[libras planta]]*454)/M1028</f>
        <v>877028.46676096169</v>
      </c>
      <c r="L1028" s="215">
        <v>54630.76</v>
      </c>
      <c r="M1028" s="19">
        <v>28.28</v>
      </c>
      <c r="N1028" s="9" t="str">
        <f>UPPER(TEXT(TablaCosechas[[#This Row],[COSECHA]],"MMMM"))</f>
        <v>ENERO</v>
      </c>
      <c r="O1028" s="9" t="str">
        <f>IF(A1028="DO 29","BAP",IF(A1028="RO 14","BAP",(VLOOKUP(TablaCosechas[[#This Row],[COD]],Tabla7[[CODIGO]:[CERTIFICACION]],3,0))))</f>
        <v>CONVENCIONAL</v>
      </c>
      <c r="P1028" s="180">
        <f>+L1028-E1028</f>
        <v>6630.760000000002</v>
      </c>
      <c r="Q1028" s="181">
        <f>+M1028-F1028</f>
        <v>0.28000000000000114</v>
      </c>
      <c r="R1028" s="9"/>
    </row>
    <row r="1029" spans="1:18" x14ac:dyDescent="0.25">
      <c r="A1029" s="9" t="s">
        <v>180</v>
      </c>
      <c r="B1029" s="9">
        <f>ROW() - ROW(TablaCosechas[[#Headers],[ID]]) - 4</f>
        <v>1024</v>
      </c>
      <c r="C1029" s="9" t="str">
        <f>LEFT(A1029,2)</f>
        <v>TA</v>
      </c>
      <c r="D1029" s="182" t="s">
        <v>366</v>
      </c>
      <c r="E1029" s="178">
        <v>26400</v>
      </c>
      <c r="F1029" s="19">
        <v>39</v>
      </c>
      <c r="G1029" s="195">
        <v>46049</v>
      </c>
      <c r="H1029" s="9" t="str">
        <f>VLOOKUP(TablaCosechas[[#This Row],[COD]],DATOS!$E$3:$F$27,2,0)</f>
        <v>TAMBULERO</v>
      </c>
      <c r="I1029" s="9" t="str">
        <f>RIGHT(TablaCosechas[[#This Row],[SECTOR/PISCINA]],2)</f>
        <v>03</v>
      </c>
      <c r="J1029" s="9" t="str">
        <f>VLOOKUP(TablaCosechas[[#This Row],[COD]],Tabla7[#All],4,0)</f>
        <v>ALFONSO GRUNAUER</v>
      </c>
      <c r="K1029" s="179">
        <f>(TablaCosechas[[#This Row],[libras planta]]*454)/M1029</f>
        <v>334140.54435695539</v>
      </c>
      <c r="L1029" s="215">
        <v>28041.31</v>
      </c>
      <c r="M1029" s="19">
        <v>38.1</v>
      </c>
      <c r="N1029" s="9" t="str">
        <f>UPPER(TEXT(TablaCosechas[[#This Row],[COSECHA]],"MMMM"))</f>
        <v>ENERO</v>
      </c>
      <c r="O1029" s="9" t="str">
        <f>IF(A1029="DO 29","BAP",IF(A1029="RO 14","BAP",(VLOOKUP(TablaCosechas[[#This Row],[COD]],Tabla7[[CODIGO]:[CERTIFICACION]],3,0))))</f>
        <v>CONVENCIONAL</v>
      </c>
      <c r="P1029" s="180">
        <f>+L1029-E1029</f>
        <v>1641.3100000000013</v>
      </c>
      <c r="Q1029" s="181">
        <f>+M1029-F1029</f>
        <v>-0.89999999999999858</v>
      </c>
      <c r="R1029" s="9"/>
    </row>
    <row r="1030" spans="1:18" x14ac:dyDescent="0.25">
      <c r="A1030" s="9" t="s">
        <v>215</v>
      </c>
      <c r="B1030" s="9">
        <f>ROW() - ROW(TablaCosechas[[#Headers],[ID]]) - 4</f>
        <v>1025</v>
      </c>
      <c r="C1030" s="9" t="str">
        <f>LEFT(A1030,2)</f>
        <v>RO</v>
      </c>
      <c r="D1030" s="182" t="s">
        <v>367</v>
      </c>
      <c r="E1030" s="178">
        <v>6400</v>
      </c>
      <c r="F1030" s="19">
        <v>37</v>
      </c>
      <c r="G1030" s="195">
        <v>46049</v>
      </c>
      <c r="H1030" s="9" t="str">
        <f>VLOOKUP(TablaCosechas[[#This Row],[COD]],DATOS!$E$3:$F$27,2,0)</f>
        <v>ROBALO</v>
      </c>
      <c r="I1030" s="9" t="str">
        <f>RIGHT(TablaCosechas[[#This Row],[SECTOR/PISCINA]],2)</f>
        <v>03</v>
      </c>
      <c r="J1030" s="9" t="str">
        <f>VLOOKUP(TablaCosechas[[#This Row],[COD]],Tabla7[#All],4,0)</f>
        <v>VICTOR QUINTANA</v>
      </c>
      <c r="K1030" s="179">
        <f>(TablaCosechas[[#This Row],[libras planta]]*454)/M1030</f>
        <v>75430.020889126929</v>
      </c>
      <c r="L1030" s="215">
        <v>6203.87</v>
      </c>
      <c r="M1030" s="19">
        <v>37.340000000000003</v>
      </c>
      <c r="N1030" s="9" t="str">
        <f>UPPER(TEXT(TablaCosechas[[#This Row],[COSECHA]],"MMMM"))</f>
        <v>ENERO</v>
      </c>
      <c r="O1030" s="9" t="str">
        <f>IF(A1030="DO 29","BAP",IF(A1030="RO 14","BAP",(VLOOKUP(TablaCosechas[[#This Row],[COD]],Tabla7[[CODIGO]:[CERTIFICACION]],3,0))))</f>
        <v>ASC</v>
      </c>
      <c r="P1030" s="180">
        <f>+L1030-E1030</f>
        <v>-196.13000000000011</v>
      </c>
      <c r="Q1030" s="181">
        <f>+M1030-F1030</f>
        <v>0.34000000000000341</v>
      </c>
      <c r="R1030" s="9"/>
    </row>
    <row r="1031" spans="1:18" x14ac:dyDescent="0.25">
      <c r="A1031" s="9" t="s">
        <v>184</v>
      </c>
      <c r="B1031" s="9">
        <f>ROW() - ROW(TablaCosechas[[#Headers],[ID]]) - 4</f>
        <v>1026</v>
      </c>
      <c r="C1031" s="9" t="str">
        <f>LEFT(A1031,2)</f>
        <v>DO</v>
      </c>
      <c r="D1031" s="182" t="s">
        <v>367</v>
      </c>
      <c r="E1031" s="178">
        <f>44800+2300</f>
        <v>47100</v>
      </c>
      <c r="F1031" s="19">
        <v>29</v>
      </c>
      <c r="G1031" s="195">
        <v>46049</v>
      </c>
      <c r="H1031" s="9" t="str">
        <f>VLOOKUP(TablaCosechas[[#This Row],[COD]],DATOS!$E$3:$F$27,2,0)</f>
        <v>DORADO</v>
      </c>
      <c r="I1031" s="9" t="str">
        <f>RIGHT(TablaCosechas[[#This Row],[SECTOR/PISCINA]],2)</f>
        <v>19</v>
      </c>
      <c r="J1031" s="9" t="str">
        <f>VLOOKUP(TablaCosechas[[#This Row],[COD]],Tabla7[#All],4,0)</f>
        <v>JOSE CEDEÑO</v>
      </c>
      <c r="K1031" s="179">
        <f>(TablaCosechas[[#This Row],[libras planta]]*454)/M1031</f>
        <v>761543.15775127767</v>
      </c>
      <c r="L1031" s="215">
        <f>46933.83+2298.09</f>
        <v>49231.92</v>
      </c>
      <c r="M1031" s="19">
        <v>29.35</v>
      </c>
      <c r="N1031" s="9" t="str">
        <f>UPPER(TEXT(TablaCosechas[[#This Row],[COSECHA]],"MMMM"))</f>
        <v>ENERO</v>
      </c>
      <c r="O1031" s="9" t="str">
        <f>IF(A1031="DO 29","BAP",IF(A1031="RO 14","BAP",(VLOOKUP(TablaCosechas[[#This Row],[COD]],Tabla7[[CODIGO]:[CERTIFICACION]],3,0))))</f>
        <v>ASC</v>
      </c>
      <c r="P1031" s="180">
        <f>+L1031-E1031</f>
        <v>2131.9199999999983</v>
      </c>
      <c r="Q1031" s="181">
        <f>+M1031-F1031</f>
        <v>0.35000000000000142</v>
      </c>
      <c r="R1031" s="9"/>
    </row>
    <row r="1032" spans="1:18" x14ac:dyDescent="0.25">
      <c r="A1032" s="9" t="s">
        <v>200</v>
      </c>
      <c r="B1032" s="9">
        <f>ROW() - ROW(TablaCosechas[[#Headers],[ID]]) - 4</f>
        <v>1027</v>
      </c>
      <c r="C1032" s="9" t="str">
        <f>LEFT(A1032,2)</f>
        <v>CA</v>
      </c>
      <c r="D1032" s="182" t="s">
        <v>367</v>
      </c>
      <c r="E1032" s="178">
        <v>8000</v>
      </c>
      <c r="F1032" s="19">
        <v>27</v>
      </c>
      <c r="G1032" s="195">
        <v>46049</v>
      </c>
      <c r="H1032" s="9" t="str">
        <f>VLOOKUP(TablaCosechas[[#This Row],[COD]],DATOS!$E$3:$F$27,2,0)</f>
        <v>CATANUDA</v>
      </c>
      <c r="I1032" s="9" t="str">
        <f>RIGHT(TablaCosechas[[#This Row],[SECTOR/PISCINA]],2)</f>
        <v>03</v>
      </c>
      <c r="J1032" s="9" t="str">
        <f>VLOOKUP(TablaCosechas[[#This Row],[COD]],Tabla7[#All],4,0)</f>
        <v>VICTOR QUINTANA</v>
      </c>
      <c r="K1032" s="179">
        <f>(TablaCosechas[[#This Row],[libras planta]]*454)/M1032</f>
        <v>124204.59397715473</v>
      </c>
      <c r="L1032" s="215">
        <v>7903.68</v>
      </c>
      <c r="M1032" s="19">
        <v>28.89</v>
      </c>
      <c r="N1032" s="9" t="str">
        <f>UPPER(TEXT(TablaCosechas[[#This Row],[COSECHA]],"MMMM"))</f>
        <v>ENERO</v>
      </c>
      <c r="O1032" s="9" t="str">
        <f>IF(A1032="DO 29","BAP",IF(A1032="RO 14","BAP",(VLOOKUP(TablaCosechas[[#This Row],[COD]],Tabla7[[CODIGO]:[CERTIFICACION]],3,0))))</f>
        <v>ASC</v>
      </c>
      <c r="P1032" s="180">
        <f>+L1032-E1032</f>
        <v>-96.319999999999709</v>
      </c>
      <c r="Q1032" s="181">
        <f>+M1032-F1032</f>
        <v>1.8900000000000006</v>
      </c>
      <c r="R1032" s="9"/>
    </row>
    <row r="1033" spans="1:18" x14ac:dyDescent="0.25">
      <c r="A1033" s="9" t="s">
        <v>209</v>
      </c>
      <c r="B1033" s="9">
        <f>ROW() - ROW(TablaCosechas[[#Headers],[ID]]) - 4</f>
        <v>1028</v>
      </c>
      <c r="C1033" s="9" t="str">
        <f>LEFT(A1033,2)</f>
        <v>BA</v>
      </c>
      <c r="D1033" s="182" t="s">
        <v>367</v>
      </c>
      <c r="E1033" s="178">
        <v>5000</v>
      </c>
      <c r="F1033" s="19">
        <v>28</v>
      </c>
      <c r="G1033" s="195">
        <v>46049</v>
      </c>
      <c r="H1033" s="9" t="str">
        <f>VLOOKUP(TablaCosechas[[#This Row],[COD]],DATOS!$E$3:$F$27,2,0)</f>
        <v>BARRACUDA</v>
      </c>
      <c r="I1033" s="9" t="str">
        <f>RIGHT(TablaCosechas[[#This Row],[SECTOR/PISCINA]],2)</f>
        <v>05</v>
      </c>
      <c r="J1033" s="9" t="str">
        <f>VLOOKUP(TablaCosechas[[#This Row],[COD]],Tabla7[#All],4,0)</f>
        <v>GUSTAVO CARRASCO</v>
      </c>
      <c r="K1033" s="179">
        <f>(TablaCosechas[[#This Row],[libras planta]]*454)/M1033</f>
        <v>72867.155479452049</v>
      </c>
      <c r="L1033" s="215">
        <v>4686.6099999999997</v>
      </c>
      <c r="M1033" s="19">
        <v>29.2</v>
      </c>
      <c r="N1033" s="9" t="str">
        <f>UPPER(TEXT(TablaCosechas[[#This Row],[COSECHA]],"MMMM"))</f>
        <v>ENERO</v>
      </c>
      <c r="O1033" s="9" t="str">
        <f>IF(A1033="DO 29","BAP",IF(A1033="RO 14","BAP",(VLOOKUP(TablaCosechas[[#This Row],[COD]],Tabla7[[CODIGO]:[CERTIFICACION]],3,0))))</f>
        <v>CONVENCIONAL</v>
      </c>
      <c r="P1033" s="180">
        <f>+L1033-E1033</f>
        <v>-313.39000000000033</v>
      </c>
      <c r="Q1033" s="49">
        <f>+M1033-F1033</f>
        <v>1.1999999999999993</v>
      </c>
      <c r="R1033" s="9"/>
    </row>
    <row r="1034" spans="1:18" x14ac:dyDescent="0.25">
      <c r="A1034" s="9" t="s">
        <v>226</v>
      </c>
      <c r="B1034" s="9">
        <f>ROW() - ROW(TablaCosechas[[#Headers],[ID]]) - 4</f>
        <v>1029</v>
      </c>
      <c r="C1034" s="9" t="str">
        <f>LEFT(A1034,2)</f>
        <v>BA</v>
      </c>
      <c r="D1034" s="182" t="s">
        <v>367</v>
      </c>
      <c r="E1034" s="178">
        <v>4600</v>
      </c>
      <c r="F1034" s="19">
        <v>28</v>
      </c>
      <c r="G1034" s="195">
        <v>46049</v>
      </c>
      <c r="H1034" s="9" t="str">
        <f>VLOOKUP(TablaCosechas[[#This Row],[COD]],DATOS!$E$3:$F$27,2,0)</f>
        <v>BARRACUDA</v>
      </c>
      <c r="I1034" s="9" t="str">
        <f>RIGHT(TablaCosechas[[#This Row],[SECTOR/PISCINA]],2)</f>
        <v>01</v>
      </c>
      <c r="J1034" s="9" t="str">
        <f>VLOOKUP(TablaCosechas[[#This Row],[COD]],Tabla7[#All],4,0)</f>
        <v>GUSTAVO CARRASCO</v>
      </c>
      <c r="K1034" s="179">
        <f>(TablaCosechas[[#This Row],[libras planta]]*454)/M1034</f>
        <v>71423.655680224401</v>
      </c>
      <c r="L1034" s="215">
        <v>4486.79</v>
      </c>
      <c r="M1034" s="19">
        <v>28.52</v>
      </c>
      <c r="N1034" s="9" t="str">
        <f>UPPER(TEXT(TablaCosechas[[#This Row],[COSECHA]],"MMMM"))</f>
        <v>ENERO</v>
      </c>
      <c r="O1034" s="9" t="str">
        <f>IF(A1034="DO 29","BAP",IF(A1034="RO 14","BAP",(VLOOKUP(TablaCosechas[[#This Row],[COD]],Tabla7[[CODIGO]:[CERTIFICACION]],3,0))))</f>
        <v>CONVENCIONAL</v>
      </c>
      <c r="P1034" s="180">
        <f>+L1034-E1034</f>
        <v>-113.21000000000004</v>
      </c>
      <c r="Q1034" s="49">
        <f>+M1034-F1034</f>
        <v>0.51999999999999957</v>
      </c>
      <c r="R1034" s="9"/>
    </row>
    <row r="1035" spans="1:18" x14ac:dyDescent="0.25">
      <c r="A1035" s="9" t="s">
        <v>185</v>
      </c>
      <c r="B1035" s="9">
        <f>ROW() - ROW(TablaCosechas[[#Headers],[ID]]) - 4</f>
        <v>1030</v>
      </c>
      <c r="C1035" s="9" t="str">
        <f>LEFT(A1035,2)</f>
        <v>TU</v>
      </c>
      <c r="D1035" s="182" t="s">
        <v>366</v>
      </c>
      <c r="E1035" s="178">
        <v>23500</v>
      </c>
      <c r="F1035" s="19">
        <v>32</v>
      </c>
      <c r="G1035" s="195">
        <v>46050</v>
      </c>
      <c r="H1035" s="9" t="str">
        <f>VLOOKUP(TablaCosechas[[#This Row],[COD]],DATOS!$E$3:$F$27,2,0)</f>
        <v>TUNA</v>
      </c>
      <c r="I1035" s="9" t="str">
        <f>RIGHT(TablaCosechas[[#This Row],[SECTOR/PISCINA]],2)</f>
        <v>4A</v>
      </c>
      <c r="J1035" s="9" t="str">
        <f>VLOOKUP(TablaCosechas[[#This Row],[COD]],Tabla7[#All],4,0)</f>
        <v>GUSTAVO CARRASCO</v>
      </c>
      <c r="K1035" s="179">
        <f>(TablaCosechas[[#This Row],[libras planta]]*454)/M1035</f>
        <v>332921.81688466109</v>
      </c>
      <c r="L1035" s="215">
        <v>24668.48</v>
      </c>
      <c r="M1035" s="19">
        <v>33.64</v>
      </c>
      <c r="N1035" s="9" t="str">
        <f>UPPER(TEXT(TablaCosechas[[#This Row],[COSECHA]],"MMMM"))</f>
        <v>ENERO</v>
      </c>
      <c r="O1035" s="9" t="str">
        <f>IF(A1035="DO 29","BAP",IF(A1035="RO 14","BAP",(VLOOKUP(TablaCosechas[[#This Row],[COD]],Tabla7[[CODIGO]:[CERTIFICACION]],3,0))))</f>
        <v>ASC</v>
      </c>
      <c r="P1035" s="180">
        <f>+L1035-E1035</f>
        <v>1168.4799999999996</v>
      </c>
      <c r="Q1035" s="49">
        <f>+M1035-F1035</f>
        <v>1.6400000000000006</v>
      </c>
      <c r="R1035" s="9"/>
    </row>
    <row r="1036" spans="1:18" x14ac:dyDescent="0.25">
      <c r="A1036" s="9" t="s">
        <v>198</v>
      </c>
      <c r="B1036" s="9">
        <f>ROW() - ROW(TablaCosechas[[#Headers],[ID]]) - 4</f>
        <v>1031</v>
      </c>
      <c r="C1036" s="9" t="str">
        <f>LEFT(A1036,2)</f>
        <v>RO</v>
      </c>
      <c r="D1036" s="182" t="s">
        <v>367</v>
      </c>
      <c r="E1036" s="178">
        <v>7200</v>
      </c>
      <c r="F1036" s="19">
        <v>35</v>
      </c>
      <c r="G1036" s="195">
        <v>46050</v>
      </c>
      <c r="H1036" s="9" t="str">
        <f>VLOOKUP(TablaCosechas[[#This Row],[COD]],DATOS!$E$3:$F$27,2,0)</f>
        <v>ROBALO</v>
      </c>
      <c r="I1036" s="9" t="str">
        <f>RIGHT(TablaCosechas[[#This Row],[SECTOR/PISCINA]],2)</f>
        <v>14</v>
      </c>
      <c r="J1036" s="9" t="str">
        <f>VLOOKUP(TablaCosechas[[#This Row],[COD]],Tabla7[#All],4,0)</f>
        <v>VICTOR QUINTANA</v>
      </c>
      <c r="K1036" s="179">
        <f>(TablaCosechas[[#This Row],[libras planta]]*454)/M1036</f>
        <v>97632.00264830509</v>
      </c>
      <c r="L1036" s="215">
        <v>8120.23</v>
      </c>
      <c r="M1036" s="19">
        <v>37.76</v>
      </c>
      <c r="N1036" s="9" t="str">
        <f>UPPER(TEXT(TablaCosechas[[#This Row],[COSECHA]],"MMMM"))</f>
        <v>ENERO</v>
      </c>
      <c r="O1036" s="9" t="str">
        <f>IF(A1036="DO 29","BAP",IF(A1036="RO 14","BAP",(VLOOKUP(TablaCosechas[[#This Row],[COD]],Tabla7[[CODIGO]:[CERTIFICACION]],3,0))))</f>
        <v>BAP</v>
      </c>
      <c r="P1036" s="180">
        <f>+L1036-E1036</f>
        <v>920.22999999999956</v>
      </c>
      <c r="Q1036" s="181">
        <f>+M1036-F1036</f>
        <v>2.759999999999998</v>
      </c>
      <c r="R1036" s="9"/>
    </row>
    <row r="1037" spans="1:18" x14ac:dyDescent="0.25">
      <c r="A1037" s="9" t="s">
        <v>235</v>
      </c>
      <c r="B1037" s="9">
        <f>ROW() - ROW(TablaCosechas[[#Headers],[ID]]) - 4</f>
        <v>1032</v>
      </c>
      <c r="C1037" s="9" t="str">
        <f>LEFT(A1037,2)</f>
        <v>ME</v>
      </c>
      <c r="D1037" s="182" t="s">
        <v>367</v>
      </c>
      <c r="E1037" s="178">
        <v>5000</v>
      </c>
      <c r="F1037" s="19">
        <v>31</v>
      </c>
      <c r="G1037" s="195">
        <v>46050</v>
      </c>
      <c r="H1037" s="9" t="str">
        <f>VLOOKUP(TablaCosechas[[#This Row],[COD]],DATOS!$E$3:$F$27,2,0)</f>
        <v>MERO</v>
      </c>
      <c r="I1037" s="9" t="str">
        <f>RIGHT(TablaCosechas[[#This Row],[SECTOR/PISCINA]],2)</f>
        <v>18</v>
      </c>
      <c r="J1037" s="9" t="str">
        <f>VLOOKUP(TablaCosechas[[#This Row],[COD]],Tabla7[#All],4,0)</f>
        <v>NESTOR MOGOLLON</v>
      </c>
      <c r="K1037" s="179">
        <f>(TablaCosechas[[#This Row],[libras planta]]*454)/M1037</f>
        <v>71222.384268214053</v>
      </c>
      <c r="L1037" s="215">
        <v>4866.34</v>
      </c>
      <c r="M1037" s="19">
        <v>31.02</v>
      </c>
      <c r="N1037" s="9" t="str">
        <f>UPPER(TEXT(TablaCosechas[[#This Row],[COSECHA]],"MMMM"))</f>
        <v>ENERO</v>
      </c>
      <c r="O1037" s="9" t="str">
        <f>IF(A1037="DO 29","BAP",IF(A1037="RO 14","BAP",(VLOOKUP(TablaCosechas[[#This Row],[COD]],Tabla7[[CODIGO]:[CERTIFICACION]],3,0))))</f>
        <v>CONVENCIONAL</v>
      </c>
      <c r="P1037" s="180">
        <f>+L1037-E1037</f>
        <v>-133.65999999999985</v>
      </c>
      <c r="Q1037" s="49">
        <f>+M1037-F1037</f>
        <v>1.9999999999999574E-2</v>
      </c>
      <c r="R1037" s="9"/>
    </row>
    <row r="1038" spans="1:18" x14ac:dyDescent="0.25">
      <c r="A1038" s="9" t="s">
        <v>234</v>
      </c>
      <c r="B1038" s="9">
        <f>ROW() - ROW(TablaCosechas[[#Headers],[ID]]) - 4</f>
        <v>1033</v>
      </c>
      <c r="C1038" s="9" t="str">
        <f>LEFT(A1038,2)</f>
        <v>ME</v>
      </c>
      <c r="D1038" s="182" t="s">
        <v>367</v>
      </c>
      <c r="E1038" s="178">
        <v>4000</v>
      </c>
      <c r="F1038" s="19">
        <v>29</v>
      </c>
      <c r="G1038" s="195">
        <v>46050</v>
      </c>
      <c r="H1038" s="9" t="str">
        <f>VLOOKUP(TablaCosechas[[#This Row],[COD]],DATOS!$E$3:$F$27,2,0)</f>
        <v>MERO</v>
      </c>
      <c r="I1038" s="9" t="str">
        <f>RIGHT(TablaCosechas[[#This Row],[SECTOR/PISCINA]],2)</f>
        <v>15</v>
      </c>
      <c r="J1038" s="9" t="str">
        <f>VLOOKUP(TablaCosechas[[#This Row],[COD]],Tabla7[#All],4,0)</f>
        <v>NESTOR MOGOLLON</v>
      </c>
      <c r="K1038" s="179">
        <f>(TablaCosechas[[#This Row],[libras planta]]*454)/M1038</f>
        <v>58952.194805194806</v>
      </c>
      <c r="L1038" s="215">
        <v>3999.4</v>
      </c>
      <c r="M1038" s="19">
        <v>30.8</v>
      </c>
      <c r="N1038" s="9" t="str">
        <f>UPPER(TEXT(TablaCosechas[[#This Row],[COSECHA]],"MMMM"))</f>
        <v>ENERO</v>
      </c>
      <c r="O1038" s="9" t="str">
        <f>IF(A1038="DO 29","BAP",IF(A1038="RO 14","BAP",(VLOOKUP(TablaCosechas[[#This Row],[COD]],Tabla7[[CODIGO]:[CERTIFICACION]],3,0))))</f>
        <v>CONVENCIONAL</v>
      </c>
      <c r="P1038" s="180">
        <f>+L1038-E1038</f>
        <v>-0.59999999999990905</v>
      </c>
      <c r="Q1038" s="49">
        <f>+M1038-F1038</f>
        <v>1.8000000000000007</v>
      </c>
      <c r="R1038" s="9"/>
    </row>
    <row r="1039" spans="1:18" x14ac:dyDescent="0.25">
      <c r="A1039" s="9" t="s">
        <v>184</v>
      </c>
      <c r="B1039" s="9">
        <f>ROW() - ROW(TablaCosechas[[#Headers],[ID]]) - 4</f>
        <v>1034</v>
      </c>
      <c r="C1039" s="9" t="str">
        <f>LEFT(A1039,2)</f>
        <v>DO</v>
      </c>
      <c r="D1039" s="182" t="s">
        <v>366</v>
      </c>
      <c r="E1039" s="178">
        <v>1200</v>
      </c>
      <c r="F1039" s="19">
        <v>29</v>
      </c>
      <c r="G1039" s="195">
        <v>46050</v>
      </c>
      <c r="H1039" s="9" t="str">
        <f>VLOOKUP(TablaCosechas[[#This Row],[COD]],DATOS!$E$3:$F$27,2,0)</f>
        <v>DORADO</v>
      </c>
      <c r="I1039" s="9" t="str">
        <f>RIGHT(TablaCosechas[[#This Row],[SECTOR/PISCINA]],2)</f>
        <v>19</v>
      </c>
      <c r="J1039" s="9" t="str">
        <f>VLOOKUP(TablaCosechas[[#This Row],[COD]],Tabla7[#All],4,0)</f>
        <v>JOSE CEDEÑO</v>
      </c>
      <c r="K1039" s="179">
        <f>(TablaCosechas[[#This Row],[libras planta]]*454)/M1039</f>
        <v>18300.358778625952</v>
      </c>
      <c r="L1039" s="215">
        <v>1161.71</v>
      </c>
      <c r="M1039" s="205">
        <v>28.82</v>
      </c>
      <c r="N1039" s="9" t="str">
        <f>UPPER(TEXT(TablaCosechas[[#This Row],[COSECHA]],"MMMM"))</f>
        <v>ENERO</v>
      </c>
      <c r="O1039" s="9" t="str">
        <f>IF(A1039="DO 29","BAP",IF(A1039="RO 14","BAP",(VLOOKUP(TablaCosechas[[#This Row],[COD]],Tabla7[[CODIGO]:[CERTIFICACION]],3,0))))</f>
        <v>ASC</v>
      </c>
      <c r="P1039" s="180">
        <f>+L1039-E1039</f>
        <v>-38.289999999999964</v>
      </c>
      <c r="Q1039" s="181">
        <f>+M1039-F1039</f>
        <v>-0.17999999999999972</v>
      </c>
      <c r="R1039" s="9"/>
    </row>
    <row r="1040" spans="1:18" x14ac:dyDescent="0.25">
      <c r="A1040" s="9" t="s">
        <v>183</v>
      </c>
      <c r="B1040" s="9">
        <f>ROW() - ROW(TablaCosechas[[#Headers],[ID]]) - 4</f>
        <v>1035</v>
      </c>
      <c r="C1040" s="9" t="str">
        <f>LEFT(A1040,2)</f>
        <v>DO</v>
      </c>
      <c r="D1040" s="182" t="s">
        <v>366</v>
      </c>
      <c r="E1040" s="178">
        <v>17900</v>
      </c>
      <c r="F1040" s="19">
        <v>31</v>
      </c>
      <c r="G1040" s="195">
        <v>46050</v>
      </c>
      <c r="H1040" s="9" t="str">
        <f>VLOOKUP(TablaCosechas[[#This Row],[COD]],DATOS!$E$3:$F$27,2,0)</f>
        <v>DORADO</v>
      </c>
      <c r="I1040" s="9" t="str">
        <f>RIGHT(TablaCosechas[[#This Row],[SECTOR/PISCINA]],2)</f>
        <v>05</v>
      </c>
      <c r="J1040" s="9" t="str">
        <f>VLOOKUP(TablaCosechas[[#This Row],[COD]],Tabla7[#All],4,0)</f>
        <v>JOSE CEDEÑO</v>
      </c>
      <c r="K1040" s="179">
        <f>(TablaCosechas[[#This Row],[libras planta]]*454)/M1040</f>
        <v>258146.08148148147</v>
      </c>
      <c r="L1040" s="215">
        <v>18422.759999999998</v>
      </c>
      <c r="M1040" s="19">
        <v>32.4</v>
      </c>
      <c r="N1040" s="9" t="str">
        <f>UPPER(TEXT(TablaCosechas[[#This Row],[COSECHA]],"MMMM"))</f>
        <v>ENERO</v>
      </c>
      <c r="O1040" s="9" t="str">
        <f>IF(A1040="DO 29","BAP",IF(A1040="RO 14","BAP",(VLOOKUP(TablaCosechas[[#This Row],[COD]],Tabla7[[CODIGO]:[CERTIFICACION]],3,0))))</f>
        <v>ASC</v>
      </c>
      <c r="P1040" s="180">
        <f>+L1040-E1040</f>
        <v>522.7599999999984</v>
      </c>
      <c r="Q1040" s="181">
        <f>+M1040-F1040</f>
        <v>1.3999999999999986</v>
      </c>
      <c r="R1040" s="9"/>
    </row>
    <row r="1041" spans="1:18" x14ac:dyDescent="0.25">
      <c r="A1041" s="9" t="s">
        <v>182</v>
      </c>
      <c r="B1041" s="9">
        <f>ROW() - ROW(TablaCosechas[[#Headers],[ID]]) - 4</f>
        <v>1036</v>
      </c>
      <c r="C1041" s="9" t="str">
        <f>LEFT(A1041,2)</f>
        <v>DE</v>
      </c>
      <c r="D1041" s="182" t="s">
        <v>366</v>
      </c>
      <c r="E1041" s="178">
        <v>25200</v>
      </c>
      <c r="F1041" s="19">
        <v>40</v>
      </c>
      <c r="G1041" s="195">
        <v>46050</v>
      </c>
      <c r="H1041" s="9" t="str">
        <f>VLOOKUP(TablaCosechas[[#This Row],[COD]],DATOS!$E$3:$F$27,2,0)</f>
        <v>DELFIN</v>
      </c>
      <c r="I1041" s="9" t="str">
        <f>RIGHT(TablaCosechas[[#This Row],[SECTOR/PISCINA]],2)</f>
        <v>24</v>
      </c>
      <c r="J1041" s="9" t="str">
        <f>VLOOKUP(TablaCosechas[[#This Row],[COD]],Tabla7[#All],4,0)</f>
        <v>CARLOS FLORES</v>
      </c>
      <c r="K1041" s="179">
        <f>(TablaCosechas[[#This Row],[libras planta]]*454)/M1041</f>
        <v>316138.7055583375</v>
      </c>
      <c r="L1041" s="215">
        <v>27811.85</v>
      </c>
      <c r="M1041" s="19">
        <v>39.94</v>
      </c>
      <c r="N1041" s="9" t="str">
        <f>UPPER(TEXT(TablaCosechas[[#This Row],[COSECHA]],"MMMM"))</f>
        <v>ENERO</v>
      </c>
      <c r="O1041" s="9" t="str">
        <f>IF(A1041="DO 29","BAP",IF(A1041="RO 14","BAP",(VLOOKUP(TablaCosechas[[#This Row],[COD]],Tabla7[[CODIGO]:[CERTIFICACION]],3,0))))</f>
        <v>CONVENCIONAL</v>
      </c>
      <c r="P1041" s="180">
        <f>+L1041-E1041</f>
        <v>2611.8499999999985</v>
      </c>
      <c r="Q1041" s="181">
        <f>+M1041-F1041</f>
        <v>-6.0000000000002274E-2</v>
      </c>
      <c r="R1041" s="9"/>
    </row>
    <row r="1042" spans="1:18" x14ac:dyDescent="0.25">
      <c r="A1042" s="9" t="s">
        <v>11</v>
      </c>
      <c r="B1042" s="9">
        <f>ROW() - ROW(TablaCosechas[[#Headers],[ID]]) - 4</f>
        <v>1037</v>
      </c>
      <c r="C1042" s="9" t="str">
        <f>LEFT(A1042,2)</f>
        <v>CH</v>
      </c>
      <c r="D1042" s="182" t="s">
        <v>366</v>
      </c>
      <c r="E1042" s="178">
        <v>33300</v>
      </c>
      <c r="F1042" s="19">
        <v>34.5</v>
      </c>
      <c r="G1042" s="195">
        <v>46050</v>
      </c>
      <c r="H1042" s="9" t="str">
        <f>VLOOKUP(TablaCosechas[[#This Row],[COD]],DATOS!$E$3:$F$27,2,0)</f>
        <v>CHERNA</v>
      </c>
      <c r="I1042" s="9" t="str">
        <f>RIGHT(TablaCosechas[[#This Row],[SECTOR/PISCINA]],2)</f>
        <v>05</v>
      </c>
      <c r="J1042" s="9" t="str">
        <f>VLOOKUP(TablaCosechas[[#This Row],[COD]],Tabla7[#All],4,0)</f>
        <v>SANTIAGO OBRIEN</v>
      </c>
      <c r="K1042" s="179">
        <f>(TablaCosechas[[#This Row],[libras planta]]*454)/M1042</f>
        <v>415397.26150392811</v>
      </c>
      <c r="L1042" s="215">
        <v>32609.599999999999</v>
      </c>
      <c r="M1042" s="19">
        <v>35.64</v>
      </c>
      <c r="N1042" s="9" t="str">
        <f>UPPER(TEXT(TablaCosechas[[#This Row],[COSECHA]],"MMMM"))</f>
        <v>ENERO</v>
      </c>
      <c r="O1042" s="9" t="str">
        <f>IF(A1042="DO 29","BAP",IF(A1042="RO 14","BAP",(VLOOKUP(TablaCosechas[[#This Row],[COD]],Tabla7[[CODIGO]:[CERTIFICACION]],3,0))))</f>
        <v>ASC</v>
      </c>
      <c r="P1042" s="180">
        <f>+L1042-E1042</f>
        <v>-690.40000000000146</v>
      </c>
      <c r="Q1042" s="181">
        <f>+M1042-F1042</f>
        <v>1.1400000000000006</v>
      </c>
      <c r="R1042" s="9"/>
    </row>
    <row r="1043" spans="1:18" x14ac:dyDescent="0.25">
      <c r="A1043" s="9" t="s">
        <v>191</v>
      </c>
      <c r="B1043" s="9">
        <f>ROW() - ROW(TablaCosechas[[#Headers],[ID]]) - 4</f>
        <v>1038</v>
      </c>
      <c r="C1043" s="9" t="str">
        <f>LEFT(A1043,2)</f>
        <v>WA</v>
      </c>
      <c r="D1043" s="182" t="s">
        <v>366</v>
      </c>
      <c r="E1043" s="178">
        <v>8000</v>
      </c>
      <c r="F1043" s="19">
        <v>29</v>
      </c>
      <c r="G1043" s="195">
        <v>46051</v>
      </c>
      <c r="H1043" s="9" t="str">
        <f>VLOOKUP(TablaCosechas[[#This Row],[COD]],DATOS!$E$3:$F$27,2,0)</f>
        <v>WAHOO</v>
      </c>
      <c r="I1043" s="9" t="str">
        <f>RIGHT(TablaCosechas[[#This Row],[SECTOR/PISCINA]],2)</f>
        <v>26</v>
      </c>
      <c r="J1043" s="9" t="str">
        <f>VLOOKUP(TablaCosechas[[#This Row],[COD]],Tabla7[#All],4,0)</f>
        <v>JUNIOR ESQUIVEL</v>
      </c>
      <c r="K1043" s="179">
        <f>(TablaCosechas[[#This Row],[libras planta]]*454)/M1043</f>
        <v>132136.52427867695</v>
      </c>
      <c r="L1043" s="215">
        <v>8271.6299999999992</v>
      </c>
      <c r="M1043" s="205">
        <v>28.42</v>
      </c>
      <c r="N1043" s="9" t="str">
        <f>UPPER(TEXT(TablaCosechas[[#This Row],[COSECHA]],"MMMM"))</f>
        <v>ENERO</v>
      </c>
      <c r="O1043" s="9" t="str">
        <f>IF(A1043="DO 29","BAP",IF(A1043="RO 14","BAP",(VLOOKUP(TablaCosechas[[#This Row],[COD]],Tabla7[[CODIGO]:[CERTIFICACION]],3,0))))</f>
        <v>CONVENCIONAL</v>
      </c>
      <c r="P1043" s="180">
        <f>+L1043-E1043</f>
        <v>271.6299999999992</v>
      </c>
      <c r="Q1043" s="181">
        <f>+M1043-F1043</f>
        <v>-0.57999999999999829</v>
      </c>
      <c r="R1043" s="9"/>
    </row>
    <row r="1044" spans="1:18" x14ac:dyDescent="0.25">
      <c r="A1044" s="9" t="s">
        <v>190</v>
      </c>
      <c r="B1044" s="9">
        <f>ROW() - ROW(TablaCosechas[[#Headers],[ID]]) - 4</f>
        <v>1039</v>
      </c>
      <c r="C1044" s="9" t="str">
        <f>LEFT(A1044,2)</f>
        <v>WA</v>
      </c>
      <c r="D1044" s="182" t="s">
        <v>366</v>
      </c>
      <c r="E1044" s="178">
        <v>4350</v>
      </c>
      <c r="F1044" s="19">
        <v>34</v>
      </c>
      <c r="G1044" s="195">
        <v>46051</v>
      </c>
      <c r="H1044" s="9" t="str">
        <f>VLOOKUP(TablaCosechas[[#This Row],[COD]],DATOS!$E$3:$F$27,2,0)</f>
        <v>WAHOO</v>
      </c>
      <c r="I1044" s="9" t="str">
        <f>RIGHT(TablaCosechas[[#This Row],[SECTOR/PISCINA]],2)</f>
        <v>25</v>
      </c>
      <c r="J1044" s="9" t="str">
        <f>VLOOKUP(TablaCosechas[[#This Row],[COD]],Tabla7[#All],4,0)</f>
        <v>JUNIOR ESQUIVEL</v>
      </c>
      <c r="K1044" s="179">
        <f>(TablaCosechas[[#This Row],[libras planta]]*454)/M1044</f>
        <v>61372.206783369795</v>
      </c>
      <c r="L1044" s="215">
        <v>4942.22</v>
      </c>
      <c r="M1044" s="205">
        <v>36.56</v>
      </c>
      <c r="N1044" s="9" t="str">
        <f>UPPER(TEXT(TablaCosechas[[#This Row],[COSECHA]],"MMMM"))</f>
        <v>ENERO</v>
      </c>
      <c r="O1044" s="9" t="str">
        <f>IF(A1044="DO 29","BAP",IF(A1044="RO 14","BAP",(VLOOKUP(TablaCosechas[[#This Row],[COD]],Tabla7[[CODIGO]:[CERTIFICACION]],3,0))))</f>
        <v>CONVENCIONAL</v>
      </c>
      <c r="P1044" s="180">
        <f>+L1044-E1044</f>
        <v>592.22000000000025</v>
      </c>
      <c r="Q1044" s="181">
        <f>+M1044-F1044</f>
        <v>2.5600000000000023</v>
      </c>
      <c r="R1044" s="9"/>
    </row>
    <row r="1045" spans="1:18" x14ac:dyDescent="0.25">
      <c r="A1045" s="9" t="s">
        <v>189</v>
      </c>
      <c r="B1045" s="9">
        <f>ROW() - ROW(TablaCosechas[[#Headers],[ID]]) - 4</f>
        <v>1040</v>
      </c>
      <c r="C1045" s="9" t="str">
        <f>LEFT(A1045,2)</f>
        <v>TU</v>
      </c>
      <c r="D1045" s="182" t="s">
        <v>366</v>
      </c>
      <c r="E1045" s="178">
        <v>12150</v>
      </c>
      <c r="F1045" s="19">
        <v>32</v>
      </c>
      <c r="G1045" s="195">
        <v>46051</v>
      </c>
      <c r="H1045" s="9" t="str">
        <f>VLOOKUP(TablaCosechas[[#This Row],[COD]],DATOS!$E$3:$F$27,2,0)</f>
        <v>TUNA</v>
      </c>
      <c r="I1045" s="9" t="str">
        <f>RIGHT(TablaCosechas[[#This Row],[SECTOR/PISCINA]],2)</f>
        <v>03</v>
      </c>
      <c r="J1045" s="9" t="str">
        <f>VLOOKUP(TablaCosechas[[#This Row],[COD]],Tabla7[#All],4,0)</f>
        <v>GUSTAVO CARRASCO</v>
      </c>
      <c r="K1045" s="179">
        <f>(TablaCosechas[[#This Row],[libras planta]]*454)/M1045</f>
        <v>175498.79591836734</v>
      </c>
      <c r="L1045" s="215">
        <v>12880.22</v>
      </c>
      <c r="M1045" s="205">
        <v>33.32</v>
      </c>
      <c r="N1045" s="9" t="str">
        <f>UPPER(TEXT(TablaCosechas[[#This Row],[COSECHA]],"MMMM"))</f>
        <v>ENERO</v>
      </c>
      <c r="O1045" s="9" t="str">
        <f>IF(A1045="DO 29","BAP",IF(A1045="RO 14","BAP",(VLOOKUP(TablaCosechas[[#This Row],[COD]],Tabla7[[CODIGO]:[CERTIFICACION]],3,0))))</f>
        <v>ASC</v>
      </c>
      <c r="P1045" s="180">
        <f>+L1045-E1045</f>
        <v>730.21999999999935</v>
      </c>
      <c r="Q1045" s="181">
        <f>+M1045-F1045</f>
        <v>1.3200000000000003</v>
      </c>
      <c r="R1045" s="9"/>
    </row>
    <row r="1046" spans="1:18" x14ac:dyDescent="0.25">
      <c r="A1046" s="9" t="s">
        <v>192</v>
      </c>
      <c r="B1046" s="9">
        <f>ROW() - ROW(TablaCosechas[[#Headers],[ID]]) - 4</f>
        <v>1041</v>
      </c>
      <c r="C1046" s="9" t="str">
        <f>LEFT(A1046,2)</f>
        <v>TU</v>
      </c>
      <c r="D1046" s="182" t="s">
        <v>366</v>
      </c>
      <c r="E1046" s="178">
        <v>18732</v>
      </c>
      <c r="F1046" s="19">
        <v>32</v>
      </c>
      <c r="G1046" s="195">
        <v>46051</v>
      </c>
      <c r="H1046" s="9" t="str">
        <f>VLOOKUP(TablaCosechas[[#This Row],[COD]],DATOS!$E$3:$F$27,2,0)</f>
        <v>TUNA</v>
      </c>
      <c r="I1046" s="9" t="str">
        <f>RIGHT(TablaCosechas[[#This Row],[SECTOR/PISCINA]],2)</f>
        <v>02</v>
      </c>
      <c r="J1046" s="9" t="str">
        <f>VLOOKUP(TablaCosechas[[#This Row],[COD]],Tabla7[#All],4,0)</f>
        <v>GUSTAVO CARRASCO</v>
      </c>
      <c r="K1046" s="179">
        <f>(TablaCosechas[[#This Row],[libras planta]]*454)/M1046</f>
        <v>201551.14552957358</v>
      </c>
      <c r="L1046" s="215">
        <v>16137.41</v>
      </c>
      <c r="M1046" s="205">
        <v>36.35</v>
      </c>
      <c r="N1046" s="9" t="str">
        <f>UPPER(TEXT(TablaCosechas[[#This Row],[COSECHA]],"MMMM"))</f>
        <v>ENERO</v>
      </c>
      <c r="O1046" s="9" t="str">
        <f>IF(A1046="DO 29","BAP",IF(A1046="RO 14","BAP",(VLOOKUP(TablaCosechas[[#This Row],[COD]],Tabla7[[CODIGO]:[CERTIFICACION]],3,0))))</f>
        <v>ASC</v>
      </c>
      <c r="P1046" s="180">
        <f>+L1046-E1046</f>
        <v>-2594.59</v>
      </c>
      <c r="Q1046" s="181">
        <f>+M1046-F1046</f>
        <v>4.3500000000000014</v>
      </c>
      <c r="R1046" s="9"/>
    </row>
    <row r="1047" spans="1:18" x14ac:dyDescent="0.25">
      <c r="A1047" s="9" t="s">
        <v>188</v>
      </c>
      <c r="B1047" s="9">
        <f>ROW() - ROW(TablaCosechas[[#Headers],[ID]]) - 4</f>
        <v>1042</v>
      </c>
      <c r="C1047" s="9" t="str">
        <f>LEFT(A1047,2)</f>
        <v>TI</v>
      </c>
      <c r="D1047" s="182" t="s">
        <v>366</v>
      </c>
      <c r="E1047" s="178">
        <v>44700</v>
      </c>
      <c r="F1047" s="19">
        <v>40</v>
      </c>
      <c r="G1047" s="195">
        <v>46051</v>
      </c>
      <c r="H1047" s="9" t="str">
        <f>VLOOKUP(TablaCosechas[[#This Row],[COD]],DATOS!$E$3:$F$27,2,0)</f>
        <v>TIBURON</v>
      </c>
      <c r="I1047" s="9" t="str">
        <f>RIGHT(TablaCosechas[[#This Row],[SECTOR/PISCINA]],2)</f>
        <v>03</v>
      </c>
      <c r="J1047" s="9" t="str">
        <f>VLOOKUP(TablaCosechas[[#This Row],[COD]],Tabla7[#All],4,0)</f>
        <v>ALFONSO GRUNAUER</v>
      </c>
      <c r="K1047" s="179">
        <f>(TablaCosechas[[#This Row],[libras planta]]*454)/M1047</f>
        <v>503205.11179828731</v>
      </c>
      <c r="L1047" s="215">
        <v>46596.35</v>
      </c>
      <c r="M1047" s="205">
        <v>42.04</v>
      </c>
      <c r="N1047" s="9" t="str">
        <f>UPPER(TEXT(TablaCosechas[[#This Row],[COSECHA]],"MMMM"))</f>
        <v>ENERO</v>
      </c>
      <c r="O1047" s="9" t="str">
        <f>IF(A1047="DO 29","BAP",IF(A1047="RO 14","BAP",(VLOOKUP(TablaCosechas[[#This Row],[COD]],Tabla7[[CODIGO]:[CERTIFICACION]],3,0))))</f>
        <v>ASC</v>
      </c>
      <c r="P1047" s="180">
        <f>+L1047-E1047</f>
        <v>1896.3499999999985</v>
      </c>
      <c r="Q1047" s="181">
        <f>+M1047-F1047</f>
        <v>2.0399999999999991</v>
      </c>
      <c r="R1047" s="9"/>
    </row>
    <row r="1048" spans="1:18" x14ac:dyDescent="0.25">
      <c r="A1048" s="9" t="s">
        <v>262</v>
      </c>
      <c r="B1048" s="9">
        <f>ROW() - ROW(TablaCosechas[[#Headers],[ID]]) - 4</f>
        <v>1043</v>
      </c>
      <c r="C1048" s="9" t="str">
        <f>LEFT(A1048,2)</f>
        <v>ME</v>
      </c>
      <c r="D1048" s="182" t="s">
        <v>367</v>
      </c>
      <c r="E1048" s="178">
        <v>9300</v>
      </c>
      <c r="F1048" s="19">
        <v>19</v>
      </c>
      <c r="G1048" s="195">
        <v>46051</v>
      </c>
      <c r="H1048" s="9" t="str">
        <f>VLOOKUP(TablaCosechas[[#This Row],[COD]],DATOS!$E$3:$F$27,2,0)</f>
        <v>MERO</v>
      </c>
      <c r="I1048" s="9" t="str">
        <f>RIGHT(TablaCosechas[[#This Row],[SECTOR/PISCINA]],2)</f>
        <v>16</v>
      </c>
      <c r="J1048" s="9" t="str">
        <f>VLOOKUP(TablaCosechas[[#This Row],[COD]],Tabla7[#All],4,0)</f>
        <v>NESTOR MOGOLLON</v>
      </c>
      <c r="K1048" s="179">
        <f>(TablaCosechas[[#This Row],[libras planta]]*454)/M1048</f>
        <v>224412.01142263756</v>
      </c>
      <c r="L1048" s="215">
        <v>9520.2099999999991</v>
      </c>
      <c r="M1048" s="205">
        <v>19.260000000000002</v>
      </c>
      <c r="N1048" s="9" t="str">
        <f>UPPER(TEXT(TablaCosechas[[#This Row],[COSECHA]],"MMMM"))</f>
        <v>ENERO</v>
      </c>
      <c r="O1048" s="9" t="str">
        <f>IF(A1048="DO 29","BAP",IF(A1048="RO 14","BAP",(VLOOKUP(TablaCosechas[[#This Row],[COD]],Tabla7[[CODIGO]:[CERTIFICACION]],3,0))))</f>
        <v>CONVENCIONAL</v>
      </c>
      <c r="P1048" s="180">
        <f>+L1048-E1048</f>
        <v>220.20999999999913</v>
      </c>
      <c r="Q1048" s="181">
        <f>+M1048-F1048</f>
        <v>0.26000000000000156</v>
      </c>
      <c r="R1048" s="9"/>
    </row>
    <row r="1049" spans="1:18" x14ac:dyDescent="0.25">
      <c r="A1049" s="9" t="s">
        <v>271</v>
      </c>
      <c r="B1049" s="9">
        <f>ROW() - ROW(TablaCosechas[[#Headers],[ID]]) - 4</f>
        <v>1044</v>
      </c>
      <c r="C1049" s="9" t="str">
        <f>LEFT(A1049,2)</f>
        <v>MA</v>
      </c>
      <c r="D1049" s="182" t="s">
        <v>367</v>
      </c>
      <c r="E1049" s="178">
        <v>6300</v>
      </c>
      <c r="F1049" s="19">
        <v>15</v>
      </c>
      <c r="G1049" s="195">
        <v>46051</v>
      </c>
      <c r="H1049" s="9" t="str">
        <f>VLOOKUP(TablaCosechas[[#This Row],[COD]],DATOS!$E$3:$F$27,2,0)</f>
        <v>MANTARRAYA</v>
      </c>
      <c r="I1049" s="9" t="str">
        <f>RIGHT(TablaCosechas[[#This Row],[SECTOR/PISCINA]],2)</f>
        <v>01</v>
      </c>
      <c r="J1049" s="9" t="str">
        <f>VLOOKUP(TablaCosechas[[#This Row],[COD]],Tabla7[#All],4,0)</f>
        <v>GUSTAVO CARRASCO</v>
      </c>
      <c r="K1049" s="179">
        <f>(TablaCosechas[[#This Row],[libras planta]]*454)/M1049</f>
        <v>186832.18375499337</v>
      </c>
      <c r="L1049" s="215">
        <v>6181.1</v>
      </c>
      <c r="M1049" s="205">
        <v>15.02</v>
      </c>
      <c r="N1049" s="9" t="str">
        <f>UPPER(TEXT(TablaCosechas[[#This Row],[COSECHA]],"MMMM"))</f>
        <v>ENERO</v>
      </c>
      <c r="O1049" s="9" t="str">
        <f>IF(A1049="DO 29","BAP",IF(A1049="RO 14","BAP",(VLOOKUP(TablaCosechas[[#This Row],[COD]],Tabla7[[CODIGO]:[CERTIFICACION]],3,0))))</f>
        <v>ASC</v>
      </c>
      <c r="P1049" s="180">
        <f>+L1049-E1049</f>
        <v>-118.89999999999964</v>
      </c>
      <c r="Q1049" s="181">
        <f>+M1049-F1049</f>
        <v>1.9999999999999574E-2</v>
      </c>
      <c r="R1049" s="9"/>
    </row>
    <row r="1050" spans="1:18" x14ac:dyDescent="0.25">
      <c r="A1050" s="9" t="s">
        <v>187</v>
      </c>
      <c r="B1050" s="9">
        <f>ROW() - ROW(TablaCosechas[[#Headers],[ID]]) - 4</f>
        <v>1045</v>
      </c>
      <c r="C1050" s="9" t="str">
        <f>LEFT(A1050,2)</f>
        <v>DE</v>
      </c>
      <c r="D1050" s="182" t="s">
        <v>366</v>
      </c>
      <c r="E1050" s="178">
        <v>18500</v>
      </c>
      <c r="F1050" s="19">
        <v>35</v>
      </c>
      <c r="G1050" s="195">
        <v>46051</v>
      </c>
      <c r="H1050" s="9" t="str">
        <f>VLOOKUP(TablaCosechas[[#This Row],[COD]],DATOS!$E$3:$F$27,2,0)</f>
        <v>DELFIN</v>
      </c>
      <c r="I1050" s="9" t="str">
        <f>RIGHT(TablaCosechas[[#This Row],[SECTOR/PISCINA]],2)</f>
        <v>22</v>
      </c>
      <c r="J1050" s="9" t="str">
        <f>VLOOKUP(TablaCosechas[[#This Row],[COD]],Tabla7[#All],4,0)</f>
        <v>CARLOS FLORES</v>
      </c>
      <c r="K1050" s="179">
        <f>(TablaCosechas[[#This Row],[libras planta]]*454)/M1050</f>
        <v>240734.25498891354</v>
      </c>
      <c r="L1050" s="215">
        <v>19131.48</v>
      </c>
      <c r="M1050" s="205">
        <v>36.08</v>
      </c>
      <c r="N1050" s="9" t="str">
        <f>UPPER(TEXT(TablaCosechas[[#This Row],[COSECHA]],"MMMM"))</f>
        <v>ENERO</v>
      </c>
      <c r="O1050" s="9" t="str">
        <f>IF(A1050="DO 29","BAP",IF(A1050="RO 14","BAP",(VLOOKUP(TablaCosechas[[#This Row],[COD]],Tabla7[[CODIGO]:[CERTIFICACION]],3,0))))</f>
        <v>CONVENCIONAL</v>
      </c>
      <c r="P1050" s="180">
        <f>+L1050-E1050</f>
        <v>631.47999999999956</v>
      </c>
      <c r="Q1050" s="181">
        <f>+M1050-F1050</f>
        <v>1.0799999999999983</v>
      </c>
      <c r="R1050" s="9"/>
    </row>
    <row r="1051" spans="1:18" x14ac:dyDescent="0.25">
      <c r="A1051" s="9" t="s">
        <v>7</v>
      </c>
      <c r="B1051" s="9">
        <f>ROW() - ROW(TablaCosechas[[#Headers],[ID]]) - 4</f>
        <v>1046</v>
      </c>
      <c r="C1051" s="9" t="str">
        <f>LEFT(A1051,2)</f>
        <v>CH</v>
      </c>
      <c r="D1051" s="182" t="s">
        <v>367</v>
      </c>
      <c r="E1051" s="178">
        <v>9350</v>
      </c>
      <c r="F1051" s="19">
        <v>25</v>
      </c>
      <c r="G1051" s="195">
        <v>46051</v>
      </c>
      <c r="H1051" s="9" t="str">
        <f>VLOOKUP(TablaCosechas[[#This Row],[COD]],DATOS!$E$3:$F$27,2,0)</f>
        <v>CHERNA</v>
      </c>
      <c r="I1051" s="9" t="str">
        <f>RIGHT(TablaCosechas[[#This Row],[SECTOR/PISCINA]],2)</f>
        <v>01</v>
      </c>
      <c r="J1051" s="9" t="str">
        <f>VLOOKUP(TablaCosechas[[#This Row],[COD]],Tabla7[#All],4,0)</f>
        <v>SANTIAGO OBRIEN</v>
      </c>
      <c r="K1051" s="179">
        <f>(TablaCosechas[[#This Row],[libras planta]]*454)/M1051</f>
        <v>179910.24506828527</v>
      </c>
      <c r="L1051" s="215">
        <v>10445.89</v>
      </c>
      <c r="M1051" s="205">
        <v>26.36</v>
      </c>
      <c r="N1051" s="9" t="str">
        <f>UPPER(TEXT(TablaCosechas[[#This Row],[COSECHA]],"MMMM"))</f>
        <v>ENERO</v>
      </c>
      <c r="O1051" s="9" t="str">
        <f>IF(A1051="DO 29","BAP",IF(A1051="RO 14","BAP",(VLOOKUP(TablaCosechas[[#This Row],[COD]],Tabla7[[CODIGO]:[CERTIFICACION]],3,0))))</f>
        <v>ASC</v>
      </c>
      <c r="P1051" s="180">
        <f>+L1051-E1051</f>
        <v>1095.8899999999994</v>
      </c>
      <c r="Q1051" s="181">
        <f>+M1051-F1051</f>
        <v>1.3599999999999994</v>
      </c>
      <c r="R1051" s="9"/>
    </row>
    <row r="1052" spans="1:18" x14ac:dyDescent="0.25">
      <c r="A1052" s="9" t="s">
        <v>210</v>
      </c>
      <c r="B1052" s="9">
        <f>ROW() - ROW(TablaCosechas[[#Headers],[ID]]) - 4</f>
        <v>1047</v>
      </c>
      <c r="C1052" s="9" t="str">
        <f>LEFT(A1052,2)</f>
        <v>ME</v>
      </c>
      <c r="D1052" s="182" t="s">
        <v>367</v>
      </c>
      <c r="E1052" s="178">
        <v>12000</v>
      </c>
      <c r="F1052" s="19">
        <v>28</v>
      </c>
      <c r="G1052" s="195">
        <v>46052</v>
      </c>
      <c r="H1052" s="9" t="str">
        <f>VLOOKUP(TablaCosechas[[#This Row],[COD]],DATOS!$E$3:$F$27,2,0)</f>
        <v>MERO</v>
      </c>
      <c r="I1052" s="9" t="str">
        <f>RIGHT(TablaCosechas[[#This Row],[SECTOR/PISCINA]],2)</f>
        <v>09</v>
      </c>
      <c r="J1052" s="9" t="str">
        <f>VLOOKUP(TablaCosechas[[#This Row],[COD]],Tabla7[#All],4,0)</f>
        <v>NESTOR MOGOLLON</v>
      </c>
      <c r="K1052" s="179">
        <f>(TablaCosechas[[#This Row],[libras planta]]*454)/M1052</f>
        <v>153036.17915904938</v>
      </c>
      <c r="L1052" s="215">
        <v>11063.1</v>
      </c>
      <c r="M1052" s="19">
        <v>32.82</v>
      </c>
      <c r="N1052" s="9" t="str">
        <f>UPPER(TEXT(TablaCosechas[[#This Row],[COSECHA]],"MMMM"))</f>
        <v>ENERO</v>
      </c>
      <c r="O1052" s="9" t="str">
        <f>IF(A1052="DO 29","BAP",IF(A1052="RO 14","BAP",(VLOOKUP(TablaCosechas[[#This Row],[COD]],Tabla7[[CODIGO]:[CERTIFICACION]],3,0))))</f>
        <v>CONVENCIONAL</v>
      </c>
      <c r="P1052" s="180">
        <f>+L1052-E1052</f>
        <v>-936.89999999999964</v>
      </c>
      <c r="Q1052" s="181">
        <f>+M1052-F1052</f>
        <v>4.82</v>
      </c>
      <c r="R1052" s="9"/>
    </row>
    <row r="1053" spans="1:18" x14ac:dyDescent="0.25">
      <c r="A1053" s="9" t="s">
        <v>193</v>
      </c>
      <c r="B1053" s="9">
        <f>ROW() - ROW(TablaCosechas[[#Headers],[ID]]) - 4</f>
        <v>1048</v>
      </c>
      <c r="C1053" s="9" t="str">
        <f>LEFT(A1053,2)</f>
        <v>DE</v>
      </c>
      <c r="D1053" s="182" t="s">
        <v>366</v>
      </c>
      <c r="E1053" s="178">
        <v>22200</v>
      </c>
      <c r="F1053" s="19">
        <v>32</v>
      </c>
      <c r="G1053" s="195">
        <v>46052</v>
      </c>
      <c r="H1053" s="9" t="str">
        <f>VLOOKUP(TablaCosechas[[#This Row],[COD]],DATOS!$E$3:$F$27,2,0)</f>
        <v>DELFIN</v>
      </c>
      <c r="I1053" s="9" t="str">
        <f>RIGHT(TablaCosechas[[#This Row],[SECTOR/PISCINA]],2)</f>
        <v>21</v>
      </c>
      <c r="J1053" s="9" t="str">
        <f>VLOOKUP(TablaCosechas[[#This Row],[COD]],Tabla7[#All],4,0)</f>
        <v>CARLOS FLORES</v>
      </c>
      <c r="K1053" s="179">
        <f>(TablaCosechas[[#This Row],[libras planta]]*454)/M1053</f>
        <v>345519.08588588593</v>
      </c>
      <c r="L1053" s="215">
        <v>25343.14</v>
      </c>
      <c r="M1053" s="205">
        <v>33.299999999999997</v>
      </c>
      <c r="N1053" s="9" t="str">
        <f>UPPER(TEXT(TablaCosechas[[#This Row],[COSECHA]],"MMMM"))</f>
        <v>ENERO</v>
      </c>
      <c r="O1053" s="9" t="str">
        <f>IF(A1053="DO 29","BAP",IF(A1053="RO 14","BAP",(VLOOKUP(TablaCosechas[[#This Row],[COD]],Tabla7[[CODIGO]:[CERTIFICACION]],3,0))))</f>
        <v>CONVENCIONAL</v>
      </c>
      <c r="P1053" s="180">
        <f>+L1053-E1053</f>
        <v>3143.1399999999994</v>
      </c>
      <c r="Q1053" s="181">
        <f>+M1053-F1053</f>
        <v>1.2999999999999972</v>
      </c>
      <c r="R1053" s="9"/>
    </row>
    <row r="1054" spans="1:18" x14ac:dyDescent="0.25">
      <c r="A1054" s="9" t="s">
        <v>14</v>
      </c>
      <c r="B1054" s="9">
        <f>ROW() - ROW(TablaCosechas[[#Headers],[ID]]) - 4</f>
        <v>1049</v>
      </c>
      <c r="C1054" s="9" t="str">
        <f>LEFT(A1054,2)</f>
        <v>CH</v>
      </c>
      <c r="D1054" s="182" t="s">
        <v>366</v>
      </c>
      <c r="E1054" s="178">
        <f>11850+200</f>
        <v>12050</v>
      </c>
      <c r="F1054" s="19">
        <v>31</v>
      </c>
      <c r="G1054" s="195">
        <v>46052</v>
      </c>
      <c r="H1054" s="9" t="str">
        <f>VLOOKUP(TablaCosechas[[#This Row],[COD]],DATOS!$E$3:$F$27,2,0)</f>
        <v>CHERNA</v>
      </c>
      <c r="I1054" s="9" t="str">
        <f>RIGHT(TablaCosechas[[#This Row],[SECTOR/PISCINA]],2)</f>
        <v>08</v>
      </c>
      <c r="J1054" s="9" t="str">
        <f>VLOOKUP(TablaCosechas[[#This Row],[COD]],Tabla7[#All],4,0)</f>
        <v>SANTIAGO OBRIEN</v>
      </c>
      <c r="K1054" s="179">
        <f>(TablaCosechas[[#This Row],[libras planta]]*454)/M1054</f>
        <v>165089.02437519288</v>
      </c>
      <c r="L1054" s="215">
        <v>11785.32</v>
      </c>
      <c r="M1054" s="205">
        <v>32.409999999999997</v>
      </c>
      <c r="N1054" s="9" t="str">
        <f>UPPER(TEXT(TablaCosechas[[#This Row],[COSECHA]],"MMMM"))</f>
        <v>ENERO</v>
      </c>
      <c r="O1054" s="9" t="str">
        <f>IF(A1054="DO 29","BAP",IF(A1054="RO 14","BAP",(VLOOKUP(TablaCosechas[[#This Row],[COD]],Tabla7[[CODIGO]:[CERTIFICACION]],3,0))))</f>
        <v>ASC</v>
      </c>
      <c r="P1054" s="180">
        <f>+L1054-E1054</f>
        <v>-264.68000000000029</v>
      </c>
      <c r="Q1054" s="181">
        <f>+M1054-F1054</f>
        <v>1.4099999999999966</v>
      </c>
      <c r="R1054" s="9"/>
    </row>
    <row r="1055" spans="1:18" x14ac:dyDescent="0.25">
      <c r="A1055" s="9" t="s">
        <v>10</v>
      </c>
      <c r="B1055" s="9">
        <f>ROW() - ROW(TablaCosechas[[#Headers],[ID]]) - 4</f>
        <v>1050</v>
      </c>
      <c r="C1055" s="9" t="str">
        <f>LEFT(A1055,2)</f>
        <v>CH</v>
      </c>
      <c r="D1055" s="182" t="s">
        <v>366</v>
      </c>
      <c r="E1055" s="178">
        <v>26650</v>
      </c>
      <c r="F1055" s="19">
        <v>29</v>
      </c>
      <c r="G1055" s="195">
        <v>46052</v>
      </c>
      <c r="H1055" s="9" t="str">
        <f>VLOOKUP(TablaCosechas[[#This Row],[COD]],DATOS!$E$3:$F$27,2,0)</f>
        <v>CHERNA</v>
      </c>
      <c r="I1055" s="9" t="str">
        <f>RIGHT(TablaCosechas[[#This Row],[SECTOR/PISCINA]],2)</f>
        <v>04</v>
      </c>
      <c r="J1055" s="9" t="str">
        <f>VLOOKUP(TablaCosechas[[#This Row],[COD]],Tabla7[#All],4,0)</f>
        <v>SANTIAGO OBRIEN</v>
      </c>
      <c r="K1055" s="179">
        <f>(TablaCosechas[[#This Row],[libras planta]]*454)/M1055</f>
        <v>420393.0330906685</v>
      </c>
      <c r="L1055" s="215">
        <v>27982.99</v>
      </c>
      <c r="M1055" s="205">
        <v>30.22</v>
      </c>
      <c r="N1055" s="9" t="str">
        <f>UPPER(TEXT(TablaCosechas[[#This Row],[COSECHA]],"MMMM"))</f>
        <v>ENERO</v>
      </c>
      <c r="O1055" s="9" t="str">
        <f>IF(A1055="DO 29","BAP",IF(A1055="RO 14","BAP",(VLOOKUP(TablaCosechas[[#This Row],[COD]],Tabla7[[CODIGO]:[CERTIFICACION]],3,0))))</f>
        <v>ASC</v>
      </c>
      <c r="P1055" s="180">
        <f>+L1055-E1055</f>
        <v>1332.9900000000016</v>
      </c>
      <c r="Q1055" s="181">
        <f>+M1055-F1055</f>
        <v>1.2199999999999989</v>
      </c>
      <c r="R1055" s="9"/>
    </row>
    <row r="1056" spans="1:18" x14ac:dyDescent="0.25">
      <c r="A1056" s="9" t="s">
        <v>195</v>
      </c>
      <c r="B1056" s="9">
        <f>ROW() - ROW(TablaCosechas[[#Headers],[ID]]) - 4</f>
        <v>1051</v>
      </c>
      <c r="C1056" s="9" t="str">
        <f>LEFT(A1056,2)</f>
        <v>TU</v>
      </c>
      <c r="D1056" s="182" t="s">
        <v>366</v>
      </c>
      <c r="E1056" s="178">
        <v>35500</v>
      </c>
      <c r="F1056" s="19">
        <v>32</v>
      </c>
      <c r="G1056" s="195">
        <v>46053</v>
      </c>
      <c r="H1056" s="9" t="str">
        <f>VLOOKUP(TablaCosechas[[#This Row],[COD]],DATOS!$E$3:$F$27,2,0)</f>
        <v>TUNA</v>
      </c>
      <c r="I1056" s="9" t="str">
        <f>RIGHT(TablaCosechas[[#This Row],[SECTOR/PISCINA]],2)</f>
        <v>01</v>
      </c>
      <c r="J1056" s="9" t="str">
        <f>VLOOKUP(TablaCosechas[[#This Row],[COD]],Tabla7[#All],4,0)</f>
        <v>GUSTAVO CARRASCO</v>
      </c>
      <c r="K1056" s="179">
        <f>(TablaCosechas[[#This Row],[libras planta]]*454)/M1056</f>
        <v>504157.62211421633</v>
      </c>
      <c r="L1056" s="215">
        <v>36556.980000000003</v>
      </c>
      <c r="M1056" s="19">
        <v>32.92</v>
      </c>
      <c r="N1056" s="9" t="str">
        <f>UPPER(TEXT(TablaCosechas[[#This Row],[COSECHA]],"MMMM"))</f>
        <v>ENERO</v>
      </c>
      <c r="O1056" s="9" t="str">
        <f>IF(A1056="DO 29","BAP",IF(A1056="RO 14","BAP",(VLOOKUP(TablaCosechas[[#This Row],[COD]],Tabla7[[CODIGO]:[CERTIFICACION]],3,0))))</f>
        <v>ASC</v>
      </c>
      <c r="P1056" s="180">
        <f>+L1056-E1056</f>
        <v>1056.9800000000032</v>
      </c>
      <c r="Q1056" s="181">
        <f>+M1056-F1056</f>
        <v>0.92000000000000171</v>
      </c>
      <c r="R1056" s="9"/>
    </row>
    <row r="1057" spans="1:18" x14ac:dyDescent="0.25">
      <c r="A1057" s="9" t="s">
        <v>264</v>
      </c>
      <c r="B1057" s="9">
        <f>ROW() - ROW(TablaCosechas[[#Headers],[ID]]) - 4</f>
        <v>1052</v>
      </c>
      <c r="C1057" s="9" t="str">
        <f>LEFT(A1057,2)</f>
        <v>RO</v>
      </c>
      <c r="D1057" s="182" t="s">
        <v>367</v>
      </c>
      <c r="E1057" s="178">
        <v>20200</v>
      </c>
      <c r="F1057" s="19">
        <v>18</v>
      </c>
      <c r="G1057" s="195">
        <v>46053</v>
      </c>
      <c r="H1057" s="9" t="str">
        <f>VLOOKUP(TablaCosechas[[#This Row],[COD]],DATOS!$E$3:$F$27,2,0)</f>
        <v>ROBALO</v>
      </c>
      <c r="I1057" s="9" t="str">
        <f>RIGHT(TablaCosechas[[#This Row],[SECTOR/PISCINA]],2)</f>
        <v>04</v>
      </c>
      <c r="J1057" s="9" t="str">
        <f>VLOOKUP(TablaCosechas[[#This Row],[COD]],Tabla7[#All],4,0)</f>
        <v>VICTOR QUINTANA</v>
      </c>
      <c r="K1057" s="179">
        <f>(TablaCosechas[[#This Row],[libras planta]]*454)/M1057</f>
        <v>429067.60946745554</v>
      </c>
      <c r="L1057" s="215">
        <v>19166.28</v>
      </c>
      <c r="M1057" s="19">
        <v>20.28</v>
      </c>
      <c r="N1057" s="9" t="str">
        <f>UPPER(TEXT(TablaCosechas[[#This Row],[COSECHA]],"MMMM"))</f>
        <v>ENERO</v>
      </c>
      <c r="O1057" s="9" t="str">
        <f>IF(A1057="DO 29","BAP",IF(A1057="RO 14","BAP",(VLOOKUP(TablaCosechas[[#This Row],[COD]],Tabla7[[CODIGO]:[CERTIFICACION]],3,0))))</f>
        <v>ASC</v>
      </c>
      <c r="P1057" s="180">
        <f>+L1057-E1057</f>
        <v>-1033.7200000000012</v>
      </c>
      <c r="Q1057" s="181">
        <f>+M1057-F1057</f>
        <v>2.2800000000000011</v>
      </c>
      <c r="R1057" s="9"/>
    </row>
    <row r="1058" spans="1:18" x14ac:dyDescent="0.25">
      <c r="A1058" s="9" t="s">
        <v>194</v>
      </c>
      <c r="B1058" s="9">
        <f>ROW() - ROW(TablaCosechas[[#Headers],[ID]]) - 4</f>
        <v>1053</v>
      </c>
      <c r="C1058" s="9" t="str">
        <f>LEFT(A1058,2)</f>
        <v>DE</v>
      </c>
      <c r="D1058" s="182" t="s">
        <v>366</v>
      </c>
      <c r="E1058" s="178">
        <v>15100</v>
      </c>
      <c r="F1058" s="19">
        <v>30</v>
      </c>
      <c r="G1058" s="195">
        <v>46053</v>
      </c>
      <c r="H1058" s="9" t="str">
        <f>VLOOKUP(TablaCosechas[[#This Row],[COD]],DATOS!$E$3:$F$27,2,0)</f>
        <v>DELFIN</v>
      </c>
      <c r="I1058" s="9" t="str">
        <f>RIGHT(TablaCosechas[[#This Row],[SECTOR/PISCINA]],2)</f>
        <v>20</v>
      </c>
      <c r="J1058" s="9" t="str">
        <f>VLOOKUP(TablaCosechas[[#This Row],[COD]],Tabla7[#All],4,0)</f>
        <v>CARLOS FLORES</v>
      </c>
      <c r="K1058" s="179">
        <f>(TablaCosechas[[#This Row],[libras planta]]*454)/M1058</f>
        <v>215685.61317365273</v>
      </c>
      <c r="L1058" s="215">
        <v>15867.62</v>
      </c>
      <c r="M1058" s="19">
        <v>33.4</v>
      </c>
      <c r="N1058" s="9" t="str">
        <f>UPPER(TEXT(TablaCosechas[[#This Row],[COSECHA]],"MMMM"))</f>
        <v>ENERO</v>
      </c>
      <c r="O1058" s="9" t="str">
        <f>IF(A1058="DO 29","BAP",IF(A1058="RO 14","BAP",(VLOOKUP(TablaCosechas[[#This Row],[COD]],Tabla7[[CODIGO]:[CERTIFICACION]],3,0))))</f>
        <v>CONVENCIONAL</v>
      </c>
      <c r="P1058" s="180">
        <f>+L1058-E1058</f>
        <v>767.6200000000008</v>
      </c>
      <c r="Q1058" s="181">
        <f>+M1058-F1058</f>
        <v>3.3999999999999986</v>
      </c>
      <c r="R1058" s="9"/>
    </row>
    <row r="1059" spans="1:18" x14ac:dyDescent="0.25">
      <c r="A1059" s="9" t="s">
        <v>214</v>
      </c>
      <c r="B1059" s="9">
        <f>ROW() - ROW(TablaCosechas[[#Headers],[ID]]) - 4</f>
        <v>1054</v>
      </c>
      <c r="C1059" s="9" t="str">
        <f>LEFT(A1059,2)</f>
        <v>WA</v>
      </c>
      <c r="D1059" s="182" t="s">
        <v>367</v>
      </c>
      <c r="E1059" s="178">
        <v>17000</v>
      </c>
      <c r="F1059" s="19">
        <v>31</v>
      </c>
      <c r="G1059" s="195">
        <v>46054</v>
      </c>
      <c r="H1059" s="9" t="str">
        <f>VLOOKUP(TablaCosechas[[#This Row],[COD]],DATOS!$E$3:$F$27,2,0)</f>
        <v>WAHOO</v>
      </c>
      <c r="I1059" s="9" t="str">
        <f>RIGHT(TablaCosechas[[#This Row],[SECTOR/PISCINA]],2)</f>
        <v>30</v>
      </c>
      <c r="J1059" s="9" t="str">
        <f>VLOOKUP(TablaCosechas[[#This Row],[COD]],Tabla7[#All],4,0)</f>
        <v>JUNIOR ESQUIVEL</v>
      </c>
      <c r="K1059" s="179">
        <f>(TablaCosechas[[#This Row],[libras planta]]*454)/M1059</f>
        <v>295413.99225806451</v>
      </c>
      <c r="L1059" s="215">
        <v>20171.439999999999</v>
      </c>
      <c r="M1059" s="19">
        <v>31</v>
      </c>
      <c r="N1059" s="9" t="str">
        <f>UPPER(TEXT(TablaCosechas[[#This Row],[COSECHA]],"MMMM"))</f>
        <v>FEBRERO</v>
      </c>
      <c r="O1059" s="9" t="str">
        <f>IF(A1059="DO 29","BAP",IF(A1059="RO 14","BAP",(VLOOKUP(TablaCosechas[[#This Row],[COD]],Tabla7[[CODIGO]:[CERTIFICACION]],3,0))))</f>
        <v>CONVENCIONAL</v>
      </c>
      <c r="P1059" s="180">
        <f>+L1059-E1059</f>
        <v>3171.4399999999987</v>
      </c>
      <c r="Q1059" s="181">
        <f>+M1059-F1059</f>
        <v>0</v>
      </c>
      <c r="R1059" s="9"/>
    </row>
    <row r="1060" spans="1:18" x14ac:dyDescent="0.25">
      <c r="A1060" s="9" t="s">
        <v>218</v>
      </c>
      <c r="B1060" s="9">
        <f>ROW() - ROW(TablaCosechas[[#Headers],[ID]]) - 4</f>
        <v>1055</v>
      </c>
      <c r="C1060" s="9" t="str">
        <f>LEFT(A1060,2)</f>
        <v>TU</v>
      </c>
      <c r="D1060" s="182" t="s">
        <v>367</v>
      </c>
      <c r="E1060" s="178">
        <v>6700</v>
      </c>
      <c r="F1060" s="19">
        <v>32</v>
      </c>
      <c r="G1060" s="195">
        <v>46054</v>
      </c>
      <c r="H1060" s="9" t="str">
        <f>VLOOKUP(TablaCosechas[[#This Row],[COD]],DATOS!$E$3:$F$27,2,0)</f>
        <v>TUNA</v>
      </c>
      <c r="I1060" s="9" t="str">
        <f>RIGHT(TablaCosechas[[#This Row],[SECTOR/PISCINA]],2)</f>
        <v>06</v>
      </c>
      <c r="J1060" s="9" t="str">
        <f>VLOOKUP(TablaCosechas[[#This Row],[COD]],Tabla7[#All],4,0)</f>
        <v>GUSTAVO CARRASCO</v>
      </c>
      <c r="K1060" s="179">
        <f>(TablaCosechas[[#This Row],[libras planta]]*454)/M1060</f>
        <v>80555.796067415722</v>
      </c>
      <c r="L1060" s="215">
        <v>6316.71</v>
      </c>
      <c r="M1060" s="19">
        <v>35.6</v>
      </c>
      <c r="N1060" s="9" t="str">
        <f>UPPER(TEXT(TablaCosechas[[#This Row],[COSECHA]],"MMMM"))</f>
        <v>FEBRERO</v>
      </c>
      <c r="O1060" s="9" t="str">
        <f>IF(A1060="DO 29","BAP",IF(A1060="RO 14","BAP",(VLOOKUP(TablaCosechas[[#This Row],[COD]],Tabla7[[CODIGO]:[CERTIFICACION]],3,0))))</f>
        <v>ASC</v>
      </c>
      <c r="P1060" s="180">
        <f>+L1060-E1060</f>
        <v>-383.28999999999996</v>
      </c>
      <c r="Q1060" s="181">
        <f>+M1060-F1060</f>
        <v>3.6000000000000014</v>
      </c>
      <c r="R1060" s="9"/>
    </row>
    <row r="1061" spans="1:18" x14ac:dyDescent="0.25">
      <c r="A1061" s="9" t="s">
        <v>197</v>
      </c>
      <c r="B1061" s="9">
        <f>ROW() - ROW(TablaCosechas[[#Headers],[ID]]) - 4</f>
        <v>1056</v>
      </c>
      <c r="C1061" s="9" t="str">
        <f>LEFT(A1061,2)</f>
        <v>PA</v>
      </c>
      <c r="D1061" s="182" t="s">
        <v>366</v>
      </c>
      <c r="E1061" s="178">
        <v>10000</v>
      </c>
      <c r="F1061" s="19">
        <v>31</v>
      </c>
      <c r="G1061" s="195">
        <v>46054</v>
      </c>
      <c r="H1061" s="9" t="str">
        <f>VLOOKUP(TablaCosechas[[#This Row],[COD]],DATOS!$E$3:$F$27,2,0)</f>
        <v>PAMPANO</v>
      </c>
      <c r="I1061" s="9" t="str">
        <f>RIGHT(TablaCosechas[[#This Row],[SECTOR/PISCINA]],2)</f>
        <v>05</v>
      </c>
      <c r="J1061" s="9" t="str">
        <f>VLOOKUP(TablaCosechas[[#This Row],[COD]],Tabla7[#All],4,0)</f>
        <v>GUSTAVO CARRASCO</v>
      </c>
      <c r="K1061" s="179">
        <f>(TablaCosechas[[#This Row],[libras planta]]*454)/M1061</f>
        <v>136422.2910311165</v>
      </c>
      <c r="L1061" s="215">
        <v>9850.0499999999993</v>
      </c>
      <c r="M1061" s="19">
        <v>32.78</v>
      </c>
      <c r="N1061" s="9" t="str">
        <f>UPPER(TEXT(TablaCosechas[[#This Row],[COSECHA]],"MMMM"))</f>
        <v>FEBRERO</v>
      </c>
      <c r="O1061" s="9" t="str">
        <f>IF(A1061="DO 29","BAP",IF(A1061="RO 14","BAP",(VLOOKUP(TablaCosechas[[#This Row],[COD]],Tabla7[[CODIGO]:[CERTIFICACION]],3,0))))</f>
        <v>ASC</v>
      </c>
      <c r="P1061" s="180">
        <f>+L1061-E1061</f>
        <v>-149.95000000000073</v>
      </c>
      <c r="Q1061" s="181">
        <f>+M1061-F1061</f>
        <v>1.7800000000000011</v>
      </c>
      <c r="R1061" s="9"/>
    </row>
    <row r="1062" spans="1:18" x14ac:dyDescent="0.25">
      <c r="A1062" s="9" t="s">
        <v>196</v>
      </c>
      <c r="B1062" s="9">
        <f>ROW() - ROW(TablaCosechas[[#Headers],[ID]]) - 4</f>
        <v>1057</v>
      </c>
      <c r="C1062" s="9" t="str">
        <f>LEFT(A1062,2)</f>
        <v>DE</v>
      </c>
      <c r="D1062" s="182" t="s">
        <v>366</v>
      </c>
      <c r="E1062" s="178">
        <v>26900</v>
      </c>
      <c r="F1062" s="19">
        <v>31</v>
      </c>
      <c r="G1062" s="195">
        <v>46054</v>
      </c>
      <c r="H1062" s="9" t="str">
        <f>VLOOKUP(TablaCosechas[[#This Row],[COD]],DATOS!$E$3:$F$27,2,0)</f>
        <v>DELFIN</v>
      </c>
      <c r="I1062" s="9" t="str">
        <f>RIGHT(TablaCosechas[[#This Row],[SECTOR/PISCINA]],2)</f>
        <v>03</v>
      </c>
      <c r="J1062" s="9" t="str">
        <f>VLOOKUP(TablaCosechas[[#This Row],[COD]],Tabla7[#All],4,0)</f>
        <v>CARLOS FLORES</v>
      </c>
      <c r="K1062" s="179">
        <f>(TablaCosechas[[#This Row],[libras planta]]*454)/M1062</f>
        <v>344053.69541284401</v>
      </c>
      <c r="L1062" s="215">
        <v>24780.959999999999</v>
      </c>
      <c r="M1062" s="19">
        <v>32.700000000000003</v>
      </c>
      <c r="N1062" s="9" t="str">
        <f>UPPER(TEXT(TablaCosechas[[#This Row],[COSECHA]],"MMMM"))</f>
        <v>FEBRERO</v>
      </c>
      <c r="O1062" s="9" t="str">
        <f>IF(A1062="DO 29","BAP",IF(A1062="RO 14","BAP",(VLOOKUP(TablaCosechas[[#This Row],[COD]],Tabla7[[CODIGO]:[CERTIFICACION]],3,0))))</f>
        <v>CONVENCIONAL</v>
      </c>
      <c r="P1062" s="180">
        <f>+L1062-E1062</f>
        <v>-2119.0400000000009</v>
      </c>
      <c r="Q1062" s="181">
        <f>+M1062-F1062</f>
        <v>1.7000000000000028</v>
      </c>
      <c r="R1062" s="9"/>
    </row>
    <row r="1063" spans="1:18" x14ac:dyDescent="0.25">
      <c r="A1063" s="9" t="s">
        <v>21</v>
      </c>
      <c r="B1063" s="9">
        <f>ROW() - ROW(TablaCosechas[[#Headers],[ID]]) - 4</f>
        <v>1058</v>
      </c>
      <c r="C1063" s="9" t="str">
        <f>LEFT(A1063,2)</f>
        <v>CH</v>
      </c>
      <c r="D1063" s="182" t="s">
        <v>366</v>
      </c>
      <c r="E1063" s="178">
        <v>9800</v>
      </c>
      <c r="F1063" s="19">
        <v>32.5</v>
      </c>
      <c r="G1063" s="195">
        <v>46054</v>
      </c>
      <c r="H1063" s="9" t="str">
        <f>VLOOKUP(TablaCosechas[[#This Row],[COD]],DATOS!$E$3:$F$27,2,0)</f>
        <v>CHERNA</v>
      </c>
      <c r="I1063" s="9" t="str">
        <f>RIGHT(TablaCosechas[[#This Row],[SECTOR/PISCINA]],2)</f>
        <v>15</v>
      </c>
      <c r="J1063" s="9" t="str">
        <f>VLOOKUP(TablaCosechas[[#This Row],[COD]],Tabla7[#All],4,0)</f>
        <v>SANTIAGO OBRIEN</v>
      </c>
      <c r="K1063" s="179">
        <f>(TablaCosechas[[#This Row],[libras planta]]*454)/M1063</f>
        <v>135506.47769953051</v>
      </c>
      <c r="L1063" s="215">
        <v>10171.94</v>
      </c>
      <c r="M1063" s="19">
        <v>34.08</v>
      </c>
      <c r="N1063" s="9" t="str">
        <f>UPPER(TEXT(TablaCosechas[[#This Row],[COSECHA]],"MMMM"))</f>
        <v>FEBRERO</v>
      </c>
      <c r="O1063" s="9" t="str">
        <f>IF(A1063="DO 29","BAP",IF(A1063="RO 14","BAP",(VLOOKUP(TablaCosechas[[#This Row],[COD]],Tabla7[[CODIGO]:[CERTIFICACION]],3,0))))</f>
        <v>ASC</v>
      </c>
      <c r="P1063" s="180">
        <f>+L1063-E1063</f>
        <v>371.94000000000051</v>
      </c>
      <c r="Q1063" s="181">
        <f>+M1063-F1063</f>
        <v>1.5799999999999983</v>
      </c>
      <c r="R1063" s="9"/>
    </row>
    <row r="1064" spans="1:18" x14ac:dyDescent="0.25">
      <c r="A1064" s="9" t="s">
        <v>258</v>
      </c>
      <c r="B1064" s="9">
        <f>ROW() - ROW(TablaCosechas[[#Headers],[ID]]) - 4</f>
        <v>1059</v>
      </c>
      <c r="C1064" s="9" t="str">
        <f>LEFT(A1064,2)</f>
        <v>TI</v>
      </c>
      <c r="D1064" s="182" t="s">
        <v>367</v>
      </c>
      <c r="E1064" s="178">
        <v>9350</v>
      </c>
      <c r="F1064" s="19">
        <v>20</v>
      </c>
      <c r="G1064" s="195">
        <v>46055</v>
      </c>
      <c r="H1064" s="9" t="str">
        <f>VLOOKUP(TablaCosechas[[#This Row],[COD]],DATOS!$E$3:$F$27,2,0)</f>
        <v>TIBURON</v>
      </c>
      <c r="I1064" s="9" t="str">
        <f>RIGHT(TablaCosechas[[#This Row],[SECTOR/PISCINA]],2)</f>
        <v>10</v>
      </c>
      <c r="J1064" s="9" t="str">
        <f>VLOOKUP(TablaCosechas[[#This Row],[COD]],Tabla7[#All],4,0)</f>
        <v>ALFONSO GRUNAUER</v>
      </c>
      <c r="K1064" s="179">
        <f>(TablaCosechas[[#This Row],[libras planta]]*454)/M1064</f>
        <v>198618.70609981517</v>
      </c>
      <c r="L1064" s="215">
        <v>9467.2000000000007</v>
      </c>
      <c r="M1064" s="19">
        <v>21.64</v>
      </c>
      <c r="N1064" s="9" t="str">
        <f>UPPER(TEXT(TablaCosechas[[#This Row],[COSECHA]],"MMMM"))</f>
        <v>FEBRERO</v>
      </c>
      <c r="O1064" s="9" t="str">
        <f>IF(A1064="DO 29","BAP",IF(A1064="RO 14","BAP",(VLOOKUP(TablaCosechas[[#This Row],[COD]],Tabla7[[CODIGO]:[CERTIFICACION]],3,0))))</f>
        <v>ASC</v>
      </c>
      <c r="P1064" s="180">
        <f>+L1064-E1064</f>
        <v>117.20000000000073</v>
      </c>
      <c r="Q1064" s="181">
        <f>+M1064-F1064</f>
        <v>1.6400000000000006</v>
      </c>
      <c r="R1064" s="9"/>
    </row>
    <row r="1065" spans="1:18" x14ac:dyDescent="0.25">
      <c r="A1065" s="9" t="s">
        <v>306</v>
      </c>
      <c r="B1065" s="9">
        <f>ROW() - ROW(TablaCosechas[[#Headers],[ID]]) - 4</f>
        <v>1060</v>
      </c>
      <c r="C1065" s="9" t="str">
        <f>LEFT(A1065,2)</f>
        <v>PA</v>
      </c>
      <c r="D1065" s="182" t="s">
        <v>367</v>
      </c>
      <c r="E1065" s="178">
        <v>5600</v>
      </c>
      <c r="F1065" s="19">
        <v>16</v>
      </c>
      <c r="G1065" s="195">
        <v>46055</v>
      </c>
      <c r="H1065" s="9" t="str">
        <f>VLOOKUP(TablaCosechas[[#This Row],[COD]],DATOS!$E$3:$F$27,2,0)</f>
        <v>PAMPANO</v>
      </c>
      <c r="I1065" s="9" t="str">
        <f>RIGHT(TablaCosechas[[#This Row],[SECTOR/PISCINA]],2)</f>
        <v>17</v>
      </c>
      <c r="J1065" s="9" t="str">
        <f>VLOOKUP(TablaCosechas[[#This Row],[COD]],Tabla7[#All],4,0)</f>
        <v>GUSTAVO CARRASCO</v>
      </c>
      <c r="K1065" s="179">
        <f>(TablaCosechas[[#This Row],[libras planta]]*454)/M1065</f>
        <v>141672.96485260769</v>
      </c>
      <c r="L1065" s="215">
        <v>5504.65</v>
      </c>
      <c r="M1065" s="19">
        <v>17.64</v>
      </c>
      <c r="N1065" s="9" t="str">
        <f>UPPER(TEXT(TablaCosechas[[#This Row],[COSECHA]],"MMMM"))</f>
        <v>FEBRERO</v>
      </c>
      <c r="O1065" s="9" t="str">
        <f>IF(A1065="DO 29","BAP",IF(A1065="RO 14","BAP",(VLOOKUP(TablaCosechas[[#This Row],[COD]],Tabla7[[CODIGO]:[CERTIFICACION]],3,0))))</f>
        <v>ASC</v>
      </c>
      <c r="P1065" s="180">
        <f>+L1065-E1065</f>
        <v>-95.350000000000364</v>
      </c>
      <c r="Q1065" s="181">
        <f>+M1065-F1065</f>
        <v>1.6400000000000006</v>
      </c>
      <c r="R1065" s="9"/>
    </row>
    <row r="1066" spans="1:18" x14ac:dyDescent="0.25">
      <c r="A1066" s="9" t="s">
        <v>223</v>
      </c>
      <c r="B1066" s="9">
        <f>ROW() - ROW(TablaCosechas[[#Headers],[ID]]) - 4</f>
        <v>1061</v>
      </c>
      <c r="C1066" s="9" t="str">
        <f>LEFT(A1066,2)</f>
        <v>ME</v>
      </c>
      <c r="D1066" s="182" t="s">
        <v>367</v>
      </c>
      <c r="E1066" s="178">
        <v>4750</v>
      </c>
      <c r="F1066" s="19">
        <v>26</v>
      </c>
      <c r="G1066" s="195">
        <v>46055</v>
      </c>
      <c r="H1066" s="9" t="str">
        <f>VLOOKUP(TablaCosechas[[#This Row],[COD]],DATOS!$E$3:$F$27,2,0)</f>
        <v>MERO</v>
      </c>
      <c r="I1066" s="9" t="str">
        <f>RIGHT(TablaCosechas[[#This Row],[SECTOR/PISCINA]],2)</f>
        <v>17</v>
      </c>
      <c r="J1066" s="9" t="str">
        <f>VLOOKUP(TablaCosechas[[#This Row],[COD]],Tabla7[#All],4,0)</f>
        <v>NESTOR MOGOLLON</v>
      </c>
      <c r="K1066" s="179">
        <f>(TablaCosechas[[#This Row],[libras planta]]*454)/M1066</f>
        <v>66983.34018426649</v>
      </c>
      <c r="L1066" s="215">
        <v>4163.59</v>
      </c>
      <c r="M1066" s="19">
        <v>28.22</v>
      </c>
      <c r="N1066" s="9" t="str">
        <f>UPPER(TEXT(TablaCosechas[[#This Row],[COSECHA]],"MMMM"))</f>
        <v>FEBRERO</v>
      </c>
      <c r="O1066" s="9" t="str">
        <f>IF(A1066="DO 29","BAP",IF(A1066="RO 14","BAP",(VLOOKUP(TablaCosechas[[#This Row],[COD]],Tabla7[[CODIGO]:[CERTIFICACION]],3,0))))</f>
        <v>CONVENCIONAL</v>
      </c>
      <c r="P1066" s="180">
        <f>+L1066-E1066</f>
        <v>-586.40999999999985</v>
      </c>
      <c r="Q1066" s="181">
        <f>+M1066-F1066</f>
        <v>2.2199999999999989</v>
      </c>
      <c r="R1066" s="9"/>
    </row>
    <row r="1067" spans="1:18" x14ac:dyDescent="0.25">
      <c r="A1067" s="9" t="s">
        <v>246</v>
      </c>
      <c r="B1067" s="9">
        <f>ROW() - ROW(TablaCosechas[[#Headers],[ID]]) - 4</f>
        <v>1062</v>
      </c>
      <c r="C1067" s="9" t="str">
        <f>LEFT(A1067,2)</f>
        <v>MA</v>
      </c>
      <c r="D1067" s="182" t="s">
        <v>367</v>
      </c>
      <c r="E1067" s="178">
        <v>4200</v>
      </c>
      <c r="F1067" s="19">
        <v>28</v>
      </c>
      <c r="G1067" s="195">
        <v>46055</v>
      </c>
      <c r="H1067" s="9" t="str">
        <f>VLOOKUP(TablaCosechas[[#This Row],[COD]],DATOS!$E$3:$F$27,2,0)</f>
        <v>MANTARRAYA</v>
      </c>
      <c r="I1067" s="9" t="str">
        <f>RIGHT(TablaCosechas[[#This Row],[SECTOR/PISCINA]],2)</f>
        <v>09</v>
      </c>
      <c r="J1067" s="9" t="str">
        <f>VLOOKUP(TablaCosechas[[#This Row],[COD]],Tabla7[#All],4,0)</f>
        <v>GUSTAVO CARRASCO</v>
      </c>
      <c r="K1067" s="179">
        <f>(TablaCosechas[[#This Row],[libras planta]]*454)/M1067</f>
        <v>58199.808419768153</v>
      </c>
      <c r="L1067" s="215">
        <v>4202.18</v>
      </c>
      <c r="M1067" s="19">
        <v>32.78</v>
      </c>
      <c r="N1067" s="9" t="str">
        <f>UPPER(TEXT(TablaCosechas[[#This Row],[COSECHA]],"MMMM"))</f>
        <v>FEBRERO</v>
      </c>
      <c r="O1067" s="9" t="str">
        <f>IF(A1067="DO 29","BAP",IF(A1067="RO 14","BAP",(VLOOKUP(TablaCosechas[[#This Row],[COD]],Tabla7[[CODIGO]:[CERTIFICACION]],3,0))))</f>
        <v>ASC</v>
      </c>
      <c r="P1067" s="180">
        <f>+L1067-E1067</f>
        <v>2.180000000000291</v>
      </c>
      <c r="Q1067" s="181">
        <f>+M1067-F1067</f>
        <v>4.7800000000000011</v>
      </c>
      <c r="R1067" s="9"/>
    </row>
    <row r="1068" spans="1:18" x14ac:dyDescent="0.25">
      <c r="A1068" s="9" t="s">
        <v>254</v>
      </c>
      <c r="B1068" s="9">
        <f>ROW() - ROW(TablaCosechas[[#Headers],[ID]]) - 4</f>
        <v>1063</v>
      </c>
      <c r="C1068" s="9" t="str">
        <f>LEFT(A1068,2)</f>
        <v>DE</v>
      </c>
      <c r="D1068" s="182" t="s">
        <v>367</v>
      </c>
      <c r="E1068" s="178">
        <v>5000</v>
      </c>
      <c r="F1068" s="19">
        <v>22</v>
      </c>
      <c r="G1068" s="195">
        <v>46055</v>
      </c>
      <c r="H1068" s="9" t="str">
        <f>VLOOKUP(TablaCosechas[[#This Row],[COD]],DATOS!$E$3:$F$27,2,0)</f>
        <v>DELFIN</v>
      </c>
      <c r="I1068" s="9" t="str">
        <f>RIGHT(TablaCosechas[[#This Row],[SECTOR/PISCINA]],2)</f>
        <v>12</v>
      </c>
      <c r="J1068" s="9" t="str">
        <f>VLOOKUP(TablaCosechas[[#This Row],[COD]],Tabla7[#All],4,0)</f>
        <v>CARLOS FLORES</v>
      </c>
      <c r="K1068" s="179">
        <f>(TablaCosechas[[#This Row],[libras planta]]*454)/M1068</f>
        <v>97794.463436928694</v>
      </c>
      <c r="L1068" s="215">
        <v>4713.09</v>
      </c>
      <c r="M1068" s="19">
        <v>21.88</v>
      </c>
      <c r="N1068" s="9" t="str">
        <f>UPPER(TEXT(TablaCosechas[[#This Row],[COSECHA]],"MMMM"))</f>
        <v>FEBRERO</v>
      </c>
      <c r="O1068" s="9" t="str">
        <f>IF(A1068="DO 29","BAP",IF(A1068="RO 14","BAP",(VLOOKUP(TablaCosechas[[#This Row],[COD]],Tabla7[[CODIGO]:[CERTIFICACION]],3,0))))</f>
        <v>CONVENCIONAL</v>
      </c>
      <c r="P1068" s="180">
        <f>+L1068-E1068</f>
        <v>-286.90999999999985</v>
      </c>
      <c r="Q1068" s="181">
        <f>+M1068-F1068</f>
        <v>-0.12000000000000099</v>
      </c>
      <c r="R1068" s="9"/>
    </row>
    <row r="1069" spans="1:18" x14ac:dyDescent="0.25">
      <c r="A1069" s="9" t="s">
        <v>15</v>
      </c>
      <c r="B1069" s="9">
        <f>ROW() - ROW(TablaCosechas[[#Headers],[ID]]) - 4</f>
        <v>1064</v>
      </c>
      <c r="C1069" s="9" t="str">
        <f>LEFT(A1069,2)</f>
        <v>CH</v>
      </c>
      <c r="D1069" s="182" t="s">
        <v>367</v>
      </c>
      <c r="E1069" s="178">
        <v>12800</v>
      </c>
      <c r="F1069" s="19">
        <v>25</v>
      </c>
      <c r="G1069" s="195">
        <v>46055</v>
      </c>
      <c r="H1069" s="9" t="str">
        <f>VLOOKUP(TablaCosechas[[#This Row],[COD]],DATOS!$E$3:$F$27,2,0)</f>
        <v>CHERNA</v>
      </c>
      <c r="I1069" s="9" t="str">
        <f>RIGHT(TablaCosechas[[#This Row],[SECTOR/PISCINA]],2)</f>
        <v>09</v>
      </c>
      <c r="J1069" s="9" t="str">
        <f>VLOOKUP(TablaCosechas[[#This Row],[COD]],Tabla7[#All],4,0)</f>
        <v>SANTIAGO OBRIEN</v>
      </c>
      <c r="K1069" s="179">
        <f>(TablaCosechas[[#This Row],[libras planta]]*454)/M1069</f>
        <v>220972.19277108437</v>
      </c>
      <c r="L1069" s="215">
        <v>12927.36</v>
      </c>
      <c r="M1069" s="19">
        <v>26.56</v>
      </c>
      <c r="N1069" s="9" t="str">
        <f>UPPER(TEXT(TablaCosechas[[#This Row],[COSECHA]],"MMMM"))</f>
        <v>FEBRERO</v>
      </c>
      <c r="O1069" s="9" t="str">
        <f>IF(A1069="DO 29","BAP",IF(A1069="RO 14","BAP",(VLOOKUP(TablaCosechas[[#This Row],[COD]],Tabla7[[CODIGO]:[CERTIFICACION]],3,0))))</f>
        <v>ASC</v>
      </c>
      <c r="P1069" s="180">
        <f>+L1069-E1069</f>
        <v>127.36000000000058</v>
      </c>
      <c r="Q1069" s="181">
        <f>+M1069-F1069</f>
        <v>1.5599999999999987</v>
      </c>
      <c r="R1069" s="9"/>
    </row>
    <row r="1070" spans="1:18" x14ac:dyDescent="0.25">
      <c r="A1070" s="9" t="s">
        <v>236</v>
      </c>
      <c r="B1070" s="9">
        <f>ROW() - ROW(TablaCosechas[[#Headers],[ID]]) - 4</f>
        <v>1065</v>
      </c>
      <c r="C1070" s="9" t="str">
        <f>LEFT(A1070,2)</f>
        <v>WA</v>
      </c>
      <c r="D1070" s="182" t="s">
        <v>367</v>
      </c>
      <c r="E1070" s="178">
        <v>8500</v>
      </c>
      <c r="F1070" s="19">
        <v>25</v>
      </c>
      <c r="G1070" s="195">
        <v>46056</v>
      </c>
      <c r="H1070" s="9" t="str">
        <f>VLOOKUP(TablaCosechas[[#This Row],[COD]],DATOS!$E$3:$F$27,2,0)</f>
        <v>WAHOO</v>
      </c>
      <c r="I1070" s="9" t="str">
        <f>RIGHT(TablaCosechas[[#This Row],[SECTOR/PISCINA]],2)</f>
        <v>32</v>
      </c>
      <c r="J1070" s="9" t="str">
        <f>VLOOKUP(TablaCosechas[[#This Row],[COD]],Tabla7[#All],4,0)</f>
        <v>JUNIOR ESQUIVEL</v>
      </c>
      <c r="K1070" s="179">
        <f>(TablaCosechas[[#This Row],[libras planta]]*454)/M1070</f>
        <v>167471.20049099837</v>
      </c>
      <c r="L1070" s="215">
        <v>9015.41</v>
      </c>
      <c r="M1070" s="19">
        <v>24.44</v>
      </c>
      <c r="N1070" s="9" t="str">
        <f>UPPER(TEXT(TablaCosechas[[#This Row],[COSECHA]],"MMMM"))</f>
        <v>FEBRERO</v>
      </c>
      <c r="O1070" s="9" t="str">
        <f>IF(A1070="DO 29","BAP",IF(A1070="RO 14","BAP",(VLOOKUP(TablaCosechas[[#This Row],[COD]],Tabla7[[CODIGO]:[CERTIFICACION]],3,0))))</f>
        <v>CONVENCIONAL</v>
      </c>
      <c r="P1070" s="180">
        <f>+L1070-E1070</f>
        <v>515.40999999999985</v>
      </c>
      <c r="Q1070" s="181">
        <f>+M1070-F1070</f>
        <v>-0.55999999999999872</v>
      </c>
      <c r="R1070" s="9"/>
    </row>
    <row r="1071" spans="1:18" x14ac:dyDescent="0.25">
      <c r="A1071" s="9" t="s">
        <v>198</v>
      </c>
      <c r="B1071" s="9">
        <f>ROW() - ROW(TablaCosechas[[#Headers],[ID]]) - 4</f>
        <v>1066</v>
      </c>
      <c r="C1071" s="9" t="str">
        <f>LEFT(A1071,2)</f>
        <v>RO</v>
      </c>
      <c r="D1071" s="182" t="s">
        <v>366</v>
      </c>
      <c r="E1071" s="178">
        <v>37300</v>
      </c>
      <c r="F1071" s="19">
        <v>37</v>
      </c>
      <c r="G1071" s="195">
        <v>46056</v>
      </c>
      <c r="H1071" s="9" t="str">
        <f>VLOOKUP(TablaCosechas[[#This Row],[COD]],DATOS!$E$3:$F$27,2,0)</f>
        <v>ROBALO</v>
      </c>
      <c r="I1071" s="9" t="str">
        <f>RIGHT(TablaCosechas[[#This Row],[SECTOR/PISCINA]],2)</f>
        <v>14</v>
      </c>
      <c r="J1071" s="9" t="str">
        <f>VLOOKUP(TablaCosechas[[#This Row],[COD]],Tabla7[#All],4,0)</f>
        <v>VICTOR QUINTANA</v>
      </c>
      <c r="K1071" s="179">
        <f>(TablaCosechas[[#This Row],[libras planta]]*454)/M1071</f>
        <v>418443.08899176947</v>
      </c>
      <c r="L1071" s="215">
        <v>35834.949999999997</v>
      </c>
      <c r="M1071" s="19">
        <v>38.880000000000003</v>
      </c>
      <c r="N1071" s="9" t="str">
        <f>UPPER(TEXT(TablaCosechas[[#This Row],[COSECHA]],"MMMM"))</f>
        <v>FEBRERO</v>
      </c>
      <c r="O1071" s="9" t="str">
        <f>IF(A1071="DO 29","BAP",IF(A1071="RO 14","BAP",(VLOOKUP(TablaCosechas[[#This Row],[COD]],Tabla7[[CODIGO]:[CERTIFICACION]],3,0))))</f>
        <v>BAP</v>
      </c>
      <c r="P1071" s="180">
        <f>+L1071-E1071</f>
        <v>-1465.0500000000029</v>
      </c>
      <c r="Q1071" s="181">
        <f>+M1071-F1071</f>
        <v>1.8800000000000026</v>
      </c>
      <c r="R1071" s="9"/>
    </row>
    <row r="1072" spans="1:18" x14ac:dyDescent="0.25">
      <c r="A1072" s="9" t="s">
        <v>255</v>
      </c>
      <c r="B1072" s="9">
        <f>ROW() - ROW(TablaCosechas[[#Headers],[ID]]) - 4</f>
        <v>1067</v>
      </c>
      <c r="C1072" s="9" t="str">
        <f>LEFT(A1072,2)</f>
        <v>RO</v>
      </c>
      <c r="D1072" s="182" t="s">
        <v>367</v>
      </c>
      <c r="E1072" s="178">
        <v>5150</v>
      </c>
      <c r="F1072" s="19">
        <v>24</v>
      </c>
      <c r="G1072" s="195">
        <v>46056</v>
      </c>
      <c r="H1072" s="9" t="str">
        <f>VLOOKUP(TablaCosechas[[#This Row],[COD]],DATOS!$E$3:$F$27,2,0)</f>
        <v>ROBALO</v>
      </c>
      <c r="I1072" s="9" t="str">
        <f>RIGHT(TablaCosechas[[#This Row],[SECTOR/PISCINA]],2)</f>
        <v>10</v>
      </c>
      <c r="J1072" s="9" t="str">
        <f>VLOOKUP(TablaCosechas[[#This Row],[COD]],Tabla7[#All],4,0)</f>
        <v>VICTOR QUINTANA</v>
      </c>
      <c r="K1072" s="179">
        <f>(TablaCosechas[[#This Row],[libras planta]]*454)/M1072</f>
        <v>105788.70846645367</v>
      </c>
      <c r="L1072" s="215">
        <v>5834.69</v>
      </c>
      <c r="M1072" s="19">
        <v>25.04</v>
      </c>
      <c r="N1072" s="9" t="str">
        <f>UPPER(TEXT(TablaCosechas[[#This Row],[COSECHA]],"MMMM"))</f>
        <v>FEBRERO</v>
      </c>
      <c r="O1072" s="9" t="str">
        <f>IF(A1072="DO 29","BAP",IF(A1072="RO 14","BAP",(VLOOKUP(TablaCosechas[[#This Row],[COD]],Tabla7[[CODIGO]:[CERTIFICACION]],3,0))))</f>
        <v>ASC</v>
      </c>
      <c r="P1072" s="180">
        <f>+L1072-E1072</f>
        <v>684.6899999999996</v>
      </c>
      <c r="Q1072" s="181">
        <f>+M1072-F1072</f>
        <v>1.0399999999999991</v>
      </c>
      <c r="R1072" s="9"/>
    </row>
    <row r="1073" spans="1:18" x14ac:dyDescent="0.25">
      <c r="A1073" s="9" t="s">
        <v>199</v>
      </c>
      <c r="B1073" s="9">
        <f>ROW() - ROW(TablaCosechas[[#Headers],[ID]]) - 4</f>
        <v>1068</v>
      </c>
      <c r="C1073" s="9" t="str">
        <f>LEFT(A1073,2)</f>
        <v>RO</v>
      </c>
      <c r="D1073" s="182" t="s">
        <v>366</v>
      </c>
      <c r="E1073" s="178">
        <v>53500</v>
      </c>
      <c r="F1073" s="19">
        <v>34</v>
      </c>
      <c r="G1073" s="195">
        <v>46056</v>
      </c>
      <c r="H1073" s="9" t="str">
        <f>VLOOKUP(TablaCosechas[[#This Row],[COD]],DATOS!$E$3:$F$27,2,0)</f>
        <v>ROBALO</v>
      </c>
      <c r="I1073" s="9" t="str">
        <f>RIGHT(TablaCosechas[[#This Row],[SECTOR/PISCINA]],2)</f>
        <v>08</v>
      </c>
      <c r="J1073" s="9" t="str">
        <f>VLOOKUP(TablaCosechas[[#This Row],[COD]],Tabla7[#All],4,0)</f>
        <v>VICTOR QUINTANA</v>
      </c>
      <c r="K1073" s="179">
        <f>(TablaCosechas[[#This Row],[libras planta]]*454)/M1073</f>
        <v>708480.80320619128</v>
      </c>
      <c r="L1073" s="215">
        <v>56459.99</v>
      </c>
      <c r="M1073" s="19">
        <v>36.18</v>
      </c>
      <c r="N1073" s="9" t="str">
        <f>UPPER(TEXT(TablaCosechas[[#This Row],[COSECHA]],"MMMM"))</f>
        <v>FEBRERO</v>
      </c>
      <c r="O1073" s="9" t="str">
        <f>IF(A1073="DO 29","BAP",IF(A1073="RO 14","BAP",(VLOOKUP(TablaCosechas[[#This Row],[COD]],Tabla7[[CODIGO]:[CERTIFICACION]],3,0))))</f>
        <v>ASC</v>
      </c>
      <c r="P1073" s="180">
        <f>+L1073-E1073</f>
        <v>2959.989999999998</v>
      </c>
      <c r="Q1073" s="181">
        <f>+M1073-F1073</f>
        <v>2.1799999999999997</v>
      </c>
      <c r="R1073" s="9"/>
    </row>
    <row r="1074" spans="1:18" x14ac:dyDescent="0.25">
      <c r="A1074" s="9" t="s">
        <v>252</v>
      </c>
      <c r="B1074" s="9">
        <f>ROW() - ROW(TablaCosechas[[#Headers],[ID]]) - 4</f>
        <v>1069</v>
      </c>
      <c r="C1074" s="9" t="str">
        <f>LEFT(A1074,2)</f>
        <v>DE</v>
      </c>
      <c r="D1074" s="182" t="s">
        <v>367</v>
      </c>
      <c r="E1074" s="178">
        <v>10000</v>
      </c>
      <c r="F1074" s="19">
        <v>22</v>
      </c>
      <c r="G1074" s="195">
        <v>46056</v>
      </c>
      <c r="H1074" s="9" t="str">
        <f>VLOOKUP(TablaCosechas[[#This Row],[COD]],DATOS!$E$3:$F$27,2,0)</f>
        <v>DELFIN</v>
      </c>
      <c r="I1074" s="9" t="str">
        <f>RIGHT(TablaCosechas[[#This Row],[SECTOR/PISCINA]],2)</f>
        <v>13</v>
      </c>
      <c r="J1074" s="9" t="str">
        <f>VLOOKUP(TablaCosechas[[#This Row],[COD]],Tabla7[#All],4,0)</f>
        <v>CARLOS FLORES</v>
      </c>
      <c r="K1074" s="179">
        <f>(TablaCosechas[[#This Row],[libras planta]]*454)/M1074</f>
        <v>183173.48833333331</v>
      </c>
      <c r="L1074" s="215">
        <v>9683.18</v>
      </c>
      <c r="M1074" s="19">
        <v>24</v>
      </c>
      <c r="N1074" s="9" t="str">
        <f>UPPER(TEXT(TablaCosechas[[#This Row],[COSECHA]],"MMMM"))</f>
        <v>FEBRERO</v>
      </c>
      <c r="O1074" s="9" t="str">
        <f>IF(A1074="DO 29","BAP",IF(A1074="RO 14","BAP",(VLOOKUP(TablaCosechas[[#This Row],[COD]],Tabla7[[CODIGO]:[CERTIFICACION]],3,0))))</f>
        <v>CONVENCIONAL</v>
      </c>
      <c r="P1074" s="180">
        <f>+L1074-E1074</f>
        <v>-316.81999999999971</v>
      </c>
      <c r="Q1074" s="181">
        <f>+M1074-F1074</f>
        <v>2</v>
      </c>
      <c r="R1074" s="9"/>
    </row>
    <row r="1075" spans="1:18" x14ac:dyDescent="0.25">
      <c r="A1075" s="9" t="s">
        <v>29</v>
      </c>
      <c r="B1075" s="9">
        <f>ROW() - ROW(TablaCosechas[[#Headers],[ID]]) - 4</f>
        <v>1070</v>
      </c>
      <c r="C1075" s="9" t="str">
        <f>LEFT(A1075,2)</f>
        <v>CH</v>
      </c>
      <c r="D1075" s="182" t="s">
        <v>367</v>
      </c>
      <c r="E1075" s="178">
        <v>2400</v>
      </c>
      <c r="F1075" s="19">
        <v>21.5</v>
      </c>
      <c r="G1075" s="195">
        <v>46056</v>
      </c>
      <c r="H1075" s="9" t="str">
        <f>VLOOKUP(TablaCosechas[[#This Row],[COD]],DATOS!$E$3:$F$27,2,0)</f>
        <v>CHERNA</v>
      </c>
      <c r="I1075" s="9" t="str">
        <f>RIGHT(TablaCosechas[[#This Row],[SECTOR/PISCINA]],2)</f>
        <v>25</v>
      </c>
      <c r="J1075" s="9" t="str">
        <f>VLOOKUP(TablaCosechas[[#This Row],[COD]],Tabla7[#All],4,0)</f>
        <v>SANTIAGO OBRIEN</v>
      </c>
      <c r="K1075" s="179">
        <f>(TablaCosechas[[#This Row],[libras planta]]*454)/M1075</f>
        <v>55178.974199288255</v>
      </c>
      <c r="L1075" s="215">
        <v>2732.21</v>
      </c>
      <c r="M1075" s="19">
        <v>22.48</v>
      </c>
      <c r="N1075" s="9" t="str">
        <f>UPPER(TEXT(TablaCosechas[[#This Row],[COSECHA]],"MMMM"))</f>
        <v>FEBRERO</v>
      </c>
      <c r="O1075" s="9" t="str">
        <f>IF(A1075="DO 29","BAP",IF(A1075="RO 14","BAP",(VLOOKUP(TablaCosechas[[#This Row],[COD]],Tabla7[[CODIGO]:[CERTIFICACION]],3,0))))</f>
        <v>ASC</v>
      </c>
      <c r="P1075" s="180">
        <f>+L1075-E1075</f>
        <v>332.21000000000004</v>
      </c>
      <c r="Q1075" s="181">
        <f>+M1075-F1075</f>
        <v>0.98000000000000043</v>
      </c>
      <c r="R1075" s="9"/>
    </row>
    <row r="1076" spans="1:18" x14ac:dyDescent="0.25">
      <c r="A1076" s="9" t="s">
        <v>19</v>
      </c>
      <c r="B1076" s="9">
        <f>ROW() - ROW(TablaCosechas[[#Headers],[ID]]) - 4</f>
        <v>1071</v>
      </c>
      <c r="C1076" s="9" t="str">
        <f>LEFT(A1076,2)</f>
        <v>CH</v>
      </c>
      <c r="D1076" s="182" t="s">
        <v>367</v>
      </c>
      <c r="E1076" s="178">
        <v>9500</v>
      </c>
      <c r="F1076" s="19">
        <v>27</v>
      </c>
      <c r="G1076" s="195">
        <v>46056</v>
      </c>
      <c r="H1076" s="9" t="str">
        <f>VLOOKUP(TablaCosechas[[#This Row],[COD]],DATOS!$E$3:$F$27,2,0)</f>
        <v>CHERNA</v>
      </c>
      <c r="I1076" s="9" t="str">
        <f>RIGHT(TablaCosechas[[#This Row],[SECTOR/PISCINA]],2)</f>
        <v>13</v>
      </c>
      <c r="J1076" s="9" t="str">
        <f>VLOOKUP(TablaCosechas[[#This Row],[COD]],Tabla7[#All],4,0)</f>
        <v>SANTIAGO OBRIEN</v>
      </c>
      <c r="K1076" s="179">
        <f>(TablaCosechas[[#This Row],[libras planta]]*454)/M1076</f>
        <v>158928.3146704465</v>
      </c>
      <c r="L1076" s="215">
        <v>9878.76</v>
      </c>
      <c r="M1076" s="19">
        <v>28.22</v>
      </c>
      <c r="N1076" s="9" t="str">
        <f>UPPER(TEXT(TablaCosechas[[#This Row],[COSECHA]],"MMMM"))</f>
        <v>FEBRERO</v>
      </c>
      <c r="O1076" s="9" t="str">
        <f>IF(A1076="DO 29","BAP",IF(A1076="RO 14","BAP",(VLOOKUP(TablaCosechas[[#This Row],[COD]],Tabla7[[CODIGO]:[CERTIFICACION]],3,0))))</f>
        <v>ASC</v>
      </c>
      <c r="P1076" s="180">
        <f>+L1076-E1076</f>
        <v>378.76000000000022</v>
      </c>
      <c r="Q1076" s="181">
        <f>+M1076-F1076</f>
        <v>1.2199999999999989</v>
      </c>
      <c r="R1076" s="9"/>
    </row>
    <row r="1077" spans="1:18" x14ac:dyDescent="0.25">
      <c r="A1077" s="9" t="s">
        <v>241</v>
      </c>
      <c r="B1077" s="9">
        <f>ROW() - ROW(TablaCosechas[[#Headers],[ID]]) - 4</f>
        <v>1072</v>
      </c>
      <c r="C1077" s="9" t="str">
        <f>LEFT(A1077,2)</f>
        <v>BA</v>
      </c>
      <c r="D1077" s="182" t="s">
        <v>367</v>
      </c>
      <c r="E1077" s="178">
        <v>5100</v>
      </c>
      <c r="F1077" s="19">
        <v>21</v>
      </c>
      <c r="G1077" s="195">
        <v>46056</v>
      </c>
      <c r="H1077" s="9" t="str">
        <f>VLOOKUP(TablaCosechas[[#This Row],[COD]],DATOS!$E$3:$F$27,2,0)</f>
        <v>BARRACUDA</v>
      </c>
      <c r="I1077" s="9" t="str">
        <f>RIGHT(TablaCosechas[[#This Row],[SECTOR/PISCINA]],2)</f>
        <v>06</v>
      </c>
      <c r="J1077" s="9" t="str">
        <f>VLOOKUP(TablaCosechas[[#This Row],[COD]],Tabla7[#All],4,0)</f>
        <v>GUSTAVO CARRASCO</v>
      </c>
      <c r="K1077" s="179">
        <f>(TablaCosechas[[#This Row],[libras planta]]*454)/M1077</f>
        <v>96559.883304940377</v>
      </c>
      <c r="L1077" s="215">
        <v>4993.8900000000003</v>
      </c>
      <c r="M1077" s="19">
        <v>23.48</v>
      </c>
      <c r="N1077" s="9" t="str">
        <f>UPPER(TEXT(TablaCosechas[[#This Row],[COSECHA]],"MMMM"))</f>
        <v>FEBRERO</v>
      </c>
      <c r="O1077" s="9" t="str">
        <f>IF(A1077="DO 29","BAP",IF(A1077="RO 14","BAP",(VLOOKUP(TablaCosechas[[#This Row],[COD]],Tabla7[[CODIGO]:[CERTIFICACION]],3,0))))</f>
        <v>CONVENCIONAL</v>
      </c>
      <c r="P1077" s="180">
        <f>+L1077-E1077</f>
        <v>-106.10999999999967</v>
      </c>
      <c r="Q1077" s="181">
        <f>+M1077-F1077</f>
        <v>2.4800000000000004</v>
      </c>
      <c r="R1077" s="9"/>
    </row>
    <row r="1078" spans="1:18" x14ac:dyDescent="0.25">
      <c r="A1078" s="9" t="s">
        <v>201</v>
      </c>
      <c r="B1078" s="9">
        <f>ROW() - ROW(TablaCosechas[[#Headers],[ID]]) - 4</f>
        <v>1073</v>
      </c>
      <c r="C1078" s="9" t="str">
        <f>LEFT(A1078,2)</f>
        <v>TA</v>
      </c>
      <c r="D1078" s="182" t="s">
        <v>366</v>
      </c>
      <c r="E1078" s="178">
        <v>13150</v>
      </c>
      <c r="F1078" s="19">
        <v>40</v>
      </c>
      <c r="G1078" s="195">
        <v>46057</v>
      </c>
      <c r="H1078" s="9" t="str">
        <f>VLOOKUP(TablaCosechas[[#This Row],[COD]],DATOS!$E$3:$F$27,2,0)</f>
        <v>TAMBULERO</v>
      </c>
      <c r="I1078" s="9" t="str">
        <f>RIGHT(TablaCosechas[[#This Row],[SECTOR/PISCINA]],2)</f>
        <v>11</v>
      </c>
      <c r="J1078" s="9" t="str">
        <f>VLOOKUP(TablaCosechas[[#This Row],[COD]],Tabla7[#All],4,0)</f>
        <v>ALFONSO GRUNAUER</v>
      </c>
      <c r="K1078" s="179">
        <f>(TablaCosechas[[#This Row],[libras planta]]*454)/M1078</f>
        <v>147826.86595310905</v>
      </c>
      <c r="L1078" s="215">
        <v>12776.93</v>
      </c>
      <c r="M1078" s="19">
        <v>39.24</v>
      </c>
      <c r="N1078" s="9" t="str">
        <f>UPPER(TEXT(TablaCosechas[[#This Row],[COSECHA]],"MMMM"))</f>
        <v>FEBRERO</v>
      </c>
      <c r="O1078" s="9" t="str">
        <f>IF(A1078="DO 29","BAP",IF(A1078="RO 14","BAP",(VLOOKUP(TablaCosechas[[#This Row],[COD]],Tabla7[[CODIGO]:[CERTIFICACION]],3,0))))</f>
        <v>CONVENCIONAL</v>
      </c>
      <c r="P1078" s="180">
        <f>+L1078-E1078</f>
        <v>-373.06999999999971</v>
      </c>
      <c r="Q1078" s="181">
        <f>+M1078-F1078</f>
        <v>-0.75999999999999801</v>
      </c>
      <c r="R1078" s="9"/>
    </row>
    <row r="1079" spans="1:18" x14ac:dyDescent="0.25">
      <c r="A1079" s="9" t="s">
        <v>244</v>
      </c>
      <c r="B1079" s="9">
        <f>ROW() - ROW(TablaCosechas[[#Headers],[ID]]) - 4</f>
        <v>1074</v>
      </c>
      <c r="C1079" s="9" t="str">
        <f>LEFT(A1079,2)</f>
        <v>PA</v>
      </c>
      <c r="D1079" s="182" t="s">
        <v>367</v>
      </c>
      <c r="E1079" s="178">
        <v>11050</v>
      </c>
      <c r="F1079" s="19">
        <v>23</v>
      </c>
      <c r="G1079" s="195">
        <v>46057</v>
      </c>
      <c r="H1079" s="9" t="str">
        <f>VLOOKUP(TablaCosechas[[#This Row],[COD]],DATOS!$E$3:$F$27,2,0)</f>
        <v>PAMPANO</v>
      </c>
      <c r="I1079" s="9" t="str">
        <f>RIGHT(TablaCosechas[[#This Row],[SECTOR/PISCINA]],2)</f>
        <v>03</v>
      </c>
      <c r="J1079" s="9" t="str">
        <f>VLOOKUP(TablaCosechas[[#This Row],[COD]],Tabla7[#All],4,0)</f>
        <v>GUSTAVO CARRASCO</v>
      </c>
      <c r="K1079" s="179">
        <f>(TablaCosechas[[#This Row],[libras planta]]*454)/M1079</f>
        <v>158646.07566462169</v>
      </c>
      <c r="L1079" s="215">
        <v>10252.59</v>
      </c>
      <c r="M1079" s="19">
        <v>29.34</v>
      </c>
      <c r="N1079" s="9" t="str">
        <f>UPPER(TEXT(TablaCosechas[[#This Row],[COSECHA]],"MMMM"))</f>
        <v>FEBRERO</v>
      </c>
      <c r="O1079" s="9" t="str">
        <f>IF(A1079="DO 29","BAP",IF(A1079="RO 14","BAP",(VLOOKUP(TablaCosechas[[#This Row],[COD]],Tabla7[[CODIGO]:[CERTIFICACION]],3,0))))</f>
        <v>ASC</v>
      </c>
      <c r="P1079" s="180">
        <f>+L1079-E1079</f>
        <v>-797.40999999999985</v>
      </c>
      <c r="Q1079" s="181">
        <f>+M1079-F1079</f>
        <v>6.34</v>
      </c>
      <c r="R1079" s="9"/>
    </row>
    <row r="1080" spans="1:18" x14ac:dyDescent="0.25">
      <c r="A1080" s="9" t="s">
        <v>263</v>
      </c>
      <c r="B1080" s="9">
        <f>ROW() - ROW(TablaCosechas[[#Headers],[ID]]) - 4</f>
        <v>1075</v>
      </c>
      <c r="C1080" s="9" t="str">
        <f>LEFT(A1080,2)</f>
        <v>PA</v>
      </c>
      <c r="D1080" s="182" t="s">
        <v>367</v>
      </c>
      <c r="E1080" s="178">
        <v>2400</v>
      </c>
      <c r="F1080" s="19">
        <v>18</v>
      </c>
      <c r="G1080" s="195">
        <v>46057</v>
      </c>
      <c r="H1080" s="9" t="str">
        <f>VLOOKUP(TablaCosechas[[#This Row],[COD]],DATOS!$E$3:$F$27,2,0)</f>
        <v>PAMPANO</v>
      </c>
      <c r="I1080" s="9" t="str">
        <f>RIGHT(TablaCosechas[[#This Row],[SECTOR/PISCINA]],2)</f>
        <v>02</v>
      </c>
      <c r="J1080" s="9" t="str">
        <f>VLOOKUP(TablaCosechas[[#This Row],[COD]],Tabla7[#All],4,0)</f>
        <v>GUSTAVO CARRASCO</v>
      </c>
      <c r="K1080" s="179">
        <f>(TablaCosechas[[#This Row],[libras planta]]*454)/M1080</f>
        <v>49706.240153698367</v>
      </c>
      <c r="L1080" s="215">
        <v>2279.48</v>
      </c>
      <c r="M1080" s="19">
        <v>20.82</v>
      </c>
      <c r="N1080" s="9" t="str">
        <f>UPPER(TEXT(TablaCosechas[[#This Row],[COSECHA]],"MMMM"))</f>
        <v>FEBRERO</v>
      </c>
      <c r="O1080" s="9" t="str">
        <f>IF(A1080="DO 29","BAP",IF(A1080="RO 14","BAP",(VLOOKUP(TablaCosechas[[#This Row],[COD]],Tabla7[[CODIGO]:[CERTIFICACION]],3,0))))</f>
        <v>ASC</v>
      </c>
      <c r="P1080" s="180">
        <f>+L1080-E1080</f>
        <v>-120.51999999999998</v>
      </c>
      <c r="Q1080" s="181">
        <f>+M1080-F1080</f>
        <v>2.8200000000000003</v>
      </c>
      <c r="R1080" s="9"/>
    </row>
    <row r="1081" spans="1:18" x14ac:dyDescent="0.25">
      <c r="A1081" s="9" t="s">
        <v>220</v>
      </c>
      <c r="B1081" s="9">
        <f>ROW() - ROW(TablaCosechas[[#Headers],[ID]]) - 4</f>
        <v>1076</v>
      </c>
      <c r="C1081" s="9" t="str">
        <f>LEFT(A1081,2)</f>
        <v>DO</v>
      </c>
      <c r="D1081" s="182" t="s">
        <v>367</v>
      </c>
      <c r="E1081" s="178">
        <v>12000</v>
      </c>
      <c r="F1081" s="19">
        <v>32</v>
      </c>
      <c r="G1081" s="195">
        <v>46057</v>
      </c>
      <c r="H1081" s="9" t="str">
        <f>VLOOKUP(TablaCosechas[[#This Row],[COD]],DATOS!$E$3:$F$27,2,0)</f>
        <v>DORADO</v>
      </c>
      <c r="I1081" s="9" t="str">
        <f>RIGHT(TablaCosechas[[#This Row],[SECTOR/PISCINA]],2)</f>
        <v>13</v>
      </c>
      <c r="J1081" s="9" t="str">
        <f>VLOOKUP(TablaCosechas[[#This Row],[COD]],Tabla7[#All],4,0)</f>
        <v>JOSE CEDEÑO</v>
      </c>
      <c r="K1081" s="179">
        <f>(TablaCosechas[[#This Row],[libras planta]]*454)/M1081</f>
        <v>109713.9734463277</v>
      </c>
      <c r="L1081" s="215">
        <v>8554.7900000000009</v>
      </c>
      <c r="M1081" s="19">
        <v>35.4</v>
      </c>
      <c r="N1081" s="9" t="str">
        <f>UPPER(TEXT(TablaCosechas[[#This Row],[COSECHA]],"MMMM"))</f>
        <v>FEBRERO</v>
      </c>
      <c r="O1081" s="9" t="str">
        <f>IF(A1081="DO 29","BAP",IF(A1081="RO 14","BAP",(VLOOKUP(TablaCosechas[[#This Row],[COD]],Tabla7[[CODIGO]:[CERTIFICACION]],3,0))))</f>
        <v>ASC</v>
      </c>
      <c r="P1081" s="180">
        <f>+L1081-E1081</f>
        <v>-3445.2099999999991</v>
      </c>
      <c r="Q1081" s="181">
        <f>+M1081-F1081</f>
        <v>3.3999999999999986</v>
      </c>
      <c r="R1081" s="9"/>
    </row>
    <row r="1082" spans="1:18" x14ac:dyDescent="0.25">
      <c r="A1082" s="9" t="s">
        <v>208</v>
      </c>
      <c r="B1082" s="9">
        <f>ROW() - ROW(TablaCosechas[[#Headers],[ID]]) - 4</f>
        <v>1077</v>
      </c>
      <c r="C1082" s="9" t="str">
        <f>LEFT(A1082,2)</f>
        <v>DO</v>
      </c>
      <c r="D1082" s="182" t="s">
        <v>366</v>
      </c>
      <c r="E1082" s="178">
        <v>38150</v>
      </c>
      <c r="F1082" s="19">
        <v>36</v>
      </c>
      <c r="G1082" s="195">
        <v>46057</v>
      </c>
      <c r="H1082" s="9" t="str">
        <f>VLOOKUP(TablaCosechas[[#This Row],[COD]],DATOS!$E$3:$F$27,2,0)</f>
        <v>DORADO</v>
      </c>
      <c r="I1082" s="9" t="str">
        <f>RIGHT(TablaCosechas[[#This Row],[SECTOR/PISCINA]],2)</f>
        <v>04</v>
      </c>
      <c r="J1082" s="9" t="str">
        <f>VLOOKUP(TablaCosechas[[#This Row],[COD]],Tabla7[#All],4,0)</f>
        <v>JOSE CEDEÑO</v>
      </c>
      <c r="K1082" s="179">
        <f>(TablaCosechas[[#This Row],[libras planta]]*454)/M1082</f>
        <v>519665.61649705406</v>
      </c>
      <c r="L1082" s="215">
        <v>42740.78</v>
      </c>
      <c r="M1082" s="19">
        <v>37.340000000000003</v>
      </c>
      <c r="N1082" s="9" t="str">
        <f>UPPER(TEXT(TablaCosechas[[#This Row],[COSECHA]],"MMMM"))</f>
        <v>FEBRERO</v>
      </c>
      <c r="O1082" s="9" t="str">
        <f>IF(A1082="DO 29","BAP",IF(A1082="RO 14","BAP",(VLOOKUP(TablaCosechas[[#This Row],[COD]],Tabla7[[CODIGO]:[CERTIFICACION]],3,0))))</f>
        <v>ASC</v>
      </c>
      <c r="P1082" s="180">
        <f>+L1082-E1082</f>
        <v>4590.7799999999988</v>
      </c>
      <c r="Q1082" s="181">
        <f>+M1082-F1082</f>
        <v>1.3400000000000034</v>
      </c>
      <c r="R1082" s="9"/>
    </row>
    <row r="1083" spans="1:18" x14ac:dyDescent="0.25">
      <c r="A1083" s="9" t="s">
        <v>265</v>
      </c>
      <c r="B1083" s="9">
        <f>ROW() - ROW(TablaCosechas[[#Headers],[ID]]) - 4</f>
        <v>1078</v>
      </c>
      <c r="C1083" s="9" t="str">
        <f>LEFT(A1083,2)</f>
        <v>DE</v>
      </c>
      <c r="D1083" s="182" t="s">
        <v>367</v>
      </c>
      <c r="E1083" s="178">
        <v>11200</v>
      </c>
      <c r="F1083" s="19">
        <v>19</v>
      </c>
      <c r="G1083" s="195">
        <v>46057</v>
      </c>
      <c r="H1083" s="9" t="str">
        <f>VLOOKUP(TablaCosechas[[#This Row],[COD]],DATOS!$E$3:$F$27,2,0)</f>
        <v>DELFIN</v>
      </c>
      <c r="I1083" s="9" t="str">
        <f>RIGHT(TablaCosechas[[#This Row],[SECTOR/PISCINA]],2)</f>
        <v>04</v>
      </c>
      <c r="J1083" s="9" t="str">
        <f>VLOOKUP(TablaCosechas[[#This Row],[COD]],Tabla7[#All],4,0)</f>
        <v>CARLOS FLORES</v>
      </c>
      <c r="K1083" s="179">
        <f>(TablaCosechas[[#This Row],[libras planta]]*454)/M1083</f>
        <v>241372.12212212212</v>
      </c>
      <c r="L1083" s="215">
        <v>10622.5</v>
      </c>
      <c r="M1083" s="19">
        <v>19.98</v>
      </c>
      <c r="N1083" s="9" t="str">
        <f>UPPER(TEXT(TablaCosechas[[#This Row],[COSECHA]],"MMMM"))</f>
        <v>FEBRERO</v>
      </c>
      <c r="O1083" s="9" t="str">
        <f>IF(A1083="DO 29","BAP",IF(A1083="RO 14","BAP",(VLOOKUP(TablaCosechas[[#This Row],[COD]],Tabla7[[CODIGO]:[CERTIFICACION]],3,0))))</f>
        <v>CONVENCIONAL</v>
      </c>
      <c r="P1083" s="180">
        <f>+L1083-E1083</f>
        <v>-577.5</v>
      </c>
      <c r="Q1083" s="181">
        <f>+M1083-F1083</f>
        <v>0.98000000000000043</v>
      </c>
      <c r="R1083" s="9"/>
    </row>
    <row r="1084" spans="1:18" x14ac:dyDescent="0.25">
      <c r="A1084" s="9" t="s">
        <v>200</v>
      </c>
      <c r="B1084" s="9">
        <f>ROW() - ROW(TablaCosechas[[#Headers],[ID]]) - 4</f>
        <v>1079</v>
      </c>
      <c r="C1084" s="9" t="str">
        <f>LEFT(A1084,2)</f>
        <v>CA</v>
      </c>
      <c r="D1084" s="182" t="s">
        <v>366</v>
      </c>
      <c r="E1084" s="178">
        <v>40700</v>
      </c>
      <c r="F1084" s="19">
        <v>30</v>
      </c>
      <c r="G1084" s="195">
        <v>46057</v>
      </c>
      <c r="H1084" s="9" t="str">
        <f>VLOOKUP(TablaCosechas[[#This Row],[COD]],DATOS!$E$3:$F$27,2,0)</f>
        <v>CATANUDA</v>
      </c>
      <c r="I1084" s="9" t="str">
        <f>RIGHT(TablaCosechas[[#This Row],[SECTOR/PISCINA]],2)</f>
        <v>03</v>
      </c>
      <c r="J1084" s="9" t="str">
        <f>VLOOKUP(TablaCosechas[[#This Row],[COD]],Tabla7[#All],4,0)</f>
        <v>VICTOR QUINTANA</v>
      </c>
      <c r="K1084" s="179">
        <f>(TablaCosechas[[#This Row],[libras planta]]*454)/M1084</f>
        <v>629359.26883116888</v>
      </c>
      <c r="L1084" s="215">
        <v>42696.62</v>
      </c>
      <c r="M1084" s="19">
        <v>30.8</v>
      </c>
      <c r="N1084" s="9" t="str">
        <f>UPPER(TEXT(TablaCosechas[[#This Row],[COSECHA]],"MMMM"))</f>
        <v>FEBRERO</v>
      </c>
      <c r="O1084" s="9" t="str">
        <f>IF(A1084="DO 29","BAP",IF(A1084="RO 14","BAP",(VLOOKUP(TablaCosechas[[#This Row],[COD]],Tabla7[[CODIGO]:[CERTIFICACION]],3,0))))</f>
        <v>ASC</v>
      </c>
      <c r="P1084" s="180">
        <f>+L1084-E1084</f>
        <v>1996.6200000000026</v>
      </c>
      <c r="Q1084" s="181">
        <f>+M1084-F1084</f>
        <v>0.80000000000000071</v>
      </c>
      <c r="R1084" s="9"/>
    </row>
    <row r="1085" spans="1:18" x14ac:dyDescent="0.25">
      <c r="A1085" s="9" t="s">
        <v>204</v>
      </c>
      <c r="B1085" s="9">
        <f>ROW() - ROW(TablaCosechas[[#Headers],[ID]]) - 4</f>
        <v>1080</v>
      </c>
      <c r="C1085" s="9" t="str">
        <f>LEFT(A1085,2)</f>
        <v>TA</v>
      </c>
      <c r="D1085" s="182" t="s">
        <v>366</v>
      </c>
      <c r="E1085" s="178">
        <v>11200</v>
      </c>
      <c r="F1085" s="19">
        <v>42</v>
      </c>
      <c r="G1085" s="195">
        <v>46058</v>
      </c>
      <c r="H1085" s="9" t="str">
        <f>VLOOKUP(TablaCosechas[[#This Row],[COD]],DATOS!$E$3:$F$27,2,0)</f>
        <v>TAMBULERO</v>
      </c>
      <c r="I1085" s="9" t="str">
        <f>RIGHT(TablaCosechas[[#This Row],[SECTOR/PISCINA]],2)</f>
        <v>17</v>
      </c>
      <c r="J1085" s="9" t="str">
        <f>VLOOKUP(TablaCosechas[[#This Row],[COD]],Tabla7[#All],4,0)</f>
        <v>ALFONSO GRUNAUER</v>
      </c>
      <c r="K1085" s="179">
        <f>(TablaCosechas[[#This Row],[libras planta]]*454)/M1085</f>
        <v>124613.48699421965</v>
      </c>
      <c r="L1085" s="215">
        <v>11396.37</v>
      </c>
      <c r="M1085" s="19">
        <v>41.52</v>
      </c>
      <c r="N1085" s="9" t="str">
        <f>UPPER(TEXT(TablaCosechas[[#This Row],[COSECHA]],"MMMM"))</f>
        <v>FEBRERO</v>
      </c>
      <c r="O1085" s="9" t="str">
        <f>IF(A1085="DO 29","BAP",IF(A1085="RO 14","BAP",(VLOOKUP(TablaCosechas[[#This Row],[COD]],Tabla7[[CODIGO]:[CERTIFICACION]],3,0))))</f>
        <v>CONVENCIONAL</v>
      </c>
      <c r="P1085" s="180">
        <f>+L1085-E1085</f>
        <v>196.3700000000008</v>
      </c>
      <c r="Q1085" s="181">
        <f>+M1085-F1085</f>
        <v>-0.47999999999999687</v>
      </c>
      <c r="R1085" s="9"/>
    </row>
    <row r="1086" spans="1:18" x14ac:dyDescent="0.25">
      <c r="A1086" s="9" t="s">
        <v>248</v>
      </c>
      <c r="B1086" s="9">
        <f>ROW() - ROW(TablaCosechas[[#Headers],[ID]]) - 4</f>
        <v>1081</v>
      </c>
      <c r="C1086" s="9" t="str">
        <f>LEFT(A1086,2)</f>
        <v>TA</v>
      </c>
      <c r="D1086" s="182" t="s">
        <v>367</v>
      </c>
      <c r="E1086" s="178">
        <v>13600</v>
      </c>
      <c r="F1086" s="19">
        <v>28.5</v>
      </c>
      <c r="G1086" s="195">
        <v>46058</v>
      </c>
      <c r="H1086" s="9" t="str">
        <f>VLOOKUP(TablaCosechas[[#This Row],[COD]],DATOS!$E$3:$F$27,2,0)</f>
        <v>TAMBULERO</v>
      </c>
      <c r="I1086" s="9" t="str">
        <f>RIGHT(TablaCosechas[[#This Row],[SECTOR/PISCINA]],2)</f>
        <v>16</v>
      </c>
      <c r="J1086" s="9" t="str">
        <f>VLOOKUP(TablaCosechas[[#This Row],[COD]],Tabla7[#All],4,0)</f>
        <v>ALFONSO GRUNAUER</v>
      </c>
      <c r="K1086" s="179">
        <f>(TablaCosechas[[#This Row],[libras planta]]*454)/M1086</f>
        <v>207546.89801601114</v>
      </c>
      <c r="L1086" s="215">
        <v>13133.97</v>
      </c>
      <c r="M1086" s="19">
        <v>28.73</v>
      </c>
      <c r="N1086" s="9" t="str">
        <f>UPPER(TEXT(TablaCosechas[[#This Row],[COSECHA]],"MMMM"))</f>
        <v>FEBRERO</v>
      </c>
      <c r="O1086" s="9" t="str">
        <f>IF(A1086="DO 29","BAP",IF(A1086="RO 14","BAP",(VLOOKUP(TablaCosechas[[#This Row],[COD]],Tabla7[[CODIGO]:[CERTIFICACION]],3,0))))</f>
        <v>CONVENCIONAL</v>
      </c>
      <c r="P1086" s="180">
        <f>+L1086-E1086</f>
        <v>-466.03000000000065</v>
      </c>
      <c r="Q1086" s="181">
        <f>+M1086-F1086</f>
        <v>0.23000000000000043</v>
      </c>
      <c r="R1086" s="9"/>
    </row>
    <row r="1087" spans="1:18" x14ac:dyDescent="0.25">
      <c r="A1087" s="9" t="s">
        <v>269</v>
      </c>
      <c r="B1087" s="9">
        <f>ROW() - ROW(TablaCosechas[[#Headers],[ID]]) - 4</f>
        <v>1082</v>
      </c>
      <c r="C1087" s="9" t="str">
        <f>LEFT(A1087,2)</f>
        <v>DE</v>
      </c>
      <c r="D1087" s="182" t="s">
        <v>367</v>
      </c>
      <c r="E1087" s="178">
        <v>8000</v>
      </c>
      <c r="F1087" s="19">
        <v>21</v>
      </c>
      <c r="G1087" s="195">
        <v>46058</v>
      </c>
      <c r="H1087" s="9" t="str">
        <f>VLOOKUP(TablaCosechas[[#This Row],[COD]],DATOS!$E$3:$F$27,2,0)</f>
        <v>DELFIN</v>
      </c>
      <c r="I1087" s="9" t="str">
        <f>RIGHT(TablaCosechas[[#This Row],[SECTOR/PISCINA]],2)</f>
        <v>18</v>
      </c>
      <c r="J1087" s="9" t="str">
        <f>VLOOKUP(TablaCosechas[[#This Row],[COD]],Tabla7[#All],4,0)</f>
        <v>CARLOS FLORES</v>
      </c>
      <c r="K1087" s="179">
        <f>(TablaCosechas[[#This Row],[libras planta]]*454)/M1087</f>
        <v>146701.87248908298</v>
      </c>
      <c r="L1087" s="215">
        <v>7399.72</v>
      </c>
      <c r="M1087" s="19">
        <v>22.9</v>
      </c>
      <c r="N1087" s="9" t="str">
        <f>UPPER(TEXT(TablaCosechas[[#This Row],[COSECHA]],"MMMM"))</f>
        <v>FEBRERO</v>
      </c>
      <c r="O1087" s="9" t="str">
        <f>IF(A1087="DO 29","BAP",IF(A1087="RO 14","BAP",(VLOOKUP(TablaCosechas[[#This Row],[COD]],Tabla7[[CODIGO]:[CERTIFICACION]],3,0))))</f>
        <v>CONVENCIONAL</v>
      </c>
      <c r="P1087" s="180">
        <f>+L1087-E1087</f>
        <v>-600.27999999999975</v>
      </c>
      <c r="Q1087" s="181">
        <f>+M1087-F1087</f>
        <v>1.8999999999999986</v>
      </c>
      <c r="R1087" s="9"/>
    </row>
    <row r="1088" spans="1:18" x14ac:dyDescent="0.25">
      <c r="A1088" s="9" t="s">
        <v>273</v>
      </c>
      <c r="B1088" s="9">
        <f>ROW() - ROW(TablaCosechas[[#Headers],[ID]]) - 4</f>
        <v>1083</v>
      </c>
      <c r="C1088" s="9" t="str">
        <f>LEFT(A1088,2)</f>
        <v>DE</v>
      </c>
      <c r="D1088" s="182" t="s">
        <v>367</v>
      </c>
      <c r="E1088" s="178">
        <v>6400</v>
      </c>
      <c r="F1088" s="19">
        <v>22</v>
      </c>
      <c r="G1088" s="195">
        <v>46058</v>
      </c>
      <c r="H1088" s="9" t="str">
        <f>VLOOKUP(TablaCosechas[[#This Row],[COD]],DATOS!$E$3:$F$27,2,0)</f>
        <v>DELFIN</v>
      </c>
      <c r="I1088" s="9" t="str">
        <f>RIGHT(TablaCosechas[[#This Row],[SECTOR/PISCINA]],2)</f>
        <v>16</v>
      </c>
      <c r="J1088" s="9" t="str">
        <f>VLOOKUP(TablaCosechas[[#This Row],[COD]],Tabla7[#All],4,0)</f>
        <v>CARLOS FLORES</v>
      </c>
      <c r="K1088" s="179">
        <f>(TablaCosechas[[#This Row],[libras planta]]*454)/M1088</f>
        <v>102658.88934426232</v>
      </c>
      <c r="L1088" s="215">
        <v>5517.35</v>
      </c>
      <c r="M1088" s="19">
        <v>24.4</v>
      </c>
      <c r="N1088" s="9" t="str">
        <f>UPPER(TEXT(TablaCosechas[[#This Row],[COSECHA]],"MMMM"))</f>
        <v>FEBRERO</v>
      </c>
      <c r="O1088" s="9" t="str">
        <f>IF(A1088="DO 29","BAP",IF(A1088="RO 14","BAP",(VLOOKUP(TablaCosechas[[#This Row],[COD]],Tabla7[[CODIGO]:[CERTIFICACION]],3,0))))</f>
        <v>CONVENCIONAL</v>
      </c>
      <c r="P1088" s="180">
        <f>+L1088-E1088</f>
        <v>-882.64999999999964</v>
      </c>
      <c r="Q1088" s="181">
        <f>+M1088-F1088</f>
        <v>2.3999999999999986</v>
      </c>
      <c r="R1088" s="9"/>
    </row>
    <row r="1089" spans="1:18" x14ac:dyDescent="0.25">
      <c r="A1089" s="9" t="s">
        <v>18</v>
      </c>
      <c r="B1089" s="9">
        <f>ROW() - ROW(TablaCosechas[[#Headers],[ID]]) - 4</f>
        <v>1084</v>
      </c>
      <c r="C1089" s="9" t="str">
        <f>LEFT(A1089,2)</f>
        <v>CH</v>
      </c>
      <c r="D1089" s="182" t="s">
        <v>367</v>
      </c>
      <c r="E1089" s="178">
        <v>10650</v>
      </c>
      <c r="F1089" s="19">
        <v>21.5</v>
      </c>
      <c r="G1089" s="195">
        <v>46058</v>
      </c>
      <c r="H1089" s="9" t="str">
        <f>VLOOKUP(TablaCosechas[[#This Row],[COD]],DATOS!$E$3:$F$27,2,0)</f>
        <v>CHERNA</v>
      </c>
      <c r="I1089" s="9" t="str">
        <f>RIGHT(TablaCosechas[[#This Row],[SECTOR/PISCINA]],2)</f>
        <v>12</v>
      </c>
      <c r="J1089" s="9" t="str">
        <f>VLOOKUP(TablaCosechas[[#This Row],[COD]],Tabla7[#All],4,0)</f>
        <v>SANTIAGO OBRIEN</v>
      </c>
      <c r="K1089" s="179">
        <f>(TablaCosechas[[#This Row],[libras planta]]*454)/M1089</f>
        <v>258193.27448979588</v>
      </c>
      <c r="L1089" s="215">
        <v>11146.67</v>
      </c>
      <c r="M1089" s="19">
        <v>19.600000000000001</v>
      </c>
      <c r="N1089" s="9" t="str">
        <f>UPPER(TEXT(TablaCosechas[[#This Row],[COSECHA]],"MMMM"))</f>
        <v>FEBRERO</v>
      </c>
      <c r="O1089" s="9" t="str">
        <f>IF(A1089="DO 29","BAP",IF(A1089="RO 14","BAP",(VLOOKUP(TablaCosechas[[#This Row],[COD]],Tabla7[[CODIGO]:[CERTIFICACION]],3,0))))</f>
        <v>ASC</v>
      </c>
      <c r="P1089" s="180">
        <f>+L1089-E1089</f>
        <v>496.67000000000007</v>
      </c>
      <c r="Q1089" s="181">
        <f>+M1089-F1089</f>
        <v>-1.8999999999999986</v>
      </c>
      <c r="R1089" s="9"/>
    </row>
    <row r="1090" spans="1:18" x14ac:dyDescent="0.25">
      <c r="A1090" s="9" t="s">
        <v>203</v>
      </c>
      <c r="B1090" s="9">
        <f>ROW() - ROW(TablaCosechas[[#Headers],[ID]]) - 4</f>
        <v>1085</v>
      </c>
      <c r="C1090" s="9" t="str">
        <f>LEFT(A1090,2)</f>
        <v>CA</v>
      </c>
      <c r="D1090" s="182" t="s">
        <v>366</v>
      </c>
      <c r="E1090" s="178">
        <f>48900+5400</f>
        <v>54300</v>
      </c>
      <c r="F1090" s="19">
        <v>36.5</v>
      </c>
      <c r="G1090" s="195">
        <v>46058</v>
      </c>
      <c r="H1090" s="9" t="str">
        <f>VLOOKUP(TablaCosechas[[#This Row],[COD]],DATOS!$E$3:$F$27,2,0)</f>
        <v>CATANUDA</v>
      </c>
      <c r="I1090" s="9" t="str">
        <f>RIGHT(TablaCosechas[[#This Row],[SECTOR/PISCINA]],2)</f>
        <v>04</v>
      </c>
      <c r="J1090" s="9" t="str">
        <f>VLOOKUP(TablaCosechas[[#This Row],[COD]],Tabla7[#All],4,0)</f>
        <v>VICTOR QUINTANA</v>
      </c>
      <c r="K1090" s="179">
        <f>(TablaCosechas[[#This Row],[libras planta]]*454)/M1090</f>
        <v>705111.14366676123</v>
      </c>
      <c r="L1090" s="215">
        <v>54809.19</v>
      </c>
      <c r="M1090" s="19">
        <v>35.29</v>
      </c>
      <c r="N1090" s="9" t="str">
        <f>UPPER(TEXT(TablaCosechas[[#This Row],[COSECHA]],"MMMM"))</f>
        <v>FEBRERO</v>
      </c>
      <c r="O1090" s="9" t="str">
        <f>IF(A1090="DO 29","BAP",IF(A1090="RO 14","BAP",(VLOOKUP(TablaCosechas[[#This Row],[COD]],Tabla7[[CODIGO]:[CERTIFICACION]],3,0))))</f>
        <v>ASC</v>
      </c>
      <c r="P1090" s="180">
        <f>+L1090-E1090</f>
        <v>509.19000000000233</v>
      </c>
      <c r="Q1090" s="181">
        <f>+M1090-F1090</f>
        <v>-1.2100000000000009</v>
      </c>
      <c r="R1090" s="9"/>
    </row>
    <row r="1091" spans="1:18" x14ac:dyDescent="0.25">
      <c r="A1091" s="9" t="s">
        <v>202</v>
      </c>
      <c r="B1091" s="9">
        <f>ROW() - ROW(TablaCosechas[[#Headers],[ID]]) - 4</f>
        <v>1086</v>
      </c>
      <c r="C1091" s="9" t="str">
        <f>LEFT(A1091,2)</f>
        <v>BA</v>
      </c>
      <c r="D1091" s="182" t="s">
        <v>366</v>
      </c>
      <c r="E1091" s="178">
        <v>21700</v>
      </c>
      <c r="F1091" s="19">
        <v>40</v>
      </c>
      <c r="G1091" s="195">
        <v>46058</v>
      </c>
      <c r="H1091" s="9" t="str">
        <f>VLOOKUP(TablaCosechas[[#This Row],[COD]],DATOS!$E$3:$F$27,2,0)</f>
        <v>BARRACUDA</v>
      </c>
      <c r="I1091" s="9" t="str">
        <f>RIGHT(TablaCosechas[[#This Row],[SECTOR/PISCINA]],2)</f>
        <v>04</v>
      </c>
      <c r="J1091" s="9" t="str">
        <f>VLOOKUP(TablaCosechas[[#This Row],[COD]],Tabla7[#All],4,0)</f>
        <v>GUSTAVO CARRASCO</v>
      </c>
      <c r="K1091" s="179">
        <f>(TablaCosechas[[#This Row],[libras planta]]*454)/M1091</f>
        <v>234261.31596233853</v>
      </c>
      <c r="L1091" s="215">
        <v>23565.45</v>
      </c>
      <c r="M1091" s="19">
        <v>45.67</v>
      </c>
      <c r="N1091" s="9" t="str">
        <f>UPPER(TEXT(TablaCosechas[[#This Row],[COSECHA]],"MMMM"))</f>
        <v>FEBRERO</v>
      </c>
      <c r="O1091" s="9" t="str">
        <f>IF(A1091="DO 29","BAP",IF(A1091="RO 14","BAP",(VLOOKUP(TablaCosechas[[#This Row],[COD]],Tabla7[[CODIGO]:[CERTIFICACION]],3,0))))</f>
        <v>CONVENCIONAL</v>
      </c>
      <c r="P1091" s="180">
        <f>+L1091-E1091</f>
        <v>1865.4500000000007</v>
      </c>
      <c r="Q1091" s="181">
        <f>+M1091-F1091</f>
        <v>5.6700000000000017</v>
      </c>
      <c r="R1091" s="9"/>
    </row>
    <row r="1092" spans="1:18" x14ac:dyDescent="0.25">
      <c r="A1092" s="9" t="s">
        <v>215</v>
      </c>
      <c r="B1092" s="9">
        <f>ROW() - ROW(TablaCosechas[[#Headers],[ID]]) - 4</f>
        <v>1087</v>
      </c>
      <c r="C1092" s="9" t="str">
        <f>LEFT(A1092,2)</f>
        <v>RO</v>
      </c>
      <c r="D1092" s="182" t="s">
        <v>366</v>
      </c>
      <c r="E1092" s="178">
        <v>20700</v>
      </c>
      <c r="F1092" s="19">
        <v>39</v>
      </c>
      <c r="G1092" s="195">
        <v>46059</v>
      </c>
      <c r="H1092" s="9" t="str">
        <f>VLOOKUP(TablaCosechas[[#This Row],[COD]],DATOS!$E$3:$F$27,2,0)</f>
        <v>ROBALO</v>
      </c>
      <c r="I1092" s="9" t="str">
        <f>RIGHT(TablaCosechas[[#This Row],[SECTOR/PISCINA]],2)</f>
        <v>03</v>
      </c>
      <c r="J1092" s="9" t="str">
        <f>VLOOKUP(TablaCosechas[[#This Row],[COD]],Tabla7[#All],4,0)</f>
        <v>VICTOR QUINTANA</v>
      </c>
      <c r="K1092" s="179">
        <f>(TablaCosechas[[#This Row],[libras planta]]*454)/M1092</f>
        <v>252936.69898989896</v>
      </c>
      <c r="L1092" s="215">
        <v>22062.32</v>
      </c>
      <c r="M1092" s="19">
        <v>39.6</v>
      </c>
      <c r="N1092" s="9" t="str">
        <f>UPPER(TEXT(TablaCosechas[[#This Row],[COSECHA]],"MMMM"))</f>
        <v>FEBRERO</v>
      </c>
      <c r="O1092" s="9" t="str">
        <f>IF(A1092="DO 29","BAP",IF(A1092="RO 14","BAP",(VLOOKUP(TablaCosechas[[#This Row],[COD]],Tabla7[[CODIGO]:[CERTIFICACION]],3,0))))</f>
        <v>ASC</v>
      </c>
      <c r="P1092" s="180">
        <f>+L1092-E1092</f>
        <v>1362.3199999999997</v>
      </c>
      <c r="Q1092" s="181">
        <f>+M1092-F1092</f>
        <v>0.60000000000000142</v>
      </c>
      <c r="R1092" s="9"/>
    </row>
    <row r="1093" spans="1:18" x14ac:dyDescent="0.25">
      <c r="A1093" s="9" t="s">
        <v>259</v>
      </c>
      <c r="B1093" s="9">
        <f>ROW() - ROW(TablaCosechas[[#Headers],[ID]]) - 4</f>
        <v>1088</v>
      </c>
      <c r="C1093" s="9" t="str">
        <f>LEFT(A1093,2)</f>
        <v>PA</v>
      </c>
      <c r="D1093" s="182" t="s">
        <v>367</v>
      </c>
      <c r="E1093" s="178">
        <v>1900</v>
      </c>
      <c r="F1093" s="19">
        <v>18</v>
      </c>
      <c r="G1093" s="195">
        <v>46059</v>
      </c>
      <c r="H1093" s="9" t="str">
        <f>VLOOKUP(TablaCosechas[[#This Row],[COD]],DATOS!$E$3:$F$27,2,0)</f>
        <v>PAMPANO</v>
      </c>
      <c r="I1093" s="9" t="str">
        <f>RIGHT(TablaCosechas[[#This Row],[SECTOR/PISCINA]],2)</f>
        <v>19</v>
      </c>
      <c r="J1093" s="9" t="str">
        <f>VLOOKUP(TablaCosechas[[#This Row],[COD]],Tabla7[#All],4,0)</f>
        <v>GUSTAVO CARRASCO</v>
      </c>
      <c r="K1093" s="179">
        <f>(TablaCosechas[[#This Row],[libras planta]]*454)/M1093</f>
        <v>44199.10410410411</v>
      </c>
      <c r="L1093" s="215">
        <v>1945.15</v>
      </c>
      <c r="M1093" s="19">
        <v>19.98</v>
      </c>
      <c r="N1093" s="9" t="str">
        <f>UPPER(TEXT(TablaCosechas[[#This Row],[COSECHA]],"MMMM"))</f>
        <v>FEBRERO</v>
      </c>
      <c r="O1093" s="9" t="str">
        <f>IF(A1093="DO 29","BAP",IF(A1093="RO 14","BAP",(VLOOKUP(TablaCosechas[[#This Row],[COD]],Tabla7[[CODIGO]:[CERTIFICACION]],3,0))))</f>
        <v>ASC</v>
      </c>
      <c r="P1093" s="180">
        <f>+L1093-E1093</f>
        <v>45.150000000000091</v>
      </c>
      <c r="Q1093" s="181">
        <f>+M1093-F1093</f>
        <v>1.9800000000000004</v>
      </c>
      <c r="R1093" s="9"/>
    </row>
    <row r="1094" spans="1:18" x14ac:dyDescent="0.25">
      <c r="A1094" s="9" t="s">
        <v>266</v>
      </c>
      <c r="B1094" s="9">
        <f>ROW() - ROW(TablaCosechas[[#Headers],[ID]]) - 4</f>
        <v>1089</v>
      </c>
      <c r="C1094" s="9" t="str">
        <f>LEFT(A1094,2)</f>
        <v>ME</v>
      </c>
      <c r="D1094" s="182" t="s">
        <v>367</v>
      </c>
      <c r="E1094" s="178">
        <v>5600</v>
      </c>
      <c r="F1094" s="19">
        <v>23</v>
      </c>
      <c r="G1094" s="195">
        <v>46059</v>
      </c>
      <c r="H1094" s="9" t="str">
        <f>VLOOKUP(TablaCosechas[[#This Row],[COD]],DATOS!$E$3:$F$27,2,0)</f>
        <v>MERO</v>
      </c>
      <c r="I1094" s="9" t="str">
        <f>RIGHT(TablaCosechas[[#This Row],[SECTOR/PISCINA]],2)</f>
        <v>11</v>
      </c>
      <c r="J1094" s="9" t="str">
        <f>VLOOKUP(TablaCosechas[[#This Row],[COD]],Tabla7[#All],4,0)</f>
        <v>NESTOR MOGOLLON</v>
      </c>
      <c r="K1094" s="179">
        <f>(TablaCosechas[[#This Row],[libras planta]]*454)/M1094</f>
        <v>113177.38801843318</v>
      </c>
      <c r="L1094" s="215">
        <v>5409.58</v>
      </c>
      <c r="M1094" s="19">
        <v>21.7</v>
      </c>
      <c r="N1094" s="9" t="str">
        <f>UPPER(TEXT(TablaCosechas[[#This Row],[COSECHA]],"MMMM"))</f>
        <v>FEBRERO</v>
      </c>
      <c r="O1094" s="9" t="str">
        <f>IF(A1094="DO 29","BAP",IF(A1094="RO 14","BAP",(VLOOKUP(TablaCosechas[[#This Row],[COD]],Tabla7[[CODIGO]:[CERTIFICACION]],3,0))))</f>
        <v>CONVENCIONAL</v>
      </c>
      <c r="P1094" s="180">
        <f>+L1094-E1094</f>
        <v>-190.42000000000007</v>
      </c>
      <c r="Q1094" s="181">
        <f>+M1094-F1094</f>
        <v>-1.3000000000000007</v>
      </c>
      <c r="R1094" s="9"/>
    </row>
    <row r="1095" spans="1:18" x14ac:dyDescent="0.25">
      <c r="A1095" s="9" t="s">
        <v>206</v>
      </c>
      <c r="B1095" s="9">
        <f>ROW() - ROW(TablaCosechas[[#Headers],[ID]]) - 4</f>
        <v>1090</v>
      </c>
      <c r="C1095" s="9" t="str">
        <f>LEFT(A1095,2)</f>
        <v>DO</v>
      </c>
      <c r="D1095" s="182" t="s">
        <v>366</v>
      </c>
      <c r="E1095" s="178">
        <v>24220</v>
      </c>
      <c r="F1095" s="19">
        <v>43</v>
      </c>
      <c r="G1095" s="195">
        <v>46059</v>
      </c>
      <c r="H1095" s="9" t="str">
        <f>VLOOKUP(TablaCosechas[[#This Row],[COD]],DATOS!$E$3:$F$27,2,0)</f>
        <v>DORADO</v>
      </c>
      <c r="I1095" s="9" t="str">
        <f>RIGHT(TablaCosechas[[#This Row],[SECTOR/PISCINA]],2)</f>
        <v>27</v>
      </c>
      <c r="J1095" s="9" t="str">
        <f>VLOOKUP(TablaCosechas[[#This Row],[COD]],Tabla7[#All],4,0)</f>
        <v>JOSE CEDEÑO</v>
      </c>
      <c r="K1095" s="179">
        <f>(TablaCosechas[[#This Row],[libras planta]]*454)/M1095</f>
        <v>288516.55943716643</v>
      </c>
      <c r="L1095" s="215">
        <v>26195.27</v>
      </c>
      <c r="M1095" s="19">
        <v>41.22</v>
      </c>
      <c r="N1095" s="9" t="str">
        <f>UPPER(TEXT(TablaCosechas[[#This Row],[COSECHA]],"MMMM"))</f>
        <v>FEBRERO</v>
      </c>
      <c r="O1095" s="9" t="str">
        <f>IF(A1095="DO 29","BAP",IF(A1095="RO 14","BAP",(VLOOKUP(TablaCosechas[[#This Row],[COD]],Tabla7[[CODIGO]:[CERTIFICACION]],3,0))))</f>
        <v>ASC</v>
      </c>
      <c r="P1095" s="180">
        <f>+L1095-E1095</f>
        <v>1975.2700000000004</v>
      </c>
      <c r="Q1095" s="181">
        <f>+M1095-F1095</f>
        <v>-1.7800000000000011</v>
      </c>
      <c r="R1095" s="9"/>
    </row>
    <row r="1096" spans="1:18" x14ac:dyDescent="0.25">
      <c r="A1096" s="9" t="s">
        <v>267</v>
      </c>
      <c r="B1096" s="9">
        <f>ROW() - ROW(TablaCosechas[[#Headers],[ID]]) - 4</f>
        <v>1091</v>
      </c>
      <c r="C1096" s="9" t="str">
        <f>LEFT(A1096,2)</f>
        <v>DO</v>
      </c>
      <c r="D1096" s="182" t="s">
        <v>367</v>
      </c>
      <c r="E1096" s="178">
        <v>8000</v>
      </c>
      <c r="F1096" s="19">
        <v>17</v>
      </c>
      <c r="G1096" s="195">
        <v>46059</v>
      </c>
      <c r="H1096" s="9" t="str">
        <f>VLOOKUP(TablaCosechas[[#This Row],[COD]],DATOS!$E$3:$F$27,2,0)</f>
        <v>DORADO</v>
      </c>
      <c r="I1096" s="9" t="str">
        <f>RIGHT(TablaCosechas[[#This Row],[SECTOR/PISCINA]],2)</f>
        <v>17</v>
      </c>
      <c r="J1096" s="9" t="str">
        <f>VLOOKUP(TablaCosechas[[#This Row],[COD]],Tabla7[#All],4,0)</f>
        <v>JOSE CEDEÑO</v>
      </c>
      <c r="K1096" s="179">
        <f>(TablaCosechas[[#This Row],[libras planta]]*454)/M1096</f>
        <v>191219.30421052632</v>
      </c>
      <c r="L1096" s="215">
        <v>8002.57</v>
      </c>
      <c r="M1096" s="19">
        <v>19</v>
      </c>
      <c r="N1096" s="9" t="str">
        <f>UPPER(TEXT(TablaCosechas[[#This Row],[COSECHA]],"MMMM"))</f>
        <v>FEBRERO</v>
      </c>
      <c r="O1096" s="9" t="str">
        <f>IF(A1096="DO 29","BAP",IF(A1096="RO 14","BAP",(VLOOKUP(TablaCosechas[[#This Row],[COD]],Tabla7[[CODIGO]:[CERTIFICACION]],3,0))))</f>
        <v>ASC</v>
      </c>
      <c r="P1096" s="180">
        <f>+L1096-E1096</f>
        <v>2.569999999999709</v>
      </c>
      <c r="Q1096" s="181">
        <f>+M1096-F1096</f>
        <v>2</v>
      </c>
      <c r="R1096" s="9"/>
    </row>
    <row r="1097" spans="1:18" x14ac:dyDescent="0.25">
      <c r="A1097" s="9" t="s">
        <v>253</v>
      </c>
      <c r="B1097" s="9">
        <f>ROW() - ROW(TablaCosechas[[#Headers],[ID]]) - 4</f>
        <v>1092</v>
      </c>
      <c r="C1097" s="9" t="str">
        <f>LEFT(A1097,2)</f>
        <v>DO</v>
      </c>
      <c r="D1097" s="182" t="s">
        <v>367</v>
      </c>
      <c r="E1097" s="178">
        <v>11900</v>
      </c>
      <c r="F1097" s="19">
        <v>24.5</v>
      </c>
      <c r="G1097" s="195">
        <v>46059</v>
      </c>
      <c r="H1097" s="9" t="str">
        <f>VLOOKUP(TablaCosechas[[#This Row],[COD]],DATOS!$E$3:$F$27,2,0)</f>
        <v>DORADO</v>
      </c>
      <c r="I1097" s="9" t="str">
        <f>RIGHT(TablaCosechas[[#This Row],[SECTOR/PISCINA]],2)</f>
        <v>16</v>
      </c>
      <c r="J1097" s="9" t="str">
        <f>VLOOKUP(TablaCosechas[[#This Row],[COD]],Tabla7[#All],4,0)</f>
        <v>JOSE CEDEÑO</v>
      </c>
      <c r="K1097" s="179">
        <f>(TablaCosechas[[#This Row],[libras planta]]*454)/M1097</f>
        <v>159799.61200923787</v>
      </c>
      <c r="L1097" s="215">
        <v>9144.48</v>
      </c>
      <c r="M1097" s="19">
        <v>25.98</v>
      </c>
      <c r="N1097" s="9" t="str">
        <f>UPPER(TEXT(TablaCosechas[[#This Row],[COSECHA]],"MMMM"))</f>
        <v>FEBRERO</v>
      </c>
      <c r="O1097" s="9" t="str">
        <f>IF(A1097="DO 29","BAP",IF(A1097="RO 14","BAP",(VLOOKUP(TablaCosechas[[#This Row],[COD]],Tabla7[[CODIGO]:[CERTIFICACION]],3,0))))</f>
        <v>ASC</v>
      </c>
      <c r="P1097" s="180">
        <f>+L1097-E1097</f>
        <v>-2755.5200000000004</v>
      </c>
      <c r="Q1097" s="181">
        <f>+M1097-F1097</f>
        <v>1.4800000000000004</v>
      </c>
      <c r="R1097" s="9"/>
    </row>
    <row r="1098" spans="1:18" x14ac:dyDescent="0.25">
      <c r="A1098" s="9" t="s">
        <v>250</v>
      </c>
      <c r="B1098" s="9">
        <f>ROW() - ROW(TablaCosechas[[#Headers],[ID]]) - 4</f>
        <v>1093</v>
      </c>
      <c r="C1098" s="9" t="str">
        <f>LEFT(A1098,2)</f>
        <v>DO</v>
      </c>
      <c r="D1098" s="182" t="s">
        <v>367</v>
      </c>
      <c r="E1098" s="178">
        <v>11200</v>
      </c>
      <c r="F1098" s="19">
        <v>27</v>
      </c>
      <c r="G1098" s="195">
        <v>46059</v>
      </c>
      <c r="H1098" s="9" t="str">
        <f>VLOOKUP(TablaCosechas[[#This Row],[COD]],DATOS!$E$3:$F$27,2,0)</f>
        <v>DORADO</v>
      </c>
      <c r="I1098" s="9" t="str">
        <f>RIGHT(TablaCosechas[[#This Row],[SECTOR/PISCINA]],2)</f>
        <v>10</v>
      </c>
      <c r="J1098" s="9" t="str">
        <f>VLOOKUP(TablaCosechas[[#This Row],[COD]],Tabla7[#All],4,0)</f>
        <v>JOSE CEDEÑO</v>
      </c>
      <c r="K1098" s="179">
        <f>(TablaCosechas[[#This Row],[libras planta]]*454)/M1098</f>
        <v>142862.59045374193</v>
      </c>
      <c r="L1098" s="215">
        <v>10680.08</v>
      </c>
      <c r="M1098" s="19">
        <v>33.94</v>
      </c>
      <c r="N1098" s="9" t="str">
        <f>UPPER(TEXT(TablaCosechas[[#This Row],[COSECHA]],"MMMM"))</f>
        <v>FEBRERO</v>
      </c>
      <c r="O1098" s="9" t="str">
        <f>IF(A1098="DO 29","BAP",IF(A1098="RO 14","BAP",(VLOOKUP(TablaCosechas[[#This Row],[COD]],Tabla7[[CODIGO]:[CERTIFICACION]],3,0))))</f>
        <v>ASC</v>
      </c>
      <c r="P1098" s="180">
        <f>+L1098-E1098</f>
        <v>-519.92000000000007</v>
      </c>
      <c r="Q1098" s="181">
        <f>+M1098-F1098</f>
        <v>6.9399999999999977</v>
      </c>
      <c r="R1098" s="9"/>
    </row>
    <row r="1099" spans="1:18" x14ac:dyDescent="0.25">
      <c r="A1099" s="9" t="s">
        <v>205</v>
      </c>
      <c r="B1099" s="9">
        <f>ROW() - ROW(TablaCosechas[[#Headers],[ID]]) - 4</f>
        <v>1094</v>
      </c>
      <c r="C1099" s="9" t="str">
        <f>LEFT(A1099,2)</f>
        <v>BA</v>
      </c>
      <c r="D1099" s="182" t="s">
        <v>366</v>
      </c>
      <c r="E1099" s="178">
        <v>11100</v>
      </c>
      <c r="F1099" s="19">
        <v>34</v>
      </c>
      <c r="G1099" s="195">
        <v>46059</v>
      </c>
      <c r="H1099" s="9" t="str">
        <f>VLOOKUP(TablaCosechas[[#This Row],[COD]],DATOS!$E$3:$F$27,2,0)</f>
        <v>BARRACUDA</v>
      </c>
      <c r="I1099" s="9" t="str">
        <f>RIGHT(TablaCosechas[[#This Row],[SECTOR/PISCINA]],2)</f>
        <v>03</v>
      </c>
      <c r="J1099" s="9" t="str">
        <f>VLOOKUP(TablaCosechas[[#This Row],[COD]],Tabla7[#All],4,0)</f>
        <v>GUSTAVO CARRASCO</v>
      </c>
      <c r="K1099" s="179">
        <f>(TablaCosechas[[#This Row],[libras planta]]*454)/M1099</f>
        <v>150780.47365439095</v>
      </c>
      <c r="L1099" s="215">
        <v>11723.68</v>
      </c>
      <c r="M1099" s="19">
        <v>35.299999999999997</v>
      </c>
      <c r="N1099" s="9" t="str">
        <f>UPPER(TEXT(TablaCosechas[[#This Row],[COSECHA]],"MMMM"))</f>
        <v>FEBRERO</v>
      </c>
      <c r="O1099" s="9" t="str">
        <f>IF(A1099="DO 29","BAP",IF(A1099="RO 14","BAP",(VLOOKUP(TablaCosechas[[#This Row],[COD]],Tabla7[[CODIGO]:[CERTIFICACION]],3,0))))</f>
        <v>CONVENCIONAL</v>
      </c>
      <c r="P1099" s="180">
        <f>+L1099-E1099</f>
        <v>623.68000000000029</v>
      </c>
      <c r="Q1099" s="181">
        <f>+M1099-F1099</f>
        <v>1.2999999999999972</v>
      </c>
      <c r="R1099" s="9"/>
    </row>
    <row r="1100" spans="1:18" x14ac:dyDescent="0.25">
      <c r="A1100" s="9" t="s">
        <v>315</v>
      </c>
      <c r="B1100" s="9">
        <f>ROW() - ROW(TablaCosechas[[#Headers],[ID]]) - 4</f>
        <v>1095</v>
      </c>
      <c r="C1100" s="9" t="str">
        <f>LEFT(A1100,2)</f>
        <v>TI</v>
      </c>
      <c r="D1100" s="182" t="s">
        <v>367</v>
      </c>
      <c r="E1100" s="178">
        <v>10600</v>
      </c>
      <c r="F1100" s="19">
        <v>17</v>
      </c>
      <c r="G1100" s="195">
        <v>46060</v>
      </c>
      <c r="H1100" s="9" t="str">
        <f>VLOOKUP(TablaCosechas[[#This Row],[COD]],DATOS!$E$3:$F$27,2,0)</f>
        <v>TIBURON</v>
      </c>
      <c r="I1100" s="9" t="str">
        <f>RIGHT(TablaCosechas[[#This Row],[SECTOR/PISCINA]],2)</f>
        <v>05</v>
      </c>
      <c r="J1100" s="9" t="str">
        <f>VLOOKUP(TablaCosechas[[#This Row],[COD]],Tabla7[#All],4,0)</f>
        <v>ALFONSO GRUNAUER</v>
      </c>
      <c r="K1100" s="179">
        <f>(TablaCosechas[[#This Row],[libras planta]]*454)/M1100</f>
        <v>278671.50555555552</v>
      </c>
      <c r="L1100" s="215">
        <v>11048.65</v>
      </c>
      <c r="M1100" s="19">
        <v>18</v>
      </c>
      <c r="N1100" s="9" t="str">
        <f>UPPER(TEXT(TablaCosechas[[#This Row],[COSECHA]],"MMMM"))</f>
        <v>FEBRERO</v>
      </c>
      <c r="O1100" s="9" t="str">
        <f>IF(A1100="DO 29","BAP",IF(A1100="RO 14","BAP",(VLOOKUP(TablaCosechas[[#This Row],[COD]],Tabla7[[CODIGO]:[CERTIFICACION]],3,0))))</f>
        <v>ASC</v>
      </c>
      <c r="P1100" s="180">
        <f>+L1100-E1100</f>
        <v>448.64999999999964</v>
      </c>
      <c r="Q1100" s="181">
        <f>+M1100-F1100</f>
        <v>1</v>
      </c>
      <c r="R1100" s="9"/>
    </row>
    <row r="1101" spans="1:18" x14ac:dyDescent="0.25">
      <c r="A1101" s="9" t="s">
        <v>222</v>
      </c>
      <c r="B1101" s="9">
        <f>ROW() - ROW(TablaCosechas[[#Headers],[ID]]) - 4</f>
        <v>1096</v>
      </c>
      <c r="C1101" s="9" t="str">
        <f>LEFT(A1101,2)</f>
        <v>GT</v>
      </c>
      <c r="D1101" s="182" t="s">
        <v>367</v>
      </c>
      <c r="E1101" s="178">
        <v>4800</v>
      </c>
      <c r="F1101" s="19">
        <v>26</v>
      </c>
      <c r="G1101" s="195">
        <v>46060</v>
      </c>
      <c r="H1101" s="9" t="str">
        <f>VLOOKUP(TablaCosechas[[#This Row],[COD]],DATOS!$E$3:$F$27,2,0)</f>
        <v>GUATO</v>
      </c>
      <c r="I1101" s="9" t="str">
        <f>RIGHT(TablaCosechas[[#This Row],[SECTOR/PISCINA]],2)</f>
        <v>17</v>
      </c>
      <c r="J1101" s="9" t="str">
        <f>VLOOKUP(TablaCosechas[[#This Row],[COD]],Tabla7[#All],4,0)</f>
        <v>JULIO SANTOS</v>
      </c>
      <c r="K1101" s="179">
        <f>(TablaCosechas[[#This Row],[libras planta]]*454)/M1101</f>
        <v>99197.059829059828</v>
      </c>
      <c r="L1101" s="215">
        <v>5624.08</v>
      </c>
      <c r="M1101" s="19">
        <v>25.74</v>
      </c>
      <c r="N1101" s="9" t="str">
        <f>UPPER(TEXT(TablaCosechas[[#This Row],[COSECHA]],"MMMM"))</f>
        <v>FEBRERO</v>
      </c>
      <c r="O1101" s="9" t="str">
        <f>IF(A1101="DO 29","BAP",IF(A1101="RO 14","BAP",(VLOOKUP(TablaCosechas[[#This Row],[COD]],Tabla7[[CODIGO]:[CERTIFICACION]],3,0))))</f>
        <v>CONVENCIONAL</v>
      </c>
      <c r="P1101" s="180">
        <f>+L1101-E1101</f>
        <v>824.07999999999993</v>
      </c>
      <c r="Q1101" s="181">
        <f>+M1101-F1101</f>
        <v>-0.26000000000000156</v>
      </c>
      <c r="R1101" s="9"/>
    </row>
    <row r="1102" spans="1:18" x14ac:dyDescent="0.25">
      <c r="A1102" s="9" t="s">
        <v>208</v>
      </c>
      <c r="B1102" s="9">
        <f>ROW() - ROW(TablaCosechas[[#Headers],[ID]]) - 4</f>
        <v>1097</v>
      </c>
      <c r="C1102" s="9" t="str">
        <f>LEFT(A1102,2)</f>
        <v>DO</v>
      </c>
      <c r="D1102" s="182" t="s">
        <v>366</v>
      </c>
      <c r="E1102" s="178">
        <f>6900+3200</f>
        <v>10100</v>
      </c>
      <c r="F1102" s="19">
        <v>36</v>
      </c>
      <c r="G1102" s="195">
        <v>46060</v>
      </c>
      <c r="H1102" s="9" t="str">
        <f>VLOOKUP(TablaCosechas[[#This Row],[COD]],DATOS!$E$3:$F$27,2,0)</f>
        <v>DORADO</v>
      </c>
      <c r="I1102" s="9" t="str">
        <f>RIGHT(TablaCosechas[[#This Row],[SECTOR/PISCINA]],2)</f>
        <v>04</v>
      </c>
      <c r="J1102" s="9" t="str">
        <f>VLOOKUP(TablaCosechas[[#This Row],[COD]],Tabla7[#All],4,0)</f>
        <v>JOSE CEDEÑO</v>
      </c>
      <c r="K1102" s="179">
        <f>(TablaCosechas[[#This Row],[libras planta]]*454)/M1102</f>
        <v>116721.43753294676</v>
      </c>
      <c r="L1102" s="215">
        <v>9754.2099999999991</v>
      </c>
      <c r="M1102" s="19">
        <v>37.94</v>
      </c>
      <c r="N1102" s="9" t="str">
        <f>UPPER(TEXT(TablaCosechas[[#This Row],[COSECHA]],"MMMM"))</f>
        <v>FEBRERO</v>
      </c>
      <c r="O1102" s="9" t="str">
        <f>IF(A1102="DO 29","BAP",IF(A1102="RO 14","BAP",(VLOOKUP(TablaCosechas[[#This Row],[COD]],Tabla7[[CODIGO]:[CERTIFICACION]],3,0))))</f>
        <v>ASC</v>
      </c>
      <c r="P1102" s="180">
        <f>+L1102-E1102</f>
        <v>-345.79000000000087</v>
      </c>
      <c r="Q1102" s="181">
        <f>+M1102-F1102</f>
        <v>1.9399999999999977</v>
      </c>
      <c r="R1102" s="9"/>
    </row>
    <row r="1103" spans="1:18" x14ac:dyDescent="0.25">
      <c r="A1103" s="9" t="s">
        <v>30</v>
      </c>
      <c r="B1103" s="9">
        <f>ROW() - ROW(TablaCosechas[[#Headers],[ID]]) - 4</f>
        <v>1098</v>
      </c>
      <c r="C1103" s="9" t="str">
        <f>LEFT(A1103,2)</f>
        <v>CH</v>
      </c>
      <c r="D1103" s="182" t="s">
        <v>367</v>
      </c>
      <c r="E1103" s="178">
        <v>12700</v>
      </c>
      <c r="F1103" s="19">
        <v>19</v>
      </c>
      <c r="G1103" s="195">
        <v>46060</v>
      </c>
      <c r="H1103" s="9" t="str">
        <f>VLOOKUP(TablaCosechas[[#This Row],[COD]],DATOS!$E$3:$F$27,2,0)</f>
        <v>CHERNA</v>
      </c>
      <c r="I1103" s="9" t="str">
        <f>RIGHT(TablaCosechas[[#This Row],[SECTOR/PISCINA]],2)</f>
        <v>19</v>
      </c>
      <c r="J1103" s="9" t="str">
        <f>VLOOKUP(TablaCosechas[[#This Row],[COD]],Tabla7[#All],4,0)</f>
        <v>SANTIAGO OBRIEN</v>
      </c>
      <c r="K1103" s="179">
        <f>(TablaCosechas[[#This Row],[libras planta]]*454)/M1103</f>
        <v>318693.68045501551</v>
      </c>
      <c r="L1103" s="215">
        <v>13576.07</v>
      </c>
      <c r="M1103" s="19">
        <v>19.34</v>
      </c>
      <c r="N1103" s="9" t="str">
        <f>UPPER(TEXT(TablaCosechas[[#This Row],[COSECHA]],"MMMM"))</f>
        <v>FEBRERO</v>
      </c>
      <c r="O1103" s="9" t="str">
        <f>IF(A1103="DO 29","BAP",IF(A1103="RO 14","BAP",(VLOOKUP(TablaCosechas[[#This Row],[COD]],Tabla7[[CODIGO]:[CERTIFICACION]],3,0))))</f>
        <v>ASC</v>
      </c>
      <c r="P1103" s="180">
        <f>+L1103-E1103</f>
        <v>876.06999999999971</v>
      </c>
      <c r="Q1103" s="181">
        <f>+M1103-F1103</f>
        <v>0.33999999999999986</v>
      </c>
      <c r="R1103" s="9"/>
    </row>
    <row r="1104" spans="1:18" x14ac:dyDescent="0.25">
      <c r="A1104" s="9" t="s">
        <v>207</v>
      </c>
      <c r="B1104" s="9">
        <f>ROW() - ROW(TablaCosechas[[#Headers],[ID]]) - 4</f>
        <v>1099</v>
      </c>
      <c r="C1104" s="9" t="str">
        <f>LEFT(A1104,2)</f>
        <v>BA</v>
      </c>
      <c r="D1104" s="182" t="s">
        <v>366</v>
      </c>
      <c r="E1104" s="178">
        <v>16750</v>
      </c>
      <c r="F1104" s="19">
        <v>34</v>
      </c>
      <c r="G1104" s="195">
        <v>46060</v>
      </c>
      <c r="H1104" s="9" t="str">
        <f>VLOOKUP(TablaCosechas[[#This Row],[COD]],DATOS!$E$3:$F$27,2,0)</f>
        <v>BARRACUDA</v>
      </c>
      <c r="I1104" s="9" t="str">
        <f>RIGHT(TablaCosechas[[#This Row],[SECTOR/PISCINA]],2)</f>
        <v>02</v>
      </c>
      <c r="J1104" s="9" t="str">
        <f>VLOOKUP(TablaCosechas[[#This Row],[COD]],Tabla7[#All],4,0)</f>
        <v>GUSTAVO CARRASCO</v>
      </c>
      <c r="K1104" s="179">
        <f>(TablaCosechas[[#This Row],[libras planta]]*454)/M1104</f>
        <v>240586.66934327505</v>
      </c>
      <c r="L1104" s="215">
        <v>18478.54</v>
      </c>
      <c r="M1104" s="19">
        <v>34.869999999999997</v>
      </c>
      <c r="N1104" s="9" t="str">
        <f>UPPER(TEXT(TablaCosechas[[#This Row],[COSECHA]],"MMMM"))</f>
        <v>FEBRERO</v>
      </c>
      <c r="O1104" s="9" t="str">
        <f>IF(A1104="DO 29","BAP",IF(A1104="RO 14","BAP",(VLOOKUP(TablaCosechas[[#This Row],[COD]],Tabla7[[CODIGO]:[CERTIFICACION]],3,0))))</f>
        <v>CONVENCIONAL</v>
      </c>
      <c r="P1104" s="180">
        <f>+L1104-E1104</f>
        <v>1728.5400000000009</v>
      </c>
      <c r="Q1104" s="181">
        <f>+M1104-F1104</f>
        <v>0.86999999999999744</v>
      </c>
      <c r="R1104" s="9"/>
    </row>
    <row r="1105" spans="1:18" x14ac:dyDescent="0.25">
      <c r="A1105" s="9" t="s">
        <v>211</v>
      </c>
      <c r="B1105" s="9">
        <f>ROW() - ROW(TablaCosechas[[#Headers],[ID]]) - 4</f>
        <v>1100</v>
      </c>
      <c r="C1105" s="9" t="str">
        <f>LEFT(A1105,2)</f>
        <v>WA</v>
      </c>
      <c r="D1105" s="182" t="s">
        <v>366</v>
      </c>
      <c r="E1105" s="178">
        <f>24200+800</f>
        <v>25000</v>
      </c>
      <c r="F1105" s="19">
        <v>34</v>
      </c>
      <c r="G1105" s="195">
        <v>46061</v>
      </c>
      <c r="H1105" s="9" t="str">
        <f>VLOOKUP(TablaCosechas[[#This Row],[COD]],DATOS!$E$3:$F$27,2,0)</f>
        <v>WAHOO</v>
      </c>
      <c r="I1105" s="9" t="str">
        <f>RIGHT(TablaCosechas[[#This Row],[SECTOR/PISCINA]],2)</f>
        <v>13</v>
      </c>
      <c r="J1105" s="9" t="str">
        <f>VLOOKUP(TablaCosechas[[#This Row],[COD]],Tabla7[#All],4,0)</f>
        <v>JUNIOR ESQUIVEL</v>
      </c>
      <c r="K1105" s="179">
        <f>(TablaCosechas[[#This Row],[libras planta]]*454)/M1105</f>
        <v>359648.59805367154</v>
      </c>
      <c r="L1105" s="215">
        <f>26122.34+740.4</f>
        <v>26862.74</v>
      </c>
      <c r="M1105" s="19">
        <v>33.909999999999997</v>
      </c>
      <c r="N1105" s="9" t="str">
        <f>UPPER(TEXT(TablaCosechas[[#This Row],[COSECHA]],"MMMM"))</f>
        <v>FEBRERO</v>
      </c>
      <c r="O1105" s="9" t="str">
        <f>IF(A1105="DO 29","BAP",IF(A1105="RO 14","BAP",(VLOOKUP(TablaCosechas[[#This Row],[COD]],Tabla7[[CODIGO]:[CERTIFICACION]],3,0))))</f>
        <v>CONVENCIONAL</v>
      </c>
      <c r="P1105" s="180">
        <f>+L1105-E1105</f>
        <v>1862.7400000000016</v>
      </c>
      <c r="Q1105" s="181">
        <f>+M1105-F1105</f>
        <v>-9.0000000000003411E-2</v>
      </c>
      <c r="R1105" s="9"/>
    </row>
    <row r="1106" spans="1:18" x14ac:dyDescent="0.25">
      <c r="A1106" s="9" t="s">
        <v>289</v>
      </c>
      <c r="B1106" s="9">
        <f>ROW() - ROW(TablaCosechas[[#Headers],[ID]]) - 4</f>
        <v>1101</v>
      </c>
      <c r="C1106" s="9" t="str">
        <f>LEFT(A1106,2)</f>
        <v>TI</v>
      </c>
      <c r="D1106" s="182" t="s">
        <v>367</v>
      </c>
      <c r="E1106" s="178">
        <v>12400</v>
      </c>
      <c r="F1106" s="19">
        <v>21</v>
      </c>
      <c r="G1106" s="195">
        <v>46061</v>
      </c>
      <c r="H1106" s="9" t="str">
        <f>VLOOKUP(TablaCosechas[[#This Row],[COD]],DATOS!$E$3:$F$27,2,0)</f>
        <v>TIBURON</v>
      </c>
      <c r="I1106" s="9" t="str">
        <f>RIGHT(TablaCosechas[[#This Row],[SECTOR/PISCINA]],2)</f>
        <v>04</v>
      </c>
      <c r="J1106" s="9" t="str">
        <f>VLOOKUP(TablaCosechas[[#This Row],[COD]],Tabla7[#All],4,0)</f>
        <v>ALFONSO GRUNAUER</v>
      </c>
      <c r="K1106" s="179">
        <f>(TablaCosechas[[#This Row],[libras planta]]*454)/M1106</f>
        <v>247963.85927880389</v>
      </c>
      <c r="L1106" s="215">
        <v>12420.04</v>
      </c>
      <c r="M1106" s="19">
        <v>22.74</v>
      </c>
      <c r="N1106" s="9" t="str">
        <f>UPPER(TEXT(TablaCosechas[[#This Row],[COSECHA]],"MMMM"))</f>
        <v>FEBRERO</v>
      </c>
      <c r="O1106" s="9" t="str">
        <f>IF(A1106="DO 29","BAP",IF(A1106="RO 14","BAP",(VLOOKUP(TablaCosechas[[#This Row],[COD]],Tabla7[[CODIGO]:[CERTIFICACION]],3,0))))</f>
        <v>ASC</v>
      </c>
      <c r="P1106" s="180">
        <f>+L1106-E1106</f>
        <v>20.040000000000873</v>
      </c>
      <c r="Q1106" s="181">
        <f>+M1106-F1106</f>
        <v>1.7399999999999984</v>
      </c>
      <c r="R1106" s="9"/>
    </row>
    <row r="1107" spans="1:18" x14ac:dyDescent="0.25">
      <c r="A1107" s="9" t="s">
        <v>210</v>
      </c>
      <c r="B1107" s="9">
        <f>ROW() - ROW(TablaCosechas[[#Headers],[ID]]) - 4</f>
        <v>1102</v>
      </c>
      <c r="C1107" s="9" t="str">
        <f>LEFT(A1107,2)</f>
        <v>ME</v>
      </c>
      <c r="D1107" s="182" t="s">
        <v>366</v>
      </c>
      <c r="E1107" s="178">
        <v>31100</v>
      </c>
      <c r="F1107" s="19">
        <v>39</v>
      </c>
      <c r="G1107" s="195">
        <v>46061</v>
      </c>
      <c r="H1107" s="9" t="str">
        <f>VLOOKUP(TablaCosechas[[#This Row],[COD]],DATOS!$E$3:$F$27,2,0)</f>
        <v>MERO</v>
      </c>
      <c r="I1107" s="9" t="str">
        <f>RIGHT(TablaCosechas[[#This Row],[SECTOR/PISCINA]],2)</f>
        <v>09</v>
      </c>
      <c r="J1107" s="9" t="str">
        <f>VLOOKUP(TablaCosechas[[#This Row],[COD]],Tabla7[#All],4,0)</f>
        <v>NESTOR MOGOLLON</v>
      </c>
      <c r="K1107" s="179">
        <f>(TablaCosechas[[#This Row],[libras planta]]*454)/M1107</f>
        <v>387023.358974359</v>
      </c>
      <c r="L1107" s="215">
        <v>31916.639999999999</v>
      </c>
      <c r="M1107" s="19">
        <v>37.44</v>
      </c>
      <c r="N1107" s="9" t="str">
        <f>UPPER(TEXT(TablaCosechas[[#This Row],[COSECHA]],"MMMM"))</f>
        <v>FEBRERO</v>
      </c>
      <c r="O1107" s="9" t="str">
        <f>IF(A1107="DO 29","BAP",IF(A1107="RO 14","BAP",(VLOOKUP(TablaCosechas[[#This Row],[COD]],Tabla7[[CODIGO]:[CERTIFICACION]],3,0))))</f>
        <v>CONVENCIONAL</v>
      </c>
      <c r="P1107" s="180">
        <f>+L1107-E1107</f>
        <v>816.63999999999942</v>
      </c>
      <c r="Q1107" s="181">
        <f>+M1107-F1107</f>
        <v>-1.5600000000000023</v>
      </c>
      <c r="R1107" s="9"/>
    </row>
    <row r="1108" spans="1:18" x14ac:dyDescent="0.25">
      <c r="A1108" s="9" t="s">
        <v>231</v>
      </c>
      <c r="B1108" s="9">
        <f>ROW() - ROW(TablaCosechas[[#Headers],[ID]]) - 4</f>
        <v>1103</v>
      </c>
      <c r="C1108" s="9" t="str">
        <f>LEFT(A1108,2)</f>
        <v>GT</v>
      </c>
      <c r="D1108" s="182" t="s">
        <v>367</v>
      </c>
      <c r="E1108" s="178">
        <v>4000</v>
      </c>
      <c r="F1108" s="19">
        <v>25</v>
      </c>
      <c r="G1108" s="195">
        <v>46061</v>
      </c>
      <c r="H1108" s="9" t="str">
        <f>VLOOKUP(TablaCosechas[[#This Row],[COD]],DATOS!$E$3:$F$27,2,0)</f>
        <v>GUATO</v>
      </c>
      <c r="I1108" s="9" t="str">
        <f>RIGHT(TablaCosechas[[#This Row],[SECTOR/PISCINA]],2)</f>
        <v>16</v>
      </c>
      <c r="J1108" s="9" t="str">
        <f>VLOOKUP(TablaCosechas[[#This Row],[COD]],Tabla7[#All],4,0)</f>
        <v>JULIO SANTOS</v>
      </c>
      <c r="K1108" s="179">
        <f>(TablaCosechas[[#This Row],[libras planta]]*454)/M1108</f>
        <v>80036.957142857151</v>
      </c>
      <c r="L1108" s="215">
        <v>4195.7700000000004</v>
      </c>
      <c r="M1108" s="19">
        <v>23.8</v>
      </c>
      <c r="N1108" s="9" t="str">
        <f>UPPER(TEXT(TablaCosechas[[#This Row],[COSECHA]],"MMMM"))</f>
        <v>FEBRERO</v>
      </c>
      <c r="O1108" s="9" t="str">
        <f>IF(A1108="DO 29","BAP",IF(A1108="RO 14","BAP",(VLOOKUP(TablaCosechas[[#This Row],[COD]],Tabla7[[CODIGO]:[CERTIFICACION]],3,0))))</f>
        <v>CONVENCIONAL</v>
      </c>
      <c r="P1108" s="180">
        <f>+L1108-E1108</f>
        <v>195.77000000000044</v>
      </c>
      <c r="Q1108" s="181">
        <f>+M1108-F1108</f>
        <v>-1.1999999999999993</v>
      </c>
      <c r="R1108" s="9"/>
    </row>
    <row r="1109" spans="1:18" x14ac:dyDescent="0.25">
      <c r="A1109" s="9" t="s">
        <v>212</v>
      </c>
      <c r="B1109" s="9">
        <f>ROW() - ROW(TablaCosechas[[#Headers],[ID]]) - 4</f>
        <v>1104</v>
      </c>
      <c r="C1109" s="9" t="str">
        <f>LEFT(A1109,2)</f>
        <v>CA</v>
      </c>
      <c r="D1109" s="182" t="s">
        <v>366</v>
      </c>
      <c r="E1109" s="178">
        <f>43600+4400</f>
        <v>48000</v>
      </c>
      <c r="F1109" s="19">
        <v>40</v>
      </c>
      <c r="G1109" s="195">
        <v>46061</v>
      </c>
      <c r="H1109" s="9" t="str">
        <f>VLOOKUP(TablaCosechas[[#This Row],[COD]],DATOS!$E$3:$F$27,2,0)</f>
        <v>CATANUDA</v>
      </c>
      <c r="I1109" s="9" t="str">
        <f>RIGHT(TablaCosechas[[#This Row],[SECTOR/PISCINA]],2)</f>
        <v>09</v>
      </c>
      <c r="J1109" s="9" t="str">
        <f>VLOOKUP(TablaCosechas[[#This Row],[COD]],Tabla7[#All],4,0)</f>
        <v>VICTOR QUINTANA</v>
      </c>
      <c r="K1109" s="179">
        <f>(TablaCosechas[[#This Row],[libras planta]]*454)/M1109</f>
        <v>576914.24895035813</v>
      </c>
      <c r="L1109" s="215">
        <v>51452.11</v>
      </c>
      <c r="M1109" s="19">
        <v>40.49</v>
      </c>
      <c r="N1109" s="9" t="str">
        <f>UPPER(TEXT(TablaCosechas[[#This Row],[COSECHA]],"MMMM"))</f>
        <v>FEBRERO</v>
      </c>
      <c r="O1109" s="9" t="str">
        <f>IF(A1109="DO 29","BAP",IF(A1109="RO 14","BAP",(VLOOKUP(TablaCosechas[[#This Row],[COD]],Tabla7[[CODIGO]:[CERTIFICACION]],3,0))))</f>
        <v>ASC</v>
      </c>
      <c r="P1109" s="180">
        <f>+L1109-E1109</f>
        <v>3452.1100000000006</v>
      </c>
      <c r="Q1109" s="181">
        <f>+M1109-F1109</f>
        <v>0.49000000000000199</v>
      </c>
      <c r="R1109" s="9"/>
    </row>
    <row r="1110" spans="1:18" x14ac:dyDescent="0.25">
      <c r="A1110" s="9" t="s">
        <v>209</v>
      </c>
      <c r="B1110" s="9">
        <f>ROW() - ROW(TablaCosechas[[#Headers],[ID]]) - 4</f>
        <v>1105</v>
      </c>
      <c r="C1110" s="9" t="str">
        <f>LEFT(A1110,2)</f>
        <v>BA</v>
      </c>
      <c r="D1110" s="182" t="s">
        <v>366</v>
      </c>
      <c r="E1110" s="178">
        <v>16800</v>
      </c>
      <c r="F1110" s="19">
        <v>33</v>
      </c>
      <c r="G1110" s="195">
        <v>46061</v>
      </c>
      <c r="H1110" s="9" t="str">
        <f>VLOOKUP(TablaCosechas[[#This Row],[COD]],DATOS!$E$3:$F$27,2,0)</f>
        <v>BARRACUDA</v>
      </c>
      <c r="I1110" s="9" t="str">
        <f>RIGHT(TablaCosechas[[#This Row],[SECTOR/PISCINA]],2)</f>
        <v>05</v>
      </c>
      <c r="J1110" s="9" t="str">
        <f>VLOOKUP(TablaCosechas[[#This Row],[COD]],Tabla7[#All],4,0)</f>
        <v>GUSTAVO CARRASCO</v>
      </c>
      <c r="K1110" s="179">
        <f>(TablaCosechas[[#This Row],[libras planta]]*454)/M1110</f>
        <v>219491.03784403668</v>
      </c>
      <c r="L1110" s="215">
        <v>16863.099999999999</v>
      </c>
      <c r="M1110" s="19">
        <v>34.880000000000003</v>
      </c>
      <c r="N1110" s="9" t="str">
        <f>UPPER(TEXT(TablaCosechas[[#This Row],[COSECHA]],"MMMM"))</f>
        <v>FEBRERO</v>
      </c>
      <c r="O1110" s="9" t="str">
        <f>IF(A1110="DO 29","BAP",IF(A1110="RO 14","BAP",(VLOOKUP(TablaCosechas[[#This Row],[COD]],Tabla7[[CODIGO]:[CERTIFICACION]],3,0))))</f>
        <v>CONVENCIONAL</v>
      </c>
      <c r="P1110" s="180">
        <f>+L1110-E1110</f>
        <v>63.099999999998545</v>
      </c>
      <c r="Q1110" s="181">
        <f>+M1110-F1110</f>
        <v>1.8800000000000026</v>
      </c>
      <c r="R1110" s="9"/>
    </row>
    <row r="1111" spans="1:18" x14ac:dyDescent="0.25">
      <c r="A1111" s="9" t="s">
        <v>214</v>
      </c>
      <c r="B1111" s="9">
        <f>ROW() - ROW(TablaCosechas[[#Headers],[ID]]) - 4</f>
        <v>1106</v>
      </c>
      <c r="C1111" s="9" t="str">
        <f>LEFT(A1111,2)</f>
        <v>WA</v>
      </c>
      <c r="D1111" s="182" t="s">
        <v>366</v>
      </c>
      <c r="E1111" s="178">
        <v>32250</v>
      </c>
      <c r="F1111" s="19">
        <v>32</v>
      </c>
      <c r="G1111" s="195">
        <v>46062</v>
      </c>
      <c r="H1111" s="9" t="str">
        <f>VLOOKUP(TablaCosechas[[#This Row],[COD]],DATOS!$E$3:$F$27,2,0)</f>
        <v>WAHOO</v>
      </c>
      <c r="I1111" s="9" t="str">
        <f>RIGHT(TablaCosechas[[#This Row],[SECTOR/PISCINA]],2)</f>
        <v>30</v>
      </c>
      <c r="J1111" s="9" t="str">
        <f>VLOOKUP(TablaCosechas[[#This Row],[COD]],Tabla7[#All],4,0)</f>
        <v>JUNIOR ESQUIVEL</v>
      </c>
      <c r="K1111" s="179">
        <f>(TablaCosechas[[#This Row],[libras planta]]*454)/M1111</f>
        <v>488096.29513247067</v>
      </c>
      <c r="L1111" s="215">
        <v>34897.81</v>
      </c>
      <c r="M1111" s="19">
        <v>32.46</v>
      </c>
      <c r="N1111" s="9" t="str">
        <f>UPPER(TEXT(TablaCosechas[[#This Row],[COSECHA]],"MMMM"))</f>
        <v>FEBRERO</v>
      </c>
      <c r="O1111" s="9" t="str">
        <f>IF(A1111="DO 29","BAP",IF(A1111="RO 14","BAP",(VLOOKUP(TablaCosechas[[#This Row],[COD]],Tabla7[[CODIGO]:[CERTIFICACION]],3,0))))</f>
        <v>CONVENCIONAL</v>
      </c>
      <c r="P1111" s="180">
        <f>+L1111-E1111</f>
        <v>2647.8099999999977</v>
      </c>
      <c r="Q1111" s="181">
        <f>+M1111-F1111</f>
        <v>0.46000000000000085</v>
      </c>
      <c r="R1111" s="9"/>
    </row>
    <row r="1112" spans="1:18" x14ac:dyDescent="0.25">
      <c r="A1112" s="9" t="s">
        <v>224</v>
      </c>
      <c r="B1112" s="9">
        <f>ROW() - ROW(TablaCosechas[[#Headers],[ID]]) - 4</f>
        <v>1107</v>
      </c>
      <c r="C1112" s="9" t="str">
        <f>LEFT(A1112,2)</f>
        <v>TI</v>
      </c>
      <c r="D1112" s="182" t="s">
        <v>367</v>
      </c>
      <c r="E1112" s="178">
        <v>12350</v>
      </c>
      <c r="F1112" s="19">
        <v>32</v>
      </c>
      <c r="G1112" s="195">
        <v>46062</v>
      </c>
      <c r="H1112" s="9" t="str">
        <f>VLOOKUP(TablaCosechas[[#This Row],[COD]],DATOS!$E$3:$F$27,2,0)</f>
        <v>TIBURON</v>
      </c>
      <c r="I1112" s="9" t="str">
        <f>RIGHT(TablaCosechas[[#This Row],[SECTOR/PISCINA]],2)</f>
        <v>02</v>
      </c>
      <c r="J1112" s="9" t="str">
        <f>VLOOKUP(TablaCosechas[[#This Row],[COD]],Tabla7[#All],4,0)</f>
        <v>ALFONSO GRUNAUER</v>
      </c>
      <c r="K1112" s="179">
        <f>(TablaCosechas[[#This Row],[libras planta]]*454)/M1112</f>
        <v>183672.04140914709</v>
      </c>
      <c r="L1112" s="215">
        <v>13091.69</v>
      </c>
      <c r="M1112" s="19">
        <v>32.36</v>
      </c>
      <c r="N1112" s="9" t="str">
        <f>UPPER(TEXT(TablaCosechas[[#This Row],[COSECHA]],"MMMM"))</f>
        <v>FEBRERO</v>
      </c>
      <c r="O1112" s="9" t="str">
        <f>IF(A1112="DO 29","BAP",IF(A1112="RO 14","BAP",(VLOOKUP(TablaCosechas[[#This Row],[COD]],Tabla7[[CODIGO]:[CERTIFICACION]],3,0))))</f>
        <v>ASC</v>
      </c>
      <c r="P1112" s="180">
        <f>+L1112-E1112</f>
        <v>741.69000000000051</v>
      </c>
      <c r="Q1112" s="181">
        <f>+M1112-F1112</f>
        <v>0.35999999999999943</v>
      </c>
      <c r="R1112" s="9"/>
    </row>
    <row r="1113" spans="1:18" x14ac:dyDescent="0.25">
      <c r="A1113" s="9" t="s">
        <v>247</v>
      </c>
      <c r="B1113" s="9">
        <f>ROW() - ROW(TablaCosechas[[#Headers],[ID]]) - 4</f>
        <v>1108</v>
      </c>
      <c r="C1113" s="9" t="str">
        <f>LEFT(A1113,2)</f>
        <v>PA</v>
      </c>
      <c r="D1113" s="182" t="s">
        <v>367</v>
      </c>
      <c r="E1113" s="178">
        <v>20400</v>
      </c>
      <c r="F1113" s="19">
        <v>35</v>
      </c>
      <c r="G1113" s="195">
        <v>46062</v>
      </c>
      <c r="H1113" s="9" t="str">
        <f>VLOOKUP(TablaCosechas[[#This Row],[COD]],DATOS!$E$3:$F$27,2,0)</f>
        <v>PAMPANO</v>
      </c>
      <c r="I1113" s="9" t="str">
        <f>RIGHT(TablaCosechas[[#This Row],[SECTOR/PISCINA]],2)</f>
        <v>18</v>
      </c>
      <c r="J1113" s="9" t="str">
        <f>VLOOKUP(TablaCosechas[[#This Row],[COD]],Tabla7[#All],4,0)</f>
        <v>GUSTAVO CARRASCO</v>
      </c>
      <c r="K1113" s="179">
        <f>(TablaCosechas[[#This Row],[libras planta]]*454)/M1113</f>
        <v>246036.50423011841</v>
      </c>
      <c r="L1113" s="215">
        <v>19216.86</v>
      </c>
      <c r="M1113" s="19">
        <v>35.46</v>
      </c>
      <c r="N1113" s="9" t="str">
        <f>UPPER(TEXT(TablaCosechas[[#This Row],[COSECHA]],"MMMM"))</f>
        <v>FEBRERO</v>
      </c>
      <c r="O1113" s="9" t="str">
        <f>IF(A1113="DO 29","BAP",IF(A1113="RO 14","BAP",(VLOOKUP(TablaCosechas[[#This Row],[COD]],Tabla7[[CODIGO]:[CERTIFICACION]],3,0))))</f>
        <v>ASC</v>
      </c>
      <c r="P1113" s="180">
        <f>+L1113-E1113</f>
        <v>-1183.1399999999994</v>
      </c>
      <c r="Q1113" s="181">
        <f>+M1113-F1113</f>
        <v>0.46000000000000085</v>
      </c>
      <c r="R1113" s="9"/>
    </row>
    <row r="1114" spans="1:18" x14ac:dyDescent="0.25">
      <c r="A1114" s="9" t="s">
        <v>233</v>
      </c>
      <c r="B1114" s="9">
        <f>ROW() - ROW(TablaCosechas[[#Headers],[ID]]) - 4</f>
        <v>1109</v>
      </c>
      <c r="C1114" s="9" t="str">
        <f>LEFT(A1114,2)</f>
        <v>GT</v>
      </c>
      <c r="D1114" s="182" t="s">
        <v>367</v>
      </c>
      <c r="E1114" s="178">
        <v>6000</v>
      </c>
      <c r="F1114" s="19">
        <v>28</v>
      </c>
      <c r="G1114" s="195">
        <v>46062</v>
      </c>
      <c r="H1114" s="9" t="str">
        <f>VLOOKUP(TablaCosechas[[#This Row],[COD]],DATOS!$E$3:$F$27,2,0)</f>
        <v>GUATO</v>
      </c>
      <c r="I1114" s="9" t="str">
        <f>RIGHT(TablaCosechas[[#This Row],[SECTOR/PISCINA]],2)</f>
        <v>14</v>
      </c>
      <c r="J1114" s="9" t="str">
        <f>VLOOKUP(TablaCosechas[[#This Row],[COD]],Tabla7[#All],4,0)</f>
        <v>JULIO SANTOS</v>
      </c>
      <c r="K1114" s="179">
        <f>(TablaCosechas[[#This Row],[libras planta]]*454)/M1114</f>
        <v>99564.341193809887</v>
      </c>
      <c r="L1114" s="215">
        <v>5951.93</v>
      </c>
      <c r="M1114" s="19">
        <v>27.14</v>
      </c>
      <c r="N1114" s="9" t="str">
        <f>UPPER(TEXT(TablaCosechas[[#This Row],[COSECHA]],"MMMM"))</f>
        <v>FEBRERO</v>
      </c>
      <c r="O1114" s="9" t="str">
        <f>IF(A1114="DO 29","BAP",IF(A1114="RO 14","BAP",(VLOOKUP(TablaCosechas[[#This Row],[COD]],Tabla7[[CODIGO]:[CERTIFICACION]],3,0))))</f>
        <v>CONVENCIONAL</v>
      </c>
      <c r="P1114" s="180">
        <f>+L1114-E1114</f>
        <v>-48.069999999999709</v>
      </c>
      <c r="Q1114" s="181">
        <f>+M1114-F1114</f>
        <v>-0.85999999999999943</v>
      </c>
      <c r="R1114" s="9"/>
    </row>
    <row r="1115" spans="1:18" x14ac:dyDescent="0.25">
      <c r="A1115" s="9" t="s">
        <v>220</v>
      </c>
      <c r="B1115" s="9">
        <f>ROW() - ROW(TablaCosechas[[#Headers],[ID]]) - 4</f>
        <v>1110</v>
      </c>
      <c r="C1115" s="9" t="str">
        <f>LEFT(A1115,2)</f>
        <v>DO</v>
      </c>
      <c r="D1115" s="182" t="s">
        <v>367</v>
      </c>
      <c r="E1115" s="178">
        <v>10700</v>
      </c>
      <c r="F1115" s="19">
        <v>35</v>
      </c>
      <c r="G1115" s="195">
        <v>46062</v>
      </c>
      <c r="H1115" s="9" t="str">
        <f>VLOOKUP(TablaCosechas[[#This Row],[COD]],DATOS!$E$3:$F$27,2,0)</f>
        <v>DORADO</v>
      </c>
      <c r="I1115" s="9" t="str">
        <f>RIGHT(TablaCosechas[[#This Row],[SECTOR/PISCINA]],2)</f>
        <v>13</v>
      </c>
      <c r="J1115" s="9" t="str">
        <f>VLOOKUP(TablaCosechas[[#This Row],[COD]],Tabla7[#All],4,0)</f>
        <v>JOSE CEDEÑO</v>
      </c>
      <c r="K1115" s="179">
        <f>(TablaCosechas[[#This Row],[libras planta]]*454)/M1115</f>
        <v>122701.77224008573</v>
      </c>
      <c r="L1115" s="215">
        <v>10086.41</v>
      </c>
      <c r="M1115" s="19">
        <v>37.32</v>
      </c>
      <c r="N1115" s="9" t="str">
        <f>UPPER(TEXT(TablaCosechas[[#This Row],[COSECHA]],"MMMM"))</f>
        <v>FEBRERO</v>
      </c>
      <c r="O1115" s="9" t="str">
        <f>IF(A1115="DO 29","BAP",IF(A1115="RO 14","BAP",(VLOOKUP(TablaCosechas[[#This Row],[COD]],Tabla7[[CODIGO]:[CERTIFICACION]],3,0))))</f>
        <v>ASC</v>
      </c>
      <c r="P1115" s="180">
        <f>+L1115-E1115</f>
        <v>-613.59000000000015</v>
      </c>
      <c r="Q1115" s="181">
        <f>+M1115-F1115</f>
        <v>2.3200000000000003</v>
      </c>
      <c r="R1115" s="9"/>
    </row>
    <row r="1116" spans="1:18" x14ac:dyDescent="0.25">
      <c r="A1116" s="9" t="s">
        <v>7</v>
      </c>
      <c r="B1116" s="9">
        <f>ROW() - ROW(TablaCosechas[[#Headers],[ID]]) - 4</f>
        <v>1111</v>
      </c>
      <c r="C1116" s="9" t="str">
        <f>LEFT(A1116,2)</f>
        <v>CH</v>
      </c>
      <c r="D1116" s="182" t="s">
        <v>366</v>
      </c>
      <c r="E1116" s="178">
        <v>43550</v>
      </c>
      <c r="F1116" s="19">
        <v>30</v>
      </c>
      <c r="G1116" s="195">
        <v>46062</v>
      </c>
      <c r="H1116" s="9" t="str">
        <f>VLOOKUP(TablaCosechas[[#This Row],[COD]],DATOS!$E$3:$F$27,2,0)</f>
        <v>CHERNA</v>
      </c>
      <c r="I1116" s="9" t="str">
        <f>RIGHT(TablaCosechas[[#This Row],[SECTOR/PISCINA]],2)</f>
        <v>01</v>
      </c>
      <c r="J1116" s="9" t="str">
        <f>VLOOKUP(TablaCosechas[[#This Row],[COD]],Tabla7[#All],4,0)</f>
        <v>SANTIAGO OBRIEN</v>
      </c>
      <c r="K1116" s="179">
        <f>(TablaCosechas[[#This Row],[libras planta]]*454)/M1116</f>
        <v>703862.20944558526</v>
      </c>
      <c r="L1116" s="215">
        <v>45301.440000000002</v>
      </c>
      <c r="M1116" s="19">
        <v>29.22</v>
      </c>
      <c r="N1116" s="9" t="str">
        <f>UPPER(TEXT(TablaCosechas[[#This Row],[COSECHA]],"MMMM"))</f>
        <v>FEBRERO</v>
      </c>
      <c r="O1116" s="9" t="str">
        <f>IF(A1116="DO 29","BAP",IF(A1116="RO 14","BAP",(VLOOKUP(TablaCosechas[[#This Row],[COD]],Tabla7[[CODIGO]:[CERTIFICACION]],3,0))))</f>
        <v>ASC</v>
      </c>
      <c r="P1116" s="180">
        <f>+L1116-E1116</f>
        <v>1751.4400000000023</v>
      </c>
      <c r="Q1116" s="181">
        <f>+M1116-F1116</f>
        <v>-0.78000000000000114</v>
      </c>
      <c r="R1116" s="9"/>
    </row>
    <row r="1117" spans="1:18" x14ac:dyDescent="0.25">
      <c r="A1117" s="9" t="s">
        <v>213</v>
      </c>
      <c r="B1117" s="9">
        <f>ROW() - ROW(TablaCosechas[[#Headers],[ID]]) - 4</f>
        <v>1112</v>
      </c>
      <c r="C1117" s="9" t="str">
        <f>LEFT(A1117,2)</f>
        <v>CA</v>
      </c>
      <c r="D1117" s="182" t="s">
        <v>366</v>
      </c>
      <c r="E1117" s="178">
        <v>33900</v>
      </c>
      <c r="F1117" s="19">
        <v>32</v>
      </c>
      <c r="G1117" s="195">
        <v>46062</v>
      </c>
      <c r="H1117" s="9" t="str">
        <f>VLOOKUP(TablaCosechas[[#This Row],[COD]],DATOS!$E$3:$F$27,2,0)</f>
        <v>CATANUDA</v>
      </c>
      <c r="I1117" s="9" t="str">
        <f>RIGHT(TablaCosechas[[#This Row],[SECTOR/PISCINA]],2)</f>
        <v>07</v>
      </c>
      <c r="J1117" s="9" t="str">
        <f>VLOOKUP(TablaCosechas[[#This Row],[COD]],Tabla7[#All],4,0)</f>
        <v>VICTOR QUINTANA</v>
      </c>
      <c r="K1117" s="179">
        <f>(TablaCosechas[[#This Row],[libras planta]]*454)/M1117</f>
        <v>547090.48896103888</v>
      </c>
      <c r="L1117" s="215">
        <v>37115.39</v>
      </c>
      <c r="M1117" s="19">
        <v>30.8</v>
      </c>
      <c r="N1117" s="9" t="str">
        <f>UPPER(TEXT(TablaCosechas[[#This Row],[COSECHA]],"MMMM"))</f>
        <v>FEBRERO</v>
      </c>
      <c r="O1117" s="9" t="str">
        <f>IF(A1117="DO 29","BAP",IF(A1117="RO 14","BAP",(VLOOKUP(TablaCosechas[[#This Row],[COD]],Tabla7[[CODIGO]:[CERTIFICACION]],3,0))))</f>
        <v>ASC</v>
      </c>
      <c r="P1117" s="180">
        <f>+L1117-E1117</f>
        <v>3215.3899999999994</v>
      </c>
      <c r="Q1117" s="181">
        <f>+M1117-F1117</f>
        <v>-1.1999999999999993</v>
      </c>
      <c r="R1117" s="9"/>
    </row>
    <row r="1118" spans="1:18" x14ac:dyDescent="0.25">
      <c r="A1118" s="9" t="s">
        <v>215</v>
      </c>
      <c r="B1118" s="9">
        <f>ROW() - ROW(TablaCosechas[[#Headers],[ID]]) - 4</f>
        <v>1113</v>
      </c>
      <c r="C1118" s="9" t="str">
        <f>LEFT(A1118,2)</f>
        <v>RO</v>
      </c>
      <c r="D1118" s="182" t="s">
        <v>366</v>
      </c>
      <c r="E1118" s="178">
        <v>18400</v>
      </c>
      <c r="F1118" s="19">
        <v>40</v>
      </c>
      <c r="G1118" s="195">
        <v>46063</v>
      </c>
      <c r="H1118" s="9" t="str">
        <f>VLOOKUP(TablaCosechas[[#This Row],[COD]],DATOS!$E$3:$F$27,2,0)</f>
        <v>ROBALO</v>
      </c>
      <c r="I1118" s="9" t="str">
        <f>RIGHT(TablaCosechas[[#This Row],[SECTOR/PISCINA]],2)</f>
        <v>03</v>
      </c>
      <c r="J1118" s="9" t="str">
        <f>VLOOKUP(TablaCosechas[[#This Row],[COD]],Tabla7[#All],4,0)</f>
        <v>VICTOR QUINTANA</v>
      </c>
      <c r="K1118" s="179">
        <f>(TablaCosechas[[#This Row],[libras planta]]*454)/M1118</f>
        <v>198628.74941009906</v>
      </c>
      <c r="L1118" s="215">
        <v>18541.599999999999</v>
      </c>
      <c r="M1118" s="19">
        <v>42.38</v>
      </c>
      <c r="N1118" s="9" t="str">
        <f>UPPER(TEXT(TablaCosechas[[#This Row],[COSECHA]],"MMMM"))</f>
        <v>FEBRERO</v>
      </c>
      <c r="O1118" s="9" t="str">
        <f>IF(A1118="DO 29","BAP",IF(A1118="RO 14","BAP",(VLOOKUP(TablaCosechas[[#This Row],[COD]],Tabla7[[CODIGO]:[CERTIFICACION]],3,0))))</f>
        <v>ASC</v>
      </c>
      <c r="P1118" s="180">
        <f>+L1118-E1118</f>
        <v>141.59999999999854</v>
      </c>
      <c r="Q1118" s="181">
        <f>+M1118-F1118</f>
        <v>2.3800000000000026</v>
      </c>
      <c r="R1118" s="9"/>
    </row>
    <row r="1119" spans="1:18" x14ac:dyDescent="0.25">
      <c r="A1119" s="9" t="s">
        <v>282</v>
      </c>
      <c r="B1119" s="9">
        <f>ROW() - ROW(TablaCosechas[[#Headers],[ID]]) - 4</f>
        <v>1114</v>
      </c>
      <c r="C1119" s="9" t="str">
        <f>LEFT(A1119,2)</f>
        <v>ME</v>
      </c>
      <c r="D1119" s="182" t="s">
        <v>367</v>
      </c>
      <c r="E1119" s="178">
        <v>13500</v>
      </c>
      <c r="F1119" s="19">
        <v>27</v>
      </c>
      <c r="G1119" s="195">
        <v>46063</v>
      </c>
      <c r="H1119" s="9" t="str">
        <f>VLOOKUP(TablaCosechas[[#This Row],[COD]],DATOS!$E$3:$F$27,2,0)</f>
        <v>MERO</v>
      </c>
      <c r="I1119" s="9" t="str">
        <f>RIGHT(TablaCosechas[[#This Row],[SECTOR/PISCINA]],2)</f>
        <v>10</v>
      </c>
      <c r="J1119" s="9" t="str">
        <f>VLOOKUP(TablaCosechas[[#This Row],[COD]],Tabla7[#All],4,0)</f>
        <v>NESTOR MOGOLLON</v>
      </c>
      <c r="K1119" s="179">
        <f>(TablaCosechas[[#This Row],[libras planta]]*454)/M1119</f>
        <v>217911.97517863859</v>
      </c>
      <c r="L1119" s="215">
        <v>12762.73</v>
      </c>
      <c r="M1119" s="19">
        <v>26.59</v>
      </c>
      <c r="N1119" s="9" t="str">
        <f>UPPER(TEXT(TablaCosechas[[#This Row],[COSECHA]],"MMMM"))</f>
        <v>FEBRERO</v>
      </c>
      <c r="O1119" s="9" t="str">
        <f>IF(A1119="DO 29","BAP",IF(A1119="RO 14","BAP",(VLOOKUP(TablaCosechas[[#This Row],[COD]],Tabla7[[CODIGO]:[CERTIFICACION]],3,0))))</f>
        <v>CONVENCIONAL</v>
      </c>
      <c r="P1119" s="180">
        <f>+L1119-E1119</f>
        <v>-737.27000000000044</v>
      </c>
      <c r="Q1119" s="181">
        <f>+M1119-F1119</f>
        <v>-0.41000000000000014</v>
      </c>
      <c r="R1119" s="9"/>
    </row>
    <row r="1120" spans="1:18" x14ac:dyDescent="0.25">
      <c r="A1120" s="9" t="s">
        <v>271</v>
      </c>
      <c r="B1120" s="9">
        <f>ROW() - ROW(TablaCosechas[[#Headers],[ID]]) - 4</f>
        <v>1115</v>
      </c>
      <c r="C1120" s="9" t="str">
        <f>LEFT(A1120,2)</f>
        <v>MA</v>
      </c>
      <c r="D1120" s="182" t="s">
        <v>367</v>
      </c>
      <c r="E1120" s="178">
        <v>10000</v>
      </c>
      <c r="F1120" s="19">
        <v>20</v>
      </c>
      <c r="G1120" s="195">
        <v>46063</v>
      </c>
      <c r="H1120" s="9" t="str">
        <f>VLOOKUP(TablaCosechas[[#This Row],[COD]],DATOS!$E$3:$F$27,2,0)</f>
        <v>MANTARRAYA</v>
      </c>
      <c r="I1120" s="9" t="str">
        <f>RIGHT(TablaCosechas[[#This Row],[SECTOR/PISCINA]],2)</f>
        <v>01</v>
      </c>
      <c r="J1120" s="9" t="str">
        <f>VLOOKUP(TablaCosechas[[#This Row],[COD]],Tabla7[#All],4,0)</f>
        <v>GUSTAVO CARRASCO</v>
      </c>
      <c r="K1120" s="179">
        <f>(TablaCosechas[[#This Row],[libras planta]]*454)/M1120</f>
        <v>215421.17589285714</v>
      </c>
      <c r="L1120" s="215">
        <v>10628.71</v>
      </c>
      <c r="M1120" s="19">
        <v>22.4</v>
      </c>
      <c r="N1120" s="9" t="str">
        <f>UPPER(TEXT(TablaCosechas[[#This Row],[COSECHA]],"MMMM"))</f>
        <v>FEBRERO</v>
      </c>
      <c r="O1120" s="9" t="str">
        <f>IF(A1120="DO 29","BAP",IF(A1120="RO 14","BAP",(VLOOKUP(TablaCosechas[[#This Row],[COD]],Tabla7[[CODIGO]:[CERTIFICACION]],3,0))))</f>
        <v>ASC</v>
      </c>
      <c r="P1120" s="180">
        <f>+L1120-E1120</f>
        <v>628.70999999999913</v>
      </c>
      <c r="Q1120" s="181">
        <f>+M1120-F1120</f>
        <v>2.3999999999999986</v>
      </c>
      <c r="R1120" s="9"/>
    </row>
    <row r="1121" spans="1:18" x14ac:dyDescent="0.25">
      <c r="A1121" s="9" t="s">
        <v>240</v>
      </c>
      <c r="B1121" s="9">
        <f>ROW() - ROW(TablaCosechas[[#Headers],[ID]]) - 4</f>
        <v>1116</v>
      </c>
      <c r="C1121" s="9" t="str">
        <f>LEFT(A1121,2)</f>
        <v>GT</v>
      </c>
      <c r="D1121" s="182" t="s">
        <v>367</v>
      </c>
      <c r="E1121" s="178">
        <v>4400</v>
      </c>
      <c r="F1121" s="19">
        <v>25</v>
      </c>
      <c r="G1121" s="195">
        <v>46063</v>
      </c>
      <c r="H1121" s="9" t="str">
        <f>VLOOKUP(TablaCosechas[[#This Row],[COD]],DATOS!$E$3:$F$27,2,0)</f>
        <v>GUATO</v>
      </c>
      <c r="I1121" s="9" t="str">
        <f>RIGHT(TablaCosechas[[#This Row],[SECTOR/PISCINA]],2)</f>
        <v>19</v>
      </c>
      <c r="J1121" s="9" t="str">
        <f>VLOOKUP(TablaCosechas[[#This Row],[COD]],Tabla7[#All],4,0)</f>
        <v>JULIO SANTOS</v>
      </c>
      <c r="K1121" s="179">
        <f>(TablaCosechas[[#This Row],[libras planta]]*454)/M1121</f>
        <v>80340.974999999991</v>
      </c>
      <c r="L1121" s="215">
        <v>4530.24</v>
      </c>
      <c r="M1121" s="19">
        <v>25.6</v>
      </c>
      <c r="N1121" s="9" t="str">
        <f>UPPER(TEXT(TablaCosechas[[#This Row],[COSECHA]],"MMMM"))</f>
        <v>FEBRERO</v>
      </c>
      <c r="O1121" s="9" t="str">
        <f>IF(A1121="DO 29","BAP",IF(A1121="RO 14","BAP",(VLOOKUP(TablaCosechas[[#This Row],[COD]],Tabla7[[CODIGO]:[CERTIFICACION]],3,0))))</f>
        <v>CONVENCIONAL</v>
      </c>
      <c r="P1121" s="180">
        <f>+L1121-E1121</f>
        <v>130.23999999999978</v>
      </c>
      <c r="Q1121" s="181">
        <f>+M1121-F1121</f>
        <v>0.60000000000000142</v>
      </c>
      <c r="R1121" s="9"/>
    </row>
    <row r="1122" spans="1:18" x14ac:dyDescent="0.25">
      <c r="A1122" s="9" t="s">
        <v>17</v>
      </c>
      <c r="B1122" s="9">
        <f>ROW() - ROW(TablaCosechas[[#Headers],[ID]]) - 4</f>
        <v>1117</v>
      </c>
      <c r="C1122" s="9" t="str">
        <f>LEFT(A1122,2)</f>
        <v>CH</v>
      </c>
      <c r="D1122" s="182" t="s">
        <v>366</v>
      </c>
      <c r="E1122" s="178">
        <v>41600</v>
      </c>
      <c r="F1122" s="19">
        <v>30</v>
      </c>
      <c r="G1122" s="195">
        <v>46063</v>
      </c>
      <c r="H1122" s="9" t="str">
        <f>VLOOKUP(TablaCosechas[[#This Row],[COD]],DATOS!$E$3:$F$27,2,0)</f>
        <v>CHERNA</v>
      </c>
      <c r="I1122" s="9" t="str">
        <f>RIGHT(TablaCosechas[[#This Row],[SECTOR/PISCINA]],2)</f>
        <v>11</v>
      </c>
      <c r="J1122" s="9" t="str">
        <f>VLOOKUP(TablaCosechas[[#This Row],[COD]],Tabla7[#All],4,0)</f>
        <v>SANTIAGO OBRIEN</v>
      </c>
      <c r="K1122" s="179">
        <f>(TablaCosechas[[#This Row],[libras planta]]*454)/M1122</f>
        <v>607493.84670116426</v>
      </c>
      <c r="L1122" s="215">
        <v>41373.81</v>
      </c>
      <c r="M1122" s="19">
        <v>30.92</v>
      </c>
      <c r="N1122" s="9" t="str">
        <f>UPPER(TEXT(TablaCosechas[[#This Row],[COSECHA]],"MMMM"))</f>
        <v>FEBRERO</v>
      </c>
      <c r="O1122" s="9" t="str">
        <f>IF(A1122="DO 29","BAP",IF(A1122="RO 14","BAP",(VLOOKUP(TablaCosechas[[#This Row],[COD]],Tabla7[[CODIGO]:[CERTIFICACION]],3,0))))</f>
        <v>ASC</v>
      </c>
      <c r="P1122" s="180">
        <f>+L1122-E1122</f>
        <v>-226.19000000000233</v>
      </c>
      <c r="Q1122" s="49">
        <f>+M1122-F1122</f>
        <v>0.92000000000000171</v>
      </c>
      <c r="R1122" s="9"/>
    </row>
    <row r="1123" spans="1:18" x14ac:dyDescent="0.25">
      <c r="A1123" s="9" t="s">
        <v>218</v>
      </c>
      <c r="B1123" s="9">
        <f>ROW() - ROW(TablaCosechas[[#Headers],[ID]]) - 4</f>
        <v>1118</v>
      </c>
      <c r="C1123" s="9" t="str">
        <f>LEFT(A1123,2)</f>
        <v>TU</v>
      </c>
      <c r="D1123" s="182" t="s">
        <v>366</v>
      </c>
      <c r="E1123" s="178">
        <v>21650</v>
      </c>
      <c r="F1123" s="19">
        <v>37</v>
      </c>
      <c r="G1123" s="195">
        <v>46064</v>
      </c>
      <c r="H1123" s="9" t="str">
        <f>VLOOKUP(TablaCosechas[[#This Row],[COD]],DATOS!$E$3:$F$27,2,0)</f>
        <v>TUNA</v>
      </c>
      <c r="I1123" s="9" t="str">
        <f>RIGHT(TablaCosechas[[#This Row],[SECTOR/PISCINA]],2)</f>
        <v>06</v>
      </c>
      <c r="J1123" s="9" t="str">
        <f>VLOOKUP(TablaCosechas[[#This Row],[COD]],Tabla7[#All],4,0)</f>
        <v>GUSTAVO CARRASCO</v>
      </c>
      <c r="K1123" s="179">
        <f>(TablaCosechas[[#This Row],[libras planta]]*454)/M1123</f>
        <v>263085.20797576982</v>
      </c>
      <c r="L1123" s="215">
        <v>22959.11</v>
      </c>
      <c r="M1123" s="205">
        <v>39.619999999999997</v>
      </c>
      <c r="N1123" s="9" t="str">
        <f>UPPER(TEXT(TablaCosechas[[#This Row],[COSECHA]],"MMMM"))</f>
        <v>FEBRERO</v>
      </c>
      <c r="O1123" s="9" t="str">
        <f>IF(A1123="DO 29","BAP",IF(A1123="RO 14","BAP",(VLOOKUP(TablaCosechas[[#This Row],[COD]],Tabla7[[CODIGO]:[CERTIFICACION]],3,0))))</f>
        <v>ASC</v>
      </c>
      <c r="P1123" s="180">
        <f>+L1123-E1123</f>
        <v>1309.1100000000006</v>
      </c>
      <c r="Q1123" s="49">
        <f>+M1123-F1123</f>
        <v>2.6199999999999974</v>
      </c>
      <c r="R1123" s="9"/>
    </row>
    <row r="1124" spans="1:18" x14ac:dyDescent="0.25">
      <c r="A1124" s="9" t="s">
        <v>217</v>
      </c>
      <c r="B1124" s="9">
        <f>ROW() - ROW(TablaCosechas[[#Headers],[ID]]) - 4</f>
        <v>1119</v>
      </c>
      <c r="C1124" s="9" t="str">
        <f>LEFT(A1124,2)</f>
        <v>PR</v>
      </c>
      <c r="D1124" s="182" t="s">
        <v>366</v>
      </c>
      <c r="E1124" s="178">
        <v>26600</v>
      </c>
      <c r="F1124" s="19">
        <v>23</v>
      </c>
      <c r="G1124" s="195">
        <v>46064</v>
      </c>
      <c r="H1124" s="9" t="str">
        <f>VLOOKUP(TablaCosechas[[#This Row],[COD]],DATOS!$E$3:$F$27,2,0)</f>
        <v>PARGO ROJO</v>
      </c>
      <c r="I1124" s="9" t="str">
        <f>RIGHT(TablaCosechas[[#This Row],[SECTOR/PISCINA]],2)</f>
        <v>06</v>
      </c>
      <c r="J1124" s="9" t="str">
        <f>VLOOKUP(TablaCosechas[[#This Row],[COD]],Tabla7[#All],4,0)</f>
        <v>WILMER TORRES</v>
      </c>
      <c r="K1124" s="179">
        <f>(TablaCosechas[[#This Row],[libras planta]]*454)/M1124</f>
        <v>595316.47627416521</v>
      </c>
      <c r="L1124" s="215">
        <v>29844.5</v>
      </c>
      <c r="M1124" s="205">
        <v>22.76</v>
      </c>
      <c r="N1124" s="9" t="str">
        <f>UPPER(TEXT(TablaCosechas[[#This Row],[COSECHA]],"MMMM"))</f>
        <v>FEBRERO</v>
      </c>
      <c r="O1124" s="9" t="str">
        <f>IF(A1124="DO 29","BAP",IF(A1124="RO 14","BAP",(VLOOKUP(TablaCosechas[[#This Row],[COD]],Tabla7[[CODIGO]:[CERTIFICACION]],3,0))))</f>
        <v>CONVENCIONAL</v>
      </c>
      <c r="P1124" s="180">
        <f>+L1124-E1124</f>
        <v>3244.5</v>
      </c>
      <c r="Q1124" s="49">
        <f>+M1124-F1124</f>
        <v>-0.23999999999999844</v>
      </c>
      <c r="R1124" s="9"/>
    </row>
    <row r="1125" spans="1:18" x14ac:dyDescent="0.25">
      <c r="A1125" s="9" t="s">
        <v>274</v>
      </c>
      <c r="B1125" s="9">
        <f>ROW() - ROW(TablaCosechas[[#Headers],[ID]]) - 4</f>
        <v>1120</v>
      </c>
      <c r="C1125" s="9" t="str">
        <f>LEFT(A1125,2)</f>
        <v>ME</v>
      </c>
      <c r="D1125" s="182" t="s">
        <v>367</v>
      </c>
      <c r="E1125" s="178">
        <v>8000</v>
      </c>
      <c r="F1125" s="19">
        <v>23</v>
      </c>
      <c r="G1125" s="195">
        <v>46064</v>
      </c>
      <c r="H1125" s="9" t="str">
        <f>VLOOKUP(TablaCosechas[[#This Row],[COD]],DATOS!$E$3:$F$27,2,0)</f>
        <v>MERO</v>
      </c>
      <c r="I1125" s="9" t="str">
        <f>RIGHT(TablaCosechas[[#This Row],[SECTOR/PISCINA]],2)</f>
        <v>04</v>
      </c>
      <c r="J1125" s="9" t="str">
        <f>VLOOKUP(TablaCosechas[[#This Row],[COD]],Tabla7[#All],4,0)</f>
        <v>NESTOR MOGOLLON</v>
      </c>
      <c r="K1125" s="179">
        <f>(TablaCosechas[[#This Row],[libras planta]]*454)/M1125</f>
        <v>134475.2700603969</v>
      </c>
      <c r="L1125" s="215">
        <v>6865.94</v>
      </c>
      <c r="M1125" s="205">
        <v>23.18</v>
      </c>
      <c r="N1125" s="9" t="str">
        <f>UPPER(TEXT(TablaCosechas[[#This Row],[COSECHA]],"MMMM"))</f>
        <v>FEBRERO</v>
      </c>
      <c r="O1125" s="9" t="str">
        <f>IF(A1125="DO 29","BAP",IF(A1125="RO 14","BAP",(VLOOKUP(TablaCosechas[[#This Row],[COD]],Tabla7[[CODIGO]:[CERTIFICACION]],3,0))))</f>
        <v>CONVENCIONAL</v>
      </c>
      <c r="P1125" s="180">
        <f>+L1125-E1125</f>
        <v>-1134.0600000000004</v>
      </c>
      <c r="Q1125" s="49">
        <f>+M1125-F1125</f>
        <v>0.17999999999999972</v>
      </c>
      <c r="R1125" s="9"/>
    </row>
    <row r="1126" spans="1:18" x14ac:dyDescent="0.25">
      <c r="A1126" s="9" t="s">
        <v>238</v>
      </c>
      <c r="B1126" s="9">
        <f>ROW() - ROW(TablaCosechas[[#Headers],[ID]]) - 4</f>
        <v>1121</v>
      </c>
      <c r="C1126" s="9" t="str">
        <f>LEFT(A1126,2)</f>
        <v>GT</v>
      </c>
      <c r="D1126" s="182" t="s">
        <v>367</v>
      </c>
      <c r="E1126" s="178">
        <v>11600</v>
      </c>
      <c r="F1126" s="19">
        <v>27</v>
      </c>
      <c r="G1126" s="195">
        <v>46064</v>
      </c>
      <c r="H1126" s="9" t="str">
        <f>VLOOKUP(TablaCosechas[[#This Row],[COD]],DATOS!$E$3:$F$27,2,0)</f>
        <v>GUATO</v>
      </c>
      <c r="I1126" s="9" t="str">
        <f>RIGHT(TablaCosechas[[#This Row],[SECTOR/PISCINA]],2)</f>
        <v>06</v>
      </c>
      <c r="J1126" s="9" t="str">
        <f>VLOOKUP(TablaCosechas[[#This Row],[COD]],Tabla7[#All],4,0)</f>
        <v>JULIO SANTOS</v>
      </c>
      <c r="K1126" s="179">
        <f>(TablaCosechas[[#This Row],[libras planta]]*454)/M1126</f>
        <v>185854.65198555958</v>
      </c>
      <c r="L1126" s="215">
        <v>11339.59</v>
      </c>
      <c r="M1126" s="205">
        <v>27.7</v>
      </c>
      <c r="N1126" s="9" t="str">
        <f>UPPER(TEXT(TablaCosechas[[#This Row],[COSECHA]],"MMMM"))</f>
        <v>FEBRERO</v>
      </c>
      <c r="O1126" s="9" t="str">
        <f>IF(A1126="DO 29","BAP",IF(A1126="RO 14","BAP",(VLOOKUP(TablaCosechas[[#This Row],[COD]],Tabla7[[CODIGO]:[CERTIFICACION]],3,0))))</f>
        <v>CONVENCIONAL</v>
      </c>
      <c r="P1126" s="180">
        <f>+L1126-E1126</f>
        <v>-260.40999999999985</v>
      </c>
      <c r="Q1126" s="49">
        <f>+M1126-F1126</f>
        <v>0.69999999999999929</v>
      </c>
      <c r="R1126" s="9"/>
    </row>
    <row r="1127" spans="1:18" x14ac:dyDescent="0.25">
      <c r="A1127" s="9" t="s">
        <v>216</v>
      </c>
      <c r="B1127" s="9">
        <f>ROW() - ROW(TablaCosechas[[#Headers],[ID]]) - 4</f>
        <v>1122</v>
      </c>
      <c r="C1127" s="9" t="str">
        <f>LEFT(A1127,2)</f>
        <v>DO</v>
      </c>
      <c r="D1127" s="182" t="s">
        <v>366</v>
      </c>
      <c r="E1127" s="178">
        <v>47600</v>
      </c>
      <c r="F1127" s="19">
        <v>39</v>
      </c>
      <c r="G1127" s="195">
        <v>46064</v>
      </c>
      <c r="H1127" s="9" t="str">
        <f>VLOOKUP(TablaCosechas[[#This Row],[COD]],DATOS!$E$3:$F$27,2,0)</f>
        <v>DORADO</v>
      </c>
      <c r="I1127" s="9" t="str">
        <f>RIGHT(TablaCosechas[[#This Row],[SECTOR/PISCINA]],2)</f>
        <v>21</v>
      </c>
      <c r="J1127" s="9" t="str">
        <f>VLOOKUP(TablaCosechas[[#This Row],[COD]],Tabla7[#All],4,0)</f>
        <v>JOSE CEDEÑO</v>
      </c>
      <c r="K1127" s="179">
        <f>(TablaCosechas[[#This Row],[libras planta]]*454)/M1127</f>
        <v>592254.78447823809</v>
      </c>
      <c r="L1127" s="215">
        <v>49754.62</v>
      </c>
      <c r="M1127" s="205">
        <v>38.14</v>
      </c>
      <c r="N1127" s="9" t="str">
        <f>UPPER(TEXT(TablaCosechas[[#This Row],[COSECHA]],"MMMM"))</f>
        <v>FEBRERO</v>
      </c>
      <c r="O1127" s="9" t="str">
        <f>IF(A1127="DO 29","BAP",IF(A1127="RO 14","BAP",(VLOOKUP(TablaCosechas[[#This Row],[COD]],Tabla7[[CODIGO]:[CERTIFICACION]],3,0))))</f>
        <v>ASC</v>
      </c>
      <c r="P1127" s="180">
        <f>+L1127-E1127</f>
        <v>2154.6200000000026</v>
      </c>
      <c r="Q1127" s="49">
        <f>+M1127-F1127</f>
        <v>-0.85999999999999943</v>
      </c>
      <c r="R1127" s="9"/>
    </row>
    <row r="1128" spans="1:18" x14ac:dyDescent="0.25">
      <c r="A1128" s="9" t="s">
        <v>297</v>
      </c>
      <c r="B1128" s="9">
        <f>ROW() - ROW(TablaCosechas[[#Headers],[ID]]) - 4</f>
        <v>1123</v>
      </c>
      <c r="C1128" s="9" t="str">
        <f>LEFT(A1128,2)</f>
        <v>DO</v>
      </c>
      <c r="D1128" s="182" t="s">
        <v>367</v>
      </c>
      <c r="E1128" s="178">
        <v>16000</v>
      </c>
      <c r="F1128" s="19">
        <v>23</v>
      </c>
      <c r="G1128" s="195">
        <v>46064</v>
      </c>
      <c r="H1128" s="9" t="str">
        <f>VLOOKUP(TablaCosechas[[#This Row],[COD]],DATOS!$E$3:$F$27,2,0)</f>
        <v>DORADO</v>
      </c>
      <c r="I1128" s="9" t="str">
        <f>RIGHT(TablaCosechas[[#This Row],[SECTOR/PISCINA]],2)</f>
        <v>18</v>
      </c>
      <c r="J1128" s="9" t="str">
        <f>VLOOKUP(TablaCosechas[[#This Row],[COD]],Tabla7[#All],4,0)</f>
        <v>JOSE CEDEÑO</v>
      </c>
      <c r="K1128" s="179">
        <f>(TablaCosechas[[#This Row],[libras planta]]*454)/M1128</f>
        <v>274134.83375104424</v>
      </c>
      <c r="L1128" s="215">
        <v>14455.48</v>
      </c>
      <c r="M1128" s="205">
        <v>23.94</v>
      </c>
      <c r="N1128" s="9" t="str">
        <f>UPPER(TEXT(TablaCosechas[[#This Row],[COSECHA]],"MMMM"))</f>
        <v>FEBRERO</v>
      </c>
      <c r="O1128" s="9" t="str">
        <f>IF(A1128="DO 29","BAP",IF(A1128="RO 14","BAP",(VLOOKUP(TablaCosechas[[#This Row],[COD]],Tabla7[[CODIGO]:[CERTIFICACION]],3,0))))</f>
        <v>ASC</v>
      </c>
      <c r="P1128" s="180">
        <f>+L1128-E1128</f>
        <v>-1544.5200000000004</v>
      </c>
      <c r="Q1128" s="49">
        <f>+M1128-F1128</f>
        <v>0.94000000000000128</v>
      </c>
      <c r="R1128" s="9"/>
    </row>
    <row r="1129" spans="1:18" x14ac:dyDescent="0.25">
      <c r="A1129" s="9" t="s">
        <v>28</v>
      </c>
      <c r="B1129" s="9">
        <f>ROW() - ROW(TablaCosechas[[#Headers],[ID]]) - 4</f>
        <v>1124</v>
      </c>
      <c r="C1129" s="9" t="str">
        <f>LEFT(A1129,2)</f>
        <v>CH</v>
      </c>
      <c r="D1129" s="182" t="s">
        <v>367</v>
      </c>
      <c r="E1129" s="178">
        <v>5600</v>
      </c>
      <c r="F1129" s="19">
        <v>23</v>
      </c>
      <c r="G1129" s="195">
        <v>46064</v>
      </c>
      <c r="H1129" s="9" t="str">
        <f>VLOOKUP(TablaCosechas[[#This Row],[COD]],DATOS!$E$3:$F$27,2,0)</f>
        <v>CHERNA</v>
      </c>
      <c r="I1129" s="9" t="str">
        <f>RIGHT(TablaCosechas[[#This Row],[SECTOR/PISCINA]],2)</f>
        <v>22</v>
      </c>
      <c r="J1129" s="9" t="str">
        <f>VLOOKUP(TablaCosechas[[#This Row],[COD]],Tabla7[#All],4,0)</f>
        <v>SANTIAGO OBRIEN</v>
      </c>
      <c r="K1129" s="179">
        <f>(TablaCosechas[[#This Row],[libras planta]]*454)/M1129</f>
        <v>115810.66526492851</v>
      </c>
      <c r="L1129" s="215">
        <v>6066.03</v>
      </c>
      <c r="M1129" s="205">
        <v>23.78</v>
      </c>
      <c r="N1129" s="9" t="str">
        <f>UPPER(TEXT(TablaCosechas[[#This Row],[COSECHA]],"MMMM"))</f>
        <v>FEBRERO</v>
      </c>
      <c r="O1129" s="9" t="str">
        <f>IF(A1129="DO 29","BAP",IF(A1129="RO 14","BAP",(VLOOKUP(TablaCosechas[[#This Row],[COD]],Tabla7[[CODIGO]:[CERTIFICACION]],3,0))))</f>
        <v>ASC</v>
      </c>
      <c r="P1129" s="180">
        <f>+L1129-E1129</f>
        <v>466.02999999999975</v>
      </c>
      <c r="Q1129" s="49">
        <f>+M1129-F1129</f>
        <v>0.78000000000000114</v>
      </c>
      <c r="R1129" s="9"/>
    </row>
    <row r="1130" spans="1:18" x14ac:dyDescent="0.25">
      <c r="A1130" s="9" t="s">
        <v>15</v>
      </c>
      <c r="B1130" s="9">
        <f>ROW() - ROW(TablaCosechas[[#Headers],[ID]]) - 4</f>
        <v>1125</v>
      </c>
      <c r="C1130" s="9" t="str">
        <f>LEFT(A1130,2)</f>
        <v>CH</v>
      </c>
      <c r="D1130" s="182" t="s">
        <v>366</v>
      </c>
      <c r="E1130" s="178">
        <v>59800</v>
      </c>
      <c r="F1130" s="19">
        <v>28</v>
      </c>
      <c r="G1130" s="195">
        <v>46064</v>
      </c>
      <c r="H1130" s="9" t="str">
        <f>VLOOKUP(TablaCosechas[[#This Row],[COD]],DATOS!$E$3:$F$27,2,0)</f>
        <v>CHERNA</v>
      </c>
      <c r="I1130" s="9" t="str">
        <f>RIGHT(TablaCosechas[[#This Row],[SECTOR/PISCINA]],2)</f>
        <v>09</v>
      </c>
      <c r="J1130" s="9" t="str">
        <f>VLOOKUP(TablaCosechas[[#This Row],[COD]],Tabla7[#All],4,0)</f>
        <v>SANTIAGO OBRIEN</v>
      </c>
      <c r="K1130" s="179">
        <f>(TablaCosechas[[#This Row],[libras planta]]*454)/M1130</f>
        <v>919719.63260946958</v>
      </c>
      <c r="L1130" s="215">
        <v>56905.120000000003</v>
      </c>
      <c r="M1130" s="205">
        <v>28.09</v>
      </c>
      <c r="N1130" s="9" t="str">
        <f>UPPER(TEXT(TablaCosechas[[#This Row],[COSECHA]],"MMMM"))</f>
        <v>FEBRERO</v>
      </c>
      <c r="O1130" s="9" t="str">
        <f>IF(A1130="DO 29","BAP",IF(A1130="RO 14","BAP",(VLOOKUP(TablaCosechas[[#This Row],[COD]],Tabla7[[CODIGO]:[CERTIFICACION]],3,0))))</f>
        <v>ASC</v>
      </c>
      <c r="P1130" s="180">
        <f>+L1130-E1130</f>
        <v>-2894.8799999999974</v>
      </c>
      <c r="Q1130" s="49">
        <f>+M1130-F1130</f>
        <v>8.9999999999999858E-2</v>
      </c>
      <c r="R1130" s="9"/>
    </row>
    <row r="1131" spans="1:18" x14ac:dyDescent="0.25">
      <c r="A1131" s="9" t="s">
        <v>236</v>
      </c>
      <c r="B1131" s="9">
        <f>ROW() - ROW(TablaCosechas[[#Headers],[ID]]) - 4</f>
        <v>1126</v>
      </c>
      <c r="C1131" s="9" t="str">
        <f>LEFT(A1131,2)</f>
        <v>WA</v>
      </c>
      <c r="D1131" s="182" t="s">
        <v>367</v>
      </c>
      <c r="E1131" s="178">
        <v>10500</v>
      </c>
      <c r="F1131" s="19">
        <v>29</v>
      </c>
      <c r="G1131" s="195">
        <v>46065</v>
      </c>
      <c r="H1131" s="9" t="str">
        <f>VLOOKUP(TablaCosechas[[#This Row],[COD]],DATOS!$E$3:$F$27,2,0)</f>
        <v>WAHOO</v>
      </c>
      <c r="I1131" s="9" t="str">
        <f>RIGHT(TablaCosechas[[#This Row],[SECTOR/PISCINA]],2)</f>
        <v>32</v>
      </c>
      <c r="J1131" s="9" t="str">
        <f>VLOOKUP(TablaCosechas[[#This Row],[COD]],Tabla7[#All],4,0)</f>
        <v>JUNIOR ESQUIVEL</v>
      </c>
      <c r="K1131" s="179">
        <f>(TablaCosechas[[#This Row],[libras planta]]*454)/M1131</f>
        <v>192579.11020710057</v>
      </c>
      <c r="L1131" s="215">
        <v>11469.91</v>
      </c>
      <c r="M1131" s="19">
        <v>27.04</v>
      </c>
      <c r="N1131" s="9" t="str">
        <f>UPPER(TEXT(TablaCosechas[[#This Row],[COSECHA]],"MMMM"))</f>
        <v>FEBRERO</v>
      </c>
      <c r="O1131" s="9" t="str">
        <f>IF(A1131="DO 29","BAP",IF(A1131="RO 14","BAP",(VLOOKUP(TablaCosechas[[#This Row],[COD]],Tabla7[[CODIGO]:[CERTIFICACION]],3,0))))</f>
        <v>CONVENCIONAL</v>
      </c>
      <c r="P1131" s="180">
        <f>+L1131-E1131</f>
        <v>969.90999999999985</v>
      </c>
      <c r="Q1131" s="49">
        <f>+M1131-F1131</f>
        <v>-1.9600000000000009</v>
      </c>
      <c r="R1131" s="9"/>
    </row>
    <row r="1132" spans="1:18" x14ac:dyDescent="0.25">
      <c r="A1132" s="9" t="s">
        <v>258</v>
      </c>
      <c r="B1132" s="9">
        <f>ROW() - ROW(TablaCosechas[[#Headers],[ID]]) - 4</f>
        <v>1127</v>
      </c>
      <c r="C1132" s="9" t="str">
        <f>LEFT(A1132,2)</f>
        <v>TI</v>
      </c>
      <c r="D1132" s="182" t="s">
        <v>367</v>
      </c>
      <c r="E1132" s="178">
        <v>10500</v>
      </c>
      <c r="F1132" s="19">
        <v>25</v>
      </c>
      <c r="G1132" s="195">
        <v>46065</v>
      </c>
      <c r="H1132" s="9" t="str">
        <f>VLOOKUP(TablaCosechas[[#This Row],[COD]],DATOS!$E$3:$F$27,2,0)</f>
        <v>TIBURON</v>
      </c>
      <c r="I1132" s="9" t="str">
        <f>RIGHT(TablaCosechas[[#This Row],[SECTOR/PISCINA]],2)</f>
        <v>10</v>
      </c>
      <c r="J1132" s="9" t="str">
        <f>VLOOKUP(TablaCosechas[[#This Row],[COD]],Tabla7[#All],4,0)</f>
        <v>ALFONSO GRUNAUER</v>
      </c>
      <c r="K1132" s="179">
        <f>(TablaCosechas[[#This Row],[libras planta]]*454)/M1132</f>
        <v>188794.85336356764</v>
      </c>
      <c r="L1132" s="215">
        <v>11003.33</v>
      </c>
      <c r="M1132" s="19">
        <v>26.46</v>
      </c>
      <c r="N1132" s="9" t="str">
        <f>UPPER(TEXT(TablaCosechas[[#This Row],[COSECHA]],"MMMM"))</f>
        <v>FEBRERO</v>
      </c>
      <c r="O1132" s="9" t="str">
        <f>IF(A1132="DO 29","BAP",IF(A1132="RO 14","BAP",(VLOOKUP(TablaCosechas[[#This Row],[COD]],Tabla7[[CODIGO]:[CERTIFICACION]],3,0))))</f>
        <v>ASC</v>
      </c>
      <c r="P1132" s="180">
        <f>+L1132-E1132</f>
        <v>503.32999999999993</v>
      </c>
      <c r="Q1132" s="49">
        <f>+M1132-F1132</f>
        <v>1.4600000000000009</v>
      </c>
      <c r="R1132" s="9"/>
    </row>
    <row r="1133" spans="1:18" x14ac:dyDescent="0.25">
      <c r="A1133" s="9" t="s">
        <v>224</v>
      </c>
      <c r="B1133" s="9">
        <f>ROW() - ROW(TablaCosechas[[#Headers],[ID]]) - 4</f>
        <v>1128</v>
      </c>
      <c r="C1133" s="9" t="str">
        <f>LEFT(A1133,2)</f>
        <v>TI</v>
      </c>
      <c r="D1133" s="182" t="s">
        <v>367</v>
      </c>
      <c r="E1133" s="178">
        <v>21000</v>
      </c>
      <c r="F1133" s="19">
        <v>34</v>
      </c>
      <c r="G1133" s="195">
        <v>46065</v>
      </c>
      <c r="H1133" s="9" t="str">
        <f>VLOOKUP(TablaCosechas[[#This Row],[COD]],DATOS!$E$3:$F$27,2,0)</f>
        <v>TIBURON</v>
      </c>
      <c r="I1133" s="9" t="str">
        <f>RIGHT(TablaCosechas[[#This Row],[SECTOR/PISCINA]],2)</f>
        <v>02</v>
      </c>
      <c r="J1133" s="9" t="str">
        <f>VLOOKUP(TablaCosechas[[#This Row],[COD]],Tabla7[#All],4,0)</f>
        <v>ALFONSO GRUNAUER</v>
      </c>
      <c r="K1133" s="179">
        <f>(TablaCosechas[[#This Row],[libras planta]]*454)/M1133</f>
        <v>260623.70127001661</v>
      </c>
      <c r="L1133" s="215">
        <v>20792.490000000002</v>
      </c>
      <c r="M1133" s="19">
        <v>36.22</v>
      </c>
      <c r="N1133" s="9" t="str">
        <f>UPPER(TEXT(TablaCosechas[[#This Row],[COSECHA]],"MMMM"))</f>
        <v>FEBRERO</v>
      </c>
      <c r="O1133" s="9" t="str">
        <f>IF(A1133="DO 29","BAP",IF(A1133="RO 14","BAP",(VLOOKUP(TablaCosechas[[#This Row],[COD]],Tabla7[[CODIGO]:[CERTIFICACION]],3,0))))</f>
        <v>ASC</v>
      </c>
      <c r="P1133" s="180">
        <f>+L1133-E1133</f>
        <v>-207.5099999999984</v>
      </c>
      <c r="Q1133" s="49">
        <f>+M1133-F1133</f>
        <v>2.2199999999999989</v>
      </c>
      <c r="R1133" s="9"/>
    </row>
    <row r="1134" spans="1:18" x14ac:dyDescent="0.25">
      <c r="A1134" s="9" t="s">
        <v>278</v>
      </c>
      <c r="B1134" s="9">
        <f>ROW() - ROW(TablaCosechas[[#Headers],[ID]]) - 4</f>
        <v>1129</v>
      </c>
      <c r="C1134" s="9" t="str">
        <f>LEFT(A1134,2)</f>
        <v>ME</v>
      </c>
      <c r="D1134" s="182" t="s">
        <v>367</v>
      </c>
      <c r="E1134" s="178">
        <v>2500</v>
      </c>
      <c r="F1134" s="19">
        <v>28</v>
      </c>
      <c r="G1134" s="195">
        <v>46065</v>
      </c>
      <c r="H1134" s="9" t="str">
        <f>VLOOKUP(TablaCosechas[[#This Row],[COD]],DATOS!$E$3:$F$27,2,0)</f>
        <v>MERO</v>
      </c>
      <c r="I1134" s="9" t="str">
        <f>RIGHT(TablaCosechas[[#This Row],[SECTOR/PISCINA]],2)</f>
        <v>02</v>
      </c>
      <c r="J1134" s="9" t="str">
        <f>VLOOKUP(TablaCosechas[[#This Row],[COD]],Tabla7[#All],4,0)</f>
        <v>NESTOR MOGOLLON</v>
      </c>
      <c r="K1134" s="179">
        <f>(TablaCosechas[[#This Row],[libras planta]]*454)/M1134</f>
        <v>39279.771251931998</v>
      </c>
      <c r="L1134" s="215">
        <v>2239.12</v>
      </c>
      <c r="M1134" s="19">
        <v>25.88</v>
      </c>
      <c r="N1134" s="9" t="str">
        <f>UPPER(TEXT(TablaCosechas[[#This Row],[COSECHA]],"MMMM"))</f>
        <v>FEBRERO</v>
      </c>
      <c r="O1134" s="9" t="str">
        <f>IF(A1134="DO 29","BAP",IF(A1134="RO 14","BAP",(VLOOKUP(TablaCosechas[[#This Row],[COD]],Tabla7[[CODIGO]:[CERTIFICACION]],3,0))))</f>
        <v>CONVENCIONAL</v>
      </c>
      <c r="P1134" s="180">
        <f>+L1134-E1134</f>
        <v>-260.88000000000011</v>
      </c>
      <c r="Q1134" s="49">
        <f>+M1134-F1134</f>
        <v>-2.120000000000001</v>
      </c>
      <c r="R1134" s="9"/>
    </row>
    <row r="1135" spans="1:18" x14ac:dyDescent="0.25">
      <c r="A1135" s="9" t="s">
        <v>281</v>
      </c>
      <c r="B1135" s="9">
        <f>ROW() - ROW(TablaCosechas[[#Headers],[ID]]) - 4</f>
        <v>1130</v>
      </c>
      <c r="C1135" s="9" t="str">
        <f>LEFT(A1135,2)</f>
        <v>ME</v>
      </c>
      <c r="D1135" s="182" t="s">
        <v>367</v>
      </c>
      <c r="E1135" s="178">
        <v>1500</v>
      </c>
      <c r="F1135" s="19">
        <v>23</v>
      </c>
      <c r="G1135" s="195">
        <v>46065</v>
      </c>
      <c r="H1135" s="9" t="str">
        <f>VLOOKUP(TablaCosechas[[#This Row],[COD]],DATOS!$E$3:$F$27,2,0)</f>
        <v>MERO</v>
      </c>
      <c r="I1135" s="9" t="str">
        <f>RIGHT(TablaCosechas[[#This Row],[SECTOR/PISCINA]],2)</f>
        <v>01</v>
      </c>
      <c r="J1135" s="9" t="str">
        <f>VLOOKUP(TablaCosechas[[#This Row],[COD]],Tabla7[#All],4,0)</f>
        <v>NESTOR MOGOLLON</v>
      </c>
      <c r="K1135" s="179">
        <f>(TablaCosechas[[#This Row],[libras planta]]*454)/M1135</f>
        <v>25985.497152156226</v>
      </c>
      <c r="L1135" s="215">
        <v>1406.88</v>
      </c>
      <c r="M1135" s="19">
        <v>24.58</v>
      </c>
      <c r="N1135" s="9" t="str">
        <f>UPPER(TEXT(TablaCosechas[[#This Row],[COSECHA]],"MMMM"))</f>
        <v>FEBRERO</v>
      </c>
      <c r="O1135" s="9" t="str">
        <f>IF(A1135="DO 29","BAP",IF(A1135="RO 14","BAP",(VLOOKUP(TablaCosechas[[#This Row],[COD]],Tabla7[[CODIGO]:[CERTIFICACION]],3,0))))</f>
        <v>CONVENCIONAL</v>
      </c>
      <c r="P1135" s="180">
        <f>+L1135-E1135</f>
        <v>-93.119999999999891</v>
      </c>
      <c r="Q1135" s="49">
        <f>+M1135-F1135</f>
        <v>1.5799999999999983</v>
      </c>
      <c r="R1135" s="9"/>
    </row>
    <row r="1136" spans="1:18" x14ac:dyDescent="0.25">
      <c r="A1136" s="9" t="s">
        <v>221</v>
      </c>
      <c r="B1136" s="9">
        <f>ROW() - ROW(TablaCosechas[[#Headers],[ID]]) - 4</f>
        <v>1131</v>
      </c>
      <c r="C1136" s="9" t="str">
        <f>LEFT(A1136,2)</f>
        <v>MA</v>
      </c>
      <c r="D1136" s="182" t="s">
        <v>366</v>
      </c>
      <c r="E1136" s="178">
        <v>14850</v>
      </c>
      <c r="F1136" s="19">
        <v>41</v>
      </c>
      <c r="G1136" s="195">
        <v>46065</v>
      </c>
      <c r="H1136" s="9" t="str">
        <f>VLOOKUP(TablaCosechas[[#This Row],[COD]],DATOS!$E$3:$F$27,2,0)</f>
        <v>MANTARRAYA</v>
      </c>
      <c r="I1136" s="9" t="str">
        <f>RIGHT(TablaCosechas[[#This Row],[SECTOR/PISCINA]],2)</f>
        <v>11</v>
      </c>
      <c r="J1136" s="9" t="str">
        <f>VLOOKUP(TablaCosechas[[#This Row],[COD]],Tabla7[#All],4,0)</f>
        <v>GUSTAVO CARRASCO</v>
      </c>
      <c r="K1136" s="179">
        <f>(TablaCosechas[[#This Row],[libras planta]]*454)/M1136</f>
        <v>137398.84074544685</v>
      </c>
      <c r="L1136" s="215">
        <v>14290.69</v>
      </c>
      <c r="M1136" s="19">
        <v>47.22</v>
      </c>
      <c r="N1136" s="9" t="str">
        <f>UPPER(TEXT(TablaCosechas[[#This Row],[COSECHA]],"MMMM"))</f>
        <v>FEBRERO</v>
      </c>
      <c r="O1136" s="9" t="str">
        <f>IF(A1136="DO 29","BAP",IF(A1136="RO 14","BAP",(VLOOKUP(TablaCosechas[[#This Row],[COD]],Tabla7[[CODIGO]:[CERTIFICACION]],3,0))))</f>
        <v>ASC</v>
      </c>
      <c r="P1136" s="180">
        <f>+L1136-E1136</f>
        <v>-559.30999999999949</v>
      </c>
      <c r="Q1136" s="49">
        <f>+M1136-F1136</f>
        <v>6.2199999999999989</v>
      </c>
      <c r="R1136" s="9"/>
    </row>
    <row r="1137" spans="1:18" x14ac:dyDescent="0.25">
      <c r="A1137" s="9" t="s">
        <v>243</v>
      </c>
      <c r="B1137" s="9">
        <f>ROW() - ROW(TablaCosechas[[#Headers],[ID]]) - 4</f>
        <v>1132</v>
      </c>
      <c r="C1137" s="9" t="str">
        <f>LEFT(A1137,2)</f>
        <v>GT</v>
      </c>
      <c r="D1137" s="182" t="s">
        <v>367</v>
      </c>
      <c r="E1137" s="178">
        <v>3200</v>
      </c>
      <c r="F1137" s="19">
        <v>25</v>
      </c>
      <c r="G1137" s="195">
        <v>46065</v>
      </c>
      <c r="H1137" s="9" t="str">
        <f>VLOOKUP(TablaCosechas[[#This Row],[COD]],DATOS!$E$3:$F$27,2,0)</f>
        <v>GUATO</v>
      </c>
      <c r="I1137" s="9" t="str">
        <f>RIGHT(TablaCosechas[[#This Row],[SECTOR/PISCINA]],2)</f>
        <v>20</v>
      </c>
      <c r="J1137" s="9" t="str">
        <f>VLOOKUP(TablaCosechas[[#This Row],[COD]],Tabla7[#All],4,0)</f>
        <v>JULIO SANTOS</v>
      </c>
      <c r="K1137" s="179">
        <f>(TablaCosechas[[#This Row],[libras planta]]*454)/M1137</f>
        <v>53453.711324944488</v>
      </c>
      <c r="L1137" s="215">
        <v>3181.32</v>
      </c>
      <c r="M1137" s="19">
        <v>27.02</v>
      </c>
      <c r="N1137" s="9" t="str">
        <f>UPPER(TEXT(TablaCosechas[[#This Row],[COSECHA]],"MMMM"))</f>
        <v>FEBRERO</v>
      </c>
      <c r="O1137" s="9" t="str">
        <f>IF(A1137="DO 29","BAP",IF(A1137="RO 14","BAP",(VLOOKUP(TablaCosechas[[#This Row],[COD]],Tabla7[[CODIGO]:[CERTIFICACION]],3,0))))</f>
        <v>CONVENCIONAL</v>
      </c>
      <c r="P1137" s="180">
        <f>+L1137-E1137</f>
        <v>-18.679999999999836</v>
      </c>
      <c r="Q1137" s="49">
        <f>+M1137-F1137</f>
        <v>2.0199999999999996</v>
      </c>
      <c r="R1137" s="9"/>
    </row>
    <row r="1138" spans="1:18" x14ac:dyDescent="0.25">
      <c r="A1138" s="9" t="s">
        <v>220</v>
      </c>
      <c r="B1138" s="9">
        <f>ROW() - ROW(TablaCosechas[[#Headers],[ID]]) - 4</f>
        <v>1133</v>
      </c>
      <c r="C1138" s="9" t="str">
        <f>LEFT(A1138,2)</f>
        <v>DO</v>
      </c>
      <c r="D1138" s="182" t="s">
        <v>366</v>
      </c>
      <c r="E1138" s="178">
        <f>16700+2000</f>
        <v>18700</v>
      </c>
      <c r="F1138" s="19">
        <v>36</v>
      </c>
      <c r="G1138" s="195">
        <v>46065</v>
      </c>
      <c r="H1138" s="9" t="str">
        <f>VLOOKUP(TablaCosechas[[#This Row],[COD]],DATOS!$E$3:$F$27,2,0)</f>
        <v>DORADO</v>
      </c>
      <c r="I1138" s="9" t="str">
        <f>RIGHT(TablaCosechas[[#This Row],[SECTOR/PISCINA]],2)</f>
        <v>13</v>
      </c>
      <c r="J1138" s="9" t="str">
        <f>VLOOKUP(TablaCosechas[[#This Row],[COD]],Tabla7[#All],4,0)</f>
        <v>JOSE CEDEÑO</v>
      </c>
      <c r="K1138" s="179">
        <f>(TablaCosechas[[#This Row],[libras planta]]*454)/M1138</f>
        <v>241065.46081504697</v>
      </c>
      <c r="L1138" s="215">
        <v>18632.13</v>
      </c>
      <c r="M1138" s="19">
        <v>35.090000000000003</v>
      </c>
      <c r="N1138" s="9" t="str">
        <f>UPPER(TEXT(TablaCosechas[[#This Row],[COSECHA]],"MMMM"))</f>
        <v>FEBRERO</v>
      </c>
      <c r="O1138" s="9" t="str">
        <f>IF(A1138="DO 29","BAP",IF(A1138="RO 14","BAP",(VLOOKUP(TablaCosechas[[#This Row],[COD]],Tabla7[[CODIGO]:[CERTIFICACION]],3,0))))</f>
        <v>ASC</v>
      </c>
      <c r="P1138" s="180">
        <f>+L1138-E1138</f>
        <v>-67.869999999998981</v>
      </c>
      <c r="Q1138" s="49">
        <f>+M1138-F1138</f>
        <v>-0.90999999999999659</v>
      </c>
      <c r="R1138" s="9"/>
    </row>
    <row r="1139" spans="1:18" x14ac:dyDescent="0.25">
      <c r="A1139" s="9" t="s">
        <v>219</v>
      </c>
      <c r="B1139" s="9">
        <f>ROW() - ROW(TablaCosechas[[#Headers],[ID]]) - 4</f>
        <v>1134</v>
      </c>
      <c r="C1139" s="9" t="str">
        <f>LEFT(A1139,2)</f>
        <v>DO</v>
      </c>
      <c r="D1139" s="182" t="s">
        <v>366</v>
      </c>
      <c r="E1139" s="178">
        <v>65300</v>
      </c>
      <c r="F1139" s="19">
        <v>35</v>
      </c>
      <c r="G1139" s="195">
        <v>46065</v>
      </c>
      <c r="H1139" s="9" t="str">
        <f>VLOOKUP(TablaCosechas[[#This Row],[COD]],DATOS!$E$3:$F$27,2,0)</f>
        <v>DORADO</v>
      </c>
      <c r="I1139" s="9" t="str">
        <f>RIGHT(TablaCosechas[[#This Row],[SECTOR/PISCINA]],2)</f>
        <v>11</v>
      </c>
      <c r="J1139" s="9" t="str">
        <f>VLOOKUP(TablaCosechas[[#This Row],[COD]],Tabla7[#All],4,0)</f>
        <v>JOSE CEDEÑO</v>
      </c>
      <c r="K1139" s="179">
        <f>(TablaCosechas[[#This Row],[libras planta]]*454)/M1139</f>
        <v>797873.30290010734</v>
      </c>
      <c r="L1139" s="215">
        <v>65446.7</v>
      </c>
      <c r="M1139" s="19">
        <v>37.24</v>
      </c>
      <c r="N1139" s="9" t="str">
        <f>UPPER(TEXT(TablaCosechas[[#This Row],[COSECHA]],"MMMM"))</f>
        <v>FEBRERO</v>
      </c>
      <c r="O1139" s="9" t="str">
        <f>IF(A1139="DO 29","BAP",IF(A1139="RO 14","BAP",(VLOOKUP(TablaCosechas[[#This Row],[COD]],Tabla7[[CODIGO]:[CERTIFICACION]],3,0))))</f>
        <v>ASC</v>
      </c>
      <c r="P1139" s="180">
        <f>+L1139-E1139</f>
        <v>146.69999999999709</v>
      </c>
      <c r="Q1139" s="181">
        <f>+M1139-F1139</f>
        <v>2.240000000000002</v>
      </c>
      <c r="R1139" s="9"/>
    </row>
    <row r="1140" spans="1:18" x14ac:dyDescent="0.25">
      <c r="A1140" s="9" t="s">
        <v>19</v>
      </c>
      <c r="B1140" s="9">
        <f>ROW() - ROW(TablaCosechas[[#Headers],[ID]]) - 4</f>
        <v>1135</v>
      </c>
      <c r="C1140" s="9" t="str">
        <f>LEFT(A1140,2)</f>
        <v>CH</v>
      </c>
      <c r="D1140" s="182" t="s">
        <v>366</v>
      </c>
      <c r="E1140" s="178">
        <f>33500+500</f>
        <v>34000</v>
      </c>
      <c r="F1140" s="19">
        <v>29</v>
      </c>
      <c r="G1140" s="195">
        <v>46065</v>
      </c>
      <c r="H1140" s="9" t="str">
        <f>VLOOKUP(TablaCosechas[[#This Row],[COD]],DATOS!$E$3:$F$27,2,0)</f>
        <v>CHERNA</v>
      </c>
      <c r="I1140" s="9" t="str">
        <f>RIGHT(TablaCosechas[[#This Row],[SECTOR/PISCINA]],2)</f>
        <v>13</v>
      </c>
      <c r="J1140" s="9" t="str">
        <f>VLOOKUP(TablaCosechas[[#This Row],[COD]],Tabla7[#All],4,0)</f>
        <v>SANTIAGO OBRIEN</v>
      </c>
      <c r="K1140" s="179">
        <f>(TablaCosechas[[#This Row],[libras planta]]*454)/M1140</f>
        <v>513707.59582109045</v>
      </c>
      <c r="L1140" s="215">
        <v>34658.29</v>
      </c>
      <c r="M1140" s="19">
        <v>30.63</v>
      </c>
      <c r="N1140" s="9" t="str">
        <f>UPPER(TEXT(TablaCosechas[[#This Row],[COSECHA]],"MMMM"))</f>
        <v>FEBRERO</v>
      </c>
      <c r="O1140" s="9" t="str">
        <f>IF(A1140="DO 29","BAP",IF(A1140="RO 14","BAP",(VLOOKUP(TablaCosechas[[#This Row],[COD]],Tabla7[[CODIGO]:[CERTIFICACION]],3,0))))</f>
        <v>ASC</v>
      </c>
      <c r="P1140" s="180">
        <f>+L1140-E1140</f>
        <v>658.29000000000087</v>
      </c>
      <c r="Q1140" s="181">
        <f>+M1140-F1140</f>
        <v>1.629999999999999</v>
      </c>
      <c r="R1140" s="9"/>
    </row>
    <row r="1141" spans="1:18" x14ac:dyDescent="0.25">
      <c r="A1141" s="9" t="s">
        <v>18</v>
      </c>
      <c r="B1141" s="9">
        <f>ROW() - ROW(TablaCosechas[[#Headers],[ID]]) - 4</f>
        <v>1136</v>
      </c>
      <c r="C1141" s="9" t="str">
        <f>LEFT(A1141,2)</f>
        <v>CH</v>
      </c>
      <c r="D1141" s="182" t="s">
        <v>367</v>
      </c>
      <c r="E1141" s="178">
        <v>6000</v>
      </c>
      <c r="F1141" s="19">
        <v>25</v>
      </c>
      <c r="G1141" s="195">
        <v>46065</v>
      </c>
      <c r="H1141" s="9" t="str">
        <f>VLOOKUP(TablaCosechas[[#This Row],[COD]],DATOS!$E$3:$F$27,2,0)</f>
        <v>CHERNA</v>
      </c>
      <c r="I1141" s="9" t="str">
        <f>RIGHT(TablaCosechas[[#This Row],[SECTOR/PISCINA]],2)</f>
        <v>12</v>
      </c>
      <c r="J1141" s="9" t="str">
        <f>VLOOKUP(TablaCosechas[[#This Row],[COD]],Tabla7[#All],4,0)</f>
        <v>SANTIAGO OBRIEN</v>
      </c>
      <c r="K1141" s="179">
        <f>(TablaCosechas[[#This Row],[libras planta]]*454)/M1141</f>
        <v>124001.81335773102</v>
      </c>
      <c r="L1141" s="215">
        <v>5970.66</v>
      </c>
      <c r="M1141" s="19">
        <v>21.86</v>
      </c>
      <c r="N1141" s="9" t="str">
        <f>UPPER(TEXT(TablaCosechas[[#This Row],[COSECHA]],"MMMM"))</f>
        <v>FEBRERO</v>
      </c>
      <c r="O1141" s="9" t="str">
        <f>IF(A1141="DO 29","BAP",IF(A1141="RO 14","BAP",(VLOOKUP(TablaCosechas[[#This Row],[COD]],Tabla7[[CODIGO]:[CERTIFICACION]],3,0))))</f>
        <v>ASC</v>
      </c>
      <c r="P1141" s="180">
        <f>+L1141-E1141</f>
        <v>-29.340000000000146</v>
      </c>
      <c r="Q1141" s="181">
        <f>+M1141-F1141</f>
        <v>-3.1400000000000006</v>
      </c>
      <c r="R1141" s="9"/>
    </row>
    <row r="1142" spans="1:18" x14ac:dyDescent="0.25">
      <c r="A1142" s="9" t="s">
        <v>303</v>
      </c>
      <c r="B1142" s="9">
        <f>ROW() - ROW(TablaCosechas[[#Headers],[ID]]) - 4</f>
        <v>1137</v>
      </c>
      <c r="C1142" s="9" t="str">
        <f>LEFT(A1142,2)</f>
        <v>TI</v>
      </c>
      <c r="D1142" s="182" t="s">
        <v>367</v>
      </c>
      <c r="E1142" s="178">
        <v>20000</v>
      </c>
      <c r="F1142" s="19">
        <v>19.5</v>
      </c>
      <c r="G1142" s="195">
        <v>46066</v>
      </c>
      <c r="H1142" s="9" t="str">
        <f>VLOOKUP(TablaCosechas[[#This Row],[COD]],DATOS!$E$3:$F$27,2,0)</f>
        <v>TIBURON</v>
      </c>
      <c r="I1142" s="9" t="str">
        <f>RIGHT(TablaCosechas[[#This Row],[SECTOR/PISCINA]],2)</f>
        <v>16</v>
      </c>
      <c r="J1142" s="9" t="str">
        <f>VLOOKUP(TablaCosechas[[#This Row],[COD]],Tabla7[#All],4,0)</f>
        <v>ALFONSO GRUNAUER</v>
      </c>
      <c r="K1142" s="179">
        <f>(TablaCosechas[[#This Row],[libras planta]]*454)/M1142</f>
        <v>465758.23932472686</v>
      </c>
      <c r="L1142" s="215">
        <v>20661.61</v>
      </c>
      <c r="M1142" s="19">
        <v>20.14</v>
      </c>
      <c r="N1142" s="9" t="str">
        <f>UPPER(TEXT(TablaCosechas[[#This Row],[COSECHA]],"MMMM"))</f>
        <v>FEBRERO</v>
      </c>
      <c r="O1142" s="9" t="str">
        <f>IF(A1142="DO 29","BAP",IF(A1142="RO 14","BAP",(VLOOKUP(TablaCosechas[[#This Row],[COD]],Tabla7[[CODIGO]:[CERTIFICACION]],3,0))))</f>
        <v>ASC</v>
      </c>
      <c r="P1142" s="180">
        <f>+L1142-E1142</f>
        <v>661.61000000000058</v>
      </c>
      <c r="Q1142" s="181">
        <f>+M1142-F1142</f>
        <v>0.64000000000000057</v>
      </c>
      <c r="R1142" s="9"/>
    </row>
    <row r="1143" spans="1:18" x14ac:dyDescent="0.25">
      <c r="A1143" s="9" t="s">
        <v>300</v>
      </c>
      <c r="B1143" s="9">
        <f>ROW() - ROW(TablaCosechas[[#Headers],[ID]]) - 4</f>
        <v>1138</v>
      </c>
      <c r="C1143" s="9" t="str">
        <f>LEFT(A1143,2)</f>
        <v>TI</v>
      </c>
      <c r="D1143" s="182" t="s">
        <v>367</v>
      </c>
      <c r="E1143" s="178">
        <v>13600</v>
      </c>
      <c r="F1143" s="19">
        <v>19</v>
      </c>
      <c r="G1143" s="195">
        <v>46066</v>
      </c>
      <c r="H1143" s="9" t="str">
        <f>VLOOKUP(TablaCosechas[[#This Row],[COD]],DATOS!$E$3:$F$27,2,0)</f>
        <v>TIBURON</v>
      </c>
      <c r="I1143" s="9" t="str">
        <f>RIGHT(TablaCosechas[[#This Row],[SECTOR/PISCINA]],2)</f>
        <v>15</v>
      </c>
      <c r="J1143" s="9" t="str">
        <f>VLOOKUP(TablaCosechas[[#This Row],[COD]],Tabla7[#All],4,0)</f>
        <v>ALFONSO GRUNAUER</v>
      </c>
      <c r="K1143" s="179">
        <f>(TablaCosechas[[#This Row],[libras planta]]*454)/M1143</f>
        <v>301108.79585492227</v>
      </c>
      <c r="L1143" s="215">
        <v>12800.44</v>
      </c>
      <c r="M1143" s="19">
        <v>19.3</v>
      </c>
      <c r="N1143" s="9" t="str">
        <f>UPPER(TEXT(TablaCosechas[[#This Row],[COSECHA]],"MMMM"))</f>
        <v>FEBRERO</v>
      </c>
      <c r="O1143" s="9" t="str">
        <f>IF(A1143="DO 29","BAP",IF(A1143="RO 14","BAP",(VLOOKUP(TablaCosechas[[#This Row],[COD]],Tabla7[[CODIGO]:[CERTIFICACION]],3,0))))</f>
        <v>ASC</v>
      </c>
      <c r="P1143" s="180">
        <f>+L1143-E1143</f>
        <v>-799.55999999999949</v>
      </c>
      <c r="Q1143" s="181">
        <f>+M1143-F1143</f>
        <v>0.30000000000000071</v>
      </c>
      <c r="R1143" s="9"/>
    </row>
    <row r="1144" spans="1:18" x14ac:dyDescent="0.25">
      <c r="A1144" s="9" t="s">
        <v>224</v>
      </c>
      <c r="B1144" s="9">
        <f>ROW() - ROW(TablaCosechas[[#Headers],[ID]]) - 4</f>
        <v>1139</v>
      </c>
      <c r="C1144" s="9" t="str">
        <f>LEFT(A1144,2)</f>
        <v>TI</v>
      </c>
      <c r="D1144" s="182" t="s">
        <v>366</v>
      </c>
      <c r="E1144" s="178">
        <f>19000+13100</f>
        <v>32100</v>
      </c>
      <c r="F1144" s="19">
        <v>34</v>
      </c>
      <c r="G1144" s="195">
        <v>46066</v>
      </c>
      <c r="H1144" s="9" t="str">
        <f>VLOOKUP(TablaCosechas[[#This Row],[COD]],DATOS!$E$3:$F$27,2,0)</f>
        <v>TIBURON</v>
      </c>
      <c r="I1144" s="9" t="str">
        <f>RIGHT(TablaCosechas[[#This Row],[SECTOR/PISCINA]],2)</f>
        <v>02</v>
      </c>
      <c r="J1144" s="9" t="str">
        <f>VLOOKUP(TablaCosechas[[#This Row],[COD]],Tabla7[#All],4,0)</f>
        <v>ALFONSO GRUNAUER</v>
      </c>
      <c r="K1144" s="179">
        <f>(TablaCosechas[[#This Row],[libras planta]]*454)/M1144</f>
        <v>401752.10132412205</v>
      </c>
      <c r="L1144" s="215">
        <v>30742</v>
      </c>
      <c r="M1144" s="19">
        <v>34.74</v>
      </c>
      <c r="N1144" s="9" t="str">
        <f>UPPER(TEXT(TablaCosechas[[#This Row],[COSECHA]],"MMMM"))</f>
        <v>FEBRERO</v>
      </c>
      <c r="O1144" s="9" t="str">
        <f>IF(A1144="DO 29","BAP",IF(A1144="RO 14","BAP",(VLOOKUP(TablaCosechas[[#This Row],[COD]],Tabla7[[CODIGO]:[CERTIFICACION]],3,0))))</f>
        <v>ASC</v>
      </c>
      <c r="P1144" s="180">
        <f>+L1144-E1144</f>
        <v>-1358</v>
      </c>
      <c r="Q1144" s="181">
        <f>+M1144-F1144</f>
        <v>0.74000000000000199</v>
      </c>
      <c r="R1144" s="9"/>
    </row>
    <row r="1145" spans="1:18" x14ac:dyDescent="0.25">
      <c r="A1145" s="9" t="s">
        <v>223</v>
      </c>
      <c r="B1145" s="9">
        <f>ROW() - ROW(TablaCosechas[[#Headers],[ID]]) - 4</f>
        <v>1140</v>
      </c>
      <c r="C1145" s="9" t="str">
        <f>LEFT(A1145,2)</f>
        <v>ME</v>
      </c>
      <c r="D1145" s="182" t="s">
        <v>366</v>
      </c>
      <c r="E1145" s="178">
        <v>6450</v>
      </c>
      <c r="F1145" s="19">
        <v>30</v>
      </c>
      <c r="G1145" s="195">
        <v>46066</v>
      </c>
      <c r="H1145" s="9" t="str">
        <f>VLOOKUP(TablaCosechas[[#This Row],[COD]],DATOS!$E$3:$F$27,2,0)</f>
        <v>MERO</v>
      </c>
      <c r="I1145" s="9" t="str">
        <f>RIGHT(TablaCosechas[[#This Row],[SECTOR/PISCINA]],2)</f>
        <v>17</v>
      </c>
      <c r="J1145" s="9" t="str">
        <f>VLOOKUP(TablaCosechas[[#This Row],[COD]],Tabla7[#All],4,0)</f>
        <v>NESTOR MOGOLLON</v>
      </c>
      <c r="K1145" s="179">
        <f>(TablaCosechas[[#This Row],[libras planta]]*454)/M1145</f>
        <v>69966.885940146793</v>
      </c>
      <c r="L1145" s="215">
        <v>5458.65</v>
      </c>
      <c r="M1145" s="19">
        <v>35.42</v>
      </c>
      <c r="N1145" s="9" t="str">
        <f>UPPER(TEXT(TablaCosechas[[#This Row],[COSECHA]],"MMMM"))</f>
        <v>FEBRERO</v>
      </c>
      <c r="O1145" s="9" t="str">
        <f>IF(A1145="DO 29","BAP",IF(A1145="RO 14","BAP",(VLOOKUP(TablaCosechas[[#This Row],[COD]],Tabla7[[CODIGO]:[CERTIFICACION]],3,0))))</f>
        <v>CONVENCIONAL</v>
      </c>
      <c r="P1145" s="180">
        <f>+L1145-E1145</f>
        <v>-991.35000000000036</v>
      </c>
      <c r="Q1145" s="181">
        <f>+M1145-F1145</f>
        <v>5.4200000000000017</v>
      </c>
      <c r="R1145" s="9"/>
    </row>
    <row r="1146" spans="1:18" x14ac:dyDescent="0.25">
      <c r="A1146" s="9" t="s">
        <v>268</v>
      </c>
      <c r="B1146" s="9">
        <f>ROW() - ROW(TablaCosechas[[#Headers],[ID]]) - 4</f>
        <v>1141</v>
      </c>
      <c r="C1146" s="9" t="str">
        <f>LEFT(A1146,2)</f>
        <v>MA</v>
      </c>
      <c r="D1146" s="182" t="s">
        <v>367</v>
      </c>
      <c r="E1146" s="178">
        <v>18400</v>
      </c>
      <c r="F1146" s="19">
        <v>27</v>
      </c>
      <c r="G1146" s="195">
        <v>46066</v>
      </c>
      <c r="H1146" s="9" t="str">
        <f>VLOOKUP(TablaCosechas[[#This Row],[COD]],DATOS!$E$3:$F$27,2,0)</f>
        <v>MANTARRAYA</v>
      </c>
      <c r="I1146" s="9" t="str">
        <f>RIGHT(TablaCosechas[[#This Row],[SECTOR/PISCINA]],2)</f>
        <v>10</v>
      </c>
      <c r="J1146" s="9" t="str">
        <f>VLOOKUP(TablaCosechas[[#This Row],[COD]],Tabla7[#All],4,0)</f>
        <v>GUSTAVO CARRASCO</v>
      </c>
      <c r="K1146" s="179">
        <f>(TablaCosechas[[#This Row],[libras planta]]*454)/M1146</f>
        <v>277797.62508614751</v>
      </c>
      <c r="L1146" s="215">
        <v>17757.02</v>
      </c>
      <c r="M1146" s="19">
        <v>29.02</v>
      </c>
      <c r="N1146" s="9" t="str">
        <f>UPPER(TEXT(TablaCosechas[[#This Row],[COSECHA]],"MMMM"))</f>
        <v>FEBRERO</v>
      </c>
      <c r="O1146" s="9" t="str">
        <f>IF(A1146="DO 29","BAP",IF(A1146="RO 14","BAP",(VLOOKUP(TablaCosechas[[#This Row],[COD]],Tabla7[[CODIGO]:[CERTIFICACION]],3,0))))</f>
        <v>ASC</v>
      </c>
      <c r="P1146" s="180">
        <f>+L1146-E1146</f>
        <v>-642.97999999999956</v>
      </c>
      <c r="Q1146" s="181">
        <f>+M1146-F1146</f>
        <v>2.0199999999999996</v>
      </c>
      <c r="R1146" s="9"/>
    </row>
    <row r="1147" spans="1:18" x14ac:dyDescent="0.25">
      <c r="A1147" s="9" t="s">
        <v>222</v>
      </c>
      <c r="B1147" s="9">
        <f>ROW() - ROW(TablaCosechas[[#Headers],[ID]]) - 4</f>
        <v>1142</v>
      </c>
      <c r="C1147" s="9" t="str">
        <f>LEFT(A1147,2)</f>
        <v>GT</v>
      </c>
      <c r="D1147" s="182" t="s">
        <v>366</v>
      </c>
      <c r="E1147" s="178">
        <v>14800</v>
      </c>
      <c r="F1147" s="19">
        <v>29</v>
      </c>
      <c r="G1147" s="195">
        <v>46066</v>
      </c>
      <c r="H1147" s="9" t="str">
        <f>VLOOKUP(TablaCosechas[[#This Row],[COD]],DATOS!$E$3:$F$27,2,0)</f>
        <v>GUATO</v>
      </c>
      <c r="I1147" s="9" t="str">
        <f>RIGHT(TablaCosechas[[#This Row],[SECTOR/PISCINA]],2)</f>
        <v>17</v>
      </c>
      <c r="J1147" s="9" t="str">
        <f>VLOOKUP(TablaCosechas[[#This Row],[COD]],Tabla7[#All],4,0)</f>
        <v>JULIO SANTOS</v>
      </c>
      <c r="K1147" s="179">
        <f>(TablaCosechas[[#This Row],[libras planta]]*454)/M1147</f>
        <v>267511.89496559219</v>
      </c>
      <c r="L1147" s="215">
        <v>16268.73</v>
      </c>
      <c r="M1147" s="19">
        <v>27.61</v>
      </c>
      <c r="N1147" s="9" t="str">
        <f>UPPER(TEXT(TablaCosechas[[#This Row],[COSECHA]],"MMMM"))</f>
        <v>FEBRERO</v>
      </c>
      <c r="O1147" s="9" t="str">
        <f>IF(A1147="DO 29","BAP",IF(A1147="RO 14","BAP",(VLOOKUP(TablaCosechas[[#This Row],[COD]],Tabla7[[CODIGO]:[CERTIFICACION]],3,0))))</f>
        <v>CONVENCIONAL</v>
      </c>
      <c r="P1147" s="180">
        <f>+L1147-E1147</f>
        <v>1468.7299999999996</v>
      </c>
      <c r="Q1147" s="181">
        <f>+M1147-F1147</f>
        <v>-1.3900000000000006</v>
      </c>
      <c r="R1147" s="9"/>
    </row>
    <row r="1148" spans="1:18" x14ac:dyDescent="0.25">
      <c r="A1148" s="9" t="s">
        <v>270</v>
      </c>
      <c r="B1148" s="9">
        <f>ROW() - ROW(TablaCosechas[[#Headers],[ID]]) - 4</f>
        <v>1143</v>
      </c>
      <c r="C1148" s="9" t="str">
        <f>LEFT(A1148,2)</f>
        <v>DO</v>
      </c>
      <c r="D1148" s="182" t="s">
        <v>367</v>
      </c>
      <c r="E1148" s="178">
        <v>7600</v>
      </c>
      <c r="F1148" s="19">
        <v>29</v>
      </c>
      <c r="G1148" s="195">
        <v>46066</v>
      </c>
      <c r="H1148" s="9" t="str">
        <f>VLOOKUP(TablaCosechas[[#This Row],[COD]],DATOS!$E$3:$F$27,2,0)</f>
        <v>DORADO</v>
      </c>
      <c r="I1148" s="9" t="str">
        <f>RIGHT(TablaCosechas[[#This Row],[SECTOR/PISCINA]],2)</f>
        <v>01</v>
      </c>
      <c r="J1148" s="9" t="str">
        <f>VLOOKUP(TablaCosechas[[#This Row],[COD]],Tabla7[#All],4,0)</f>
        <v>JOSE CEDEÑO</v>
      </c>
      <c r="K1148" s="179">
        <f>(TablaCosechas[[#This Row],[libras planta]]*454)/M1148</f>
        <v>95433.65534591196</v>
      </c>
      <c r="L1148" s="215">
        <v>6684.56</v>
      </c>
      <c r="M1148" s="19">
        <v>31.8</v>
      </c>
      <c r="N1148" s="9" t="str">
        <f>UPPER(TEXT(TablaCosechas[[#This Row],[COSECHA]],"MMMM"))</f>
        <v>FEBRERO</v>
      </c>
      <c r="O1148" s="9" t="str">
        <f>IF(A1148="DO 29","BAP",IF(A1148="RO 14","BAP",(VLOOKUP(TablaCosechas[[#This Row],[COD]],Tabla7[[CODIGO]:[CERTIFICACION]],3,0))))</f>
        <v>ASC</v>
      </c>
      <c r="P1148" s="180">
        <f>+L1148-E1148</f>
        <v>-915.4399999999996</v>
      </c>
      <c r="Q1148" s="181">
        <f>+M1148-F1148</f>
        <v>2.8000000000000007</v>
      </c>
      <c r="R1148" s="9"/>
    </row>
    <row r="1149" spans="1:18" x14ac:dyDescent="0.25">
      <c r="A1149" s="9" t="s">
        <v>269</v>
      </c>
      <c r="B1149" s="9">
        <f>ROW() - ROW(TablaCosechas[[#Headers],[ID]]) - 4</f>
        <v>1144</v>
      </c>
      <c r="C1149" s="9" t="str">
        <f>LEFT(A1149,2)</f>
        <v>DE</v>
      </c>
      <c r="D1149" s="182" t="s">
        <v>367</v>
      </c>
      <c r="E1149" s="178">
        <v>4000</v>
      </c>
      <c r="F1149" s="19">
        <v>24</v>
      </c>
      <c r="G1149" s="195">
        <v>46066</v>
      </c>
      <c r="H1149" s="9" t="str">
        <f>VLOOKUP(TablaCosechas[[#This Row],[COD]],DATOS!$E$3:$F$27,2,0)</f>
        <v>DELFIN</v>
      </c>
      <c r="I1149" s="9" t="str">
        <f>RIGHT(TablaCosechas[[#This Row],[SECTOR/PISCINA]],2)</f>
        <v>18</v>
      </c>
      <c r="J1149" s="9" t="str">
        <f>VLOOKUP(TablaCosechas[[#This Row],[COD]],Tabla7[#All],4,0)</f>
        <v>CARLOS FLORES</v>
      </c>
      <c r="K1149" s="179">
        <f>(TablaCosechas[[#This Row],[libras planta]]*454)/M1149</f>
        <v>61106.927567567567</v>
      </c>
      <c r="L1149" s="215">
        <v>3735.06</v>
      </c>
      <c r="M1149" s="19">
        <v>27.75</v>
      </c>
      <c r="N1149" s="9" t="str">
        <f>UPPER(TEXT(TablaCosechas[[#This Row],[COSECHA]],"MMMM"))</f>
        <v>FEBRERO</v>
      </c>
      <c r="O1149" s="9" t="str">
        <f>IF(A1149="DO 29","BAP",IF(A1149="RO 14","BAP",(VLOOKUP(TablaCosechas[[#This Row],[COD]],Tabla7[[CODIGO]:[CERTIFICACION]],3,0))))</f>
        <v>CONVENCIONAL</v>
      </c>
      <c r="P1149" s="180">
        <f>+L1149-E1149</f>
        <v>-264.94000000000005</v>
      </c>
      <c r="Q1149" s="181">
        <f>+M1149-F1149</f>
        <v>3.75</v>
      </c>
      <c r="R1149" s="9"/>
    </row>
    <row r="1150" spans="1:18" x14ac:dyDescent="0.25">
      <c r="A1150" s="9" t="s">
        <v>273</v>
      </c>
      <c r="B1150" s="9">
        <f>ROW() - ROW(TablaCosechas[[#Headers],[ID]]) - 4</f>
        <v>1145</v>
      </c>
      <c r="C1150" s="9" t="str">
        <f>LEFT(A1150,2)</f>
        <v>DE</v>
      </c>
      <c r="D1150" s="182" t="s">
        <v>367</v>
      </c>
      <c r="E1150" s="178">
        <v>2400</v>
      </c>
      <c r="F1150" s="19">
        <v>26</v>
      </c>
      <c r="G1150" s="195">
        <v>46066</v>
      </c>
      <c r="H1150" s="9" t="str">
        <f>VLOOKUP(TablaCosechas[[#This Row],[COD]],DATOS!$E$3:$F$27,2,0)</f>
        <v>DELFIN</v>
      </c>
      <c r="I1150" s="9" t="str">
        <f>RIGHT(TablaCosechas[[#This Row],[SECTOR/PISCINA]],2)</f>
        <v>16</v>
      </c>
      <c r="J1150" s="9" t="str">
        <f>VLOOKUP(TablaCosechas[[#This Row],[COD]],Tabla7[#All],4,0)</f>
        <v>CARLOS FLORES</v>
      </c>
      <c r="K1150" s="179">
        <f>(TablaCosechas[[#This Row],[libras planta]]*454)/M1150</f>
        <v>41580.922965116282</v>
      </c>
      <c r="L1150" s="215">
        <v>2520.5</v>
      </c>
      <c r="M1150" s="19">
        <v>27.52</v>
      </c>
      <c r="N1150" s="9" t="str">
        <f>UPPER(TEXT(TablaCosechas[[#This Row],[COSECHA]],"MMMM"))</f>
        <v>FEBRERO</v>
      </c>
      <c r="O1150" s="9" t="str">
        <f>IF(A1150="DO 29","BAP",IF(A1150="RO 14","BAP",(VLOOKUP(TablaCosechas[[#This Row],[COD]],Tabla7[[CODIGO]:[CERTIFICACION]],3,0))))</f>
        <v>CONVENCIONAL</v>
      </c>
      <c r="P1150" s="180">
        <f>+L1150-E1150</f>
        <v>120.5</v>
      </c>
      <c r="Q1150" s="181">
        <f>+M1150-F1150</f>
        <v>1.5199999999999996</v>
      </c>
      <c r="R1150" s="9"/>
    </row>
    <row r="1151" spans="1:18" x14ac:dyDescent="0.25">
      <c r="A1151" s="9" t="s">
        <v>9</v>
      </c>
      <c r="B1151" s="9">
        <f>ROW() - ROW(TablaCosechas[[#Headers],[ID]]) - 4</f>
        <v>1146</v>
      </c>
      <c r="C1151" s="9" t="str">
        <f>LEFT(A1151,2)</f>
        <v>CH</v>
      </c>
      <c r="D1151" s="182" t="s">
        <v>367</v>
      </c>
      <c r="E1151" s="178">
        <v>9700</v>
      </c>
      <c r="F1151" s="19">
        <v>21</v>
      </c>
      <c r="G1151" s="195">
        <v>46066</v>
      </c>
      <c r="H1151" s="9" t="str">
        <f>VLOOKUP(TablaCosechas[[#This Row],[COD]],DATOS!$E$3:$F$27,2,0)</f>
        <v>CHERNA</v>
      </c>
      <c r="I1151" s="9" t="str">
        <f>RIGHT(TablaCosechas[[#This Row],[SECTOR/PISCINA]],2)</f>
        <v>03</v>
      </c>
      <c r="J1151" s="9" t="str">
        <f>VLOOKUP(TablaCosechas[[#This Row],[COD]],Tabla7[#All],4,0)</f>
        <v>SANTIAGO OBRIEN</v>
      </c>
      <c r="K1151" s="179">
        <f>(TablaCosechas[[#This Row],[libras planta]]*454)/M1151</f>
        <v>225694.41552062874</v>
      </c>
      <c r="L1151" s="215">
        <v>10121.450000000001</v>
      </c>
      <c r="M1151" s="19">
        <v>20.36</v>
      </c>
      <c r="N1151" s="9" t="str">
        <f>UPPER(TEXT(TablaCosechas[[#This Row],[COSECHA]],"MMMM"))</f>
        <v>FEBRERO</v>
      </c>
      <c r="O1151" s="9" t="str">
        <f>IF(A1151="DO 29","BAP",IF(A1151="RO 14","BAP",(VLOOKUP(TablaCosechas[[#This Row],[COD]],Tabla7[[CODIGO]:[CERTIFICACION]],3,0))))</f>
        <v>ASC</v>
      </c>
      <c r="P1151" s="180">
        <f>+L1151-E1151</f>
        <v>421.45000000000073</v>
      </c>
      <c r="Q1151" s="49">
        <f>+M1151-F1151</f>
        <v>-0.64000000000000057</v>
      </c>
      <c r="R1151" s="9"/>
    </row>
    <row r="1152" spans="1:18" x14ac:dyDescent="0.25">
      <c r="A1152" s="9" t="s">
        <v>232</v>
      </c>
      <c r="B1152" s="9">
        <f>ROW() - ROW(TablaCosechas[[#Headers],[ID]]) - 4</f>
        <v>1147</v>
      </c>
      <c r="C1152" s="9" t="str">
        <f>LEFT(A1152,2)</f>
        <v>TI</v>
      </c>
      <c r="D1152" s="182" t="s">
        <v>366</v>
      </c>
      <c r="E1152" s="178">
        <v>44500</v>
      </c>
      <c r="F1152" s="19">
        <v>35.5</v>
      </c>
      <c r="G1152" s="195">
        <v>46067</v>
      </c>
      <c r="H1152" s="9" t="str">
        <f>VLOOKUP(TablaCosechas[[#This Row],[COD]],DATOS!$E$3:$F$27,2,0)</f>
        <v>TIBURON</v>
      </c>
      <c r="I1152" s="9" t="str">
        <f>RIGHT(TablaCosechas[[#This Row],[SECTOR/PISCINA]],2)</f>
        <v>09</v>
      </c>
      <c r="J1152" s="9" t="str">
        <f>VLOOKUP(TablaCosechas[[#This Row],[COD]],Tabla7[#All],4,0)</f>
        <v>ALFONSO GRUNAUER</v>
      </c>
      <c r="K1152" s="179">
        <f>(TablaCosechas[[#This Row],[libras planta]]*454)/M1152</f>
        <v>616928.75537478214</v>
      </c>
      <c r="L1152" s="215">
        <v>46772.44</v>
      </c>
      <c r="M1152" s="19">
        <v>34.42</v>
      </c>
      <c r="N1152" s="9" t="str">
        <f>UPPER(TEXT(TablaCosechas[[#This Row],[COSECHA]],"MMMM"))</f>
        <v>FEBRERO</v>
      </c>
      <c r="O1152" s="9" t="str">
        <f>IF(A1152="DO 29","BAP",IF(A1152="RO 14","BAP",(VLOOKUP(TablaCosechas[[#This Row],[COD]],Tabla7[[CODIGO]:[CERTIFICACION]],3,0))))</f>
        <v>ASC</v>
      </c>
      <c r="P1152" s="180">
        <f>+L1152-E1152</f>
        <v>2272.4400000000023</v>
      </c>
      <c r="Q1152" s="49">
        <f>+M1152-F1152</f>
        <v>-1.0799999999999983</v>
      </c>
      <c r="R1152" s="9"/>
    </row>
    <row r="1153" spans="1:18" x14ac:dyDescent="0.25">
      <c r="A1153" s="9" t="s">
        <v>237</v>
      </c>
      <c r="B1153" s="9">
        <f>ROW() - ROW(TablaCosechas[[#Headers],[ID]]) - 4</f>
        <v>1148</v>
      </c>
      <c r="C1153" s="9" t="str">
        <f>LEFT(A1153,2)</f>
        <v>TI</v>
      </c>
      <c r="D1153" s="182" t="s">
        <v>367</v>
      </c>
      <c r="E1153" s="178">
        <v>11680</v>
      </c>
      <c r="F1153" s="19">
        <v>37</v>
      </c>
      <c r="G1153" s="195">
        <v>46067</v>
      </c>
      <c r="H1153" s="9" t="str">
        <f>VLOOKUP(TablaCosechas[[#This Row],[COD]],DATOS!$E$3:$F$27,2,0)</f>
        <v>TIBURON</v>
      </c>
      <c r="I1153" s="9" t="str">
        <f>RIGHT(TablaCosechas[[#This Row],[SECTOR/PISCINA]],2)</f>
        <v>08</v>
      </c>
      <c r="J1153" s="9" t="str">
        <f>VLOOKUP(TablaCosechas[[#This Row],[COD]],Tabla7[#All],4,0)</f>
        <v>ALFONSO GRUNAUER</v>
      </c>
      <c r="K1153" s="179">
        <f>(TablaCosechas[[#This Row],[libras planta]]*454)/M1153</f>
        <v>138152.62555500743</v>
      </c>
      <c r="L1153" s="215">
        <v>12336.36</v>
      </c>
      <c r="M1153" s="19">
        <v>40.54</v>
      </c>
      <c r="N1153" s="9" t="str">
        <f>UPPER(TEXT(TablaCosechas[[#This Row],[COSECHA]],"MMMM"))</f>
        <v>FEBRERO</v>
      </c>
      <c r="O1153" s="9" t="str">
        <f>IF(A1153="DO 29","BAP",IF(A1153="RO 14","BAP",(VLOOKUP(TablaCosechas[[#This Row],[COD]],Tabla7[[CODIGO]:[CERTIFICACION]],3,0))))</f>
        <v>ASC</v>
      </c>
      <c r="P1153" s="180">
        <f>+L1153-E1153</f>
        <v>656.36000000000058</v>
      </c>
      <c r="Q1153" s="49">
        <f>+M1153-F1153</f>
        <v>3.5399999999999991</v>
      </c>
      <c r="R1153" s="9"/>
    </row>
    <row r="1154" spans="1:18" x14ac:dyDescent="0.25">
      <c r="A1154" s="9" t="s">
        <v>230</v>
      </c>
      <c r="B1154" s="9">
        <f>ROW() - ROW(TablaCosechas[[#Headers],[ID]]) - 4</f>
        <v>1149</v>
      </c>
      <c r="C1154" s="9" t="str">
        <f>LEFT(A1154,2)</f>
        <v>TA</v>
      </c>
      <c r="D1154" s="182" t="s">
        <v>366</v>
      </c>
      <c r="E1154" s="178">
        <v>22500</v>
      </c>
      <c r="F1154" s="19">
        <v>36</v>
      </c>
      <c r="G1154" s="195">
        <v>46067</v>
      </c>
      <c r="H1154" s="9" t="str">
        <f>VLOOKUP(TablaCosechas[[#This Row],[COD]],DATOS!$E$3:$F$27,2,0)</f>
        <v>TAMBULERO</v>
      </c>
      <c r="I1154" s="9" t="str">
        <f>RIGHT(TablaCosechas[[#This Row],[SECTOR/PISCINA]],2)</f>
        <v>26</v>
      </c>
      <c r="J1154" s="9" t="str">
        <f>VLOOKUP(TablaCosechas[[#This Row],[COD]],Tabla7[#All],4,0)</f>
        <v>ALFONSO GRUNAUER</v>
      </c>
      <c r="K1154" s="179">
        <f>(TablaCosechas[[#This Row],[libras planta]]*454)/M1154</f>
        <v>303456.73443870619</v>
      </c>
      <c r="L1154" s="215">
        <v>24590.69</v>
      </c>
      <c r="M1154" s="19">
        <v>36.79</v>
      </c>
      <c r="N1154" s="9" t="str">
        <f>UPPER(TEXT(TablaCosechas[[#This Row],[COSECHA]],"MMMM"))</f>
        <v>FEBRERO</v>
      </c>
      <c r="O1154" s="9" t="str">
        <f>IF(A1154="DO 29","BAP",IF(A1154="RO 14","BAP",(VLOOKUP(TablaCosechas[[#This Row],[COD]],Tabla7[[CODIGO]:[CERTIFICACION]],3,0))))</f>
        <v>CONVENCIONAL</v>
      </c>
      <c r="P1154" s="180">
        <f>+L1154-E1154</f>
        <v>2090.6899999999987</v>
      </c>
      <c r="Q1154" s="49">
        <f>+M1154-F1154</f>
        <v>0.78999999999999915</v>
      </c>
      <c r="R1154" s="9"/>
    </row>
    <row r="1155" spans="1:18" x14ac:dyDescent="0.25">
      <c r="A1155" s="9" t="s">
        <v>229</v>
      </c>
      <c r="B1155" s="9">
        <f>ROW() - ROW(TablaCosechas[[#Headers],[ID]]) - 4</f>
        <v>1150</v>
      </c>
      <c r="C1155" s="9" t="str">
        <f>LEFT(A1155,2)</f>
        <v>PR</v>
      </c>
      <c r="D1155" s="182" t="s">
        <v>366</v>
      </c>
      <c r="E1155" s="178">
        <v>18900</v>
      </c>
      <c r="F1155" s="19">
        <v>20</v>
      </c>
      <c r="G1155" s="195">
        <v>46067</v>
      </c>
      <c r="H1155" s="9" t="str">
        <f>VLOOKUP(TablaCosechas[[#This Row],[COD]],DATOS!$E$3:$F$27,2,0)</f>
        <v>PARGO ROJO</v>
      </c>
      <c r="I1155" s="9" t="str">
        <f>RIGHT(TablaCosechas[[#This Row],[SECTOR/PISCINA]],2)</f>
        <v>11</v>
      </c>
      <c r="J1155" s="9" t="str">
        <f>VLOOKUP(TablaCosechas[[#This Row],[COD]],Tabla7[#All],4,0)</f>
        <v>WILMER TORRES</v>
      </c>
      <c r="K1155" s="179">
        <f>(TablaCosechas[[#This Row],[libras planta]]*454)/M1155</f>
        <v>490726.92522432702</v>
      </c>
      <c r="L1155" s="215">
        <v>21682.78</v>
      </c>
      <c r="M1155" s="19">
        <v>20.059999999999999</v>
      </c>
      <c r="N1155" s="9" t="str">
        <f>UPPER(TEXT(TablaCosechas[[#This Row],[COSECHA]],"MMMM"))</f>
        <v>FEBRERO</v>
      </c>
      <c r="O1155" s="9" t="str">
        <f>IF(A1155="DO 29","BAP",IF(A1155="RO 14","BAP",(VLOOKUP(TablaCosechas[[#This Row],[COD]],Tabla7[[CODIGO]:[CERTIFICACION]],3,0))))</f>
        <v>CONVENCIONAL</v>
      </c>
      <c r="P1155" s="180">
        <f>+L1155-E1155</f>
        <v>2782.7799999999988</v>
      </c>
      <c r="Q1155" s="49">
        <f>+M1155-F1155</f>
        <v>5.9999999999998721E-2</v>
      </c>
      <c r="R1155" s="9"/>
    </row>
    <row r="1156" spans="1:18" x14ac:dyDescent="0.25">
      <c r="A1156" s="9" t="s">
        <v>228</v>
      </c>
      <c r="B1156" s="9">
        <f>ROW() - ROW(TablaCosechas[[#Headers],[ID]]) - 4</f>
        <v>1151</v>
      </c>
      <c r="C1156" s="9" t="str">
        <f>LEFT(A1156,2)</f>
        <v>ME</v>
      </c>
      <c r="D1156" s="182" t="s">
        <v>366</v>
      </c>
      <c r="E1156" s="178">
        <v>7600</v>
      </c>
      <c r="F1156" s="19">
        <v>39</v>
      </c>
      <c r="G1156" s="195">
        <v>46067</v>
      </c>
      <c r="H1156" s="9" t="str">
        <f>VLOOKUP(TablaCosechas[[#This Row],[COD]],DATOS!$E$3:$F$27,2,0)</f>
        <v>MERO</v>
      </c>
      <c r="I1156" s="9" t="str">
        <f>RIGHT(TablaCosechas[[#This Row],[SECTOR/PISCINA]],2)</f>
        <v>14</v>
      </c>
      <c r="J1156" s="9" t="str">
        <f>VLOOKUP(TablaCosechas[[#This Row],[COD]],Tabla7[#All],4,0)</f>
        <v>NESTOR MOGOLLON</v>
      </c>
      <c r="K1156" s="179">
        <f>(TablaCosechas[[#This Row],[libras planta]]*454)/M1156</f>
        <v>87355.964043772809</v>
      </c>
      <c r="L1156" s="215">
        <v>7384.85</v>
      </c>
      <c r="M1156" s="19">
        <v>38.380000000000003</v>
      </c>
      <c r="N1156" s="9" t="str">
        <f>UPPER(TEXT(TablaCosechas[[#This Row],[COSECHA]],"MMMM"))</f>
        <v>FEBRERO</v>
      </c>
      <c r="O1156" s="9" t="str">
        <f>IF(A1156="DO 29","BAP",IF(A1156="RO 14","BAP",(VLOOKUP(TablaCosechas[[#This Row],[COD]],Tabla7[[CODIGO]:[CERTIFICACION]],3,0))))</f>
        <v>CONVENCIONAL</v>
      </c>
      <c r="P1156" s="180">
        <f>+L1156-E1156</f>
        <v>-215.14999999999964</v>
      </c>
      <c r="Q1156" s="49">
        <f>+M1156-F1156</f>
        <v>-0.61999999999999744</v>
      </c>
      <c r="R1156" s="9"/>
    </row>
    <row r="1157" spans="1:18" x14ac:dyDescent="0.25">
      <c r="A1157" s="9" t="s">
        <v>227</v>
      </c>
      <c r="B1157" s="9">
        <f>ROW() - ROW(TablaCosechas[[#Headers],[ID]]) - 4</f>
        <v>1152</v>
      </c>
      <c r="C1157" s="9" t="str">
        <f>LEFT(A1157,2)</f>
        <v>ME</v>
      </c>
      <c r="D1157" s="182" t="s">
        <v>366</v>
      </c>
      <c r="E1157" s="178">
        <v>10000</v>
      </c>
      <c r="F1157" s="19">
        <v>18</v>
      </c>
      <c r="G1157" s="195">
        <v>46067</v>
      </c>
      <c r="H1157" s="9" t="str">
        <f>VLOOKUP(TablaCosechas[[#This Row],[COD]],DATOS!$E$3:$F$27,2,0)</f>
        <v>MERO</v>
      </c>
      <c r="I1157" s="9" t="str">
        <f>RIGHT(TablaCosechas[[#This Row],[SECTOR/PISCINA]],2)</f>
        <v>03</v>
      </c>
      <c r="J1157" s="9" t="str">
        <f>VLOOKUP(TablaCosechas[[#This Row],[COD]],Tabla7[#All],4,0)</f>
        <v>NESTOR MOGOLLON</v>
      </c>
      <c r="K1157" s="179">
        <f>(TablaCosechas[[#This Row],[libras planta]]*454)/M1157</f>
        <v>232567.67087378638</v>
      </c>
      <c r="L1157" s="215">
        <v>10552.63</v>
      </c>
      <c r="M1157" s="19">
        <v>20.6</v>
      </c>
      <c r="N1157" s="9" t="str">
        <f>UPPER(TEXT(TablaCosechas[[#This Row],[COSECHA]],"MMMM"))</f>
        <v>FEBRERO</v>
      </c>
      <c r="O1157" s="9" t="str">
        <f>IF(A1157="DO 29","BAP",IF(A1157="RO 14","BAP",(VLOOKUP(TablaCosechas[[#This Row],[COD]],Tabla7[[CODIGO]:[CERTIFICACION]],3,0))))</f>
        <v>CONVENCIONAL</v>
      </c>
      <c r="P1157" s="180">
        <f>+L1157-E1157</f>
        <v>552.6299999999992</v>
      </c>
      <c r="Q1157" s="49">
        <f>+M1157-F1157</f>
        <v>2.6000000000000014</v>
      </c>
      <c r="R1157" s="9"/>
    </row>
    <row r="1158" spans="1:18" x14ac:dyDescent="0.25">
      <c r="A1158" s="9" t="s">
        <v>231</v>
      </c>
      <c r="B1158" s="9">
        <f>ROW() - ROW(TablaCosechas[[#Headers],[ID]]) - 4</f>
        <v>1153</v>
      </c>
      <c r="C1158" s="9" t="str">
        <f>LEFT(A1158,2)</f>
        <v>GT</v>
      </c>
      <c r="D1158" s="182" t="s">
        <v>366</v>
      </c>
      <c r="E1158" s="178">
        <v>9400</v>
      </c>
      <c r="F1158" s="19">
        <v>26</v>
      </c>
      <c r="G1158" s="195">
        <v>46067</v>
      </c>
      <c r="H1158" s="9" t="str">
        <f>VLOOKUP(TablaCosechas[[#This Row],[COD]],DATOS!$E$3:$F$27,2,0)</f>
        <v>GUATO</v>
      </c>
      <c r="I1158" s="9" t="str">
        <f>RIGHT(TablaCosechas[[#This Row],[SECTOR/PISCINA]],2)</f>
        <v>16</v>
      </c>
      <c r="J1158" s="9" t="str">
        <f>VLOOKUP(TablaCosechas[[#This Row],[COD]],Tabla7[#All],4,0)</f>
        <v>JULIO SANTOS</v>
      </c>
      <c r="K1158" s="179">
        <f>(TablaCosechas[[#This Row],[libras planta]]*454)/M1158</f>
        <v>162304.99999999997</v>
      </c>
      <c r="L1158" s="215">
        <v>9809.7999999999993</v>
      </c>
      <c r="M1158" s="19">
        <v>27.44</v>
      </c>
      <c r="N1158" s="9" t="str">
        <f>UPPER(TEXT(TablaCosechas[[#This Row],[COSECHA]],"MMMM"))</f>
        <v>FEBRERO</v>
      </c>
      <c r="O1158" s="9" t="str">
        <f>IF(A1158="DO 29","BAP",IF(A1158="RO 14","BAP",(VLOOKUP(TablaCosechas[[#This Row],[COD]],Tabla7[[CODIGO]:[CERTIFICACION]],3,0))))</f>
        <v>CONVENCIONAL</v>
      </c>
      <c r="P1158" s="180">
        <f>+L1158-E1158</f>
        <v>409.79999999999927</v>
      </c>
      <c r="Q1158" s="49">
        <f>+M1158-F1158</f>
        <v>1.4400000000000013</v>
      </c>
      <c r="R1158" s="9"/>
    </row>
    <row r="1159" spans="1:18" x14ac:dyDescent="0.25">
      <c r="A1159" s="9" t="s">
        <v>260</v>
      </c>
      <c r="B1159" s="9">
        <f>ROW() - ROW(TablaCosechas[[#Headers],[ID]]) - 4</f>
        <v>1154</v>
      </c>
      <c r="C1159" s="9" t="str">
        <f>LEFT(A1159,2)</f>
        <v>DO</v>
      </c>
      <c r="D1159" s="182" t="s">
        <v>367</v>
      </c>
      <c r="E1159" s="178">
        <v>7800</v>
      </c>
      <c r="F1159" s="19">
        <v>22</v>
      </c>
      <c r="G1159" s="195">
        <v>46067</v>
      </c>
      <c r="H1159" s="9" t="str">
        <f>VLOOKUP(TablaCosechas[[#This Row],[COD]],DATOS!$E$3:$F$27,2,0)</f>
        <v>DORADO</v>
      </c>
      <c r="I1159" s="9" t="str">
        <f>RIGHT(TablaCosechas[[#This Row],[SECTOR/PISCINA]],2)</f>
        <v>03</v>
      </c>
      <c r="J1159" s="9" t="str">
        <f>VLOOKUP(TablaCosechas[[#This Row],[COD]],Tabla7[#All],4,0)</f>
        <v>JOSE CEDEÑO</v>
      </c>
      <c r="K1159" s="179">
        <f>(TablaCosechas[[#This Row],[libras planta]]*454)/M1159</f>
        <v>110532.0856545961</v>
      </c>
      <c r="L1159" s="215">
        <v>6992.25</v>
      </c>
      <c r="M1159" s="19">
        <v>28.72</v>
      </c>
      <c r="N1159" s="9" t="str">
        <f>UPPER(TEXT(TablaCosechas[[#This Row],[COSECHA]],"MMMM"))</f>
        <v>FEBRERO</v>
      </c>
      <c r="O1159" s="9" t="str">
        <f>IF(A1159="DO 29","BAP",IF(A1159="RO 14","BAP",(VLOOKUP(TablaCosechas[[#This Row],[COD]],Tabla7[[CODIGO]:[CERTIFICACION]],3,0))))</f>
        <v>ASC</v>
      </c>
      <c r="P1159" s="180">
        <f>+L1159-E1159</f>
        <v>-807.75</v>
      </c>
      <c r="Q1159" s="49">
        <f>+M1159-F1159</f>
        <v>6.7199999999999989</v>
      </c>
      <c r="R1159" s="9"/>
    </row>
    <row r="1160" spans="1:18" x14ac:dyDescent="0.25">
      <c r="A1160" s="9" t="s">
        <v>12</v>
      </c>
      <c r="B1160" s="9">
        <f>ROW() - ROW(TablaCosechas[[#Headers],[ID]]) - 4</f>
        <v>1155</v>
      </c>
      <c r="C1160" s="9" t="str">
        <f>LEFT(A1160,2)</f>
        <v>CH</v>
      </c>
      <c r="D1160" s="182" t="s">
        <v>367</v>
      </c>
      <c r="E1160" s="178">
        <v>6400</v>
      </c>
      <c r="F1160" s="19">
        <v>18</v>
      </c>
      <c r="G1160" s="195">
        <v>46067</v>
      </c>
      <c r="H1160" s="9" t="str">
        <f>VLOOKUP(TablaCosechas[[#This Row],[COD]],DATOS!$E$3:$F$27,2,0)</f>
        <v>CHERNA</v>
      </c>
      <c r="I1160" s="9" t="str">
        <f>RIGHT(TablaCosechas[[#This Row],[SECTOR/PISCINA]],2)</f>
        <v>06</v>
      </c>
      <c r="J1160" s="9" t="str">
        <f>VLOOKUP(TablaCosechas[[#This Row],[COD]],Tabla7[#All],4,0)</f>
        <v>SANTIAGO OBRIEN</v>
      </c>
      <c r="K1160" s="179">
        <f>(TablaCosechas[[#This Row],[libras planta]]*454)/M1160</f>
        <v>160334.49354838708</v>
      </c>
      <c r="L1160" s="215">
        <v>6568.77</v>
      </c>
      <c r="M1160" s="19">
        <v>18.600000000000001</v>
      </c>
      <c r="N1160" s="9" t="str">
        <f>UPPER(TEXT(TablaCosechas[[#This Row],[COSECHA]],"MMMM"))</f>
        <v>FEBRERO</v>
      </c>
      <c r="O1160" s="9" t="str">
        <f>IF(A1160="DO 29","BAP",IF(A1160="RO 14","BAP",(VLOOKUP(TablaCosechas[[#This Row],[COD]],Tabla7[[CODIGO]:[CERTIFICACION]],3,0))))</f>
        <v>ASC</v>
      </c>
      <c r="P1160" s="180">
        <f>+L1160-E1160</f>
        <v>168.77000000000044</v>
      </c>
      <c r="Q1160" s="49">
        <f>+M1160-F1160</f>
        <v>0.60000000000000142</v>
      </c>
      <c r="R1160" s="9"/>
    </row>
    <row r="1161" spans="1:18" x14ac:dyDescent="0.25">
      <c r="A1161" s="9" t="s">
        <v>226</v>
      </c>
      <c r="B1161" s="9">
        <f>ROW() - ROW(TablaCosechas[[#Headers],[ID]]) - 4</f>
        <v>1156</v>
      </c>
      <c r="C1161" s="9" t="str">
        <f>LEFT(A1161,2)</f>
        <v>BA</v>
      </c>
      <c r="D1161" s="182" t="s">
        <v>366</v>
      </c>
      <c r="E1161" s="178">
        <v>16500</v>
      </c>
      <c r="F1161" s="19">
        <v>42</v>
      </c>
      <c r="G1161" s="195">
        <v>46067</v>
      </c>
      <c r="H1161" s="9" t="str">
        <f>VLOOKUP(TablaCosechas[[#This Row],[COD]],DATOS!$E$3:$F$27,2,0)</f>
        <v>BARRACUDA</v>
      </c>
      <c r="I1161" s="9" t="str">
        <f>RIGHT(TablaCosechas[[#This Row],[SECTOR/PISCINA]],2)</f>
        <v>01</v>
      </c>
      <c r="J1161" s="9" t="str">
        <f>VLOOKUP(TablaCosechas[[#This Row],[COD]],Tabla7[#All],4,0)</f>
        <v>GUSTAVO CARRASCO</v>
      </c>
      <c r="K1161" s="179">
        <f>(TablaCosechas[[#This Row],[libras planta]]*454)/M1161</f>
        <v>174916.79180722893</v>
      </c>
      <c r="L1161" s="215">
        <v>15989.09</v>
      </c>
      <c r="M1161" s="19">
        <v>41.5</v>
      </c>
      <c r="N1161" s="9" t="str">
        <f>UPPER(TEXT(TablaCosechas[[#This Row],[COSECHA]],"MMMM"))</f>
        <v>FEBRERO</v>
      </c>
      <c r="O1161" s="9" t="str">
        <f>IF(A1161="DO 29","BAP",IF(A1161="RO 14","BAP",(VLOOKUP(TablaCosechas[[#This Row],[COD]],Tabla7[[CODIGO]:[CERTIFICACION]],3,0))))</f>
        <v>CONVENCIONAL</v>
      </c>
      <c r="P1161" s="180">
        <f>+L1161-E1161</f>
        <v>-510.90999999999985</v>
      </c>
      <c r="Q1161" s="49">
        <f>+M1161-F1161</f>
        <v>-0.5</v>
      </c>
      <c r="R1161" s="9"/>
    </row>
    <row r="1162" spans="1:18" x14ac:dyDescent="0.25">
      <c r="A1162" s="9" t="s">
        <v>236</v>
      </c>
      <c r="B1162" s="9">
        <f>ROW() - ROW(TablaCosechas[[#Headers],[ID]]) - 4</f>
        <v>1157</v>
      </c>
      <c r="C1162" s="9" t="str">
        <f>LEFT(A1162,2)</f>
        <v>WA</v>
      </c>
      <c r="D1162" s="182" t="s">
        <v>366</v>
      </c>
      <c r="E1162" s="178">
        <v>12450</v>
      </c>
      <c r="F1162" s="19">
        <v>29</v>
      </c>
      <c r="G1162" s="195">
        <v>46068</v>
      </c>
      <c r="H1162" s="9" t="str">
        <f>VLOOKUP(TablaCosechas[[#This Row],[COD]],DATOS!$E$3:$F$27,2,0)</f>
        <v>WAHOO</v>
      </c>
      <c r="I1162" s="9" t="str">
        <f>RIGHT(TablaCosechas[[#This Row],[SECTOR/PISCINA]],2)</f>
        <v>32</v>
      </c>
      <c r="J1162" s="9" t="str">
        <f>VLOOKUP(TablaCosechas[[#This Row],[COD]],Tabla7[#All],4,0)</f>
        <v>JUNIOR ESQUIVEL</v>
      </c>
      <c r="K1162" s="179">
        <f>(TablaCosechas[[#This Row],[libras planta]]*454)/M1162</f>
        <v>209968.03486750351</v>
      </c>
      <c r="L1162" s="215">
        <v>13264.06</v>
      </c>
      <c r="M1162" s="19">
        <v>28.68</v>
      </c>
      <c r="N1162" s="9" t="str">
        <f>UPPER(TEXT(TablaCosechas[[#This Row],[COSECHA]],"MMMM"))</f>
        <v>FEBRERO</v>
      </c>
      <c r="O1162" s="9" t="str">
        <f>IF(A1162="DO 29","BAP",IF(A1162="RO 14","BAP",(VLOOKUP(TablaCosechas[[#This Row],[COD]],Tabla7[[CODIGO]:[CERTIFICACION]],3,0))))</f>
        <v>CONVENCIONAL</v>
      </c>
      <c r="P1162" s="180">
        <f>+L1162-E1162</f>
        <v>814.05999999999949</v>
      </c>
      <c r="Q1162" s="49">
        <f>+M1162-F1162</f>
        <v>-0.32000000000000028</v>
      </c>
      <c r="R1162" s="9"/>
    </row>
    <row r="1163" spans="1:18" x14ac:dyDescent="0.25">
      <c r="A1163" s="9" t="s">
        <v>237</v>
      </c>
      <c r="B1163" s="9">
        <f>ROW() - ROW(TablaCosechas[[#Headers],[ID]]) - 4</f>
        <v>1158</v>
      </c>
      <c r="C1163" s="9" t="str">
        <f>LEFT(A1163,2)</f>
        <v>TI</v>
      </c>
      <c r="D1163" s="182" t="s">
        <v>366</v>
      </c>
      <c r="E1163" s="178">
        <v>31100</v>
      </c>
      <c r="F1163" s="19">
        <v>37</v>
      </c>
      <c r="G1163" s="195">
        <v>46068</v>
      </c>
      <c r="H1163" s="9" t="str">
        <f>VLOOKUP(TablaCosechas[[#This Row],[COD]],DATOS!$E$3:$F$27,2,0)</f>
        <v>TIBURON</v>
      </c>
      <c r="I1163" s="9" t="str">
        <f>RIGHT(TablaCosechas[[#This Row],[SECTOR/PISCINA]],2)</f>
        <v>08</v>
      </c>
      <c r="J1163" s="9" t="str">
        <f>VLOOKUP(TablaCosechas[[#This Row],[COD]],Tabla7[#All],4,0)</f>
        <v>ALFONSO GRUNAUER</v>
      </c>
      <c r="K1163" s="179">
        <f>(TablaCosechas[[#This Row],[libras planta]]*454)/M1163</f>
        <v>379811.69768664567</v>
      </c>
      <c r="L1163" s="215">
        <v>31823.87</v>
      </c>
      <c r="M1163" s="19">
        <v>38.04</v>
      </c>
      <c r="N1163" s="9" t="str">
        <f>UPPER(TEXT(TablaCosechas[[#This Row],[COSECHA]],"MMMM"))</f>
        <v>FEBRERO</v>
      </c>
      <c r="O1163" s="9" t="str">
        <f>IF(A1163="DO 29","BAP",IF(A1163="RO 14","BAP",(VLOOKUP(TablaCosechas[[#This Row],[COD]],Tabla7[[CODIGO]:[CERTIFICACION]],3,0))))</f>
        <v>ASC</v>
      </c>
      <c r="P1163" s="180">
        <f>+L1163-E1163</f>
        <v>723.86999999999898</v>
      </c>
      <c r="Q1163" s="49">
        <f>+M1163-F1163</f>
        <v>1.0399999999999991</v>
      </c>
      <c r="R1163" s="9"/>
    </row>
    <row r="1164" spans="1:18" x14ac:dyDescent="0.25">
      <c r="A1164" s="9" t="s">
        <v>239</v>
      </c>
      <c r="B1164" s="9">
        <f>ROW() - ROW(TablaCosechas[[#Headers],[ID]]) - 4</f>
        <v>1159</v>
      </c>
      <c r="C1164" s="9" t="str">
        <f>LEFT(A1164,2)</f>
        <v>TA</v>
      </c>
      <c r="D1164" s="182" t="s">
        <v>367</v>
      </c>
      <c r="E1164" s="178">
        <v>22100</v>
      </c>
      <c r="F1164" s="19">
        <v>33</v>
      </c>
      <c r="G1164" s="195">
        <v>46068</v>
      </c>
      <c r="H1164" s="9" t="str">
        <f>VLOOKUP(TablaCosechas[[#This Row],[COD]],DATOS!$E$3:$F$27,2,0)</f>
        <v>TAMBULERO</v>
      </c>
      <c r="I1164" s="9" t="str">
        <f>RIGHT(TablaCosechas[[#This Row],[SECTOR/PISCINA]],2)</f>
        <v>7A</v>
      </c>
      <c r="J1164" s="9" t="str">
        <f>VLOOKUP(TablaCosechas[[#This Row],[COD]],Tabla7[#All],4,0)</f>
        <v>ALFONSO GRUNAUER</v>
      </c>
      <c r="K1164" s="179">
        <f>(TablaCosechas[[#This Row],[libras planta]]*454)/M1164</f>
        <v>300936.9008528784</v>
      </c>
      <c r="L1164" s="215">
        <v>24870.38</v>
      </c>
      <c r="M1164" s="19">
        <v>37.520000000000003</v>
      </c>
      <c r="N1164" s="9" t="str">
        <f>UPPER(TEXT(TablaCosechas[[#This Row],[COSECHA]],"MMMM"))</f>
        <v>FEBRERO</v>
      </c>
      <c r="O1164" s="9" t="str">
        <f>IF(A1164="DO 29","BAP",IF(A1164="RO 14","BAP",(VLOOKUP(TablaCosechas[[#This Row],[COD]],Tabla7[[CODIGO]:[CERTIFICACION]],3,0))))</f>
        <v>CONVENCIONAL</v>
      </c>
      <c r="P1164" s="180">
        <f>+L1164-E1164</f>
        <v>2770.380000000001</v>
      </c>
      <c r="Q1164" s="49">
        <f>+M1164-F1164</f>
        <v>4.5200000000000031</v>
      </c>
      <c r="R1164" s="9"/>
    </row>
    <row r="1165" spans="1:18" x14ac:dyDescent="0.25">
      <c r="A1165" s="9" t="s">
        <v>261</v>
      </c>
      <c r="B1165" s="9">
        <f>ROW() - ROW(TablaCosechas[[#Headers],[ID]]) - 4</f>
        <v>1160</v>
      </c>
      <c r="C1165" s="9" t="str">
        <f>LEFT(A1165,2)</f>
        <v>PR</v>
      </c>
      <c r="D1165" s="182" t="s">
        <v>367</v>
      </c>
      <c r="E1165" s="178">
        <v>3200</v>
      </c>
      <c r="F1165" s="19">
        <v>16</v>
      </c>
      <c r="G1165" s="195">
        <v>46068</v>
      </c>
      <c r="H1165" s="9" t="str">
        <f>VLOOKUP(TablaCosechas[[#This Row],[COD]],DATOS!$E$3:$F$27,2,0)</f>
        <v>PARGO ROJO</v>
      </c>
      <c r="I1165" s="9" t="str">
        <f>RIGHT(TablaCosechas[[#This Row],[SECTOR/PISCINA]],2)</f>
        <v>12</v>
      </c>
      <c r="J1165" s="9" t="str">
        <f>VLOOKUP(TablaCosechas[[#This Row],[COD]],Tabla7[#All],4,0)</f>
        <v>WILMER TORRES</v>
      </c>
      <c r="K1165" s="179">
        <f>(TablaCosechas[[#This Row],[libras planta]]*454)/M1165</f>
        <v>88153.842920353985</v>
      </c>
      <c r="L1165" s="215">
        <v>3510.62</v>
      </c>
      <c r="M1165" s="19">
        <v>18.079999999999998</v>
      </c>
      <c r="N1165" s="9" t="str">
        <f>UPPER(TEXT(TablaCosechas[[#This Row],[COSECHA]],"MMMM"))</f>
        <v>FEBRERO</v>
      </c>
      <c r="O1165" s="9" t="str">
        <f>IF(A1165="DO 29","BAP",IF(A1165="RO 14","BAP",(VLOOKUP(TablaCosechas[[#This Row],[COD]],Tabla7[[CODIGO]:[CERTIFICACION]],3,0))))</f>
        <v>CONVENCIONAL</v>
      </c>
      <c r="P1165" s="180">
        <f>+L1165-E1165</f>
        <v>310.61999999999989</v>
      </c>
      <c r="Q1165" s="49">
        <f>+M1165-F1165</f>
        <v>2.0799999999999983</v>
      </c>
      <c r="R1165" s="9"/>
    </row>
    <row r="1166" spans="1:18" x14ac:dyDescent="0.25">
      <c r="A1166" s="9" t="s">
        <v>251</v>
      </c>
      <c r="B1166" s="9">
        <f>ROW() - ROW(TablaCosechas[[#Headers],[ID]]) - 4</f>
        <v>1161</v>
      </c>
      <c r="C1166" s="9" t="str">
        <f>LEFT(A1166,2)</f>
        <v>PR</v>
      </c>
      <c r="D1166" s="182" t="s">
        <v>367</v>
      </c>
      <c r="E1166" s="178">
        <v>3600</v>
      </c>
      <c r="F1166" s="19">
        <v>17</v>
      </c>
      <c r="G1166" s="195">
        <v>46068</v>
      </c>
      <c r="H1166" s="9" t="str">
        <f>VLOOKUP(TablaCosechas[[#This Row],[COD]],DATOS!$E$3:$F$27,2,0)</f>
        <v>PARGO ROJO</v>
      </c>
      <c r="I1166" s="9" t="str">
        <f>RIGHT(TablaCosechas[[#This Row],[SECTOR/PISCINA]],2)</f>
        <v>01</v>
      </c>
      <c r="J1166" s="9" t="str">
        <f>VLOOKUP(TablaCosechas[[#This Row],[COD]],Tabla7[#All],4,0)</f>
        <v>WILMER TORRES</v>
      </c>
      <c r="K1166" s="179">
        <f>(TablaCosechas[[#This Row],[libras planta]]*454)/M1166</f>
        <v>90673.160358565743</v>
      </c>
      <c r="L1166" s="215">
        <v>4010.39</v>
      </c>
      <c r="M1166" s="19">
        <v>20.079999999999998</v>
      </c>
      <c r="N1166" s="9" t="str">
        <f>UPPER(TEXT(TablaCosechas[[#This Row],[COSECHA]],"MMMM"))</f>
        <v>FEBRERO</v>
      </c>
      <c r="O1166" s="9" t="str">
        <f>IF(A1166="DO 29","BAP",IF(A1166="RO 14","BAP",(VLOOKUP(TablaCosechas[[#This Row],[COD]],Tabla7[[CODIGO]:[CERTIFICACION]],3,0))))</f>
        <v>CONVENCIONAL</v>
      </c>
      <c r="P1166" s="180">
        <f>+L1166-E1166</f>
        <v>410.38999999999987</v>
      </c>
      <c r="Q1166" s="49">
        <f>+M1166-F1166</f>
        <v>3.0799999999999983</v>
      </c>
      <c r="R1166" s="9"/>
    </row>
    <row r="1167" spans="1:18" x14ac:dyDescent="0.25">
      <c r="A1167" s="9" t="s">
        <v>259</v>
      </c>
      <c r="B1167" s="9">
        <f>ROW() - ROW(TablaCosechas[[#Headers],[ID]]) - 4</f>
        <v>1162</v>
      </c>
      <c r="C1167" s="9" t="str">
        <f>LEFT(A1167,2)</f>
        <v>PA</v>
      </c>
      <c r="D1167" s="182" t="s">
        <v>367</v>
      </c>
      <c r="E1167" s="178">
        <v>8000</v>
      </c>
      <c r="F1167" s="19">
        <v>22</v>
      </c>
      <c r="G1167" s="195">
        <v>46068</v>
      </c>
      <c r="H1167" s="9" t="str">
        <f>VLOOKUP(TablaCosechas[[#This Row],[COD]],DATOS!$E$3:$F$27,2,0)</f>
        <v>PAMPANO</v>
      </c>
      <c r="I1167" s="9" t="str">
        <f>RIGHT(TablaCosechas[[#This Row],[SECTOR/PISCINA]],2)</f>
        <v>19</v>
      </c>
      <c r="J1167" s="9" t="str">
        <f>VLOOKUP(TablaCosechas[[#This Row],[COD]],Tabla7[#All],4,0)</f>
        <v>GUSTAVO CARRASCO</v>
      </c>
      <c r="K1167" s="179">
        <f>(TablaCosechas[[#This Row],[libras planta]]*454)/M1167</f>
        <v>136733.60886469673</v>
      </c>
      <c r="L1167" s="215">
        <v>7746.23</v>
      </c>
      <c r="M1167" s="19">
        <v>25.72</v>
      </c>
      <c r="N1167" s="9" t="str">
        <f>UPPER(TEXT(TablaCosechas[[#This Row],[COSECHA]],"MMMM"))</f>
        <v>FEBRERO</v>
      </c>
      <c r="O1167" s="9" t="str">
        <f>IF(A1167="DO 29","BAP",IF(A1167="RO 14","BAP",(VLOOKUP(TablaCosechas[[#This Row],[COD]],Tabla7[[CODIGO]:[CERTIFICACION]],3,0))))</f>
        <v>ASC</v>
      </c>
      <c r="P1167" s="180">
        <f>+L1167-E1167</f>
        <v>-253.77000000000044</v>
      </c>
      <c r="Q1167" s="49">
        <f>+M1167-F1167</f>
        <v>3.7199999999999989</v>
      </c>
      <c r="R1167" s="9"/>
    </row>
    <row r="1168" spans="1:18" x14ac:dyDescent="0.25">
      <c r="A1168" s="9" t="s">
        <v>263</v>
      </c>
      <c r="B1168" s="9">
        <f>ROW() - ROW(TablaCosechas[[#Headers],[ID]]) - 4</f>
        <v>1163</v>
      </c>
      <c r="C1168" s="9" t="str">
        <f>LEFT(A1168,2)</f>
        <v>PA</v>
      </c>
      <c r="D1168" s="182" t="s">
        <v>367</v>
      </c>
      <c r="E1168" s="178">
        <v>3000</v>
      </c>
      <c r="F1168" s="19">
        <v>27</v>
      </c>
      <c r="G1168" s="195">
        <v>46068</v>
      </c>
      <c r="H1168" s="9" t="str">
        <f>VLOOKUP(TablaCosechas[[#This Row],[COD]],DATOS!$E$3:$F$27,2,0)</f>
        <v>PAMPANO</v>
      </c>
      <c r="I1168" s="9" t="str">
        <f>RIGHT(TablaCosechas[[#This Row],[SECTOR/PISCINA]],2)</f>
        <v>02</v>
      </c>
      <c r="J1168" s="9" t="str">
        <f>VLOOKUP(TablaCosechas[[#This Row],[COD]],Tabla7[#All],4,0)</f>
        <v>GUSTAVO CARRASCO</v>
      </c>
      <c r="K1168" s="179">
        <f>(TablaCosechas[[#This Row],[libras planta]]*454)/M1168</f>
        <v>51557.86022304833</v>
      </c>
      <c r="L1168" s="215">
        <v>3054.86</v>
      </c>
      <c r="M1168" s="19">
        <v>26.9</v>
      </c>
      <c r="N1168" s="9" t="str">
        <f>UPPER(TEXT(TablaCosechas[[#This Row],[COSECHA]],"MMMM"))</f>
        <v>FEBRERO</v>
      </c>
      <c r="O1168" s="9" t="str">
        <f>IF(A1168="DO 29","BAP",IF(A1168="RO 14","BAP",(VLOOKUP(TablaCosechas[[#This Row],[COD]],Tabla7[[CODIGO]:[CERTIFICACION]],3,0))))</f>
        <v>ASC</v>
      </c>
      <c r="P1168" s="180">
        <f>+L1168-E1168</f>
        <v>54.860000000000127</v>
      </c>
      <c r="Q1168" s="49">
        <f>+M1168-F1168</f>
        <v>-0.10000000000000142</v>
      </c>
      <c r="R1168" s="9"/>
    </row>
    <row r="1169" spans="1:18" x14ac:dyDescent="0.25">
      <c r="A1169" s="9" t="s">
        <v>235</v>
      </c>
      <c r="B1169" s="9">
        <f>ROW() - ROW(TablaCosechas[[#Headers],[ID]]) - 4</f>
        <v>1164</v>
      </c>
      <c r="C1169" s="9" t="str">
        <f>LEFT(A1169,2)</f>
        <v>ME</v>
      </c>
      <c r="D1169" s="182" t="s">
        <v>366</v>
      </c>
      <c r="E1169" s="178">
        <v>9050</v>
      </c>
      <c r="F1169" s="19">
        <v>49</v>
      </c>
      <c r="G1169" s="195">
        <v>46068</v>
      </c>
      <c r="H1169" s="9" t="str">
        <f>VLOOKUP(TablaCosechas[[#This Row],[COD]],DATOS!$E$3:$F$27,2,0)</f>
        <v>MERO</v>
      </c>
      <c r="I1169" s="9" t="str">
        <f>RIGHT(TablaCosechas[[#This Row],[SECTOR/PISCINA]],2)</f>
        <v>18</v>
      </c>
      <c r="J1169" s="9" t="str">
        <f>VLOOKUP(TablaCosechas[[#This Row],[COD]],Tabla7[#All],4,0)</f>
        <v>NESTOR MOGOLLON</v>
      </c>
      <c r="K1169" s="179">
        <f>(TablaCosechas[[#This Row],[libras planta]]*454)/M1169</f>
        <v>77931.229540918153</v>
      </c>
      <c r="L1169" s="215">
        <v>8599.9</v>
      </c>
      <c r="M1169" s="19">
        <v>50.1</v>
      </c>
      <c r="N1169" s="9" t="str">
        <f>UPPER(TEXT(TablaCosechas[[#This Row],[COSECHA]],"MMMM"))</f>
        <v>FEBRERO</v>
      </c>
      <c r="O1169" s="9" t="str">
        <f>IF(A1169="DO 29","BAP",IF(A1169="RO 14","BAP",(VLOOKUP(TablaCosechas[[#This Row],[COD]],Tabla7[[CODIGO]:[CERTIFICACION]],3,0))))</f>
        <v>CONVENCIONAL</v>
      </c>
      <c r="P1169" s="180">
        <f>+L1169-E1169</f>
        <v>-450.10000000000036</v>
      </c>
      <c r="Q1169" s="49">
        <f>+M1169-F1169</f>
        <v>1.1000000000000014</v>
      </c>
      <c r="R1169" s="9"/>
    </row>
    <row r="1170" spans="1:18" x14ac:dyDescent="0.25">
      <c r="A1170" s="9" t="s">
        <v>234</v>
      </c>
      <c r="B1170" s="9">
        <f>ROW() - ROW(TablaCosechas[[#Headers],[ID]]) - 4</f>
        <v>1165</v>
      </c>
      <c r="C1170" s="9" t="str">
        <f>LEFT(A1170,2)</f>
        <v>ME</v>
      </c>
      <c r="D1170" s="182" t="s">
        <v>366</v>
      </c>
      <c r="E1170" s="178">
        <v>6700</v>
      </c>
      <c r="F1170" s="19">
        <v>47</v>
      </c>
      <c r="G1170" s="195">
        <v>46068</v>
      </c>
      <c r="H1170" s="9" t="str">
        <f>VLOOKUP(TablaCosechas[[#This Row],[COD]],DATOS!$E$3:$F$27,2,0)</f>
        <v>MERO</v>
      </c>
      <c r="I1170" s="9" t="str">
        <f>RIGHT(TablaCosechas[[#This Row],[SECTOR/PISCINA]],2)</f>
        <v>15</v>
      </c>
      <c r="J1170" s="9" t="str">
        <f>VLOOKUP(TablaCosechas[[#This Row],[COD]],Tabla7[#All],4,0)</f>
        <v>NESTOR MOGOLLON</v>
      </c>
      <c r="K1170" s="179">
        <f>(TablaCosechas[[#This Row],[libras planta]]*454)/M1170</f>
        <v>59984.956363636367</v>
      </c>
      <c r="L1170" s="215">
        <v>5813.52</v>
      </c>
      <c r="M1170" s="19">
        <v>44</v>
      </c>
      <c r="N1170" s="9" t="str">
        <f>UPPER(TEXT(TablaCosechas[[#This Row],[COSECHA]],"MMMM"))</f>
        <v>FEBRERO</v>
      </c>
      <c r="O1170" s="9" t="str">
        <f>IF(A1170="DO 29","BAP",IF(A1170="RO 14","BAP",(VLOOKUP(TablaCosechas[[#This Row],[COD]],Tabla7[[CODIGO]:[CERTIFICACION]],3,0))))</f>
        <v>CONVENCIONAL</v>
      </c>
      <c r="P1170" s="180">
        <f>+L1170-E1170</f>
        <v>-886.47999999999956</v>
      </c>
      <c r="Q1170" s="49">
        <f>+M1170-F1170</f>
        <v>-3</v>
      </c>
      <c r="R1170" s="9"/>
    </row>
    <row r="1171" spans="1:18" x14ac:dyDescent="0.25">
      <c r="A1171" s="9" t="s">
        <v>233</v>
      </c>
      <c r="B1171" s="9">
        <f>ROW() - ROW(TablaCosechas[[#Headers],[ID]]) - 4</f>
        <v>1166</v>
      </c>
      <c r="C1171" s="9" t="str">
        <f>LEFT(A1171,2)</f>
        <v>GT</v>
      </c>
      <c r="D1171" s="182" t="s">
        <v>366</v>
      </c>
      <c r="E1171" s="178">
        <v>17500</v>
      </c>
      <c r="F1171" s="19">
        <v>29</v>
      </c>
      <c r="G1171" s="195">
        <v>46068</v>
      </c>
      <c r="H1171" s="9" t="str">
        <f>VLOOKUP(TablaCosechas[[#This Row],[COD]],DATOS!$E$3:$F$27,2,0)</f>
        <v>GUATO</v>
      </c>
      <c r="I1171" s="9" t="str">
        <f>RIGHT(TablaCosechas[[#This Row],[SECTOR/PISCINA]],2)</f>
        <v>14</v>
      </c>
      <c r="J1171" s="9" t="str">
        <f>VLOOKUP(TablaCosechas[[#This Row],[COD]],Tabla7[#All],4,0)</f>
        <v>JULIO SANTOS</v>
      </c>
      <c r="K1171" s="179">
        <f>(TablaCosechas[[#This Row],[libras planta]]*454)/M1171</f>
        <v>357279.33447537472</v>
      </c>
      <c r="L1171" s="215">
        <v>18375.490000000002</v>
      </c>
      <c r="M1171" s="19">
        <v>23.35</v>
      </c>
      <c r="N1171" s="9" t="str">
        <f>UPPER(TEXT(TablaCosechas[[#This Row],[COSECHA]],"MMMM"))</f>
        <v>FEBRERO</v>
      </c>
      <c r="O1171" s="9" t="str">
        <f>IF(A1171="DO 29","BAP",IF(A1171="RO 14","BAP",(VLOOKUP(TablaCosechas[[#This Row],[COD]],Tabla7[[CODIGO]:[CERTIFICACION]],3,0))))</f>
        <v>CONVENCIONAL</v>
      </c>
      <c r="P1171" s="180">
        <f>+L1171-E1171</f>
        <v>875.4900000000016</v>
      </c>
      <c r="Q1171" s="49">
        <f>+M1171-F1171</f>
        <v>-5.6499999999999986</v>
      </c>
      <c r="R1171" s="9"/>
    </row>
    <row r="1172" spans="1:18" x14ac:dyDescent="0.25">
      <c r="A1172" s="9" t="s">
        <v>308</v>
      </c>
      <c r="B1172" s="9">
        <f>ROW() - ROW(TablaCosechas[[#Headers],[ID]]) - 4</f>
        <v>1167</v>
      </c>
      <c r="C1172" s="9" t="str">
        <f>LEFT(A1172,2)</f>
        <v>DO</v>
      </c>
      <c r="D1172" s="182" t="s">
        <v>367</v>
      </c>
      <c r="E1172" s="178">
        <v>9600</v>
      </c>
      <c r="F1172" s="19">
        <v>22</v>
      </c>
      <c r="G1172" s="195">
        <v>46068</v>
      </c>
      <c r="H1172" s="9" t="str">
        <f>VLOOKUP(TablaCosechas[[#This Row],[COD]],DATOS!$E$3:$F$27,2,0)</f>
        <v>DORADO</v>
      </c>
      <c r="I1172" s="9" t="str">
        <f>RIGHT(TablaCosechas[[#This Row],[SECTOR/PISCINA]],2)</f>
        <v>26</v>
      </c>
      <c r="J1172" s="9" t="str">
        <f>VLOOKUP(TablaCosechas[[#This Row],[COD]],Tabla7[#All],4,0)</f>
        <v>JOSE CEDEÑO</v>
      </c>
      <c r="K1172" s="179">
        <f>(TablaCosechas[[#This Row],[libras planta]]*454)/M1172</f>
        <v>188110.44107142859</v>
      </c>
      <c r="L1172" s="215">
        <v>9281.2199999999993</v>
      </c>
      <c r="M1172" s="19">
        <v>22.4</v>
      </c>
      <c r="N1172" s="9" t="str">
        <f>UPPER(TEXT(TablaCosechas[[#This Row],[COSECHA]],"MMMM"))</f>
        <v>FEBRERO</v>
      </c>
      <c r="O1172" s="9" t="str">
        <f>IF(A1172="DO 29","BAP",IF(A1172="RO 14","BAP",(VLOOKUP(TablaCosechas[[#This Row],[COD]],Tabla7[[CODIGO]:[CERTIFICACION]],3,0))))</f>
        <v>ASC</v>
      </c>
      <c r="P1172" s="180">
        <f>+L1172-E1172</f>
        <v>-318.78000000000065</v>
      </c>
      <c r="Q1172" s="49">
        <f>+M1172-F1172</f>
        <v>0.39999999999999858</v>
      </c>
      <c r="R1172" s="9"/>
    </row>
    <row r="1173" spans="1:18" x14ac:dyDescent="0.25">
      <c r="A1173" s="9" t="s">
        <v>8</v>
      </c>
      <c r="B1173" s="9">
        <f>ROW() - ROW(TablaCosechas[[#Headers],[ID]]) - 4</f>
        <v>1168</v>
      </c>
      <c r="C1173" s="9" t="str">
        <f>LEFT(A1173,2)</f>
        <v>CH</v>
      </c>
      <c r="D1173" s="182" t="s">
        <v>367</v>
      </c>
      <c r="E1173" s="178">
        <v>9400</v>
      </c>
      <c r="F1173" s="19">
        <v>21.5</v>
      </c>
      <c r="G1173" s="195">
        <v>46068</v>
      </c>
      <c r="H1173" s="9" t="str">
        <f>VLOOKUP(TablaCosechas[[#This Row],[COD]],DATOS!$E$3:$F$27,2,0)</f>
        <v>CHERNA</v>
      </c>
      <c r="I1173" s="9" t="str">
        <f>RIGHT(TablaCosechas[[#This Row],[SECTOR/PISCINA]],2)</f>
        <v>02</v>
      </c>
      <c r="J1173" s="9" t="str">
        <f>VLOOKUP(TablaCosechas[[#This Row],[COD]],Tabla7[#All],4,0)</f>
        <v>SANTIAGO OBRIEN</v>
      </c>
      <c r="K1173" s="179">
        <f>(TablaCosechas[[#This Row],[libras planta]]*454)/M1173</f>
        <v>239195.72470023981</v>
      </c>
      <c r="L1173" s="215">
        <v>10985.09</v>
      </c>
      <c r="M1173" s="19">
        <v>20.85</v>
      </c>
      <c r="N1173" s="9" t="str">
        <f>UPPER(TEXT(TablaCosechas[[#This Row],[COSECHA]],"MMMM"))</f>
        <v>FEBRERO</v>
      </c>
      <c r="O1173" s="9" t="str">
        <f>IF(A1173="DO 29","BAP",IF(A1173="RO 14","BAP",(VLOOKUP(TablaCosechas[[#This Row],[COD]],Tabla7[[CODIGO]:[CERTIFICACION]],3,0))))</f>
        <v>ASC</v>
      </c>
      <c r="P1173" s="180">
        <f>+L1173-E1173</f>
        <v>1585.0900000000001</v>
      </c>
      <c r="Q1173" s="49">
        <f>+M1173-F1173</f>
        <v>-0.64999999999999858</v>
      </c>
      <c r="R1173" s="9"/>
    </row>
    <row r="1174" spans="1:18" x14ac:dyDescent="0.25">
      <c r="A1174" s="9" t="s">
        <v>239</v>
      </c>
      <c r="B1174" s="9">
        <f>ROW() - ROW(TablaCosechas[[#Headers],[ID]]) - 4</f>
        <v>1169</v>
      </c>
      <c r="C1174" s="9" t="str">
        <f>LEFT(A1174,2)</f>
        <v>TA</v>
      </c>
      <c r="D1174" s="182" t="s">
        <v>366</v>
      </c>
      <c r="E1174" s="178">
        <v>40600</v>
      </c>
      <c r="F1174" s="19">
        <v>34</v>
      </c>
      <c r="G1174" s="195">
        <v>46069</v>
      </c>
      <c r="H1174" s="9" t="str">
        <f>VLOOKUP(TablaCosechas[[#This Row],[COD]],DATOS!$E$3:$F$27,2,0)</f>
        <v>TAMBULERO</v>
      </c>
      <c r="I1174" s="9" t="str">
        <f>RIGHT(TablaCosechas[[#This Row],[SECTOR/PISCINA]],2)</f>
        <v>7A</v>
      </c>
      <c r="J1174" s="9" t="str">
        <f>VLOOKUP(TablaCosechas[[#This Row],[COD]],Tabla7[#All],4,0)</f>
        <v>ALFONSO GRUNAUER</v>
      </c>
      <c r="K1174" s="179">
        <f>(TablaCosechas[[#This Row],[libras planta]]*454)/M1174</f>
        <v>529379.79573512916</v>
      </c>
      <c r="L1174" s="215">
        <v>41557.480000000003</v>
      </c>
      <c r="M1174" s="19">
        <v>35.64</v>
      </c>
      <c r="N1174" s="9" t="str">
        <f>UPPER(TEXT(TablaCosechas[[#This Row],[COSECHA]],"MMMM"))</f>
        <v>FEBRERO</v>
      </c>
      <c r="O1174" s="9" t="str">
        <f>IF(A1174="DO 29","BAP",IF(A1174="RO 14","BAP",(VLOOKUP(TablaCosechas[[#This Row],[COD]],Tabla7[[CODIGO]:[CERTIFICACION]],3,0))))</f>
        <v>CONVENCIONAL</v>
      </c>
      <c r="P1174" s="180">
        <f>+L1174-E1174</f>
        <v>957.4800000000032</v>
      </c>
      <c r="Q1174" s="49">
        <f>+M1174-F1174</f>
        <v>1.6400000000000006</v>
      </c>
      <c r="R1174" s="9"/>
    </row>
    <row r="1175" spans="1:18" x14ac:dyDescent="0.25">
      <c r="A1175" s="9" t="s">
        <v>275</v>
      </c>
      <c r="B1175" s="9">
        <f>ROW() - ROW(TablaCosechas[[#Headers],[ID]]) - 4</f>
        <v>1170</v>
      </c>
      <c r="C1175" s="9" t="str">
        <f>LEFT(A1175,2)</f>
        <v>PR</v>
      </c>
      <c r="D1175" s="182" t="s">
        <v>367</v>
      </c>
      <c r="E1175" s="178">
        <v>3000</v>
      </c>
      <c r="F1175" s="19">
        <v>15</v>
      </c>
      <c r="G1175" s="195">
        <v>46069</v>
      </c>
      <c r="H1175" s="9" t="str">
        <f>VLOOKUP(TablaCosechas[[#This Row],[COD]],DATOS!$E$3:$F$27,2,0)</f>
        <v>PARGO ROJO</v>
      </c>
      <c r="I1175" s="9" t="str">
        <f>RIGHT(TablaCosechas[[#This Row],[SECTOR/PISCINA]],2)</f>
        <v>20</v>
      </c>
      <c r="J1175" s="9" t="str">
        <f>VLOOKUP(TablaCosechas[[#This Row],[COD]],Tabla7[#All],4,0)</f>
        <v>WILMER TORRES</v>
      </c>
      <c r="K1175" s="179">
        <f>(TablaCosechas[[#This Row],[libras planta]]*454)/M1175</f>
        <v>86417.001248439454</v>
      </c>
      <c r="L1175" s="215">
        <v>3049.34</v>
      </c>
      <c r="M1175" s="19">
        <v>16.02</v>
      </c>
      <c r="N1175" s="9" t="str">
        <f>UPPER(TEXT(TablaCosechas[[#This Row],[COSECHA]],"MMMM"))</f>
        <v>FEBRERO</v>
      </c>
      <c r="O1175" s="9" t="str">
        <f>IF(A1175="DO 29","BAP",IF(A1175="RO 14","BAP",(VLOOKUP(TablaCosechas[[#This Row],[COD]],Tabla7[[CODIGO]:[CERTIFICACION]],3,0))))</f>
        <v>CONVENCIONAL</v>
      </c>
      <c r="P1175" s="180">
        <f>+L1175-E1175</f>
        <v>49.340000000000146</v>
      </c>
      <c r="Q1175" s="181">
        <f>+M1175-F1175</f>
        <v>1.0199999999999996</v>
      </c>
      <c r="R1175" s="9"/>
    </row>
    <row r="1176" spans="1:18" x14ac:dyDescent="0.25">
      <c r="A1176" s="9" t="s">
        <v>284</v>
      </c>
      <c r="B1176" s="9">
        <f>ROW() - ROW(TablaCosechas[[#Headers],[ID]]) - 4</f>
        <v>1171</v>
      </c>
      <c r="C1176" s="9" t="str">
        <f>LEFT(A1176,2)</f>
        <v>PR</v>
      </c>
      <c r="D1176" s="182" t="s">
        <v>367</v>
      </c>
      <c r="E1176" s="178">
        <v>2850</v>
      </c>
      <c r="F1176" s="19">
        <v>14</v>
      </c>
      <c r="G1176" s="195">
        <v>46069</v>
      </c>
      <c r="H1176" s="9" t="str">
        <f>VLOOKUP(TablaCosechas[[#This Row],[COD]],DATOS!$E$3:$F$27,2,0)</f>
        <v>PARGO ROJO</v>
      </c>
      <c r="I1176" s="9" t="str">
        <f>RIGHT(TablaCosechas[[#This Row],[SECTOR/PISCINA]],2)</f>
        <v>18</v>
      </c>
      <c r="J1176" s="9" t="str">
        <f>VLOOKUP(TablaCosechas[[#This Row],[COD]],Tabla7[#All],4,0)</f>
        <v>WILMER TORRES</v>
      </c>
      <c r="K1176" s="179">
        <f>(TablaCosechas[[#This Row],[libras planta]]*454)/M1176</f>
        <v>81317.321739130421</v>
      </c>
      <c r="L1176" s="215">
        <v>2883.72</v>
      </c>
      <c r="M1176" s="19">
        <v>16.100000000000001</v>
      </c>
      <c r="N1176" s="9" t="str">
        <f>UPPER(TEXT(TablaCosechas[[#This Row],[COSECHA]],"MMMM"))</f>
        <v>FEBRERO</v>
      </c>
      <c r="O1176" s="9" t="str">
        <f>IF(A1176="DO 29","BAP",IF(A1176="RO 14","BAP",(VLOOKUP(TablaCosechas[[#This Row],[COD]],Tabla7[[CODIGO]:[CERTIFICACION]],3,0))))</f>
        <v>CONVENCIONAL</v>
      </c>
      <c r="P1176" s="180">
        <f>+L1176-E1176</f>
        <v>33.7199999999998</v>
      </c>
      <c r="Q1176" s="49">
        <f>+M1176-F1176</f>
        <v>2.1000000000000014</v>
      </c>
      <c r="R1176" s="9"/>
    </row>
    <row r="1177" spans="1:18" x14ac:dyDescent="0.25">
      <c r="A1177" s="9" t="s">
        <v>304</v>
      </c>
      <c r="B1177" s="9">
        <f>ROW() - ROW(TablaCosechas[[#Headers],[ID]]) - 4</f>
        <v>1172</v>
      </c>
      <c r="C1177" s="9" t="str">
        <f>LEFT(A1177,2)</f>
        <v>PA</v>
      </c>
      <c r="D1177" s="182" t="s">
        <v>367</v>
      </c>
      <c r="E1177" s="178">
        <v>6600</v>
      </c>
      <c r="F1177" s="19">
        <v>20</v>
      </c>
      <c r="G1177" s="195">
        <v>46069</v>
      </c>
      <c r="H1177" s="9" t="str">
        <f>VLOOKUP(TablaCosechas[[#This Row],[COD]],DATOS!$E$3:$F$27,2,0)</f>
        <v>PAMPANO</v>
      </c>
      <c r="I1177" s="9" t="str">
        <f>RIGHT(TablaCosechas[[#This Row],[SECTOR/PISCINA]],2)</f>
        <v>06</v>
      </c>
      <c r="J1177" s="9" t="str">
        <f>VLOOKUP(TablaCosechas[[#This Row],[COD]],Tabla7[#All],4,0)</f>
        <v>GUSTAVO CARRASCO</v>
      </c>
      <c r="K1177" s="179">
        <f>(TablaCosechas[[#This Row],[libras planta]]*454)/M1177</f>
        <v>142628.87215909088</v>
      </c>
      <c r="L1177" s="215">
        <v>6635.07</v>
      </c>
      <c r="M1177" s="19">
        <v>21.12</v>
      </c>
      <c r="N1177" s="9" t="str">
        <f>UPPER(TEXT(TablaCosechas[[#This Row],[COSECHA]],"MMMM"))</f>
        <v>FEBRERO</v>
      </c>
      <c r="O1177" s="9" t="str">
        <f>IF(A1177="DO 29","BAP",IF(A1177="RO 14","BAP",(VLOOKUP(TablaCosechas[[#This Row],[COD]],Tabla7[[CODIGO]:[CERTIFICACION]],3,0))))</f>
        <v>ASC</v>
      </c>
      <c r="P1177" s="180">
        <f>+L1177-E1177</f>
        <v>35.069999999999709</v>
      </c>
      <c r="Q1177" s="49">
        <f>+M1177-F1177</f>
        <v>1.120000000000001</v>
      </c>
      <c r="R1177" s="9"/>
    </row>
    <row r="1178" spans="1:18" x14ac:dyDescent="0.25">
      <c r="A1178" s="9" t="s">
        <v>238</v>
      </c>
      <c r="B1178" s="9">
        <f>ROW() - ROW(TablaCosechas[[#Headers],[ID]]) - 4</f>
        <v>1173</v>
      </c>
      <c r="C1178" s="9" t="str">
        <f>LEFT(A1178,2)</f>
        <v>GT</v>
      </c>
      <c r="D1178" s="182" t="s">
        <v>366</v>
      </c>
      <c r="E1178" s="178">
        <v>37900</v>
      </c>
      <c r="F1178" s="19">
        <v>29</v>
      </c>
      <c r="G1178" s="195">
        <v>46069</v>
      </c>
      <c r="H1178" s="9" t="str">
        <f>VLOOKUP(TablaCosechas[[#This Row],[COD]],DATOS!$E$3:$F$27,2,0)</f>
        <v>GUATO</v>
      </c>
      <c r="I1178" s="9" t="str">
        <f>RIGHT(TablaCosechas[[#This Row],[SECTOR/PISCINA]],2)</f>
        <v>06</v>
      </c>
      <c r="J1178" s="9" t="str">
        <f>VLOOKUP(TablaCosechas[[#This Row],[COD]],Tabla7[#All],4,0)</f>
        <v>JULIO SANTOS</v>
      </c>
      <c r="K1178" s="179">
        <f>(TablaCosechas[[#This Row],[libras planta]]*454)/M1178</f>
        <v>637587.33804238134</v>
      </c>
      <c r="L1178" s="215">
        <v>41752.14</v>
      </c>
      <c r="M1178" s="19">
        <v>29.73</v>
      </c>
      <c r="N1178" s="9" t="str">
        <f>UPPER(TEXT(TablaCosechas[[#This Row],[COSECHA]],"MMMM"))</f>
        <v>FEBRERO</v>
      </c>
      <c r="O1178" s="9" t="str">
        <f>IF(A1178="DO 29","BAP",IF(A1178="RO 14","BAP",(VLOOKUP(TablaCosechas[[#This Row],[COD]],Tabla7[[CODIGO]:[CERTIFICACION]],3,0))))</f>
        <v>CONVENCIONAL</v>
      </c>
      <c r="P1178" s="180">
        <f>+L1178-E1178</f>
        <v>3852.1399999999994</v>
      </c>
      <c r="Q1178" s="49">
        <f>+M1178-F1178</f>
        <v>0.73000000000000043</v>
      </c>
      <c r="R1178" s="9"/>
    </row>
    <row r="1179" spans="1:18" x14ac:dyDescent="0.25">
      <c r="A1179" s="9" t="s">
        <v>286</v>
      </c>
      <c r="B1179" s="9">
        <f>ROW() - ROW(TablaCosechas[[#Headers],[ID]]) - 4</f>
        <v>1174</v>
      </c>
      <c r="C1179" s="9" t="str">
        <f>LEFT(A1179,2)</f>
        <v>DO</v>
      </c>
      <c r="D1179" s="182" t="s">
        <v>367</v>
      </c>
      <c r="E1179" s="178">
        <v>9600</v>
      </c>
      <c r="F1179" s="19">
        <v>20</v>
      </c>
      <c r="G1179" s="195">
        <v>46069</v>
      </c>
      <c r="H1179" s="9" t="str">
        <f>VLOOKUP(TablaCosechas[[#This Row],[COD]],DATOS!$E$3:$F$27,2,0)</f>
        <v>DORADO</v>
      </c>
      <c r="I1179" s="9" t="str">
        <f>RIGHT(TablaCosechas[[#This Row],[SECTOR/PISCINA]],2)</f>
        <v>29</v>
      </c>
      <c r="J1179" s="9" t="str">
        <f>VLOOKUP(TablaCosechas[[#This Row],[COD]],Tabla7[#All],4,0)</f>
        <v>JOSE CEDEÑO</v>
      </c>
      <c r="K1179" s="179">
        <f>(TablaCosechas[[#This Row],[libras planta]]*454)/M1179</f>
        <v>202610.11111111112</v>
      </c>
      <c r="L1179" s="215">
        <v>9478.94</v>
      </c>
      <c r="M1179" s="19">
        <v>21.24</v>
      </c>
      <c r="N1179" s="9" t="str">
        <f>UPPER(TEXT(TablaCosechas[[#This Row],[COSECHA]],"MMMM"))</f>
        <v>FEBRERO</v>
      </c>
      <c r="O1179" s="9" t="str">
        <f>IF(A1179="DO 29","BAP",IF(A1179="RO 14","BAP",(VLOOKUP(TablaCosechas[[#This Row],[COD]],Tabla7[[CODIGO]:[CERTIFICACION]],3,0))))</f>
        <v>BAP</v>
      </c>
      <c r="P1179" s="180">
        <f>+L1179-E1179</f>
        <v>-121.05999999999949</v>
      </c>
      <c r="Q1179" s="49">
        <f>+M1179-F1179</f>
        <v>1.2399999999999984</v>
      </c>
      <c r="R1179" s="9"/>
    </row>
    <row r="1180" spans="1:18" x14ac:dyDescent="0.25">
      <c r="A1180" s="9" t="s">
        <v>276</v>
      </c>
      <c r="B1180" s="9">
        <f>ROW() - ROW(TablaCosechas[[#Headers],[ID]]) - 4</f>
        <v>1175</v>
      </c>
      <c r="C1180" s="9" t="str">
        <f>LEFT(A1180,2)</f>
        <v>DE</v>
      </c>
      <c r="D1180" s="182" t="s">
        <v>367</v>
      </c>
      <c r="E1180" s="178">
        <v>1750</v>
      </c>
      <c r="F1180" s="19">
        <v>19</v>
      </c>
      <c r="G1180" s="195">
        <v>46069</v>
      </c>
      <c r="H1180" s="9" t="str">
        <f>VLOOKUP(TablaCosechas[[#This Row],[COD]],DATOS!$E$3:$F$27,2,0)</f>
        <v>DELFIN</v>
      </c>
      <c r="I1180" s="9" t="str">
        <f>RIGHT(TablaCosechas[[#This Row],[SECTOR/PISCINA]],2)</f>
        <v>08</v>
      </c>
      <c r="J1180" s="9" t="str">
        <f>VLOOKUP(TablaCosechas[[#This Row],[COD]],Tabla7[#All],4,0)</f>
        <v>CARLOS FLORES</v>
      </c>
      <c r="K1180" s="179">
        <f>(TablaCosechas[[#This Row],[libras planta]]*454)/M1180</f>
        <v>40432.340566037739</v>
      </c>
      <c r="L1180" s="215">
        <v>1888.03</v>
      </c>
      <c r="M1180" s="19">
        <v>21.2</v>
      </c>
      <c r="N1180" s="9" t="str">
        <f>UPPER(TEXT(TablaCosechas[[#This Row],[COSECHA]],"MMMM"))</f>
        <v>FEBRERO</v>
      </c>
      <c r="O1180" s="9" t="str">
        <f>IF(A1180="DO 29","BAP",IF(A1180="RO 14","BAP",(VLOOKUP(TablaCosechas[[#This Row],[COD]],Tabla7[[CODIGO]:[CERTIFICACION]],3,0))))</f>
        <v>CONVENCIONAL</v>
      </c>
      <c r="P1180" s="180">
        <f>+L1180-E1180</f>
        <v>138.02999999999997</v>
      </c>
      <c r="Q1180" s="49">
        <f>+M1180-F1180</f>
        <v>2.1999999999999993</v>
      </c>
      <c r="R1180" s="9"/>
    </row>
    <row r="1181" spans="1:18" x14ac:dyDescent="0.25">
      <c r="A1181" s="9" t="s">
        <v>29</v>
      </c>
      <c r="B1181" s="9">
        <f>ROW() - ROW(TablaCosechas[[#Headers],[ID]]) - 4</f>
        <v>1176</v>
      </c>
      <c r="C1181" s="9" t="str">
        <f>LEFT(A1181,2)</f>
        <v>CH</v>
      </c>
      <c r="D1181" s="182" t="s">
        <v>367</v>
      </c>
      <c r="E1181" s="178">
        <v>2400</v>
      </c>
      <c r="F1181" s="19">
        <v>28.5</v>
      </c>
      <c r="G1181" s="195">
        <v>46069</v>
      </c>
      <c r="H1181" s="9" t="str">
        <f>VLOOKUP(TablaCosechas[[#This Row],[COD]],DATOS!$E$3:$F$27,2,0)</f>
        <v>CHERNA</v>
      </c>
      <c r="I1181" s="9" t="str">
        <f>RIGHT(TablaCosechas[[#This Row],[SECTOR/PISCINA]],2)</f>
        <v>25</v>
      </c>
      <c r="J1181" s="9" t="str">
        <f>VLOOKUP(TablaCosechas[[#This Row],[COD]],Tabla7[#All],4,0)</f>
        <v>SANTIAGO OBRIEN</v>
      </c>
      <c r="K1181" s="179">
        <f>(TablaCosechas[[#This Row],[libras planta]]*454)/M1181</f>
        <v>41472.692036645523</v>
      </c>
      <c r="L1181" s="215">
        <v>2592.5</v>
      </c>
      <c r="M1181" s="19">
        <v>28.38</v>
      </c>
      <c r="N1181" s="9" t="str">
        <f>UPPER(TEXT(TablaCosechas[[#This Row],[COSECHA]],"MMMM"))</f>
        <v>FEBRERO</v>
      </c>
      <c r="O1181" s="9" t="str">
        <f>IF(A1181="DO 29","BAP",IF(A1181="RO 14","BAP",(VLOOKUP(TablaCosechas[[#This Row],[COD]],Tabla7[[CODIGO]:[CERTIFICACION]],3,0))))</f>
        <v>ASC</v>
      </c>
      <c r="P1181" s="180">
        <f>+L1181-E1181</f>
        <v>192.5</v>
      </c>
      <c r="Q1181" s="49">
        <f>+M1181-F1181</f>
        <v>-0.12000000000000099</v>
      </c>
      <c r="R1181" s="9"/>
    </row>
    <row r="1182" spans="1:18" x14ac:dyDescent="0.25">
      <c r="A1182" s="9" t="s">
        <v>305</v>
      </c>
      <c r="B1182" s="9">
        <f>ROW() - ROW(TablaCosechas[[#Headers],[ID]]) - 4</f>
        <v>1177</v>
      </c>
      <c r="C1182" s="9" t="str">
        <f>LEFT(A1182,2)</f>
        <v>TA</v>
      </c>
      <c r="D1182" s="182" t="s">
        <v>367</v>
      </c>
      <c r="E1182" s="178">
        <v>12200</v>
      </c>
      <c r="F1182" s="19">
        <v>19</v>
      </c>
      <c r="G1182" s="195">
        <v>46070</v>
      </c>
      <c r="H1182" s="9" t="str">
        <f>VLOOKUP(TablaCosechas[[#This Row],[COD]],DATOS!$E$3:$F$27,2,0)</f>
        <v>TAMBULERO</v>
      </c>
      <c r="I1182" s="9" t="str">
        <f>RIGHT(TablaCosechas[[#This Row],[SECTOR/PISCINA]],2)</f>
        <v>18</v>
      </c>
      <c r="J1182" s="9" t="str">
        <f>VLOOKUP(TablaCosechas[[#This Row],[COD]],Tabla7[#All],4,0)</f>
        <v>ALFONSO GRUNAUER</v>
      </c>
      <c r="K1182" s="179">
        <f>(TablaCosechas[[#This Row],[libras planta]]*454)/M1182</f>
        <v>308134.27540650405</v>
      </c>
      <c r="L1182" s="215">
        <v>13357.01</v>
      </c>
      <c r="M1182" s="19">
        <v>19.68</v>
      </c>
      <c r="N1182" s="9" t="str">
        <f>UPPER(TEXT(TablaCosechas[[#This Row],[COSECHA]],"MMMM"))</f>
        <v>FEBRERO</v>
      </c>
      <c r="O1182" s="9" t="str">
        <f>IF(A1182="DO 29","BAP",IF(A1182="RO 14","BAP",(VLOOKUP(TablaCosechas[[#This Row],[COD]],Tabla7[[CODIGO]:[CERTIFICACION]],3,0))))</f>
        <v>CONVENCIONAL</v>
      </c>
      <c r="P1182" s="180">
        <f>+L1182-E1182</f>
        <v>1157.0100000000002</v>
      </c>
      <c r="Q1182" s="49">
        <f>+M1182-F1182</f>
        <v>0.67999999999999972</v>
      </c>
      <c r="R1182" s="9"/>
    </row>
    <row r="1183" spans="1:18" x14ac:dyDescent="0.25">
      <c r="A1183" s="9" t="s">
        <v>240</v>
      </c>
      <c r="B1183" s="9">
        <f>ROW() - ROW(TablaCosechas[[#Headers],[ID]]) - 4</f>
        <v>1178</v>
      </c>
      <c r="C1183" s="9" t="str">
        <f>LEFT(A1183,2)</f>
        <v>GT</v>
      </c>
      <c r="D1183" s="182" t="s">
        <v>366</v>
      </c>
      <c r="E1183" s="178">
        <v>15850</v>
      </c>
      <c r="F1183" s="19">
        <v>27</v>
      </c>
      <c r="G1183" s="195">
        <v>46070</v>
      </c>
      <c r="H1183" s="9" t="str">
        <f>VLOOKUP(TablaCosechas[[#This Row],[COD]],DATOS!$E$3:$F$27,2,0)</f>
        <v>GUATO</v>
      </c>
      <c r="I1183" s="9" t="str">
        <f>RIGHT(TablaCosechas[[#This Row],[SECTOR/PISCINA]],2)</f>
        <v>19</v>
      </c>
      <c r="J1183" s="9" t="str">
        <f>VLOOKUP(TablaCosechas[[#This Row],[COD]],Tabla7[#All],4,0)</f>
        <v>JULIO SANTOS</v>
      </c>
      <c r="K1183" s="179">
        <f>(TablaCosechas[[#This Row],[libras planta]]*454)/M1183</f>
        <v>286321.85826210829</v>
      </c>
      <c r="L1183" s="215">
        <v>17709.07</v>
      </c>
      <c r="M1183" s="19">
        <v>28.08</v>
      </c>
      <c r="N1183" s="9" t="str">
        <f>UPPER(TEXT(TablaCosechas[[#This Row],[COSECHA]],"MMMM"))</f>
        <v>FEBRERO</v>
      </c>
      <c r="O1183" s="9" t="str">
        <f>IF(A1183="DO 29","BAP",IF(A1183="RO 14","BAP",(VLOOKUP(TablaCosechas[[#This Row],[COD]],Tabla7[[CODIGO]:[CERTIFICACION]],3,0))))</f>
        <v>CONVENCIONAL</v>
      </c>
      <c r="P1183" s="180">
        <f>+L1183-E1183</f>
        <v>1859.0699999999997</v>
      </c>
      <c r="Q1183" s="49">
        <f>+M1183-F1183</f>
        <v>1.0799999999999983</v>
      </c>
      <c r="R1183" s="9"/>
    </row>
    <row r="1184" spans="1:18" x14ac:dyDescent="0.25">
      <c r="A1184" s="9" t="s">
        <v>242</v>
      </c>
      <c r="B1184" s="9">
        <f>ROW() - ROW(TablaCosechas[[#Headers],[ID]]) - 4</f>
        <v>1179</v>
      </c>
      <c r="C1184" s="9" t="str">
        <f>LEFT(A1184,2)</f>
        <v>DE</v>
      </c>
      <c r="D1184" s="182" t="s">
        <v>366</v>
      </c>
      <c r="E1184" s="178">
        <f>29600+900</f>
        <v>30500</v>
      </c>
      <c r="F1184" s="19">
        <v>34</v>
      </c>
      <c r="G1184" s="195">
        <v>46070</v>
      </c>
      <c r="H1184" s="9" t="str">
        <f>VLOOKUP(TablaCosechas[[#This Row],[COD]],DATOS!$E$3:$F$27,2,0)</f>
        <v>DELFIN</v>
      </c>
      <c r="I1184" s="9" t="str">
        <f>RIGHT(TablaCosechas[[#This Row],[SECTOR/PISCINA]],2)</f>
        <v>06</v>
      </c>
      <c r="J1184" s="9" t="str">
        <f>VLOOKUP(TablaCosechas[[#This Row],[COD]],Tabla7[#All],4,0)</f>
        <v>CARLOS FLORES</v>
      </c>
      <c r="K1184" s="179">
        <f>(TablaCosechas[[#This Row],[libras planta]]*454)/M1184</f>
        <v>410582.94110752997</v>
      </c>
      <c r="L1184" s="215">
        <v>30866.07</v>
      </c>
      <c r="M1184" s="19">
        <v>34.130000000000003</v>
      </c>
      <c r="N1184" s="9" t="str">
        <f>UPPER(TEXT(TablaCosechas[[#This Row],[COSECHA]],"MMMM"))</f>
        <v>FEBRERO</v>
      </c>
      <c r="O1184" s="9" t="str">
        <f>IF(A1184="DO 29","BAP",IF(A1184="RO 14","BAP",(VLOOKUP(TablaCosechas[[#This Row],[COD]],Tabla7[[CODIGO]:[CERTIFICACION]],3,0))))</f>
        <v>CONVENCIONAL</v>
      </c>
      <c r="P1184" s="180">
        <f>+L1184-E1184</f>
        <v>366.06999999999971</v>
      </c>
      <c r="Q1184" s="49">
        <f>+M1184-F1184</f>
        <v>0.13000000000000256</v>
      </c>
      <c r="R1184" s="9"/>
    </row>
    <row r="1185" spans="1:18" x14ac:dyDescent="0.25">
      <c r="A1185" s="9" t="s">
        <v>241</v>
      </c>
      <c r="B1185" s="9">
        <f>ROW() - ROW(TablaCosechas[[#Headers],[ID]]) - 4</f>
        <v>1180</v>
      </c>
      <c r="C1185" s="9" t="str">
        <f>LEFT(A1185,2)</f>
        <v>BA</v>
      </c>
      <c r="D1185" s="182" t="s">
        <v>366</v>
      </c>
      <c r="E1185" s="178">
        <v>20100</v>
      </c>
      <c r="F1185" s="19">
        <v>30</v>
      </c>
      <c r="G1185" s="195">
        <v>46070</v>
      </c>
      <c r="H1185" s="9" t="str">
        <f>VLOOKUP(TablaCosechas[[#This Row],[COD]],DATOS!$E$3:$F$27,2,0)</f>
        <v>BARRACUDA</v>
      </c>
      <c r="I1185" s="9" t="str">
        <f>RIGHT(TablaCosechas[[#This Row],[SECTOR/PISCINA]],2)</f>
        <v>06</v>
      </c>
      <c r="J1185" s="9" t="str">
        <f>VLOOKUP(TablaCosechas[[#This Row],[COD]],Tabla7[#All],4,0)</f>
        <v>GUSTAVO CARRASCO</v>
      </c>
      <c r="K1185" s="179">
        <f>(TablaCosechas[[#This Row],[libras planta]]*454)/M1185</f>
        <v>326245.13690896257</v>
      </c>
      <c r="L1185" s="215">
        <v>20365.169999999998</v>
      </c>
      <c r="M1185" s="19">
        <v>28.34</v>
      </c>
      <c r="N1185" s="9" t="str">
        <f>UPPER(TEXT(TablaCosechas[[#This Row],[COSECHA]],"MMMM"))</f>
        <v>FEBRERO</v>
      </c>
      <c r="O1185" s="9" t="str">
        <f>IF(A1185="DO 29","BAP",IF(A1185="RO 14","BAP",(VLOOKUP(TablaCosechas[[#This Row],[COD]],Tabla7[[CODIGO]:[CERTIFICACION]],3,0))))</f>
        <v>CONVENCIONAL</v>
      </c>
      <c r="P1185" s="180">
        <f>+L1185-E1185</f>
        <v>265.16999999999825</v>
      </c>
      <c r="Q1185" s="49">
        <f>+M1185-F1185</f>
        <v>-1.6600000000000001</v>
      </c>
      <c r="R1185" s="9"/>
    </row>
    <row r="1186" spans="1:18" x14ac:dyDescent="0.25">
      <c r="A1186" s="9" t="s">
        <v>315</v>
      </c>
      <c r="B1186" s="9">
        <f>ROW() - ROW(TablaCosechas[[#Headers],[ID]]) - 4</f>
        <v>1181</v>
      </c>
      <c r="C1186" s="9" t="str">
        <f>LEFT(A1186,2)</f>
        <v>TI</v>
      </c>
      <c r="D1186" s="182" t="s">
        <v>367</v>
      </c>
      <c r="E1186" s="178">
        <v>17000</v>
      </c>
      <c r="F1186" s="19">
        <v>22</v>
      </c>
      <c r="G1186" s="195">
        <v>46071</v>
      </c>
      <c r="H1186" s="9" t="str">
        <f>VLOOKUP(TablaCosechas[[#This Row],[COD]],DATOS!$E$3:$F$27,2,0)</f>
        <v>TIBURON</v>
      </c>
      <c r="I1186" s="9" t="str">
        <f>RIGHT(TablaCosechas[[#This Row],[SECTOR/PISCINA]],2)</f>
        <v>05</v>
      </c>
      <c r="J1186" s="9" t="str">
        <f>VLOOKUP(TablaCosechas[[#This Row],[COD]],Tabla7[#All],4,0)</f>
        <v>ALFONSO GRUNAUER</v>
      </c>
      <c r="K1186" s="179">
        <f>(TablaCosechas[[#This Row],[libras planta]]*454)/M1186</f>
        <v>338296.91693811078</v>
      </c>
      <c r="L1186" s="215">
        <v>18300.82</v>
      </c>
      <c r="M1186" s="19">
        <v>24.56</v>
      </c>
      <c r="N1186" s="9" t="str">
        <f>UPPER(TEXT(TablaCosechas[[#This Row],[COSECHA]],"MMMM"))</f>
        <v>FEBRERO</v>
      </c>
      <c r="O1186" s="9" t="str">
        <f>IF(A1186="DO 29","BAP",IF(A1186="RO 14","BAP",(VLOOKUP(TablaCosechas[[#This Row],[COD]],Tabla7[[CODIGO]:[CERTIFICACION]],3,0))))</f>
        <v>ASC</v>
      </c>
      <c r="P1186" s="180">
        <f>+L1186-E1186</f>
        <v>1300.8199999999997</v>
      </c>
      <c r="Q1186" s="49">
        <f>+M1186-F1186</f>
        <v>2.5599999999999987</v>
      </c>
      <c r="R1186" s="9"/>
    </row>
    <row r="1187" spans="1:18" x14ac:dyDescent="0.25">
      <c r="A1187" s="9" t="s">
        <v>143</v>
      </c>
      <c r="B1187" s="9">
        <f>ROW() - ROW(TablaCosechas[[#Headers],[ID]]) - 4</f>
        <v>1182</v>
      </c>
      <c r="C1187" s="9" t="str">
        <f>LEFT(A1187,2)</f>
        <v>TA</v>
      </c>
      <c r="D1187" s="182" t="s">
        <v>367</v>
      </c>
      <c r="E1187" s="178">
        <v>12950</v>
      </c>
      <c r="F1187" s="19">
        <v>21</v>
      </c>
      <c r="G1187" s="195">
        <v>46071</v>
      </c>
      <c r="H1187" s="9" t="str">
        <f>VLOOKUP(TablaCosechas[[#This Row],[COD]],DATOS!$E$3:$F$27,2,0)</f>
        <v>TAMBULERO</v>
      </c>
      <c r="I1187" s="9" t="str">
        <f>RIGHT(TablaCosechas[[#This Row],[SECTOR/PISCINA]],2)</f>
        <v>08</v>
      </c>
      <c r="J1187" s="9" t="str">
        <f>VLOOKUP(TablaCosechas[[#This Row],[COD]],Tabla7[#All],4,0)</f>
        <v>ALFONSO GRUNAUER</v>
      </c>
      <c r="K1187" s="179">
        <f>(TablaCosechas[[#This Row],[libras planta]]*454)/M1187</f>
        <v>316366.68199233717</v>
      </c>
      <c r="L1187" s="215">
        <v>14550.08</v>
      </c>
      <c r="M1187" s="19">
        <v>20.88</v>
      </c>
      <c r="N1187" s="9" t="str">
        <f>UPPER(TEXT(TablaCosechas[[#This Row],[COSECHA]],"MMMM"))</f>
        <v>FEBRERO</v>
      </c>
      <c r="O1187" s="9" t="str">
        <f>IF(A1187="DO 29","BAP",IF(A1187="RO 14","BAP",(VLOOKUP(TablaCosechas[[#This Row],[COD]],Tabla7[[CODIGO]:[CERTIFICACION]],3,0))))</f>
        <v>CONVENCIONAL</v>
      </c>
      <c r="P1187" s="180">
        <f>+L1187-E1187</f>
        <v>1600.08</v>
      </c>
      <c r="Q1187" s="49">
        <f>+M1187-F1187</f>
        <v>-0.12000000000000099</v>
      </c>
      <c r="R1187" s="9"/>
    </row>
    <row r="1188" spans="1:18" x14ac:dyDescent="0.25">
      <c r="A1188" s="9" t="s">
        <v>244</v>
      </c>
      <c r="B1188" s="9">
        <f>ROW() - ROW(TablaCosechas[[#Headers],[ID]]) - 4</f>
        <v>1183</v>
      </c>
      <c r="C1188" s="9" t="str">
        <f>LEFT(A1188,2)</f>
        <v>PA</v>
      </c>
      <c r="D1188" s="182" t="s">
        <v>366</v>
      </c>
      <c r="E1188" s="178">
        <v>31750</v>
      </c>
      <c r="F1188" s="19">
        <v>32</v>
      </c>
      <c r="G1188" s="195">
        <v>46071</v>
      </c>
      <c r="H1188" s="9" t="str">
        <f>VLOOKUP(TablaCosechas[[#This Row],[COD]],DATOS!$E$3:$F$27,2,0)</f>
        <v>PAMPANO</v>
      </c>
      <c r="I1188" s="9" t="str">
        <f>RIGHT(TablaCosechas[[#This Row],[SECTOR/PISCINA]],2)</f>
        <v>03</v>
      </c>
      <c r="J1188" s="9" t="str">
        <f>VLOOKUP(TablaCosechas[[#This Row],[COD]],Tabla7[#All],4,0)</f>
        <v>GUSTAVO CARRASCO</v>
      </c>
      <c r="K1188" s="179">
        <f>(TablaCosechas[[#This Row],[libras planta]]*454)/M1188</f>
        <v>422341.66357308591</v>
      </c>
      <c r="L1188" s="215">
        <v>32075.64</v>
      </c>
      <c r="M1188" s="19">
        <v>34.479999999999997</v>
      </c>
      <c r="N1188" s="9" t="str">
        <f>UPPER(TEXT(TablaCosechas[[#This Row],[COSECHA]],"MMMM"))</f>
        <v>FEBRERO</v>
      </c>
      <c r="O1188" s="9" t="str">
        <f>IF(A1188="DO 29","BAP",IF(A1188="RO 14","BAP",(VLOOKUP(TablaCosechas[[#This Row],[COD]],Tabla7[[CODIGO]:[CERTIFICACION]],3,0))))</f>
        <v>ASC</v>
      </c>
      <c r="P1188" s="180">
        <f>+L1188-E1188</f>
        <v>325.63999999999942</v>
      </c>
      <c r="Q1188" s="49">
        <f>+M1188-F1188</f>
        <v>2.4799999999999969</v>
      </c>
      <c r="R1188" s="9"/>
    </row>
    <row r="1189" spans="1:18" x14ac:dyDescent="0.25">
      <c r="A1189" s="9" t="s">
        <v>266</v>
      </c>
      <c r="B1189" s="9">
        <f>ROW() - ROW(TablaCosechas[[#Headers],[ID]]) - 4</f>
        <v>1184</v>
      </c>
      <c r="C1189" s="9" t="str">
        <f>LEFT(A1189,2)</f>
        <v>ME</v>
      </c>
      <c r="D1189" s="182" t="s">
        <v>367</v>
      </c>
      <c r="E1189" s="178">
        <v>5600</v>
      </c>
      <c r="F1189" s="19">
        <v>27</v>
      </c>
      <c r="G1189" s="195">
        <v>46071</v>
      </c>
      <c r="H1189" s="9" t="str">
        <f>VLOOKUP(TablaCosechas[[#This Row],[COD]],DATOS!$E$3:$F$27,2,0)</f>
        <v>MERO</v>
      </c>
      <c r="I1189" s="9" t="str">
        <f>RIGHT(TablaCosechas[[#This Row],[SECTOR/PISCINA]],2)</f>
        <v>11</v>
      </c>
      <c r="J1189" s="9" t="str">
        <f>VLOOKUP(TablaCosechas[[#This Row],[COD]],Tabla7[#All],4,0)</f>
        <v>NESTOR MOGOLLON</v>
      </c>
      <c r="K1189" s="179">
        <f>(TablaCosechas[[#This Row],[libras planta]]*454)/M1189</f>
        <v>87581.715022091303</v>
      </c>
      <c r="L1189" s="215">
        <v>5239.47</v>
      </c>
      <c r="M1189" s="19">
        <v>27.16</v>
      </c>
      <c r="N1189" s="9" t="str">
        <f>UPPER(TEXT(TablaCosechas[[#This Row],[COSECHA]],"MMMM"))</f>
        <v>FEBRERO</v>
      </c>
      <c r="O1189" s="9" t="str">
        <f>IF(A1189="DO 29","BAP",IF(A1189="RO 14","BAP",(VLOOKUP(TablaCosechas[[#This Row],[COD]],Tabla7[[CODIGO]:[CERTIFICACION]],3,0))))</f>
        <v>CONVENCIONAL</v>
      </c>
      <c r="P1189" s="180">
        <f>+L1189-E1189</f>
        <v>-360.52999999999975</v>
      </c>
      <c r="Q1189" s="49">
        <f>+M1189-F1189</f>
        <v>0.16000000000000014</v>
      </c>
      <c r="R1189" s="9"/>
    </row>
    <row r="1190" spans="1:18" x14ac:dyDescent="0.25">
      <c r="A1190" s="9" t="s">
        <v>243</v>
      </c>
      <c r="B1190" s="9">
        <f>ROW() - ROW(TablaCosechas[[#Headers],[ID]]) - 4</f>
        <v>1185</v>
      </c>
      <c r="C1190" s="9" t="str">
        <f>LEFT(A1190,2)</f>
        <v>GT</v>
      </c>
      <c r="D1190" s="182" t="s">
        <v>366</v>
      </c>
      <c r="E1190" s="178">
        <v>10000</v>
      </c>
      <c r="F1190" s="19">
        <v>27</v>
      </c>
      <c r="G1190" s="195">
        <v>46071</v>
      </c>
      <c r="H1190" s="9" t="str">
        <f>VLOOKUP(TablaCosechas[[#This Row],[COD]],DATOS!$E$3:$F$27,2,0)</f>
        <v>GUATO</v>
      </c>
      <c r="I1190" s="9" t="str">
        <f>RIGHT(TablaCosechas[[#This Row],[SECTOR/PISCINA]],2)</f>
        <v>20</v>
      </c>
      <c r="J1190" s="9" t="str">
        <f>VLOOKUP(TablaCosechas[[#This Row],[COD]],Tabla7[#All],4,0)</f>
        <v>JULIO SANTOS</v>
      </c>
      <c r="K1190" s="179">
        <f>(TablaCosechas[[#This Row],[libras planta]]*454)/M1190</f>
        <v>159585.07596685085</v>
      </c>
      <c r="L1190" s="215">
        <v>10179.700000000001</v>
      </c>
      <c r="M1190" s="19">
        <v>28.96</v>
      </c>
      <c r="N1190" s="9" t="str">
        <f>UPPER(TEXT(TablaCosechas[[#This Row],[COSECHA]],"MMMM"))</f>
        <v>FEBRERO</v>
      </c>
      <c r="O1190" s="9" t="str">
        <f>IF(A1190="DO 29","BAP",IF(A1190="RO 14","BAP",(VLOOKUP(TablaCosechas[[#This Row],[COD]],Tabla7[[CODIGO]:[CERTIFICACION]],3,0))))</f>
        <v>CONVENCIONAL</v>
      </c>
      <c r="P1190" s="180">
        <f>+L1190-E1190</f>
        <v>179.70000000000073</v>
      </c>
      <c r="Q1190" s="49">
        <f>+M1190-F1190</f>
        <v>1.9600000000000009</v>
      </c>
      <c r="R1190" s="9"/>
    </row>
    <row r="1191" spans="1:18" x14ac:dyDescent="0.25">
      <c r="A1191" s="9" t="s">
        <v>289</v>
      </c>
      <c r="B1191" s="9">
        <f>ROW() - ROW(TablaCosechas[[#Headers],[ID]]) - 4</f>
        <v>1186</v>
      </c>
      <c r="C1191" s="9" t="str">
        <f>LEFT(A1191,2)</f>
        <v>TI</v>
      </c>
      <c r="D1191" s="182" t="s">
        <v>367</v>
      </c>
      <c r="E1191" s="178">
        <v>13700</v>
      </c>
      <c r="F1191" s="19">
        <v>27</v>
      </c>
      <c r="G1191" s="195">
        <v>46072</v>
      </c>
      <c r="H1191" s="9" t="str">
        <f>VLOOKUP(TablaCosechas[[#This Row],[COD]],DATOS!$E$3:$F$27,2,0)</f>
        <v>TIBURON</v>
      </c>
      <c r="I1191" s="9" t="str">
        <f>RIGHT(TablaCosechas[[#This Row],[SECTOR/PISCINA]],2)</f>
        <v>04</v>
      </c>
      <c r="J1191" s="9" t="str">
        <f>VLOOKUP(TablaCosechas[[#This Row],[COD]],Tabla7[#All],4,0)</f>
        <v>ALFONSO GRUNAUER</v>
      </c>
      <c r="K1191" s="179">
        <f>(TablaCosechas[[#This Row],[libras planta]]*454)/M1191</f>
        <v>236386.2447844228</v>
      </c>
      <c r="L1191" s="215">
        <v>14974.6</v>
      </c>
      <c r="M1191" s="205">
        <v>28.76</v>
      </c>
      <c r="N1191" s="9" t="str">
        <f>UPPER(TEXT(TablaCosechas[[#This Row],[COSECHA]],"MMMM"))</f>
        <v>FEBRERO</v>
      </c>
      <c r="O1191" s="9" t="str">
        <f>IF(A1191="DO 29","BAP",IF(A1191="RO 14","BAP",(VLOOKUP(TablaCosechas[[#This Row],[COD]],Tabla7[[CODIGO]:[CERTIFICACION]],3,0))))</f>
        <v>ASC</v>
      </c>
      <c r="P1191" s="180">
        <f>+L1191-E1191</f>
        <v>1274.6000000000004</v>
      </c>
      <c r="Q1191" s="49">
        <f>+M1191-F1191</f>
        <v>1.7600000000000016</v>
      </c>
      <c r="R1191" s="9"/>
    </row>
    <row r="1192" spans="1:18" x14ac:dyDescent="0.25">
      <c r="A1192" s="9" t="s">
        <v>314</v>
      </c>
      <c r="B1192" s="9">
        <f>ROW() - ROW(TablaCosechas[[#Headers],[ID]]) - 4</f>
        <v>1187</v>
      </c>
      <c r="C1192" s="9" t="str">
        <f>LEFT(A1192,2)</f>
        <v>GT</v>
      </c>
      <c r="D1192" s="182" t="s">
        <v>367</v>
      </c>
      <c r="E1192" s="178">
        <v>4400</v>
      </c>
      <c r="F1192" s="19">
        <v>17.5</v>
      </c>
      <c r="G1192" s="195">
        <v>46072</v>
      </c>
      <c r="H1192" s="9" t="str">
        <f>VLOOKUP(TablaCosechas[[#This Row],[COD]],DATOS!$E$3:$F$27,2,0)</f>
        <v>GUATO</v>
      </c>
      <c r="I1192" s="9" t="str">
        <f>RIGHT(TablaCosechas[[#This Row],[SECTOR/PISCINA]],2)</f>
        <v>10</v>
      </c>
      <c r="J1192" s="9" t="str">
        <f>VLOOKUP(TablaCosechas[[#This Row],[COD]],Tabla7[#All],4,0)</f>
        <v>JULIO SANTOS</v>
      </c>
      <c r="K1192" s="179">
        <f>(TablaCosechas[[#This Row],[libras planta]]*454)/M1192</f>
        <v>126107.38260869565</v>
      </c>
      <c r="L1192" s="215">
        <v>5110.96</v>
      </c>
      <c r="M1192" s="205">
        <v>18.399999999999999</v>
      </c>
      <c r="N1192" s="9" t="str">
        <f>UPPER(TEXT(TablaCosechas[[#This Row],[COSECHA]],"MMMM"))</f>
        <v>FEBRERO</v>
      </c>
      <c r="O1192" s="9" t="str">
        <f>IF(A1192="DO 29","BAP",IF(A1192="RO 14","BAP",(VLOOKUP(TablaCosechas[[#This Row],[COD]],Tabla7[[CODIGO]:[CERTIFICACION]],3,0))))</f>
        <v>CONVENCIONAL</v>
      </c>
      <c r="P1192" s="180">
        <f>+L1192-E1192</f>
        <v>710.96</v>
      </c>
      <c r="Q1192" s="49">
        <f>+M1192-F1192</f>
        <v>0.89999999999999858</v>
      </c>
      <c r="R1192" s="9"/>
    </row>
    <row r="1193" spans="1:18" x14ac:dyDescent="0.25">
      <c r="A1193" s="9" t="s">
        <v>245</v>
      </c>
      <c r="B1193" s="9">
        <f>ROW() - ROW(TablaCosechas[[#Headers],[ID]]) - 4</f>
        <v>1188</v>
      </c>
      <c r="C1193" s="9" t="str">
        <f>LEFT(A1193,2)</f>
        <v>CA</v>
      </c>
      <c r="D1193" s="182" t="s">
        <v>366</v>
      </c>
      <c r="E1193" s="178">
        <v>33800</v>
      </c>
      <c r="F1193" s="19">
        <v>34</v>
      </c>
      <c r="G1193" s="195">
        <v>46072</v>
      </c>
      <c r="H1193" s="9" t="str">
        <f>VLOOKUP(TablaCosechas[[#This Row],[COD]],DATOS!$E$3:$F$27,2,0)</f>
        <v>CATANUDA</v>
      </c>
      <c r="I1193" s="9" t="str">
        <f>RIGHT(TablaCosechas[[#This Row],[SECTOR/PISCINA]],2)</f>
        <v>16</v>
      </c>
      <c r="J1193" s="9" t="str">
        <f>VLOOKUP(TablaCosechas[[#This Row],[COD]],Tabla7[#All],4,0)</f>
        <v>VICTOR QUINTANA</v>
      </c>
      <c r="K1193" s="179">
        <f>(TablaCosechas[[#This Row],[libras planta]]*454)/M1193</f>
        <v>457754.77483833034</v>
      </c>
      <c r="L1193" s="215">
        <v>34301.360000000001</v>
      </c>
      <c r="M1193" s="19">
        <v>34.020000000000003</v>
      </c>
      <c r="N1193" s="9" t="str">
        <f>UPPER(TEXT(TablaCosechas[[#This Row],[COSECHA]],"MMMM"))</f>
        <v>FEBRERO</v>
      </c>
      <c r="O1193" s="9" t="str">
        <f>IF(A1193="DO 29","BAP",IF(A1193="RO 14","BAP",(VLOOKUP(TablaCosechas[[#This Row],[COD]],Tabla7[[CODIGO]:[CERTIFICACION]],3,0))))</f>
        <v>ASC</v>
      </c>
      <c r="P1193" s="180">
        <f>+L1193-E1193</f>
        <v>501.36000000000058</v>
      </c>
      <c r="Q1193" s="49">
        <f>+M1193-F1193</f>
        <v>2.0000000000003126E-2</v>
      </c>
      <c r="R1193" s="9"/>
    </row>
    <row r="1194" spans="1:18" x14ac:dyDescent="0.25">
      <c r="A1194" s="9" t="s">
        <v>300</v>
      </c>
      <c r="B1194" s="9">
        <f>ROW() - ROW(TablaCosechas[[#Headers],[ID]]) - 4</f>
        <v>1189</v>
      </c>
      <c r="C1194" s="9" t="str">
        <f>LEFT(A1194,2)</f>
        <v>TI</v>
      </c>
      <c r="D1194" s="182" t="s">
        <v>367</v>
      </c>
      <c r="E1194" s="178">
        <v>14950</v>
      </c>
      <c r="F1194" s="19">
        <v>22</v>
      </c>
      <c r="G1194" s="195">
        <v>46073</v>
      </c>
      <c r="H1194" s="9" t="str">
        <f>VLOOKUP(TablaCosechas[[#This Row],[COD]],DATOS!$E$3:$F$27,2,0)</f>
        <v>TIBURON</v>
      </c>
      <c r="I1194" s="9" t="str">
        <f>RIGHT(TablaCosechas[[#This Row],[SECTOR/PISCINA]],2)</f>
        <v>15</v>
      </c>
      <c r="J1194" s="9" t="str">
        <f>VLOOKUP(TablaCosechas[[#This Row],[COD]],Tabla7[#All],4,0)</f>
        <v>ALFONSO GRUNAUER</v>
      </c>
      <c r="K1194" s="179">
        <f>(TablaCosechas[[#This Row],[libras planta]]*454)/M1194</f>
        <v>323934.3460144928</v>
      </c>
      <c r="L1194" s="215">
        <v>15754.34</v>
      </c>
      <c r="M1194" s="19">
        <v>22.08</v>
      </c>
      <c r="N1194" s="9" t="str">
        <f>UPPER(TEXT(TablaCosechas[[#This Row],[COSECHA]],"MMMM"))</f>
        <v>FEBRERO</v>
      </c>
      <c r="O1194" s="9" t="str">
        <f>IF(A1194="DO 29","BAP",IF(A1194="RO 14","BAP",(VLOOKUP(TablaCosechas[[#This Row],[COD]],Tabla7[[CODIGO]:[CERTIFICACION]],3,0))))</f>
        <v>ASC</v>
      </c>
      <c r="P1194" s="180">
        <f>+L1194-E1194</f>
        <v>804.34000000000015</v>
      </c>
      <c r="Q1194" s="49">
        <f>+M1194-F1194</f>
        <v>7.9999999999998295E-2</v>
      </c>
      <c r="R1194" s="9"/>
    </row>
    <row r="1195" spans="1:18" x14ac:dyDescent="0.25">
      <c r="A1195" s="9" t="s">
        <v>282</v>
      </c>
      <c r="B1195" s="9">
        <f>ROW() - ROW(TablaCosechas[[#Headers],[ID]]) - 4</f>
        <v>1190</v>
      </c>
      <c r="C1195" s="9" t="str">
        <f>LEFT(A1195,2)</f>
        <v>ME</v>
      </c>
      <c r="D1195" s="182" t="s">
        <v>367</v>
      </c>
      <c r="E1195" s="178">
        <v>15000</v>
      </c>
      <c r="F1195" s="19">
        <v>32</v>
      </c>
      <c r="G1195" s="195">
        <v>46073</v>
      </c>
      <c r="H1195" s="9" t="str">
        <f>VLOOKUP(TablaCosechas[[#This Row],[COD]],DATOS!$E$3:$F$27,2,0)</f>
        <v>MERO</v>
      </c>
      <c r="I1195" s="9" t="str">
        <f>RIGHT(TablaCosechas[[#This Row],[SECTOR/PISCINA]],2)</f>
        <v>10</v>
      </c>
      <c r="J1195" s="9" t="str">
        <f>VLOOKUP(TablaCosechas[[#This Row],[COD]],Tabla7[#All],4,0)</f>
        <v>NESTOR MOGOLLON</v>
      </c>
      <c r="K1195" s="179">
        <f>(TablaCosechas[[#This Row],[libras planta]]*454)/M1195</f>
        <v>172906.75043227666</v>
      </c>
      <c r="L1195" s="215">
        <v>13215.56</v>
      </c>
      <c r="M1195" s="19">
        <v>34.700000000000003</v>
      </c>
      <c r="N1195" s="9" t="str">
        <f>UPPER(TEXT(TablaCosechas[[#This Row],[COSECHA]],"MMMM"))</f>
        <v>FEBRERO</v>
      </c>
      <c r="O1195" s="9" t="str">
        <f>IF(A1195="DO 29","BAP",IF(A1195="RO 14","BAP",(VLOOKUP(TablaCosechas[[#This Row],[COD]],Tabla7[[CODIGO]:[CERTIFICACION]],3,0))))</f>
        <v>CONVENCIONAL</v>
      </c>
      <c r="P1195" s="180">
        <f>+L1195-E1195</f>
        <v>-1784.4400000000005</v>
      </c>
      <c r="Q1195" s="181">
        <f>+M1195-F1195</f>
        <v>2.7000000000000028</v>
      </c>
      <c r="R1195" s="9"/>
    </row>
    <row r="1196" spans="1:18" x14ac:dyDescent="0.25">
      <c r="A1196" s="9" t="s">
        <v>246</v>
      </c>
      <c r="B1196" s="9">
        <f>ROW() - ROW(TablaCosechas[[#Headers],[ID]]) - 4</f>
        <v>1191</v>
      </c>
      <c r="C1196" s="9" t="str">
        <f>LEFT(A1196,2)</f>
        <v>MA</v>
      </c>
      <c r="D1196" s="182" t="s">
        <v>366</v>
      </c>
      <c r="E1196" s="178">
        <v>20200</v>
      </c>
      <c r="F1196" s="19">
        <v>38</v>
      </c>
      <c r="G1196" s="195">
        <v>46073</v>
      </c>
      <c r="H1196" s="9" t="str">
        <f>VLOOKUP(TablaCosechas[[#This Row],[COD]],DATOS!$E$3:$F$27,2,0)</f>
        <v>MANTARRAYA</v>
      </c>
      <c r="I1196" s="9" t="str">
        <f>RIGHT(TablaCosechas[[#This Row],[SECTOR/PISCINA]],2)</f>
        <v>09</v>
      </c>
      <c r="J1196" s="9" t="str">
        <f>VLOOKUP(TablaCosechas[[#This Row],[COD]],Tabla7[#All],4,0)</f>
        <v>GUSTAVO CARRASCO</v>
      </c>
      <c r="K1196" s="179">
        <f>(TablaCosechas[[#This Row],[libras planta]]*454)/M1196</f>
        <v>243205.33589349716</v>
      </c>
      <c r="L1196" s="215">
        <v>20924.23</v>
      </c>
      <c r="M1196" s="19">
        <v>39.06</v>
      </c>
      <c r="N1196" s="9" t="str">
        <f>UPPER(TEXT(TablaCosechas[[#This Row],[COSECHA]],"MMMM"))</f>
        <v>FEBRERO</v>
      </c>
      <c r="O1196" s="9" t="str">
        <f>IF(A1196="DO 29","BAP",IF(A1196="RO 14","BAP",(VLOOKUP(TablaCosechas[[#This Row],[COD]],Tabla7[[CODIGO]:[CERTIFICACION]],3,0))))</f>
        <v>ASC</v>
      </c>
      <c r="P1196" s="180">
        <f>+L1196-E1196</f>
        <v>724.22999999999956</v>
      </c>
      <c r="Q1196" s="49">
        <f>+M1196-F1196</f>
        <v>1.0600000000000023</v>
      </c>
      <c r="R1196" s="9"/>
    </row>
    <row r="1197" spans="1:18" x14ac:dyDescent="0.25">
      <c r="A1197" s="9" t="s">
        <v>307</v>
      </c>
      <c r="B1197" s="9">
        <f>ROW() - ROW(TablaCosechas[[#Headers],[ID]]) - 4</f>
        <v>1192</v>
      </c>
      <c r="C1197" s="9" t="str">
        <f>LEFT(A1197,2)</f>
        <v>DO</v>
      </c>
      <c r="D1197" s="182" t="s">
        <v>367</v>
      </c>
      <c r="E1197" s="178">
        <v>20000</v>
      </c>
      <c r="F1197" s="19">
        <v>24.5</v>
      </c>
      <c r="G1197" s="195">
        <v>46073</v>
      </c>
      <c r="H1197" s="9" t="str">
        <f>VLOOKUP(TablaCosechas[[#This Row],[COD]],DATOS!$E$3:$F$27,2,0)</f>
        <v>DORADO</v>
      </c>
      <c r="I1197" s="9" t="str">
        <f>RIGHT(TablaCosechas[[#This Row],[SECTOR/PISCINA]],2)</f>
        <v>24</v>
      </c>
      <c r="J1197" s="9" t="str">
        <f>VLOOKUP(TablaCosechas[[#This Row],[COD]],Tabla7[#All],4,0)</f>
        <v>JOSE CEDEÑO</v>
      </c>
      <c r="K1197" s="179">
        <f>(TablaCosechas[[#This Row],[libras planta]]*454)/M1197</f>
        <v>354054.91358994506</v>
      </c>
      <c r="L1197" s="215">
        <v>19855.150000000001</v>
      </c>
      <c r="M1197" s="19">
        <v>25.46</v>
      </c>
      <c r="N1197" s="9" t="str">
        <f>UPPER(TEXT(TablaCosechas[[#This Row],[COSECHA]],"MMMM"))</f>
        <v>FEBRERO</v>
      </c>
      <c r="O1197" s="9" t="str">
        <f>IF(A1197="DO 29","BAP",IF(A1197="RO 14","BAP",(VLOOKUP(TablaCosechas[[#This Row],[COD]],Tabla7[[CODIGO]:[CERTIFICACION]],3,0))))</f>
        <v>ASC</v>
      </c>
      <c r="P1197" s="180">
        <f>+L1197-E1197</f>
        <v>-144.84999999999854</v>
      </c>
      <c r="Q1197" s="49">
        <f>+M1197-F1197</f>
        <v>0.96000000000000085</v>
      </c>
      <c r="R1197" s="9"/>
    </row>
    <row r="1198" spans="1:18" x14ac:dyDescent="0.25">
      <c r="A1198" s="9" t="s">
        <v>267</v>
      </c>
      <c r="B1198" s="9">
        <f>ROW() - ROW(TablaCosechas[[#Headers],[ID]]) - 4</f>
        <v>1193</v>
      </c>
      <c r="C1198" s="9" t="str">
        <f>LEFT(A1198,2)</f>
        <v>DO</v>
      </c>
      <c r="D1198" s="182" t="s">
        <v>367</v>
      </c>
      <c r="E1198" s="178">
        <v>11400</v>
      </c>
      <c r="F1198" s="19">
        <v>26</v>
      </c>
      <c r="G1198" s="195">
        <v>46073</v>
      </c>
      <c r="H1198" s="9" t="str">
        <f>VLOOKUP(TablaCosechas[[#This Row],[COD]],DATOS!$E$3:$F$27,2,0)</f>
        <v>DORADO</v>
      </c>
      <c r="I1198" s="9" t="str">
        <f>RIGHT(TablaCosechas[[#This Row],[SECTOR/PISCINA]],2)</f>
        <v>17</v>
      </c>
      <c r="J1198" s="9" t="str">
        <f>VLOOKUP(TablaCosechas[[#This Row],[COD]],Tabla7[#All],4,0)</f>
        <v>JOSE CEDEÑO</v>
      </c>
      <c r="K1198" s="179">
        <f>(TablaCosechas[[#This Row],[libras planta]]*454)/M1198</f>
        <v>172301.92139737995</v>
      </c>
      <c r="L1198" s="215">
        <v>10429.200000000001</v>
      </c>
      <c r="M1198" s="19">
        <v>27.48</v>
      </c>
      <c r="N1198" s="9" t="str">
        <f>UPPER(TEXT(TablaCosechas[[#This Row],[COSECHA]],"MMMM"))</f>
        <v>FEBRERO</v>
      </c>
      <c r="O1198" s="9" t="str">
        <f>IF(A1198="DO 29","BAP",IF(A1198="RO 14","BAP",(VLOOKUP(TablaCosechas[[#This Row],[COD]],Tabla7[[CODIGO]:[CERTIFICACION]],3,0))))</f>
        <v>ASC</v>
      </c>
      <c r="P1198" s="180">
        <f>+L1198-E1198</f>
        <v>-970.79999999999927</v>
      </c>
      <c r="Q1198" s="49">
        <f>+M1198-F1198</f>
        <v>1.4800000000000004</v>
      </c>
      <c r="R1198" s="9"/>
    </row>
    <row r="1199" spans="1:18" x14ac:dyDescent="0.25">
      <c r="A1199" s="9" t="s">
        <v>303</v>
      </c>
      <c r="B1199" s="9">
        <f>ROW() - ROW(TablaCosechas[[#Headers],[ID]]) - 4</f>
        <v>1194</v>
      </c>
      <c r="C1199" s="9" t="str">
        <f>LEFT(A1199,2)</f>
        <v>TI</v>
      </c>
      <c r="D1199" s="182" t="s">
        <v>367</v>
      </c>
      <c r="E1199" s="178">
        <v>20000</v>
      </c>
      <c r="F1199" s="19">
        <v>23.5</v>
      </c>
      <c r="G1199" s="195">
        <v>46074</v>
      </c>
      <c r="H1199" s="9" t="str">
        <f>VLOOKUP(TablaCosechas[[#This Row],[COD]],DATOS!$E$3:$F$27,2,0)</f>
        <v>TIBURON</v>
      </c>
      <c r="I1199" s="9" t="str">
        <f>RIGHT(TablaCosechas[[#This Row],[SECTOR/PISCINA]],2)</f>
        <v>16</v>
      </c>
      <c r="J1199" s="9" t="str">
        <f>VLOOKUP(TablaCosechas[[#This Row],[COD]],Tabla7[#All],4,0)</f>
        <v>ALFONSO GRUNAUER</v>
      </c>
      <c r="K1199" s="179">
        <f>(TablaCosechas[[#This Row],[libras planta]]*454)/M1199</f>
        <v>431682.64594127808</v>
      </c>
      <c r="L1199" s="215">
        <v>22021.52</v>
      </c>
      <c r="M1199" s="19">
        <v>23.16</v>
      </c>
      <c r="N1199" s="9" t="str">
        <f>UPPER(TEXT(TablaCosechas[[#This Row],[COSECHA]],"MMMM"))</f>
        <v>FEBRERO</v>
      </c>
      <c r="O1199" s="9" t="str">
        <f>IF(A1199="DO 29","BAP",IF(A1199="RO 14","BAP",(VLOOKUP(TablaCosechas[[#This Row],[COD]],Tabla7[[CODIGO]:[CERTIFICACION]],3,0))))</f>
        <v>ASC</v>
      </c>
      <c r="P1199" s="180">
        <f>+L1199-E1199</f>
        <v>2021.5200000000004</v>
      </c>
      <c r="Q1199" s="49">
        <f>+M1199-F1199</f>
        <v>-0.33999999999999986</v>
      </c>
      <c r="R1199" s="9"/>
    </row>
    <row r="1200" spans="1:18" x14ac:dyDescent="0.25">
      <c r="A1200" s="9" t="s">
        <v>247</v>
      </c>
      <c r="B1200" s="9">
        <f>ROW() - ROW(TablaCosechas[[#Headers],[ID]]) - 4</f>
        <v>1195</v>
      </c>
      <c r="C1200" s="9" t="str">
        <f>LEFT(A1200,2)</f>
        <v>PA</v>
      </c>
      <c r="D1200" s="182" t="s">
        <v>366</v>
      </c>
      <c r="E1200" s="178">
        <v>67900</v>
      </c>
      <c r="F1200" s="19">
        <v>42</v>
      </c>
      <c r="G1200" s="195">
        <v>46074</v>
      </c>
      <c r="H1200" s="9" t="str">
        <f>VLOOKUP(TablaCosechas[[#This Row],[COD]],DATOS!$E$3:$F$27,2,0)</f>
        <v>PAMPANO</v>
      </c>
      <c r="I1200" s="9" t="str">
        <f>RIGHT(TablaCosechas[[#This Row],[SECTOR/PISCINA]],2)</f>
        <v>18</v>
      </c>
      <c r="J1200" s="9" t="str">
        <f>VLOOKUP(TablaCosechas[[#This Row],[COD]],Tabla7[#All],4,0)</f>
        <v>GUSTAVO CARRASCO</v>
      </c>
      <c r="K1200" s="179">
        <f>(TablaCosechas[[#This Row],[libras planta]]*454)/M1200</f>
        <v>769639.55332555424</v>
      </c>
      <c r="L1200" s="215">
        <v>72641.09</v>
      </c>
      <c r="M1200" s="19">
        <v>42.85</v>
      </c>
      <c r="N1200" s="9" t="str">
        <f>UPPER(TEXT(TablaCosechas[[#This Row],[COSECHA]],"MMMM"))</f>
        <v>FEBRERO</v>
      </c>
      <c r="O1200" s="9" t="str">
        <f>IF(A1200="DO 29","BAP",IF(A1200="RO 14","BAP",(VLOOKUP(TablaCosechas[[#This Row],[COD]],Tabla7[[CODIGO]:[CERTIFICACION]],3,0))))</f>
        <v>ASC</v>
      </c>
      <c r="P1200" s="180">
        <f>+L1200-E1200</f>
        <v>4741.0899999999965</v>
      </c>
      <c r="Q1200" s="49">
        <f>+M1200-F1200</f>
        <v>0.85000000000000142</v>
      </c>
      <c r="R1200" s="9"/>
    </row>
    <row r="1201" spans="1:18" x14ac:dyDescent="0.25">
      <c r="A1201" s="9" t="s">
        <v>262</v>
      </c>
      <c r="B1201" s="9">
        <f>ROW() - ROW(TablaCosechas[[#Headers],[ID]]) - 4</f>
        <v>1196</v>
      </c>
      <c r="C1201" s="9" t="str">
        <f>LEFT(A1201,2)</f>
        <v>ME</v>
      </c>
      <c r="D1201" s="182" t="s">
        <v>367</v>
      </c>
      <c r="E1201" s="178">
        <v>6800</v>
      </c>
      <c r="F1201" s="19">
        <v>30</v>
      </c>
      <c r="G1201" s="195">
        <v>46074</v>
      </c>
      <c r="H1201" s="9" t="str">
        <f>VLOOKUP(TablaCosechas[[#This Row],[COD]],DATOS!$E$3:$F$27,2,0)</f>
        <v>MERO</v>
      </c>
      <c r="I1201" s="9" t="str">
        <f>RIGHT(TablaCosechas[[#This Row],[SECTOR/PISCINA]],2)</f>
        <v>16</v>
      </c>
      <c r="J1201" s="9" t="str">
        <f>VLOOKUP(TablaCosechas[[#This Row],[COD]],Tabla7[#All],4,0)</f>
        <v>NESTOR MOGOLLON</v>
      </c>
      <c r="K1201" s="179">
        <f>(TablaCosechas[[#This Row],[libras planta]]*454)/M1201</f>
        <v>90264.661070911738</v>
      </c>
      <c r="L1201" s="215">
        <v>6869.26</v>
      </c>
      <c r="M1201" s="19">
        <v>34.549999999999997</v>
      </c>
      <c r="N1201" s="9" t="str">
        <f>UPPER(TEXT(TablaCosechas[[#This Row],[COSECHA]],"MMMM"))</f>
        <v>FEBRERO</v>
      </c>
      <c r="O1201" s="9" t="str">
        <f>IF(A1201="DO 29","BAP",IF(A1201="RO 14","BAP",(VLOOKUP(TablaCosechas[[#This Row],[COD]],Tabla7[[CODIGO]:[CERTIFICACION]],3,0))))</f>
        <v>CONVENCIONAL</v>
      </c>
      <c r="P1201" s="180">
        <f>+L1201-E1201</f>
        <v>69.260000000000218</v>
      </c>
      <c r="Q1201" s="49">
        <f>+M1201-F1201</f>
        <v>4.5499999999999972</v>
      </c>
      <c r="R1201" s="9"/>
    </row>
    <row r="1202" spans="1:18" x14ac:dyDescent="0.25">
      <c r="A1202" s="9" t="s">
        <v>28</v>
      </c>
      <c r="B1202" s="9">
        <f>ROW() - ROW(TablaCosechas[[#Headers],[ID]]) - 4</f>
        <v>1197</v>
      </c>
      <c r="C1202" s="9" t="str">
        <f>LEFT(A1202,2)</f>
        <v>CH</v>
      </c>
      <c r="D1202" s="182" t="s">
        <v>366</v>
      </c>
      <c r="E1202" s="178">
        <v>24800</v>
      </c>
      <c r="F1202" s="19">
        <v>29</v>
      </c>
      <c r="G1202" s="195">
        <v>46074</v>
      </c>
      <c r="H1202" s="9" t="str">
        <f>VLOOKUP(TablaCosechas[[#This Row],[COD]],DATOS!$E$3:$F$27,2,0)</f>
        <v>CHERNA</v>
      </c>
      <c r="I1202" s="9" t="str">
        <f>RIGHT(TablaCosechas[[#This Row],[SECTOR/PISCINA]],2)</f>
        <v>22</v>
      </c>
      <c r="J1202" s="9" t="str">
        <f>VLOOKUP(TablaCosechas[[#This Row],[COD]],Tabla7[#All],4,0)</f>
        <v>SANTIAGO OBRIEN</v>
      </c>
      <c r="K1202" s="179">
        <f>(TablaCosechas[[#This Row],[libras planta]]*454)/M1202</f>
        <v>404820.31725146202</v>
      </c>
      <c r="L1202" s="215">
        <v>24396.22</v>
      </c>
      <c r="M1202" s="19">
        <v>27.36</v>
      </c>
      <c r="N1202" s="9" t="str">
        <f>UPPER(TEXT(TablaCosechas[[#This Row],[COSECHA]],"MMMM"))</f>
        <v>FEBRERO</v>
      </c>
      <c r="O1202" s="9" t="str">
        <f>IF(A1202="DO 29","BAP",IF(A1202="RO 14","BAP",(VLOOKUP(TablaCosechas[[#This Row],[COD]],Tabla7[[CODIGO]:[CERTIFICACION]],3,0))))</f>
        <v>ASC</v>
      </c>
      <c r="P1202" s="180">
        <f>+L1202-E1202</f>
        <v>-403.77999999999884</v>
      </c>
      <c r="Q1202" s="49">
        <f>+M1202-F1202</f>
        <v>-1.6400000000000006</v>
      </c>
      <c r="R1202" s="9"/>
    </row>
    <row r="1203" spans="1:18" x14ac:dyDescent="0.25">
      <c r="A1203" s="9" t="s">
        <v>248</v>
      </c>
      <c r="B1203" s="9">
        <f>ROW() - ROW(TablaCosechas[[#Headers],[ID]]) - 4</f>
        <v>1198</v>
      </c>
      <c r="C1203" s="9" t="str">
        <f>LEFT(A1203,2)</f>
        <v>TA</v>
      </c>
      <c r="D1203" s="182" t="s">
        <v>366</v>
      </c>
      <c r="E1203" s="178">
        <v>65300</v>
      </c>
      <c r="F1203" s="19">
        <v>40</v>
      </c>
      <c r="G1203" s="195">
        <v>46075</v>
      </c>
      <c r="H1203" s="9" t="str">
        <f>VLOOKUP(TablaCosechas[[#This Row],[COD]],DATOS!$E$3:$F$27,2,0)</f>
        <v>TAMBULERO</v>
      </c>
      <c r="I1203" s="9" t="str">
        <f>RIGHT(TablaCosechas[[#This Row],[SECTOR/PISCINA]],2)</f>
        <v>16</v>
      </c>
      <c r="J1203" s="9" t="str">
        <f>VLOOKUP(TablaCosechas[[#This Row],[COD]],Tabla7[#All],4,0)</f>
        <v>ALFONSO GRUNAUER</v>
      </c>
      <c r="K1203" s="179">
        <f>(TablaCosechas[[#This Row],[libras planta]]*454)/M1203</f>
        <v>713742.84637822083</v>
      </c>
      <c r="L1203" s="215">
        <v>64677.05</v>
      </c>
      <c r="M1203" s="19">
        <v>41.14</v>
      </c>
      <c r="N1203" s="9" t="str">
        <f>UPPER(TEXT(TablaCosechas[[#This Row],[COSECHA]],"MMMM"))</f>
        <v>FEBRERO</v>
      </c>
      <c r="O1203" s="9" t="str">
        <f>IF(A1203="DO 29","BAP",IF(A1203="RO 14","BAP",(VLOOKUP(TablaCosechas[[#This Row],[COD]],Tabla7[[CODIGO]:[CERTIFICACION]],3,0))))</f>
        <v>CONVENCIONAL</v>
      </c>
      <c r="P1203" s="180">
        <f>+L1203-E1203</f>
        <v>-622.94999999999709</v>
      </c>
      <c r="Q1203" s="49">
        <f>+M1203-F1203</f>
        <v>1.1400000000000006</v>
      </c>
      <c r="R1203" s="9"/>
    </row>
    <row r="1204" spans="1:18" x14ac:dyDescent="0.25">
      <c r="A1204" s="9" t="s">
        <v>288</v>
      </c>
      <c r="B1204" s="9">
        <f>ROW() - ROW(TablaCosechas[[#Headers],[ID]]) - 4</f>
        <v>1199</v>
      </c>
      <c r="C1204" s="9" t="str">
        <f>LEFT(A1204,2)</f>
        <v>PR</v>
      </c>
      <c r="D1204" s="182" t="s">
        <v>367</v>
      </c>
      <c r="E1204" s="178">
        <v>8000</v>
      </c>
      <c r="F1204" s="19">
        <v>16</v>
      </c>
      <c r="G1204" s="195">
        <v>46075</v>
      </c>
      <c r="H1204" s="9" t="str">
        <f>VLOOKUP(TablaCosechas[[#This Row],[COD]],DATOS!$E$3:$F$27,2,0)</f>
        <v>PARGO ROJO</v>
      </c>
      <c r="I1204" s="9" t="str">
        <f>RIGHT(TablaCosechas[[#This Row],[SECTOR/PISCINA]],2)</f>
        <v>10</v>
      </c>
      <c r="J1204" s="9" t="str">
        <f>VLOOKUP(TablaCosechas[[#This Row],[COD]],Tabla7[#All],4,0)</f>
        <v>WILMER TORRES</v>
      </c>
      <c r="K1204" s="179">
        <f>(TablaCosechas[[#This Row],[libras planta]]*454)/M1204</f>
        <v>180607.65817409765</v>
      </c>
      <c r="L1204" s="215">
        <v>7494.82</v>
      </c>
      <c r="M1204" s="19">
        <v>18.84</v>
      </c>
      <c r="N1204" s="9" t="str">
        <f>UPPER(TEXT(TablaCosechas[[#This Row],[COSECHA]],"MMMM"))</f>
        <v>FEBRERO</v>
      </c>
      <c r="O1204" s="9" t="str">
        <f>IF(A1204="DO 29","BAP",IF(A1204="RO 14","BAP",(VLOOKUP(TablaCosechas[[#This Row],[COD]],Tabla7[[CODIGO]:[CERTIFICACION]],3,0))))</f>
        <v>CONVENCIONAL</v>
      </c>
      <c r="P1204" s="180">
        <f>+L1204-E1204</f>
        <v>-505.18000000000029</v>
      </c>
      <c r="Q1204" s="49">
        <f>+M1204-F1204</f>
        <v>2.84</v>
      </c>
      <c r="R1204" s="9"/>
    </row>
    <row r="1205" spans="1:18" x14ac:dyDescent="0.25">
      <c r="A1205" s="9" t="s">
        <v>272</v>
      </c>
      <c r="B1205" s="9">
        <f>ROW() - ROW(TablaCosechas[[#Headers],[ID]]) - 4</f>
        <v>1200</v>
      </c>
      <c r="C1205" s="9" t="str">
        <f>LEFT(A1205,2)</f>
        <v>PR</v>
      </c>
      <c r="D1205" s="182" t="s">
        <v>367</v>
      </c>
      <c r="E1205" s="178">
        <v>2900</v>
      </c>
      <c r="F1205" s="19">
        <v>16</v>
      </c>
      <c r="G1205" s="195">
        <v>46075</v>
      </c>
      <c r="H1205" s="9" t="str">
        <f>VLOOKUP(TablaCosechas[[#This Row],[COD]],DATOS!$E$3:$F$27,2,0)</f>
        <v>PARGO ROJO</v>
      </c>
      <c r="I1205" s="9" t="str">
        <f>RIGHT(TablaCosechas[[#This Row],[SECTOR/PISCINA]],2)</f>
        <v>07</v>
      </c>
      <c r="J1205" s="9" t="str">
        <f>VLOOKUP(TablaCosechas[[#This Row],[COD]],Tabla7[#All],4,0)</f>
        <v>WILMER TORRES</v>
      </c>
      <c r="K1205" s="179">
        <f>(TablaCosechas[[#This Row],[libras planta]]*454)/M1205</f>
        <v>68135.517006802722</v>
      </c>
      <c r="L1205" s="215">
        <v>2647.38</v>
      </c>
      <c r="M1205" s="19">
        <v>17.64</v>
      </c>
      <c r="N1205" s="9" t="str">
        <f>UPPER(TEXT(TablaCosechas[[#This Row],[COSECHA]],"MMMM"))</f>
        <v>FEBRERO</v>
      </c>
      <c r="O1205" s="9" t="str">
        <f>IF(A1205="DO 29","BAP",IF(A1205="RO 14","BAP",(VLOOKUP(TablaCosechas[[#This Row],[COD]],Tabla7[[CODIGO]:[CERTIFICACION]],3,0))))</f>
        <v>CONVENCIONAL</v>
      </c>
      <c r="P1205" s="180">
        <f>+L1205-E1205</f>
        <v>-252.61999999999989</v>
      </c>
      <c r="Q1205" s="49">
        <f>+M1205-F1205</f>
        <v>1.6400000000000006</v>
      </c>
      <c r="R1205" s="9"/>
    </row>
    <row r="1206" spans="1:18" x14ac:dyDescent="0.25">
      <c r="A1206" s="9" t="s">
        <v>249</v>
      </c>
      <c r="B1206" s="9">
        <f>ROW() - ROW(TablaCosechas[[#Headers],[ID]]) - 4</f>
        <v>1201</v>
      </c>
      <c r="C1206" s="9" t="str">
        <f>LEFT(A1206,2)</f>
        <v>DO</v>
      </c>
      <c r="D1206" s="182" t="s">
        <v>366</v>
      </c>
      <c r="E1206" s="178">
        <f>20670+20000</f>
        <v>40670</v>
      </c>
      <c r="F1206" s="19">
        <v>43</v>
      </c>
      <c r="G1206" s="195">
        <v>46075</v>
      </c>
      <c r="H1206" s="9" t="str">
        <f>VLOOKUP(TablaCosechas[[#This Row],[COD]],DATOS!$E$3:$F$27,2,0)</f>
        <v>DORADO</v>
      </c>
      <c r="I1206" s="9" t="str">
        <f>RIGHT(TablaCosechas[[#This Row],[SECTOR/PISCINA]],2)</f>
        <v>14</v>
      </c>
      <c r="J1206" s="9" t="str">
        <f>VLOOKUP(TablaCosechas[[#This Row],[COD]],Tabla7[#All],4,0)</f>
        <v>JOSE CEDEÑO</v>
      </c>
      <c r="K1206" s="179">
        <f>(TablaCosechas[[#This Row],[libras planta]]*454)/M1206</f>
        <v>450065.33333333337</v>
      </c>
      <c r="L1206" s="215">
        <v>41695.480000000003</v>
      </c>
      <c r="M1206" s="19">
        <v>42.06</v>
      </c>
      <c r="N1206" s="9" t="str">
        <f>UPPER(TEXT(TablaCosechas[[#This Row],[COSECHA]],"MMMM"))</f>
        <v>FEBRERO</v>
      </c>
      <c r="O1206" s="9" t="str">
        <f>IF(A1206="DO 29","BAP",IF(A1206="RO 14","BAP",(VLOOKUP(TablaCosechas[[#This Row],[COD]],Tabla7[[CODIGO]:[CERTIFICACION]],3,0))))</f>
        <v>ASC</v>
      </c>
      <c r="P1206" s="180">
        <f>+L1206-E1206</f>
        <v>1025.4800000000032</v>
      </c>
      <c r="Q1206" s="181">
        <f>+M1206-F1206</f>
        <v>-0.93999999999999773</v>
      </c>
      <c r="R1206" s="9"/>
    </row>
    <row r="1207" spans="1:18" x14ac:dyDescent="0.25">
      <c r="A1207" s="9" t="s">
        <v>254</v>
      </c>
      <c r="B1207" s="9">
        <f>ROW() - ROW(TablaCosechas[[#Headers],[ID]]) - 4</f>
        <v>1202</v>
      </c>
      <c r="C1207" s="9" t="str">
        <f>LEFT(A1207,2)</f>
        <v>DE</v>
      </c>
      <c r="D1207" s="182" t="s">
        <v>367</v>
      </c>
      <c r="E1207" s="178">
        <v>16000</v>
      </c>
      <c r="F1207" s="19">
        <v>31</v>
      </c>
      <c r="G1207" s="195">
        <v>46075</v>
      </c>
      <c r="H1207" s="9" t="str">
        <f>VLOOKUP(TablaCosechas[[#This Row],[COD]],DATOS!$E$3:$F$27,2,0)</f>
        <v>DELFIN</v>
      </c>
      <c r="I1207" s="9" t="str">
        <f>RIGHT(TablaCosechas[[#This Row],[SECTOR/PISCINA]],2)</f>
        <v>12</v>
      </c>
      <c r="J1207" s="9" t="str">
        <f>VLOOKUP(TablaCosechas[[#This Row],[COD]],Tabla7[#All],4,0)</f>
        <v>CARLOS FLORES</v>
      </c>
      <c r="K1207" s="179">
        <f>(TablaCosechas[[#This Row],[libras planta]]*454)/M1207</f>
        <v>212465.5768488746</v>
      </c>
      <c r="L1207" s="215">
        <v>14554.36</v>
      </c>
      <c r="M1207" s="19">
        <v>31.1</v>
      </c>
      <c r="N1207" s="9" t="str">
        <f>UPPER(TEXT(TablaCosechas[[#This Row],[COSECHA]],"MMMM"))</f>
        <v>FEBRERO</v>
      </c>
      <c r="O1207" s="9" t="str">
        <f>IF(A1207="DO 29","BAP",IF(A1207="RO 14","BAP",(VLOOKUP(TablaCosechas[[#This Row],[COD]],Tabla7[[CODIGO]:[CERTIFICACION]],3,0))))</f>
        <v>CONVENCIONAL</v>
      </c>
      <c r="P1207" s="180">
        <f>+L1207-E1207</f>
        <v>-1445.6399999999994</v>
      </c>
      <c r="Q1207" s="181">
        <f>+M1207-F1207</f>
        <v>0.10000000000000142</v>
      </c>
      <c r="R1207" s="9"/>
    </row>
    <row r="1208" spans="1:18" x14ac:dyDescent="0.25">
      <c r="A1208" s="9" t="s">
        <v>29</v>
      </c>
      <c r="B1208" s="9">
        <f>ROW() - ROW(TablaCosechas[[#Headers],[ID]]) - 4</f>
        <v>1203</v>
      </c>
      <c r="C1208" s="9" t="str">
        <f>LEFT(A1208,2)</f>
        <v>CH</v>
      </c>
      <c r="D1208" s="182" t="s">
        <v>366</v>
      </c>
      <c r="E1208" s="178">
        <v>11200</v>
      </c>
      <c r="F1208" s="19">
        <v>31</v>
      </c>
      <c r="G1208" s="195">
        <v>46075</v>
      </c>
      <c r="H1208" s="9" t="str">
        <f>VLOOKUP(TablaCosechas[[#This Row],[COD]],DATOS!$E$3:$F$27,2,0)</f>
        <v>CHERNA</v>
      </c>
      <c r="I1208" s="9" t="str">
        <f>RIGHT(TablaCosechas[[#This Row],[SECTOR/PISCINA]],2)</f>
        <v>25</v>
      </c>
      <c r="J1208" s="9" t="str">
        <f>VLOOKUP(TablaCosechas[[#This Row],[COD]],Tabla7[#All],4,0)</f>
        <v>SANTIAGO OBRIEN</v>
      </c>
      <c r="K1208" s="179">
        <f>(TablaCosechas[[#This Row],[libras planta]]*454)/M1208</f>
        <v>167562.17912552893</v>
      </c>
      <c r="L1208" s="215">
        <v>10467.1</v>
      </c>
      <c r="M1208" s="19">
        <v>28.36</v>
      </c>
      <c r="N1208" s="9" t="str">
        <f>UPPER(TEXT(TablaCosechas[[#This Row],[COSECHA]],"MMMM"))</f>
        <v>FEBRERO</v>
      </c>
      <c r="O1208" s="9" t="str">
        <f>IF(A1208="DO 29","BAP",IF(A1208="RO 14","BAP",(VLOOKUP(TablaCosechas[[#This Row],[COD]],Tabla7[[CODIGO]:[CERTIFICACION]],3,0))))</f>
        <v>ASC</v>
      </c>
      <c r="P1208" s="180">
        <f>+L1208-E1208</f>
        <v>-732.89999999999964</v>
      </c>
      <c r="Q1208" s="181">
        <f>+M1208-F1208</f>
        <v>-2.6400000000000006</v>
      </c>
      <c r="R1208" s="9"/>
    </row>
    <row r="1209" spans="1:18" x14ac:dyDescent="0.25">
      <c r="A1209" s="9" t="s">
        <v>30</v>
      </c>
      <c r="B1209" s="9">
        <f>ROW() - ROW(TablaCosechas[[#Headers],[ID]]) - 4</f>
        <v>1204</v>
      </c>
      <c r="C1209" s="9" t="str">
        <f>LEFT(A1209,2)</f>
        <v>CH</v>
      </c>
      <c r="D1209" s="182" t="s">
        <v>367</v>
      </c>
      <c r="E1209" s="178">
        <v>10500</v>
      </c>
      <c r="F1209" s="19">
        <v>25</v>
      </c>
      <c r="G1209" s="195">
        <v>46075</v>
      </c>
      <c r="H1209" s="9" t="str">
        <f>VLOOKUP(TablaCosechas[[#This Row],[COD]],DATOS!$E$3:$F$27,2,0)</f>
        <v>CHERNA</v>
      </c>
      <c r="I1209" s="9" t="str">
        <f>RIGHT(TablaCosechas[[#This Row],[SECTOR/PISCINA]],2)</f>
        <v>19</v>
      </c>
      <c r="J1209" s="9" t="str">
        <f>VLOOKUP(TablaCosechas[[#This Row],[COD]],Tabla7[#All],4,0)</f>
        <v>SANTIAGO OBRIEN</v>
      </c>
      <c r="K1209" s="179">
        <f>(TablaCosechas[[#This Row],[libras planta]]*454)/M1209</f>
        <v>202198.72590837284</v>
      </c>
      <c r="L1209" s="215">
        <v>11276.81</v>
      </c>
      <c r="M1209" s="19">
        <v>25.32</v>
      </c>
      <c r="N1209" s="9" t="str">
        <f>UPPER(TEXT(TablaCosechas[[#This Row],[COSECHA]],"MMMM"))</f>
        <v>FEBRERO</v>
      </c>
      <c r="O1209" s="9" t="str">
        <f>IF(A1209="DO 29","BAP",IF(A1209="RO 14","BAP",(VLOOKUP(TablaCosechas[[#This Row],[COD]],Tabla7[[CODIGO]:[CERTIFICACION]],3,0))))</f>
        <v>ASC</v>
      </c>
      <c r="P1209" s="180">
        <f>+L1209-E1209</f>
        <v>776.80999999999949</v>
      </c>
      <c r="Q1209" s="181">
        <f>+M1209-F1209</f>
        <v>0.32000000000000028</v>
      </c>
      <c r="R1209" s="9"/>
    </row>
    <row r="1210" spans="1:18" x14ac:dyDescent="0.25">
      <c r="A1210" s="9" t="s">
        <v>293</v>
      </c>
      <c r="B1210" s="9">
        <f>ROW() - ROW(TablaCosechas[[#Headers],[ID]]) - 4</f>
        <v>1205</v>
      </c>
      <c r="C1210" s="9" t="str">
        <f>LEFT(A1210,2)</f>
        <v>TA</v>
      </c>
      <c r="D1210" s="182" t="s">
        <v>367</v>
      </c>
      <c r="E1210" s="178">
        <v>10500</v>
      </c>
      <c r="F1210" s="19">
        <v>20.5</v>
      </c>
      <c r="G1210" s="195">
        <v>46076</v>
      </c>
      <c r="H1210" s="9" t="str">
        <f>VLOOKUP(TablaCosechas[[#This Row],[COD]],DATOS!$E$3:$F$27,2,0)</f>
        <v>TAMBULERO</v>
      </c>
      <c r="I1210" s="9" t="str">
        <f>RIGHT(TablaCosechas[[#This Row],[SECTOR/PISCINA]],2)</f>
        <v>12</v>
      </c>
      <c r="J1210" s="9" t="str">
        <f>VLOOKUP(TablaCosechas[[#This Row],[COD]],Tabla7[#All],4,0)</f>
        <v>ALFONSO GRUNAUER</v>
      </c>
      <c r="K1210" s="179">
        <f>(TablaCosechas[[#This Row],[libras planta]]*454)/M1210</f>
        <v>228877.8710865562</v>
      </c>
      <c r="L1210" s="215">
        <v>10949.84</v>
      </c>
      <c r="M1210" s="19">
        <v>21.72</v>
      </c>
      <c r="N1210" s="9" t="str">
        <f>UPPER(TEXT(TablaCosechas[[#This Row],[COSECHA]],"MMMM"))</f>
        <v>FEBRERO</v>
      </c>
      <c r="O1210" s="9" t="str">
        <f>IF(A1210="DO 29","BAP",IF(A1210="RO 14","BAP",(VLOOKUP(TablaCosechas[[#This Row],[COD]],Tabla7[[CODIGO]:[CERTIFICACION]],3,0))))</f>
        <v>CONVENCIONAL</v>
      </c>
      <c r="P1210" s="180">
        <f>+L1210-E1210</f>
        <v>449.84000000000015</v>
      </c>
      <c r="Q1210" s="181">
        <f>+M1210-F1210</f>
        <v>1.2199999999999989</v>
      </c>
      <c r="R1210" s="9"/>
    </row>
    <row r="1211" spans="1:18" x14ac:dyDescent="0.25">
      <c r="A1211" s="9" t="s">
        <v>251</v>
      </c>
      <c r="B1211" s="9">
        <f>ROW() - ROW(TablaCosechas[[#Headers],[ID]]) - 4</f>
        <v>1206</v>
      </c>
      <c r="C1211" s="9" t="str">
        <f>LEFT(A1211,2)</f>
        <v>PR</v>
      </c>
      <c r="D1211" s="182" t="s">
        <v>366</v>
      </c>
      <c r="E1211" s="178">
        <v>9900</v>
      </c>
      <c r="F1211" s="19">
        <v>21</v>
      </c>
      <c r="G1211" s="195">
        <v>46076</v>
      </c>
      <c r="H1211" s="9" t="str">
        <f>VLOOKUP(TablaCosechas[[#This Row],[COD]],DATOS!$E$3:$F$27,2,0)</f>
        <v>PARGO ROJO</v>
      </c>
      <c r="I1211" s="9" t="str">
        <f>RIGHT(TablaCosechas[[#This Row],[SECTOR/PISCINA]],2)</f>
        <v>01</v>
      </c>
      <c r="J1211" s="9" t="str">
        <f>VLOOKUP(TablaCosechas[[#This Row],[COD]],Tabla7[#All],4,0)</f>
        <v>WILMER TORRES</v>
      </c>
      <c r="K1211" s="179">
        <f>(TablaCosechas[[#This Row],[libras planta]]*454)/M1211</f>
        <v>216821.93015030943</v>
      </c>
      <c r="L1211" s="215">
        <v>10802.89</v>
      </c>
      <c r="M1211" s="19">
        <v>22.62</v>
      </c>
      <c r="N1211" s="9" t="str">
        <f>UPPER(TEXT(TablaCosechas[[#This Row],[COSECHA]],"MMMM"))</f>
        <v>FEBRERO</v>
      </c>
      <c r="O1211" s="9" t="str">
        <f>IF(A1211="DO 29","BAP",IF(A1211="RO 14","BAP",(VLOOKUP(TablaCosechas[[#This Row],[COD]],Tabla7[[CODIGO]:[CERTIFICACION]],3,0))))</f>
        <v>CONVENCIONAL</v>
      </c>
      <c r="P1211" s="180">
        <f>+L1211-E1211</f>
        <v>902.88999999999942</v>
      </c>
      <c r="Q1211" s="181">
        <f>+M1211-F1211</f>
        <v>1.620000000000001</v>
      </c>
      <c r="R1211" s="9"/>
    </row>
    <row r="1212" spans="1:18" x14ac:dyDescent="0.25">
      <c r="A1212" s="9" t="s">
        <v>287</v>
      </c>
      <c r="B1212" s="9">
        <f>ROW() - ROW(TablaCosechas[[#Headers],[ID]]) - 4</f>
        <v>1207</v>
      </c>
      <c r="C1212" s="9" t="str">
        <f>LEFT(A1212,2)</f>
        <v>PA</v>
      </c>
      <c r="D1212" s="182" t="s">
        <v>367</v>
      </c>
      <c r="E1212" s="178">
        <v>6250</v>
      </c>
      <c r="F1212" s="19">
        <v>23</v>
      </c>
      <c r="G1212" s="195">
        <v>46076</v>
      </c>
      <c r="H1212" s="9" t="str">
        <f>VLOOKUP(TablaCosechas[[#This Row],[COD]],DATOS!$E$3:$F$27,2,0)</f>
        <v>PAMPANO</v>
      </c>
      <c r="I1212" s="9" t="str">
        <f>RIGHT(TablaCosechas[[#This Row],[SECTOR/PISCINA]],2)</f>
        <v>13</v>
      </c>
      <c r="J1212" s="9" t="str">
        <f>VLOOKUP(TablaCosechas[[#This Row],[COD]],Tabla7[#All],4,0)</f>
        <v>GUSTAVO CARRASCO</v>
      </c>
      <c r="K1212" s="179">
        <f>(TablaCosechas[[#This Row],[libras planta]]*454)/M1212</f>
        <v>128865.20398912061</v>
      </c>
      <c r="L1212" s="215">
        <v>6261.6</v>
      </c>
      <c r="M1212" s="19">
        <v>22.06</v>
      </c>
      <c r="N1212" s="9" t="str">
        <f>UPPER(TEXT(TablaCosechas[[#This Row],[COSECHA]],"MMMM"))</f>
        <v>FEBRERO</v>
      </c>
      <c r="O1212" s="9" t="str">
        <f>IF(A1212="DO 29","BAP",IF(A1212="RO 14","BAP",(VLOOKUP(TablaCosechas[[#This Row],[COD]],Tabla7[[CODIGO]:[CERTIFICACION]],3,0))))</f>
        <v>ASC</v>
      </c>
      <c r="P1212" s="180">
        <f>+L1212-E1212</f>
        <v>11.600000000000364</v>
      </c>
      <c r="Q1212" s="181">
        <f>+M1212-F1212</f>
        <v>-0.94000000000000128</v>
      </c>
      <c r="R1212" s="9"/>
    </row>
    <row r="1213" spans="1:18" x14ac:dyDescent="0.25">
      <c r="A1213" s="9" t="s">
        <v>250</v>
      </c>
      <c r="B1213" s="9">
        <f>ROW() - ROW(TablaCosechas[[#Headers],[ID]]) - 4</f>
        <v>1208</v>
      </c>
      <c r="C1213" s="9" t="str">
        <f>LEFT(A1213,2)</f>
        <v>DO</v>
      </c>
      <c r="D1213" s="182" t="s">
        <v>366</v>
      </c>
      <c r="E1213" s="178">
        <v>17550</v>
      </c>
      <c r="F1213" s="19">
        <v>35</v>
      </c>
      <c r="G1213" s="195">
        <v>46076</v>
      </c>
      <c r="H1213" s="9" t="str">
        <f>VLOOKUP(TablaCosechas[[#This Row],[COD]],DATOS!$E$3:$F$27,2,0)</f>
        <v>DORADO</v>
      </c>
      <c r="I1213" s="9" t="str">
        <f>RIGHT(TablaCosechas[[#This Row],[SECTOR/PISCINA]],2)</f>
        <v>10</v>
      </c>
      <c r="J1213" s="9" t="str">
        <f>VLOOKUP(TablaCosechas[[#This Row],[COD]],Tabla7[#All],4,0)</f>
        <v>JOSE CEDEÑO</v>
      </c>
      <c r="K1213" s="179">
        <f>(TablaCosechas[[#This Row],[libras planta]]*454)/M1213</f>
        <v>215009.0656154629</v>
      </c>
      <c r="L1213" s="215">
        <v>18621.490000000002</v>
      </c>
      <c r="M1213" s="19">
        <v>39.32</v>
      </c>
      <c r="N1213" s="9" t="str">
        <f>UPPER(TEXT(TablaCosechas[[#This Row],[COSECHA]],"MMMM"))</f>
        <v>FEBRERO</v>
      </c>
      <c r="O1213" s="9" t="str">
        <f>IF(A1213="DO 29","BAP",IF(A1213="RO 14","BAP",(VLOOKUP(TablaCosechas[[#This Row],[COD]],Tabla7[[CODIGO]:[CERTIFICACION]],3,0))))</f>
        <v>ASC</v>
      </c>
      <c r="P1213" s="180">
        <f>+L1213-E1213</f>
        <v>1071.4900000000016</v>
      </c>
      <c r="Q1213" s="181">
        <f>+M1213-F1213</f>
        <v>4.32</v>
      </c>
      <c r="R1213" s="9"/>
    </row>
    <row r="1214" spans="1:18" x14ac:dyDescent="0.25">
      <c r="A1214" s="9" t="s">
        <v>252</v>
      </c>
      <c r="B1214" s="9">
        <f>ROW() - ROW(TablaCosechas[[#Headers],[ID]]) - 4</f>
        <v>1209</v>
      </c>
      <c r="C1214" s="9" t="str">
        <f>LEFT(A1214,2)</f>
        <v>DE</v>
      </c>
      <c r="D1214" s="182" t="s">
        <v>366</v>
      </c>
      <c r="E1214" s="178">
        <v>6600</v>
      </c>
      <c r="F1214" s="19">
        <v>30</v>
      </c>
      <c r="G1214" s="195">
        <v>46076</v>
      </c>
      <c r="H1214" s="9" t="str">
        <f>VLOOKUP(TablaCosechas[[#This Row],[COD]],DATOS!$E$3:$F$27,2,0)</f>
        <v>DELFIN</v>
      </c>
      <c r="I1214" s="9" t="str">
        <f>RIGHT(TablaCosechas[[#This Row],[SECTOR/PISCINA]],2)</f>
        <v>13</v>
      </c>
      <c r="J1214" s="9" t="str">
        <f>VLOOKUP(TablaCosechas[[#This Row],[COD]],Tabla7[#All],4,0)</f>
        <v>CARLOS FLORES</v>
      </c>
      <c r="K1214" s="179">
        <f>(TablaCosechas[[#This Row],[libras planta]]*454)/M1214</f>
        <v>115750.82824698367</v>
      </c>
      <c r="L1214" s="215">
        <v>7184.71</v>
      </c>
      <c r="M1214" s="19">
        <v>28.18</v>
      </c>
      <c r="N1214" s="9" t="str">
        <f>UPPER(TEXT(TablaCosechas[[#This Row],[COSECHA]],"MMMM"))</f>
        <v>FEBRERO</v>
      </c>
      <c r="O1214" s="9" t="str">
        <f>IF(A1214="DO 29","BAP",IF(A1214="RO 14","BAP",(VLOOKUP(TablaCosechas[[#This Row],[COD]],Tabla7[[CODIGO]:[CERTIFICACION]],3,0))))</f>
        <v>CONVENCIONAL</v>
      </c>
      <c r="P1214" s="180">
        <f>+L1214-E1214</f>
        <v>584.71</v>
      </c>
      <c r="Q1214" s="181">
        <f>+M1214-F1214</f>
        <v>-1.8200000000000003</v>
      </c>
      <c r="R1214" s="9"/>
    </row>
    <row r="1215" spans="1:18" x14ac:dyDescent="0.25">
      <c r="A1215" s="9" t="s">
        <v>296</v>
      </c>
      <c r="B1215" s="9">
        <f>ROW() - ROW(TablaCosechas[[#Headers],[ID]]) - 4</f>
        <v>1210</v>
      </c>
      <c r="C1215" s="9" t="str">
        <f>LEFT(A1215,2)</f>
        <v>DE</v>
      </c>
      <c r="D1215" s="182" t="s">
        <v>367</v>
      </c>
      <c r="E1215" s="178">
        <v>12000</v>
      </c>
      <c r="F1215" s="19">
        <v>21</v>
      </c>
      <c r="G1215" s="195">
        <v>46076</v>
      </c>
      <c r="H1215" s="9" t="str">
        <f>VLOOKUP(TablaCosechas[[#This Row],[COD]],DATOS!$E$3:$F$27,2,0)</f>
        <v>DELFIN</v>
      </c>
      <c r="I1215" s="9" t="str">
        <f>RIGHT(TablaCosechas[[#This Row],[SECTOR/PISCINA]],2)</f>
        <v>01</v>
      </c>
      <c r="J1215" s="9" t="str">
        <f>VLOOKUP(TablaCosechas[[#This Row],[COD]],Tabla7[#All],4,0)</f>
        <v>CARLOS FLORES</v>
      </c>
      <c r="K1215" s="179">
        <f>(TablaCosechas[[#This Row],[libras planta]]*454)/M1215</f>
        <v>261659.17038539556</v>
      </c>
      <c r="L1215" s="215">
        <v>11365.46</v>
      </c>
      <c r="M1215" s="19">
        <v>19.72</v>
      </c>
      <c r="N1215" s="9" t="str">
        <f>UPPER(TEXT(TablaCosechas[[#This Row],[COSECHA]],"MMMM"))</f>
        <v>FEBRERO</v>
      </c>
      <c r="O1215" s="9" t="str">
        <f>IF(A1215="DO 29","BAP",IF(A1215="RO 14","BAP",(VLOOKUP(TablaCosechas[[#This Row],[COD]],Tabla7[[CODIGO]:[CERTIFICACION]],3,0))))</f>
        <v>CONVENCIONAL</v>
      </c>
      <c r="P1215" s="180">
        <f>+L1215-E1215</f>
        <v>-634.54000000000087</v>
      </c>
      <c r="Q1215" s="181">
        <f>+M1215-F1215</f>
        <v>-1.2800000000000011</v>
      </c>
      <c r="R1215" s="9"/>
    </row>
    <row r="1216" spans="1:18" x14ac:dyDescent="0.25">
      <c r="A1216" s="9" t="s">
        <v>18</v>
      </c>
      <c r="B1216" s="9">
        <f>ROW() - ROW(TablaCosechas[[#Headers],[ID]]) - 4</f>
        <v>1211</v>
      </c>
      <c r="C1216" s="9" t="str">
        <f>LEFT(A1216,2)</f>
        <v>CH</v>
      </c>
      <c r="D1216" s="182" t="s">
        <v>366</v>
      </c>
      <c r="E1216" s="178">
        <v>27500</v>
      </c>
      <c r="F1216" s="19">
        <v>28</v>
      </c>
      <c r="G1216" s="195">
        <v>46076</v>
      </c>
      <c r="H1216" s="9" t="str">
        <f>VLOOKUP(TablaCosechas[[#This Row],[COD]],DATOS!$E$3:$F$27,2,0)</f>
        <v>CHERNA</v>
      </c>
      <c r="I1216" s="9" t="str">
        <f>RIGHT(TablaCosechas[[#This Row],[SECTOR/PISCINA]],2)</f>
        <v>12</v>
      </c>
      <c r="J1216" s="9" t="str">
        <f>VLOOKUP(TablaCosechas[[#This Row],[COD]],Tabla7[#All],4,0)</f>
        <v>SANTIAGO OBRIEN</v>
      </c>
      <c r="K1216" s="179">
        <f>(TablaCosechas[[#This Row],[libras planta]]*454)/M1216</f>
        <v>486385.04693414073</v>
      </c>
      <c r="L1216" s="215">
        <v>28304.61</v>
      </c>
      <c r="M1216" s="19">
        <v>26.42</v>
      </c>
      <c r="N1216" s="9" t="str">
        <f>UPPER(TEXT(TablaCosechas[[#This Row],[COSECHA]],"MMMM"))</f>
        <v>FEBRERO</v>
      </c>
      <c r="O1216" s="9" t="str">
        <f>IF(A1216="DO 29","BAP",IF(A1216="RO 14","BAP",(VLOOKUP(TablaCosechas[[#This Row],[COD]],Tabla7[[CODIGO]:[CERTIFICACION]],3,0))))</f>
        <v>ASC</v>
      </c>
      <c r="P1216" s="180">
        <f>+L1216-E1216</f>
        <v>804.61000000000058</v>
      </c>
      <c r="Q1216" s="181">
        <f>+M1216-F1216</f>
        <v>-1.5799999999999983</v>
      </c>
      <c r="R1216" s="9"/>
    </row>
    <row r="1217" spans="1:18" x14ac:dyDescent="0.25">
      <c r="A1217" s="9" t="s">
        <v>313</v>
      </c>
      <c r="B1217" s="9">
        <f>ROW() - ROW(TablaCosechas[[#Headers],[ID]]) - 4</f>
        <v>1212</v>
      </c>
      <c r="C1217" s="9" t="str">
        <f>LEFT(A1217,2)</f>
        <v>TI</v>
      </c>
      <c r="D1217" s="182" t="s">
        <v>367</v>
      </c>
      <c r="E1217" s="178">
        <v>7200</v>
      </c>
      <c r="F1217" s="19">
        <v>22</v>
      </c>
      <c r="G1217" s="195">
        <v>46077</v>
      </c>
      <c r="H1217" s="9" t="str">
        <f>VLOOKUP(TablaCosechas[[#This Row],[COD]],DATOS!$E$3:$F$27,2,0)</f>
        <v>TIBURON</v>
      </c>
      <c r="I1217" s="9" t="str">
        <f>RIGHT(TablaCosechas[[#This Row],[SECTOR/PISCINA]],2)</f>
        <v>20</v>
      </c>
      <c r="J1217" s="9" t="str">
        <f>VLOOKUP(TablaCosechas[[#This Row],[COD]],Tabla7[#All],4,0)</f>
        <v>ALFONSO GRUNAUER</v>
      </c>
      <c r="K1217" s="179">
        <f>(TablaCosechas[[#This Row],[libras planta]]*454)/M1217</f>
        <v>162210.85346358793</v>
      </c>
      <c r="L1217" s="215">
        <v>8046.23</v>
      </c>
      <c r="M1217" s="19">
        <v>22.52</v>
      </c>
      <c r="N1217" s="9" t="str">
        <f>UPPER(TEXT(TablaCosechas[[#This Row],[COSECHA]],"MMMM"))</f>
        <v>FEBRERO</v>
      </c>
      <c r="O1217" s="9" t="str">
        <f>IF(A1217="DO 29","BAP",IF(A1217="RO 14","BAP",(VLOOKUP(TablaCosechas[[#This Row],[COD]],Tabla7[[CODIGO]:[CERTIFICACION]],3,0))))</f>
        <v>ASC</v>
      </c>
      <c r="P1217" s="180">
        <f>+L1217-E1217</f>
        <v>846.22999999999956</v>
      </c>
      <c r="Q1217" s="181">
        <f>+M1217-F1217</f>
        <v>0.51999999999999957</v>
      </c>
      <c r="R1217" s="9"/>
    </row>
    <row r="1218" spans="1:18" x14ac:dyDescent="0.25">
      <c r="A1218" s="9" t="s">
        <v>322</v>
      </c>
      <c r="B1218" s="9">
        <f>ROW() - ROW(TablaCosechas[[#Headers],[ID]]) - 4</f>
        <v>1213</v>
      </c>
      <c r="C1218" s="9" t="str">
        <f>LEFT(A1218,2)</f>
        <v>TI</v>
      </c>
      <c r="D1218" s="182" t="s">
        <v>367</v>
      </c>
      <c r="E1218" s="178">
        <v>7000</v>
      </c>
      <c r="F1218" s="19">
        <v>19</v>
      </c>
      <c r="G1218" s="195">
        <v>46077</v>
      </c>
      <c r="H1218" s="9" t="str">
        <f>VLOOKUP(TablaCosechas[[#This Row],[COD]],DATOS!$E$3:$F$27,2,0)</f>
        <v>TIBURON</v>
      </c>
      <c r="I1218" s="9" t="str">
        <f>RIGHT(TablaCosechas[[#This Row],[SECTOR/PISCINA]],2)</f>
        <v>12</v>
      </c>
      <c r="J1218" s="9" t="str">
        <f>VLOOKUP(TablaCosechas[[#This Row],[COD]],Tabla7[#All],4,0)</f>
        <v>ALFONSO GRUNAUER</v>
      </c>
      <c r="K1218" s="179">
        <f>(TablaCosechas[[#This Row],[libras planta]]*454)/M1218</f>
        <v>178235.39065606362</v>
      </c>
      <c r="L1218" s="215">
        <v>7898.89</v>
      </c>
      <c r="M1218" s="19">
        <v>20.12</v>
      </c>
      <c r="N1218" s="9" t="str">
        <f>UPPER(TEXT(TablaCosechas[[#This Row],[COSECHA]],"MMMM"))</f>
        <v>FEBRERO</v>
      </c>
      <c r="O1218" s="9" t="str">
        <f>IF(A1218="DO 29","BAP",IF(A1218="RO 14","BAP",(VLOOKUP(TablaCosechas[[#This Row],[COD]],Tabla7[[CODIGO]:[CERTIFICACION]],3,0))))</f>
        <v>ASC</v>
      </c>
      <c r="P1218" s="180">
        <f>+L1218-E1218</f>
        <v>898.89000000000033</v>
      </c>
      <c r="Q1218" s="181">
        <f>+M1218-F1218</f>
        <v>1.120000000000001</v>
      </c>
      <c r="R1218" s="9"/>
    </row>
    <row r="1219" spans="1:18" x14ac:dyDescent="0.25">
      <c r="A1219" s="9" t="s">
        <v>253</v>
      </c>
      <c r="B1219" s="9">
        <f>ROW() - ROW(TablaCosechas[[#Headers],[ID]]) - 4</f>
        <v>1214</v>
      </c>
      <c r="C1219" s="9" t="str">
        <f>LEFT(A1219,2)</f>
        <v>DO</v>
      </c>
      <c r="D1219" s="182" t="s">
        <v>366</v>
      </c>
      <c r="E1219" s="178">
        <v>22900</v>
      </c>
      <c r="F1219" s="19">
        <v>36</v>
      </c>
      <c r="G1219" s="195">
        <v>46077</v>
      </c>
      <c r="H1219" s="9" t="str">
        <f>VLOOKUP(TablaCosechas[[#This Row],[COD]],DATOS!$E$3:$F$27,2,0)</f>
        <v>DORADO</v>
      </c>
      <c r="I1219" s="9" t="str">
        <f>RIGHT(TablaCosechas[[#This Row],[SECTOR/PISCINA]],2)</f>
        <v>16</v>
      </c>
      <c r="J1219" s="9" t="str">
        <f>VLOOKUP(TablaCosechas[[#This Row],[COD]],Tabla7[#All],4,0)</f>
        <v>JOSE CEDEÑO</v>
      </c>
      <c r="K1219" s="179">
        <f>(TablaCosechas[[#This Row],[libras planta]]*454)/M1219</f>
        <v>279289.36466165411</v>
      </c>
      <c r="L1219" s="215">
        <v>22909.11</v>
      </c>
      <c r="M1219" s="19">
        <v>37.24</v>
      </c>
      <c r="N1219" s="9" t="str">
        <f>UPPER(TEXT(TablaCosechas[[#This Row],[COSECHA]],"MMMM"))</f>
        <v>FEBRERO</v>
      </c>
      <c r="O1219" s="9" t="str">
        <f>IF(A1219="DO 29","BAP",IF(A1219="RO 14","BAP",(VLOOKUP(TablaCosechas[[#This Row],[COD]],Tabla7[[CODIGO]:[CERTIFICACION]],3,0))))</f>
        <v>ASC</v>
      </c>
      <c r="P1219" s="180">
        <f>+L1219-E1219</f>
        <v>9.1100000000005821</v>
      </c>
      <c r="Q1219" s="181">
        <f>+M1219-F1219</f>
        <v>1.240000000000002</v>
      </c>
      <c r="R1219" s="9"/>
    </row>
    <row r="1220" spans="1:18" x14ac:dyDescent="0.25">
      <c r="A1220" s="9" t="s">
        <v>125</v>
      </c>
      <c r="B1220" s="9">
        <f>ROW() - ROW(TablaCosechas[[#Headers],[ID]]) - 4</f>
        <v>1215</v>
      </c>
      <c r="C1220" s="9" t="str">
        <f>LEFT(A1220,2)</f>
        <v>DE</v>
      </c>
      <c r="D1220" s="182" t="s">
        <v>367</v>
      </c>
      <c r="E1220" s="178">
        <v>10000</v>
      </c>
      <c r="F1220" s="19">
        <v>23</v>
      </c>
      <c r="G1220" s="195">
        <v>46077</v>
      </c>
      <c r="H1220" s="9" t="str">
        <f>VLOOKUP(TablaCosechas[[#This Row],[COD]],DATOS!$E$3:$F$27,2,0)</f>
        <v>DELFIN</v>
      </c>
      <c r="I1220" s="9" t="str">
        <f>RIGHT(TablaCosechas[[#This Row],[SECTOR/PISCINA]],2)</f>
        <v>15</v>
      </c>
      <c r="J1220" s="9" t="str">
        <f>VLOOKUP(TablaCosechas[[#This Row],[COD]],Tabla7[#All],4,0)</f>
        <v>CARLOS FLORES</v>
      </c>
      <c r="K1220" s="179">
        <f>(TablaCosechas[[#This Row],[libras planta]]*454)/M1220</f>
        <v>180351.31955484895</v>
      </c>
      <c r="L1220" s="215">
        <v>9994.7999999999993</v>
      </c>
      <c r="M1220" s="19">
        <v>25.16</v>
      </c>
      <c r="N1220" s="9" t="str">
        <f>UPPER(TEXT(TablaCosechas[[#This Row],[COSECHA]],"MMMM"))</f>
        <v>FEBRERO</v>
      </c>
      <c r="O1220" s="9" t="str">
        <f>IF(A1220="DO 29","BAP",IF(A1220="RO 14","BAP",(VLOOKUP(TablaCosechas[[#This Row],[COD]],Tabla7[[CODIGO]:[CERTIFICACION]],3,0))))</f>
        <v>CONVENCIONAL</v>
      </c>
      <c r="P1220" s="180">
        <f>+L1220-E1220</f>
        <v>-5.2000000000007276</v>
      </c>
      <c r="Q1220" s="181">
        <f>+M1220-F1220</f>
        <v>2.16</v>
      </c>
      <c r="R1220" s="9"/>
    </row>
    <row r="1221" spans="1:18" x14ac:dyDescent="0.25">
      <c r="A1221" s="9" t="s">
        <v>265</v>
      </c>
      <c r="B1221" s="9">
        <f>ROW() - ROW(TablaCosechas[[#Headers],[ID]]) - 4</f>
        <v>1216</v>
      </c>
      <c r="C1221" s="9" t="str">
        <f>LEFT(A1221,2)</f>
        <v>DE</v>
      </c>
      <c r="D1221" s="182" t="s">
        <v>367</v>
      </c>
      <c r="E1221" s="178">
        <v>3000</v>
      </c>
      <c r="F1221" s="19">
        <v>27</v>
      </c>
      <c r="G1221" s="195">
        <v>46077</v>
      </c>
      <c r="H1221" s="9" t="str">
        <f>VLOOKUP(TablaCosechas[[#This Row],[COD]],DATOS!$E$3:$F$27,2,0)</f>
        <v>DELFIN</v>
      </c>
      <c r="I1221" s="9" t="str">
        <f>RIGHT(TablaCosechas[[#This Row],[SECTOR/PISCINA]],2)</f>
        <v>04</v>
      </c>
      <c r="J1221" s="9" t="str">
        <f>VLOOKUP(TablaCosechas[[#This Row],[COD]],Tabla7[#All],4,0)</f>
        <v>CARLOS FLORES</v>
      </c>
      <c r="K1221" s="179">
        <f>(TablaCosechas[[#This Row],[libras planta]]*454)/M1221</f>
        <v>52859.543071161046</v>
      </c>
      <c r="L1221" s="215">
        <v>3108.7</v>
      </c>
      <c r="M1221" s="19">
        <v>26.7</v>
      </c>
      <c r="N1221" s="9" t="str">
        <f>UPPER(TEXT(TablaCosechas[[#This Row],[COSECHA]],"MMMM"))</f>
        <v>FEBRERO</v>
      </c>
      <c r="O1221" s="9" t="str">
        <f>IF(A1221="DO 29","BAP",IF(A1221="RO 14","BAP",(VLOOKUP(TablaCosechas[[#This Row],[COD]],Tabla7[[CODIGO]:[CERTIFICACION]],3,0))))</f>
        <v>CONVENCIONAL</v>
      </c>
      <c r="P1221" s="180">
        <f>+L1221-E1221</f>
        <v>108.69999999999982</v>
      </c>
      <c r="Q1221" s="181">
        <f>+M1221-F1221</f>
        <v>-0.30000000000000071</v>
      </c>
      <c r="R1221" s="9"/>
    </row>
    <row r="1222" spans="1:18" x14ac:dyDescent="0.25">
      <c r="A1222" s="9" t="s">
        <v>13</v>
      </c>
      <c r="B1222" s="9">
        <f>ROW() - ROW(TablaCosechas[[#Headers],[ID]]) - 4</f>
        <v>1217</v>
      </c>
      <c r="C1222" s="9" t="str">
        <f>LEFT(A1222,2)</f>
        <v>CH</v>
      </c>
      <c r="D1222" s="182" t="s">
        <v>367</v>
      </c>
      <c r="E1222" s="178">
        <v>2800</v>
      </c>
      <c r="F1222" s="19">
        <v>26</v>
      </c>
      <c r="G1222" s="195">
        <v>46077</v>
      </c>
      <c r="H1222" s="9" t="str">
        <f>VLOOKUP(TablaCosechas[[#This Row],[COD]],DATOS!$E$3:$F$27,2,0)</f>
        <v>CHERNA</v>
      </c>
      <c r="I1222" s="9" t="str">
        <f>RIGHT(TablaCosechas[[#This Row],[SECTOR/PISCINA]],2)</f>
        <v>07</v>
      </c>
      <c r="J1222" s="9" t="str">
        <f>VLOOKUP(TablaCosechas[[#This Row],[COD]],Tabla7[#All],4,0)</f>
        <v>SANTIAGO OBRIEN</v>
      </c>
      <c r="K1222" s="179">
        <f>(TablaCosechas[[#This Row],[libras planta]]*454)/M1222</f>
        <v>54593.499999999993</v>
      </c>
      <c r="L1222" s="215">
        <v>3222.7</v>
      </c>
      <c r="M1222" s="19">
        <v>26.8</v>
      </c>
      <c r="N1222" s="9" t="str">
        <f>UPPER(TEXT(TablaCosechas[[#This Row],[COSECHA]],"MMMM"))</f>
        <v>FEBRERO</v>
      </c>
      <c r="O1222" s="9" t="str">
        <f>IF(A1222="DO 29","BAP",IF(A1222="RO 14","BAP",(VLOOKUP(TablaCosechas[[#This Row],[COD]],Tabla7[[CODIGO]:[CERTIFICACION]],3,0))))</f>
        <v>ASC</v>
      </c>
      <c r="P1222" s="180">
        <f>+L1222-E1222</f>
        <v>422.69999999999982</v>
      </c>
      <c r="Q1222" s="181">
        <f>+M1222-F1222</f>
        <v>0.80000000000000071</v>
      </c>
      <c r="R1222" s="9"/>
    </row>
    <row r="1223" spans="1:18" x14ac:dyDescent="0.25">
      <c r="A1223" s="9" t="s">
        <v>9</v>
      </c>
      <c r="B1223" s="9">
        <f>ROW() - ROW(TablaCosechas[[#Headers],[ID]]) - 4</f>
        <v>1218</v>
      </c>
      <c r="C1223" s="9" t="str">
        <f>LEFT(A1223,2)</f>
        <v>CH</v>
      </c>
      <c r="D1223" s="182" t="s">
        <v>367</v>
      </c>
      <c r="E1223" s="178">
        <v>9800</v>
      </c>
      <c r="F1223" s="19">
        <v>24</v>
      </c>
      <c r="G1223" s="195">
        <v>46077</v>
      </c>
      <c r="H1223" s="9" t="str">
        <f>VLOOKUP(TablaCosechas[[#This Row],[COD]],DATOS!$E$3:$F$27,2,0)</f>
        <v>CHERNA</v>
      </c>
      <c r="I1223" s="9" t="str">
        <f>RIGHT(TablaCosechas[[#This Row],[SECTOR/PISCINA]],2)</f>
        <v>03</v>
      </c>
      <c r="J1223" s="9" t="str">
        <f>VLOOKUP(TablaCosechas[[#This Row],[COD]],Tabla7[#All],4,0)</f>
        <v>SANTIAGO OBRIEN</v>
      </c>
      <c r="K1223" s="179">
        <f>(TablaCosechas[[#This Row],[libras planta]]*454)/M1223</f>
        <v>215420.5437330929</v>
      </c>
      <c r="L1223" s="215">
        <v>10524.29</v>
      </c>
      <c r="M1223" s="19">
        <v>22.18</v>
      </c>
      <c r="N1223" s="9" t="str">
        <f>UPPER(TEXT(TablaCosechas[[#This Row],[COSECHA]],"MMMM"))</f>
        <v>FEBRERO</v>
      </c>
      <c r="O1223" s="9" t="str">
        <f>IF(A1223="DO 29","BAP",IF(A1223="RO 14","BAP",(VLOOKUP(TablaCosechas[[#This Row],[COD]],Tabla7[[CODIGO]:[CERTIFICACION]],3,0))))</f>
        <v>ASC</v>
      </c>
      <c r="P1223" s="180">
        <f>+L1223-E1223</f>
        <v>724.29000000000087</v>
      </c>
      <c r="Q1223" s="181">
        <f>+M1223-F1223</f>
        <v>-1.8200000000000003</v>
      </c>
      <c r="R1223" s="9"/>
    </row>
    <row r="1224" spans="1:18" x14ac:dyDescent="0.25">
      <c r="A1224" s="9" t="s">
        <v>325</v>
      </c>
      <c r="B1224" s="9">
        <f>ROW() - ROW(TablaCosechas[[#Headers],[ID]]) - 4</f>
        <v>1219</v>
      </c>
      <c r="C1224" s="9" t="str">
        <f>LEFT(A1224,2)</f>
        <v>PA</v>
      </c>
      <c r="D1224" s="182" t="s">
        <v>367</v>
      </c>
      <c r="E1224" s="178">
        <v>23650</v>
      </c>
      <c r="F1224" s="19">
        <v>19</v>
      </c>
      <c r="G1224" s="195">
        <v>46078</v>
      </c>
      <c r="H1224" s="9" t="str">
        <f>VLOOKUP(TablaCosechas[[#This Row],[COD]],DATOS!$E$3:$F$27,2,0)</f>
        <v>PAMPANO</v>
      </c>
      <c r="I1224" s="9" t="str">
        <f>RIGHT(TablaCosechas[[#This Row],[SECTOR/PISCINA]],2)</f>
        <v>15</v>
      </c>
      <c r="J1224" s="9" t="str">
        <f>VLOOKUP(TablaCosechas[[#This Row],[COD]],Tabla7[#All],4,0)</f>
        <v>GUSTAVO CARRASCO</v>
      </c>
      <c r="K1224" s="179">
        <f>(TablaCosechas[[#This Row],[libras planta]]*454)/M1224</f>
        <v>494422.24652087479</v>
      </c>
      <c r="L1224" s="215">
        <v>21911.4</v>
      </c>
      <c r="M1224" s="19">
        <v>20.12</v>
      </c>
      <c r="N1224" s="9" t="str">
        <f>UPPER(TEXT(TablaCosechas[[#This Row],[COSECHA]],"MMMM"))</f>
        <v>FEBRERO</v>
      </c>
      <c r="O1224" s="9" t="str">
        <f>IF(A1224="DO 29","BAP",IF(A1224="RO 14","BAP",(VLOOKUP(TablaCosechas[[#This Row],[COD]],Tabla7[[CODIGO]:[CERTIFICACION]],3,0))))</f>
        <v>ASC</v>
      </c>
      <c r="P1224" s="180">
        <f>+L1224-E1224</f>
        <v>-1738.5999999999985</v>
      </c>
      <c r="Q1224" s="181">
        <f>+M1224-F1224</f>
        <v>1.120000000000001</v>
      </c>
      <c r="R1224" s="9"/>
    </row>
    <row r="1225" spans="1:18" x14ac:dyDescent="0.25">
      <c r="A1225" s="9" t="s">
        <v>274</v>
      </c>
      <c r="B1225" s="9">
        <f>ROW() - ROW(TablaCosechas[[#Headers],[ID]]) - 4</f>
        <v>1220</v>
      </c>
      <c r="C1225" s="9" t="str">
        <f>LEFT(A1225,2)</f>
        <v>ME</v>
      </c>
      <c r="D1225" s="182" t="s">
        <v>367</v>
      </c>
      <c r="E1225" s="178">
        <v>8000</v>
      </c>
      <c r="F1225" s="19">
        <v>31</v>
      </c>
      <c r="G1225" s="195">
        <v>46078</v>
      </c>
      <c r="H1225" s="9" t="str">
        <f>VLOOKUP(TablaCosechas[[#This Row],[COD]],DATOS!$E$3:$F$27,2,0)</f>
        <v>MERO</v>
      </c>
      <c r="I1225" s="9" t="str">
        <f>RIGHT(TablaCosechas[[#This Row],[SECTOR/PISCINA]],2)</f>
        <v>04</v>
      </c>
      <c r="J1225" s="9" t="str">
        <f>VLOOKUP(TablaCosechas[[#This Row],[COD]],Tabla7[#All],4,0)</f>
        <v>NESTOR MOGOLLON</v>
      </c>
      <c r="K1225" s="179">
        <f>(TablaCosechas[[#This Row],[libras planta]]*454)/M1225</f>
        <v>106340.39724310776</v>
      </c>
      <c r="L1225" s="215">
        <v>7476.62</v>
      </c>
      <c r="M1225" s="19">
        <v>31.92</v>
      </c>
      <c r="N1225" s="9" t="str">
        <f>UPPER(TEXT(TablaCosechas[[#This Row],[COSECHA]],"MMMM"))</f>
        <v>FEBRERO</v>
      </c>
      <c r="O1225" s="9" t="str">
        <f>IF(A1225="DO 29","BAP",IF(A1225="RO 14","BAP",(VLOOKUP(TablaCosechas[[#This Row],[COD]],Tabla7[[CODIGO]:[CERTIFICACION]],3,0))))</f>
        <v>CONVENCIONAL</v>
      </c>
      <c r="P1225" s="180">
        <f>+L1225-E1225</f>
        <v>-523.38000000000011</v>
      </c>
      <c r="Q1225" s="181">
        <f>+M1225-F1225</f>
        <v>0.92000000000000171</v>
      </c>
      <c r="R1225" s="9"/>
    </row>
    <row r="1226" spans="1:18" x14ac:dyDescent="0.25">
      <c r="A1226" s="9" t="s">
        <v>323</v>
      </c>
      <c r="B1226" s="9">
        <f>ROW() - ROW(TablaCosechas[[#Headers],[ID]]) - 4</f>
        <v>1221</v>
      </c>
      <c r="C1226" s="9" t="str">
        <f>LEFT(A1226,2)</f>
        <v>DO</v>
      </c>
      <c r="D1226" s="182" t="s">
        <v>367</v>
      </c>
      <c r="E1226" s="178">
        <v>11200</v>
      </c>
      <c r="F1226" s="19">
        <v>18</v>
      </c>
      <c r="G1226" s="195">
        <v>46078</v>
      </c>
      <c r="H1226" s="9" t="str">
        <f>VLOOKUP(TablaCosechas[[#This Row],[COD]],DATOS!$E$3:$F$27,2,0)</f>
        <v>DORADO</v>
      </c>
      <c r="I1226" s="9" t="str">
        <f>RIGHT(TablaCosechas[[#This Row],[SECTOR/PISCINA]],2)</f>
        <v>22</v>
      </c>
      <c r="J1226" s="9" t="str">
        <f>VLOOKUP(TablaCosechas[[#This Row],[COD]],Tabla7[#All],4,0)</f>
        <v>JOSE CEDEÑO</v>
      </c>
      <c r="K1226" s="179">
        <f>(TablaCosechas[[#This Row],[libras planta]]*454)/M1226</f>
        <v>279141.87713997986</v>
      </c>
      <c r="L1226" s="215">
        <v>12210.92</v>
      </c>
      <c r="M1226" s="19">
        <v>19.86</v>
      </c>
      <c r="N1226" s="9" t="str">
        <f>UPPER(TEXT(TablaCosechas[[#This Row],[COSECHA]],"MMMM"))</f>
        <v>FEBRERO</v>
      </c>
      <c r="O1226" s="9" t="str">
        <f>IF(A1226="DO 29","BAP",IF(A1226="RO 14","BAP",(VLOOKUP(TablaCosechas[[#This Row],[COD]],Tabla7[[CODIGO]:[CERTIFICACION]],3,0))))</f>
        <v>ASC</v>
      </c>
      <c r="P1226" s="180">
        <f>+L1226-E1226</f>
        <v>1010.9200000000001</v>
      </c>
      <c r="Q1226" s="181">
        <f>+M1226-F1226</f>
        <v>1.8599999999999994</v>
      </c>
      <c r="R1226" s="9"/>
    </row>
    <row r="1227" spans="1:18" x14ac:dyDescent="0.25">
      <c r="A1227" s="9" t="s">
        <v>254</v>
      </c>
      <c r="B1227" s="9">
        <f>ROW() - ROW(TablaCosechas[[#Headers],[ID]]) - 4</f>
        <v>1222</v>
      </c>
      <c r="C1227" s="9" t="str">
        <f>LEFT(A1227,2)</f>
        <v>DE</v>
      </c>
      <c r="D1227" s="182" t="s">
        <v>366</v>
      </c>
      <c r="E1227" s="178">
        <v>500</v>
      </c>
      <c r="F1227" s="19">
        <v>32</v>
      </c>
      <c r="G1227" s="195">
        <v>46078</v>
      </c>
      <c r="H1227" s="9" t="str">
        <f>VLOOKUP(TablaCosechas[[#This Row],[COD]],DATOS!$E$3:$F$27,2,0)</f>
        <v>DELFIN</v>
      </c>
      <c r="I1227" s="9" t="str">
        <f>RIGHT(TablaCosechas[[#This Row],[SECTOR/PISCINA]],2)</f>
        <v>12</v>
      </c>
      <c r="J1227" s="9" t="str">
        <f>VLOOKUP(TablaCosechas[[#This Row],[COD]],Tabla7[#All],4,0)</f>
        <v>CARLOS FLORES</v>
      </c>
      <c r="K1227" s="179">
        <f>(TablaCosechas[[#This Row],[libras planta]]*454)/M1227</f>
        <v>4606.8093645484951</v>
      </c>
      <c r="L1227" s="215">
        <v>333.74</v>
      </c>
      <c r="M1227" s="19">
        <v>32.89</v>
      </c>
      <c r="N1227" s="9" t="str">
        <f>UPPER(TEXT(TablaCosechas[[#This Row],[COSECHA]],"MMMM"))</f>
        <v>FEBRERO</v>
      </c>
      <c r="O1227" s="9" t="str">
        <f>IF(A1227="DO 29","BAP",IF(A1227="RO 14","BAP",(VLOOKUP(TablaCosechas[[#This Row],[COD]],Tabla7[[CODIGO]:[CERTIFICACION]],3,0))))</f>
        <v>CONVENCIONAL</v>
      </c>
      <c r="P1227" s="180">
        <f>+L1227-E1227</f>
        <v>-166.26</v>
      </c>
      <c r="Q1227" s="181">
        <f>+M1227-F1227</f>
        <v>0.89000000000000057</v>
      </c>
      <c r="R1227" s="9"/>
    </row>
    <row r="1228" spans="1:18" x14ac:dyDescent="0.25">
      <c r="A1228" s="9" t="s">
        <v>283</v>
      </c>
      <c r="B1228" s="9">
        <f>ROW() - ROW(TablaCosechas[[#Headers],[ID]]) - 4</f>
        <v>1223</v>
      </c>
      <c r="C1228" s="9" t="str">
        <f>LEFT(A1228,2)</f>
        <v>DE</v>
      </c>
      <c r="D1228" s="182" t="s">
        <v>367</v>
      </c>
      <c r="E1228" s="178">
        <v>7500</v>
      </c>
      <c r="F1228" s="19">
        <v>18</v>
      </c>
      <c r="G1228" s="195">
        <v>46078</v>
      </c>
      <c r="H1228" s="9" t="str">
        <f>VLOOKUP(TablaCosechas[[#This Row],[COD]],DATOS!$E$3:$F$27,2,0)</f>
        <v>DELFIN</v>
      </c>
      <c r="I1228" s="9" t="str">
        <f>RIGHT(TablaCosechas[[#This Row],[SECTOR/PISCINA]],2)</f>
        <v>10</v>
      </c>
      <c r="J1228" s="9" t="str">
        <f>VLOOKUP(TablaCosechas[[#This Row],[COD]],Tabla7[#All],4,0)</f>
        <v>CARLOS FLORES</v>
      </c>
      <c r="K1228" s="179">
        <f>(TablaCosechas[[#This Row],[libras planta]]*454)/M1228</f>
        <v>147093.20018975335</v>
      </c>
      <c r="L1228" s="215">
        <v>6829.79</v>
      </c>
      <c r="M1228" s="19">
        <v>21.08</v>
      </c>
      <c r="N1228" s="9" t="str">
        <f>UPPER(TEXT(TablaCosechas[[#This Row],[COSECHA]],"MMMM"))</f>
        <v>FEBRERO</v>
      </c>
      <c r="O1228" s="9" t="str">
        <f>IF(A1228="DO 29","BAP",IF(A1228="RO 14","BAP",(VLOOKUP(TablaCosechas[[#This Row],[COD]],Tabla7[[CODIGO]:[CERTIFICACION]],3,0))))</f>
        <v>CONVENCIONAL</v>
      </c>
      <c r="P1228" s="180">
        <f>+L1228-E1228</f>
        <v>-670.21</v>
      </c>
      <c r="Q1228" s="49">
        <f>+M1228-F1228</f>
        <v>3.0799999999999983</v>
      </c>
      <c r="R1228" s="9"/>
    </row>
    <row r="1229" spans="1:18" x14ac:dyDescent="0.25">
      <c r="A1229" s="9" t="s">
        <v>257</v>
      </c>
      <c r="B1229" s="9">
        <f>ROW() - ROW(TablaCosechas[[#Headers],[ID]]) - 4</f>
        <v>1224</v>
      </c>
      <c r="C1229" s="9" t="str">
        <f>LEFT(A1229,2)</f>
        <v>WA</v>
      </c>
      <c r="D1229" s="182" t="s">
        <v>367</v>
      </c>
      <c r="E1229" s="178">
        <v>850</v>
      </c>
      <c r="F1229" s="19">
        <v>19</v>
      </c>
      <c r="G1229" s="195">
        <v>46079</v>
      </c>
      <c r="H1229" s="9" t="str">
        <f>VLOOKUP(TablaCosechas[[#This Row],[COD]],DATOS!$E$3:$F$27,2,0)</f>
        <v>WAHOO</v>
      </c>
      <c r="I1229" s="9" t="str">
        <f>RIGHT(TablaCosechas[[#This Row],[SECTOR/PISCINA]],2)</f>
        <v>21</v>
      </c>
      <c r="J1229" s="9" t="str">
        <f>VLOOKUP(TablaCosechas[[#This Row],[COD]],Tabla7[#All],4,0)</f>
        <v>JUNIOR ESQUIVEL</v>
      </c>
      <c r="K1229" s="179">
        <f>(TablaCosechas[[#This Row],[libras planta]]*454)/M1229</f>
        <v>18952.995265151516</v>
      </c>
      <c r="L1229" s="215">
        <v>881.69</v>
      </c>
      <c r="M1229" s="19">
        <v>21.12</v>
      </c>
      <c r="N1229" s="9" t="str">
        <f>UPPER(TEXT(TablaCosechas[[#This Row],[COSECHA]],"MMMM"))</f>
        <v>FEBRERO</v>
      </c>
      <c r="O1229" s="9" t="str">
        <f>IF(A1229="DO 29","BAP",IF(A1229="RO 14","BAP",(VLOOKUP(TablaCosechas[[#This Row],[COD]],Tabla7[[CODIGO]:[CERTIFICACION]],3,0))))</f>
        <v>CONVENCIONAL</v>
      </c>
      <c r="P1229" s="180">
        <f>+L1229-E1229</f>
        <v>31.690000000000055</v>
      </c>
      <c r="Q1229" s="49">
        <f>+M1229-F1229</f>
        <v>2.120000000000001</v>
      </c>
      <c r="R1229" s="9"/>
    </row>
    <row r="1230" spans="1:18" x14ac:dyDescent="0.25">
      <c r="A1230" s="9" t="s">
        <v>315</v>
      </c>
      <c r="B1230" s="9">
        <f>ROW() - ROW(TablaCosechas[[#Headers],[ID]]) - 4</f>
        <v>1225</v>
      </c>
      <c r="C1230" s="9" t="str">
        <f>LEFT(A1230,2)</f>
        <v>TI</v>
      </c>
      <c r="D1230" s="182" t="s">
        <v>367</v>
      </c>
      <c r="E1230" s="178">
        <v>17600</v>
      </c>
      <c r="F1230" s="19">
        <v>28</v>
      </c>
      <c r="G1230" s="195">
        <v>46079</v>
      </c>
      <c r="H1230" s="9" t="str">
        <f>VLOOKUP(TablaCosechas[[#This Row],[COD]],DATOS!$E$3:$F$27,2,0)</f>
        <v>TIBURON</v>
      </c>
      <c r="I1230" s="9" t="str">
        <f>RIGHT(TablaCosechas[[#This Row],[SECTOR/PISCINA]],2)</f>
        <v>05</v>
      </c>
      <c r="J1230" s="9" t="str">
        <f>VLOOKUP(TablaCosechas[[#This Row],[COD]],Tabla7[#All],4,0)</f>
        <v>ALFONSO GRUNAUER</v>
      </c>
      <c r="K1230" s="179">
        <f>(TablaCosechas[[#This Row],[libras planta]]*454)/M1230</f>
        <v>300959.19809244311</v>
      </c>
      <c r="L1230" s="215">
        <v>18070.810000000001</v>
      </c>
      <c r="M1230" s="19">
        <v>27.26</v>
      </c>
      <c r="N1230" s="9" t="str">
        <f>UPPER(TEXT(TablaCosechas[[#This Row],[COSECHA]],"MMMM"))</f>
        <v>FEBRERO</v>
      </c>
      <c r="O1230" s="9" t="str">
        <f>IF(A1230="DO 29","BAP",IF(A1230="RO 14","BAP",(VLOOKUP(TablaCosechas[[#This Row],[COD]],Tabla7[[CODIGO]:[CERTIFICACION]],3,0))))</f>
        <v>ASC</v>
      </c>
      <c r="P1230" s="180">
        <f>+L1230-E1230</f>
        <v>470.81000000000131</v>
      </c>
      <c r="Q1230" s="49">
        <f>+M1230-F1230</f>
        <v>-0.73999999999999844</v>
      </c>
      <c r="R1230" s="9"/>
    </row>
    <row r="1231" spans="1:18" x14ac:dyDescent="0.25">
      <c r="A1231" s="9" t="s">
        <v>271</v>
      </c>
      <c r="B1231" s="9">
        <f>ROW() - ROW(TablaCosechas[[#Headers],[ID]]) - 4</f>
        <v>1226</v>
      </c>
      <c r="C1231" s="9" t="str">
        <f>LEFT(A1231,2)</f>
        <v>MA</v>
      </c>
      <c r="D1231" s="182" t="s">
        <v>367</v>
      </c>
      <c r="E1231" s="178">
        <v>10200</v>
      </c>
      <c r="F1231" s="19">
        <v>28</v>
      </c>
      <c r="G1231" s="195">
        <v>46079</v>
      </c>
      <c r="H1231" s="9" t="str">
        <f>VLOOKUP(TablaCosechas[[#This Row],[COD]],DATOS!$E$3:$F$27,2,0)</f>
        <v>MANTARRAYA</v>
      </c>
      <c r="I1231" s="9" t="str">
        <f>RIGHT(TablaCosechas[[#This Row],[SECTOR/PISCINA]],2)</f>
        <v>01</v>
      </c>
      <c r="J1231" s="9" t="str">
        <f>VLOOKUP(TablaCosechas[[#This Row],[COD]],Tabla7[#All],4,0)</f>
        <v>GUSTAVO CARRASCO</v>
      </c>
      <c r="K1231" s="179">
        <f>(TablaCosechas[[#This Row],[libras planta]]*454)/M1231</f>
        <v>165276.4460992908</v>
      </c>
      <c r="L1231" s="215">
        <v>10266.07</v>
      </c>
      <c r="M1231" s="19">
        <v>28.2</v>
      </c>
      <c r="N1231" s="9" t="str">
        <f>UPPER(TEXT(TablaCosechas[[#This Row],[COSECHA]],"MMMM"))</f>
        <v>FEBRERO</v>
      </c>
      <c r="O1231" s="9" t="str">
        <f>IF(A1231="DO 29","BAP",IF(A1231="RO 14","BAP",(VLOOKUP(TablaCosechas[[#This Row],[COD]],Tabla7[[CODIGO]:[CERTIFICACION]],3,0))))</f>
        <v>ASC</v>
      </c>
      <c r="P1231" s="180">
        <f>+L1231-E1231</f>
        <v>66.069999999999709</v>
      </c>
      <c r="Q1231" s="49">
        <f>+M1231-F1231</f>
        <v>0.19999999999999929</v>
      </c>
      <c r="R1231" s="9"/>
    </row>
    <row r="1232" spans="1:18" x14ac:dyDescent="0.25">
      <c r="A1232" s="9" t="s">
        <v>308</v>
      </c>
      <c r="B1232" s="9">
        <f>ROW() - ROW(TablaCosechas[[#Headers],[ID]]) - 4</f>
        <v>1227</v>
      </c>
      <c r="C1232" s="9" t="str">
        <f>LEFT(A1232,2)</f>
        <v>DO</v>
      </c>
      <c r="D1232" s="182" t="s">
        <v>367</v>
      </c>
      <c r="E1232" s="178">
        <v>11400</v>
      </c>
      <c r="F1232" s="19">
        <v>28</v>
      </c>
      <c r="G1232" s="195">
        <v>46079</v>
      </c>
      <c r="H1232" s="9" t="str">
        <f>VLOOKUP(TablaCosechas[[#This Row],[COD]],DATOS!$E$3:$F$27,2,0)</f>
        <v>DORADO</v>
      </c>
      <c r="I1232" s="9" t="str">
        <f>RIGHT(TablaCosechas[[#This Row],[SECTOR/PISCINA]],2)</f>
        <v>26</v>
      </c>
      <c r="J1232" s="9" t="str">
        <f>VLOOKUP(TablaCosechas[[#This Row],[COD]],Tabla7[#All],4,0)</f>
        <v>JOSE CEDEÑO</v>
      </c>
      <c r="K1232" s="179">
        <f>(TablaCosechas[[#This Row],[libras planta]]*454)/M1232</f>
        <v>171420.43414634146</v>
      </c>
      <c r="L1232" s="215">
        <v>10836.49</v>
      </c>
      <c r="M1232" s="19">
        <v>28.7</v>
      </c>
      <c r="N1232" s="9" t="str">
        <f>UPPER(TEXT(TablaCosechas[[#This Row],[COSECHA]],"MMMM"))</f>
        <v>FEBRERO</v>
      </c>
      <c r="O1232" s="9" t="str">
        <f>IF(A1232="DO 29","BAP",IF(A1232="RO 14","BAP",(VLOOKUP(TablaCosechas[[#This Row],[COD]],Tabla7[[CODIGO]:[CERTIFICACION]],3,0))))</f>
        <v>ASC</v>
      </c>
      <c r="P1232" s="180">
        <f>+L1232-E1232</f>
        <v>-563.51000000000022</v>
      </c>
      <c r="Q1232" s="49">
        <f>+M1232-F1232</f>
        <v>0.69999999999999929</v>
      </c>
      <c r="R1232" s="9"/>
    </row>
    <row r="1233" spans="1:18" x14ac:dyDescent="0.25">
      <c r="A1233" s="9" t="s">
        <v>130</v>
      </c>
      <c r="B1233" s="9">
        <f>ROW() - ROW(TablaCosechas[[#Headers],[ID]]) - 4</f>
        <v>1228</v>
      </c>
      <c r="C1233" s="9" t="str">
        <f>LEFT(A1233,2)</f>
        <v>DE</v>
      </c>
      <c r="D1233" s="182" t="s">
        <v>367</v>
      </c>
      <c r="E1233" s="178">
        <v>17900</v>
      </c>
      <c r="F1233" s="19">
        <v>19</v>
      </c>
      <c r="G1233" s="195">
        <v>46079</v>
      </c>
      <c r="H1233" s="9" t="str">
        <f>VLOOKUP(TablaCosechas[[#This Row],[COD]],DATOS!$E$3:$F$27,2,0)</f>
        <v>DELFIN</v>
      </c>
      <c r="I1233" s="9" t="str">
        <f>RIGHT(TablaCosechas[[#This Row],[SECTOR/PISCINA]],2)</f>
        <v>27</v>
      </c>
      <c r="J1233" s="9" t="str">
        <f>VLOOKUP(TablaCosechas[[#This Row],[COD]],Tabla7[#All],4,0)</f>
        <v>CARLOS FLORES</v>
      </c>
      <c r="K1233" s="179">
        <f>(TablaCosechas[[#This Row],[libras planta]]*454)/M1233</f>
        <v>363756.16145307769</v>
      </c>
      <c r="L1233" s="215">
        <v>15880.28</v>
      </c>
      <c r="M1233" s="19">
        <v>19.82</v>
      </c>
      <c r="N1233" s="9" t="str">
        <f>UPPER(TEXT(TablaCosechas[[#This Row],[COSECHA]],"MMMM"))</f>
        <v>FEBRERO</v>
      </c>
      <c r="O1233" s="9" t="str">
        <f>IF(A1233="DO 29","BAP",IF(A1233="RO 14","BAP",(VLOOKUP(TablaCosechas[[#This Row],[COD]],Tabla7[[CODIGO]:[CERTIFICACION]],3,0))))</f>
        <v>CONVENCIONAL</v>
      </c>
      <c r="P1233" s="180">
        <f>+L1233-E1233</f>
        <v>-2019.7199999999993</v>
      </c>
      <c r="Q1233" s="181">
        <f>+M1233-F1233</f>
        <v>0.82000000000000028</v>
      </c>
      <c r="R1233" s="9"/>
    </row>
    <row r="1234" spans="1:18" x14ac:dyDescent="0.25">
      <c r="A1234" s="9" t="s">
        <v>115</v>
      </c>
      <c r="B1234" s="9">
        <f>ROW() - ROW(TablaCosechas[[#Headers],[ID]]) - 4</f>
        <v>1229</v>
      </c>
      <c r="C1234" s="9" t="str">
        <f>LEFT(A1234,2)</f>
        <v>DE</v>
      </c>
      <c r="D1234" s="182" t="s">
        <v>367</v>
      </c>
      <c r="E1234" s="178">
        <v>10600</v>
      </c>
      <c r="F1234" s="19">
        <v>21</v>
      </c>
      <c r="G1234" s="195">
        <v>46079</v>
      </c>
      <c r="H1234" s="9" t="str">
        <f>VLOOKUP(TablaCosechas[[#This Row],[COD]],DATOS!$E$3:$F$27,2,0)</f>
        <v>DELFIN</v>
      </c>
      <c r="I1234" s="9" t="str">
        <f>RIGHT(TablaCosechas[[#This Row],[SECTOR/PISCINA]],2)</f>
        <v>19</v>
      </c>
      <c r="J1234" s="9" t="str">
        <f>VLOOKUP(TablaCosechas[[#This Row],[COD]],Tabla7[#All],4,0)</f>
        <v>CARLOS FLORES</v>
      </c>
      <c r="K1234" s="179">
        <f>(TablaCosechas[[#This Row],[libras planta]]*454)/M1234</f>
        <v>216912.45660036165</v>
      </c>
      <c r="L1234" s="215">
        <v>10568.51</v>
      </c>
      <c r="M1234" s="19">
        <v>22.12</v>
      </c>
      <c r="N1234" s="9" t="str">
        <f>UPPER(TEXT(TablaCosechas[[#This Row],[COSECHA]],"MMMM"))</f>
        <v>FEBRERO</v>
      </c>
      <c r="O1234" s="9" t="str">
        <f>IF(A1234="DO 29","BAP",IF(A1234="RO 14","BAP",(VLOOKUP(TablaCosechas[[#This Row],[COD]],Tabla7[[CODIGO]:[CERTIFICACION]],3,0))))</f>
        <v>CONVENCIONAL</v>
      </c>
      <c r="P1234" s="180">
        <f>+L1234-E1234</f>
        <v>-31.489999999999782</v>
      </c>
      <c r="Q1234" s="181">
        <f>+M1234-F1234</f>
        <v>1.120000000000001</v>
      </c>
      <c r="R1234" s="9"/>
    </row>
    <row r="1235" spans="1:18" x14ac:dyDescent="0.25">
      <c r="A1235" s="9" t="s">
        <v>12</v>
      </c>
      <c r="B1235" s="9">
        <f>ROW() - ROW(TablaCosechas[[#Headers],[ID]]) - 4</f>
        <v>1230</v>
      </c>
      <c r="C1235" s="9" t="str">
        <f>LEFT(A1235,2)</f>
        <v>CH</v>
      </c>
      <c r="D1235" s="182" t="s">
        <v>367</v>
      </c>
      <c r="E1235" s="178">
        <v>6800</v>
      </c>
      <c r="F1235" s="19">
        <v>24</v>
      </c>
      <c r="G1235" s="195">
        <v>46079</v>
      </c>
      <c r="H1235" s="9" t="str">
        <f>VLOOKUP(TablaCosechas[[#This Row],[COD]],DATOS!$E$3:$F$27,2,0)</f>
        <v>CHERNA</v>
      </c>
      <c r="I1235" s="9" t="str">
        <f>RIGHT(TablaCosechas[[#This Row],[SECTOR/PISCINA]],2)</f>
        <v>06</v>
      </c>
      <c r="J1235" s="9" t="str">
        <f>VLOOKUP(TablaCosechas[[#This Row],[COD]],Tabla7[#All],4,0)</f>
        <v>SANTIAGO OBRIEN</v>
      </c>
      <c r="K1235" s="179">
        <f>(TablaCosechas[[#This Row],[libras planta]]*454)/M1235</f>
        <v>126929.88010425716</v>
      </c>
      <c r="L1235" s="215">
        <v>6435.96</v>
      </c>
      <c r="M1235" s="19">
        <v>23.02</v>
      </c>
      <c r="N1235" s="9" t="str">
        <f>UPPER(TEXT(TablaCosechas[[#This Row],[COSECHA]],"MMMM"))</f>
        <v>FEBRERO</v>
      </c>
      <c r="O1235" s="9" t="str">
        <f>IF(A1235="DO 29","BAP",IF(A1235="RO 14","BAP",(VLOOKUP(TablaCosechas[[#This Row],[COD]],Tabla7[[CODIGO]:[CERTIFICACION]],3,0))))</f>
        <v>ASC</v>
      </c>
      <c r="P1235" s="180">
        <f>+L1235-E1235</f>
        <v>-364.03999999999996</v>
      </c>
      <c r="Q1235" s="49">
        <f>+M1235-F1235</f>
        <v>-0.98000000000000043</v>
      </c>
      <c r="R1235" s="9"/>
    </row>
    <row r="1236" spans="1:18" x14ac:dyDescent="0.25">
      <c r="A1236" s="9" t="s">
        <v>305</v>
      </c>
      <c r="B1236" s="9">
        <f>ROW() - ROW(TablaCosechas[[#Headers],[ID]]) - 4</f>
        <v>1231</v>
      </c>
      <c r="C1236" s="9" t="str">
        <f>LEFT(A1236,2)</f>
        <v>TA</v>
      </c>
      <c r="D1236" s="182" t="s">
        <v>367</v>
      </c>
      <c r="E1236" s="178">
        <v>18000</v>
      </c>
      <c r="F1236" s="19">
        <v>24</v>
      </c>
      <c r="G1236" s="195">
        <v>46080</v>
      </c>
      <c r="H1236" s="9" t="str">
        <f>VLOOKUP(TablaCosechas[[#This Row],[COD]],DATOS!$E$3:$F$27,2,0)</f>
        <v>TAMBULERO</v>
      </c>
      <c r="I1236" s="9" t="str">
        <f>RIGHT(TablaCosechas[[#This Row],[SECTOR/PISCINA]],2)</f>
        <v>18</v>
      </c>
      <c r="J1236" s="9" t="str">
        <f>VLOOKUP(TablaCosechas[[#This Row],[COD]],Tabla7[#All],4,0)</f>
        <v>ALFONSO GRUNAUER</v>
      </c>
      <c r="K1236" s="179">
        <f>(TablaCosechas[[#This Row],[libras planta]]*454)/M1236</f>
        <v>329482.06754072307</v>
      </c>
      <c r="L1236" s="215">
        <v>18266.66</v>
      </c>
      <c r="M1236" s="19">
        <v>25.17</v>
      </c>
      <c r="N1236" s="9" t="str">
        <f>UPPER(TEXT(TablaCosechas[[#This Row],[COSECHA]],"MMMM"))</f>
        <v>FEBRERO</v>
      </c>
      <c r="O1236" s="9" t="str">
        <f>IF(A1236="DO 29","BAP",IF(A1236="RO 14","BAP",(VLOOKUP(TablaCosechas[[#This Row],[COD]],Tabla7[[CODIGO]:[CERTIFICACION]],3,0))))</f>
        <v>CONVENCIONAL</v>
      </c>
      <c r="P1236" s="180">
        <f>+L1236-E1236</f>
        <v>266.65999999999985</v>
      </c>
      <c r="Q1236" s="49">
        <f>+M1236-F1236</f>
        <v>1.1700000000000017</v>
      </c>
      <c r="R1236" s="9"/>
    </row>
    <row r="1237" spans="1:18" x14ac:dyDescent="0.25">
      <c r="A1237" s="9" t="s">
        <v>255</v>
      </c>
      <c r="B1237" s="9">
        <f>ROW() - ROW(TablaCosechas[[#Headers],[ID]]) - 4</f>
        <v>1232</v>
      </c>
      <c r="C1237" s="9" t="str">
        <f>LEFT(A1237,2)</f>
        <v>RO</v>
      </c>
      <c r="D1237" s="182" t="s">
        <v>366</v>
      </c>
      <c r="E1237" s="178">
        <v>20600</v>
      </c>
      <c r="F1237" s="19">
        <v>38</v>
      </c>
      <c r="G1237" s="195">
        <v>46080</v>
      </c>
      <c r="H1237" s="9" t="str">
        <f>VLOOKUP(TablaCosechas[[#This Row],[COD]],DATOS!$E$3:$F$27,2,0)</f>
        <v>ROBALO</v>
      </c>
      <c r="I1237" s="9" t="str">
        <f>RIGHT(TablaCosechas[[#This Row],[SECTOR/PISCINA]],2)</f>
        <v>10</v>
      </c>
      <c r="J1237" s="9" t="str">
        <f>VLOOKUP(TablaCosechas[[#This Row],[COD]],Tabla7[#All],4,0)</f>
        <v>VICTOR QUINTANA</v>
      </c>
      <c r="K1237" s="179">
        <f>(TablaCosechas[[#This Row],[libras planta]]*454)/M1237</f>
        <v>260232.21943734013</v>
      </c>
      <c r="L1237" s="215">
        <v>22412.07</v>
      </c>
      <c r="M1237" s="19">
        <v>39.1</v>
      </c>
      <c r="N1237" s="9" t="str">
        <f>UPPER(TEXT(TablaCosechas[[#This Row],[COSECHA]],"MMMM"))</f>
        <v>FEBRERO</v>
      </c>
      <c r="O1237" s="9" t="str">
        <f>IF(A1237="DO 29","BAP",IF(A1237="RO 14","BAP",(VLOOKUP(TablaCosechas[[#This Row],[COD]],Tabla7[[CODIGO]:[CERTIFICACION]],3,0))))</f>
        <v>ASC</v>
      </c>
      <c r="P1237" s="180">
        <f>+L1237-E1237</f>
        <v>1812.0699999999997</v>
      </c>
      <c r="Q1237" s="49">
        <f>+M1237-F1237</f>
        <v>1.1000000000000014</v>
      </c>
      <c r="R1237" s="9"/>
    </row>
    <row r="1238" spans="1:18" x14ac:dyDescent="0.25">
      <c r="A1238" s="9" t="s">
        <v>332</v>
      </c>
      <c r="B1238" s="9">
        <f>ROW() - ROW(TablaCosechas[[#Headers],[ID]]) - 4</f>
        <v>1233</v>
      </c>
      <c r="C1238" s="9" t="str">
        <f>LEFT(A1238,2)</f>
        <v>PA</v>
      </c>
      <c r="D1238" s="182" t="s">
        <v>367</v>
      </c>
      <c r="E1238" s="178">
        <v>17000</v>
      </c>
      <c r="F1238" s="19">
        <v>18.5</v>
      </c>
      <c r="G1238" s="195">
        <v>46080</v>
      </c>
      <c r="H1238" s="9" t="str">
        <f>VLOOKUP(TablaCosechas[[#This Row],[COD]],DATOS!$E$3:$F$27,2,0)</f>
        <v>PAMPANO</v>
      </c>
      <c r="I1238" s="9" t="str">
        <f>RIGHT(TablaCosechas[[#This Row],[SECTOR/PISCINA]],2)</f>
        <v>12</v>
      </c>
      <c r="J1238" s="9" t="str">
        <f>VLOOKUP(TablaCosechas[[#This Row],[COD]],Tabla7[#All],4,0)</f>
        <v>GUSTAVO CARRASCO</v>
      </c>
      <c r="K1238" s="179">
        <f>(TablaCosechas[[#This Row],[libras planta]]*454)/M1238</f>
        <v>370585.39037433162</v>
      </c>
      <c r="L1238" s="215">
        <v>15264.2</v>
      </c>
      <c r="M1238" s="19">
        <v>18.7</v>
      </c>
      <c r="N1238" s="9" t="str">
        <f>UPPER(TEXT(TablaCosechas[[#This Row],[COSECHA]],"MMMM"))</f>
        <v>FEBRERO</v>
      </c>
      <c r="O1238" s="9" t="str">
        <f>IF(A1238="DO 29","BAP",IF(A1238="RO 14","BAP",(VLOOKUP(TablaCosechas[[#This Row],[COD]],Tabla7[[CODIGO]:[CERTIFICACION]],3,0))))</f>
        <v>ASC</v>
      </c>
      <c r="P1238" s="180">
        <f>+L1238-E1238</f>
        <v>-1735.7999999999993</v>
      </c>
      <c r="Q1238" s="181">
        <f>+M1238-F1238</f>
        <v>0.19999999999999929</v>
      </c>
      <c r="R1238" s="9"/>
    </row>
    <row r="1239" spans="1:18" x14ac:dyDescent="0.25">
      <c r="A1239" s="9" t="s">
        <v>309</v>
      </c>
      <c r="B1239" s="9">
        <f>ROW() - ROW(TablaCosechas[[#Headers],[ID]]) - 4</f>
        <v>1234</v>
      </c>
      <c r="C1239" s="9" t="str">
        <f>LEFT(A1239,2)</f>
        <v>DE</v>
      </c>
      <c r="D1239" s="182" t="s">
        <v>367</v>
      </c>
      <c r="E1239" s="178">
        <v>12000</v>
      </c>
      <c r="F1239" s="19">
        <v>22</v>
      </c>
      <c r="G1239" s="195">
        <v>46080</v>
      </c>
      <c r="H1239" s="9" t="str">
        <f>VLOOKUP(TablaCosechas[[#This Row],[COD]],DATOS!$E$3:$F$27,2,0)</f>
        <v>DELFIN</v>
      </c>
      <c r="I1239" s="9" t="str">
        <f>RIGHT(TablaCosechas[[#This Row],[SECTOR/PISCINA]],2)</f>
        <v>05</v>
      </c>
      <c r="J1239" s="9" t="str">
        <f>VLOOKUP(TablaCosechas[[#This Row],[COD]],Tabla7[#All],4,0)</f>
        <v>CARLOS FLORES</v>
      </c>
      <c r="K1239" s="179">
        <f>(TablaCosechas[[#This Row],[libras planta]]*454)/M1239</f>
        <v>261088.48234106961</v>
      </c>
      <c r="L1239" s="215">
        <v>11398.18</v>
      </c>
      <c r="M1239" s="19">
        <v>19.82</v>
      </c>
      <c r="N1239" s="9" t="str">
        <f>UPPER(TEXT(TablaCosechas[[#This Row],[COSECHA]],"MMMM"))</f>
        <v>FEBRERO</v>
      </c>
      <c r="O1239" s="9" t="str">
        <f>IF(A1239="DO 29","BAP",IF(A1239="RO 14","BAP",(VLOOKUP(TablaCosechas[[#This Row],[COD]],Tabla7[[CODIGO]:[CERTIFICACION]],3,0))))</f>
        <v>CONVENCIONAL</v>
      </c>
      <c r="P1239" s="180">
        <f>+L1239-E1239</f>
        <v>-601.81999999999971</v>
      </c>
      <c r="Q1239" s="181">
        <f>+M1239-F1239</f>
        <v>-2.1799999999999997</v>
      </c>
      <c r="R1239" s="9"/>
    </row>
    <row r="1240" spans="1:18" x14ac:dyDescent="0.25">
      <c r="A1240" s="9" t="s">
        <v>257</v>
      </c>
      <c r="B1240" s="9">
        <f>ROW() - ROW(TablaCosechas[[#Headers],[ID]]) - 4</f>
        <v>1235</v>
      </c>
      <c r="C1240" s="9" t="str">
        <f>LEFT(A1240,2)</f>
        <v>WA</v>
      </c>
      <c r="D1240" s="182" t="s">
        <v>366</v>
      </c>
      <c r="E1240" s="178">
        <v>5600</v>
      </c>
      <c r="F1240" s="19">
        <v>19</v>
      </c>
      <c r="G1240" s="195">
        <v>46081</v>
      </c>
      <c r="H1240" s="9" t="str">
        <f>VLOOKUP(TablaCosechas[[#This Row],[COD]],DATOS!$E$3:$F$27,2,0)</f>
        <v>WAHOO</v>
      </c>
      <c r="I1240" s="9" t="str">
        <f>RIGHT(TablaCosechas[[#This Row],[SECTOR/PISCINA]],2)</f>
        <v>21</v>
      </c>
      <c r="J1240" s="9" t="str">
        <f>VLOOKUP(TablaCosechas[[#This Row],[COD]],Tabla7[#All],4,0)</f>
        <v>JUNIOR ESQUIVEL</v>
      </c>
      <c r="K1240" s="179">
        <f>(TablaCosechas[[#This Row],[libras planta]]*454)/M1240</f>
        <v>134807.17023255816</v>
      </c>
      <c r="L1240" s="215">
        <v>6384.04</v>
      </c>
      <c r="M1240" s="19">
        <v>21.5</v>
      </c>
      <c r="N1240" s="9" t="str">
        <f>UPPER(TEXT(TablaCosechas[[#This Row],[COSECHA]],"MMMM"))</f>
        <v>FEBRERO</v>
      </c>
      <c r="O1240" s="9" t="str">
        <f>IF(A1240="DO 29","BAP",IF(A1240="RO 14","BAP",(VLOOKUP(TablaCosechas[[#This Row],[COD]],Tabla7[[CODIGO]:[CERTIFICACION]],3,0))))</f>
        <v>CONVENCIONAL</v>
      </c>
      <c r="P1240" s="180">
        <f>+L1240-E1240</f>
        <v>784.04</v>
      </c>
      <c r="Q1240" s="181">
        <f>+M1240-F1240</f>
        <v>2.5</v>
      </c>
      <c r="R1240" s="9"/>
    </row>
    <row r="1241" spans="1:18" x14ac:dyDescent="0.25">
      <c r="A1241" s="9" t="s">
        <v>109</v>
      </c>
      <c r="B1241" s="9">
        <f>ROW() - ROW(TablaCosechas[[#Headers],[ID]]) - 4</f>
        <v>1236</v>
      </c>
      <c r="C1241" s="9" t="str">
        <f>LEFT(A1241,2)</f>
        <v>TI</v>
      </c>
      <c r="D1241" s="182" t="s">
        <v>367</v>
      </c>
      <c r="E1241" s="178">
        <v>2550</v>
      </c>
      <c r="F1241" s="19">
        <v>25</v>
      </c>
      <c r="G1241" s="195">
        <v>46081</v>
      </c>
      <c r="H1241" s="9" t="str">
        <f>VLOOKUP(TablaCosechas[[#This Row],[COD]],DATOS!$E$3:$F$27,2,0)</f>
        <v>TIBURON</v>
      </c>
      <c r="I1241" s="9" t="str">
        <f>RIGHT(TablaCosechas[[#This Row],[SECTOR/PISCINA]],2)</f>
        <v>19</v>
      </c>
      <c r="J1241" s="9" t="str">
        <f>VLOOKUP(TablaCosechas[[#This Row],[COD]],Tabla7[#All],4,0)</f>
        <v>ALFONSO GRUNAUER</v>
      </c>
      <c r="K1241" s="179">
        <f>(TablaCosechas[[#This Row],[libras planta]]*454)/M1241</f>
        <v>43501.394945848369</v>
      </c>
      <c r="L1241" s="215">
        <v>2654.16</v>
      </c>
      <c r="M1241" s="19">
        <v>27.7</v>
      </c>
      <c r="N1241" s="9" t="str">
        <f>UPPER(TEXT(TablaCosechas[[#This Row],[COSECHA]],"MMMM"))</f>
        <v>FEBRERO</v>
      </c>
      <c r="O1241" s="9" t="str">
        <f>IF(A1241="DO 29","BAP",IF(A1241="RO 14","BAP",(VLOOKUP(TablaCosechas[[#This Row],[COD]],Tabla7[[CODIGO]:[CERTIFICACION]],3,0))))</f>
        <v>ASC</v>
      </c>
      <c r="P1241" s="180">
        <f>+L1241-E1241</f>
        <v>104.15999999999985</v>
      </c>
      <c r="Q1241" s="181">
        <f>+M1241-F1241</f>
        <v>2.6999999999999993</v>
      </c>
      <c r="R1241" s="9"/>
    </row>
    <row r="1242" spans="1:18" x14ac:dyDescent="0.25">
      <c r="A1242" s="9" t="s">
        <v>112</v>
      </c>
      <c r="B1242" s="9">
        <f>ROW() - ROW(TablaCosechas[[#Headers],[ID]]) - 4</f>
        <v>1237</v>
      </c>
      <c r="C1242" s="9" t="str">
        <f>LEFT(A1242,2)</f>
        <v>TI</v>
      </c>
      <c r="D1242" s="182" t="s">
        <v>367</v>
      </c>
      <c r="E1242" s="178">
        <v>4000</v>
      </c>
      <c r="F1242" s="19">
        <v>25</v>
      </c>
      <c r="G1242" s="195">
        <v>46081</v>
      </c>
      <c r="H1242" s="9" t="str">
        <f>VLOOKUP(TablaCosechas[[#This Row],[COD]],DATOS!$E$3:$F$27,2,0)</f>
        <v>TIBURON</v>
      </c>
      <c r="I1242" s="9" t="str">
        <f>RIGHT(TablaCosechas[[#This Row],[SECTOR/PISCINA]],2)</f>
        <v>17</v>
      </c>
      <c r="J1242" s="9" t="str">
        <f>VLOOKUP(TablaCosechas[[#This Row],[COD]],Tabla7[#All],4,0)</f>
        <v>ALFONSO GRUNAUER</v>
      </c>
      <c r="K1242" s="179">
        <f>(TablaCosechas[[#This Row],[libras planta]]*454)/M1242</f>
        <v>70058.081513828249</v>
      </c>
      <c r="L1242" s="215">
        <v>4240.5200000000004</v>
      </c>
      <c r="M1242" s="19">
        <v>27.48</v>
      </c>
      <c r="N1242" s="9" t="str">
        <f>UPPER(TEXT(TablaCosechas[[#This Row],[COSECHA]],"MMMM"))</f>
        <v>FEBRERO</v>
      </c>
      <c r="O1242" s="9" t="str">
        <f>IF(A1242="DO 29","BAP",IF(A1242="RO 14","BAP",(VLOOKUP(TablaCosechas[[#This Row],[COD]],Tabla7[[CODIGO]:[CERTIFICACION]],3,0))))</f>
        <v>ASC</v>
      </c>
      <c r="P1242" s="180">
        <f>+L1242-E1242</f>
        <v>240.52000000000044</v>
      </c>
      <c r="Q1242" s="181">
        <f>+M1242-F1242</f>
        <v>2.4800000000000004</v>
      </c>
      <c r="R1242" s="9"/>
    </row>
    <row r="1243" spans="1:18" x14ac:dyDescent="0.25">
      <c r="A1243" s="9" t="s">
        <v>268</v>
      </c>
      <c r="B1243" s="9">
        <f>ROW() - ROW(TablaCosechas[[#Headers],[ID]]) - 4</f>
        <v>1238</v>
      </c>
      <c r="C1243" s="9" t="str">
        <f>LEFT(A1243,2)</f>
        <v>MA</v>
      </c>
      <c r="D1243" s="182" t="s">
        <v>367</v>
      </c>
      <c r="E1243" s="178">
        <v>12400</v>
      </c>
      <c r="F1243" s="19">
        <v>32</v>
      </c>
      <c r="G1243" s="195">
        <v>46081</v>
      </c>
      <c r="H1243" s="9" t="str">
        <f>VLOOKUP(TablaCosechas[[#This Row],[COD]],DATOS!$E$3:$F$27,2,0)</f>
        <v>MANTARRAYA</v>
      </c>
      <c r="I1243" s="9" t="str">
        <f>RIGHT(TablaCosechas[[#This Row],[SECTOR/PISCINA]],2)</f>
        <v>10</v>
      </c>
      <c r="J1243" s="9" t="str">
        <f>VLOOKUP(TablaCosechas[[#This Row],[COD]],Tabla7[#All],4,0)</f>
        <v>GUSTAVO CARRASCO</v>
      </c>
      <c r="K1243" s="179">
        <f>(TablaCosechas[[#This Row],[libras planta]]*454)/M1243</f>
        <v>151506.1390616167</v>
      </c>
      <c r="L1243" s="215">
        <v>11806.8</v>
      </c>
      <c r="M1243" s="19">
        <v>35.380000000000003</v>
      </c>
      <c r="N1243" s="9" t="str">
        <f>UPPER(TEXT(TablaCosechas[[#This Row],[COSECHA]],"MMMM"))</f>
        <v>FEBRERO</v>
      </c>
      <c r="O1243" s="9" t="str">
        <f>IF(A1243="DO 29","BAP",IF(A1243="RO 14","BAP",(VLOOKUP(TablaCosechas[[#This Row],[COD]],Tabla7[[CODIGO]:[CERTIFICACION]],3,0))))</f>
        <v>ASC</v>
      </c>
      <c r="P1243" s="180">
        <f>+L1243-E1243</f>
        <v>-593.20000000000073</v>
      </c>
      <c r="Q1243" s="181">
        <f>+M1243-F1243</f>
        <v>3.3800000000000026</v>
      </c>
      <c r="R1243" s="9"/>
    </row>
    <row r="1244" spans="1:18" x14ac:dyDescent="0.25">
      <c r="A1244" s="9" t="s">
        <v>318</v>
      </c>
      <c r="B1244" s="9">
        <f>ROW() - ROW(TablaCosechas[[#Headers],[ID]]) - 4</f>
        <v>1239</v>
      </c>
      <c r="C1244" s="9" t="str">
        <f>LEFT(A1244,2)</f>
        <v>GT</v>
      </c>
      <c r="D1244" s="182" t="s">
        <v>367</v>
      </c>
      <c r="E1244" s="178">
        <v>4700</v>
      </c>
      <c r="F1244" s="19">
        <v>18</v>
      </c>
      <c r="G1244" s="195">
        <v>46081</v>
      </c>
      <c r="H1244" s="9" t="str">
        <f>VLOOKUP(TablaCosechas[[#This Row],[COD]],DATOS!$E$3:$F$27,2,0)</f>
        <v>GUATO</v>
      </c>
      <c r="I1244" s="9" t="str">
        <f>RIGHT(TablaCosechas[[#This Row],[SECTOR/PISCINA]],2)</f>
        <v>11</v>
      </c>
      <c r="J1244" s="9" t="str">
        <f>VLOOKUP(TablaCosechas[[#This Row],[COD]],Tabla7[#All],4,0)</f>
        <v>JULIO SANTOS</v>
      </c>
      <c r="K1244" s="179">
        <f>(TablaCosechas[[#This Row],[libras planta]]*454)/M1244</f>
        <v>121325.75316455694</v>
      </c>
      <c r="L1244" s="215">
        <v>5066.82</v>
      </c>
      <c r="M1244" s="19">
        <v>18.96</v>
      </c>
      <c r="N1244" s="9" t="str">
        <f>UPPER(TEXT(TablaCosechas[[#This Row],[COSECHA]],"MMMM"))</f>
        <v>FEBRERO</v>
      </c>
      <c r="O1244" s="9" t="str">
        <f>IF(A1244="DO 29","BAP",IF(A1244="RO 14","BAP",(VLOOKUP(TablaCosechas[[#This Row],[COD]],Tabla7[[CODIGO]:[CERTIFICACION]],3,0))))</f>
        <v>CONVENCIONAL</v>
      </c>
      <c r="P1244" s="180">
        <f>+L1244-E1244</f>
        <v>366.81999999999971</v>
      </c>
      <c r="Q1244" s="181">
        <f>+M1244-F1244</f>
        <v>0.96000000000000085</v>
      </c>
      <c r="R1244" s="9"/>
    </row>
    <row r="1245" spans="1:18" x14ac:dyDescent="0.25">
      <c r="A1245" s="9" t="s">
        <v>143</v>
      </c>
      <c r="B1245" s="9">
        <f>ROW() - ROW(TablaCosechas[[#Headers],[ID]]) - 4</f>
        <v>1240</v>
      </c>
      <c r="C1245" s="9" t="str">
        <f>LEFT(A1245,2)</f>
        <v>TA</v>
      </c>
      <c r="D1245" s="182" t="s">
        <v>367</v>
      </c>
      <c r="E1245" s="178">
        <v>12000</v>
      </c>
      <c r="F1245" s="19">
        <v>25</v>
      </c>
      <c r="G1245" s="195">
        <v>46082</v>
      </c>
      <c r="H1245" s="9" t="str">
        <f>VLOOKUP(TablaCosechas[[#This Row],[COD]],DATOS!$E$3:$F$27,2,0)</f>
        <v>TAMBULERO</v>
      </c>
      <c r="I1245" s="9" t="str">
        <f>RIGHT(TablaCosechas[[#This Row],[SECTOR/PISCINA]],2)</f>
        <v>08</v>
      </c>
      <c r="J1245" s="9" t="str">
        <f>VLOOKUP(TablaCosechas[[#This Row],[COD]],Tabla7[#All],4,0)</f>
        <v>ALFONSO GRUNAUER</v>
      </c>
      <c r="K1245" s="179">
        <f>(TablaCosechas[[#This Row],[libras planta]]*454)/M1245</f>
        <v>197550.20434782607</v>
      </c>
      <c r="L1245" s="215">
        <v>12009.66</v>
      </c>
      <c r="M1245" s="19">
        <v>27.6</v>
      </c>
      <c r="N1245" s="9" t="str">
        <f>UPPER(TEXT(TablaCosechas[[#This Row],[COSECHA]],"MMMM"))</f>
        <v>MARZO</v>
      </c>
      <c r="O1245" s="9" t="str">
        <f>IF(A1245="DO 29","BAP",IF(A1245="RO 14","BAP",(VLOOKUP(TablaCosechas[[#This Row],[COD]],Tabla7[[CODIGO]:[CERTIFICACION]],3,0))))</f>
        <v>CONVENCIONAL</v>
      </c>
      <c r="P1245" s="180">
        <f>+L1245-E1245</f>
        <v>9.6599999999998545</v>
      </c>
      <c r="Q1245" s="181">
        <f>+M1245-F1245</f>
        <v>2.6000000000000014</v>
      </c>
      <c r="R1245" s="9"/>
    </row>
    <row r="1246" spans="1:18" x14ac:dyDescent="0.25">
      <c r="A1246" s="9" t="s">
        <v>131</v>
      </c>
      <c r="B1246" s="9">
        <f>ROW() - ROW(TablaCosechas[[#Headers],[ID]]) - 4</f>
        <v>1241</v>
      </c>
      <c r="C1246" s="9" t="str">
        <f>LEFT(A1246,2)</f>
        <v>RO</v>
      </c>
      <c r="D1246" s="182" t="s">
        <v>367</v>
      </c>
      <c r="E1246" s="178">
        <v>5100</v>
      </c>
      <c r="F1246" s="19">
        <v>19</v>
      </c>
      <c r="G1246" s="195">
        <v>46082</v>
      </c>
      <c r="H1246" s="9" t="str">
        <f>VLOOKUP(TablaCosechas[[#This Row],[COD]],DATOS!$E$3:$F$27,2,0)</f>
        <v>ROBALO</v>
      </c>
      <c r="I1246" s="9" t="str">
        <f>RIGHT(TablaCosechas[[#This Row],[SECTOR/PISCINA]],2)</f>
        <v>13</v>
      </c>
      <c r="J1246" s="9" t="str">
        <f>VLOOKUP(TablaCosechas[[#This Row],[COD]],Tabla7[#All],4,0)</f>
        <v>VICTOR QUINTANA</v>
      </c>
      <c r="K1246" s="179">
        <f>(TablaCosechas[[#This Row],[libras planta]]*454)/M1246</f>
        <v>131142.64100096247</v>
      </c>
      <c r="L1246" s="215">
        <v>6002.52</v>
      </c>
      <c r="M1246" s="19">
        <v>20.78</v>
      </c>
      <c r="N1246" s="9" t="str">
        <f>UPPER(TEXT(TablaCosechas[[#This Row],[COSECHA]],"MMMM"))</f>
        <v>MARZO</v>
      </c>
      <c r="O1246" s="9" t="str">
        <f>IF(A1246="DO 29","BAP",IF(A1246="RO 14","BAP",(VLOOKUP(TablaCosechas[[#This Row],[COD]],Tabla7[[CODIGO]:[CERTIFICACION]],3,0))))</f>
        <v>ASC</v>
      </c>
      <c r="P1246" s="180">
        <f>+L1246-E1246</f>
        <v>902.52000000000044</v>
      </c>
      <c r="Q1246" s="181">
        <f>+M1246-F1246</f>
        <v>1.7800000000000011</v>
      </c>
      <c r="R1246" s="9"/>
    </row>
    <row r="1247" spans="1:18" x14ac:dyDescent="0.25">
      <c r="A1247" s="9" t="s">
        <v>304</v>
      </c>
      <c r="B1247" s="9">
        <f>ROW() - ROW(TablaCosechas[[#Headers],[ID]]) - 4</f>
        <v>1242</v>
      </c>
      <c r="C1247" s="9" t="str">
        <f>LEFT(A1247,2)</f>
        <v>PA</v>
      </c>
      <c r="D1247" s="182" t="s">
        <v>367</v>
      </c>
      <c r="E1247" s="178">
        <v>12400</v>
      </c>
      <c r="F1247" s="19">
        <v>26</v>
      </c>
      <c r="G1247" s="195">
        <v>46082</v>
      </c>
      <c r="H1247" s="9" t="str">
        <f>VLOOKUP(TablaCosechas[[#This Row],[COD]],DATOS!$E$3:$F$27,2,0)</f>
        <v>PAMPANO</v>
      </c>
      <c r="I1247" s="9" t="str">
        <f>RIGHT(TablaCosechas[[#This Row],[SECTOR/PISCINA]],2)</f>
        <v>06</v>
      </c>
      <c r="J1247" s="9" t="str">
        <f>VLOOKUP(TablaCosechas[[#This Row],[COD]],Tabla7[#All],4,0)</f>
        <v>GUSTAVO CARRASCO</v>
      </c>
      <c r="K1247" s="179">
        <f>(TablaCosechas[[#This Row],[libras planta]]*454)/M1247</f>
        <v>212452.07890855457</v>
      </c>
      <c r="L1247" s="215">
        <v>12690.97</v>
      </c>
      <c r="M1247" s="19">
        <v>27.12</v>
      </c>
      <c r="N1247" s="9" t="str">
        <f>UPPER(TEXT(TablaCosechas[[#This Row],[COSECHA]],"MMMM"))</f>
        <v>MARZO</v>
      </c>
      <c r="O1247" s="9" t="str">
        <f>IF(A1247="DO 29","BAP",IF(A1247="RO 14","BAP",(VLOOKUP(TablaCosechas[[#This Row],[COD]],Tabla7[[CODIGO]:[CERTIFICACION]],3,0))))</f>
        <v>ASC</v>
      </c>
      <c r="P1247" s="180">
        <f>+L1247-E1247</f>
        <v>290.96999999999935</v>
      </c>
      <c r="Q1247" s="181">
        <f>+M1247-F1247</f>
        <v>1.120000000000001</v>
      </c>
      <c r="R1247" s="9"/>
    </row>
    <row r="1248" spans="1:18" x14ac:dyDescent="0.25">
      <c r="A1248" s="9" t="s">
        <v>286</v>
      </c>
      <c r="B1248" s="9">
        <f>ROW() - ROW(TablaCosechas[[#Headers],[ID]]) - 4</f>
        <v>1243</v>
      </c>
      <c r="C1248" s="9" t="str">
        <f>LEFT(A1248,2)</f>
        <v>DO</v>
      </c>
      <c r="D1248" s="182" t="s">
        <v>367</v>
      </c>
      <c r="E1248" s="178">
        <v>11600</v>
      </c>
      <c r="F1248" s="19">
        <v>23</v>
      </c>
      <c r="G1248" s="195">
        <v>46082</v>
      </c>
      <c r="H1248" s="9" t="str">
        <f>VLOOKUP(TablaCosechas[[#This Row],[COD]],DATOS!$E$3:$F$27,2,0)</f>
        <v>DORADO</v>
      </c>
      <c r="I1248" s="9" t="str">
        <f>RIGHT(TablaCosechas[[#This Row],[SECTOR/PISCINA]],2)</f>
        <v>29</v>
      </c>
      <c r="J1248" s="9" t="str">
        <f>VLOOKUP(TablaCosechas[[#This Row],[COD]],Tabla7[#All],4,0)</f>
        <v>JOSE CEDEÑO</v>
      </c>
      <c r="K1248" s="179">
        <f>(TablaCosechas[[#This Row],[libras planta]]*454)/M1248</f>
        <v>210704.52858261552</v>
      </c>
      <c r="L1248" s="215">
        <v>11853.29</v>
      </c>
      <c r="M1248" s="19">
        <v>25.54</v>
      </c>
      <c r="N1248" s="9" t="str">
        <f>UPPER(TEXT(TablaCosechas[[#This Row],[COSECHA]],"MMMM"))</f>
        <v>MARZO</v>
      </c>
      <c r="O1248" s="9" t="str">
        <f>IF(A1248="DO 29","BAP",IF(A1248="RO 14","BAP",(VLOOKUP(TablaCosechas[[#This Row],[COD]],Tabla7[[CODIGO]:[CERTIFICACION]],3,0))))</f>
        <v>BAP</v>
      </c>
      <c r="P1248" s="180">
        <f>+L1248-E1248</f>
        <v>253.29000000000087</v>
      </c>
      <c r="Q1248" s="181">
        <f>+M1248-F1248</f>
        <v>2.5399999999999991</v>
      </c>
      <c r="R1248" s="9"/>
    </row>
    <row r="1249" spans="1:18" x14ac:dyDescent="0.25">
      <c r="A1249" s="9" t="s">
        <v>302</v>
      </c>
      <c r="B1249" s="9">
        <f>ROW() - ROW(TablaCosechas[[#Headers],[ID]]) - 4</f>
        <v>1244</v>
      </c>
      <c r="C1249" s="9" t="str">
        <f>LEFT(A1249,2)</f>
        <v>DE</v>
      </c>
      <c r="D1249" s="182" t="s">
        <v>367</v>
      </c>
      <c r="E1249" s="178">
        <v>6000</v>
      </c>
      <c r="F1249" s="19">
        <v>21</v>
      </c>
      <c r="G1249" s="195">
        <v>46082</v>
      </c>
      <c r="H1249" s="9" t="str">
        <f>VLOOKUP(TablaCosechas[[#This Row],[COD]],DATOS!$E$3:$F$27,2,0)</f>
        <v>DELFIN</v>
      </c>
      <c r="I1249" s="9" t="str">
        <f>RIGHT(TablaCosechas[[#This Row],[SECTOR/PISCINA]],2)</f>
        <v>23</v>
      </c>
      <c r="J1249" s="9" t="str">
        <f>VLOOKUP(TablaCosechas[[#This Row],[COD]],Tabla7[#All],4,0)</f>
        <v>CARLOS FLORES</v>
      </c>
      <c r="K1249" s="179">
        <f>(TablaCosechas[[#This Row],[libras planta]]*454)/M1249</f>
        <v>117411.65165675446</v>
      </c>
      <c r="L1249" s="215">
        <v>6087.82</v>
      </c>
      <c r="M1249" s="19">
        <v>23.54</v>
      </c>
      <c r="N1249" s="9" t="str">
        <f>UPPER(TEXT(TablaCosechas[[#This Row],[COSECHA]],"MMMM"))</f>
        <v>MARZO</v>
      </c>
      <c r="O1249" s="9" t="str">
        <f>IF(A1249="DO 29","BAP",IF(A1249="RO 14","BAP",(VLOOKUP(TablaCosechas[[#This Row],[COD]],Tabla7[[CODIGO]:[CERTIFICACION]],3,0))))</f>
        <v>CONVENCIONAL</v>
      </c>
      <c r="P1249" s="180">
        <f>+L1249-E1249</f>
        <v>87.819999999999709</v>
      </c>
      <c r="Q1249" s="181">
        <f>+M1249-F1249</f>
        <v>2.5399999999999991</v>
      </c>
      <c r="R1249" s="9"/>
    </row>
    <row r="1250" spans="1:18" x14ac:dyDescent="0.25">
      <c r="A1250" s="9" t="s">
        <v>273</v>
      </c>
      <c r="B1250" s="9">
        <f>ROW() - ROW(TablaCosechas[[#Headers],[ID]]) - 4</f>
        <v>1245</v>
      </c>
      <c r="C1250" s="9" t="str">
        <f>LEFT(A1250,2)</f>
        <v>DE</v>
      </c>
      <c r="D1250" s="182" t="s">
        <v>367</v>
      </c>
      <c r="E1250" s="178">
        <v>4000</v>
      </c>
      <c r="F1250" s="19">
        <v>33</v>
      </c>
      <c r="G1250" s="195">
        <v>46082</v>
      </c>
      <c r="H1250" s="9" t="str">
        <f>VLOOKUP(TablaCosechas[[#This Row],[COD]],DATOS!$E$3:$F$27,2,0)</f>
        <v>DELFIN</v>
      </c>
      <c r="I1250" s="9" t="str">
        <f>RIGHT(TablaCosechas[[#This Row],[SECTOR/PISCINA]],2)</f>
        <v>16</v>
      </c>
      <c r="J1250" s="9" t="str">
        <f>VLOOKUP(TablaCosechas[[#This Row],[COD]],Tabla7[#All],4,0)</f>
        <v>CARLOS FLORES</v>
      </c>
      <c r="K1250" s="179">
        <f>(TablaCosechas[[#This Row],[libras planta]]*454)/M1250</f>
        <v>52937.107165109031</v>
      </c>
      <c r="L1250" s="215">
        <v>3742.91</v>
      </c>
      <c r="M1250" s="19">
        <v>32.1</v>
      </c>
      <c r="N1250" s="9" t="str">
        <f>UPPER(TEXT(TablaCosechas[[#This Row],[COSECHA]],"MMMM"))</f>
        <v>MARZO</v>
      </c>
      <c r="O1250" s="9" t="str">
        <f>IF(A1250="DO 29","BAP",IF(A1250="RO 14","BAP",(VLOOKUP(TablaCosechas[[#This Row],[COD]],Tabla7[[CODIGO]:[CERTIFICACION]],3,0))))</f>
        <v>CONVENCIONAL</v>
      </c>
      <c r="P1250" s="180">
        <f>+L1250-E1250</f>
        <v>-257.09000000000015</v>
      </c>
      <c r="Q1250" s="181">
        <f>+M1250-F1250</f>
        <v>-0.89999999999999858</v>
      </c>
      <c r="R1250" s="9"/>
    </row>
    <row r="1251" spans="1:18" x14ac:dyDescent="0.25">
      <c r="A1251" s="9" t="s">
        <v>16</v>
      </c>
      <c r="B1251" s="9">
        <f>ROW() - ROW(TablaCosechas[[#Headers],[ID]]) - 4</f>
        <v>1246</v>
      </c>
      <c r="C1251" s="9" t="str">
        <f>LEFT(A1251,2)</f>
        <v>CH</v>
      </c>
      <c r="D1251" s="182" t="s">
        <v>367</v>
      </c>
      <c r="E1251" s="178">
        <v>10100</v>
      </c>
      <c r="F1251" s="19">
        <v>18</v>
      </c>
      <c r="G1251" s="195">
        <v>46082</v>
      </c>
      <c r="H1251" s="9" t="str">
        <f>VLOOKUP(TablaCosechas[[#This Row],[COD]],DATOS!$E$3:$F$27,2,0)</f>
        <v>CHERNA</v>
      </c>
      <c r="I1251" s="9" t="str">
        <f>RIGHT(TablaCosechas[[#This Row],[SECTOR/PISCINA]],2)</f>
        <v>10</v>
      </c>
      <c r="J1251" s="9" t="str">
        <f>VLOOKUP(TablaCosechas[[#This Row],[COD]],Tabla7[#All],4,0)</f>
        <v>SANTIAGO OBRIEN</v>
      </c>
      <c r="K1251" s="179">
        <f>(TablaCosechas[[#This Row],[libras planta]]*454)/M1251</f>
        <v>249278.87420718817</v>
      </c>
      <c r="L1251" s="215">
        <v>10388.450000000001</v>
      </c>
      <c r="M1251" s="19">
        <v>18.920000000000002</v>
      </c>
      <c r="N1251" s="9" t="str">
        <f>UPPER(TEXT(TablaCosechas[[#This Row],[COSECHA]],"MMMM"))</f>
        <v>MARZO</v>
      </c>
      <c r="O1251" s="9" t="str">
        <f>IF(A1251="DO 29","BAP",IF(A1251="RO 14","BAP",(VLOOKUP(TablaCosechas[[#This Row],[COD]],Tabla7[[CODIGO]:[CERTIFICACION]],3,0))))</f>
        <v>ASC</v>
      </c>
      <c r="P1251" s="180">
        <f>+L1251-E1251</f>
        <v>288.45000000000073</v>
      </c>
      <c r="Q1251" s="181">
        <f>+M1251-F1251</f>
        <v>0.92000000000000171</v>
      </c>
      <c r="R1251" s="9"/>
    </row>
    <row r="1252" spans="1:18" x14ac:dyDescent="0.25">
      <c r="A1252" s="9" t="s">
        <v>258</v>
      </c>
      <c r="B1252" s="9">
        <f>ROW() - ROW(TablaCosechas[[#Headers],[ID]]) - 4</f>
        <v>1247</v>
      </c>
      <c r="C1252" s="9" t="str">
        <f>LEFT(A1252,2)</f>
        <v>TI</v>
      </c>
      <c r="D1252" s="182" t="s">
        <v>366</v>
      </c>
      <c r="E1252" s="178">
        <v>41600</v>
      </c>
      <c r="F1252" s="19">
        <v>34.5</v>
      </c>
      <c r="G1252" s="195">
        <v>46083</v>
      </c>
      <c r="H1252" s="9" t="str">
        <f>VLOOKUP(TablaCosechas[[#This Row],[COD]],DATOS!$E$3:$F$27,2,0)</f>
        <v>TIBURON</v>
      </c>
      <c r="I1252" s="9" t="str">
        <f>RIGHT(TablaCosechas[[#This Row],[SECTOR/PISCINA]],2)</f>
        <v>10</v>
      </c>
      <c r="J1252" s="9" t="str">
        <f>VLOOKUP(TablaCosechas[[#This Row],[COD]],Tabla7[#All],4,0)</f>
        <v>ALFONSO GRUNAUER</v>
      </c>
      <c r="K1252" s="179">
        <f>(TablaCosechas[[#This Row],[libras planta]]*454)/M1252</f>
        <v>596808.19351166766</v>
      </c>
      <c r="L1252" s="215">
        <v>46193.48</v>
      </c>
      <c r="M1252" s="19">
        <v>35.14</v>
      </c>
      <c r="N1252" s="9" t="str">
        <f>UPPER(TEXT(TablaCosechas[[#This Row],[COSECHA]],"MMMM"))</f>
        <v>MARZO</v>
      </c>
      <c r="O1252" s="9" t="str">
        <f>IF(A1252="DO 29","BAP",IF(A1252="RO 14","BAP",(VLOOKUP(TablaCosechas[[#This Row],[COD]],Tabla7[[CODIGO]:[CERTIFICACION]],3,0))))</f>
        <v>ASC</v>
      </c>
      <c r="P1252" s="180">
        <f>+L1252-E1252</f>
        <v>4593.4800000000032</v>
      </c>
      <c r="Q1252" s="181">
        <f>+M1252-F1252</f>
        <v>0.64000000000000057</v>
      </c>
      <c r="R1252" s="9"/>
    </row>
    <row r="1253" spans="1:18" x14ac:dyDescent="0.25">
      <c r="A1253" s="9" t="s">
        <v>298</v>
      </c>
      <c r="B1253" s="9">
        <f>ROW() - ROW(TablaCosechas[[#Headers],[ID]]) - 4</f>
        <v>1248</v>
      </c>
      <c r="C1253" s="9" t="str">
        <f>LEFT(A1253,2)</f>
        <v>PR</v>
      </c>
      <c r="D1253" s="182" t="s">
        <v>367</v>
      </c>
      <c r="E1253" s="178">
        <v>2700</v>
      </c>
      <c r="F1253" s="19">
        <v>16</v>
      </c>
      <c r="G1253" s="195">
        <v>46083</v>
      </c>
      <c r="H1253" s="9" t="str">
        <f>VLOOKUP(TablaCosechas[[#This Row],[COD]],DATOS!$E$3:$F$27,2,0)</f>
        <v>PARGO ROJO</v>
      </c>
      <c r="I1253" s="9" t="str">
        <f>RIGHT(TablaCosechas[[#This Row],[SECTOR/PISCINA]],2)</f>
        <v>19</v>
      </c>
      <c r="J1253" s="9" t="str">
        <f>VLOOKUP(TablaCosechas[[#This Row],[COD]],Tabla7[#All],4,0)</f>
        <v>WILMER TORRES</v>
      </c>
      <c r="K1253" s="179">
        <f>(TablaCosechas[[#This Row],[libras planta]]*454)/M1253</f>
        <v>60085.754832626124</v>
      </c>
      <c r="L1253" s="215">
        <v>2807.09</v>
      </c>
      <c r="M1253" s="19">
        <v>21.21</v>
      </c>
      <c r="N1253" s="9" t="str">
        <f>UPPER(TEXT(TablaCosechas[[#This Row],[COSECHA]],"MMMM"))</f>
        <v>MARZO</v>
      </c>
      <c r="O1253" s="9" t="str">
        <f>IF(A1253="DO 29","BAP",IF(A1253="RO 14","BAP",(VLOOKUP(TablaCosechas[[#This Row],[COD]],Tabla7[[CODIGO]:[CERTIFICACION]],3,0))))</f>
        <v>CONVENCIONAL</v>
      </c>
      <c r="P1253" s="180">
        <f>+L1253-E1253</f>
        <v>107.09000000000015</v>
      </c>
      <c r="Q1253" s="181">
        <f>+M1253-F1253</f>
        <v>5.2100000000000009</v>
      </c>
      <c r="R1253" s="9"/>
    </row>
    <row r="1254" spans="1:18" x14ac:dyDescent="0.25">
      <c r="A1254" s="9" t="s">
        <v>299</v>
      </c>
      <c r="B1254" s="9">
        <f>ROW() - ROW(TablaCosechas[[#Headers],[ID]]) - 4</f>
        <v>1249</v>
      </c>
      <c r="C1254" s="9" t="str">
        <f>LEFT(A1254,2)</f>
        <v>PR</v>
      </c>
      <c r="D1254" s="182" t="s">
        <v>367</v>
      </c>
      <c r="E1254" s="178">
        <v>7650</v>
      </c>
      <c r="F1254" s="19">
        <v>15</v>
      </c>
      <c r="G1254" s="195">
        <v>46083</v>
      </c>
      <c r="H1254" s="9" t="str">
        <f>VLOOKUP(TablaCosechas[[#This Row],[COD]],DATOS!$E$3:$F$27,2,0)</f>
        <v>PARGO ROJO</v>
      </c>
      <c r="I1254" s="9" t="str">
        <f>RIGHT(TablaCosechas[[#This Row],[SECTOR/PISCINA]],2)</f>
        <v>13</v>
      </c>
      <c r="J1254" s="9" t="str">
        <f>VLOOKUP(TablaCosechas[[#This Row],[COD]],Tabla7[#All],4,0)</f>
        <v>WILMER TORRES</v>
      </c>
      <c r="K1254" s="179">
        <f>(TablaCosechas[[#This Row],[libras planta]]*454)/M1254</f>
        <v>209752.57227488153</v>
      </c>
      <c r="L1254" s="215">
        <v>7798.73</v>
      </c>
      <c r="M1254" s="19">
        <v>16.88</v>
      </c>
      <c r="N1254" s="9" t="str">
        <f>UPPER(TEXT(TablaCosechas[[#This Row],[COSECHA]],"MMMM"))</f>
        <v>MARZO</v>
      </c>
      <c r="O1254" s="9" t="str">
        <f>IF(A1254="DO 29","BAP",IF(A1254="RO 14","BAP",(VLOOKUP(TablaCosechas[[#This Row],[COD]],Tabla7[[CODIGO]:[CERTIFICACION]],3,0))))</f>
        <v>CONVENCIONAL</v>
      </c>
      <c r="P1254" s="180">
        <f>+L1254-E1254</f>
        <v>148.72999999999956</v>
      </c>
      <c r="Q1254" s="181">
        <f>+M1254-F1254</f>
        <v>1.879999999999999</v>
      </c>
      <c r="R1254" s="9"/>
    </row>
    <row r="1255" spans="1:18" x14ac:dyDescent="0.25">
      <c r="A1255" s="9" t="s">
        <v>306</v>
      </c>
      <c r="B1255" s="9">
        <f>ROW() - ROW(TablaCosechas[[#Headers],[ID]]) - 4</f>
        <v>1250</v>
      </c>
      <c r="C1255" s="9" t="str">
        <f>LEFT(A1255,2)</f>
        <v>PA</v>
      </c>
      <c r="D1255" s="182" t="s">
        <v>367</v>
      </c>
      <c r="E1255" s="178">
        <v>10100</v>
      </c>
      <c r="F1255" s="19">
        <v>26</v>
      </c>
      <c r="G1255" s="195">
        <v>46083</v>
      </c>
      <c r="H1255" s="9" t="str">
        <f>VLOOKUP(TablaCosechas[[#This Row],[COD]],DATOS!$E$3:$F$27,2,0)</f>
        <v>PAMPANO</v>
      </c>
      <c r="I1255" s="9" t="str">
        <f>RIGHT(TablaCosechas[[#This Row],[SECTOR/PISCINA]],2)</f>
        <v>17</v>
      </c>
      <c r="J1255" s="9" t="str">
        <f>VLOOKUP(TablaCosechas[[#This Row],[COD]],Tabla7[#All],4,0)</f>
        <v>GUSTAVO CARRASCO</v>
      </c>
      <c r="K1255" s="179">
        <f>(TablaCosechas[[#This Row],[libras planta]]*454)/M1255</f>
        <v>151057.38163265307</v>
      </c>
      <c r="L1255" s="215">
        <v>9782.1299999999992</v>
      </c>
      <c r="M1255" s="19">
        <v>29.4</v>
      </c>
      <c r="N1255" s="9" t="str">
        <f>UPPER(TEXT(TablaCosechas[[#This Row],[COSECHA]],"MMMM"))</f>
        <v>MARZO</v>
      </c>
      <c r="O1255" s="9" t="str">
        <f>IF(A1255="DO 29","BAP",IF(A1255="RO 14","BAP",(VLOOKUP(TablaCosechas[[#This Row],[COD]],Tabla7[[CODIGO]:[CERTIFICACION]],3,0))))</f>
        <v>ASC</v>
      </c>
      <c r="P1255" s="180">
        <f>+L1255-E1255</f>
        <v>-317.8700000000008</v>
      </c>
      <c r="Q1255" s="181">
        <f>+M1255-F1255</f>
        <v>3.3999999999999986</v>
      </c>
      <c r="R1255" s="9"/>
    </row>
    <row r="1256" spans="1:18" x14ac:dyDescent="0.25">
      <c r="A1256" s="9" t="s">
        <v>331</v>
      </c>
      <c r="B1256" s="9">
        <f>ROW() - ROW(TablaCosechas[[#Headers],[ID]]) - 4</f>
        <v>1251</v>
      </c>
      <c r="C1256" s="9" t="str">
        <f>LEFT(A1256,2)</f>
        <v>DO</v>
      </c>
      <c r="D1256" s="182" t="s">
        <v>367</v>
      </c>
      <c r="E1256" s="178">
        <v>20100</v>
      </c>
      <c r="F1256" s="19">
        <v>20</v>
      </c>
      <c r="G1256" s="195">
        <v>46083</v>
      </c>
      <c r="H1256" s="9" t="str">
        <f>VLOOKUP(TablaCosechas[[#This Row],[COD]],DATOS!$E$3:$F$27,2,0)</f>
        <v>DORADO</v>
      </c>
      <c r="I1256" s="9" t="str">
        <f>RIGHT(TablaCosechas[[#This Row],[SECTOR/PISCINA]],2)</f>
        <v>25</v>
      </c>
      <c r="J1256" s="9" t="str">
        <f>VLOOKUP(TablaCosechas[[#This Row],[COD]],Tabla7[#All],4,0)</f>
        <v>JOSE CEDEÑO</v>
      </c>
      <c r="K1256" s="179">
        <f>(TablaCosechas[[#This Row],[libras planta]]*454)/M1256</f>
        <v>449575.93649373879</v>
      </c>
      <c r="L1256" s="215">
        <v>22142.11</v>
      </c>
      <c r="M1256" s="19">
        <v>22.36</v>
      </c>
      <c r="N1256" s="9" t="str">
        <f>UPPER(TEXT(TablaCosechas[[#This Row],[COSECHA]],"MMMM"))</f>
        <v>MARZO</v>
      </c>
      <c r="O1256" s="9" t="str">
        <f>IF(A1256="DO 29","BAP",IF(A1256="RO 14","BAP",(VLOOKUP(TablaCosechas[[#This Row],[COD]],Tabla7[[CODIGO]:[CERTIFICACION]],3,0))))</f>
        <v>ASC</v>
      </c>
      <c r="P1256" s="180">
        <f>+L1256-E1256</f>
        <v>2042.1100000000006</v>
      </c>
      <c r="Q1256" s="181">
        <f>+M1256-F1256</f>
        <v>2.3599999999999994</v>
      </c>
      <c r="R1256" s="9"/>
    </row>
    <row r="1257" spans="1:18" x14ac:dyDescent="0.25">
      <c r="A1257" s="9" t="s">
        <v>20</v>
      </c>
      <c r="B1257" s="9">
        <f>ROW() - ROW(TablaCosechas[[#Headers],[ID]]) - 4</f>
        <v>1252</v>
      </c>
      <c r="C1257" s="9" t="str">
        <f>LEFT(A1257,2)</f>
        <v>CH</v>
      </c>
      <c r="D1257" s="182" t="s">
        <v>367</v>
      </c>
      <c r="E1257" s="178">
        <v>6400</v>
      </c>
      <c r="F1257" s="19">
        <v>18</v>
      </c>
      <c r="G1257" s="195">
        <v>46083</v>
      </c>
      <c r="H1257" s="9" t="str">
        <f>VLOOKUP(TablaCosechas[[#This Row],[COD]],DATOS!$E$3:$F$27,2,0)</f>
        <v>CHERNA</v>
      </c>
      <c r="I1257" s="9" t="str">
        <f>RIGHT(TablaCosechas[[#This Row],[SECTOR/PISCINA]],2)</f>
        <v>14</v>
      </c>
      <c r="J1257" s="9" t="str">
        <f>VLOOKUP(TablaCosechas[[#This Row],[COD]],Tabla7[#All],4,0)</f>
        <v>SANTIAGO OBRIEN</v>
      </c>
      <c r="K1257" s="179">
        <f>(TablaCosechas[[#This Row],[libras planta]]*454)/M1257</f>
        <v>180588.43778801843</v>
      </c>
      <c r="L1257" s="215">
        <v>6905.32</v>
      </c>
      <c r="M1257" s="19">
        <v>17.36</v>
      </c>
      <c r="N1257" s="9" t="str">
        <f>UPPER(TEXT(TablaCosechas[[#This Row],[COSECHA]],"MMMM"))</f>
        <v>MARZO</v>
      </c>
      <c r="O1257" s="9" t="str">
        <f>IF(A1257="DO 29","BAP",IF(A1257="RO 14","BAP",(VLOOKUP(TablaCosechas[[#This Row],[COD]],Tabla7[[CODIGO]:[CERTIFICACION]],3,0))))</f>
        <v>ASC</v>
      </c>
      <c r="P1257" s="180">
        <f>+L1257-E1257</f>
        <v>505.31999999999971</v>
      </c>
      <c r="Q1257" s="181">
        <f>+M1257-F1257</f>
        <v>-0.64000000000000057</v>
      </c>
      <c r="R1257" s="9"/>
    </row>
    <row r="1258" spans="1:18" x14ac:dyDescent="0.25">
      <c r="A1258" s="9" t="s">
        <v>110</v>
      </c>
      <c r="B1258" s="9">
        <f>ROW() - ROW(TablaCosechas[[#Headers],[ID]]) - 4</f>
        <v>1253</v>
      </c>
      <c r="C1258" s="9" t="str">
        <f>LEFT(A1258,2)</f>
        <v>CA</v>
      </c>
      <c r="D1258" s="182" t="s">
        <v>367</v>
      </c>
      <c r="E1258" s="178">
        <v>5500</v>
      </c>
      <c r="F1258" s="19">
        <v>19</v>
      </c>
      <c r="G1258" s="195">
        <v>46083</v>
      </c>
      <c r="H1258" s="9" t="str">
        <f>VLOOKUP(TablaCosechas[[#This Row],[COD]],DATOS!$E$3:$F$27,2,0)</f>
        <v>CATANUDA</v>
      </c>
      <c r="I1258" s="9" t="str">
        <f>RIGHT(TablaCosechas[[#This Row],[SECTOR/PISCINA]],2)</f>
        <v>17</v>
      </c>
      <c r="J1258" s="9" t="str">
        <f>VLOOKUP(TablaCosechas[[#This Row],[COD]],Tabla7[#All],4,0)</f>
        <v>VICTOR QUINTANA</v>
      </c>
      <c r="K1258" s="179">
        <f>(TablaCosechas[[#This Row],[libras planta]]*454)/M1258</f>
        <v>130497.97619047618</v>
      </c>
      <c r="L1258" s="215">
        <v>6036.25</v>
      </c>
      <c r="M1258" s="19">
        <v>21</v>
      </c>
      <c r="N1258" s="9" t="str">
        <f>UPPER(TEXT(TablaCosechas[[#This Row],[COSECHA]],"MMMM"))</f>
        <v>MARZO</v>
      </c>
      <c r="O1258" s="9" t="str">
        <f>IF(A1258="DO 29","BAP",IF(A1258="RO 14","BAP",(VLOOKUP(TablaCosechas[[#This Row],[COD]],Tabla7[[CODIGO]:[CERTIFICACION]],3,0))))</f>
        <v>ASC</v>
      </c>
      <c r="P1258" s="180">
        <f>+L1258-E1258</f>
        <v>536.25</v>
      </c>
      <c r="Q1258" s="49">
        <f>+M1258-F1258</f>
        <v>2</v>
      </c>
      <c r="R1258" s="9"/>
    </row>
    <row r="1259" spans="1:18" x14ac:dyDescent="0.25">
      <c r="A1259" s="9" t="s">
        <v>330</v>
      </c>
      <c r="B1259" s="9">
        <f>ROW() - ROW(TablaCosechas[[#Headers],[ID]]) - 4</f>
        <v>1254</v>
      </c>
      <c r="C1259" s="9" t="str">
        <f>LEFT(A1259,2)</f>
        <v>WA</v>
      </c>
      <c r="D1259" s="182" t="s">
        <v>367</v>
      </c>
      <c r="E1259" s="178">
        <v>19550</v>
      </c>
      <c r="F1259" s="19">
        <v>18</v>
      </c>
      <c r="G1259" s="195">
        <v>46084</v>
      </c>
      <c r="H1259" s="9" t="str">
        <f>VLOOKUP(TablaCosechas[[#This Row],[COD]],DATOS!$E$3:$F$27,2,0)</f>
        <v>WAHOO</v>
      </c>
      <c r="I1259" s="9" t="str">
        <f>RIGHT(TablaCosechas[[#This Row],[SECTOR/PISCINA]],2)</f>
        <v>38</v>
      </c>
      <c r="J1259" s="9" t="str">
        <f>VLOOKUP(TablaCosechas[[#This Row],[COD]],Tabla7[#All],4,0)</f>
        <v>JUNIOR ESQUIVEL</v>
      </c>
      <c r="K1259" s="179">
        <f>(TablaCosechas[[#This Row],[libras planta]]*454)/M1259</f>
        <v>478253.76770833333</v>
      </c>
      <c r="L1259" s="174">
        <v>20225.71</v>
      </c>
      <c r="M1259" s="19">
        <v>19.2</v>
      </c>
      <c r="N1259" s="9" t="str">
        <f>UPPER(TEXT(TablaCosechas[[#This Row],[COSECHA]],"MMMM"))</f>
        <v>MARZO</v>
      </c>
      <c r="O1259" s="9" t="str">
        <f>IF(A1259="DO 29","BAP",IF(A1259="RO 14","BAP",(VLOOKUP(TablaCosechas[[#This Row],[COD]],Tabla7[[CODIGO]:[CERTIFICACION]],3,0))))</f>
        <v>CONVENCIONAL</v>
      </c>
      <c r="P1259" s="180">
        <f>+L1259-E1259</f>
        <v>675.70999999999913</v>
      </c>
      <c r="Q1259" s="49">
        <f>+M1259-F1259</f>
        <v>1.1999999999999993</v>
      </c>
      <c r="R1259" s="9"/>
    </row>
    <row r="1260" spans="1:18" x14ac:dyDescent="0.25">
      <c r="A1260" s="9" t="s">
        <v>118</v>
      </c>
      <c r="B1260" s="9">
        <f>ROW() - ROW(TablaCosechas[[#Headers],[ID]]) - 4</f>
        <v>1255</v>
      </c>
      <c r="C1260" s="9" t="str">
        <f>LEFT(A1260,2)</f>
        <v>TI</v>
      </c>
      <c r="D1260" s="182" t="s">
        <v>367</v>
      </c>
      <c r="E1260" s="178">
        <v>9350</v>
      </c>
      <c r="F1260" s="19">
        <v>20</v>
      </c>
      <c r="G1260" s="195">
        <v>46084</v>
      </c>
      <c r="H1260" s="9" t="str">
        <f>VLOOKUP(TablaCosechas[[#This Row],[COD]],DATOS!$E$3:$F$27,2,0)</f>
        <v>TIBURON</v>
      </c>
      <c r="I1260" s="9" t="str">
        <f>RIGHT(TablaCosechas[[#This Row],[SECTOR/PISCINA]],2)</f>
        <v>06</v>
      </c>
      <c r="J1260" s="9" t="str">
        <f>VLOOKUP(TablaCosechas[[#This Row],[COD]],Tabla7[#All],4,0)</f>
        <v>ALFONSO GRUNAUER</v>
      </c>
      <c r="K1260" s="179">
        <f>(TablaCosechas[[#This Row],[libras planta]]*454)/M1260</f>
        <v>189346.93345829425</v>
      </c>
      <c r="L1260" s="215">
        <v>8900.14</v>
      </c>
      <c r="M1260" s="19">
        <v>21.34</v>
      </c>
      <c r="N1260" s="9" t="str">
        <f>UPPER(TEXT(TablaCosechas[[#This Row],[COSECHA]],"MMMM"))</f>
        <v>MARZO</v>
      </c>
      <c r="O1260" s="9" t="str">
        <f>IF(A1260="DO 29","BAP",IF(A1260="RO 14","BAP",(VLOOKUP(TablaCosechas[[#This Row],[COD]],Tabla7[[CODIGO]:[CERTIFICACION]],3,0))))</f>
        <v>ASC</v>
      </c>
      <c r="P1260" s="180">
        <f>+L1260-E1260</f>
        <v>-449.86000000000058</v>
      </c>
      <c r="Q1260" s="49">
        <f>+M1260-F1260</f>
        <v>1.3399999999999999</v>
      </c>
      <c r="R1260" s="9"/>
    </row>
    <row r="1261" spans="1:18" x14ac:dyDescent="0.25">
      <c r="A1261" s="9" t="s">
        <v>135</v>
      </c>
      <c r="B1261" s="9">
        <f>ROW() - ROW(TablaCosechas[[#Headers],[ID]]) - 4</f>
        <v>1256</v>
      </c>
      <c r="C1261" s="9" t="str">
        <f>LEFT(A1261,2)</f>
        <v>RO</v>
      </c>
      <c r="D1261" s="182" t="s">
        <v>367</v>
      </c>
      <c r="E1261" s="178">
        <v>4000</v>
      </c>
      <c r="F1261" s="19">
        <v>20</v>
      </c>
      <c r="G1261" s="195">
        <v>46084</v>
      </c>
      <c r="H1261" s="9" t="str">
        <f>VLOOKUP(TablaCosechas[[#This Row],[COD]],DATOS!$E$3:$F$27,2,0)</f>
        <v>ROBALO</v>
      </c>
      <c r="I1261" s="9" t="str">
        <f>RIGHT(TablaCosechas[[#This Row],[SECTOR/PISCINA]],2)</f>
        <v>12</v>
      </c>
      <c r="J1261" s="9" t="str">
        <f>VLOOKUP(TablaCosechas[[#This Row],[COD]],Tabla7[#All],4,0)</f>
        <v>VICTOR QUINTANA</v>
      </c>
      <c r="K1261" s="179">
        <f>(TablaCosechas[[#This Row],[libras planta]]*454)/M1261</f>
        <v>88614.50653879685</v>
      </c>
      <c r="L1261" s="215">
        <v>4477.57</v>
      </c>
      <c r="M1261" s="19">
        <v>22.94</v>
      </c>
      <c r="N1261" s="9" t="str">
        <f>UPPER(TEXT(TablaCosechas[[#This Row],[COSECHA]],"MMMM"))</f>
        <v>MARZO</v>
      </c>
      <c r="O1261" s="9" t="str">
        <f>IF(A1261="DO 29","BAP",IF(A1261="RO 14","BAP",(VLOOKUP(TablaCosechas[[#This Row],[COD]],Tabla7[[CODIGO]:[CERTIFICACION]],3,0))))</f>
        <v>ASC</v>
      </c>
      <c r="P1261" s="180">
        <f>+L1261-E1261</f>
        <v>477.56999999999971</v>
      </c>
      <c r="Q1261" s="49">
        <f>+M1261-F1261</f>
        <v>2.9400000000000013</v>
      </c>
      <c r="R1261" s="9"/>
    </row>
    <row r="1262" spans="1:18" x14ac:dyDescent="0.25">
      <c r="A1262" s="9" t="s">
        <v>261</v>
      </c>
      <c r="B1262" s="9">
        <f>ROW() - ROW(TablaCosechas[[#Headers],[ID]]) - 4</f>
        <v>1257</v>
      </c>
      <c r="C1262" s="9" t="str">
        <f>LEFT(A1262,2)</f>
        <v>PR</v>
      </c>
      <c r="D1262" s="182" t="s">
        <v>366</v>
      </c>
      <c r="E1262" s="178">
        <v>8000</v>
      </c>
      <c r="F1262" s="19">
        <v>22</v>
      </c>
      <c r="G1262" s="195">
        <v>46084</v>
      </c>
      <c r="H1262" s="9" t="str">
        <f>VLOOKUP(TablaCosechas[[#This Row],[COD]],DATOS!$E$3:$F$27,2,0)</f>
        <v>PARGO ROJO</v>
      </c>
      <c r="I1262" s="9" t="str">
        <f>RIGHT(TablaCosechas[[#This Row],[SECTOR/PISCINA]],2)</f>
        <v>12</v>
      </c>
      <c r="J1262" s="9" t="str">
        <f>VLOOKUP(TablaCosechas[[#This Row],[COD]],Tabla7[#All],4,0)</f>
        <v>WILMER TORRES</v>
      </c>
      <c r="K1262" s="179">
        <f>(TablaCosechas[[#This Row],[libras planta]]*454)/M1262</f>
        <v>169208.27502034177</v>
      </c>
      <c r="L1262" s="215">
        <v>9161.1</v>
      </c>
      <c r="M1262" s="19">
        <v>24.58</v>
      </c>
      <c r="N1262" s="9" t="str">
        <f>UPPER(TEXT(TablaCosechas[[#This Row],[COSECHA]],"MMMM"))</f>
        <v>MARZO</v>
      </c>
      <c r="O1262" s="9" t="str">
        <f>IF(A1262="DO 29","BAP",IF(A1262="RO 14","BAP",(VLOOKUP(TablaCosechas[[#This Row],[COD]],Tabla7[[CODIGO]:[CERTIFICACION]],3,0))))</f>
        <v>CONVENCIONAL</v>
      </c>
      <c r="P1262" s="180">
        <f>+L1262-E1262</f>
        <v>1161.1000000000004</v>
      </c>
      <c r="Q1262" s="49">
        <f>+M1262-F1262</f>
        <v>2.5799999999999983</v>
      </c>
      <c r="R1262" s="9"/>
    </row>
    <row r="1263" spans="1:18" x14ac:dyDescent="0.25">
      <c r="A1263" s="9" t="s">
        <v>259</v>
      </c>
      <c r="B1263" s="9">
        <f>ROW() - ROW(TablaCosechas[[#Headers],[ID]]) - 4</f>
        <v>1258</v>
      </c>
      <c r="C1263" s="9" t="str">
        <f>LEFT(A1263,2)</f>
        <v>PA</v>
      </c>
      <c r="D1263" s="182" t="s">
        <v>366</v>
      </c>
      <c r="E1263" s="178">
        <v>18000</v>
      </c>
      <c r="F1263" s="19">
        <v>30</v>
      </c>
      <c r="G1263" s="195">
        <v>46084</v>
      </c>
      <c r="H1263" s="9" t="str">
        <f>VLOOKUP(TablaCosechas[[#This Row],[COD]],DATOS!$E$3:$F$27,2,0)</f>
        <v>PAMPANO</v>
      </c>
      <c r="I1263" s="9" t="str">
        <f>RIGHT(TablaCosechas[[#This Row],[SECTOR/PISCINA]],2)</f>
        <v>19</v>
      </c>
      <c r="J1263" s="9" t="str">
        <f>VLOOKUP(TablaCosechas[[#This Row],[COD]],Tabla7[#All],4,0)</f>
        <v>GUSTAVO CARRASCO</v>
      </c>
      <c r="K1263" s="179">
        <f>(TablaCosechas[[#This Row],[libras planta]]*454)/M1263</f>
        <v>272439.0568288854</v>
      </c>
      <c r="L1263" s="215">
        <v>19112.740000000002</v>
      </c>
      <c r="M1263" s="19">
        <v>31.85</v>
      </c>
      <c r="N1263" s="9" t="str">
        <f>UPPER(TEXT(TablaCosechas[[#This Row],[COSECHA]],"MMMM"))</f>
        <v>MARZO</v>
      </c>
      <c r="O1263" s="9" t="str">
        <f>IF(A1263="DO 29","BAP",IF(A1263="RO 14","BAP",(VLOOKUP(TablaCosechas[[#This Row],[COD]],Tabla7[[CODIGO]:[CERTIFICACION]],3,0))))</f>
        <v>ASC</v>
      </c>
      <c r="P1263" s="180">
        <f>+L1263-E1263</f>
        <v>1112.7400000000016</v>
      </c>
      <c r="Q1263" s="49">
        <f>+M1263-F1263</f>
        <v>1.8500000000000014</v>
      </c>
      <c r="R1263" s="9"/>
    </row>
    <row r="1264" spans="1:18" x14ac:dyDescent="0.25">
      <c r="A1264" s="9" t="s">
        <v>132</v>
      </c>
      <c r="B1264" s="9">
        <f>ROW() - ROW(TablaCosechas[[#Headers],[ID]]) - 4</f>
        <v>1259</v>
      </c>
      <c r="C1264" s="9" t="str">
        <f>LEFT(A1264,2)</f>
        <v>DO</v>
      </c>
      <c r="D1264" s="182" t="s">
        <v>367</v>
      </c>
      <c r="E1264" s="178">
        <v>11200</v>
      </c>
      <c r="F1264" s="19">
        <v>18</v>
      </c>
      <c r="G1264" s="195">
        <v>46084</v>
      </c>
      <c r="H1264" s="9" t="str">
        <f>VLOOKUP(TablaCosechas[[#This Row],[COD]],DATOS!$E$3:$F$27,2,0)</f>
        <v>DORADO</v>
      </c>
      <c r="I1264" s="9" t="str">
        <f>RIGHT(TablaCosechas[[#This Row],[SECTOR/PISCINA]],2)</f>
        <v>28</v>
      </c>
      <c r="J1264" s="9" t="str">
        <f>VLOOKUP(TablaCosechas[[#This Row],[COD]],Tabla7[#All],4,0)</f>
        <v>JOSE CEDEÑO</v>
      </c>
      <c r="K1264" s="179">
        <f>(TablaCosechas[[#This Row],[libras planta]]*454)/M1264</f>
        <v>285695.47929606627</v>
      </c>
      <c r="L1264" s="215">
        <v>12157.79</v>
      </c>
      <c r="M1264" s="19">
        <v>19.32</v>
      </c>
      <c r="N1264" s="9" t="str">
        <f>UPPER(TEXT(TablaCosechas[[#This Row],[COSECHA]],"MMMM"))</f>
        <v>MARZO</v>
      </c>
      <c r="O1264" s="9" t="str">
        <f>IF(A1264="DO 29","BAP",IF(A1264="RO 14","BAP",(VLOOKUP(TablaCosechas[[#This Row],[COD]],Tabla7[[CODIGO]:[CERTIFICACION]],3,0))))</f>
        <v>ASC</v>
      </c>
      <c r="P1264" s="180">
        <f>+L1264-E1264</f>
        <v>957.79000000000087</v>
      </c>
      <c r="Q1264" s="49">
        <f>+M1264-F1264</f>
        <v>1.3200000000000003</v>
      </c>
      <c r="R1264" s="9"/>
    </row>
    <row r="1265" spans="1:18" x14ac:dyDescent="0.25">
      <c r="A1265" s="9" t="s">
        <v>260</v>
      </c>
      <c r="B1265" s="9">
        <f>ROW() - ROW(TablaCosechas[[#Headers],[ID]]) - 4</f>
        <v>1260</v>
      </c>
      <c r="C1265" s="9" t="str">
        <f>LEFT(A1265,2)</f>
        <v>DO</v>
      </c>
      <c r="D1265" s="182" t="s">
        <v>366</v>
      </c>
      <c r="E1265" s="178">
        <f>17000+2000</f>
        <v>19000</v>
      </c>
      <c r="F1265" s="19">
        <v>35</v>
      </c>
      <c r="G1265" s="195">
        <v>46084</v>
      </c>
      <c r="H1265" s="9" t="str">
        <f>VLOOKUP(TablaCosechas[[#This Row],[COD]],DATOS!$E$3:$F$27,2,0)</f>
        <v>DORADO</v>
      </c>
      <c r="I1265" s="9" t="str">
        <f>RIGHT(TablaCosechas[[#This Row],[SECTOR/PISCINA]],2)</f>
        <v>03</v>
      </c>
      <c r="J1265" s="9" t="str">
        <f>VLOOKUP(TablaCosechas[[#This Row],[COD]],Tabla7[#All],4,0)</f>
        <v>JOSE CEDEÑO</v>
      </c>
      <c r="K1265" s="179">
        <f>(TablaCosechas[[#This Row],[libras planta]]*454)/M1265</f>
        <v>235436.17650462961</v>
      </c>
      <c r="L1265" s="215">
        <v>17922.189999999999</v>
      </c>
      <c r="M1265" s="19">
        <v>34.56</v>
      </c>
      <c r="N1265" s="9" t="str">
        <f>UPPER(TEXT(TablaCosechas[[#This Row],[COSECHA]],"MMMM"))</f>
        <v>MARZO</v>
      </c>
      <c r="O1265" s="9" t="str">
        <f>IF(A1265="DO 29","BAP",IF(A1265="RO 14","BAP",(VLOOKUP(TablaCosechas[[#This Row],[COD]],Tabla7[[CODIGO]:[CERTIFICACION]],3,0))))</f>
        <v>ASC</v>
      </c>
      <c r="P1265" s="180">
        <f>+L1265-E1265</f>
        <v>-1077.8100000000013</v>
      </c>
      <c r="Q1265" s="49">
        <f>+M1265-F1265</f>
        <v>-0.43999999999999773</v>
      </c>
      <c r="R1265" s="9"/>
    </row>
    <row r="1266" spans="1:18" x14ac:dyDescent="0.25">
      <c r="A1266" s="9" t="s">
        <v>296</v>
      </c>
      <c r="B1266" s="9">
        <f>ROW() - ROW(TablaCosechas[[#Headers],[ID]]) - 4</f>
        <v>1261</v>
      </c>
      <c r="C1266" s="9" t="str">
        <f>LEFT(A1266,2)</f>
        <v>DE</v>
      </c>
      <c r="D1266" s="182" t="s">
        <v>367</v>
      </c>
      <c r="E1266" s="178">
        <v>7000</v>
      </c>
      <c r="F1266" s="19">
        <v>23</v>
      </c>
      <c r="G1266" s="195">
        <v>46084</v>
      </c>
      <c r="H1266" s="9" t="str">
        <f>VLOOKUP(TablaCosechas[[#This Row],[COD]],DATOS!$E$3:$F$27,2,0)</f>
        <v>DELFIN</v>
      </c>
      <c r="I1266" s="9" t="str">
        <f>RIGHT(TablaCosechas[[#This Row],[SECTOR/PISCINA]],2)</f>
        <v>01</v>
      </c>
      <c r="J1266" s="9" t="str">
        <f>VLOOKUP(TablaCosechas[[#This Row],[COD]],Tabla7[#All],4,0)</f>
        <v>CARLOS FLORES</v>
      </c>
      <c r="K1266" s="179">
        <f>(TablaCosechas[[#This Row],[libras planta]]*454)/M1266</f>
        <v>124316.67793880837</v>
      </c>
      <c r="L1266" s="215">
        <v>6801.82</v>
      </c>
      <c r="M1266" s="19">
        <v>24.84</v>
      </c>
      <c r="N1266" s="9" t="str">
        <f>UPPER(TEXT(TablaCosechas[[#This Row],[COSECHA]],"MMMM"))</f>
        <v>MARZO</v>
      </c>
      <c r="O1266" s="9" t="str">
        <f>IF(A1266="DO 29","BAP",IF(A1266="RO 14","BAP",(VLOOKUP(TablaCosechas[[#This Row],[COD]],Tabla7[[CODIGO]:[CERTIFICACION]],3,0))))</f>
        <v>CONVENCIONAL</v>
      </c>
      <c r="P1266" s="180">
        <f>+L1266-E1266</f>
        <v>-198.18000000000029</v>
      </c>
      <c r="Q1266" s="181">
        <f>+M1266-F1266</f>
        <v>1.8399999999999999</v>
      </c>
      <c r="R1266" s="9"/>
    </row>
    <row r="1267" spans="1:18" x14ac:dyDescent="0.25">
      <c r="A1267" s="9" t="s">
        <v>295</v>
      </c>
      <c r="B1267" s="9">
        <f>ROW() - ROW(TablaCosechas[[#Headers],[ID]]) - 4</f>
        <v>1262</v>
      </c>
      <c r="C1267" s="9" t="str">
        <f>LEFT(A1267,2)</f>
        <v>CA</v>
      </c>
      <c r="D1267" s="182" t="s">
        <v>367</v>
      </c>
      <c r="E1267" s="178">
        <v>2500</v>
      </c>
      <c r="F1267" s="19">
        <v>29</v>
      </c>
      <c r="G1267" s="195">
        <v>46084</v>
      </c>
      <c r="H1267" s="9" t="str">
        <f>VLOOKUP(TablaCosechas[[#This Row],[COD]],DATOS!$E$3:$F$27,2,0)</f>
        <v>CATANUDA</v>
      </c>
      <c r="I1267" s="9" t="str">
        <f>RIGHT(TablaCosechas[[#This Row],[SECTOR/PISCINA]],2)</f>
        <v>14</v>
      </c>
      <c r="J1267" s="9" t="str">
        <f>VLOOKUP(TablaCosechas[[#This Row],[COD]],Tabla7[#All],4,0)</f>
        <v>VICTOR QUINTANA</v>
      </c>
      <c r="K1267" s="179">
        <f>(TablaCosechas[[#This Row],[libras planta]]*454)/M1267</f>
        <v>41906.086901763221</v>
      </c>
      <c r="L1267" s="215">
        <v>2931.58</v>
      </c>
      <c r="M1267" s="19">
        <v>31.76</v>
      </c>
      <c r="N1267" s="9" t="str">
        <f>UPPER(TEXT(TablaCosechas[[#This Row],[COSECHA]],"MMMM"))</f>
        <v>MARZO</v>
      </c>
      <c r="O1267" s="9" t="str">
        <f>IF(A1267="DO 29","BAP",IF(A1267="RO 14","BAP",(VLOOKUP(TablaCosechas[[#This Row],[COD]],Tabla7[[CODIGO]:[CERTIFICACION]],3,0))))</f>
        <v>ASC</v>
      </c>
      <c r="P1267" s="180">
        <f>+L1267-E1267</f>
        <v>431.57999999999993</v>
      </c>
      <c r="Q1267" s="49">
        <f>+M1267-F1267</f>
        <v>2.7600000000000016</v>
      </c>
      <c r="R1267" s="9"/>
    </row>
    <row r="1268" spans="1:18" x14ac:dyDescent="0.25">
      <c r="A1268" s="9" t="s">
        <v>333</v>
      </c>
      <c r="B1268" s="9">
        <f>ROW() - ROW(TablaCosechas[[#Headers],[ID]]) - 4</f>
        <v>1263</v>
      </c>
      <c r="C1268" s="9" t="str">
        <f>LEFT(A1268,2)</f>
        <v>WA</v>
      </c>
      <c r="D1268" s="182" t="s">
        <v>367</v>
      </c>
      <c r="E1268" s="178">
        <v>8300</v>
      </c>
      <c r="F1268" s="19">
        <v>18</v>
      </c>
      <c r="G1268" s="195">
        <v>46085</v>
      </c>
      <c r="H1268" s="9" t="str">
        <f>VLOOKUP(TablaCosechas[[#This Row],[COD]],DATOS!$E$3:$F$27,2,0)</f>
        <v>WAHOO</v>
      </c>
      <c r="I1268" s="9" t="str">
        <f>RIGHT(TablaCosechas[[#This Row],[SECTOR/PISCINA]],2)</f>
        <v>02</v>
      </c>
      <c r="J1268" s="9" t="str">
        <f>VLOOKUP(TablaCosechas[[#This Row],[COD]],Tabla7[#All],4,0)</f>
        <v>JUNIOR ESQUIVEL</v>
      </c>
      <c r="K1268" s="179">
        <f>(TablaCosechas[[#This Row],[libras planta]]*454)/M1268</f>
        <v>231831.65189873418</v>
      </c>
      <c r="L1268" s="215">
        <v>9681.7800000000007</v>
      </c>
      <c r="M1268" s="19">
        <v>18.96</v>
      </c>
      <c r="N1268" s="9" t="str">
        <f>UPPER(TEXT(TablaCosechas[[#This Row],[COSECHA]],"MMMM"))</f>
        <v>MARZO</v>
      </c>
      <c r="O1268" s="9" t="str">
        <f>IF(A1268="DO 29","BAP",IF(A1268="RO 14","BAP",(VLOOKUP(TablaCosechas[[#This Row],[COD]],Tabla7[[CODIGO]:[CERTIFICACION]],3,0))))</f>
        <v>CONVENCIONAL</v>
      </c>
      <c r="P1268" s="180">
        <f>+L1268-E1268</f>
        <v>1381.7800000000007</v>
      </c>
      <c r="Q1268" s="49">
        <f>+M1268-F1268</f>
        <v>0.96000000000000085</v>
      </c>
      <c r="R1268" s="9"/>
    </row>
    <row r="1269" spans="1:18" x14ac:dyDescent="0.25">
      <c r="A1269" s="9" t="s">
        <v>313</v>
      </c>
      <c r="B1269" s="9">
        <f>ROW() - ROW(TablaCosechas[[#Headers],[ID]]) - 4</f>
        <v>1264</v>
      </c>
      <c r="C1269" s="9" t="str">
        <f>LEFT(A1269,2)</f>
        <v>TI</v>
      </c>
      <c r="D1269" s="182" t="s">
        <v>367</v>
      </c>
      <c r="E1269" s="178">
        <v>8000</v>
      </c>
      <c r="F1269" s="19">
        <v>24</v>
      </c>
      <c r="G1269" s="195">
        <v>46085</v>
      </c>
      <c r="H1269" s="9" t="str">
        <f>VLOOKUP(TablaCosechas[[#This Row],[COD]],DATOS!$E$3:$F$27,2,0)</f>
        <v>TIBURON</v>
      </c>
      <c r="I1269" s="9" t="str">
        <f>RIGHT(TablaCosechas[[#This Row],[SECTOR/PISCINA]],2)</f>
        <v>20</v>
      </c>
      <c r="J1269" s="9" t="str">
        <f>VLOOKUP(TablaCosechas[[#This Row],[COD]],Tabla7[#All],4,0)</f>
        <v>ALFONSO GRUNAUER</v>
      </c>
      <c r="K1269" s="179">
        <f>(TablaCosechas[[#This Row],[libras planta]]*454)/M1269</f>
        <v>138884.00309119013</v>
      </c>
      <c r="L1269" s="215">
        <v>7917</v>
      </c>
      <c r="M1269" s="19">
        <v>25.88</v>
      </c>
      <c r="N1269" s="9" t="str">
        <f>UPPER(TEXT(TablaCosechas[[#This Row],[COSECHA]],"MMMM"))</f>
        <v>MARZO</v>
      </c>
      <c r="O1269" s="9" t="str">
        <f>IF(A1269="DO 29","BAP",IF(A1269="RO 14","BAP",(VLOOKUP(TablaCosechas[[#This Row],[COD]],Tabla7[[CODIGO]:[CERTIFICACION]],3,0))))</f>
        <v>ASC</v>
      </c>
      <c r="P1269" s="180">
        <f>+L1269-E1269</f>
        <v>-83</v>
      </c>
      <c r="Q1269" s="49">
        <f>+M1269-F1269</f>
        <v>1.879999999999999</v>
      </c>
      <c r="R1269" s="9"/>
    </row>
    <row r="1270" spans="1:18" x14ac:dyDescent="0.25">
      <c r="A1270" s="9" t="s">
        <v>122</v>
      </c>
      <c r="B1270" s="9">
        <f>ROW() - ROW(TablaCosechas[[#Headers],[ID]]) - 4</f>
        <v>1265</v>
      </c>
      <c r="C1270" s="9" t="str">
        <f>LEFT(A1270,2)</f>
        <v>TI</v>
      </c>
      <c r="D1270" s="182" t="s">
        <v>367</v>
      </c>
      <c r="E1270" s="178">
        <v>2750</v>
      </c>
      <c r="F1270" s="19">
        <v>19</v>
      </c>
      <c r="G1270" s="195">
        <v>46085</v>
      </c>
      <c r="H1270" s="9" t="str">
        <f>VLOOKUP(TablaCosechas[[#This Row],[COD]],DATOS!$E$3:$F$27,2,0)</f>
        <v>TIBURON</v>
      </c>
      <c r="I1270" s="9" t="str">
        <f>RIGHT(TablaCosechas[[#This Row],[SECTOR/PISCINA]],2)</f>
        <v>07</v>
      </c>
      <c r="J1270" s="9" t="str">
        <f>VLOOKUP(TablaCosechas[[#This Row],[COD]],Tabla7[#All],4,0)</f>
        <v>ALFONSO GRUNAUER</v>
      </c>
      <c r="K1270" s="179">
        <f>(TablaCosechas[[#This Row],[libras planta]]*454)/M1270</f>
        <v>68645.383778437186</v>
      </c>
      <c r="L1270" s="215">
        <v>3057.29</v>
      </c>
      <c r="M1270" s="19">
        <v>20.22</v>
      </c>
      <c r="N1270" s="9" t="str">
        <f>UPPER(TEXT(TablaCosechas[[#This Row],[COSECHA]],"MMMM"))</f>
        <v>MARZO</v>
      </c>
      <c r="O1270" s="9" t="str">
        <f>IF(A1270="DO 29","BAP",IF(A1270="RO 14","BAP",(VLOOKUP(TablaCosechas[[#This Row],[COD]],Tabla7[[CODIGO]:[CERTIFICACION]],3,0))))</f>
        <v>ASC</v>
      </c>
      <c r="P1270" s="180">
        <f>+L1270-E1270</f>
        <v>307.28999999999996</v>
      </c>
      <c r="Q1270" s="49">
        <f>+M1270-F1270</f>
        <v>1.2199999999999989</v>
      </c>
      <c r="R1270" s="9"/>
    </row>
    <row r="1271" spans="1:18" x14ac:dyDescent="0.25">
      <c r="A1271" s="9" t="s">
        <v>263</v>
      </c>
      <c r="B1271" s="9">
        <f>ROW() - ROW(TablaCosechas[[#Headers],[ID]]) - 4</f>
        <v>1266</v>
      </c>
      <c r="C1271" s="9" t="str">
        <f>LEFT(A1271,2)</f>
        <v>PA</v>
      </c>
      <c r="D1271" s="182" t="s">
        <v>366</v>
      </c>
      <c r="E1271" s="178">
        <v>10400</v>
      </c>
      <c r="F1271" s="19">
        <v>37</v>
      </c>
      <c r="G1271" s="195">
        <v>46085</v>
      </c>
      <c r="H1271" s="9" t="str">
        <f>VLOOKUP(TablaCosechas[[#This Row],[COD]],DATOS!$E$3:$F$27,2,0)</f>
        <v>PAMPANO</v>
      </c>
      <c r="I1271" s="9" t="str">
        <f>RIGHT(TablaCosechas[[#This Row],[SECTOR/PISCINA]],2)</f>
        <v>02</v>
      </c>
      <c r="J1271" s="9" t="str">
        <f>VLOOKUP(TablaCosechas[[#This Row],[COD]],Tabla7[#All],4,0)</f>
        <v>GUSTAVO CARRASCO</v>
      </c>
      <c r="K1271" s="179">
        <f>(TablaCosechas[[#This Row],[libras planta]]*454)/M1271</f>
        <v>126463.23794037942</v>
      </c>
      <c r="L1271" s="215">
        <v>10278.620000000001</v>
      </c>
      <c r="M1271" s="19">
        <v>36.9</v>
      </c>
      <c r="N1271" s="9" t="str">
        <f>UPPER(TEXT(TablaCosechas[[#This Row],[COSECHA]],"MMMM"))</f>
        <v>MARZO</v>
      </c>
      <c r="O1271" s="9" t="str">
        <f>IF(A1271="DO 29","BAP",IF(A1271="RO 14","BAP",(VLOOKUP(TablaCosechas[[#This Row],[COD]],Tabla7[[CODIGO]:[CERTIFICACION]],3,0))))</f>
        <v>ASC</v>
      </c>
      <c r="P1271" s="180">
        <f>+L1271-E1271</f>
        <v>-121.3799999999992</v>
      </c>
      <c r="Q1271" s="49">
        <f>+M1271-F1271</f>
        <v>-0.10000000000000142</v>
      </c>
      <c r="R1271" s="9"/>
    </row>
    <row r="1272" spans="1:18" x14ac:dyDescent="0.25">
      <c r="A1272" s="9" t="s">
        <v>262</v>
      </c>
      <c r="B1272" s="9">
        <f>ROW() - ROW(TablaCosechas[[#Headers],[ID]]) - 4</f>
        <v>1267</v>
      </c>
      <c r="C1272" s="9" t="str">
        <f>LEFT(A1272,2)</f>
        <v>ME</v>
      </c>
      <c r="D1272" s="182" t="s">
        <v>366</v>
      </c>
      <c r="E1272" s="178">
        <v>24700</v>
      </c>
      <c r="F1272" s="19">
        <v>38</v>
      </c>
      <c r="G1272" s="195">
        <v>46085</v>
      </c>
      <c r="H1272" s="9" t="str">
        <f>VLOOKUP(TablaCosechas[[#This Row],[COD]],DATOS!$E$3:$F$27,2,0)</f>
        <v>MERO</v>
      </c>
      <c r="I1272" s="9" t="str">
        <f>RIGHT(TablaCosechas[[#This Row],[SECTOR/PISCINA]],2)</f>
        <v>16</v>
      </c>
      <c r="J1272" s="9" t="str">
        <f>VLOOKUP(TablaCosechas[[#This Row],[COD]],Tabla7[#All],4,0)</f>
        <v>NESTOR MOGOLLON</v>
      </c>
      <c r="K1272" s="179">
        <f>(TablaCosechas[[#This Row],[libras planta]]*454)/M1272</f>
        <v>267797.73067331669</v>
      </c>
      <c r="L1272" s="215">
        <v>23653.5</v>
      </c>
      <c r="M1272" s="19">
        <v>40.1</v>
      </c>
      <c r="N1272" s="9" t="str">
        <f>UPPER(TEXT(TablaCosechas[[#This Row],[COSECHA]],"MMMM"))</f>
        <v>MARZO</v>
      </c>
      <c r="O1272" s="9" t="str">
        <f>IF(A1272="DO 29","BAP",IF(A1272="RO 14","BAP",(VLOOKUP(TablaCosechas[[#This Row],[COD]],Tabla7[[CODIGO]:[CERTIFICACION]],3,0))))</f>
        <v>CONVENCIONAL</v>
      </c>
      <c r="P1272" s="180">
        <f>+L1272-E1272</f>
        <v>-1046.5</v>
      </c>
      <c r="Q1272" s="49">
        <f>+M1272-F1272</f>
        <v>2.1000000000000014</v>
      </c>
      <c r="R1272" s="9"/>
    </row>
    <row r="1273" spans="1:18" x14ac:dyDescent="0.25">
      <c r="A1273" s="9" t="s">
        <v>152</v>
      </c>
      <c r="B1273" s="9">
        <f>ROW() - ROW(TablaCosechas[[#Headers],[ID]]) - 4</f>
        <v>1268</v>
      </c>
      <c r="C1273" s="9" t="str">
        <f>LEFT(A1273,2)</f>
        <v>DO</v>
      </c>
      <c r="D1273" s="182" t="s">
        <v>367</v>
      </c>
      <c r="E1273" s="178">
        <v>11200</v>
      </c>
      <c r="F1273" s="19">
        <v>20</v>
      </c>
      <c r="G1273" s="195">
        <v>46085</v>
      </c>
      <c r="H1273" s="9" t="str">
        <f>VLOOKUP(TablaCosechas[[#This Row],[COD]],DATOS!$E$3:$F$27,2,0)</f>
        <v>DORADO</v>
      </c>
      <c r="I1273" s="9" t="str">
        <f>RIGHT(TablaCosechas[[#This Row],[SECTOR/PISCINA]],2)</f>
        <v>30</v>
      </c>
      <c r="J1273" s="9" t="str">
        <f>VLOOKUP(TablaCosechas[[#This Row],[COD]],Tabla7[#All],4,0)</f>
        <v>JOSE CEDEÑO</v>
      </c>
      <c r="K1273" s="179">
        <f>(TablaCosechas[[#This Row],[libras planta]]*454)/M1273</f>
        <v>258969.92368543512</v>
      </c>
      <c r="L1273" s="215">
        <v>12258.29</v>
      </c>
      <c r="M1273" s="19">
        <v>21.49</v>
      </c>
      <c r="N1273" s="9" t="str">
        <f>UPPER(TEXT(TablaCosechas[[#This Row],[COSECHA]],"MMMM"))</f>
        <v>MARZO</v>
      </c>
      <c r="O1273" s="9" t="str">
        <f>IF(A1273="DO 29","BAP",IF(A1273="RO 14","BAP",(VLOOKUP(TablaCosechas[[#This Row],[COD]],Tabla7[[CODIGO]:[CERTIFICACION]],3,0))))</f>
        <v>ASC</v>
      </c>
      <c r="P1273" s="180">
        <f>+L1273-E1273</f>
        <v>1058.2900000000009</v>
      </c>
      <c r="Q1273" s="49">
        <f>+M1273-F1273</f>
        <v>1.4899999999999984</v>
      </c>
      <c r="R1273" s="9"/>
    </row>
    <row r="1274" spans="1:18" x14ac:dyDescent="0.25">
      <c r="A1274" s="9" t="s">
        <v>297</v>
      </c>
      <c r="B1274" s="9">
        <f>ROW() - ROW(TablaCosechas[[#Headers],[ID]]) - 4</f>
        <v>1269</v>
      </c>
      <c r="C1274" s="9" t="str">
        <f>LEFT(A1274,2)</f>
        <v>DO</v>
      </c>
      <c r="D1274" s="182" t="s">
        <v>367</v>
      </c>
      <c r="E1274" s="178">
        <v>22600</v>
      </c>
      <c r="F1274" s="19">
        <v>32</v>
      </c>
      <c r="G1274" s="195">
        <v>46085</v>
      </c>
      <c r="H1274" s="9" t="str">
        <f>VLOOKUP(TablaCosechas[[#This Row],[COD]],DATOS!$E$3:$F$27,2,0)</f>
        <v>DORADO</v>
      </c>
      <c r="I1274" s="9" t="str">
        <f>RIGHT(TablaCosechas[[#This Row],[SECTOR/PISCINA]],2)</f>
        <v>18</v>
      </c>
      <c r="J1274" s="9" t="str">
        <f>VLOOKUP(TablaCosechas[[#This Row],[COD]],Tabla7[#All],4,0)</f>
        <v>JOSE CEDEÑO</v>
      </c>
      <c r="K1274" s="179">
        <f>(TablaCosechas[[#This Row],[libras planta]]*454)/M1274</f>
        <v>304337.43101343105</v>
      </c>
      <c r="L1274" s="215">
        <v>21960.560000000001</v>
      </c>
      <c r="M1274" s="19">
        <v>32.76</v>
      </c>
      <c r="N1274" s="9" t="str">
        <f>UPPER(TEXT(TablaCosechas[[#This Row],[COSECHA]],"MMMM"))</f>
        <v>MARZO</v>
      </c>
      <c r="O1274" s="9" t="str">
        <f>IF(A1274="DO 29","BAP",IF(A1274="RO 14","BAP",(VLOOKUP(TablaCosechas[[#This Row],[COD]],Tabla7[[CODIGO]:[CERTIFICACION]],3,0))))</f>
        <v>ASC</v>
      </c>
      <c r="P1274" s="180">
        <f>+L1274-E1274</f>
        <v>-639.43999999999869</v>
      </c>
      <c r="Q1274" s="181">
        <f>+M1274-F1274</f>
        <v>0.75999999999999801</v>
      </c>
      <c r="R1274" s="9"/>
    </row>
    <row r="1275" spans="1:18" x14ac:dyDescent="0.25">
      <c r="A1275" s="9" t="s">
        <v>301</v>
      </c>
      <c r="B1275" s="9">
        <f>ROW() - ROW(TablaCosechas[[#Headers],[ID]]) - 4</f>
        <v>1270</v>
      </c>
      <c r="C1275" s="9" t="str">
        <f>LEFT(A1275,2)</f>
        <v>DE</v>
      </c>
      <c r="D1275" s="182" t="s">
        <v>367</v>
      </c>
      <c r="E1275" s="178">
        <v>5000</v>
      </c>
      <c r="F1275" s="19">
        <v>22</v>
      </c>
      <c r="G1275" s="195">
        <v>46085</v>
      </c>
      <c r="H1275" s="9" t="str">
        <f>VLOOKUP(TablaCosechas[[#This Row],[COD]],DATOS!$E$3:$F$27,2,0)</f>
        <v>DELFIN</v>
      </c>
      <c r="I1275" s="9" t="str">
        <f>RIGHT(TablaCosechas[[#This Row],[SECTOR/PISCINA]],2)</f>
        <v>02</v>
      </c>
      <c r="J1275" s="9" t="str">
        <f>VLOOKUP(TablaCosechas[[#This Row],[COD]],Tabla7[#All],4,0)</f>
        <v>CARLOS FLORES</v>
      </c>
      <c r="K1275" s="179">
        <f>(TablaCosechas[[#This Row],[libras planta]]*454)/M1275</f>
        <v>89014.372003093595</v>
      </c>
      <c r="L1275" s="215">
        <v>5070.29</v>
      </c>
      <c r="M1275" s="19">
        <v>25.86</v>
      </c>
      <c r="N1275" s="9" t="str">
        <f>UPPER(TEXT(TablaCosechas[[#This Row],[COSECHA]],"MMMM"))</f>
        <v>MARZO</v>
      </c>
      <c r="O1275" s="9" t="str">
        <f>IF(A1275="DO 29","BAP",IF(A1275="RO 14","BAP",(VLOOKUP(TablaCosechas[[#This Row],[COD]],Tabla7[[CODIGO]:[CERTIFICACION]],3,0))))</f>
        <v>CONVENCIONAL</v>
      </c>
      <c r="P1275" s="180">
        <f>+L1275-E1275</f>
        <v>70.289999999999964</v>
      </c>
      <c r="Q1275" s="49">
        <f>+M1275-F1275</f>
        <v>3.8599999999999994</v>
      </c>
      <c r="R1275" s="9"/>
    </row>
    <row r="1276" spans="1:18" x14ac:dyDescent="0.25">
      <c r="A1276" s="9" t="s">
        <v>328</v>
      </c>
      <c r="B1276" s="9">
        <f>ROW() - ROW(TablaCosechas[[#Headers],[ID]]) - 4</f>
        <v>1271</v>
      </c>
      <c r="C1276" s="9" t="str">
        <f>LEFT(A1276,2)</f>
        <v>WA</v>
      </c>
      <c r="D1276" s="182" t="s">
        <v>367</v>
      </c>
      <c r="E1276" s="178">
        <v>13500</v>
      </c>
      <c r="F1276" s="19">
        <v>21</v>
      </c>
      <c r="G1276" s="195">
        <v>46086</v>
      </c>
      <c r="H1276" s="9" t="str">
        <f>VLOOKUP(TablaCosechas[[#This Row],[COD]],DATOS!$E$3:$F$27,2,0)</f>
        <v>WAHOO</v>
      </c>
      <c r="I1276" s="9" t="str">
        <f>RIGHT(TablaCosechas[[#This Row],[SECTOR/PISCINA]],2)</f>
        <v>36</v>
      </c>
      <c r="J1276" s="9" t="str">
        <f>VLOOKUP(TablaCosechas[[#This Row],[COD]],Tabla7[#All],4,0)</f>
        <v>JUNIOR ESQUIVEL</v>
      </c>
      <c r="K1276" s="179">
        <f>(TablaCosechas[[#This Row],[libras planta]]*454)/M1276</f>
        <v>285199.83824843611</v>
      </c>
      <c r="L1276" s="215">
        <v>14058.97</v>
      </c>
      <c r="M1276" s="19">
        <v>22.38</v>
      </c>
      <c r="N1276" s="9" t="str">
        <f>UPPER(TEXT(TablaCosechas[[#This Row],[COSECHA]],"MMMM"))</f>
        <v>MARZO</v>
      </c>
      <c r="O1276" s="9" t="str">
        <f>IF(A1276="DO 29","BAP",IF(A1276="RO 14","BAP",(VLOOKUP(TablaCosechas[[#This Row],[COD]],Tabla7[[CODIGO]:[CERTIFICACION]],3,0))))</f>
        <v>CONVENCIONAL</v>
      </c>
      <c r="P1276" s="180">
        <f>+L1276-E1276</f>
        <v>558.96999999999935</v>
      </c>
      <c r="Q1276" s="49">
        <f>+M1276-F1276</f>
        <v>1.379999999999999</v>
      </c>
      <c r="R1276" s="9"/>
    </row>
    <row r="1277" spans="1:18" x14ac:dyDescent="0.25">
      <c r="A1277" s="9" t="s">
        <v>322</v>
      </c>
      <c r="B1277" s="9">
        <f>ROW() - ROW(TablaCosechas[[#Headers],[ID]]) - 4</f>
        <v>1272</v>
      </c>
      <c r="C1277" s="9" t="str">
        <f>LEFT(A1277,2)</f>
        <v>TI</v>
      </c>
      <c r="D1277" s="182" t="s">
        <v>367</v>
      </c>
      <c r="E1277" s="178">
        <v>3200</v>
      </c>
      <c r="F1277" s="19">
        <v>25</v>
      </c>
      <c r="G1277" s="195">
        <v>46086</v>
      </c>
      <c r="H1277" s="9" t="str">
        <f>VLOOKUP(TablaCosechas[[#This Row],[COD]],DATOS!$E$3:$F$27,2,0)</f>
        <v>TIBURON</v>
      </c>
      <c r="I1277" s="9" t="str">
        <f>RIGHT(TablaCosechas[[#This Row],[SECTOR/PISCINA]],2)</f>
        <v>12</v>
      </c>
      <c r="J1277" s="9" t="str">
        <f>VLOOKUP(TablaCosechas[[#This Row],[COD]],Tabla7[#All],4,0)</f>
        <v>ALFONSO GRUNAUER</v>
      </c>
      <c r="K1277" s="179">
        <f>(TablaCosechas[[#This Row],[libras planta]]*454)/M1277</f>
        <v>60628.810248198555</v>
      </c>
      <c r="L1277" s="215">
        <v>3335.92</v>
      </c>
      <c r="M1277" s="19">
        <v>24.98</v>
      </c>
      <c r="N1277" s="9" t="str">
        <f>UPPER(TEXT(TablaCosechas[[#This Row],[COSECHA]],"MMMM"))</f>
        <v>MARZO</v>
      </c>
      <c r="O1277" s="9" t="str">
        <f>IF(A1277="DO 29","BAP",IF(A1277="RO 14","BAP",(VLOOKUP(TablaCosechas[[#This Row],[COD]],Tabla7[[CODIGO]:[CERTIFICACION]],3,0))))</f>
        <v>ASC</v>
      </c>
      <c r="P1277" s="180">
        <f>+L1277-E1277</f>
        <v>135.92000000000007</v>
      </c>
      <c r="Q1277" s="49">
        <f>+M1277-F1277</f>
        <v>-1.9999999999999574E-2</v>
      </c>
      <c r="R1277" s="9"/>
    </row>
    <row r="1278" spans="1:18" x14ac:dyDescent="0.25">
      <c r="A1278" s="9" t="s">
        <v>293</v>
      </c>
      <c r="B1278" s="9">
        <f>ROW() - ROW(TablaCosechas[[#Headers],[ID]]) - 4</f>
        <v>1273</v>
      </c>
      <c r="C1278" s="9" t="str">
        <f>LEFT(A1278,2)</f>
        <v>TA</v>
      </c>
      <c r="D1278" s="182" t="s">
        <v>367</v>
      </c>
      <c r="E1278" s="178">
        <v>11600</v>
      </c>
      <c r="F1278" s="19">
        <v>26</v>
      </c>
      <c r="G1278" s="195">
        <v>46086</v>
      </c>
      <c r="H1278" s="9" t="str">
        <f>VLOOKUP(TablaCosechas[[#This Row],[COD]],DATOS!$E$3:$F$27,2,0)</f>
        <v>TAMBULERO</v>
      </c>
      <c r="I1278" s="9" t="str">
        <f>RIGHT(TablaCosechas[[#This Row],[SECTOR/PISCINA]],2)</f>
        <v>12</v>
      </c>
      <c r="J1278" s="9" t="str">
        <f>VLOOKUP(TablaCosechas[[#This Row],[COD]],Tabla7[#All],4,0)</f>
        <v>ALFONSO GRUNAUER</v>
      </c>
      <c r="K1278" s="179">
        <f>(TablaCosechas[[#This Row],[libras planta]]*454)/M1278</f>
        <v>222602.65027322405</v>
      </c>
      <c r="L1278" s="215">
        <v>12561.85</v>
      </c>
      <c r="M1278" s="19">
        <v>25.62</v>
      </c>
      <c r="N1278" s="9" t="str">
        <f>UPPER(TEXT(TablaCosechas[[#This Row],[COSECHA]],"MMMM"))</f>
        <v>MARZO</v>
      </c>
      <c r="O1278" s="9" t="str">
        <f>IF(A1278="DO 29","BAP",IF(A1278="RO 14","BAP",(VLOOKUP(TablaCosechas[[#This Row],[COD]],Tabla7[[CODIGO]:[CERTIFICACION]],3,0))))</f>
        <v>CONVENCIONAL</v>
      </c>
      <c r="P1278" s="180">
        <f>+L1278-E1278</f>
        <v>961.85000000000036</v>
      </c>
      <c r="Q1278" s="49">
        <f>+M1278-F1278</f>
        <v>-0.37999999999999901</v>
      </c>
      <c r="R1278" s="9"/>
    </row>
    <row r="1279" spans="1:18" x14ac:dyDescent="0.25">
      <c r="A1279" s="9" t="s">
        <v>264</v>
      </c>
      <c r="B1279" s="9">
        <f>ROW() - ROW(TablaCosechas[[#Headers],[ID]]) - 4</f>
        <v>1274</v>
      </c>
      <c r="C1279" s="9" t="str">
        <f>LEFT(A1279,2)</f>
        <v>RO</v>
      </c>
      <c r="D1279" s="182" t="s">
        <v>366</v>
      </c>
      <c r="E1279" s="178">
        <f>44600+52000+12000</f>
        <v>108600</v>
      </c>
      <c r="F1279" s="19">
        <v>42</v>
      </c>
      <c r="G1279" s="195">
        <v>46086</v>
      </c>
      <c r="H1279" s="9" t="str">
        <f>VLOOKUP(TablaCosechas[[#This Row],[COD]],DATOS!$E$3:$F$27,2,0)</f>
        <v>ROBALO</v>
      </c>
      <c r="I1279" s="9" t="str">
        <f>RIGHT(TablaCosechas[[#This Row],[SECTOR/PISCINA]],2)</f>
        <v>04</v>
      </c>
      <c r="J1279" s="9" t="str">
        <f>VLOOKUP(TablaCosechas[[#This Row],[COD]],Tabla7[#All],4,0)</f>
        <v>VICTOR QUINTANA</v>
      </c>
      <c r="K1279" s="179">
        <f>(TablaCosechas[[#This Row],[libras planta]]*454)/M1279</f>
        <v>1248924.1892209931</v>
      </c>
      <c r="L1279" s="215">
        <v>116887.2</v>
      </c>
      <c r="M1279" s="19">
        <v>42.49</v>
      </c>
      <c r="N1279" s="9" t="str">
        <f>UPPER(TEXT(TablaCosechas[[#This Row],[COSECHA]],"MMMM"))</f>
        <v>MARZO</v>
      </c>
      <c r="O1279" s="9" t="str">
        <f>IF(A1279="DO 29","BAP",IF(A1279="RO 14","BAP",(VLOOKUP(TablaCosechas[[#This Row],[COD]],Tabla7[[CODIGO]:[CERTIFICACION]],3,0))))</f>
        <v>ASC</v>
      </c>
      <c r="P1279" s="180">
        <f>+L1279-E1279</f>
        <v>8287.1999999999971</v>
      </c>
      <c r="Q1279" s="49">
        <f>+M1279-F1279</f>
        <v>0.49000000000000199</v>
      </c>
      <c r="R1279" s="9"/>
    </row>
    <row r="1280" spans="1:18" x14ac:dyDescent="0.25">
      <c r="A1280" s="9" t="s">
        <v>265</v>
      </c>
      <c r="B1280" s="9">
        <f>ROW() - ROW(TablaCosechas[[#Headers],[ID]]) - 4</f>
        <v>1275</v>
      </c>
      <c r="C1280" s="9" t="str">
        <f>LEFT(A1280,2)</f>
        <v>DE</v>
      </c>
      <c r="D1280" s="182" t="s">
        <v>366</v>
      </c>
      <c r="E1280" s="178">
        <v>6100</v>
      </c>
      <c r="F1280" s="19">
        <v>31</v>
      </c>
      <c r="G1280" s="195">
        <v>46086</v>
      </c>
      <c r="H1280" s="9" t="str">
        <f>VLOOKUP(TablaCosechas[[#This Row],[COD]],DATOS!$E$3:$F$27,2,0)</f>
        <v>DELFIN</v>
      </c>
      <c r="I1280" s="9" t="str">
        <f>RIGHT(TablaCosechas[[#This Row],[SECTOR/PISCINA]],2)</f>
        <v>04</v>
      </c>
      <c r="J1280" s="9" t="str">
        <f>VLOOKUP(TablaCosechas[[#This Row],[COD]],Tabla7[#All],4,0)</f>
        <v>CARLOS FLORES</v>
      </c>
      <c r="K1280" s="179">
        <f>(TablaCosechas[[#This Row],[libras planta]]*454)/M1280</f>
        <v>89898.088122605361</v>
      </c>
      <c r="L1280" s="215">
        <v>6201.78</v>
      </c>
      <c r="M1280" s="19">
        <v>31.32</v>
      </c>
      <c r="N1280" s="9" t="str">
        <f>UPPER(TEXT(TablaCosechas[[#This Row],[COSECHA]],"MMMM"))</f>
        <v>MARZO</v>
      </c>
      <c r="O1280" s="9" t="str">
        <f>IF(A1280="DO 29","BAP",IF(A1280="RO 14","BAP",(VLOOKUP(TablaCosechas[[#This Row],[COD]],Tabla7[[CODIGO]:[CERTIFICACION]],3,0))))</f>
        <v>CONVENCIONAL</v>
      </c>
      <c r="P1280" s="180">
        <f>+L1280-E1280</f>
        <v>101.77999999999975</v>
      </c>
      <c r="Q1280" s="181">
        <f>+M1280-F1280</f>
        <v>0.32000000000000028</v>
      </c>
      <c r="R1280" s="9"/>
    </row>
    <row r="1281" spans="1:18" x14ac:dyDescent="0.25">
      <c r="A1281" s="9" t="s">
        <v>24</v>
      </c>
      <c r="B1281" s="9">
        <f>ROW() - ROW(TablaCosechas[[#Headers],[ID]]) - 4</f>
        <v>1276</v>
      </c>
      <c r="C1281" s="9" t="str">
        <f>LEFT(A1281,2)</f>
        <v>CH</v>
      </c>
      <c r="D1281" s="182" t="s">
        <v>367</v>
      </c>
      <c r="E1281" s="178">
        <v>10100</v>
      </c>
      <c r="F1281" s="19">
        <v>21.5</v>
      </c>
      <c r="G1281" s="195">
        <v>46086</v>
      </c>
      <c r="H1281" s="9" t="str">
        <f>VLOOKUP(TablaCosechas[[#This Row],[COD]],DATOS!$E$3:$F$27,2,0)</f>
        <v>CHERNA</v>
      </c>
      <c r="I1281" s="9" t="str">
        <f>RIGHT(TablaCosechas[[#This Row],[SECTOR/PISCINA]],2)</f>
        <v>20</v>
      </c>
      <c r="J1281" s="9" t="str">
        <f>VLOOKUP(TablaCosechas[[#This Row],[COD]],Tabla7[#All],4,0)</f>
        <v>SANTIAGO OBRIEN</v>
      </c>
      <c r="K1281" s="179">
        <f>(TablaCosechas[[#This Row],[libras planta]]*454)/M1281</f>
        <v>231025.67519685038</v>
      </c>
      <c r="L1281" s="215">
        <v>10340.18</v>
      </c>
      <c r="M1281" s="19">
        <v>20.32</v>
      </c>
      <c r="N1281" s="9" t="str">
        <f>UPPER(TEXT(TablaCosechas[[#This Row],[COSECHA]],"MMMM"))</f>
        <v>MARZO</v>
      </c>
      <c r="O1281" s="9" t="str">
        <f>IF(A1281="DO 29","BAP",IF(A1281="RO 14","BAP",(VLOOKUP(TablaCosechas[[#This Row],[COD]],Tabla7[[CODIGO]:[CERTIFICACION]],3,0))))</f>
        <v>ASC</v>
      </c>
      <c r="P1281" s="180">
        <f>+L1281-E1281</f>
        <v>240.18000000000029</v>
      </c>
      <c r="Q1281" s="181">
        <f>+M1281-F1281</f>
        <v>-1.1799999999999997</v>
      </c>
      <c r="R1281" s="9"/>
    </row>
    <row r="1282" spans="1:18" x14ac:dyDescent="0.25">
      <c r="A1282" s="9" t="s">
        <v>325</v>
      </c>
      <c r="B1282" s="9">
        <f>ROW() - ROW(TablaCosechas[[#Headers],[ID]]) - 4</f>
        <v>1277</v>
      </c>
      <c r="C1282" s="9" t="str">
        <f>LEFT(A1282,2)</f>
        <v>PA</v>
      </c>
      <c r="D1282" s="182" t="s">
        <v>367</v>
      </c>
      <c r="E1282" s="178">
        <v>14800</v>
      </c>
      <c r="F1282" s="19">
        <v>20</v>
      </c>
      <c r="G1282" s="195">
        <v>46087</v>
      </c>
      <c r="H1282" s="9" t="str">
        <f>VLOOKUP(TablaCosechas[[#This Row],[COD]],DATOS!$E$3:$F$27,2,0)</f>
        <v>PAMPANO</v>
      </c>
      <c r="I1282" s="9" t="str">
        <f>RIGHT(TablaCosechas[[#This Row],[SECTOR/PISCINA]],2)</f>
        <v>15</v>
      </c>
      <c r="J1282" s="9" t="str">
        <f>VLOOKUP(TablaCosechas[[#This Row],[COD]],Tabla7[#All],4,0)</f>
        <v>GUSTAVO CARRASCO</v>
      </c>
      <c r="K1282" s="179">
        <f>(TablaCosechas[[#This Row],[libras planta]]*454)/M1282</f>
        <v>319420.1018078021</v>
      </c>
      <c r="L1282" s="215">
        <v>14789.01</v>
      </c>
      <c r="M1282" s="19">
        <v>21.02</v>
      </c>
      <c r="N1282" s="9" t="str">
        <f>UPPER(TEXT(TablaCosechas[[#This Row],[COSECHA]],"MMMM"))</f>
        <v>MARZO</v>
      </c>
      <c r="O1282" s="9" t="str">
        <f>IF(A1282="DO 29","BAP",IF(A1282="RO 14","BAP",(VLOOKUP(TablaCosechas[[#This Row],[COD]],Tabla7[[CODIGO]:[CERTIFICACION]],3,0))))</f>
        <v>ASC</v>
      </c>
      <c r="P1282" s="180">
        <f>+L1282-E1282</f>
        <v>-10.989999999999782</v>
      </c>
      <c r="Q1282" s="181">
        <f>+M1282-F1282</f>
        <v>1.0199999999999996</v>
      </c>
      <c r="R1282" s="9"/>
    </row>
    <row r="1283" spans="1:18" x14ac:dyDescent="0.25">
      <c r="A1283" s="9" t="s">
        <v>266</v>
      </c>
      <c r="B1283" s="9">
        <f>ROW() - ROW(TablaCosechas[[#Headers],[ID]]) - 4</f>
        <v>1278</v>
      </c>
      <c r="C1283" s="9" t="str">
        <f>LEFT(A1283,2)</f>
        <v>ME</v>
      </c>
      <c r="D1283" s="182" t="s">
        <v>366</v>
      </c>
      <c r="E1283" s="178">
        <v>14800</v>
      </c>
      <c r="F1283" s="19">
        <v>33</v>
      </c>
      <c r="G1283" s="195">
        <v>46087</v>
      </c>
      <c r="H1283" s="9" t="str">
        <f>VLOOKUP(TablaCosechas[[#This Row],[COD]],DATOS!$E$3:$F$27,2,0)</f>
        <v>MERO</v>
      </c>
      <c r="I1283" s="9" t="str">
        <f>RIGHT(TablaCosechas[[#This Row],[SECTOR/PISCINA]],2)</f>
        <v>11</v>
      </c>
      <c r="J1283" s="9" t="str">
        <f>VLOOKUP(TablaCosechas[[#This Row],[COD]],Tabla7[#All],4,0)</f>
        <v>NESTOR MOGOLLON</v>
      </c>
      <c r="K1283" s="179">
        <f>(TablaCosechas[[#This Row],[libras planta]]*454)/M1283</f>
        <v>216313.39260143196</v>
      </c>
      <c r="L1283" s="215">
        <v>15970.98</v>
      </c>
      <c r="M1283" s="19">
        <v>33.520000000000003</v>
      </c>
      <c r="N1283" s="9" t="str">
        <f>UPPER(TEXT(TablaCosechas[[#This Row],[COSECHA]],"MMMM"))</f>
        <v>MARZO</v>
      </c>
      <c r="O1283" s="9" t="str">
        <f>IF(A1283="DO 29","BAP",IF(A1283="RO 14","BAP",(VLOOKUP(TablaCosechas[[#This Row],[COD]],Tabla7[[CODIGO]:[CERTIFICACION]],3,0))))</f>
        <v>CONVENCIONAL</v>
      </c>
      <c r="P1283" s="180">
        <f>+L1283-E1283</f>
        <v>1170.9799999999996</v>
      </c>
      <c r="Q1283" s="181">
        <f>+M1283-F1283</f>
        <v>0.52000000000000313</v>
      </c>
      <c r="R1283" s="9"/>
    </row>
    <row r="1284" spans="1:18" x14ac:dyDescent="0.25">
      <c r="A1284" s="9" t="s">
        <v>327</v>
      </c>
      <c r="B1284" s="9">
        <f>ROW() - ROW(TablaCosechas[[#Headers],[ID]]) - 4</f>
        <v>1279</v>
      </c>
      <c r="C1284" s="9" t="str">
        <f>LEFT(A1284,2)</f>
        <v>GT</v>
      </c>
      <c r="D1284" s="182" t="s">
        <v>367</v>
      </c>
      <c r="E1284" s="178">
        <v>4000</v>
      </c>
      <c r="F1284" s="19">
        <v>21</v>
      </c>
      <c r="G1284" s="195">
        <v>46087</v>
      </c>
      <c r="H1284" s="9" t="str">
        <f>VLOOKUP(TablaCosechas[[#This Row],[COD]],DATOS!$E$3:$F$27,2,0)</f>
        <v>GUATO</v>
      </c>
      <c r="I1284" s="9" t="str">
        <f>RIGHT(TablaCosechas[[#This Row],[SECTOR/PISCINA]],2)</f>
        <v>08</v>
      </c>
      <c r="J1284" s="9" t="str">
        <f>VLOOKUP(TablaCosechas[[#This Row],[COD]],Tabla7[#All],4,0)</f>
        <v>JULIO SANTOS</v>
      </c>
      <c r="K1284" s="179">
        <f>(TablaCosechas[[#This Row],[libras planta]]*454)/M1284</f>
        <v>86731.44556267155</v>
      </c>
      <c r="L1284" s="178">
        <v>4176.1000000000004</v>
      </c>
      <c r="M1284" s="19">
        <v>21.86</v>
      </c>
      <c r="N1284" s="9" t="str">
        <f>UPPER(TEXT(TablaCosechas[[#This Row],[COSECHA]],"MMMM"))</f>
        <v>MARZO</v>
      </c>
      <c r="O1284" s="9" t="str">
        <f>IF(A1284="DO 29","BAP",IF(A1284="RO 14","BAP",(VLOOKUP(TablaCosechas[[#This Row],[COD]],Tabla7[[CODIGO]:[CERTIFICACION]],3,0))))</f>
        <v>CONVENCIONAL</v>
      </c>
      <c r="P1284" s="180">
        <f>+L1284-E1284</f>
        <v>176.10000000000036</v>
      </c>
      <c r="Q1284" s="181">
        <f>+M1284-F1284</f>
        <v>0.85999999999999943</v>
      </c>
      <c r="R1284" s="9"/>
    </row>
    <row r="1285" spans="1:18" x14ac:dyDescent="0.25">
      <c r="A1285" s="9" t="s">
        <v>267</v>
      </c>
      <c r="B1285" s="9">
        <f>ROW() - ROW(TablaCosechas[[#Headers],[ID]]) - 4</f>
        <v>1280</v>
      </c>
      <c r="C1285" s="9" t="str">
        <f>LEFT(A1285,2)</f>
        <v>DO</v>
      </c>
      <c r="D1285" s="182" t="s">
        <v>366</v>
      </c>
      <c r="E1285" s="178">
        <v>19800</v>
      </c>
      <c r="F1285" s="19">
        <v>35</v>
      </c>
      <c r="G1285" s="195">
        <v>46087</v>
      </c>
      <c r="H1285" s="9" t="str">
        <f>VLOOKUP(TablaCosechas[[#This Row],[COD]],DATOS!$E$3:$F$27,2,0)</f>
        <v>DORADO</v>
      </c>
      <c r="I1285" s="9" t="str">
        <f>RIGHT(TablaCosechas[[#This Row],[SECTOR/PISCINA]],2)</f>
        <v>17</v>
      </c>
      <c r="J1285" s="9" t="str">
        <f>VLOOKUP(TablaCosechas[[#This Row],[COD]],Tabla7[#All],4,0)</f>
        <v>JOSE CEDEÑO</v>
      </c>
      <c r="K1285" s="179">
        <f>(TablaCosechas[[#This Row],[libras planta]]*454)/M1285</f>
        <v>247259.23394874626</v>
      </c>
      <c r="L1285" s="215">
        <v>19764.400000000001</v>
      </c>
      <c r="M1285" s="19">
        <v>36.29</v>
      </c>
      <c r="N1285" s="9" t="str">
        <f>UPPER(TEXT(TablaCosechas[[#This Row],[COSECHA]],"MMMM"))</f>
        <v>MARZO</v>
      </c>
      <c r="O1285" s="9" t="str">
        <f>IF(A1285="DO 29","BAP",IF(A1285="RO 14","BAP",(VLOOKUP(TablaCosechas[[#This Row],[COD]],Tabla7[[CODIGO]:[CERTIFICACION]],3,0))))</f>
        <v>ASC</v>
      </c>
      <c r="P1285" s="180">
        <f>+L1285-E1285</f>
        <v>-35.599999999998545</v>
      </c>
      <c r="Q1285" s="181">
        <f>+M1285-F1285</f>
        <v>1.2899999999999991</v>
      </c>
      <c r="R1285" s="9"/>
    </row>
    <row r="1286" spans="1:18" x14ac:dyDescent="0.25">
      <c r="A1286" s="9" t="s">
        <v>144</v>
      </c>
      <c r="B1286" s="9">
        <f>ROW() - ROW(TablaCosechas[[#Headers],[ID]]) - 4</f>
        <v>1281</v>
      </c>
      <c r="C1286" s="9" t="str">
        <f>LEFT(A1286,2)</f>
        <v>DO</v>
      </c>
      <c r="D1286" s="182" t="s">
        <v>367</v>
      </c>
      <c r="E1286" s="178">
        <v>11200</v>
      </c>
      <c r="F1286" s="19">
        <v>21</v>
      </c>
      <c r="G1286" s="195">
        <v>46087</v>
      </c>
      <c r="H1286" s="9" t="str">
        <f>VLOOKUP(TablaCosechas[[#This Row],[COD]],DATOS!$E$3:$F$27,2,0)</f>
        <v>DORADO</v>
      </c>
      <c r="I1286" s="9" t="str">
        <f>RIGHT(TablaCosechas[[#This Row],[SECTOR/PISCINA]],2)</f>
        <v>09</v>
      </c>
      <c r="J1286" s="9" t="str">
        <f>VLOOKUP(TablaCosechas[[#This Row],[COD]],Tabla7[#All],4,0)</f>
        <v>JOSE CEDEÑO</v>
      </c>
      <c r="K1286" s="179">
        <f>(TablaCosechas[[#This Row],[libras planta]]*454)/M1286</f>
        <v>253276.42413793106</v>
      </c>
      <c r="L1286" s="215">
        <v>12942.76</v>
      </c>
      <c r="M1286" s="19">
        <v>23.2</v>
      </c>
      <c r="N1286" s="9" t="str">
        <f>UPPER(TEXT(TablaCosechas[[#This Row],[COSECHA]],"MMMM"))</f>
        <v>MARZO</v>
      </c>
      <c r="O1286" s="9" t="str">
        <f>IF(A1286="DO 29","BAP",IF(A1286="RO 14","BAP",(VLOOKUP(TablaCosechas[[#This Row],[COD]],Tabla7[[CODIGO]:[CERTIFICACION]],3,0))))</f>
        <v>ASC</v>
      </c>
      <c r="P1286" s="180">
        <f>+L1286-E1286</f>
        <v>1742.7600000000002</v>
      </c>
      <c r="Q1286" s="181">
        <f>+M1286-F1286</f>
        <v>2.1999999999999993</v>
      </c>
      <c r="R1286" s="9"/>
    </row>
    <row r="1287" spans="1:18" x14ac:dyDescent="0.25">
      <c r="A1287" s="9" t="s">
        <v>126</v>
      </c>
      <c r="B1287" s="9">
        <f>ROW() - ROW(TablaCosechas[[#Headers],[ID]]) - 4</f>
        <v>1282</v>
      </c>
      <c r="C1287" s="9" t="str">
        <f>LEFT(A1287,2)</f>
        <v>DO</v>
      </c>
      <c r="D1287" s="182" t="s">
        <v>367</v>
      </c>
      <c r="E1287" s="178">
        <v>6900</v>
      </c>
      <c r="F1287" s="19">
        <v>22</v>
      </c>
      <c r="G1287" s="195">
        <v>46087</v>
      </c>
      <c r="H1287" s="9" t="str">
        <f>VLOOKUP(TablaCosechas[[#This Row],[COD]],DATOS!$E$3:$F$27,2,0)</f>
        <v>DORADO</v>
      </c>
      <c r="I1287" s="9" t="str">
        <f>RIGHT(TablaCosechas[[#This Row],[SECTOR/PISCINA]],2)</f>
        <v>06</v>
      </c>
      <c r="J1287" s="9" t="str">
        <f>VLOOKUP(TablaCosechas[[#This Row],[COD]],Tabla7[#All],4,0)</f>
        <v>JOSE CEDEÑO</v>
      </c>
      <c r="K1287" s="179">
        <f>(TablaCosechas[[#This Row],[libras planta]]*454)/M1287</f>
        <v>158378.74880153406</v>
      </c>
      <c r="L1287" s="215">
        <v>7277.05</v>
      </c>
      <c r="M1287" s="19">
        <v>20.86</v>
      </c>
      <c r="N1287" s="9" t="str">
        <f>UPPER(TEXT(TablaCosechas[[#This Row],[COSECHA]],"MMMM"))</f>
        <v>MARZO</v>
      </c>
      <c r="O1287" s="9" t="str">
        <f>IF(A1287="DO 29","BAP",IF(A1287="RO 14","BAP",(VLOOKUP(TablaCosechas[[#This Row],[COD]],Tabla7[[CODIGO]:[CERTIFICACION]],3,0))))</f>
        <v>ASC</v>
      </c>
      <c r="P1287" s="180">
        <f>+L1287-E1287</f>
        <v>377.05000000000018</v>
      </c>
      <c r="Q1287" s="181">
        <f>+M1287-F1287</f>
        <v>-1.1400000000000006</v>
      </c>
      <c r="R1287" s="9"/>
    </row>
    <row r="1288" spans="1:18" x14ac:dyDescent="0.25">
      <c r="A1288" s="9" t="s">
        <v>124</v>
      </c>
      <c r="B1288" s="9">
        <f>ROW() - ROW(TablaCosechas[[#Headers],[ID]]) - 4</f>
        <v>1283</v>
      </c>
      <c r="C1288" s="9" t="str">
        <f>LEFT(A1288,2)</f>
        <v>WA</v>
      </c>
      <c r="D1288" s="182" t="s">
        <v>367</v>
      </c>
      <c r="E1288" s="178">
        <v>5600</v>
      </c>
      <c r="F1288" s="19">
        <v>22</v>
      </c>
      <c r="G1288" s="195">
        <v>46088</v>
      </c>
      <c r="H1288" s="9" t="str">
        <f>VLOOKUP(TablaCosechas[[#This Row],[COD]],DATOS!$E$3:$F$27,2,0)</f>
        <v>WAHOO</v>
      </c>
      <c r="I1288" s="9" t="str">
        <f>RIGHT(TablaCosechas[[#This Row],[SECTOR/PISCINA]],2)</f>
        <v>14</v>
      </c>
      <c r="J1288" s="9" t="str">
        <f>VLOOKUP(TablaCosechas[[#This Row],[COD]],Tabla7[#All],4,0)</f>
        <v>JUNIOR ESQUIVEL</v>
      </c>
      <c r="K1288" s="179">
        <f>(TablaCosechas[[#This Row],[libras planta]]*454)/M1288</f>
        <v>114317.90206185565</v>
      </c>
      <c r="L1288" s="215">
        <v>5861.94</v>
      </c>
      <c r="M1288" s="19">
        <v>23.28</v>
      </c>
      <c r="N1288" s="9" t="str">
        <f>UPPER(TEXT(TablaCosechas[[#This Row],[COSECHA]],"MMMM"))</f>
        <v>MARZO</v>
      </c>
      <c r="O1288" s="9" t="str">
        <f>IF(A1288="DO 29","BAP",IF(A1288="RO 14","BAP",(VLOOKUP(TablaCosechas[[#This Row],[COD]],Tabla7[[CODIGO]:[CERTIFICACION]],3,0))))</f>
        <v>CONVENCIONAL</v>
      </c>
      <c r="P1288" s="180">
        <f>+L1288-E1288</f>
        <v>261.9399999999996</v>
      </c>
      <c r="Q1288" s="181">
        <f>+M1288-F1288</f>
        <v>1.2800000000000011</v>
      </c>
      <c r="R1288" s="9"/>
    </row>
    <row r="1289" spans="1:18" x14ac:dyDescent="0.25">
      <c r="A1289" s="9" t="s">
        <v>300</v>
      </c>
      <c r="B1289" s="9">
        <f>ROW() - ROW(TablaCosechas[[#Headers],[ID]]) - 4</f>
        <v>1284</v>
      </c>
      <c r="C1289" s="9" t="str">
        <f>LEFT(A1289,2)</f>
        <v>TI</v>
      </c>
      <c r="D1289" s="182" t="s">
        <v>367</v>
      </c>
      <c r="E1289" s="178">
        <v>15500</v>
      </c>
      <c r="F1289" s="19">
        <v>28</v>
      </c>
      <c r="G1289" s="195">
        <v>46088</v>
      </c>
      <c r="H1289" s="9" t="str">
        <f>VLOOKUP(TablaCosechas[[#This Row],[COD]],DATOS!$E$3:$F$27,2,0)</f>
        <v>TIBURON</v>
      </c>
      <c r="I1289" s="9" t="str">
        <f>RIGHT(TablaCosechas[[#This Row],[SECTOR/PISCINA]],2)</f>
        <v>15</v>
      </c>
      <c r="J1289" s="9" t="str">
        <f>VLOOKUP(TablaCosechas[[#This Row],[COD]],Tabla7[#All],4,0)</f>
        <v>ALFONSO GRUNAUER</v>
      </c>
      <c r="K1289" s="179">
        <f>(TablaCosechas[[#This Row],[libras planta]]*454)/M1289</f>
        <v>282222.47574221576</v>
      </c>
      <c r="L1289" s="215">
        <v>17169.57</v>
      </c>
      <c r="M1289" s="19">
        <v>27.62</v>
      </c>
      <c r="N1289" s="9" t="str">
        <f>UPPER(TEXT(TablaCosechas[[#This Row],[COSECHA]],"MMMM"))</f>
        <v>MARZO</v>
      </c>
      <c r="O1289" s="9" t="str">
        <f>IF(A1289="DO 29","BAP",IF(A1289="RO 14","BAP",(VLOOKUP(TablaCosechas[[#This Row],[COD]],Tabla7[[CODIGO]:[CERTIFICACION]],3,0))))</f>
        <v>ASC</v>
      </c>
      <c r="P1289" s="180">
        <f>+L1289-E1289</f>
        <v>1669.5699999999997</v>
      </c>
      <c r="Q1289" s="181">
        <f>+M1289-F1289</f>
        <v>-0.37999999999999901</v>
      </c>
      <c r="R1289" s="9"/>
    </row>
    <row r="1290" spans="1:18" x14ac:dyDescent="0.25">
      <c r="A1290" s="9" t="s">
        <v>268</v>
      </c>
      <c r="B1290" s="9">
        <f>ROW() - ROW(TablaCosechas[[#Headers],[ID]]) - 4</f>
        <v>1285</v>
      </c>
      <c r="C1290" s="9" t="str">
        <f>LEFT(A1290,2)</f>
        <v>MA</v>
      </c>
      <c r="D1290" s="182" t="s">
        <v>366</v>
      </c>
      <c r="E1290" s="178">
        <f>30600+2600</f>
        <v>33200</v>
      </c>
      <c r="F1290" s="19">
        <v>33</v>
      </c>
      <c r="G1290" s="195">
        <v>46088</v>
      </c>
      <c r="H1290" s="9" t="str">
        <f>VLOOKUP(TablaCosechas[[#This Row],[COD]],DATOS!$E$3:$F$27,2,0)</f>
        <v>MANTARRAYA</v>
      </c>
      <c r="I1290" s="9" t="str">
        <f>RIGHT(TablaCosechas[[#This Row],[SECTOR/PISCINA]],2)</f>
        <v>10</v>
      </c>
      <c r="J1290" s="9" t="str">
        <f>VLOOKUP(TablaCosechas[[#This Row],[COD]],Tabla7[#All],4,0)</f>
        <v>GUSTAVO CARRASCO</v>
      </c>
      <c r="K1290" s="179">
        <f>(TablaCosechas[[#This Row],[libras planta]]*454)/M1290</f>
        <v>394982.91336898401</v>
      </c>
      <c r="L1290" s="215">
        <v>32538.240000000002</v>
      </c>
      <c r="M1290" s="19">
        <v>37.4</v>
      </c>
      <c r="N1290" s="9" t="str">
        <f>UPPER(TEXT(TablaCosechas[[#This Row],[COSECHA]],"MMMM"))</f>
        <v>MARZO</v>
      </c>
      <c r="O1290" s="9" t="str">
        <f>IF(A1290="DO 29","BAP",IF(A1290="RO 14","BAP",(VLOOKUP(TablaCosechas[[#This Row],[COD]],Tabla7[[CODIGO]:[CERTIFICACION]],3,0))))</f>
        <v>ASC</v>
      </c>
      <c r="P1290" s="180">
        <f>+L1290-E1290</f>
        <v>-661.7599999999984</v>
      </c>
      <c r="Q1290" s="181">
        <f>+M1290-F1290</f>
        <v>4.3999999999999986</v>
      </c>
      <c r="R1290" s="9"/>
    </row>
    <row r="1291" spans="1:18" x14ac:dyDescent="0.25">
      <c r="A1291" s="9" t="s">
        <v>321</v>
      </c>
      <c r="B1291" s="9">
        <f>ROW() - ROW(TablaCosechas[[#Headers],[ID]]) - 4</f>
        <v>1286</v>
      </c>
      <c r="C1291" s="9" t="str">
        <f>LEFT(A1291,2)</f>
        <v>GT</v>
      </c>
      <c r="D1291" s="182" t="s">
        <v>367</v>
      </c>
      <c r="E1291" s="178">
        <v>4200</v>
      </c>
      <c r="F1291" s="19">
        <v>22</v>
      </c>
      <c r="G1291" s="195">
        <v>46088</v>
      </c>
      <c r="H1291" s="9" t="str">
        <f>VLOOKUP(TablaCosechas[[#This Row],[COD]],DATOS!$E$3:$F$27,2,0)</f>
        <v>GUATO</v>
      </c>
      <c r="I1291" s="9" t="str">
        <f>RIGHT(TablaCosechas[[#This Row],[SECTOR/PISCINA]],2)</f>
        <v>02</v>
      </c>
      <c r="J1291" s="9" t="str">
        <f>VLOOKUP(TablaCosechas[[#This Row],[COD]],Tabla7[#All],4,0)</f>
        <v>JULIO SANTOS</v>
      </c>
      <c r="K1291" s="179">
        <f>(TablaCosechas[[#This Row],[libras planta]]*454)/M1291</f>
        <v>91247.346551724142</v>
      </c>
      <c r="L1291" s="215">
        <v>4662.8599999999997</v>
      </c>
      <c r="M1291" s="19">
        <v>23.2</v>
      </c>
      <c r="N1291" s="9" t="str">
        <f>UPPER(TEXT(TablaCosechas[[#This Row],[COSECHA]],"MMMM"))</f>
        <v>MARZO</v>
      </c>
      <c r="O1291" s="9" t="str">
        <f>IF(A1291="DO 29","BAP",IF(A1291="RO 14","BAP",(VLOOKUP(TablaCosechas[[#This Row],[COD]],Tabla7[[CODIGO]:[CERTIFICACION]],3,0))))</f>
        <v>CONVENCIONAL</v>
      </c>
      <c r="P1291" s="180">
        <f>+L1291-E1291</f>
        <v>462.85999999999967</v>
      </c>
      <c r="Q1291" s="181">
        <f>+M1291-F1291</f>
        <v>1.1999999999999993</v>
      </c>
      <c r="R1291" s="9"/>
    </row>
    <row r="1292" spans="1:18" x14ac:dyDescent="0.25">
      <c r="A1292" s="9" t="s">
        <v>269</v>
      </c>
      <c r="B1292" s="9">
        <f>ROW() - ROW(TablaCosechas[[#Headers],[ID]]) - 4</f>
        <v>1287</v>
      </c>
      <c r="C1292" s="9" t="str">
        <f>LEFT(A1292,2)</f>
        <v>DE</v>
      </c>
      <c r="D1292" s="182" t="s">
        <v>366</v>
      </c>
      <c r="E1292" s="178">
        <v>8800</v>
      </c>
      <c r="F1292" s="19">
        <v>35</v>
      </c>
      <c r="G1292" s="195">
        <v>46088</v>
      </c>
      <c r="H1292" s="9" t="str">
        <f>VLOOKUP(TablaCosechas[[#This Row],[COD]],DATOS!$E$3:$F$27,2,0)</f>
        <v>DELFIN</v>
      </c>
      <c r="I1292" s="9" t="str">
        <f>RIGHT(TablaCosechas[[#This Row],[SECTOR/PISCINA]],2)</f>
        <v>18</v>
      </c>
      <c r="J1292" s="9" t="str">
        <f>VLOOKUP(TablaCosechas[[#This Row],[COD]],Tabla7[#All],4,0)</f>
        <v>CARLOS FLORES</v>
      </c>
      <c r="K1292" s="179">
        <f>(TablaCosechas[[#This Row],[libras planta]]*454)/M1292</f>
        <v>110635.54734177215</v>
      </c>
      <c r="L1292" s="215">
        <v>9625.7800000000007</v>
      </c>
      <c r="M1292" s="19">
        <v>39.5</v>
      </c>
      <c r="N1292" s="9" t="str">
        <f>UPPER(TEXT(TablaCosechas[[#This Row],[COSECHA]],"MMMM"))</f>
        <v>MARZO</v>
      </c>
      <c r="O1292" s="9" t="str">
        <f>IF(A1292="DO 29","BAP",IF(A1292="RO 14","BAP",(VLOOKUP(TablaCosechas[[#This Row],[COD]],Tabla7[[CODIGO]:[CERTIFICACION]],3,0))))</f>
        <v>CONVENCIONAL</v>
      </c>
      <c r="P1292" s="180">
        <f>+L1292-E1292</f>
        <v>825.78000000000065</v>
      </c>
      <c r="Q1292" s="181">
        <f>+M1292-F1292</f>
        <v>4.5</v>
      </c>
      <c r="R1292" s="9"/>
    </row>
    <row r="1293" spans="1:18" x14ac:dyDescent="0.25">
      <c r="A1293" s="9" t="s">
        <v>23</v>
      </c>
      <c r="B1293" s="9">
        <f>ROW() - ROW(TablaCosechas[[#Headers],[ID]]) - 4</f>
        <v>1288</v>
      </c>
      <c r="C1293" s="9" t="str">
        <f>LEFT(A1293,2)</f>
        <v>CH</v>
      </c>
      <c r="D1293" s="182" t="s">
        <v>367</v>
      </c>
      <c r="E1293" s="178">
        <v>8200</v>
      </c>
      <c r="F1293" s="19">
        <v>22</v>
      </c>
      <c r="G1293" s="195">
        <v>46088</v>
      </c>
      <c r="H1293" s="9" t="str">
        <f>VLOOKUP(TablaCosechas[[#This Row],[COD]],DATOS!$E$3:$F$27,2,0)</f>
        <v>CHERNA</v>
      </c>
      <c r="I1293" s="9" t="str">
        <f>RIGHT(TablaCosechas[[#This Row],[SECTOR/PISCINA]],2)</f>
        <v>18</v>
      </c>
      <c r="J1293" s="9" t="str">
        <f>VLOOKUP(TablaCosechas[[#This Row],[COD]],Tabla7[#All],4,0)</f>
        <v>SANTIAGO OBRIEN</v>
      </c>
      <c r="K1293" s="179">
        <f>(TablaCosechas[[#This Row],[libras planta]]*454)/M1293</f>
        <v>173662.33537117907</v>
      </c>
      <c r="L1293" s="215">
        <v>8759.6200000000008</v>
      </c>
      <c r="M1293" s="19">
        <v>22.9</v>
      </c>
      <c r="N1293" s="9" t="str">
        <f>UPPER(TEXT(TablaCosechas[[#This Row],[COSECHA]],"MMMM"))</f>
        <v>MARZO</v>
      </c>
      <c r="O1293" s="9" t="str">
        <f>IF(A1293="DO 29","BAP",IF(A1293="RO 14","BAP",(VLOOKUP(TablaCosechas[[#This Row],[COD]],Tabla7[[CODIGO]:[CERTIFICACION]],3,0))))</f>
        <v>ASC</v>
      </c>
      <c r="P1293" s="180">
        <f>+L1293-E1293</f>
        <v>559.6200000000008</v>
      </c>
      <c r="Q1293" s="181">
        <f>+M1293-F1293</f>
        <v>0.89999999999999858</v>
      </c>
      <c r="R1293" s="9"/>
    </row>
    <row r="1294" spans="1:18" x14ac:dyDescent="0.25">
      <c r="A1294" s="9" t="s">
        <v>324</v>
      </c>
      <c r="B1294" s="9">
        <f>ROW() - ROW(TablaCosechas[[#Headers],[ID]]) - 4</f>
        <v>1289</v>
      </c>
      <c r="C1294" s="9" t="str">
        <f>LEFT(A1294,2)</f>
        <v>WA</v>
      </c>
      <c r="D1294" s="182" t="s">
        <v>367</v>
      </c>
      <c r="E1294" s="178">
        <v>16000</v>
      </c>
      <c r="F1294" s="19">
        <v>21</v>
      </c>
      <c r="G1294" s="195">
        <v>46089</v>
      </c>
      <c r="H1294" s="9" t="str">
        <f>VLOOKUP(TablaCosechas[[#This Row],[COD]],DATOS!$E$3:$F$27,2,0)</f>
        <v>WAHOO</v>
      </c>
      <c r="I1294" s="9" t="str">
        <f>RIGHT(TablaCosechas[[#This Row],[SECTOR/PISCINA]],2)</f>
        <v>11</v>
      </c>
      <c r="J1294" s="9" t="str">
        <f>VLOOKUP(TablaCosechas[[#This Row],[COD]],Tabla7[#All],4,0)</f>
        <v>JUNIOR ESQUIVEL</v>
      </c>
      <c r="K1294" s="179">
        <f>(TablaCosechas[[#This Row],[libras planta]]*454)/M1294</f>
        <v>341960.55742296914</v>
      </c>
      <c r="L1294" s="215">
        <v>16133.91</v>
      </c>
      <c r="M1294" s="19">
        <v>21.42</v>
      </c>
      <c r="N1294" s="9" t="str">
        <f>UPPER(TEXT(TablaCosechas[[#This Row],[COSECHA]],"MMMM"))</f>
        <v>MARZO</v>
      </c>
      <c r="O1294" s="9" t="str">
        <f>IF(A1294="DO 29","BAP",IF(A1294="RO 14","BAP",(VLOOKUP(TablaCosechas[[#This Row],[COD]],Tabla7[[CODIGO]:[CERTIFICACION]],3,0))))</f>
        <v>CONVENCIONAL</v>
      </c>
      <c r="P1294" s="180">
        <f>+L1294-E1294</f>
        <v>133.90999999999985</v>
      </c>
      <c r="Q1294" s="181">
        <f>+M1294-F1294</f>
        <v>0.42000000000000171</v>
      </c>
      <c r="R1294" s="9"/>
    </row>
    <row r="1295" spans="1:18" x14ac:dyDescent="0.25">
      <c r="A1295" s="9" t="s">
        <v>272</v>
      </c>
      <c r="B1295" s="9">
        <f>ROW() - ROW(TablaCosechas[[#Headers],[ID]]) - 4</f>
        <v>1290</v>
      </c>
      <c r="C1295" s="9" t="str">
        <f>LEFT(A1295,2)</f>
        <v>PR</v>
      </c>
      <c r="D1295" s="182" t="s">
        <v>366</v>
      </c>
      <c r="E1295" s="178">
        <v>15800</v>
      </c>
      <c r="F1295" s="19">
        <v>21</v>
      </c>
      <c r="G1295" s="195">
        <v>46089</v>
      </c>
      <c r="H1295" s="9" t="str">
        <f>VLOOKUP(TablaCosechas[[#This Row],[COD]],DATOS!$E$3:$F$27,2,0)</f>
        <v>PARGO ROJO</v>
      </c>
      <c r="I1295" s="9" t="str">
        <f>RIGHT(TablaCosechas[[#This Row],[SECTOR/PISCINA]],2)</f>
        <v>07</v>
      </c>
      <c r="J1295" s="9" t="str">
        <f>VLOOKUP(TablaCosechas[[#This Row],[COD]],Tabla7[#All],4,0)</f>
        <v>WILMER TORRES</v>
      </c>
      <c r="K1295" s="179">
        <f>(TablaCosechas[[#This Row],[libras planta]]*454)/M1295</f>
        <v>369137.48787061992</v>
      </c>
      <c r="L1295" s="215">
        <v>18099.12</v>
      </c>
      <c r="M1295" s="19">
        <v>22.26</v>
      </c>
      <c r="N1295" s="9" t="str">
        <f>UPPER(TEXT(TablaCosechas[[#This Row],[COSECHA]],"MMMM"))</f>
        <v>MARZO</v>
      </c>
      <c r="O1295" s="9" t="str">
        <f>IF(A1295="DO 29","BAP",IF(A1295="RO 14","BAP",(VLOOKUP(TablaCosechas[[#This Row],[COD]],Tabla7[[CODIGO]:[CERTIFICACION]],3,0))))</f>
        <v>CONVENCIONAL</v>
      </c>
      <c r="P1295" s="180">
        <f>+L1295-E1295</f>
        <v>2299.119999999999</v>
      </c>
      <c r="Q1295" s="181">
        <f>+M1295-F1295</f>
        <v>1.2600000000000016</v>
      </c>
      <c r="R1295" s="9"/>
    </row>
    <row r="1296" spans="1:18" x14ac:dyDescent="0.25">
      <c r="A1296" s="9" t="s">
        <v>271</v>
      </c>
      <c r="B1296" s="9">
        <f>ROW() - ROW(TablaCosechas[[#Headers],[ID]]) - 4</f>
        <v>1291</v>
      </c>
      <c r="C1296" s="9" t="str">
        <f>LEFT(A1296,2)</f>
        <v>MA</v>
      </c>
      <c r="D1296" s="182" t="s">
        <v>366</v>
      </c>
      <c r="E1296" s="178">
        <v>30300</v>
      </c>
      <c r="F1296" s="19">
        <v>32</v>
      </c>
      <c r="G1296" s="195">
        <v>46089</v>
      </c>
      <c r="H1296" s="9" t="str">
        <f>VLOOKUP(TablaCosechas[[#This Row],[COD]],DATOS!$E$3:$F$27,2,0)</f>
        <v>MANTARRAYA</v>
      </c>
      <c r="I1296" s="9" t="str">
        <f>RIGHT(TablaCosechas[[#This Row],[SECTOR/PISCINA]],2)</f>
        <v>01</v>
      </c>
      <c r="J1296" s="9" t="str">
        <f>VLOOKUP(TablaCosechas[[#This Row],[COD]],Tabla7[#All],4,0)</f>
        <v>GUSTAVO CARRASCO</v>
      </c>
      <c r="K1296" s="179">
        <f>(TablaCosechas[[#This Row],[libras planta]]*454)/M1296</f>
        <v>411069.65712581994</v>
      </c>
      <c r="L1296" s="215">
        <v>30368.45</v>
      </c>
      <c r="M1296" s="19">
        <v>33.54</v>
      </c>
      <c r="N1296" s="9" t="str">
        <f>UPPER(TEXT(TablaCosechas[[#This Row],[COSECHA]],"MMMM"))</f>
        <v>MARZO</v>
      </c>
      <c r="O1296" s="9" t="str">
        <f>IF(A1296="DO 29","BAP",IF(A1296="RO 14","BAP",(VLOOKUP(TablaCosechas[[#This Row],[COD]],Tabla7[[CODIGO]:[CERTIFICACION]],3,0))))</f>
        <v>ASC</v>
      </c>
      <c r="P1296" s="180">
        <f>+L1296-E1296</f>
        <v>68.450000000000728</v>
      </c>
      <c r="Q1296" s="181">
        <f>+M1296-F1296</f>
        <v>1.5399999999999991</v>
      </c>
      <c r="R1296" s="9"/>
    </row>
    <row r="1297" spans="1:18" x14ac:dyDescent="0.25">
      <c r="A1297" s="9" t="s">
        <v>270</v>
      </c>
      <c r="B1297" s="9">
        <f>ROW() - ROW(TablaCosechas[[#Headers],[ID]]) - 4</f>
        <v>1292</v>
      </c>
      <c r="C1297" s="9" t="str">
        <f>LEFT(A1297,2)</f>
        <v>DO</v>
      </c>
      <c r="D1297" s="182" t="s">
        <v>366</v>
      </c>
      <c r="E1297" s="178">
        <v>16000</v>
      </c>
      <c r="F1297" s="19">
        <v>45</v>
      </c>
      <c r="G1297" s="195">
        <v>46089</v>
      </c>
      <c r="H1297" s="9" t="str">
        <f>VLOOKUP(TablaCosechas[[#This Row],[COD]],DATOS!$E$3:$F$27,2,0)</f>
        <v>DORADO</v>
      </c>
      <c r="I1297" s="9" t="str">
        <f>RIGHT(TablaCosechas[[#This Row],[SECTOR/PISCINA]],2)</f>
        <v>01</v>
      </c>
      <c r="J1297" s="9" t="str">
        <f>VLOOKUP(TablaCosechas[[#This Row],[COD]],Tabla7[#All],4,0)</f>
        <v>JOSE CEDEÑO</v>
      </c>
      <c r="K1297" s="179">
        <f>(TablaCosechas[[#This Row],[libras planta]]*454)/M1297</f>
        <v>194468.88373253495</v>
      </c>
      <c r="L1297" s="215">
        <v>17168.09</v>
      </c>
      <c r="M1297" s="19">
        <v>40.08</v>
      </c>
      <c r="N1297" s="9" t="str">
        <f>UPPER(TEXT(TablaCosechas[[#This Row],[COSECHA]],"MMMM"))</f>
        <v>MARZO</v>
      </c>
      <c r="O1297" s="9" t="str">
        <f>IF(A1297="DO 29","BAP",IF(A1297="RO 14","BAP",(VLOOKUP(TablaCosechas[[#This Row],[COD]],Tabla7[[CODIGO]:[CERTIFICACION]],3,0))))</f>
        <v>ASC</v>
      </c>
      <c r="P1297" s="180">
        <f>+L1297-E1297</f>
        <v>1168.0900000000001</v>
      </c>
      <c r="Q1297" s="181">
        <f>+M1297-F1297</f>
        <v>-4.9200000000000017</v>
      </c>
      <c r="R1297" s="9"/>
    </row>
    <row r="1298" spans="1:18" x14ac:dyDescent="0.25">
      <c r="A1298" s="9" t="s">
        <v>125</v>
      </c>
      <c r="B1298" s="9">
        <f>ROW() - ROW(TablaCosechas[[#Headers],[ID]]) - 4</f>
        <v>1293</v>
      </c>
      <c r="C1298" s="9" t="str">
        <f>LEFT(A1298,2)</f>
        <v>DE</v>
      </c>
      <c r="D1298" s="182" t="s">
        <v>366</v>
      </c>
      <c r="E1298" s="178">
        <v>5100</v>
      </c>
      <c r="F1298" s="19">
        <v>30</v>
      </c>
      <c r="G1298" s="195">
        <v>46089</v>
      </c>
      <c r="H1298" s="9" t="str">
        <f>VLOOKUP(TablaCosechas[[#This Row],[COD]],DATOS!$E$3:$F$27,2,0)</f>
        <v>DELFIN</v>
      </c>
      <c r="I1298" s="9" t="str">
        <f>RIGHT(TablaCosechas[[#This Row],[SECTOR/PISCINA]],2)</f>
        <v>15</v>
      </c>
      <c r="J1298" s="9" t="str">
        <f>VLOOKUP(TablaCosechas[[#This Row],[COD]],Tabla7[#All],4,0)</f>
        <v>CARLOS FLORES</v>
      </c>
      <c r="K1298" s="179">
        <f>(TablaCosechas[[#This Row],[libras planta]]*454)/M1298</f>
        <v>67824.420766676718</v>
      </c>
      <c r="L1298" s="215">
        <v>4949.3900000000003</v>
      </c>
      <c r="M1298" s="19">
        <v>33.130000000000003</v>
      </c>
      <c r="N1298" s="9" t="str">
        <f>UPPER(TEXT(TablaCosechas[[#This Row],[COSECHA]],"MMMM"))</f>
        <v>MARZO</v>
      </c>
      <c r="O1298" s="9" t="str">
        <f>IF(A1298="DO 29","BAP",IF(A1298="RO 14","BAP",(VLOOKUP(TablaCosechas[[#This Row],[COD]],Tabla7[[CODIGO]:[CERTIFICACION]],3,0))))</f>
        <v>CONVENCIONAL</v>
      </c>
      <c r="P1298" s="180">
        <f>+L1298-E1298</f>
        <v>-150.60999999999967</v>
      </c>
      <c r="Q1298" s="181">
        <f>+M1298-F1298</f>
        <v>3.1300000000000026</v>
      </c>
      <c r="R1298" s="9"/>
    </row>
    <row r="1299" spans="1:18" x14ac:dyDescent="0.25">
      <c r="A1299" s="9" t="s">
        <v>30</v>
      </c>
      <c r="B1299" s="9">
        <f>ROW() - ROW(TablaCosechas[[#Headers],[ID]]) - 4</f>
        <v>1294</v>
      </c>
      <c r="C1299" s="9" t="str">
        <f>LEFT(A1299,2)</f>
        <v>CH</v>
      </c>
      <c r="D1299" s="182" t="s">
        <v>366</v>
      </c>
      <c r="E1299" s="178">
        <v>46800</v>
      </c>
      <c r="F1299" s="19">
        <v>32</v>
      </c>
      <c r="G1299" s="195">
        <v>46089</v>
      </c>
      <c r="H1299" s="9" t="str">
        <f>VLOOKUP(TablaCosechas[[#This Row],[COD]],DATOS!$E$3:$F$27,2,0)</f>
        <v>CHERNA</v>
      </c>
      <c r="I1299" s="9" t="str">
        <f>RIGHT(TablaCosechas[[#This Row],[SECTOR/PISCINA]],2)</f>
        <v>19</v>
      </c>
      <c r="J1299" s="9" t="str">
        <f>VLOOKUP(TablaCosechas[[#This Row],[COD]],Tabla7[#All],4,0)</f>
        <v>SANTIAGO OBRIEN</v>
      </c>
      <c r="K1299" s="179">
        <f>(TablaCosechas[[#This Row],[libras planta]]*454)/M1299</f>
        <v>714997.28724832216</v>
      </c>
      <c r="L1299" s="215">
        <v>46931.54</v>
      </c>
      <c r="M1299" s="19">
        <v>29.8</v>
      </c>
      <c r="N1299" s="9" t="str">
        <f>UPPER(TEXT(TablaCosechas[[#This Row],[COSECHA]],"MMMM"))</f>
        <v>MARZO</v>
      </c>
      <c r="O1299" s="9" t="str">
        <f>IF(A1299="DO 29","BAP",IF(A1299="RO 14","BAP",(VLOOKUP(TablaCosechas[[#This Row],[COD]],Tabla7[[CODIGO]:[CERTIFICACION]],3,0))))</f>
        <v>ASC</v>
      </c>
      <c r="P1299" s="180">
        <f>+L1299-E1299</f>
        <v>131.54000000000087</v>
      </c>
      <c r="Q1299" s="181">
        <f>+M1299-F1299</f>
        <v>-2.1999999999999993</v>
      </c>
      <c r="R1299" s="9"/>
    </row>
    <row r="1300" spans="1:18" x14ac:dyDescent="0.25">
      <c r="A1300" s="9" t="s">
        <v>339</v>
      </c>
      <c r="B1300" s="9">
        <f>ROW() - ROW(TablaCosechas[[#Headers],[ID]]) - 4</f>
        <v>1295</v>
      </c>
      <c r="C1300" s="9" t="str">
        <f>LEFT(A1300,2)</f>
        <v>WA</v>
      </c>
      <c r="D1300" s="182" t="s">
        <v>367</v>
      </c>
      <c r="E1300" s="178">
        <v>8100</v>
      </c>
      <c r="F1300" s="19">
        <v>23</v>
      </c>
      <c r="G1300" s="195">
        <v>46090</v>
      </c>
      <c r="H1300" s="9" t="str">
        <f>VLOOKUP(TablaCosechas[[#This Row],[COD]],DATOS!$E$3:$F$27,2,0)</f>
        <v>WAHOO</v>
      </c>
      <c r="I1300" s="9" t="str">
        <f>RIGHT(TablaCosechas[[#This Row],[SECTOR/PISCINA]],2)</f>
        <v>16</v>
      </c>
      <c r="J1300" s="9" t="str">
        <f>VLOOKUP(TablaCosechas[[#This Row],[COD]],Tabla7[#All],4,0)</f>
        <v>JUNIOR ESQUIVEL</v>
      </c>
      <c r="K1300" s="179">
        <f>(TablaCosechas[[#This Row],[libras planta]]*454)/M1300</f>
        <v>166204.70879590092</v>
      </c>
      <c r="L1300" s="215">
        <v>8573.82</v>
      </c>
      <c r="M1300" s="19">
        <v>23.42</v>
      </c>
      <c r="N1300" s="9" t="str">
        <f>UPPER(TEXT(TablaCosechas[[#This Row],[COSECHA]],"MMMM"))</f>
        <v>MARZO</v>
      </c>
      <c r="O1300" s="9" t="str">
        <f>IF(A1300="DO 29","BAP",IF(A1300="RO 14","BAP",(VLOOKUP(TablaCosechas[[#This Row],[COD]],Tabla7[[CODIGO]:[CERTIFICACION]],3,0))))</f>
        <v>CONVENCIONAL</v>
      </c>
      <c r="P1300" s="180">
        <f>+L1300-E1300</f>
        <v>473.81999999999971</v>
      </c>
      <c r="Q1300" s="181">
        <f>+M1300-F1300</f>
        <v>0.42000000000000171</v>
      </c>
      <c r="R1300" s="9"/>
    </row>
    <row r="1301" spans="1:18" x14ac:dyDescent="0.25">
      <c r="A1301" s="9" t="s">
        <v>128</v>
      </c>
      <c r="B1301" s="9">
        <f>ROW() - ROW(TablaCosechas[[#Headers],[ID]]) - 4</f>
        <v>1296</v>
      </c>
      <c r="C1301" s="9" t="str">
        <f>LEFT(A1301,2)</f>
        <v>PA</v>
      </c>
      <c r="D1301" s="182" t="s">
        <v>367</v>
      </c>
      <c r="E1301" s="178">
        <v>7500</v>
      </c>
      <c r="F1301" s="19">
        <v>15</v>
      </c>
      <c r="G1301" s="195">
        <v>46090</v>
      </c>
      <c r="H1301" s="9" t="str">
        <f>VLOOKUP(TablaCosechas[[#This Row],[COD]],DATOS!$E$3:$F$27,2,0)</f>
        <v>PAMPANO</v>
      </c>
      <c r="I1301" s="9" t="str">
        <f>RIGHT(TablaCosechas[[#This Row],[SECTOR/PISCINA]],2)</f>
        <v>14</v>
      </c>
      <c r="J1301" s="9" t="str">
        <f>VLOOKUP(TablaCosechas[[#This Row],[COD]],Tabla7[#All],4,0)</f>
        <v>GUSTAVO CARRASCO</v>
      </c>
      <c r="K1301" s="179">
        <f>(TablaCosechas[[#This Row],[libras planta]]*454)/M1301</f>
        <v>256143.5451174289</v>
      </c>
      <c r="L1301" s="215">
        <v>9128.64</v>
      </c>
      <c r="M1301" s="19">
        <v>16.18</v>
      </c>
      <c r="N1301" s="9" t="str">
        <f>UPPER(TEXT(TablaCosechas[[#This Row],[COSECHA]],"MMMM"))</f>
        <v>MARZO</v>
      </c>
      <c r="O1301" s="9" t="str">
        <f>IF(A1301="DO 29","BAP",IF(A1301="RO 14","BAP",(VLOOKUP(TablaCosechas[[#This Row],[COD]],Tabla7[[CODIGO]:[CERTIFICACION]],3,0))))</f>
        <v>ASC</v>
      </c>
      <c r="P1301" s="180">
        <f>+L1301-E1301</f>
        <v>1628.6399999999994</v>
      </c>
      <c r="Q1301" s="181">
        <f>+M1301-F1301</f>
        <v>1.1799999999999997</v>
      </c>
      <c r="R1301" s="9"/>
    </row>
    <row r="1302" spans="1:18" x14ac:dyDescent="0.25">
      <c r="A1302" s="9" t="s">
        <v>274</v>
      </c>
      <c r="B1302" s="9">
        <f>ROW() - ROW(TablaCosechas[[#Headers],[ID]]) - 4</f>
        <v>1297</v>
      </c>
      <c r="C1302" s="9" t="str">
        <f>LEFT(A1302,2)</f>
        <v>ME</v>
      </c>
      <c r="D1302" s="182" t="s">
        <v>366</v>
      </c>
      <c r="E1302" s="178">
        <f>12000+7200+2700</f>
        <v>21900</v>
      </c>
      <c r="F1302" s="19">
        <v>40</v>
      </c>
      <c r="G1302" s="195">
        <v>46090</v>
      </c>
      <c r="H1302" s="9" t="str">
        <f>VLOOKUP(TablaCosechas[[#This Row],[COD]],DATOS!$E$3:$F$27,2,0)</f>
        <v>MERO</v>
      </c>
      <c r="I1302" s="9" t="str">
        <f>RIGHT(TablaCosechas[[#This Row],[SECTOR/PISCINA]],2)</f>
        <v>04</v>
      </c>
      <c r="J1302" s="9" t="str">
        <f>VLOOKUP(TablaCosechas[[#This Row],[COD]],Tabla7[#All],4,0)</f>
        <v>NESTOR MOGOLLON</v>
      </c>
      <c r="K1302" s="179">
        <f>(TablaCosechas[[#This Row],[libras planta]]*454)/M1302</f>
        <v>248269.03797468354</v>
      </c>
      <c r="L1302" s="215">
        <v>21600.5</v>
      </c>
      <c r="M1302" s="19">
        <v>39.5</v>
      </c>
      <c r="N1302" s="9" t="str">
        <f>UPPER(TEXT(TablaCosechas[[#This Row],[COSECHA]],"MMMM"))</f>
        <v>MARZO</v>
      </c>
      <c r="O1302" s="9" t="str">
        <f>IF(A1302="DO 29","BAP",IF(A1302="RO 14","BAP",(VLOOKUP(TablaCosechas[[#This Row],[COD]],Tabla7[[CODIGO]:[CERTIFICACION]],3,0))))</f>
        <v>CONVENCIONAL</v>
      </c>
      <c r="P1302" s="180">
        <f>+L1302-E1302</f>
        <v>-299.5</v>
      </c>
      <c r="Q1302" s="181">
        <f>+M1302-F1302</f>
        <v>-0.5</v>
      </c>
      <c r="R1302" s="9"/>
    </row>
    <row r="1303" spans="1:18" x14ac:dyDescent="0.25">
      <c r="A1303" s="9" t="s">
        <v>310</v>
      </c>
      <c r="B1303" s="9">
        <f>ROW() - ROW(TablaCosechas[[#Headers],[ID]]) - 4</f>
        <v>1298</v>
      </c>
      <c r="C1303" s="9" t="str">
        <f>LEFT(A1303,2)</f>
        <v>GT</v>
      </c>
      <c r="D1303" s="182" t="s">
        <v>367</v>
      </c>
      <c r="E1303" s="178">
        <v>3000</v>
      </c>
      <c r="F1303" s="19">
        <v>25</v>
      </c>
      <c r="G1303" s="195">
        <v>46090</v>
      </c>
      <c r="H1303" s="9" t="str">
        <f>VLOOKUP(TablaCosechas[[#This Row],[COD]],DATOS!$E$3:$F$27,2,0)</f>
        <v>GUATO</v>
      </c>
      <c r="I1303" s="9" t="str">
        <f>RIGHT(TablaCosechas[[#This Row],[SECTOR/PISCINA]],2)</f>
        <v>13</v>
      </c>
      <c r="J1303" s="9" t="str">
        <f>VLOOKUP(TablaCosechas[[#This Row],[COD]],Tabla7[#All],4,0)</f>
        <v>JULIO SANTOS</v>
      </c>
      <c r="K1303" s="179">
        <f>(TablaCosechas[[#This Row],[libras planta]]*454)/M1303</f>
        <v>64161.907841552151</v>
      </c>
      <c r="L1303" s="215">
        <v>3496.4</v>
      </c>
      <c r="M1303" s="19">
        <v>24.74</v>
      </c>
      <c r="N1303" s="9" t="str">
        <f>UPPER(TEXT(TablaCosechas[[#This Row],[COSECHA]],"MMMM"))</f>
        <v>MARZO</v>
      </c>
      <c r="O1303" s="9" t="str">
        <f>IF(A1303="DO 29","BAP",IF(A1303="RO 14","BAP",(VLOOKUP(TablaCosechas[[#This Row],[COD]],Tabla7[[CODIGO]:[CERTIFICACION]],3,0))))</f>
        <v>CONVENCIONAL</v>
      </c>
      <c r="P1303" s="180">
        <f>+L1303-E1303</f>
        <v>496.40000000000009</v>
      </c>
      <c r="Q1303" s="181">
        <f>+M1303-F1303</f>
        <v>-0.26000000000000156</v>
      </c>
      <c r="R1303" s="9"/>
    </row>
    <row r="1304" spans="1:18" x14ac:dyDescent="0.25">
      <c r="A1304" s="9" t="s">
        <v>273</v>
      </c>
      <c r="B1304" s="9">
        <f>ROW() - ROW(TablaCosechas[[#Headers],[ID]]) - 4</f>
        <v>1299</v>
      </c>
      <c r="C1304" s="9" t="str">
        <f>LEFT(A1304,2)</f>
        <v>DE</v>
      </c>
      <c r="D1304" s="182" t="s">
        <v>366</v>
      </c>
      <c r="E1304" s="178">
        <v>13000</v>
      </c>
      <c r="F1304" s="19">
        <v>35</v>
      </c>
      <c r="G1304" s="195">
        <v>46090</v>
      </c>
      <c r="H1304" s="9" t="str">
        <f>VLOOKUP(TablaCosechas[[#This Row],[COD]],DATOS!$E$3:$F$27,2,0)</f>
        <v>DELFIN</v>
      </c>
      <c r="I1304" s="9" t="str">
        <f>RIGHT(TablaCosechas[[#This Row],[SECTOR/PISCINA]],2)</f>
        <v>16</v>
      </c>
      <c r="J1304" s="9" t="str">
        <f>VLOOKUP(TablaCosechas[[#This Row],[COD]],Tabla7[#All],4,0)</f>
        <v>CARLOS FLORES</v>
      </c>
      <c r="K1304" s="179">
        <f>(TablaCosechas[[#This Row],[libras planta]]*454)/M1304</f>
        <v>162867.68405963303</v>
      </c>
      <c r="L1304" s="215">
        <v>12512.83</v>
      </c>
      <c r="M1304" s="19">
        <v>34.880000000000003</v>
      </c>
      <c r="N1304" s="9" t="str">
        <f>UPPER(TEXT(TablaCosechas[[#This Row],[COSECHA]],"MMMM"))</f>
        <v>MARZO</v>
      </c>
      <c r="O1304" s="9" t="str">
        <f>IF(A1304="DO 29","BAP",IF(A1304="RO 14","BAP",(VLOOKUP(TablaCosechas[[#This Row],[COD]],Tabla7[[CODIGO]:[CERTIFICACION]],3,0))))</f>
        <v>CONVENCIONAL</v>
      </c>
      <c r="P1304" s="180">
        <f>+L1304-E1304</f>
        <v>-487.17000000000007</v>
      </c>
      <c r="Q1304" s="181">
        <f>+M1304-F1304</f>
        <v>-0.11999999999999744</v>
      </c>
      <c r="R1304" s="9"/>
    </row>
    <row r="1305" spans="1:18" x14ac:dyDescent="0.25">
      <c r="A1305" s="9" t="s">
        <v>8</v>
      </c>
      <c r="B1305" s="9">
        <f>ROW() - ROW(TablaCosechas[[#Headers],[ID]]) - 4</f>
        <v>1300</v>
      </c>
      <c r="C1305" s="9" t="str">
        <f>LEFT(A1305,2)</f>
        <v>CH</v>
      </c>
      <c r="D1305" s="182" t="s">
        <v>366</v>
      </c>
      <c r="E1305" s="178">
        <v>41000</v>
      </c>
      <c r="F1305" s="19">
        <v>29.2</v>
      </c>
      <c r="G1305" s="195">
        <v>46090</v>
      </c>
      <c r="H1305" s="9" t="str">
        <f>VLOOKUP(TablaCosechas[[#This Row],[COD]],DATOS!$E$3:$F$27,2,0)</f>
        <v>CHERNA</v>
      </c>
      <c r="I1305" s="9" t="str">
        <f>RIGHT(TablaCosechas[[#This Row],[SECTOR/PISCINA]],2)</f>
        <v>02</v>
      </c>
      <c r="J1305" s="9" t="str">
        <f>VLOOKUP(TablaCosechas[[#This Row],[COD]],Tabla7[#All],4,0)</f>
        <v>SANTIAGO OBRIEN</v>
      </c>
      <c r="K1305" s="179">
        <f>(TablaCosechas[[#This Row],[libras planta]]*454)/M1305</f>
        <v>640329.29703652661</v>
      </c>
      <c r="L1305" s="215">
        <v>40930.300000000003</v>
      </c>
      <c r="M1305" s="19">
        <v>29.02</v>
      </c>
      <c r="N1305" s="9" t="str">
        <f>UPPER(TEXT(TablaCosechas[[#This Row],[COSECHA]],"MMMM"))</f>
        <v>MARZO</v>
      </c>
      <c r="O1305" s="9" t="str">
        <f>IF(A1305="DO 29","BAP",IF(A1305="RO 14","BAP",(VLOOKUP(TablaCosechas[[#This Row],[COD]],Tabla7[[CODIGO]:[CERTIFICACION]],3,0))))</f>
        <v>ASC</v>
      </c>
      <c r="P1305" s="180">
        <f>+L1305-E1305</f>
        <v>-69.69999999999709</v>
      </c>
      <c r="Q1305" s="181">
        <f>+M1305-F1305</f>
        <v>-0.17999999999999972</v>
      </c>
      <c r="R1305" s="9"/>
    </row>
    <row r="1306" spans="1:18" x14ac:dyDescent="0.25">
      <c r="A1306" s="9" t="s">
        <v>335</v>
      </c>
      <c r="B1306" s="9">
        <f>ROW() - ROW(TablaCosechas[[#Headers],[ID]]) - 4</f>
        <v>1301</v>
      </c>
      <c r="C1306" s="9" t="str">
        <f>LEFT(A1306,2)</f>
        <v>WA</v>
      </c>
      <c r="D1306" s="182" t="s">
        <v>367</v>
      </c>
      <c r="E1306" s="178">
        <v>6500</v>
      </c>
      <c r="F1306" s="19">
        <v>22</v>
      </c>
      <c r="G1306" s="195">
        <v>46091</v>
      </c>
      <c r="H1306" s="9" t="str">
        <f>VLOOKUP(TablaCosechas[[#This Row],[COD]],DATOS!$E$3:$F$27,2,0)</f>
        <v>WAHOO</v>
      </c>
      <c r="I1306" s="9" t="str">
        <f>RIGHT(TablaCosechas[[#This Row],[SECTOR/PISCINA]],2)</f>
        <v>19</v>
      </c>
      <c r="J1306" s="9" t="str">
        <f>VLOOKUP(TablaCosechas[[#This Row],[COD]],Tabla7[#All],4,0)</f>
        <v>JUNIOR ESQUIVEL</v>
      </c>
      <c r="K1306" s="179">
        <f>(TablaCosechas[[#This Row],[libras planta]]*454)/M1306</f>
        <v>135725.35486612833</v>
      </c>
      <c r="L1306" s="215">
        <v>7034.4</v>
      </c>
      <c r="M1306" s="19">
        <v>23.53</v>
      </c>
      <c r="N1306" s="9" t="str">
        <f>UPPER(TEXT(TablaCosechas[[#This Row],[COSECHA]],"MMMM"))</f>
        <v>MARZO</v>
      </c>
      <c r="O1306" s="9" t="str">
        <f>IF(A1306="DO 29","BAP",IF(A1306="RO 14","BAP",(VLOOKUP(TablaCosechas[[#This Row],[COD]],Tabla7[[CODIGO]:[CERTIFICACION]],3,0))))</f>
        <v>CONVENCIONAL</v>
      </c>
      <c r="P1306" s="180">
        <f>+L1306-E1306</f>
        <v>534.39999999999964</v>
      </c>
      <c r="Q1306" s="181">
        <f>+M1306-F1306</f>
        <v>1.5300000000000011</v>
      </c>
      <c r="R1306" s="9"/>
    </row>
    <row r="1307" spans="1:18" x14ac:dyDescent="0.25">
      <c r="A1307" s="9" t="s">
        <v>275</v>
      </c>
      <c r="B1307" s="9">
        <f>ROW() - ROW(TablaCosechas[[#Headers],[ID]]) - 4</f>
        <v>1302</v>
      </c>
      <c r="C1307" s="9" t="str">
        <f>LEFT(A1307,2)</f>
        <v>PR</v>
      </c>
      <c r="D1307" s="182" t="s">
        <v>366</v>
      </c>
      <c r="E1307" s="178">
        <v>11200</v>
      </c>
      <c r="F1307" s="19">
        <v>25</v>
      </c>
      <c r="G1307" s="195">
        <v>46091</v>
      </c>
      <c r="H1307" s="9" t="str">
        <f>VLOOKUP(TablaCosechas[[#This Row],[COD]],DATOS!$E$3:$F$27,2,0)</f>
        <v>PARGO ROJO</v>
      </c>
      <c r="I1307" s="9" t="str">
        <f>RIGHT(TablaCosechas[[#This Row],[SECTOR/PISCINA]],2)</f>
        <v>20</v>
      </c>
      <c r="J1307" s="9" t="str">
        <f>VLOOKUP(TablaCosechas[[#This Row],[COD]],Tabla7[#All],4,0)</f>
        <v>WILMER TORRES</v>
      </c>
      <c r="K1307" s="179">
        <f>(TablaCosechas[[#This Row],[libras planta]]*454)/M1307</f>
        <v>227672.08688387633</v>
      </c>
      <c r="L1307" s="215">
        <v>12005.44</v>
      </c>
      <c r="M1307" s="19">
        <v>23.94</v>
      </c>
      <c r="N1307" s="9" t="str">
        <f>UPPER(TEXT(TablaCosechas[[#This Row],[COSECHA]],"MMMM"))</f>
        <v>MARZO</v>
      </c>
      <c r="O1307" s="9" t="str">
        <f>IF(A1307="DO 29","BAP",IF(A1307="RO 14","BAP",(VLOOKUP(TablaCosechas[[#This Row],[COD]],Tabla7[[CODIGO]:[CERTIFICACION]],3,0))))</f>
        <v>CONVENCIONAL</v>
      </c>
      <c r="P1307" s="180">
        <f>+L1307-E1307</f>
        <v>805.44000000000051</v>
      </c>
      <c r="Q1307" s="181">
        <f>+M1307-F1307</f>
        <v>-1.0599999999999987</v>
      </c>
      <c r="R1307" s="9"/>
    </row>
    <row r="1308" spans="1:18" x14ac:dyDescent="0.25">
      <c r="A1308" s="9" t="s">
        <v>278</v>
      </c>
      <c r="B1308" s="9">
        <f>ROW() - ROW(TablaCosechas[[#Headers],[ID]]) - 4</f>
        <v>1303</v>
      </c>
      <c r="C1308" s="9" t="str">
        <f>LEFT(A1308,2)</f>
        <v>ME</v>
      </c>
      <c r="D1308" s="182" t="s">
        <v>366</v>
      </c>
      <c r="E1308" s="178">
        <f>8000+2300</f>
        <v>10300</v>
      </c>
      <c r="F1308" s="19">
        <v>45</v>
      </c>
      <c r="G1308" s="195">
        <v>46091</v>
      </c>
      <c r="H1308" s="9" t="str">
        <f>VLOOKUP(TablaCosechas[[#This Row],[COD]],DATOS!$E$3:$F$27,2,0)</f>
        <v>MERO</v>
      </c>
      <c r="I1308" s="9" t="str">
        <f>RIGHT(TablaCosechas[[#This Row],[SECTOR/PISCINA]],2)</f>
        <v>02</v>
      </c>
      <c r="J1308" s="9" t="str">
        <f>VLOOKUP(TablaCosechas[[#This Row],[COD]],Tabla7[#All],4,0)</f>
        <v>NESTOR MOGOLLON</v>
      </c>
      <c r="K1308" s="179">
        <f>(TablaCosechas[[#This Row],[libras planta]]*454)/M1308</f>
        <v>102831.95062816839</v>
      </c>
      <c r="L1308" s="215">
        <v>10276.4</v>
      </c>
      <c r="M1308" s="19">
        <v>45.37</v>
      </c>
      <c r="N1308" s="9" t="str">
        <f>UPPER(TEXT(TablaCosechas[[#This Row],[COSECHA]],"MMMM"))</f>
        <v>MARZO</v>
      </c>
      <c r="O1308" s="9" t="str">
        <f>IF(A1308="DO 29","BAP",IF(A1308="RO 14","BAP",(VLOOKUP(TablaCosechas[[#This Row],[COD]],Tabla7[[CODIGO]:[CERTIFICACION]],3,0))))</f>
        <v>CONVENCIONAL</v>
      </c>
      <c r="P1308" s="180">
        <f>+L1308-E1308</f>
        <v>-23.600000000000364</v>
      </c>
      <c r="Q1308" s="181">
        <f>+M1308-F1308</f>
        <v>0.36999999999999744</v>
      </c>
      <c r="R1308" s="9"/>
    </row>
    <row r="1309" spans="1:18" x14ac:dyDescent="0.25">
      <c r="A1309" s="9" t="s">
        <v>134</v>
      </c>
      <c r="B1309" s="9">
        <f>ROW() - ROW(TablaCosechas[[#Headers],[ID]]) - 4</f>
        <v>1304</v>
      </c>
      <c r="C1309" s="9" t="str">
        <f>LEFT(A1309,2)</f>
        <v>GT</v>
      </c>
      <c r="D1309" s="182" t="s">
        <v>367</v>
      </c>
      <c r="E1309" s="178">
        <v>4450</v>
      </c>
      <c r="F1309" s="19">
        <v>20</v>
      </c>
      <c r="G1309" s="195">
        <v>46091</v>
      </c>
      <c r="H1309" s="9" t="str">
        <f>VLOOKUP(TablaCosechas[[#This Row],[COD]],DATOS!$E$3:$F$27,2,0)</f>
        <v>GUATO</v>
      </c>
      <c r="I1309" s="9" t="str">
        <f>RIGHT(TablaCosechas[[#This Row],[SECTOR/PISCINA]],2)</f>
        <v>21</v>
      </c>
      <c r="J1309" s="9" t="str">
        <f>VLOOKUP(TablaCosechas[[#This Row],[COD]],Tabla7[#All],4,0)</f>
        <v>JULIO SANTOS</v>
      </c>
      <c r="K1309" s="179">
        <f>(TablaCosechas[[#This Row],[libras planta]]*454)/M1309</f>
        <v>110766.21551724139</v>
      </c>
      <c r="L1309" s="215">
        <v>5094.2700000000004</v>
      </c>
      <c r="M1309" s="19">
        <v>20.88</v>
      </c>
      <c r="N1309" s="9" t="str">
        <f>UPPER(TEXT(TablaCosechas[[#This Row],[COSECHA]],"MMMM"))</f>
        <v>MARZO</v>
      </c>
      <c r="O1309" s="9" t="str">
        <f>IF(A1309="DO 29","BAP",IF(A1309="RO 14","BAP",(VLOOKUP(TablaCosechas[[#This Row],[COD]],Tabla7[[CODIGO]:[CERTIFICACION]],3,0))))</f>
        <v>CONVENCIONAL</v>
      </c>
      <c r="P1309" s="180">
        <f>+L1309-E1309</f>
        <v>644.27000000000044</v>
      </c>
      <c r="Q1309" s="181">
        <f>+M1309-F1309</f>
        <v>0.87999999999999901</v>
      </c>
      <c r="R1309" s="9"/>
    </row>
    <row r="1310" spans="1:18" x14ac:dyDescent="0.25">
      <c r="A1310" s="9" t="s">
        <v>137</v>
      </c>
      <c r="B1310" s="9">
        <f>ROW() - ROW(TablaCosechas[[#Headers],[ID]]) - 4</f>
        <v>1305</v>
      </c>
      <c r="C1310" s="9" t="str">
        <f>LEFT(A1310,2)</f>
        <v>DO</v>
      </c>
      <c r="D1310" s="182" t="s">
        <v>367</v>
      </c>
      <c r="E1310" s="178">
        <v>12000</v>
      </c>
      <c r="F1310" s="19">
        <v>21</v>
      </c>
      <c r="G1310" s="195">
        <v>46091</v>
      </c>
      <c r="H1310" s="9" t="str">
        <f>VLOOKUP(TablaCosechas[[#This Row],[COD]],DATOS!$E$3:$F$27,2,0)</f>
        <v>DORADO</v>
      </c>
      <c r="I1310" s="9" t="str">
        <f>RIGHT(TablaCosechas[[#This Row],[SECTOR/PISCINA]],2)</f>
        <v>20</v>
      </c>
      <c r="J1310" s="9" t="str">
        <f>VLOOKUP(TablaCosechas[[#This Row],[COD]],Tabla7[#All],4,0)</f>
        <v>JOSE CEDEÑO</v>
      </c>
      <c r="K1310" s="179">
        <f>(TablaCosechas[[#This Row],[libras planta]]*454)/M1310</f>
        <v>252837.072119613</v>
      </c>
      <c r="L1310" s="215">
        <v>12664.13</v>
      </c>
      <c r="M1310" s="19">
        <v>22.74</v>
      </c>
      <c r="N1310" s="9" t="str">
        <f>UPPER(TEXT(TablaCosechas[[#This Row],[COSECHA]],"MMMM"))</f>
        <v>MARZO</v>
      </c>
      <c r="O1310" s="9" t="str">
        <f>IF(A1310="DO 29","BAP",IF(A1310="RO 14","BAP",(VLOOKUP(TablaCosechas[[#This Row],[COD]],Tabla7[[CODIGO]:[CERTIFICACION]],3,0))))</f>
        <v>ASC</v>
      </c>
      <c r="P1310" s="180">
        <f>+L1310-E1310</f>
        <v>664.1299999999992</v>
      </c>
      <c r="Q1310" s="181">
        <f>+M1310-F1310</f>
        <v>1.7399999999999984</v>
      </c>
      <c r="R1310" s="9"/>
    </row>
    <row r="1311" spans="1:18" x14ac:dyDescent="0.25">
      <c r="A1311" s="9" t="s">
        <v>276</v>
      </c>
      <c r="B1311" s="9">
        <f>ROW() - ROW(TablaCosechas[[#Headers],[ID]]) - 4</f>
        <v>1306</v>
      </c>
      <c r="C1311" s="9" t="str">
        <f>LEFT(A1311,2)</f>
        <v>DE</v>
      </c>
      <c r="D1311" s="182" t="s">
        <v>366</v>
      </c>
      <c r="E1311" s="178">
        <v>36000</v>
      </c>
      <c r="F1311" s="19">
        <v>32</v>
      </c>
      <c r="G1311" s="195">
        <v>46091</v>
      </c>
      <c r="H1311" s="9" t="str">
        <f>VLOOKUP(TablaCosechas[[#This Row],[COD]],DATOS!$E$3:$F$27,2,0)</f>
        <v>DELFIN</v>
      </c>
      <c r="I1311" s="9" t="str">
        <f>RIGHT(TablaCosechas[[#This Row],[SECTOR/PISCINA]],2)</f>
        <v>08</v>
      </c>
      <c r="J1311" s="9" t="str">
        <f>VLOOKUP(TablaCosechas[[#This Row],[COD]],Tabla7[#All],4,0)</f>
        <v>CARLOS FLORES</v>
      </c>
      <c r="K1311" s="179">
        <f>(TablaCosechas[[#This Row],[libras planta]]*454)/M1311</f>
        <v>514915.55884917179</v>
      </c>
      <c r="L1311" s="215">
        <v>39026.97</v>
      </c>
      <c r="M1311" s="19">
        <v>34.409999999999997</v>
      </c>
      <c r="N1311" s="9" t="str">
        <f>UPPER(TEXT(TablaCosechas[[#This Row],[COSECHA]],"MMMM"))</f>
        <v>MARZO</v>
      </c>
      <c r="O1311" s="9" t="str">
        <f>IF(A1311="DO 29","BAP",IF(A1311="RO 14","BAP",(VLOOKUP(TablaCosechas[[#This Row],[COD]],Tabla7[[CODIGO]:[CERTIFICACION]],3,0))))</f>
        <v>CONVENCIONAL</v>
      </c>
      <c r="P1311" s="180">
        <f>+L1311-E1311</f>
        <v>3026.9700000000012</v>
      </c>
      <c r="Q1311" s="49">
        <f>+M1311-F1311</f>
        <v>2.4099999999999966</v>
      </c>
      <c r="R1311" s="9"/>
    </row>
    <row r="1312" spans="1:18" x14ac:dyDescent="0.25">
      <c r="A1312" s="9" t="s">
        <v>277</v>
      </c>
      <c r="B1312" s="9">
        <f>ROW() - ROW(TablaCosechas[[#Headers],[ID]]) - 4</f>
        <v>1307</v>
      </c>
      <c r="C1312" s="9" t="str">
        <f>LEFT(A1312,2)</f>
        <v>CA</v>
      </c>
      <c r="D1312" s="182" t="s">
        <v>366</v>
      </c>
      <c r="E1312" s="178">
        <f>50500+2400</f>
        <v>52900</v>
      </c>
      <c r="F1312" s="19">
        <v>39</v>
      </c>
      <c r="G1312" s="195">
        <v>46091</v>
      </c>
      <c r="H1312" s="9" t="str">
        <f>VLOOKUP(TablaCosechas[[#This Row],[COD]],DATOS!$E$3:$F$27,2,0)</f>
        <v>CATANUDA</v>
      </c>
      <c r="I1312" s="9" t="str">
        <f>RIGHT(TablaCosechas[[#This Row],[SECTOR/PISCINA]],2)</f>
        <v>05</v>
      </c>
      <c r="J1312" s="9" t="str">
        <f>VLOOKUP(TablaCosechas[[#This Row],[COD]],Tabla7[#All],4,0)</f>
        <v>VICTOR QUINTANA</v>
      </c>
      <c r="K1312" s="179">
        <f>(TablaCosechas[[#This Row],[libras planta]]*454)/M1312</f>
        <v>672491.0972677595</v>
      </c>
      <c r="L1312" s="215">
        <v>54214.04</v>
      </c>
      <c r="M1312" s="19">
        <v>36.6</v>
      </c>
      <c r="N1312" s="9" t="str">
        <f>UPPER(TEXT(TablaCosechas[[#This Row],[COSECHA]],"MMMM"))</f>
        <v>MARZO</v>
      </c>
      <c r="O1312" s="9" t="str">
        <f>IF(A1312="DO 29","BAP",IF(A1312="RO 14","BAP",(VLOOKUP(TablaCosechas[[#This Row],[COD]],Tabla7[[CODIGO]:[CERTIFICACION]],3,0))))</f>
        <v>ASC</v>
      </c>
      <c r="P1312" s="180">
        <f>+L1312-E1312</f>
        <v>1314.0400000000009</v>
      </c>
      <c r="Q1312" s="49">
        <f>+M1312-F1312</f>
        <v>-2.3999999999999986</v>
      </c>
      <c r="R1312" s="9"/>
    </row>
    <row r="1313" spans="1:18" x14ac:dyDescent="0.25">
      <c r="A1313" s="9" t="s">
        <v>345</v>
      </c>
      <c r="B1313" s="9">
        <f>ROW() - ROW(TablaCosechas[[#Headers],[ID]]) - 4</f>
        <v>1308</v>
      </c>
      <c r="C1313" s="9" t="str">
        <f>LEFT(A1313,2)</f>
        <v>WA</v>
      </c>
      <c r="D1313" s="182" t="s">
        <v>367</v>
      </c>
      <c r="E1313" s="178">
        <v>7850</v>
      </c>
      <c r="F1313" s="19">
        <v>22</v>
      </c>
      <c r="G1313" s="195">
        <v>46092</v>
      </c>
      <c r="H1313" s="9" t="str">
        <f>VLOOKUP(TablaCosechas[[#This Row],[COD]],DATOS!$E$3:$F$27,2,0)</f>
        <v>WAHOO</v>
      </c>
      <c r="I1313" s="9" t="str">
        <f>RIGHT(TablaCosechas[[#This Row],[SECTOR/PISCINA]],2)</f>
        <v>35</v>
      </c>
      <c r="J1313" s="9" t="str">
        <f>VLOOKUP(TablaCosechas[[#This Row],[COD]],Tabla7[#All],4,0)</f>
        <v>JUNIOR ESQUIVEL</v>
      </c>
      <c r="K1313" s="179">
        <f>(TablaCosechas[[#This Row],[libras planta]]*454)/M1313</f>
        <v>160728.11743772242</v>
      </c>
      <c r="L1313" s="215">
        <v>7958.52</v>
      </c>
      <c r="M1313" s="19">
        <v>22.48</v>
      </c>
      <c r="N1313" s="9" t="str">
        <f>UPPER(TEXT(TablaCosechas[[#This Row],[COSECHA]],"MMMM"))</f>
        <v>MARZO</v>
      </c>
      <c r="O1313" s="9" t="str">
        <f>IF(A1313="DO 29","BAP",IF(A1313="RO 14","BAP",(VLOOKUP(TablaCosechas[[#This Row],[COD]],Tabla7[[CODIGO]:[CERTIFICACION]],3,0))))</f>
        <v>CONVENCIONAL</v>
      </c>
      <c r="P1313" s="180">
        <f>+L1313-E1313</f>
        <v>108.52000000000044</v>
      </c>
      <c r="Q1313" s="49">
        <f>+M1313-F1313</f>
        <v>0.48000000000000043</v>
      </c>
      <c r="R1313" s="9"/>
    </row>
    <row r="1314" spans="1:18" x14ac:dyDescent="0.25">
      <c r="A1314" s="9" t="s">
        <v>303</v>
      </c>
      <c r="B1314" s="9">
        <f>ROW() - ROW(TablaCosechas[[#Headers],[ID]]) - 4</f>
        <v>1309</v>
      </c>
      <c r="C1314" s="9" t="str">
        <f>LEFT(A1314,2)</f>
        <v>TI</v>
      </c>
      <c r="D1314" s="182" t="s">
        <v>367</v>
      </c>
      <c r="E1314" s="178">
        <v>18000</v>
      </c>
      <c r="F1314" s="19">
        <v>33</v>
      </c>
      <c r="G1314" s="195">
        <v>46092</v>
      </c>
      <c r="H1314" s="9" t="str">
        <f>VLOOKUP(TablaCosechas[[#This Row],[COD]],DATOS!$E$3:$F$27,2,0)</f>
        <v>TIBURON</v>
      </c>
      <c r="I1314" s="9" t="str">
        <f>RIGHT(TablaCosechas[[#This Row],[SECTOR/PISCINA]],2)</f>
        <v>16</v>
      </c>
      <c r="J1314" s="9" t="str">
        <f>VLOOKUP(TablaCosechas[[#This Row],[COD]],Tabla7[#All],4,0)</f>
        <v>ALFONSO GRUNAUER</v>
      </c>
      <c r="K1314" s="179">
        <f>(TablaCosechas[[#This Row],[libras planta]]*454)/M1314</f>
        <v>260454.03843807202</v>
      </c>
      <c r="L1314" s="215">
        <v>18805.47</v>
      </c>
      <c r="M1314" s="19">
        <v>32.78</v>
      </c>
      <c r="N1314" s="9" t="str">
        <f>UPPER(TEXT(TablaCosechas[[#This Row],[COSECHA]],"MMMM"))</f>
        <v>MARZO</v>
      </c>
      <c r="O1314" s="9" t="str">
        <f>IF(A1314="DO 29","BAP",IF(A1314="RO 14","BAP",(VLOOKUP(TablaCosechas[[#This Row],[COD]],Tabla7[[CODIGO]:[CERTIFICACION]],3,0))))</f>
        <v>ASC</v>
      </c>
      <c r="P1314" s="180">
        <f>+L1314-E1314</f>
        <v>805.47000000000116</v>
      </c>
      <c r="Q1314" s="49">
        <f>+M1314-F1314</f>
        <v>-0.21999999999999886</v>
      </c>
      <c r="R1314" s="9"/>
    </row>
    <row r="1315" spans="1:18" x14ac:dyDescent="0.25">
      <c r="A1315" s="9" t="s">
        <v>305</v>
      </c>
      <c r="B1315" s="9">
        <f>ROW() - ROW(TablaCosechas[[#Headers],[ID]]) - 4</f>
        <v>1310</v>
      </c>
      <c r="C1315" s="9" t="str">
        <f>LEFT(A1315,2)</f>
        <v>TA</v>
      </c>
      <c r="D1315" s="182" t="s">
        <v>367</v>
      </c>
      <c r="E1315" s="178">
        <v>18000</v>
      </c>
      <c r="F1315" s="19">
        <v>30</v>
      </c>
      <c r="G1315" s="195">
        <v>46092</v>
      </c>
      <c r="H1315" s="9" t="str">
        <f>VLOOKUP(TablaCosechas[[#This Row],[COD]],DATOS!$E$3:$F$27,2,0)</f>
        <v>TAMBULERO</v>
      </c>
      <c r="I1315" s="9" t="str">
        <f>RIGHT(TablaCosechas[[#This Row],[SECTOR/PISCINA]],2)</f>
        <v>18</v>
      </c>
      <c r="J1315" s="9" t="str">
        <f>VLOOKUP(TablaCosechas[[#This Row],[COD]],Tabla7[#All],4,0)</f>
        <v>ALFONSO GRUNAUER</v>
      </c>
      <c r="K1315" s="179">
        <f>(TablaCosechas[[#This Row],[libras planta]]*454)/M1315</f>
        <v>273567.82941903587</v>
      </c>
      <c r="L1315" s="215">
        <v>19499.240000000002</v>
      </c>
      <c r="M1315" s="19">
        <v>32.36</v>
      </c>
      <c r="N1315" s="9" t="str">
        <f>UPPER(TEXT(TablaCosechas[[#This Row],[COSECHA]],"MMMM"))</f>
        <v>MARZO</v>
      </c>
      <c r="O1315" s="9" t="str">
        <f>IF(A1315="DO 29","BAP",IF(A1315="RO 14","BAP",(VLOOKUP(TablaCosechas[[#This Row],[COD]],Tabla7[[CODIGO]:[CERTIFICACION]],3,0))))</f>
        <v>CONVENCIONAL</v>
      </c>
      <c r="P1315" s="180">
        <f>+L1315-E1315</f>
        <v>1499.2400000000016</v>
      </c>
      <c r="Q1315" s="49">
        <f>+M1315-F1315</f>
        <v>2.3599999999999994</v>
      </c>
      <c r="R1315" s="9"/>
    </row>
    <row r="1316" spans="1:18" x14ac:dyDescent="0.25">
      <c r="A1316" s="9" t="s">
        <v>150</v>
      </c>
      <c r="B1316" s="9">
        <f>ROW() - ROW(TablaCosechas[[#Headers],[ID]]) - 4</f>
        <v>1311</v>
      </c>
      <c r="C1316" s="9" t="str">
        <f>LEFT(A1316,2)</f>
        <v>RO</v>
      </c>
      <c r="D1316" s="182" t="s">
        <v>367</v>
      </c>
      <c r="E1316" s="178">
        <v>6500</v>
      </c>
      <c r="F1316" s="19">
        <v>18</v>
      </c>
      <c r="G1316" s="195">
        <v>46092</v>
      </c>
      <c r="H1316" s="9" t="str">
        <f>VLOOKUP(TablaCosechas[[#This Row],[COD]],DATOS!$E$3:$F$27,2,0)</f>
        <v>ROBALO</v>
      </c>
      <c r="I1316" s="9" t="str">
        <f>RIGHT(TablaCosechas[[#This Row],[SECTOR/PISCINA]],2)</f>
        <v>07</v>
      </c>
      <c r="J1316" s="9" t="str">
        <f>VLOOKUP(TablaCosechas[[#This Row],[COD]],Tabla7[#All],4,0)</f>
        <v>VICTOR QUINTANA</v>
      </c>
      <c r="K1316" s="179">
        <f>(TablaCosechas[[#This Row],[libras planta]]*454)/M1316</f>
        <v>174557.33045148896</v>
      </c>
      <c r="L1316" s="215">
        <v>8005.03</v>
      </c>
      <c r="M1316" s="19">
        <v>20.82</v>
      </c>
      <c r="N1316" s="9" t="str">
        <f>UPPER(TEXT(TablaCosechas[[#This Row],[COSECHA]],"MMMM"))</f>
        <v>MARZO</v>
      </c>
      <c r="O1316" s="9" t="str">
        <f>IF(A1316="DO 29","BAP",IF(A1316="RO 14","BAP",(VLOOKUP(TablaCosechas[[#This Row],[COD]],Tabla7[[CODIGO]:[CERTIFICACION]],3,0))))</f>
        <v>ASC</v>
      </c>
      <c r="P1316" s="180">
        <f>+L1316-E1316</f>
        <v>1505.0299999999997</v>
      </c>
      <c r="Q1316" s="49">
        <f>+M1316-F1316</f>
        <v>2.8200000000000003</v>
      </c>
      <c r="R1316" s="9"/>
    </row>
    <row r="1317" spans="1:18" x14ac:dyDescent="0.25">
      <c r="A1317" s="9" t="s">
        <v>279</v>
      </c>
      <c r="B1317" s="9">
        <f>ROW() - ROW(TablaCosechas[[#Headers],[ID]]) - 4</f>
        <v>1312</v>
      </c>
      <c r="C1317" s="9" t="str">
        <f>LEFT(A1317,2)</f>
        <v>PR</v>
      </c>
      <c r="D1317" s="182" t="s">
        <v>366</v>
      </c>
      <c r="E1317" s="178">
        <v>23600</v>
      </c>
      <c r="F1317" s="19">
        <v>18</v>
      </c>
      <c r="G1317" s="195">
        <v>46092</v>
      </c>
      <c r="H1317" s="9" t="str">
        <f>VLOOKUP(TablaCosechas[[#This Row],[COD]],DATOS!$E$3:$F$27,2,0)</f>
        <v>PARGO ROJO</v>
      </c>
      <c r="I1317" s="9" t="str">
        <f>RIGHT(TablaCosechas[[#This Row],[SECTOR/PISCINA]],2)</f>
        <v>30</v>
      </c>
      <c r="J1317" s="9" t="str">
        <f>VLOOKUP(TablaCosechas[[#This Row],[COD]],Tabla7[#All],4,0)</f>
        <v>WILMER TORRES</v>
      </c>
      <c r="K1317" s="179">
        <f>(TablaCosechas[[#This Row],[libras planta]]*454)/M1317</f>
        <v>599041.27051671734</v>
      </c>
      <c r="L1317" s="215">
        <v>26046.42</v>
      </c>
      <c r="M1317" s="19">
        <v>19.739999999999998</v>
      </c>
      <c r="N1317" s="9" t="str">
        <f>UPPER(TEXT(TablaCosechas[[#This Row],[COSECHA]],"MMMM"))</f>
        <v>MARZO</v>
      </c>
      <c r="O1317" s="9" t="str">
        <f>IF(A1317="DO 29","BAP",IF(A1317="RO 14","BAP",(VLOOKUP(TablaCosechas[[#This Row],[COD]],Tabla7[[CODIGO]:[CERTIFICACION]],3,0))))</f>
        <v>CONVENCIONAL</v>
      </c>
      <c r="P1317" s="180">
        <f>+L1317-E1317</f>
        <v>2446.4199999999983</v>
      </c>
      <c r="Q1317" s="49">
        <f>+M1317-F1317</f>
        <v>1.7399999999999984</v>
      </c>
      <c r="R1317" s="9"/>
    </row>
    <row r="1318" spans="1:18" x14ac:dyDescent="0.25">
      <c r="A1318" s="9" t="s">
        <v>282</v>
      </c>
      <c r="B1318" s="9">
        <f>ROW() - ROW(TablaCosechas[[#Headers],[ID]]) - 4</f>
        <v>1313</v>
      </c>
      <c r="C1318" s="9" t="str">
        <f>LEFT(A1318,2)</f>
        <v>ME</v>
      </c>
      <c r="D1318" s="182" t="s">
        <v>366</v>
      </c>
      <c r="E1318" s="178">
        <v>26400</v>
      </c>
      <c r="F1318" s="19">
        <v>49</v>
      </c>
      <c r="G1318" s="195">
        <v>46092</v>
      </c>
      <c r="H1318" s="9" t="str">
        <f>VLOOKUP(TablaCosechas[[#This Row],[COD]],DATOS!$E$3:$F$27,2,0)</f>
        <v>MERO</v>
      </c>
      <c r="I1318" s="9" t="str">
        <f>RIGHT(TablaCosechas[[#This Row],[SECTOR/PISCINA]],2)</f>
        <v>10</v>
      </c>
      <c r="J1318" s="9" t="str">
        <f>VLOOKUP(TablaCosechas[[#This Row],[COD]],Tabla7[#All],4,0)</f>
        <v>NESTOR MOGOLLON</v>
      </c>
      <c r="K1318" s="179">
        <f>(TablaCosechas[[#This Row],[libras planta]]*454)/M1318</f>
        <v>241711.0243137255</v>
      </c>
      <c r="L1318" s="215">
        <v>27152.560000000001</v>
      </c>
      <c r="M1318" s="19">
        <v>51</v>
      </c>
      <c r="N1318" s="9" t="str">
        <f>UPPER(TEXT(TablaCosechas[[#This Row],[COSECHA]],"MMMM"))</f>
        <v>MARZO</v>
      </c>
      <c r="O1318" s="9" t="str">
        <f>IF(A1318="DO 29","BAP",IF(A1318="RO 14","BAP",(VLOOKUP(TablaCosechas[[#This Row],[COD]],Tabla7[[CODIGO]:[CERTIFICACION]],3,0))))</f>
        <v>CONVENCIONAL</v>
      </c>
      <c r="P1318" s="180">
        <f>+L1318-E1318</f>
        <v>752.56000000000131</v>
      </c>
      <c r="Q1318" s="49">
        <f>+M1318-F1318</f>
        <v>2</v>
      </c>
      <c r="R1318" s="9"/>
    </row>
    <row r="1319" spans="1:18" x14ac:dyDescent="0.25">
      <c r="A1319" s="9" t="s">
        <v>281</v>
      </c>
      <c r="B1319" s="9">
        <f>ROW() - ROW(TablaCosechas[[#Headers],[ID]]) - 4</f>
        <v>1314</v>
      </c>
      <c r="C1319" s="9" t="str">
        <f>LEFT(A1319,2)</f>
        <v>ME</v>
      </c>
      <c r="D1319" s="182" t="s">
        <v>366</v>
      </c>
      <c r="E1319" s="178">
        <v>5300</v>
      </c>
      <c r="F1319" s="19">
        <v>45</v>
      </c>
      <c r="G1319" s="195">
        <v>46092</v>
      </c>
      <c r="H1319" s="9" t="str">
        <f>VLOOKUP(TablaCosechas[[#This Row],[COD]],DATOS!$E$3:$F$27,2,0)</f>
        <v>MERO</v>
      </c>
      <c r="I1319" s="9" t="str">
        <f>RIGHT(TablaCosechas[[#This Row],[SECTOR/PISCINA]],2)</f>
        <v>01</v>
      </c>
      <c r="J1319" s="9" t="str">
        <f>VLOOKUP(TablaCosechas[[#This Row],[COD]],Tabla7[#All],4,0)</f>
        <v>NESTOR MOGOLLON</v>
      </c>
      <c r="K1319" s="179">
        <f>(TablaCosechas[[#This Row],[libras planta]]*454)/M1319</f>
        <v>54749.569201700513</v>
      </c>
      <c r="L1319" s="215">
        <v>5105.9399999999996</v>
      </c>
      <c r="M1319" s="19">
        <v>42.34</v>
      </c>
      <c r="N1319" s="9" t="str">
        <f>UPPER(TEXT(TablaCosechas[[#This Row],[COSECHA]],"MMMM"))</f>
        <v>MARZO</v>
      </c>
      <c r="O1319" s="9" t="str">
        <f>IF(A1319="DO 29","BAP",IF(A1319="RO 14","BAP",(VLOOKUP(TablaCosechas[[#This Row],[COD]],Tabla7[[CODIGO]:[CERTIFICACION]],3,0))))</f>
        <v>CONVENCIONAL</v>
      </c>
      <c r="P1319" s="180">
        <f>+L1319-E1319</f>
        <v>-194.0600000000004</v>
      </c>
      <c r="Q1319" s="49">
        <f>+M1319-F1319</f>
        <v>-2.6599999999999966</v>
      </c>
      <c r="R1319" s="9"/>
    </row>
    <row r="1320" spans="1:18" x14ac:dyDescent="0.25">
      <c r="A1320" s="9" t="s">
        <v>280</v>
      </c>
      <c r="B1320" s="9">
        <f>ROW() - ROW(TablaCosechas[[#Headers],[ID]]) - 4</f>
        <v>1315</v>
      </c>
      <c r="C1320" s="9" t="str">
        <f>LEFT(A1320,2)</f>
        <v>GT</v>
      </c>
      <c r="D1320" s="182" t="s">
        <v>366</v>
      </c>
      <c r="E1320" s="178">
        <f>19200+100</f>
        <v>19300</v>
      </c>
      <c r="F1320" s="19">
        <v>31</v>
      </c>
      <c r="G1320" s="195">
        <v>46092</v>
      </c>
      <c r="H1320" s="9" t="str">
        <f>VLOOKUP(TablaCosechas[[#This Row],[COD]],DATOS!$E$3:$F$27,2,0)</f>
        <v>GUATO</v>
      </c>
      <c r="I1320" s="9" t="str">
        <f>RIGHT(TablaCosechas[[#This Row],[SECTOR/PISCINA]],2)</f>
        <v>01</v>
      </c>
      <c r="J1320" s="9" t="str">
        <f>VLOOKUP(TablaCosechas[[#This Row],[COD]],Tabla7[#All],4,0)</f>
        <v>JULIO SANTOS</v>
      </c>
      <c r="K1320" s="179">
        <f>(TablaCosechas[[#This Row],[libras planta]]*454)/M1320</f>
        <v>275064.87759398494</v>
      </c>
      <c r="L1320" s="215">
        <v>20145.169999999998</v>
      </c>
      <c r="M1320" s="19">
        <v>33.25</v>
      </c>
      <c r="N1320" s="9" t="str">
        <f>UPPER(TEXT(TablaCosechas[[#This Row],[COSECHA]],"MMMM"))</f>
        <v>MARZO</v>
      </c>
      <c r="O1320" s="9" t="str">
        <f>IF(A1320="DO 29","BAP",IF(A1320="RO 14","BAP",(VLOOKUP(TablaCosechas[[#This Row],[COD]],Tabla7[[CODIGO]:[CERTIFICACION]],3,0))))</f>
        <v>CONVENCIONAL</v>
      </c>
      <c r="P1320" s="180">
        <f>+L1320-E1320</f>
        <v>845.16999999999825</v>
      </c>
      <c r="Q1320" s="49">
        <f>+M1320-F1320</f>
        <v>2.25</v>
      </c>
      <c r="R1320" s="9"/>
    </row>
    <row r="1321" spans="1:18" x14ac:dyDescent="0.25">
      <c r="A1321" s="9" t="s">
        <v>323</v>
      </c>
      <c r="B1321" s="9">
        <f>ROW() - ROW(TablaCosechas[[#Headers],[ID]]) - 4</f>
        <v>1316</v>
      </c>
      <c r="C1321" s="9" t="str">
        <f>LEFT(A1321,2)</f>
        <v>DO</v>
      </c>
      <c r="D1321" s="182" t="s">
        <v>367</v>
      </c>
      <c r="E1321" s="178">
        <v>9500</v>
      </c>
      <c r="F1321" s="19">
        <v>26</v>
      </c>
      <c r="G1321" s="195">
        <v>46092</v>
      </c>
      <c r="H1321" s="9" t="str">
        <f>VLOOKUP(TablaCosechas[[#This Row],[COD]],DATOS!$E$3:$F$27,2,0)</f>
        <v>DORADO</v>
      </c>
      <c r="I1321" s="9" t="str">
        <f>RIGHT(TablaCosechas[[#This Row],[SECTOR/PISCINA]],2)</f>
        <v>22</v>
      </c>
      <c r="J1321" s="9" t="str">
        <f>VLOOKUP(TablaCosechas[[#This Row],[COD]],Tabla7[#All],4,0)</f>
        <v>JOSE CEDEÑO</v>
      </c>
      <c r="K1321" s="179">
        <f>(TablaCosechas[[#This Row],[libras planta]]*454)/M1321</f>
        <v>160680.50071736012</v>
      </c>
      <c r="L1321" s="215">
        <v>9867.34</v>
      </c>
      <c r="M1321" s="19">
        <v>27.88</v>
      </c>
      <c r="N1321" s="9" t="str">
        <f>UPPER(TEXT(TablaCosechas[[#This Row],[COSECHA]],"MMMM"))</f>
        <v>MARZO</v>
      </c>
      <c r="O1321" s="9" t="str">
        <f>IF(A1321="DO 29","BAP",IF(A1321="RO 14","BAP",(VLOOKUP(TablaCosechas[[#This Row],[COD]],Tabla7[[CODIGO]:[CERTIFICACION]],3,0))))</f>
        <v>ASC</v>
      </c>
      <c r="P1321" s="180">
        <f>+L1321-E1321</f>
        <v>367.34000000000015</v>
      </c>
      <c r="Q1321" s="49">
        <f>+M1321-F1321</f>
        <v>1.879999999999999</v>
      </c>
      <c r="R1321" s="9"/>
    </row>
    <row r="1322" spans="1:18" x14ac:dyDescent="0.25">
      <c r="A1322" s="9" t="s">
        <v>283</v>
      </c>
      <c r="B1322" s="9">
        <f>ROW() - ROW(TablaCosechas[[#Headers],[ID]]) - 4</f>
        <v>1317</v>
      </c>
      <c r="C1322" s="9" t="str">
        <f>LEFT(A1322,2)</f>
        <v>DE</v>
      </c>
      <c r="D1322" s="182" t="s">
        <v>366</v>
      </c>
      <c r="E1322" s="178">
        <v>26600</v>
      </c>
      <c r="F1322" s="19">
        <v>28</v>
      </c>
      <c r="G1322" s="195">
        <v>46092</v>
      </c>
      <c r="H1322" s="9" t="str">
        <f>VLOOKUP(TablaCosechas[[#This Row],[COD]],DATOS!$E$3:$F$27,2,0)</f>
        <v>DELFIN</v>
      </c>
      <c r="I1322" s="9" t="str">
        <f>RIGHT(TablaCosechas[[#This Row],[SECTOR/PISCINA]],2)</f>
        <v>10</v>
      </c>
      <c r="J1322" s="9" t="str">
        <f>VLOOKUP(TablaCosechas[[#This Row],[COD]],Tabla7[#All],4,0)</f>
        <v>CARLOS FLORES</v>
      </c>
      <c r="K1322" s="179">
        <f>(TablaCosechas[[#This Row],[libras planta]]*454)/M1322</f>
        <v>424171.68555240793</v>
      </c>
      <c r="L1322" s="215">
        <v>26384.6</v>
      </c>
      <c r="M1322" s="19">
        <v>28.24</v>
      </c>
      <c r="N1322" s="9" t="str">
        <f>UPPER(TEXT(TablaCosechas[[#This Row],[COSECHA]],"MMMM"))</f>
        <v>MARZO</v>
      </c>
      <c r="O1322" s="9" t="str">
        <f>IF(A1322="DO 29","BAP",IF(A1322="RO 14","BAP",(VLOOKUP(TablaCosechas[[#This Row],[COD]],Tabla7[[CODIGO]:[CERTIFICACION]],3,0))))</f>
        <v>CONVENCIONAL</v>
      </c>
      <c r="P1322" s="180">
        <f>+L1322-E1322</f>
        <v>-215.40000000000146</v>
      </c>
      <c r="Q1322" s="181">
        <f>+M1322-F1322</f>
        <v>0.23999999999999844</v>
      </c>
      <c r="R1322" s="9"/>
    </row>
    <row r="1323" spans="1:18" x14ac:dyDescent="0.25">
      <c r="A1323" s="9" t="s">
        <v>136</v>
      </c>
      <c r="B1323" s="9">
        <f>ROW() - ROW(TablaCosechas[[#Headers],[ID]]) - 4</f>
        <v>1318</v>
      </c>
      <c r="C1323" s="9" t="str">
        <f>LEFT(A1323,2)</f>
        <v>CA</v>
      </c>
      <c r="D1323" s="182" t="s">
        <v>367</v>
      </c>
      <c r="E1323" s="178">
        <v>1500</v>
      </c>
      <c r="F1323" s="19">
        <v>22</v>
      </c>
      <c r="G1323" s="195">
        <v>46092</v>
      </c>
      <c r="H1323" s="9" t="str">
        <f>VLOOKUP(TablaCosechas[[#This Row],[COD]],DATOS!$E$3:$F$27,2,0)</f>
        <v>CATANUDA</v>
      </c>
      <c r="I1323" s="9" t="str">
        <f>RIGHT(TablaCosechas[[#This Row],[SECTOR/PISCINA]],2)</f>
        <v>10</v>
      </c>
      <c r="J1323" s="9" t="str">
        <f>VLOOKUP(TablaCosechas[[#This Row],[COD]],Tabla7[#All],4,0)</f>
        <v>VICTOR QUINTANA</v>
      </c>
      <c r="K1323" s="179">
        <f>(TablaCosechas[[#This Row],[libras planta]]*454)/M1323</f>
        <v>18006.485846628926</v>
      </c>
      <c r="L1323" s="215">
        <v>1541.26</v>
      </c>
      <c r="M1323" s="19">
        <v>38.86</v>
      </c>
      <c r="N1323" s="9" t="str">
        <f>UPPER(TEXT(TablaCosechas[[#This Row],[COSECHA]],"MMMM"))</f>
        <v>MARZO</v>
      </c>
      <c r="O1323" s="9" t="str">
        <f>IF(A1323="DO 29","BAP",IF(A1323="RO 14","BAP",(VLOOKUP(TablaCosechas[[#This Row],[COD]],Tabla7[[CODIGO]:[CERTIFICACION]],3,0))))</f>
        <v>ASC</v>
      </c>
      <c r="P1323" s="180">
        <f>+L1323-E1323</f>
        <v>41.259999999999991</v>
      </c>
      <c r="Q1323" s="181">
        <f>+M1323-F1323</f>
        <v>16.86</v>
      </c>
      <c r="R1323" s="9"/>
    </row>
    <row r="1324" spans="1:18" x14ac:dyDescent="0.25">
      <c r="A1324" s="9" t="s">
        <v>336</v>
      </c>
      <c r="B1324" s="9">
        <f>ROW() - ROW(TablaCosechas[[#Headers],[ID]]) - 4</f>
        <v>1319</v>
      </c>
      <c r="C1324" s="9" t="str">
        <f>LEFT(A1324,2)</f>
        <v>WA</v>
      </c>
      <c r="D1324" s="182" t="s">
        <v>367</v>
      </c>
      <c r="E1324" s="178">
        <v>8000</v>
      </c>
      <c r="F1324" s="19">
        <v>22</v>
      </c>
      <c r="G1324" s="195">
        <v>46093</v>
      </c>
      <c r="H1324" s="9" t="str">
        <f>VLOOKUP(TablaCosechas[[#This Row],[COD]],DATOS!$E$3:$F$27,2,0)</f>
        <v>WAHOO</v>
      </c>
      <c r="I1324" s="9" t="str">
        <f>RIGHT(TablaCosechas[[#This Row],[SECTOR/PISCINA]],2)</f>
        <v>12</v>
      </c>
      <c r="J1324" s="9" t="str">
        <f>VLOOKUP(TablaCosechas[[#This Row],[COD]],Tabla7[#All],4,0)</f>
        <v>JUNIOR ESQUIVEL</v>
      </c>
      <c r="K1324" s="179">
        <f>(TablaCosechas[[#This Row],[libras planta]]*454)/M1324</f>
        <v>189004.28815165878</v>
      </c>
      <c r="L1324" s="215">
        <v>8784.1200000000008</v>
      </c>
      <c r="M1324" s="19">
        <v>21.1</v>
      </c>
      <c r="N1324" s="9" t="str">
        <f>UPPER(TEXT(TablaCosechas[[#This Row],[COSECHA]],"MMMM"))</f>
        <v>MARZO</v>
      </c>
      <c r="O1324" s="9" t="str">
        <f>IF(A1324="DO 29","BAP",IF(A1324="RO 14","BAP",(VLOOKUP(TablaCosechas[[#This Row],[COD]],Tabla7[[CODIGO]:[CERTIFICACION]],3,0))))</f>
        <v>CONVENCIONAL</v>
      </c>
      <c r="P1324" s="180">
        <f>+L1324-E1324</f>
        <v>784.1200000000008</v>
      </c>
      <c r="Q1324" s="181">
        <f>+M1324-F1324</f>
        <v>-0.89999999999999858</v>
      </c>
      <c r="R1324" s="9"/>
    </row>
    <row r="1325" spans="1:18" x14ac:dyDescent="0.25">
      <c r="A1325" s="9" t="s">
        <v>143</v>
      </c>
      <c r="B1325" s="9">
        <f>ROW() - ROW(TablaCosechas[[#Headers],[ID]]) - 4</f>
        <v>1320</v>
      </c>
      <c r="C1325" s="9" t="str">
        <f>LEFT(A1325,2)</f>
        <v>TA</v>
      </c>
      <c r="D1325" s="182" t="s">
        <v>367</v>
      </c>
      <c r="E1325" s="178">
        <v>12000</v>
      </c>
      <c r="F1325" s="19">
        <v>31</v>
      </c>
      <c r="G1325" s="195">
        <v>46093</v>
      </c>
      <c r="H1325" s="9" t="str">
        <f>VLOOKUP(TablaCosechas[[#This Row],[COD]],DATOS!$E$3:$F$27,2,0)</f>
        <v>TAMBULERO</v>
      </c>
      <c r="I1325" s="9" t="str">
        <f>RIGHT(TablaCosechas[[#This Row],[SECTOR/PISCINA]],2)</f>
        <v>08</v>
      </c>
      <c r="J1325" s="9" t="str">
        <f>VLOOKUP(TablaCosechas[[#This Row],[COD]],Tabla7[#All],4,0)</f>
        <v>ALFONSO GRUNAUER</v>
      </c>
      <c r="K1325" s="179">
        <f>(TablaCosechas[[#This Row],[libras planta]]*454)/M1325</f>
        <v>183461.92444583203</v>
      </c>
      <c r="L1325" s="215">
        <v>12943.36</v>
      </c>
      <c r="M1325" s="19">
        <v>32.03</v>
      </c>
      <c r="N1325" s="9" t="str">
        <f>UPPER(TEXT(TablaCosechas[[#This Row],[COSECHA]],"MMMM"))</f>
        <v>MARZO</v>
      </c>
      <c r="O1325" s="9" t="str">
        <f>IF(A1325="DO 29","BAP",IF(A1325="RO 14","BAP",(VLOOKUP(TablaCosechas[[#This Row],[COD]],Tabla7[[CODIGO]:[CERTIFICACION]],3,0))))</f>
        <v>CONVENCIONAL</v>
      </c>
      <c r="P1325" s="180">
        <f>+L1325-E1325</f>
        <v>943.36000000000058</v>
      </c>
      <c r="Q1325" s="181">
        <f>+M1325-F1325</f>
        <v>1.0300000000000011</v>
      </c>
      <c r="R1325" s="9"/>
    </row>
    <row r="1326" spans="1:18" x14ac:dyDescent="0.25">
      <c r="A1326" s="9" t="s">
        <v>166</v>
      </c>
      <c r="B1326" s="9">
        <f>ROW() - ROW(TablaCosechas[[#Headers],[ID]]) - 4</f>
        <v>1321</v>
      </c>
      <c r="C1326" s="9" t="str">
        <f>LEFT(A1326,2)</f>
        <v>TA</v>
      </c>
      <c r="D1326" s="182" t="s">
        <v>367</v>
      </c>
      <c r="E1326" s="178">
        <v>3700</v>
      </c>
      <c r="F1326" s="19">
        <v>19</v>
      </c>
      <c r="G1326" s="195">
        <v>46093</v>
      </c>
      <c r="H1326" s="9" t="str">
        <f>VLOOKUP(TablaCosechas[[#This Row],[COD]],DATOS!$E$3:$F$27,2,0)</f>
        <v>TAMBULERO</v>
      </c>
      <c r="I1326" s="9" t="str">
        <f>RIGHT(TablaCosechas[[#This Row],[SECTOR/PISCINA]],2)</f>
        <v>01</v>
      </c>
      <c r="J1326" s="9" t="str">
        <f>VLOOKUP(TablaCosechas[[#This Row],[COD]],Tabla7[#All],4,0)</f>
        <v>ALFONSO GRUNAUER</v>
      </c>
      <c r="K1326" s="179">
        <f>(TablaCosechas[[#This Row],[libras planta]]*454)/M1326</f>
        <v>93279.187559808619</v>
      </c>
      <c r="L1326" s="215">
        <v>4294.13</v>
      </c>
      <c r="M1326" s="19">
        <v>20.9</v>
      </c>
      <c r="N1326" s="9" t="str">
        <f>UPPER(TEXT(TablaCosechas[[#This Row],[COSECHA]],"MMMM"))</f>
        <v>MARZO</v>
      </c>
      <c r="O1326" s="9" t="str">
        <f>IF(A1326="DO 29","BAP",IF(A1326="RO 14","BAP",(VLOOKUP(TablaCosechas[[#This Row],[COD]],Tabla7[[CODIGO]:[CERTIFICACION]],3,0))))</f>
        <v>CONVENCIONAL</v>
      </c>
      <c r="P1326" s="180">
        <f>+L1326-E1326</f>
        <v>594.13000000000011</v>
      </c>
      <c r="Q1326" s="181">
        <f>+M1326-F1326</f>
        <v>1.8999999999999986</v>
      </c>
      <c r="R1326" s="9"/>
    </row>
    <row r="1327" spans="1:18" x14ac:dyDescent="0.25">
      <c r="A1327" s="9" t="s">
        <v>285</v>
      </c>
      <c r="B1327" s="9">
        <f>ROW() - ROW(TablaCosechas[[#Headers],[ID]]) - 4</f>
        <v>1322</v>
      </c>
      <c r="C1327" s="9" t="str">
        <f>LEFT(A1327,2)</f>
        <v>RO</v>
      </c>
      <c r="D1327" s="182" t="s">
        <v>366</v>
      </c>
      <c r="E1327" s="178">
        <f>51200+42800</f>
        <v>94000</v>
      </c>
      <c r="F1327" s="19">
        <v>37</v>
      </c>
      <c r="G1327" s="195">
        <v>46093</v>
      </c>
      <c r="H1327" s="9" t="str">
        <f>VLOOKUP(TablaCosechas[[#This Row],[COD]],DATOS!$E$3:$F$27,2,0)</f>
        <v>ROBALO</v>
      </c>
      <c r="I1327" s="9" t="str">
        <f>RIGHT(TablaCosechas[[#This Row],[SECTOR/PISCINA]],2)</f>
        <v>05</v>
      </c>
      <c r="J1327" s="9" t="str">
        <f>VLOOKUP(TablaCosechas[[#This Row],[COD]],Tabla7[#All],4,0)</f>
        <v>VICTOR QUINTANA</v>
      </c>
      <c r="K1327" s="179">
        <f>(TablaCosechas[[#This Row],[libras planta]]*454)/M1327</f>
        <v>1406761.0171496153</v>
      </c>
      <c r="L1327" s="215">
        <v>104794.4</v>
      </c>
      <c r="M1327" s="19">
        <v>33.82</v>
      </c>
      <c r="N1327" s="9" t="str">
        <f>UPPER(TEXT(TablaCosechas[[#This Row],[COSECHA]],"MMMM"))</f>
        <v>MARZO</v>
      </c>
      <c r="O1327" s="9" t="str">
        <f>IF(A1327="DO 29","BAP",IF(A1327="RO 14","BAP",(VLOOKUP(TablaCosechas[[#This Row],[COD]],Tabla7[[CODIGO]:[CERTIFICACION]],3,0))))</f>
        <v>ASC</v>
      </c>
      <c r="P1327" s="180">
        <f>+L1327-E1327</f>
        <v>10794.399999999994</v>
      </c>
      <c r="Q1327" s="181">
        <f>+M1327-F1327</f>
        <v>-3.1799999999999997</v>
      </c>
      <c r="R1327" s="9"/>
    </row>
    <row r="1328" spans="1:18" x14ac:dyDescent="0.25">
      <c r="A1328" s="9" t="s">
        <v>284</v>
      </c>
      <c r="B1328" s="9">
        <f>ROW() - ROW(TablaCosechas[[#Headers],[ID]]) - 4</f>
        <v>1323</v>
      </c>
      <c r="C1328" s="9" t="str">
        <f>LEFT(A1328,2)</f>
        <v>PR</v>
      </c>
      <c r="D1328" s="182" t="s">
        <v>366</v>
      </c>
      <c r="E1328" s="178">
        <v>12700</v>
      </c>
      <c r="F1328" s="19">
        <v>23</v>
      </c>
      <c r="G1328" s="195">
        <v>46093</v>
      </c>
      <c r="H1328" s="9" t="str">
        <f>VLOOKUP(TablaCosechas[[#This Row],[COD]],DATOS!$E$3:$F$27,2,0)</f>
        <v>PARGO ROJO</v>
      </c>
      <c r="I1328" s="9" t="str">
        <f>RIGHT(TablaCosechas[[#This Row],[SECTOR/PISCINA]],2)</f>
        <v>18</v>
      </c>
      <c r="J1328" s="9" t="str">
        <f>VLOOKUP(TablaCosechas[[#This Row],[COD]],Tabla7[#All],4,0)</f>
        <v>WILMER TORRES</v>
      </c>
      <c r="K1328" s="179">
        <f>(TablaCosechas[[#This Row],[libras planta]]*454)/M1328</f>
        <v>263167.64067796612</v>
      </c>
      <c r="L1328" s="215">
        <v>13680.08</v>
      </c>
      <c r="M1328" s="19">
        <v>23.6</v>
      </c>
      <c r="N1328" s="9" t="str">
        <f>UPPER(TEXT(TablaCosechas[[#This Row],[COSECHA]],"MMMM"))</f>
        <v>MARZO</v>
      </c>
      <c r="O1328" s="9" t="str">
        <f>IF(A1328="DO 29","BAP",IF(A1328="RO 14","BAP",(VLOOKUP(TablaCosechas[[#This Row],[COD]],Tabla7[[CODIGO]:[CERTIFICACION]],3,0))))</f>
        <v>CONVENCIONAL</v>
      </c>
      <c r="P1328" s="180">
        <f>+L1328-E1328</f>
        <v>980.07999999999993</v>
      </c>
      <c r="Q1328" s="181">
        <f>+M1328-F1328</f>
        <v>0.60000000000000142</v>
      </c>
      <c r="R1328" s="9"/>
    </row>
    <row r="1329" spans="1:18" x14ac:dyDescent="0.25">
      <c r="A1329" s="9" t="s">
        <v>326</v>
      </c>
      <c r="B1329" s="9">
        <f>ROW() - ROW(TablaCosechas[[#Headers],[ID]]) - 4</f>
        <v>1324</v>
      </c>
      <c r="C1329" s="9" t="str">
        <f>LEFT(A1329,2)</f>
        <v>GT</v>
      </c>
      <c r="D1329" s="182" t="s">
        <v>367</v>
      </c>
      <c r="E1329" s="178">
        <v>7800</v>
      </c>
      <c r="F1329" s="19">
        <v>18</v>
      </c>
      <c r="G1329" s="195">
        <v>46093</v>
      </c>
      <c r="H1329" s="9" t="str">
        <f>VLOOKUP(TablaCosechas[[#This Row],[COD]],DATOS!$E$3:$F$27,2,0)</f>
        <v>GUATO</v>
      </c>
      <c r="I1329" s="9" t="str">
        <f>RIGHT(TablaCosechas[[#This Row],[SECTOR/PISCINA]],2)</f>
        <v>03</v>
      </c>
      <c r="J1329" s="9" t="str">
        <f>VLOOKUP(TablaCosechas[[#This Row],[COD]],Tabla7[#All],4,0)</f>
        <v>JULIO SANTOS</v>
      </c>
      <c r="K1329" s="179">
        <f>(TablaCosechas[[#This Row],[libras planta]]*454)/M1329</f>
        <v>191036.55728886498</v>
      </c>
      <c r="L1329" s="215">
        <v>7822.4</v>
      </c>
      <c r="M1329" s="19">
        <v>18.59</v>
      </c>
      <c r="N1329" s="9" t="str">
        <f>UPPER(TEXT(TablaCosechas[[#This Row],[COSECHA]],"MMMM"))</f>
        <v>MARZO</v>
      </c>
      <c r="O1329" s="9" t="str">
        <f>IF(A1329="DO 29","BAP",IF(A1329="RO 14","BAP",(VLOOKUP(TablaCosechas[[#This Row],[COD]],Tabla7[[CODIGO]:[CERTIFICACION]],3,0))))</f>
        <v>CONVENCIONAL</v>
      </c>
      <c r="P1329" s="180">
        <f>+L1329-E1329</f>
        <v>22.399999999999636</v>
      </c>
      <c r="Q1329" s="181">
        <f>+M1329-F1329</f>
        <v>0.58999999999999986</v>
      </c>
      <c r="R1329" s="9"/>
    </row>
    <row r="1330" spans="1:18" x14ac:dyDescent="0.25">
      <c r="A1330" s="9" t="s">
        <v>307</v>
      </c>
      <c r="B1330" s="9">
        <f>ROW() - ROW(TablaCosechas[[#Headers],[ID]]) - 4</f>
        <v>1325</v>
      </c>
      <c r="C1330" s="9" t="str">
        <f>LEFT(A1330,2)</f>
        <v>DO</v>
      </c>
      <c r="D1330" s="182" t="s">
        <v>367</v>
      </c>
      <c r="E1330" s="178">
        <v>24000</v>
      </c>
      <c r="F1330" s="19">
        <v>35</v>
      </c>
      <c r="G1330" s="195">
        <v>46093</v>
      </c>
      <c r="H1330" s="9" t="str">
        <f>VLOOKUP(TablaCosechas[[#This Row],[COD]],DATOS!$E$3:$F$27,2,0)</f>
        <v>DORADO</v>
      </c>
      <c r="I1330" s="9" t="str">
        <f>RIGHT(TablaCosechas[[#This Row],[SECTOR/PISCINA]],2)</f>
        <v>24</v>
      </c>
      <c r="J1330" s="9" t="str">
        <f>VLOOKUP(TablaCosechas[[#This Row],[COD]],Tabla7[#All],4,0)</f>
        <v>JOSE CEDEÑO</v>
      </c>
      <c r="K1330" s="179">
        <f>(TablaCosechas[[#This Row],[libras planta]]*454)/M1330</f>
        <v>269912.25392927311</v>
      </c>
      <c r="L1330" s="215">
        <v>24208.87</v>
      </c>
      <c r="M1330" s="19">
        <v>40.72</v>
      </c>
      <c r="N1330" s="9" t="str">
        <f>UPPER(TEXT(TablaCosechas[[#This Row],[COSECHA]],"MMMM"))</f>
        <v>MARZO</v>
      </c>
      <c r="O1330" s="9" t="str">
        <f>IF(A1330="DO 29","BAP",IF(A1330="RO 14","BAP",(VLOOKUP(TablaCosechas[[#This Row],[COD]],Tabla7[[CODIGO]:[CERTIFICACION]],3,0))))</f>
        <v>ASC</v>
      </c>
      <c r="P1330" s="180">
        <f>+L1330-E1330</f>
        <v>208.86999999999898</v>
      </c>
      <c r="Q1330" s="181">
        <f>+M1330-F1330</f>
        <v>5.7199999999999989</v>
      </c>
      <c r="R1330" s="9"/>
    </row>
    <row r="1331" spans="1:18" x14ac:dyDescent="0.25">
      <c r="A1331" s="9" t="s">
        <v>309</v>
      </c>
      <c r="B1331" s="9">
        <f>ROW() - ROW(TablaCosechas[[#Headers],[ID]]) - 4</f>
        <v>1326</v>
      </c>
      <c r="C1331" s="9" t="str">
        <f>LEFT(A1331,2)</f>
        <v>DE</v>
      </c>
      <c r="D1331" s="182" t="s">
        <v>367</v>
      </c>
      <c r="E1331" s="178">
        <v>8800</v>
      </c>
      <c r="F1331" s="19">
        <v>26</v>
      </c>
      <c r="G1331" s="195">
        <v>46093</v>
      </c>
      <c r="H1331" s="9" t="str">
        <f>VLOOKUP(TablaCosechas[[#This Row],[COD]],DATOS!$E$3:$F$27,2,0)</f>
        <v>DELFIN</v>
      </c>
      <c r="I1331" s="9" t="str">
        <f>RIGHT(TablaCosechas[[#This Row],[SECTOR/PISCINA]],2)</f>
        <v>05</v>
      </c>
      <c r="J1331" s="9" t="str">
        <f>VLOOKUP(TablaCosechas[[#This Row],[COD]],Tabla7[#All],4,0)</f>
        <v>CARLOS FLORES</v>
      </c>
      <c r="K1331" s="179">
        <f>(TablaCosechas[[#This Row],[libras planta]]*454)/M1331</f>
        <v>131505.46001367056</v>
      </c>
      <c r="L1331" s="215">
        <v>8475.44</v>
      </c>
      <c r="M1331" s="19">
        <v>29.26</v>
      </c>
      <c r="N1331" s="9" t="str">
        <f>UPPER(TEXT(TablaCosechas[[#This Row],[COSECHA]],"MMMM"))</f>
        <v>MARZO</v>
      </c>
      <c r="O1331" s="9" t="str">
        <f>IF(A1331="DO 29","BAP",IF(A1331="RO 14","BAP",(VLOOKUP(TablaCosechas[[#This Row],[COD]],Tabla7[[CODIGO]:[CERTIFICACION]],3,0))))</f>
        <v>CONVENCIONAL</v>
      </c>
      <c r="P1331" s="180">
        <f>+L1331-E1331</f>
        <v>-324.55999999999949</v>
      </c>
      <c r="Q1331" s="181">
        <f>+M1331-F1331</f>
        <v>3.2600000000000016</v>
      </c>
      <c r="R1331" s="9"/>
    </row>
    <row r="1332" spans="1:18" x14ac:dyDescent="0.25">
      <c r="A1332" s="9" t="s">
        <v>13</v>
      </c>
      <c r="B1332" s="9">
        <f>ROW() - ROW(TablaCosechas[[#Headers],[ID]]) - 4</f>
        <v>1327</v>
      </c>
      <c r="C1332" s="9" t="str">
        <f>LEFT(A1332,2)</f>
        <v>CH</v>
      </c>
      <c r="D1332" s="182" t="s">
        <v>366</v>
      </c>
      <c r="E1332" s="178">
        <v>16800</v>
      </c>
      <c r="F1332" s="19">
        <v>34</v>
      </c>
      <c r="G1332" s="195">
        <v>46093</v>
      </c>
      <c r="H1332" s="9" t="str">
        <f>VLOOKUP(TablaCosechas[[#This Row],[COD]],DATOS!$E$3:$F$27,2,0)</f>
        <v>CHERNA</v>
      </c>
      <c r="I1332" s="9" t="str">
        <f>RIGHT(TablaCosechas[[#This Row],[SECTOR/PISCINA]],2)</f>
        <v>07</v>
      </c>
      <c r="J1332" s="9" t="str">
        <f>VLOOKUP(TablaCosechas[[#This Row],[COD]],Tabla7[#All],4,0)</f>
        <v>SANTIAGO OBRIEN</v>
      </c>
      <c r="K1332" s="179">
        <f>(TablaCosechas[[#This Row],[libras planta]]*454)/M1332</f>
        <v>256937.85796545105</v>
      </c>
      <c r="L1332" s="215">
        <v>17691.36</v>
      </c>
      <c r="M1332" s="19">
        <v>31.26</v>
      </c>
      <c r="N1332" s="9" t="str">
        <f>UPPER(TEXT(TablaCosechas[[#This Row],[COSECHA]],"MMMM"))</f>
        <v>MARZO</v>
      </c>
      <c r="O1332" s="9" t="str">
        <f>IF(A1332="DO 29","BAP",IF(A1332="RO 14","BAP",(VLOOKUP(TablaCosechas[[#This Row],[COD]],Tabla7[[CODIGO]:[CERTIFICACION]],3,0))))</f>
        <v>ASC</v>
      </c>
      <c r="P1332" s="180">
        <f>+L1332-E1332</f>
        <v>891.36000000000058</v>
      </c>
      <c r="Q1332" s="49">
        <f>+M1332-F1332</f>
        <v>-2.7399999999999984</v>
      </c>
      <c r="R1332" s="9"/>
    </row>
    <row r="1333" spans="1:18" x14ac:dyDescent="0.25">
      <c r="A1333" s="9" t="s">
        <v>118</v>
      </c>
      <c r="B1333" s="9">
        <f>ROW() - ROW(TablaCosechas[[#Headers],[ID]]) - 4</f>
        <v>1328</v>
      </c>
      <c r="C1333" s="9" t="str">
        <f>LEFT(A1333,2)</f>
        <v>TI</v>
      </c>
      <c r="D1333" s="182" t="s">
        <v>367</v>
      </c>
      <c r="E1333" s="178">
        <v>8000</v>
      </c>
      <c r="F1333" s="19">
        <v>25</v>
      </c>
      <c r="G1333" s="195">
        <v>46094</v>
      </c>
      <c r="H1333" s="9" t="str">
        <f>VLOOKUP(TablaCosechas[[#This Row],[COD]],DATOS!$E$3:$F$27,2,0)</f>
        <v>TIBURON</v>
      </c>
      <c r="I1333" s="9" t="str">
        <f>RIGHT(TablaCosechas[[#This Row],[SECTOR/PISCINA]],2)</f>
        <v>06</v>
      </c>
      <c r="J1333" s="9" t="str">
        <f>VLOOKUP(TablaCosechas[[#This Row],[COD]],Tabla7[#All],4,0)</f>
        <v>ALFONSO GRUNAUER</v>
      </c>
      <c r="K1333" s="179">
        <f>(TablaCosechas[[#This Row],[libras planta]]*454)/M1333</f>
        <v>158813.20033250208</v>
      </c>
      <c r="L1333" s="215">
        <v>8416.4</v>
      </c>
      <c r="M1333" s="19">
        <v>24.06</v>
      </c>
      <c r="N1333" s="9" t="str">
        <f>UPPER(TEXT(TablaCosechas[[#This Row],[COSECHA]],"MMMM"))</f>
        <v>MARZO</v>
      </c>
      <c r="O1333" s="9" t="str">
        <f>IF(A1333="DO 29","BAP",IF(A1333="RO 14","BAP",(VLOOKUP(TablaCosechas[[#This Row],[COD]],Tabla7[[CODIGO]:[CERTIFICACION]],3,0))))</f>
        <v>ASC</v>
      </c>
      <c r="P1333" s="180">
        <f>+L1333-E1333</f>
        <v>416.39999999999964</v>
      </c>
      <c r="Q1333" s="49">
        <f>+M1333-F1333</f>
        <v>-0.94000000000000128</v>
      </c>
      <c r="R1333" s="9"/>
    </row>
    <row r="1334" spans="1:18" x14ac:dyDescent="0.25">
      <c r="A1334" s="9" t="s">
        <v>289</v>
      </c>
      <c r="B1334" s="9">
        <f>ROW() - ROW(TablaCosechas[[#Headers],[ID]]) - 4</f>
        <v>1329</v>
      </c>
      <c r="C1334" s="9" t="str">
        <f>LEFT(A1334,2)</f>
        <v>TI</v>
      </c>
      <c r="D1334" s="182" t="s">
        <v>366</v>
      </c>
      <c r="E1334" s="178">
        <v>38250</v>
      </c>
      <c r="F1334" s="19">
        <v>38</v>
      </c>
      <c r="G1334" s="195">
        <v>46094</v>
      </c>
      <c r="H1334" s="9" t="str">
        <f>VLOOKUP(TablaCosechas[[#This Row],[COD]],DATOS!$E$3:$F$27,2,0)</f>
        <v>TIBURON</v>
      </c>
      <c r="I1334" s="9" t="str">
        <f>RIGHT(TablaCosechas[[#This Row],[SECTOR/PISCINA]],2)</f>
        <v>04</v>
      </c>
      <c r="J1334" s="9" t="str">
        <f>VLOOKUP(TablaCosechas[[#This Row],[COD]],Tabla7[#All],4,0)</f>
        <v>ALFONSO GRUNAUER</v>
      </c>
      <c r="K1334" s="179">
        <f>(TablaCosechas[[#This Row],[libras planta]]*454)/M1334</f>
        <v>482668.86268343811</v>
      </c>
      <c r="L1334" s="215">
        <v>40569.699999999997</v>
      </c>
      <c r="M1334" s="19">
        <v>38.159999999999997</v>
      </c>
      <c r="N1334" s="9" t="str">
        <f>UPPER(TEXT(TablaCosechas[[#This Row],[COSECHA]],"MMMM"))</f>
        <v>MARZO</v>
      </c>
      <c r="O1334" s="9" t="str">
        <f>IF(A1334="DO 29","BAP",IF(A1334="RO 14","BAP",(VLOOKUP(TablaCosechas[[#This Row],[COD]],Tabla7[[CODIGO]:[CERTIFICACION]],3,0))))</f>
        <v>ASC</v>
      </c>
      <c r="P1334" s="180">
        <f>+L1334-E1334</f>
        <v>2319.6999999999971</v>
      </c>
      <c r="Q1334" s="49">
        <f>+M1334-F1334</f>
        <v>0.15999999999999659</v>
      </c>
      <c r="R1334" s="9"/>
    </row>
    <row r="1335" spans="1:18" x14ac:dyDescent="0.25">
      <c r="A1335" s="9" t="s">
        <v>288</v>
      </c>
      <c r="B1335" s="9">
        <f>ROW() - ROW(TablaCosechas[[#Headers],[ID]]) - 4</f>
        <v>1330</v>
      </c>
      <c r="C1335" s="9" t="str">
        <f>LEFT(A1335,2)</f>
        <v>PR</v>
      </c>
      <c r="D1335" s="182" t="s">
        <v>366</v>
      </c>
      <c r="E1335" s="178">
        <v>30300</v>
      </c>
      <c r="F1335" s="19">
        <v>23.5</v>
      </c>
      <c r="G1335" s="195">
        <v>46094</v>
      </c>
      <c r="H1335" s="9" t="str">
        <f>VLOOKUP(TablaCosechas[[#This Row],[COD]],DATOS!$E$3:$F$27,2,0)</f>
        <v>PARGO ROJO</v>
      </c>
      <c r="I1335" s="9" t="str">
        <f>RIGHT(TablaCosechas[[#This Row],[SECTOR/PISCINA]],2)</f>
        <v>10</v>
      </c>
      <c r="J1335" s="9" t="str">
        <f>VLOOKUP(TablaCosechas[[#This Row],[COD]],Tabla7[#All],4,0)</f>
        <v>WILMER TORRES</v>
      </c>
      <c r="K1335" s="179">
        <f>(TablaCosechas[[#This Row],[libras planta]]*454)/M1335</f>
        <v>676890.15627668647</v>
      </c>
      <c r="L1335" s="215">
        <v>34917.99</v>
      </c>
      <c r="M1335" s="19">
        <v>23.42</v>
      </c>
      <c r="N1335" s="9" t="str">
        <f>UPPER(TEXT(TablaCosechas[[#This Row],[COSECHA]],"MMMM"))</f>
        <v>MARZO</v>
      </c>
      <c r="O1335" s="9" t="str">
        <f>IF(A1335="DO 29","BAP",IF(A1335="RO 14","BAP",(VLOOKUP(TablaCosechas[[#This Row],[COD]],Tabla7[[CODIGO]:[CERTIFICACION]],3,0))))</f>
        <v>CONVENCIONAL</v>
      </c>
      <c r="P1335" s="180">
        <f>+L1335-E1335</f>
        <v>4617.989999999998</v>
      </c>
      <c r="Q1335" s="49">
        <f>+M1335-F1335</f>
        <v>-7.9999999999998295E-2</v>
      </c>
      <c r="R1335" s="9"/>
    </row>
    <row r="1336" spans="1:18" x14ac:dyDescent="0.25">
      <c r="A1336" s="9" t="s">
        <v>287</v>
      </c>
      <c r="B1336" s="9">
        <f>ROW() - ROW(TablaCosechas[[#Headers],[ID]]) - 4</f>
        <v>1331</v>
      </c>
      <c r="C1336" s="9" t="str">
        <f>LEFT(A1336,2)</f>
        <v>PA</v>
      </c>
      <c r="D1336" s="182" t="s">
        <v>366</v>
      </c>
      <c r="E1336" s="178">
        <v>20400</v>
      </c>
      <c r="F1336" s="19">
        <v>30</v>
      </c>
      <c r="G1336" s="195">
        <v>46094</v>
      </c>
      <c r="H1336" s="9" t="str">
        <f>VLOOKUP(TablaCosechas[[#This Row],[COD]],DATOS!$E$3:$F$27,2,0)</f>
        <v>PAMPANO</v>
      </c>
      <c r="I1336" s="9" t="str">
        <f>RIGHT(TablaCosechas[[#This Row],[SECTOR/PISCINA]],2)</f>
        <v>13</v>
      </c>
      <c r="J1336" s="9" t="str">
        <f>VLOOKUP(TablaCosechas[[#This Row],[COD]],Tabla7[#All],4,0)</f>
        <v>GUSTAVO CARRASCO</v>
      </c>
      <c r="K1336" s="179">
        <f>(TablaCosechas[[#This Row],[libras planta]]*454)/M1336</f>
        <v>336792.38374417054</v>
      </c>
      <c r="L1336" s="215">
        <v>22269.84</v>
      </c>
      <c r="M1336" s="19">
        <v>30.02</v>
      </c>
      <c r="N1336" s="9" t="str">
        <f>UPPER(TEXT(TablaCosechas[[#This Row],[COSECHA]],"MMMM"))</f>
        <v>MARZO</v>
      </c>
      <c r="O1336" s="9" t="str">
        <f>IF(A1336="DO 29","BAP",IF(A1336="RO 14","BAP",(VLOOKUP(TablaCosechas[[#This Row],[COD]],Tabla7[[CODIGO]:[CERTIFICACION]],3,0))))</f>
        <v>ASC</v>
      </c>
      <c r="P1336" s="180">
        <f>+L1336-E1336</f>
        <v>1869.8400000000001</v>
      </c>
      <c r="Q1336" s="49">
        <f>+M1336-F1336</f>
        <v>1.9999999999999574E-2</v>
      </c>
      <c r="R1336" s="9"/>
    </row>
    <row r="1337" spans="1:18" x14ac:dyDescent="0.25">
      <c r="A1337" s="9" t="s">
        <v>290</v>
      </c>
      <c r="B1337" s="9">
        <f>ROW() - ROW(TablaCosechas[[#Headers],[ID]]) - 4</f>
        <v>1332</v>
      </c>
      <c r="C1337" s="9" t="str">
        <f>LEFT(A1337,2)</f>
        <v>ME</v>
      </c>
      <c r="D1337" s="182" t="s">
        <v>366</v>
      </c>
      <c r="E1337" s="178">
        <f>17400+3600</f>
        <v>21000</v>
      </c>
      <c r="F1337" s="19">
        <v>45</v>
      </c>
      <c r="G1337" s="195">
        <v>46094</v>
      </c>
      <c r="H1337" s="9" t="str">
        <f>VLOOKUP(TablaCosechas[[#This Row],[COD]],DATOS!$E$3:$F$27,2,0)</f>
        <v>MERO</v>
      </c>
      <c r="I1337" s="9" t="str">
        <f>RIGHT(TablaCosechas[[#This Row],[SECTOR/PISCINA]],2)</f>
        <v>05</v>
      </c>
      <c r="J1337" s="9" t="str">
        <f>VLOOKUP(TablaCosechas[[#This Row],[COD]],Tabla7[#All],4,0)</f>
        <v>NESTOR MOGOLLON</v>
      </c>
      <c r="K1337" s="179">
        <f>(TablaCosechas[[#This Row],[libras planta]]*454)/M1337</f>
        <v>227164.02788279773</v>
      </c>
      <c r="L1337" s="215">
        <v>21175.29</v>
      </c>
      <c r="M1337" s="19">
        <v>42.32</v>
      </c>
      <c r="N1337" s="9" t="str">
        <f>UPPER(TEXT(TablaCosechas[[#This Row],[COSECHA]],"MMMM"))</f>
        <v>MARZO</v>
      </c>
      <c r="O1337" s="9" t="str">
        <f>IF(A1337="DO 29","BAP",IF(A1337="RO 14","BAP",(VLOOKUP(TablaCosechas[[#This Row],[COD]],Tabla7[[CODIGO]:[CERTIFICACION]],3,0))))</f>
        <v>CONVENCIONAL</v>
      </c>
      <c r="P1337" s="180">
        <f>+L1337-E1337</f>
        <v>175.29000000000087</v>
      </c>
      <c r="Q1337" s="49">
        <f>+M1337-F1337</f>
        <v>-2.6799999999999997</v>
      </c>
      <c r="R1337" s="9"/>
    </row>
    <row r="1338" spans="1:18" x14ac:dyDescent="0.25">
      <c r="A1338" s="9" t="s">
        <v>286</v>
      </c>
      <c r="B1338" s="9">
        <f>ROW() - ROW(TablaCosechas[[#Headers],[ID]]) - 4</f>
        <v>1333</v>
      </c>
      <c r="C1338" s="9" t="str">
        <f>LEFT(A1338,2)</f>
        <v>DO</v>
      </c>
      <c r="D1338" s="182" t="s">
        <v>366</v>
      </c>
      <c r="E1338" s="178">
        <v>37400</v>
      </c>
      <c r="F1338" s="19">
        <v>30</v>
      </c>
      <c r="G1338" s="195">
        <v>46094</v>
      </c>
      <c r="H1338" s="9" t="str">
        <f>VLOOKUP(TablaCosechas[[#This Row],[COD]],DATOS!$E$3:$F$27,2,0)</f>
        <v>DORADO</v>
      </c>
      <c r="I1338" s="9" t="str">
        <f>RIGHT(TablaCosechas[[#This Row],[SECTOR/PISCINA]],2)</f>
        <v>29</v>
      </c>
      <c r="J1338" s="9" t="str">
        <f>VLOOKUP(TablaCosechas[[#This Row],[COD]],Tabla7[#All],4,0)</f>
        <v>JOSE CEDEÑO</v>
      </c>
      <c r="K1338" s="179">
        <f>(TablaCosechas[[#This Row],[libras planta]]*454)/M1338</f>
        <v>556914.04158544517</v>
      </c>
      <c r="L1338" s="215">
        <v>37757.300000000003</v>
      </c>
      <c r="M1338" s="19">
        <v>30.78</v>
      </c>
      <c r="N1338" s="9" t="str">
        <f>UPPER(TEXT(TablaCosechas[[#This Row],[COSECHA]],"MMMM"))</f>
        <v>MARZO</v>
      </c>
      <c r="O1338" s="9" t="str">
        <f>IF(A1338="DO 29","BAP",IF(A1338="RO 14","BAP",(VLOOKUP(TablaCosechas[[#This Row],[COD]],Tabla7[[CODIGO]:[CERTIFICACION]],3,0))))</f>
        <v>BAP</v>
      </c>
      <c r="P1338" s="180">
        <f>+L1338-E1338</f>
        <v>357.30000000000291</v>
      </c>
      <c r="Q1338" s="181">
        <f>+M1338-F1338</f>
        <v>0.78000000000000114</v>
      </c>
      <c r="R1338" s="9"/>
    </row>
    <row r="1339" spans="1:18" x14ac:dyDescent="0.25">
      <c r="A1339" s="9" t="s">
        <v>184</v>
      </c>
      <c r="B1339" s="9">
        <f>ROW() - ROW(TablaCosechas[[#Headers],[ID]]) - 4</f>
        <v>1334</v>
      </c>
      <c r="C1339" s="9" t="str">
        <f>LEFT(A1339,2)</f>
        <v>DO</v>
      </c>
      <c r="D1339" s="182" t="s">
        <v>367</v>
      </c>
      <c r="E1339" s="178">
        <v>11400</v>
      </c>
      <c r="F1339" s="19">
        <v>21</v>
      </c>
      <c r="G1339" s="195">
        <v>46094</v>
      </c>
      <c r="H1339" s="9" t="str">
        <f>VLOOKUP(TablaCosechas[[#This Row],[COD]],DATOS!$E$3:$F$27,2,0)</f>
        <v>DORADO</v>
      </c>
      <c r="I1339" s="9" t="str">
        <f>RIGHT(TablaCosechas[[#This Row],[SECTOR/PISCINA]],2)</f>
        <v>19</v>
      </c>
      <c r="J1339" s="9" t="str">
        <f>VLOOKUP(TablaCosechas[[#This Row],[COD]],Tabla7[#All],4,0)</f>
        <v>JOSE CEDEÑO</v>
      </c>
      <c r="K1339" s="179">
        <f>(TablaCosechas[[#This Row],[libras planta]]*454)/M1339</f>
        <v>218292.87217391303</v>
      </c>
      <c r="L1339" s="215">
        <v>11058.89</v>
      </c>
      <c r="M1339" s="19">
        <v>23</v>
      </c>
      <c r="N1339" s="9" t="str">
        <f>UPPER(TEXT(TablaCosechas[[#This Row],[COSECHA]],"MMMM"))</f>
        <v>MARZO</v>
      </c>
      <c r="O1339" s="9" t="str">
        <f>IF(A1339="DO 29","BAP",IF(A1339="RO 14","BAP",(VLOOKUP(TablaCosechas[[#This Row],[COD]],Tabla7[[CODIGO]:[CERTIFICACION]],3,0))))</f>
        <v>ASC</v>
      </c>
      <c r="P1339" s="180">
        <f>+L1339-E1339</f>
        <v>-341.11000000000058</v>
      </c>
      <c r="Q1339" s="49">
        <f>+M1339-F1339</f>
        <v>2</v>
      </c>
      <c r="R1339" s="9"/>
    </row>
    <row r="1340" spans="1:18" x14ac:dyDescent="0.25">
      <c r="A1340" s="9" t="s">
        <v>9</v>
      </c>
      <c r="B1340" s="9">
        <f>ROW() - ROW(TablaCosechas[[#Headers],[ID]]) - 4</f>
        <v>1335</v>
      </c>
      <c r="C1340" s="9" t="str">
        <f>LEFT(A1340,2)</f>
        <v>CH</v>
      </c>
      <c r="D1340" s="182" t="s">
        <v>366</v>
      </c>
      <c r="E1340" s="178">
        <v>29500</v>
      </c>
      <c r="F1340" s="19">
        <v>32</v>
      </c>
      <c r="G1340" s="195">
        <v>46094</v>
      </c>
      <c r="H1340" s="9" t="str">
        <f>VLOOKUP(TablaCosechas[[#This Row],[COD]],DATOS!$E$3:$F$27,2,0)</f>
        <v>CHERNA</v>
      </c>
      <c r="I1340" s="9" t="str">
        <f>RIGHT(TablaCosechas[[#This Row],[SECTOR/PISCINA]],2)</f>
        <v>03</v>
      </c>
      <c r="J1340" s="9" t="str">
        <f>VLOOKUP(TablaCosechas[[#This Row],[COD]],Tabla7[#All],4,0)</f>
        <v>SANTIAGO OBRIEN</v>
      </c>
      <c r="K1340" s="179">
        <f>(TablaCosechas[[#This Row],[libras planta]]*454)/M1340</f>
        <v>459293.65641952981</v>
      </c>
      <c r="L1340" s="215">
        <v>33566.879999999997</v>
      </c>
      <c r="M1340" s="19">
        <v>33.18</v>
      </c>
      <c r="N1340" s="9" t="str">
        <f>UPPER(TEXT(TablaCosechas[[#This Row],[COSECHA]],"MMMM"))</f>
        <v>MARZO</v>
      </c>
      <c r="O1340" s="9" t="str">
        <f>IF(A1340="DO 29","BAP",IF(A1340="RO 14","BAP",(VLOOKUP(TablaCosechas[[#This Row],[COD]],Tabla7[[CODIGO]:[CERTIFICACION]],3,0))))</f>
        <v>ASC</v>
      </c>
      <c r="P1340" s="180">
        <f>+L1340-E1340</f>
        <v>4066.8799999999974</v>
      </c>
      <c r="Q1340" s="49">
        <f>+M1340-F1340</f>
        <v>1.1799999999999997</v>
      </c>
      <c r="R1340" s="9"/>
    </row>
    <row r="1341" spans="1:18" x14ac:dyDescent="0.25">
      <c r="A1341" s="9" t="s">
        <v>338</v>
      </c>
      <c r="B1341" s="9">
        <f>ROW() - ROW(TablaCosechas[[#Headers],[ID]]) - 4</f>
        <v>1336</v>
      </c>
      <c r="C1341" s="9" t="str">
        <f>LEFT(A1341,2)</f>
        <v>WA</v>
      </c>
      <c r="D1341" s="182" t="s">
        <v>367</v>
      </c>
      <c r="E1341" s="178">
        <v>5950</v>
      </c>
      <c r="F1341" s="19">
        <v>17</v>
      </c>
      <c r="G1341" s="195">
        <v>46096</v>
      </c>
      <c r="H1341" s="9" t="str">
        <f>VLOOKUP(TablaCosechas[[#This Row],[COD]],DATOS!$E$3:$F$27,2,0)</f>
        <v>WAHOO</v>
      </c>
      <c r="I1341" s="9" t="str">
        <f>RIGHT(TablaCosechas[[#This Row],[SECTOR/PISCINA]],2)</f>
        <v>07</v>
      </c>
      <c r="J1341" s="9" t="str">
        <f>VLOOKUP(TablaCosechas[[#This Row],[COD]],Tabla7[#All],4,0)</f>
        <v>JUNIOR ESQUIVEL</v>
      </c>
      <c r="K1341" s="179">
        <f>(TablaCosechas[[#This Row],[libras planta]]*454)/M1341</f>
        <v>182447.21700507615</v>
      </c>
      <c r="L1341" s="215">
        <v>6333.41</v>
      </c>
      <c r="M1341" s="19">
        <v>15.76</v>
      </c>
      <c r="N1341" s="9" t="str">
        <f>UPPER(TEXT(TablaCosechas[[#This Row],[COSECHA]],"MMMM"))</f>
        <v>MARZO</v>
      </c>
      <c r="O1341" s="9" t="str">
        <f>IF(A1341="DO 29","BAP",IF(A1341="RO 14","BAP",(VLOOKUP(TablaCosechas[[#This Row],[COD]],Tabla7[[CODIGO]:[CERTIFICACION]],3,0))))</f>
        <v>CONVENCIONAL</v>
      </c>
      <c r="P1341" s="180">
        <f>+L1341-E1341</f>
        <v>383.40999999999985</v>
      </c>
      <c r="Q1341" s="49">
        <f>+M1341-F1341</f>
        <v>-1.2400000000000002</v>
      </c>
      <c r="R1341" s="9"/>
    </row>
    <row r="1342" spans="1:18" x14ac:dyDescent="0.25">
      <c r="A1342" s="9" t="s">
        <v>156</v>
      </c>
      <c r="B1342" s="9">
        <f>ROW() - ROW(TablaCosechas[[#Headers],[ID]]) - 4</f>
        <v>1337</v>
      </c>
      <c r="C1342" s="9" t="str">
        <f>LEFT(A1342,2)</f>
        <v>TI</v>
      </c>
      <c r="D1342" s="182" t="s">
        <v>367</v>
      </c>
      <c r="E1342" s="178">
        <v>7000</v>
      </c>
      <c r="F1342" s="19">
        <v>20</v>
      </c>
      <c r="G1342" s="195">
        <v>46096</v>
      </c>
      <c r="H1342" s="9" t="str">
        <f>VLOOKUP(TablaCosechas[[#This Row],[COD]],DATOS!$E$3:$F$27,2,0)</f>
        <v>TIBURON</v>
      </c>
      <c r="I1342" s="9" t="str">
        <f>RIGHT(TablaCosechas[[#This Row],[SECTOR/PISCINA]],2)</f>
        <v>11</v>
      </c>
      <c r="J1342" s="9" t="str">
        <f>VLOOKUP(TablaCosechas[[#This Row],[COD]],Tabla7[#All],4,0)</f>
        <v>ALFONSO GRUNAUER</v>
      </c>
      <c r="K1342" s="179">
        <f>(TablaCosechas[[#This Row],[libras planta]]*454)/M1342</f>
        <v>174529.85609243697</v>
      </c>
      <c r="L1342" s="215">
        <v>7319.49</v>
      </c>
      <c r="M1342" s="19">
        <v>19.04</v>
      </c>
      <c r="N1342" s="9" t="str">
        <f>UPPER(TEXT(TablaCosechas[[#This Row],[COSECHA]],"MMMM"))</f>
        <v>MARZO</v>
      </c>
      <c r="O1342" s="9" t="str">
        <f>IF(A1342="DO 29","BAP",IF(A1342="RO 14","BAP",(VLOOKUP(TablaCosechas[[#This Row],[COD]],Tabla7[[CODIGO]:[CERTIFICACION]],3,0))))</f>
        <v>ASC</v>
      </c>
      <c r="P1342" s="180">
        <f>+L1342-E1342</f>
        <v>319.48999999999978</v>
      </c>
      <c r="Q1342" s="49">
        <f>+M1342-F1342</f>
        <v>-0.96000000000000085</v>
      </c>
      <c r="R1342" s="9"/>
    </row>
    <row r="1343" spans="1:18" x14ac:dyDescent="0.25">
      <c r="A1343" s="9" t="s">
        <v>181</v>
      </c>
      <c r="B1343" s="9">
        <f>ROW() - ROW(TablaCosechas[[#Headers],[ID]]) - 4</f>
        <v>1338</v>
      </c>
      <c r="C1343" s="9" t="str">
        <f>LEFT(A1343,2)</f>
        <v>TA</v>
      </c>
      <c r="D1343" s="182" t="s">
        <v>367</v>
      </c>
      <c r="E1343" s="178">
        <v>12000</v>
      </c>
      <c r="F1343" s="19">
        <v>22</v>
      </c>
      <c r="G1343" s="195">
        <v>46096</v>
      </c>
      <c r="H1343" s="9" t="str">
        <f>VLOOKUP(TablaCosechas[[#This Row],[COD]],DATOS!$E$3:$F$27,2,0)</f>
        <v>TAMBULERO</v>
      </c>
      <c r="I1343" s="9" t="str">
        <f>RIGHT(TablaCosechas[[#This Row],[SECTOR/PISCINA]],2)</f>
        <v>10</v>
      </c>
      <c r="J1343" s="9" t="str">
        <f>VLOOKUP(TablaCosechas[[#This Row],[COD]],Tabla7[#All],4,0)</f>
        <v>ALFONSO GRUNAUER</v>
      </c>
      <c r="K1343" s="179">
        <f>(TablaCosechas[[#This Row],[libras planta]]*454)/M1343</f>
        <v>263116.87344028516</v>
      </c>
      <c r="L1343" s="215">
        <v>13005.16</v>
      </c>
      <c r="M1343" s="19">
        <v>22.44</v>
      </c>
      <c r="N1343" s="9" t="str">
        <f>UPPER(TEXT(TablaCosechas[[#This Row],[COSECHA]],"MMMM"))</f>
        <v>MARZO</v>
      </c>
      <c r="O1343" s="9" t="str">
        <f>IF(A1343="DO 29","BAP",IF(A1343="RO 14","BAP",(VLOOKUP(TablaCosechas[[#This Row],[COD]],Tabla7[[CODIGO]:[CERTIFICACION]],3,0))))</f>
        <v>CONVENCIONAL</v>
      </c>
      <c r="P1343" s="180">
        <f>+L1343-E1343</f>
        <v>1005.1599999999999</v>
      </c>
      <c r="Q1343" s="49">
        <f>+M1343-F1343</f>
        <v>0.44000000000000128</v>
      </c>
      <c r="R1343" s="9"/>
    </row>
    <row r="1344" spans="1:18" x14ac:dyDescent="0.25">
      <c r="A1344" s="9" t="s">
        <v>326</v>
      </c>
      <c r="B1344" s="9">
        <f>ROW() - ROW(TablaCosechas[[#Headers],[ID]]) - 4</f>
        <v>1339</v>
      </c>
      <c r="C1344" s="9" t="str">
        <f>LEFT(A1344,2)</f>
        <v>GT</v>
      </c>
      <c r="D1344" s="182" t="s">
        <v>367</v>
      </c>
      <c r="E1344" s="178">
        <v>8000</v>
      </c>
      <c r="F1344" s="19">
        <v>20</v>
      </c>
      <c r="G1344" s="195">
        <v>46096</v>
      </c>
      <c r="H1344" s="9" t="str">
        <f>VLOOKUP(TablaCosechas[[#This Row],[COD]],DATOS!$E$3:$F$27,2,0)</f>
        <v>GUATO</v>
      </c>
      <c r="I1344" s="9" t="str">
        <f>RIGHT(TablaCosechas[[#This Row],[SECTOR/PISCINA]],2)</f>
        <v>03</v>
      </c>
      <c r="J1344" s="9" t="str">
        <f>VLOOKUP(TablaCosechas[[#This Row],[COD]],Tabla7[#All],4,0)</f>
        <v>JULIO SANTOS</v>
      </c>
      <c r="K1344" s="179">
        <f>(TablaCosechas[[#This Row],[libras planta]]*454)/M1344</f>
        <v>200900.79673135854</v>
      </c>
      <c r="L1344" s="215">
        <v>8664.4</v>
      </c>
      <c r="M1344" s="19">
        <v>19.579999999999998</v>
      </c>
      <c r="N1344" s="9" t="str">
        <f>UPPER(TEXT(TablaCosechas[[#This Row],[COSECHA]],"MMMM"))</f>
        <v>MARZO</v>
      </c>
      <c r="O1344" s="9" t="str">
        <f>IF(A1344="DO 29","BAP",IF(A1344="RO 14","BAP",(VLOOKUP(TablaCosechas[[#This Row],[COD]],Tabla7[[CODIGO]:[CERTIFICACION]],3,0))))</f>
        <v>CONVENCIONAL</v>
      </c>
      <c r="P1344" s="180">
        <f>+L1344-E1344</f>
        <v>664.39999999999964</v>
      </c>
      <c r="Q1344" s="181">
        <f>+M1344-F1344</f>
        <v>-0.42000000000000171</v>
      </c>
      <c r="R1344" s="9"/>
    </row>
    <row r="1345" spans="1:18" x14ac:dyDescent="0.25">
      <c r="A1345" s="9" t="s">
        <v>159</v>
      </c>
      <c r="B1345" s="9">
        <f>ROW() - ROW(TablaCosechas[[#Headers],[ID]]) - 4</f>
        <v>1340</v>
      </c>
      <c r="C1345" s="9" t="str">
        <f>LEFT(A1345,2)</f>
        <v>DO</v>
      </c>
      <c r="D1345" s="182" t="s">
        <v>367</v>
      </c>
      <c r="E1345" s="178">
        <v>20000</v>
      </c>
      <c r="F1345" s="19">
        <v>20</v>
      </c>
      <c r="G1345" s="195">
        <v>46096</v>
      </c>
      <c r="H1345" s="9" t="str">
        <f>VLOOKUP(TablaCosechas[[#This Row],[COD]],DATOS!$E$3:$F$27,2,0)</f>
        <v>DORADO</v>
      </c>
      <c r="I1345" s="9" t="str">
        <f>RIGHT(TablaCosechas[[#This Row],[SECTOR/PISCINA]],2)</f>
        <v>23</v>
      </c>
      <c r="J1345" s="9" t="str">
        <f>VLOOKUP(TablaCosechas[[#This Row],[COD]],Tabla7[#All],4,0)</f>
        <v>JOSE CEDEÑO</v>
      </c>
      <c r="K1345" s="179">
        <f>(TablaCosechas[[#This Row],[libras planta]]*454)/M1345</f>
        <v>450283.9674234945</v>
      </c>
      <c r="L1345" s="215">
        <v>20094.169999999998</v>
      </c>
      <c r="M1345" s="19">
        <v>20.260000000000002</v>
      </c>
      <c r="N1345" s="9" t="str">
        <f>UPPER(TEXT(TablaCosechas[[#This Row],[COSECHA]],"MMMM"))</f>
        <v>MARZO</v>
      </c>
      <c r="O1345" s="9" t="str">
        <f>IF(A1345="DO 29","BAP",IF(A1345="RO 14","BAP",(VLOOKUP(TablaCosechas[[#This Row],[COD]],Tabla7[[CODIGO]:[CERTIFICACION]],3,0))))</f>
        <v>ASC</v>
      </c>
      <c r="P1345" s="180">
        <f>+L1345-E1345</f>
        <v>94.169999999998254</v>
      </c>
      <c r="Q1345" s="49">
        <f>+M1345-F1345</f>
        <v>0.26000000000000156</v>
      </c>
      <c r="R1345" s="9"/>
    </row>
    <row r="1346" spans="1:18" x14ac:dyDescent="0.25">
      <c r="A1346" s="9" t="s">
        <v>12</v>
      </c>
      <c r="B1346" s="9">
        <f>ROW() - ROW(TablaCosechas[[#Headers],[ID]]) - 4</f>
        <v>1341</v>
      </c>
      <c r="C1346" s="9" t="str">
        <f>LEFT(A1346,2)</f>
        <v>CH</v>
      </c>
      <c r="D1346" s="182" t="s">
        <v>366</v>
      </c>
      <c r="E1346" s="178">
        <v>19700</v>
      </c>
      <c r="F1346" s="19">
        <v>30</v>
      </c>
      <c r="G1346" s="195">
        <v>46096</v>
      </c>
      <c r="H1346" s="9" t="str">
        <f>VLOOKUP(TablaCosechas[[#This Row],[COD]],DATOS!$E$3:$F$27,2,0)</f>
        <v>CHERNA</v>
      </c>
      <c r="I1346" s="9" t="str">
        <f>RIGHT(TablaCosechas[[#This Row],[SECTOR/PISCINA]],2)</f>
        <v>06</v>
      </c>
      <c r="J1346" s="9" t="str">
        <f>VLOOKUP(TablaCosechas[[#This Row],[COD]],Tabla7[#All],4,0)</f>
        <v>SANTIAGO OBRIEN</v>
      </c>
      <c r="K1346" s="179">
        <f>(TablaCosechas[[#This Row],[libras planta]]*454)/M1346</f>
        <v>293675.21956368751</v>
      </c>
      <c r="L1346" s="215">
        <v>18383.810000000001</v>
      </c>
      <c r="M1346" s="19">
        <v>28.42</v>
      </c>
      <c r="N1346" s="9" t="str">
        <f>UPPER(TEXT(TablaCosechas[[#This Row],[COSECHA]],"MMMM"))</f>
        <v>MARZO</v>
      </c>
      <c r="O1346" s="9" t="str">
        <f>IF(A1346="DO 29","BAP",IF(A1346="RO 14","BAP",(VLOOKUP(TablaCosechas[[#This Row],[COD]],Tabla7[[CODIGO]:[CERTIFICACION]],3,0))))</f>
        <v>ASC</v>
      </c>
      <c r="P1346" s="180">
        <f>+L1346-E1346</f>
        <v>-1316.1899999999987</v>
      </c>
      <c r="Q1346" s="49">
        <f>+M1346-F1346</f>
        <v>-1.5799999999999983</v>
      </c>
      <c r="R1346" s="9"/>
    </row>
    <row r="1347" spans="1:18" x14ac:dyDescent="0.25">
      <c r="A1347" s="9" t="s">
        <v>324</v>
      </c>
      <c r="B1347" s="9">
        <f>ROW() - ROW(TablaCosechas[[#Headers],[ID]]) - 4</f>
        <v>1342</v>
      </c>
      <c r="C1347" s="9" t="str">
        <f>LEFT(A1347,2)</f>
        <v>WA</v>
      </c>
      <c r="D1347" s="182" t="s">
        <v>367</v>
      </c>
      <c r="E1347" s="178">
        <v>10800</v>
      </c>
      <c r="F1347" s="19">
        <v>23</v>
      </c>
      <c r="G1347" s="195">
        <v>46097</v>
      </c>
      <c r="H1347" s="9" t="str">
        <f>VLOOKUP(TablaCosechas[[#This Row],[COD]],DATOS!$E$3:$F$27,2,0)</f>
        <v>WAHOO</v>
      </c>
      <c r="I1347" s="9" t="str">
        <f>RIGHT(TablaCosechas[[#This Row],[SECTOR/PISCINA]],2)</f>
        <v>11</v>
      </c>
      <c r="J1347" s="9" t="str">
        <f>VLOOKUP(TablaCosechas[[#This Row],[COD]],Tabla7[#All],4,0)</f>
        <v>JUNIOR ESQUIVEL</v>
      </c>
      <c r="K1347" s="179">
        <f>(TablaCosechas[[#This Row],[libras planta]]*454)/M1347</f>
        <v>242873.00091324202</v>
      </c>
      <c r="L1347" s="215">
        <v>11715.68</v>
      </c>
      <c r="M1347" s="19">
        <v>21.9</v>
      </c>
      <c r="N1347" s="9" t="str">
        <f>UPPER(TEXT(TablaCosechas[[#This Row],[COSECHA]],"MMMM"))</f>
        <v>MARZO</v>
      </c>
      <c r="O1347" s="9" t="str">
        <f>IF(A1347="DO 29","BAP",IF(A1347="RO 14","BAP",(VLOOKUP(TablaCosechas[[#This Row],[COD]],Tabla7[[CODIGO]:[CERTIFICACION]],3,0))))</f>
        <v>CONVENCIONAL</v>
      </c>
      <c r="P1347" s="180">
        <f>+L1347-E1347</f>
        <v>915.68000000000029</v>
      </c>
      <c r="Q1347" s="49">
        <f>+M1347-F1347</f>
        <v>-1.1000000000000014</v>
      </c>
      <c r="R1347" s="9"/>
    </row>
    <row r="1348" spans="1:18" x14ac:dyDescent="0.25">
      <c r="A1348" s="9" t="s">
        <v>315</v>
      </c>
      <c r="B1348" s="9">
        <f>ROW() - ROW(TablaCosechas[[#Headers],[ID]]) - 4</f>
        <v>1343</v>
      </c>
      <c r="C1348" s="9" t="str">
        <f>LEFT(A1348,2)</f>
        <v>TI</v>
      </c>
      <c r="D1348" s="182" t="s">
        <v>367</v>
      </c>
      <c r="E1348" s="178">
        <v>16000</v>
      </c>
      <c r="F1348" s="19">
        <v>37</v>
      </c>
      <c r="G1348" s="195">
        <v>46097</v>
      </c>
      <c r="H1348" s="9" t="str">
        <f>VLOOKUP(TablaCosechas[[#This Row],[COD]],DATOS!$E$3:$F$27,2,0)</f>
        <v>TIBURON</v>
      </c>
      <c r="I1348" s="9" t="str">
        <f>RIGHT(TablaCosechas[[#This Row],[SECTOR/PISCINA]],2)</f>
        <v>05</v>
      </c>
      <c r="J1348" s="9" t="str">
        <f>VLOOKUP(TablaCosechas[[#This Row],[COD]],Tabla7[#All],4,0)</f>
        <v>ALFONSO GRUNAUER</v>
      </c>
      <c r="K1348" s="179">
        <f>(TablaCosechas[[#This Row],[libras planta]]*454)/M1348</f>
        <v>196840.59840000002</v>
      </c>
      <c r="L1348" s="215">
        <v>16258.86</v>
      </c>
      <c r="M1348" s="19">
        <v>37.5</v>
      </c>
      <c r="N1348" s="9" t="str">
        <f>UPPER(TEXT(TablaCosechas[[#This Row],[COSECHA]],"MMMM"))</f>
        <v>MARZO</v>
      </c>
      <c r="O1348" s="9" t="str">
        <f>IF(A1348="DO 29","BAP",IF(A1348="RO 14","BAP",(VLOOKUP(TablaCosechas[[#This Row],[COD]],Tabla7[[CODIGO]:[CERTIFICACION]],3,0))))</f>
        <v>ASC</v>
      </c>
      <c r="P1348" s="180">
        <f>+L1348-E1348</f>
        <v>258.86000000000058</v>
      </c>
      <c r="Q1348" s="49">
        <f>+M1348-F1348</f>
        <v>0.5</v>
      </c>
      <c r="R1348" s="9"/>
    </row>
    <row r="1349" spans="1:18" x14ac:dyDescent="0.25">
      <c r="A1349" s="9" t="s">
        <v>293</v>
      </c>
      <c r="B1349" s="9">
        <f>ROW() - ROW(TablaCosechas[[#Headers],[ID]]) - 4</f>
        <v>1344</v>
      </c>
      <c r="C1349" s="9" t="str">
        <f>LEFT(A1349,2)</f>
        <v>TA</v>
      </c>
      <c r="D1349" s="182" t="s">
        <v>366</v>
      </c>
      <c r="E1349" s="178">
        <v>31200</v>
      </c>
      <c r="F1349" s="19">
        <v>30.5</v>
      </c>
      <c r="G1349" s="195">
        <v>46097</v>
      </c>
      <c r="H1349" s="9" t="str">
        <f>VLOOKUP(TablaCosechas[[#This Row],[COD]],DATOS!$E$3:$F$27,2,0)</f>
        <v>TAMBULERO</v>
      </c>
      <c r="I1349" s="9" t="str">
        <f>RIGHT(TablaCosechas[[#This Row],[SECTOR/PISCINA]],2)</f>
        <v>12</v>
      </c>
      <c r="J1349" s="9" t="str">
        <f>VLOOKUP(TablaCosechas[[#This Row],[COD]],Tabla7[#All],4,0)</f>
        <v>ALFONSO GRUNAUER</v>
      </c>
      <c r="K1349" s="179">
        <f>(TablaCosechas[[#This Row],[libras planta]]*454)/M1349</f>
        <v>490132.59466170083</v>
      </c>
      <c r="L1349" s="215">
        <v>34784.300000000003</v>
      </c>
      <c r="M1349" s="19">
        <v>32.22</v>
      </c>
      <c r="N1349" s="9" t="str">
        <f>UPPER(TEXT(TablaCosechas[[#This Row],[COSECHA]],"MMMM"))</f>
        <v>MARZO</v>
      </c>
      <c r="O1349" s="9" t="str">
        <f>IF(A1349="DO 29","BAP",IF(A1349="RO 14","BAP",(VLOOKUP(TablaCosechas[[#This Row],[COD]],Tabla7[[CODIGO]:[CERTIFICACION]],3,0))))</f>
        <v>CONVENCIONAL</v>
      </c>
      <c r="P1349" s="180">
        <f>+L1349-E1349</f>
        <v>3584.3000000000029</v>
      </c>
      <c r="Q1349" s="49">
        <f>+M1349-F1349</f>
        <v>1.7199999999999989</v>
      </c>
      <c r="R1349" s="9"/>
    </row>
    <row r="1350" spans="1:18" x14ac:dyDescent="0.25">
      <c r="A1350" s="9" t="s">
        <v>294</v>
      </c>
      <c r="B1350" s="9">
        <f>ROW() - ROW(TablaCosechas[[#Headers],[ID]]) - 4</f>
        <v>1345</v>
      </c>
      <c r="C1350" s="9" t="str">
        <f>LEFT(A1350,2)</f>
        <v>RO</v>
      </c>
      <c r="D1350" s="182" t="s">
        <v>366</v>
      </c>
      <c r="E1350" s="178">
        <f>73300+1700</f>
        <v>75000</v>
      </c>
      <c r="F1350" s="19">
        <v>38</v>
      </c>
      <c r="G1350" s="195">
        <v>46097</v>
      </c>
      <c r="H1350" s="9" t="str">
        <f>VLOOKUP(TablaCosechas[[#This Row],[COD]],DATOS!$E$3:$F$27,2,0)</f>
        <v>ROBALO</v>
      </c>
      <c r="I1350" s="9" t="str">
        <f>RIGHT(TablaCosechas[[#This Row],[SECTOR/PISCINA]],2)</f>
        <v>15</v>
      </c>
      <c r="J1350" s="9" t="str">
        <f>VLOOKUP(TablaCosechas[[#This Row],[COD]],Tabla7[#All],4,0)</f>
        <v>VICTOR QUINTANA</v>
      </c>
      <c r="K1350" s="179">
        <f>(TablaCosechas[[#This Row],[libras planta]]*454)/M1350</f>
        <v>1039137.6106604866</v>
      </c>
      <c r="L1350" s="215">
        <v>79011.08</v>
      </c>
      <c r="M1350" s="19">
        <v>34.520000000000003</v>
      </c>
      <c r="N1350" s="9" t="str">
        <f>UPPER(TEXT(TablaCosechas[[#This Row],[COSECHA]],"MMMM"))</f>
        <v>MARZO</v>
      </c>
      <c r="O1350" s="9" t="str">
        <f>IF(A1350="DO 29","BAP",IF(A1350="RO 14","BAP",(VLOOKUP(TablaCosechas[[#This Row],[COD]],Tabla7[[CODIGO]:[CERTIFICACION]],3,0))))</f>
        <v>ASC</v>
      </c>
      <c r="P1350" s="180">
        <f>+L1350-E1350</f>
        <v>4011.0800000000017</v>
      </c>
      <c r="Q1350" s="49">
        <f>+M1350-F1350</f>
        <v>-3.4799999999999969</v>
      </c>
      <c r="R1350" s="9"/>
    </row>
    <row r="1351" spans="1:18" x14ac:dyDescent="0.25">
      <c r="A1351" s="9" t="s">
        <v>106</v>
      </c>
      <c r="B1351" s="9">
        <f>ROW() - ROW(TablaCosechas[[#Headers],[ID]]) - 4</f>
        <v>1346</v>
      </c>
      <c r="C1351" s="9" t="str">
        <f>LEFT(A1351,2)</f>
        <v>PR</v>
      </c>
      <c r="D1351" s="182" t="s">
        <v>366</v>
      </c>
      <c r="E1351" s="178">
        <v>25800</v>
      </c>
      <c r="F1351" s="19">
        <v>22</v>
      </c>
      <c r="G1351" s="195">
        <v>46097</v>
      </c>
      <c r="H1351" s="9" t="str">
        <f>VLOOKUP(TablaCosechas[[#This Row],[COD]],DATOS!$E$3:$F$27,2,0)</f>
        <v>PARGO ROJO</v>
      </c>
      <c r="I1351" s="9" t="str">
        <f>RIGHT(TablaCosechas[[#This Row],[SECTOR/PISCINA]],2)</f>
        <v>28</v>
      </c>
      <c r="J1351" s="9" t="str">
        <f>VLOOKUP(TablaCosechas[[#This Row],[COD]],Tabla7[#All],4,0)</f>
        <v>WILMER TORRES</v>
      </c>
      <c r="K1351" s="179">
        <f>(TablaCosechas[[#This Row],[libras planta]]*454)/M1351</f>
        <v>540095.02332937927</v>
      </c>
      <c r="L1351" s="215">
        <v>30085.91</v>
      </c>
      <c r="M1351" s="19">
        <v>25.29</v>
      </c>
      <c r="N1351" s="9" t="str">
        <f>UPPER(TEXT(TablaCosechas[[#This Row],[COSECHA]],"MMMM"))</f>
        <v>MARZO</v>
      </c>
      <c r="O1351" s="9" t="str">
        <f>IF(A1351="DO 29","BAP",IF(A1351="RO 14","BAP",(VLOOKUP(TablaCosechas[[#This Row],[COD]],Tabla7[[CODIGO]:[CERTIFICACION]],3,0))))</f>
        <v>CONVENCIONAL</v>
      </c>
      <c r="P1351" s="180">
        <f>+L1351-E1351</f>
        <v>4285.91</v>
      </c>
      <c r="Q1351" s="49">
        <f>+M1351-F1351</f>
        <v>3.2899999999999991</v>
      </c>
      <c r="R1351" s="9"/>
    </row>
    <row r="1352" spans="1:18" x14ac:dyDescent="0.25">
      <c r="A1352" s="9" t="s">
        <v>304</v>
      </c>
      <c r="B1352" s="9">
        <f>ROW() - ROW(TablaCosechas[[#Headers],[ID]]) - 4</f>
        <v>1347</v>
      </c>
      <c r="C1352" s="9" t="str">
        <f>LEFT(A1352,2)</f>
        <v>PA</v>
      </c>
      <c r="D1352" s="182" t="s">
        <v>367</v>
      </c>
      <c r="E1352" s="178">
        <v>8600</v>
      </c>
      <c r="F1352" s="19">
        <v>33</v>
      </c>
      <c r="G1352" s="195">
        <v>46097</v>
      </c>
      <c r="H1352" s="9" t="str">
        <f>VLOOKUP(TablaCosechas[[#This Row],[COD]],DATOS!$E$3:$F$27,2,0)</f>
        <v>PAMPANO</v>
      </c>
      <c r="I1352" s="9" t="str">
        <f>RIGHT(TablaCosechas[[#This Row],[SECTOR/PISCINA]],2)</f>
        <v>06</v>
      </c>
      <c r="J1352" s="9" t="str">
        <f>VLOOKUP(TablaCosechas[[#This Row],[COD]],Tabla7[#All],4,0)</f>
        <v>GUSTAVO CARRASCO</v>
      </c>
      <c r="K1352" s="179">
        <f>(TablaCosechas[[#This Row],[libras planta]]*454)/M1352</f>
        <v>112956.59497206703</v>
      </c>
      <c r="L1352" s="215">
        <v>8907.15</v>
      </c>
      <c r="M1352" s="19">
        <v>35.799999999999997</v>
      </c>
      <c r="N1352" s="9" t="str">
        <f>UPPER(TEXT(TablaCosechas[[#This Row],[COSECHA]],"MMMM"))</f>
        <v>MARZO</v>
      </c>
      <c r="O1352" s="9" t="str">
        <f>IF(A1352="DO 29","BAP",IF(A1352="RO 14","BAP",(VLOOKUP(TablaCosechas[[#This Row],[COD]],Tabla7[[CODIGO]:[CERTIFICACION]],3,0))))</f>
        <v>ASC</v>
      </c>
      <c r="P1352" s="180">
        <f>+L1352-E1352</f>
        <v>307.14999999999964</v>
      </c>
      <c r="Q1352" s="49">
        <f>+M1352-F1352</f>
        <v>2.7999999999999972</v>
      </c>
      <c r="R1352" s="9"/>
    </row>
    <row r="1353" spans="1:18" x14ac:dyDescent="0.25">
      <c r="A1353" s="9" t="s">
        <v>292</v>
      </c>
      <c r="B1353" s="9">
        <f>ROW() - ROW(TablaCosechas[[#Headers],[ID]]) - 4</f>
        <v>1348</v>
      </c>
      <c r="C1353" s="9" t="str">
        <f>LEFT(A1353,2)</f>
        <v>ME</v>
      </c>
      <c r="D1353" s="182" t="s">
        <v>366</v>
      </c>
      <c r="E1353" s="178">
        <f>24500+5000</f>
        <v>29500</v>
      </c>
      <c r="F1353" s="19">
        <v>40</v>
      </c>
      <c r="G1353" s="195">
        <v>46097</v>
      </c>
      <c r="H1353" s="9" t="str">
        <f>VLOOKUP(TablaCosechas[[#This Row],[COD]],DATOS!$E$3:$F$27,2,0)</f>
        <v>MERO</v>
      </c>
      <c r="I1353" s="9" t="str">
        <f>RIGHT(TablaCosechas[[#This Row],[SECTOR/PISCINA]],2)</f>
        <v>07</v>
      </c>
      <c r="J1353" s="9" t="str">
        <f>VLOOKUP(TablaCosechas[[#This Row],[COD]],Tabla7[#All],4,0)</f>
        <v>NESTOR MOGOLLON</v>
      </c>
      <c r="K1353" s="179">
        <f>(TablaCosechas[[#This Row],[libras planta]]*454)/M1353</f>
        <v>330517.59410485625</v>
      </c>
      <c r="L1353" s="215">
        <v>30132.43</v>
      </c>
      <c r="M1353" s="19">
        <v>41.39</v>
      </c>
      <c r="N1353" s="9" t="str">
        <f>UPPER(TEXT(TablaCosechas[[#This Row],[COSECHA]],"MMMM"))</f>
        <v>MARZO</v>
      </c>
      <c r="O1353" s="9" t="str">
        <f>IF(A1353="DO 29","BAP",IF(A1353="RO 14","BAP",(VLOOKUP(TablaCosechas[[#This Row],[COD]],Tabla7[[CODIGO]:[CERTIFICACION]],3,0))))</f>
        <v>CONVENCIONAL</v>
      </c>
      <c r="P1353" s="180">
        <f>+L1353-E1353</f>
        <v>632.43000000000029</v>
      </c>
      <c r="Q1353" s="49">
        <f>+M1353-F1353</f>
        <v>1.3900000000000006</v>
      </c>
      <c r="R1353" s="9"/>
    </row>
    <row r="1354" spans="1:18" x14ac:dyDescent="0.25">
      <c r="A1354" s="9" t="s">
        <v>312</v>
      </c>
      <c r="B1354" s="9">
        <f>ROW() - ROW(TablaCosechas[[#Headers],[ID]]) - 4</f>
        <v>1349</v>
      </c>
      <c r="C1354" s="9" t="str">
        <f>LEFT(A1354,2)</f>
        <v>GT</v>
      </c>
      <c r="D1354" s="182" t="s">
        <v>367</v>
      </c>
      <c r="E1354" s="178">
        <v>8000</v>
      </c>
      <c r="F1354" s="19">
        <v>27</v>
      </c>
      <c r="G1354" s="195">
        <v>46097</v>
      </c>
      <c r="H1354" s="9" t="str">
        <f>VLOOKUP(TablaCosechas[[#This Row],[COD]],DATOS!$E$3:$F$27,2,0)</f>
        <v>GUATO</v>
      </c>
      <c r="I1354" s="9" t="str">
        <f>RIGHT(TablaCosechas[[#This Row],[SECTOR/PISCINA]],2)</f>
        <v>12</v>
      </c>
      <c r="J1354" s="9" t="str">
        <f>VLOOKUP(TablaCosechas[[#This Row],[COD]],Tabla7[#All],4,0)</f>
        <v>JULIO SANTOS</v>
      </c>
      <c r="K1354" s="179">
        <f>(TablaCosechas[[#This Row],[libras planta]]*454)/M1354</f>
        <v>155268.17328244276</v>
      </c>
      <c r="L1354" s="215">
        <v>8960.41</v>
      </c>
      <c r="M1354" s="19">
        <v>26.2</v>
      </c>
      <c r="N1354" s="9" t="str">
        <f>UPPER(TEXT(TablaCosechas[[#This Row],[COSECHA]],"MMMM"))</f>
        <v>MARZO</v>
      </c>
      <c r="O1354" s="9" t="str">
        <f>IF(A1354="DO 29","BAP",IF(A1354="RO 14","BAP",(VLOOKUP(TablaCosechas[[#This Row],[COD]],Tabla7[[CODIGO]:[CERTIFICACION]],3,0))))</f>
        <v>CONVENCIONAL</v>
      </c>
      <c r="P1354" s="180">
        <f>+L1354-E1354</f>
        <v>960.40999999999985</v>
      </c>
      <c r="Q1354" s="49">
        <f>+M1354-F1354</f>
        <v>-0.80000000000000071</v>
      </c>
      <c r="R1354" s="9"/>
    </row>
    <row r="1355" spans="1:18" x14ac:dyDescent="0.25">
      <c r="A1355" s="9" t="s">
        <v>331</v>
      </c>
      <c r="B1355" s="9">
        <f>ROW() - ROW(TablaCosechas[[#Headers],[ID]]) - 4</f>
        <v>1350</v>
      </c>
      <c r="C1355" s="9" t="str">
        <f>LEFT(A1355,2)</f>
        <v>DO</v>
      </c>
      <c r="D1355" s="182" t="s">
        <v>367</v>
      </c>
      <c r="E1355" s="178">
        <v>35800</v>
      </c>
      <c r="F1355" s="19">
        <v>28.5</v>
      </c>
      <c r="G1355" s="195">
        <v>46097</v>
      </c>
      <c r="H1355" s="9" t="str">
        <f>VLOOKUP(TablaCosechas[[#This Row],[COD]],DATOS!$E$3:$F$27,2,0)</f>
        <v>DORADO</v>
      </c>
      <c r="I1355" s="9" t="str">
        <f>RIGHT(TablaCosechas[[#This Row],[SECTOR/PISCINA]],2)</f>
        <v>25</v>
      </c>
      <c r="J1355" s="9" t="str">
        <f>VLOOKUP(TablaCosechas[[#This Row],[COD]],Tabla7[#All],4,0)</f>
        <v>JOSE CEDEÑO</v>
      </c>
      <c r="K1355" s="179">
        <f>(TablaCosechas[[#This Row],[libras planta]]*454)/M1355</f>
        <v>601748.30665669416</v>
      </c>
      <c r="L1355" s="215">
        <v>35442.18</v>
      </c>
      <c r="M1355" s="19">
        <v>26.74</v>
      </c>
      <c r="N1355" s="9" t="str">
        <f>UPPER(TEXT(TablaCosechas[[#This Row],[COSECHA]],"MMMM"))</f>
        <v>MARZO</v>
      </c>
      <c r="O1355" s="9" t="str">
        <f>IF(A1355="DO 29","BAP",IF(A1355="RO 14","BAP",(VLOOKUP(TablaCosechas[[#This Row],[COD]],Tabla7[[CODIGO]:[CERTIFICACION]],3,0))))</f>
        <v>ASC</v>
      </c>
      <c r="P1355" s="180">
        <f>+L1355-E1355</f>
        <v>-357.81999999999971</v>
      </c>
      <c r="Q1355" s="49">
        <f>+M1355-F1355</f>
        <v>-1.7600000000000016</v>
      </c>
      <c r="R1355" s="9"/>
    </row>
    <row r="1356" spans="1:18" x14ac:dyDescent="0.25">
      <c r="A1356" s="9" t="s">
        <v>130</v>
      </c>
      <c r="B1356" s="9">
        <f>ROW() - ROW(TablaCosechas[[#Headers],[ID]]) - 4</f>
        <v>1351</v>
      </c>
      <c r="C1356" s="9" t="str">
        <f>LEFT(A1356,2)</f>
        <v>DE</v>
      </c>
      <c r="D1356" s="182" t="s">
        <v>367</v>
      </c>
      <c r="E1356" s="178">
        <v>12200</v>
      </c>
      <c r="F1356" s="19">
        <v>27</v>
      </c>
      <c r="G1356" s="195">
        <v>46097</v>
      </c>
      <c r="H1356" s="9" t="str">
        <f>VLOOKUP(TablaCosechas[[#This Row],[COD]],DATOS!$E$3:$F$27,2,0)</f>
        <v>DELFIN</v>
      </c>
      <c r="I1356" s="9" t="str">
        <f>RIGHT(TablaCosechas[[#This Row],[SECTOR/PISCINA]],2)</f>
        <v>27</v>
      </c>
      <c r="J1356" s="9" t="str">
        <f>VLOOKUP(TablaCosechas[[#This Row],[COD]],Tabla7[#All],4,0)</f>
        <v>CARLOS FLORES</v>
      </c>
      <c r="K1356" s="179">
        <f>(TablaCosechas[[#This Row],[libras planta]]*454)/M1356</f>
        <v>204997.80128720836</v>
      </c>
      <c r="L1356" s="215">
        <v>11225.21</v>
      </c>
      <c r="M1356" s="19">
        <v>24.86</v>
      </c>
      <c r="N1356" s="9" t="str">
        <f>UPPER(TEXT(TablaCosechas[[#This Row],[COSECHA]],"MMMM"))</f>
        <v>MARZO</v>
      </c>
      <c r="O1356" s="9" t="str">
        <f>IF(A1356="DO 29","BAP",IF(A1356="RO 14","BAP",(VLOOKUP(TablaCosechas[[#This Row],[COD]],Tabla7[[CODIGO]:[CERTIFICACION]],3,0))))</f>
        <v>CONVENCIONAL</v>
      </c>
      <c r="P1356" s="180">
        <f>+L1356-E1356</f>
        <v>-974.79000000000087</v>
      </c>
      <c r="Q1356" s="49">
        <f>+M1356-F1356</f>
        <v>-2.1400000000000006</v>
      </c>
      <c r="R1356" s="9"/>
    </row>
    <row r="1357" spans="1:18" x14ac:dyDescent="0.25">
      <c r="A1357" s="9" t="s">
        <v>16</v>
      </c>
      <c r="B1357" s="9">
        <f>ROW() - ROW(TablaCosechas[[#Headers],[ID]]) - 4</f>
        <v>1352</v>
      </c>
      <c r="C1357" s="9" t="str">
        <f>LEFT(A1357,2)</f>
        <v>CH</v>
      </c>
      <c r="D1357" s="182" t="s">
        <v>367</v>
      </c>
      <c r="E1357" s="178">
        <v>7100</v>
      </c>
      <c r="F1357" s="19">
        <v>24</v>
      </c>
      <c r="G1357" s="195">
        <v>46097</v>
      </c>
      <c r="H1357" s="9" t="str">
        <f>VLOOKUP(TablaCosechas[[#This Row],[COD]],DATOS!$E$3:$F$27,2,0)</f>
        <v>CHERNA</v>
      </c>
      <c r="I1357" s="9" t="str">
        <f>RIGHT(TablaCosechas[[#This Row],[SECTOR/PISCINA]],2)</f>
        <v>10</v>
      </c>
      <c r="J1357" s="9" t="str">
        <f>VLOOKUP(TablaCosechas[[#This Row],[COD]],Tabla7[#All],4,0)</f>
        <v>SANTIAGO OBRIEN</v>
      </c>
      <c r="K1357" s="179">
        <f>(TablaCosechas[[#This Row],[libras planta]]*454)/M1357</f>
        <v>143076.87397708674</v>
      </c>
      <c r="L1357" s="215">
        <v>7702.2</v>
      </c>
      <c r="M1357" s="19">
        <v>24.44</v>
      </c>
      <c r="N1357" s="9" t="str">
        <f>UPPER(TEXT(TablaCosechas[[#This Row],[COSECHA]],"MMMM"))</f>
        <v>MARZO</v>
      </c>
      <c r="O1357" s="9" t="str">
        <f>IF(A1357="DO 29","BAP",IF(A1357="RO 14","BAP",(VLOOKUP(TablaCosechas[[#This Row],[COD]],Tabla7[[CODIGO]:[CERTIFICACION]],3,0))))</f>
        <v>ASC</v>
      </c>
      <c r="P1357" s="180">
        <f>+L1357-E1357</f>
        <v>602.19999999999982</v>
      </c>
      <c r="Q1357" s="49">
        <f>+M1357-F1357</f>
        <v>0.44000000000000128</v>
      </c>
      <c r="R1357" s="9"/>
    </row>
    <row r="1358" spans="1:18" x14ac:dyDescent="0.25">
      <c r="A1358" s="9" t="s">
        <v>343</v>
      </c>
      <c r="B1358" s="9">
        <f>ROW() - ROW(TablaCosechas[[#Headers],[ID]]) - 4</f>
        <v>1353</v>
      </c>
      <c r="C1358" s="9" t="str">
        <f>LEFT(A1358,2)</f>
        <v>WA</v>
      </c>
      <c r="D1358" s="182" t="s">
        <v>367</v>
      </c>
      <c r="E1358" s="178">
        <v>6800</v>
      </c>
      <c r="F1358" s="19">
        <v>22</v>
      </c>
      <c r="G1358" s="195">
        <v>46098</v>
      </c>
      <c r="H1358" s="9" t="str">
        <f>VLOOKUP(TablaCosechas[[#This Row],[COD]],DATOS!$E$3:$F$27,2,0)</f>
        <v>WAHOO</v>
      </c>
      <c r="I1358" s="9" t="str">
        <f>RIGHT(TablaCosechas[[#This Row],[SECTOR/PISCINA]],2)</f>
        <v>08</v>
      </c>
      <c r="J1358" s="9" t="str">
        <f>VLOOKUP(TablaCosechas[[#This Row],[COD]],Tabla7[#All],4,0)</f>
        <v>JUNIOR ESQUIVEL</v>
      </c>
      <c r="K1358" s="179">
        <f>(TablaCosechas[[#This Row],[libras planta]]*454)/M1358</f>
        <v>149004.50457875457</v>
      </c>
      <c r="L1358" s="215">
        <v>7167.97</v>
      </c>
      <c r="M1358" s="19">
        <v>21.84</v>
      </c>
      <c r="N1358" s="9" t="str">
        <f>UPPER(TEXT(TablaCosechas[[#This Row],[COSECHA]],"MMMM"))</f>
        <v>MARZO</v>
      </c>
      <c r="O1358" s="9" t="str">
        <f>IF(A1358="DO 29","BAP",IF(A1358="RO 14","BAP",(VLOOKUP(TablaCosechas[[#This Row],[COD]],Tabla7[[CODIGO]:[CERTIFICACION]],3,0))))</f>
        <v>CONVENCIONAL</v>
      </c>
      <c r="P1358" s="180">
        <f>+L1358-E1358</f>
        <v>367.97000000000025</v>
      </c>
      <c r="Q1358" s="49">
        <f>+M1358-F1358</f>
        <v>-0.16000000000000014</v>
      </c>
      <c r="R1358" s="9"/>
    </row>
    <row r="1359" spans="1:18" x14ac:dyDescent="0.25">
      <c r="A1359" s="9" t="s">
        <v>122</v>
      </c>
      <c r="B1359" s="9">
        <f>ROW() - ROW(TablaCosechas[[#Headers],[ID]]) - 4</f>
        <v>1354</v>
      </c>
      <c r="C1359" s="9" t="str">
        <f>LEFT(A1359,2)</f>
        <v>TI</v>
      </c>
      <c r="D1359" s="182" t="s">
        <v>367</v>
      </c>
      <c r="E1359" s="178">
        <v>5350</v>
      </c>
      <c r="F1359" s="19">
        <v>25</v>
      </c>
      <c r="G1359" s="195">
        <v>46098</v>
      </c>
      <c r="H1359" s="9" t="str">
        <f>VLOOKUP(TablaCosechas[[#This Row],[COD]],DATOS!$E$3:$F$27,2,0)</f>
        <v>TIBURON</v>
      </c>
      <c r="I1359" s="9" t="str">
        <f>RIGHT(TablaCosechas[[#This Row],[SECTOR/PISCINA]],2)</f>
        <v>07</v>
      </c>
      <c r="J1359" s="9" t="str">
        <f>VLOOKUP(TablaCosechas[[#This Row],[COD]],Tabla7[#All],4,0)</f>
        <v>ALFONSO GRUNAUER</v>
      </c>
      <c r="K1359" s="179">
        <f>(TablaCosechas[[#This Row],[libras planta]]*454)/M1359</f>
        <v>108605.61106780982</v>
      </c>
      <c r="L1359" s="215">
        <v>6138.37</v>
      </c>
      <c r="M1359" s="19">
        <v>25.66</v>
      </c>
      <c r="N1359" s="9" t="str">
        <f>UPPER(TEXT(TablaCosechas[[#This Row],[COSECHA]],"MMMM"))</f>
        <v>MARZO</v>
      </c>
      <c r="O1359" s="9" t="str">
        <f>IF(A1359="DO 29","BAP",IF(A1359="RO 14","BAP",(VLOOKUP(TablaCosechas[[#This Row],[COD]],Tabla7[[CODIGO]:[CERTIFICACION]],3,0))))</f>
        <v>ASC</v>
      </c>
      <c r="P1359" s="180">
        <f>+L1359-E1359</f>
        <v>788.36999999999989</v>
      </c>
      <c r="Q1359" s="49">
        <f>+M1359-F1359</f>
        <v>0.66000000000000014</v>
      </c>
      <c r="R1359" s="9"/>
    </row>
    <row r="1360" spans="1:18" x14ac:dyDescent="0.25">
      <c r="A1360" s="9" t="s">
        <v>298</v>
      </c>
      <c r="B1360" s="9">
        <f>ROW() - ROW(TablaCosechas[[#Headers],[ID]]) - 4</f>
        <v>1355</v>
      </c>
      <c r="C1360" s="9" t="str">
        <f>LEFT(A1360,2)</f>
        <v>PR</v>
      </c>
      <c r="D1360" s="182" t="s">
        <v>366</v>
      </c>
      <c r="E1360" s="178">
        <v>8100</v>
      </c>
      <c r="F1360" s="19">
        <v>24</v>
      </c>
      <c r="G1360" s="195">
        <v>46098</v>
      </c>
      <c r="H1360" s="9" t="str">
        <f>VLOOKUP(TablaCosechas[[#This Row],[COD]],DATOS!$E$3:$F$27,2,0)</f>
        <v>PARGO ROJO</v>
      </c>
      <c r="I1360" s="9" t="str">
        <f>RIGHT(TablaCosechas[[#This Row],[SECTOR/PISCINA]],2)</f>
        <v>19</v>
      </c>
      <c r="J1360" s="9" t="str">
        <f>VLOOKUP(TablaCosechas[[#This Row],[COD]],Tabla7[#All],4,0)</f>
        <v>WILMER TORRES</v>
      </c>
      <c r="K1360" s="179">
        <f>(TablaCosechas[[#This Row],[libras planta]]*454)/M1360</f>
        <v>146751.78775226165</v>
      </c>
      <c r="L1360" s="215">
        <v>9289.9699999999993</v>
      </c>
      <c r="M1360" s="19">
        <v>28.74</v>
      </c>
      <c r="N1360" s="9" t="str">
        <f>UPPER(TEXT(TablaCosechas[[#This Row],[COSECHA]],"MMMM"))</f>
        <v>MARZO</v>
      </c>
      <c r="O1360" s="9" t="str">
        <f>IF(A1360="DO 29","BAP",IF(A1360="RO 14","BAP",(VLOOKUP(TablaCosechas[[#This Row],[COD]],Tabla7[[CODIGO]:[CERTIFICACION]],3,0))))</f>
        <v>CONVENCIONAL</v>
      </c>
      <c r="P1360" s="180">
        <f>+L1360-E1360</f>
        <v>1189.9699999999993</v>
      </c>
      <c r="Q1360" s="49">
        <f>+M1360-F1360</f>
        <v>4.7399999999999984</v>
      </c>
      <c r="R1360" s="9"/>
    </row>
    <row r="1361" spans="1:18" x14ac:dyDescent="0.25">
      <c r="A1361" s="9" t="s">
        <v>306</v>
      </c>
      <c r="B1361" s="9">
        <f>ROW() - ROW(TablaCosechas[[#Headers],[ID]]) - 4</f>
        <v>1356</v>
      </c>
      <c r="C1361" s="9" t="str">
        <f>LEFT(A1361,2)</f>
        <v>PA</v>
      </c>
      <c r="D1361" s="182" t="s">
        <v>367</v>
      </c>
      <c r="E1361" s="178">
        <v>8800</v>
      </c>
      <c r="F1361" s="19">
        <v>32</v>
      </c>
      <c r="G1361" s="195">
        <v>46098</v>
      </c>
      <c r="H1361" s="9" t="str">
        <f>VLOOKUP(TablaCosechas[[#This Row],[COD]],DATOS!$E$3:$F$27,2,0)</f>
        <v>PAMPANO</v>
      </c>
      <c r="I1361" s="9" t="str">
        <f>RIGHT(TablaCosechas[[#This Row],[SECTOR/PISCINA]],2)</f>
        <v>17</v>
      </c>
      <c r="J1361" s="9" t="str">
        <f>VLOOKUP(TablaCosechas[[#This Row],[COD]],Tabla7[#All],4,0)</f>
        <v>GUSTAVO CARRASCO</v>
      </c>
      <c r="K1361" s="179">
        <f>(TablaCosechas[[#This Row],[libras planta]]*454)/M1361</f>
        <v>121821.89608938548</v>
      </c>
      <c r="L1361" s="215">
        <v>9606.2199999999993</v>
      </c>
      <c r="M1361" s="19">
        <v>35.799999999999997</v>
      </c>
      <c r="N1361" s="9" t="str">
        <f>UPPER(TEXT(TablaCosechas[[#This Row],[COSECHA]],"MMMM"))</f>
        <v>MARZO</v>
      </c>
      <c r="O1361" s="9" t="str">
        <f>IF(A1361="DO 29","BAP",IF(A1361="RO 14","BAP",(VLOOKUP(TablaCosechas[[#This Row],[COD]],Tabla7[[CODIGO]:[CERTIFICACION]],3,0))))</f>
        <v>ASC</v>
      </c>
      <c r="P1361" s="180">
        <f>+L1361-E1361</f>
        <v>806.21999999999935</v>
      </c>
      <c r="Q1361" s="49">
        <f>+M1361-F1361</f>
        <v>3.7999999999999972</v>
      </c>
      <c r="R1361" s="9"/>
    </row>
    <row r="1362" spans="1:18" x14ac:dyDescent="0.25">
      <c r="A1362" s="9" t="s">
        <v>210</v>
      </c>
      <c r="B1362" s="9">
        <f>ROW() - ROW(TablaCosechas[[#Headers],[ID]]) - 4</f>
        <v>1357</v>
      </c>
      <c r="C1362" s="9" t="str">
        <f>LEFT(A1362,2)</f>
        <v>ME</v>
      </c>
      <c r="D1362" s="182" t="s">
        <v>367</v>
      </c>
      <c r="E1362" s="178">
        <v>8000</v>
      </c>
      <c r="F1362" s="19">
        <v>20</v>
      </c>
      <c r="G1362" s="195">
        <v>46098</v>
      </c>
      <c r="H1362" s="9" t="str">
        <f>VLOOKUP(TablaCosechas[[#This Row],[COD]],DATOS!$E$3:$F$27,2,0)</f>
        <v>MERO</v>
      </c>
      <c r="I1362" s="9" t="str">
        <f>RIGHT(TablaCosechas[[#This Row],[SECTOR/PISCINA]],2)</f>
        <v>09</v>
      </c>
      <c r="J1362" s="9" t="str">
        <f>VLOOKUP(TablaCosechas[[#This Row],[COD]],Tabla7[#All],4,0)</f>
        <v>NESTOR MOGOLLON</v>
      </c>
      <c r="K1362" s="179">
        <f>(TablaCosechas[[#This Row],[libras planta]]*454)/M1362</f>
        <v>147901.87145557653</v>
      </c>
      <c r="L1362" s="215">
        <v>6893.4</v>
      </c>
      <c r="M1362" s="19">
        <v>21.16</v>
      </c>
      <c r="N1362" s="9" t="str">
        <f>UPPER(TEXT(TablaCosechas[[#This Row],[COSECHA]],"MMMM"))</f>
        <v>MARZO</v>
      </c>
      <c r="O1362" s="9" t="str">
        <f>IF(A1362="DO 29","BAP",IF(A1362="RO 14","BAP",(VLOOKUP(TablaCosechas[[#This Row],[COD]],Tabla7[[CODIGO]:[CERTIFICACION]],3,0))))</f>
        <v>CONVENCIONAL</v>
      </c>
      <c r="P1362" s="180">
        <f>+L1362-E1362</f>
        <v>-1106.6000000000004</v>
      </c>
      <c r="Q1362" s="49">
        <f>+M1362-F1362</f>
        <v>1.1600000000000001</v>
      </c>
      <c r="R1362" s="9"/>
    </row>
    <row r="1363" spans="1:18" x14ac:dyDescent="0.25">
      <c r="A1363" s="9" t="s">
        <v>314</v>
      </c>
      <c r="B1363" s="9">
        <f>ROW() - ROW(TablaCosechas[[#Headers],[ID]]) - 4</f>
        <v>1358</v>
      </c>
      <c r="C1363" s="9" t="str">
        <f>LEFT(A1363,2)</f>
        <v>GT</v>
      </c>
      <c r="D1363" s="182" t="s">
        <v>367</v>
      </c>
      <c r="E1363" s="178">
        <v>5400</v>
      </c>
      <c r="F1363" s="19">
        <v>29</v>
      </c>
      <c r="G1363" s="195">
        <v>46098</v>
      </c>
      <c r="H1363" s="9" t="str">
        <f>VLOOKUP(TablaCosechas[[#This Row],[COD]],DATOS!$E$3:$F$27,2,0)</f>
        <v>GUATO</v>
      </c>
      <c r="I1363" s="9" t="str">
        <f>RIGHT(TablaCosechas[[#This Row],[SECTOR/PISCINA]],2)</f>
        <v>10</v>
      </c>
      <c r="J1363" s="9" t="str">
        <f>VLOOKUP(TablaCosechas[[#This Row],[COD]],Tabla7[#All],4,0)</f>
        <v>JULIO SANTOS</v>
      </c>
      <c r="K1363" s="179">
        <f>(TablaCosechas[[#This Row],[libras planta]]*454)/M1363</f>
        <v>86423.630406290962</v>
      </c>
      <c r="L1363" s="215">
        <v>5809.8</v>
      </c>
      <c r="M1363" s="19">
        <v>30.52</v>
      </c>
      <c r="N1363" s="9" t="str">
        <f>UPPER(TEXT(TablaCosechas[[#This Row],[COSECHA]],"MMMM"))</f>
        <v>MARZO</v>
      </c>
      <c r="O1363" s="9" t="str">
        <f>IF(A1363="DO 29","BAP",IF(A1363="RO 14","BAP",(VLOOKUP(TablaCosechas[[#This Row],[COD]],Tabla7[[CODIGO]:[CERTIFICACION]],3,0))))</f>
        <v>CONVENCIONAL</v>
      </c>
      <c r="P1363" s="180">
        <f>+L1363-E1363</f>
        <v>409.80000000000018</v>
      </c>
      <c r="Q1363" s="49">
        <f>+M1363-F1363</f>
        <v>1.5199999999999996</v>
      </c>
      <c r="R1363" s="9"/>
    </row>
    <row r="1364" spans="1:18" x14ac:dyDescent="0.25">
      <c r="A1364" s="9" t="s">
        <v>148</v>
      </c>
      <c r="B1364" s="9">
        <f>ROW() - ROW(TablaCosechas[[#Headers],[ID]]) - 4</f>
        <v>1359</v>
      </c>
      <c r="C1364" s="9" t="str">
        <f>LEFT(A1364,2)</f>
        <v>GT</v>
      </c>
      <c r="D1364" s="182" t="s">
        <v>367</v>
      </c>
      <c r="E1364" s="178">
        <v>4400</v>
      </c>
      <c r="F1364" s="19">
        <v>17</v>
      </c>
      <c r="G1364" s="195">
        <v>46098</v>
      </c>
      <c r="H1364" s="9" t="str">
        <f>VLOOKUP(TablaCosechas[[#This Row],[COD]],DATOS!$E$3:$F$27,2,0)</f>
        <v>GUATO</v>
      </c>
      <c r="I1364" s="9" t="str">
        <f>RIGHT(TablaCosechas[[#This Row],[SECTOR/PISCINA]],2)</f>
        <v>07</v>
      </c>
      <c r="J1364" s="9" t="str">
        <f>VLOOKUP(TablaCosechas[[#This Row],[COD]],Tabla7[#All],4,0)</f>
        <v>JULIO SANTOS</v>
      </c>
      <c r="K1364" s="179">
        <f>(TablaCosechas[[#This Row],[libras planta]]*454)/M1364</f>
        <v>106035.80184804926</v>
      </c>
      <c r="L1364" s="215">
        <v>4549.7299999999996</v>
      </c>
      <c r="M1364" s="19">
        <v>19.48</v>
      </c>
      <c r="N1364" s="9" t="str">
        <f>UPPER(TEXT(TablaCosechas[[#This Row],[COSECHA]],"MMMM"))</f>
        <v>MARZO</v>
      </c>
      <c r="O1364" s="9" t="str">
        <f>IF(A1364="DO 29","BAP",IF(A1364="RO 14","BAP",(VLOOKUP(TablaCosechas[[#This Row],[COD]],Tabla7[[CODIGO]:[CERTIFICACION]],3,0))))</f>
        <v>CONVENCIONAL</v>
      </c>
      <c r="P1364" s="180">
        <f>+L1364-E1364</f>
        <v>149.72999999999956</v>
      </c>
      <c r="Q1364" s="49">
        <f>+M1364-F1364</f>
        <v>2.4800000000000004</v>
      </c>
      <c r="R1364" s="9"/>
    </row>
    <row r="1365" spans="1:18" x14ac:dyDescent="0.25">
      <c r="A1365" s="9" t="s">
        <v>297</v>
      </c>
      <c r="B1365" s="9">
        <f>ROW() - ROW(TablaCosechas[[#Headers],[ID]]) - 4</f>
        <v>1360</v>
      </c>
      <c r="C1365" s="9" t="str">
        <f>LEFT(A1365,2)</f>
        <v>DO</v>
      </c>
      <c r="D1365" s="182" t="s">
        <v>366</v>
      </c>
      <c r="E1365" s="178">
        <f>17100+19600+200</f>
        <v>36900</v>
      </c>
      <c r="F1365" s="19">
        <v>37</v>
      </c>
      <c r="G1365" s="195">
        <v>46098</v>
      </c>
      <c r="H1365" s="9" t="str">
        <f>VLOOKUP(TablaCosechas[[#This Row],[COD]],DATOS!$E$3:$F$27,2,0)</f>
        <v>DORADO</v>
      </c>
      <c r="I1365" s="9" t="str">
        <f>RIGHT(TablaCosechas[[#This Row],[SECTOR/PISCINA]],2)</f>
        <v>18</v>
      </c>
      <c r="J1365" s="9" t="str">
        <f>VLOOKUP(TablaCosechas[[#This Row],[COD]],Tabla7[#All],4,0)</f>
        <v>JOSE CEDEÑO</v>
      </c>
      <c r="K1365" s="179">
        <f>(TablaCosechas[[#This Row],[libras planta]]*454)/M1365</f>
        <v>478393.11564245814</v>
      </c>
      <c r="L1365" s="215">
        <v>37723.51</v>
      </c>
      <c r="M1365" s="19">
        <v>35.799999999999997</v>
      </c>
      <c r="N1365" s="9" t="str">
        <f>UPPER(TEXT(TablaCosechas[[#This Row],[COSECHA]],"MMMM"))</f>
        <v>MARZO</v>
      </c>
      <c r="O1365" s="9" t="str">
        <f>IF(A1365="DO 29","BAP",IF(A1365="RO 14","BAP",(VLOOKUP(TablaCosechas[[#This Row],[COD]],Tabla7[[CODIGO]:[CERTIFICACION]],3,0))))</f>
        <v>ASC</v>
      </c>
      <c r="P1365" s="180">
        <f>+L1365-E1365</f>
        <v>823.51000000000204</v>
      </c>
      <c r="Q1365" s="49">
        <f>+M1365-F1365</f>
        <v>-1.2000000000000028</v>
      </c>
      <c r="R1365" s="9"/>
    </row>
    <row r="1366" spans="1:18" x14ac:dyDescent="0.25">
      <c r="A1366" s="9" t="s">
        <v>147</v>
      </c>
      <c r="B1366" s="9">
        <f>ROW() - ROW(TablaCosechas[[#Headers],[ID]]) - 4</f>
        <v>1361</v>
      </c>
      <c r="C1366" s="9" t="str">
        <f>LEFT(A1366,2)</f>
        <v>DO</v>
      </c>
      <c r="D1366" s="182" t="s">
        <v>367</v>
      </c>
      <c r="E1366" s="178">
        <v>11200</v>
      </c>
      <c r="F1366" s="19">
        <v>18</v>
      </c>
      <c r="G1366" s="195">
        <v>46098</v>
      </c>
      <c r="H1366" s="9" t="str">
        <f>VLOOKUP(TablaCosechas[[#This Row],[COD]],DATOS!$E$3:$F$27,2,0)</f>
        <v>DORADO</v>
      </c>
      <c r="I1366" s="9" t="str">
        <f>RIGHT(TablaCosechas[[#This Row],[SECTOR/PISCINA]],2)</f>
        <v>08</v>
      </c>
      <c r="J1366" s="9" t="str">
        <f>VLOOKUP(TablaCosechas[[#This Row],[COD]],Tabla7[#All],4,0)</f>
        <v>JOSE CEDEÑO</v>
      </c>
      <c r="K1366" s="179">
        <f>(TablaCosechas[[#This Row],[libras planta]]*454)/M1366</f>
        <v>228581.53903040264</v>
      </c>
      <c r="L1366" s="215">
        <v>12254.79</v>
      </c>
      <c r="M1366" s="19">
        <v>24.34</v>
      </c>
      <c r="N1366" s="9" t="str">
        <f>UPPER(TEXT(TablaCosechas[[#This Row],[COSECHA]],"MMMM"))</f>
        <v>MARZO</v>
      </c>
      <c r="O1366" s="9" t="str">
        <f>IF(A1366="DO 29","BAP",IF(A1366="RO 14","BAP",(VLOOKUP(TablaCosechas[[#This Row],[COD]],Tabla7[[CODIGO]:[CERTIFICACION]],3,0))))</f>
        <v>ASC</v>
      </c>
      <c r="P1366" s="180">
        <f>+L1366-E1366</f>
        <v>1054.7900000000009</v>
      </c>
      <c r="Q1366" s="49">
        <f>+M1366-F1366</f>
        <v>6.34</v>
      </c>
      <c r="R1366" s="9"/>
    </row>
    <row r="1367" spans="1:18" x14ac:dyDescent="0.25">
      <c r="A1367" s="9" t="s">
        <v>296</v>
      </c>
      <c r="B1367" s="9">
        <f>ROW() - ROW(TablaCosechas[[#Headers],[ID]]) - 4</f>
        <v>1362</v>
      </c>
      <c r="C1367" s="9" t="str">
        <f>LEFT(A1367,2)</f>
        <v>DE</v>
      </c>
      <c r="D1367" s="182" t="s">
        <v>366</v>
      </c>
      <c r="E1367" s="178">
        <v>25200</v>
      </c>
      <c r="F1367" s="19">
        <v>31</v>
      </c>
      <c r="G1367" s="195">
        <v>46098</v>
      </c>
      <c r="H1367" s="9" t="str">
        <f>VLOOKUP(TablaCosechas[[#This Row],[COD]],DATOS!$E$3:$F$27,2,0)</f>
        <v>DELFIN</v>
      </c>
      <c r="I1367" s="9" t="str">
        <f>RIGHT(TablaCosechas[[#This Row],[SECTOR/PISCINA]],2)</f>
        <v>01</v>
      </c>
      <c r="J1367" s="9" t="str">
        <f>VLOOKUP(TablaCosechas[[#This Row],[COD]],Tabla7[#All],4,0)</f>
        <v>CARLOS FLORES</v>
      </c>
      <c r="K1367" s="179">
        <f>(TablaCosechas[[#This Row],[libras planta]]*454)/M1367</f>
        <v>342216.64479229378</v>
      </c>
      <c r="L1367" s="215">
        <v>25040.61</v>
      </c>
      <c r="M1367" s="19">
        <v>33.22</v>
      </c>
      <c r="N1367" s="9" t="str">
        <f>UPPER(TEXT(TablaCosechas[[#This Row],[COSECHA]],"MMMM"))</f>
        <v>MARZO</v>
      </c>
      <c r="O1367" s="9" t="str">
        <f>IF(A1367="DO 29","BAP",IF(A1367="RO 14","BAP",(VLOOKUP(TablaCosechas[[#This Row],[COD]],Tabla7[[CODIGO]:[CERTIFICACION]],3,0))))</f>
        <v>CONVENCIONAL</v>
      </c>
      <c r="P1367" s="180">
        <f>+L1367-E1367</f>
        <v>-159.38999999999942</v>
      </c>
      <c r="Q1367" s="181">
        <f>+M1367-F1367</f>
        <v>2.2199999999999989</v>
      </c>
      <c r="R1367" s="9"/>
    </row>
    <row r="1368" spans="1:18" x14ac:dyDescent="0.25">
      <c r="A1368" s="9" t="s">
        <v>20</v>
      </c>
      <c r="B1368" s="9">
        <f>ROW() - ROW(TablaCosechas[[#Headers],[ID]]) - 4</f>
        <v>1363</v>
      </c>
      <c r="C1368" s="9" t="str">
        <f>LEFT(A1368,2)</f>
        <v>CH</v>
      </c>
      <c r="D1368" s="182" t="s">
        <v>367</v>
      </c>
      <c r="E1368" s="178">
        <v>6400</v>
      </c>
      <c r="F1368" s="19">
        <v>22</v>
      </c>
      <c r="G1368" s="195">
        <v>46098</v>
      </c>
      <c r="H1368" s="9" t="str">
        <f>VLOOKUP(TablaCosechas[[#This Row],[COD]],DATOS!$E$3:$F$27,2,0)</f>
        <v>CHERNA</v>
      </c>
      <c r="I1368" s="9" t="str">
        <f>RIGHT(TablaCosechas[[#This Row],[SECTOR/PISCINA]],2)</f>
        <v>14</v>
      </c>
      <c r="J1368" s="9" t="str">
        <f>VLOOKUP(TablaCosechas[[#This Row],[COD]],Tabla7[#All],4,0)</f>
        <v>SANTIAGO OBRIEN</v>
      </c>
      <c r="K1368" s="179">
        <f>(TablaCosechas[[#This Row],[libras planta]]*454)/M1368</f>
        <v>132724.61731843575</v>
      </c>
      <c r="L1368" s="215">
        <v>6279.57</v>
      </c>
      <c r="M1368" s="19">
        <v>21.48</v>
      </c>
      <c r="N1368" s="9" t="str">
        <f>UPPER(TEXT(TablaCosechas[[#This Row],[COSECHA]],"MMMM"))</f>
        <v>MARZO</v>
      </c>
      <c r="O1368" s="9" t="str">
        <f>IF(A1368="DO 29","BAP",IF(A1368="RO 14","BAP",(VLOOKUP(TablaCosechas[[#This Row],[COD]],Tabla7[[CODIGO]:[CERTIFICACION]],3,0))))</f>
        <v>ASC</v>
      </c>
      <c r="P1368" s="180">
        <f>+L1368-E1368</f>
        <v>-120.43000000000029</v>
      </c>
      <c r="Q1368" s="49">
        <f>+M1368-F1368</f>
        <v>-0.51999999999999957</v>
      </c>
      <c r="R1368" s="9"/>
    </row>
    <row r="1369" spans="1:18" x14ac:dyDescent="0.25">
      <c r="A1369" s="9" t="s">
        <v>295</v>
      </c>
      <c r="B1369" s="9">
        <f>ROW() - ROW(TablaCosechas[[#Headers],[ID]]) - 4</f>
        <v>1364</v>
      </c>
      <c r="C1369" s="9" t="str">
        <f>LEFT(A1369,2)</f>
        <v>CA</v>
      </c>
      <c r="D1369" s="182" t="s">
        <v>366</v>
      </c>
      <c r="E1369" s="178">
        <v>9200</v>
      </c>
      <c r="F1369" s="19">
        <v>38</v>
      </c>
      <c r="G1369" s="195">
        <v>46098</v>
      </c>
      <c r="H1369" s="9" t="str">
        <f>VLOOKUP(TablaCosechas[[#This Row],[COD]],DATOS!$E$3:$F$27,2,0)</f>
        <v>CATANUDA</v>
      </c>
      <c r="I1369" s="9" t="str">
        <f>RIGHT(TablaCosechas[[#This Row],[SECTOR/PISCINA]],2)</f>
        <v>14</v>
      </c>
      <c r="J1369" s="9" t="str">
        <f>VLOOKUP(TablaCosechas[[#This Row],[COD]],Tabla7[#All],4,0)</f>
        <v>VICTOR QUINTANA</v>
      </c>
      <c r="K1369" s="179">
        <f>(TablaCosechas[[#This Row],[libras planta]]*454)/M1369</f>
        <v>119684.64591439688</v>
      </c>
      <c r="L1369" s="215">
        <v>10840.16</v>
      </c>
      <c r="M1369" s="19">
        <v>41.12</v>
      </c>
      <c r="N1369" s="9" t="str">
        <f>UPPER(TEXT(TablaCosechas[[#This Row],[COSECHA]],"MMMM"))</f>
        <v>MARZO</v>
      </c>
      <c r="O1369" s="9" t="str">
        <f>IF(A1369="DO 29","BAP",IF(A1369="RO 14","BAP",(VLOOKUP(TablaCosechas[[#This Row],[COD]],Tabla7[[CODIGO]:[CERTIFICACION]],3,0))))</f>
        <v>ASC</v>
      </c>
      <c r="P1369" s="180">
        <f>+L1369-E1369</f>
        <v>1640.1599999999999</v>
      </c>
      <c r="Q1369" s="49">
        <f>+M1369-F1369</f>
        <v>3.1199999999999974</v>
      </c>
      <c r="R1369" s="9"/>
    </row>
    <row r="1370" spans="1:18" x14ac:dyDescent="0.25">
      <c r="A1370" s="9" t="s">
        <v>340</v>
      </c>
      <c r="B1370" s="9">
        <f>ROW() - ROW(TablaCosechas[[#Headers],[ID]]) - 4</f>
        <v>1365</v>
      </c>
      <c r="C1370" s="9" t="str">
        <f>LEFT(A1370,2)</f>
        <v>WA</v>
      </c>
      <c r="D1370" s="182" t="s">
        <v>367</v>
      </c>
      <c r="E1370" s="178">
        <v>6750</v>
      </c>
      <c r="F1370" s="19">
        <v>27</v>
      </c>
      <c r="G1370" s="195">
        <v>46099</v>
      </c>
      <c r="H1370" s="9" t="str">
        <f>VLOOKUP(TablaCosechas[[#This Row],[COD]],DATOS!$E$3:$F$27,2,0)</f>
        <v>WAHOO</v>
      </c>
      <c r="I1370" s="9" t="str">
        <f>RIGHT(TablaCosechas[[#This Row],[SECTOR/PISCINA]],2)</f>
        <v>29</v>
      </c>
      <c r="J1370" s="9" t="str">
        <f>VLOOKUP(TablaCosechas[[#This Row],[COD]],Tabla7[#All],4,0)</f>
        <v>JUNIOR ESQUIVEL</v>
      </c>
      <c r="K1370" s="179">
        <f>(TablaCosechas[[#This Row],[libras planta]]*454)/M1370</f>
        <v>117059.29420289854</v>
      </c>
      <c r="L1370" s="215">
        <v>7116.38</v>
      </c>
      <c r="M1370" s="205">
        <v>27.6</v>
      </c>
      <c r="N1370" s="9" t="str">
        <f>UPPER(TEXT(TablaCosechas[[#This Row],[COSECHA]],"MMMM"))</f>
        <v>MARZO</v>
      </c>
      <c r="O1370" s="9" t="str">
        <f>IF(A1370="DO 29","BAP",IF(A1370="RO 14","BAP",(VLOOKUP(TablaCosechas[[#This Row],[COD]],Tabla7[[CODIGO]:[CERTIFICACION]],3,0))))</f>
        <v>CONVENCIONAL</v>
      </c>
      <c r="P1370" s="180">
        <f>+L1370-E1370</f>
        <v>366.38000000000011</v>
      </c>
      <c r="Q1370" s="49">
        <f>+M1370-F1370</f>
        <v>0.60000000000000142</v>
      </c>
      <c r="R1370" s="9"/>
    </row>
    <row r="1371" spans="1:18" x14ac:dyDescent="0.25">
      <c r="A1371" s="9" t="s">
        <v>109</v>
      </c>
      <c r="B1371" s="9">
        <f>ROW() - ROW(TablaCosechas[[#Headers],[ID]]) - 4</f>
        <v>1366</v>
      </c>
      <c r="C1371" s="9" t="str">
        <f>LEFT(A1371,2)</f>
        <v>TI</v>
      </c>
      <c r="D1371" s="182" t="s">
        <v>366</v>
      </c>
      <c r="E1371" s="178">
        <v>10600</v>
      </c>
      <c r="F1371" s="19">
        <v>37</v>
      </c>
      <c r="G1371" s="195">
        <v>46099</v>
      </c>
      <c r="H1371" s="9" t="str">
        <f>VLOOKUP(TablaCosechas[[#This Row],[COD]],DATOS!$E$3:$F$27,2,0)</f>
        <v>TIBURON</v>
      </c>
      <c r="I1371" s="9" t="str">
        <f>RIGHT(TablaCosechas[[#This Row],[SECTOR/PISCINA]],2)</f>
        <v>19</v>
      </c>
      <c r="J1371" s="9" t="str">
        <f>VLOOKUP(TablaCosechas[[#This Row],[COD]],Tabla7[#All],4,0)</f>
        <v>ALFONSO GRUNAUER</v>
      </c>
      <c r="K1371" s="179">
        <f>(TablaCosechas[[#This Row],[libras planta]]*454)/M1371</f>
        <v>134636.62130801685</v>
      </c>
      <c r="L1371" s="215">
        <v>11245.42</v>
      </c>
      <c r="M1371" s="205">
        <v>37.92</v>
      </c>
      <c r="N1371" s="9" t="str">
        <f>UPPER(TEXT(TablaCosechas[[#This Row],[COSECHA]],"MMMM"))</f>
        <v>MARZO</v>
      </c>
      <c r="O1371" s="9" t="str">
        <f>IF(A1371="DO 29","BAP",IF(A1371="RO 14","BAP",(VLOOKUP(TablaCosechas[[#This Row],[COD]],Tabla7[[CODIGO]:[CERTIFICACION]],3,0))))</f>
        <v>ASC</v>
      </c>
      <c r="P1371" s="180">
        <f>+L1371-E1371</f>
        <v>645.42000000000007</v>
      </c>
      <c r="Q1371" s="49">
        <f>+M1371-F1371</f>
        <v>0.92000000000000171</v>
      </c>
      <c r="R1371" s="9"/>
    </row>
    <row r="1372" spans="1:18" x14ac:dyDescent="0.25">
      <c r="A1372" s="9" t="s">
        <v>300</v>
      </c>
      <c r="B1372" s="9">
        <f>ROW() - ROW(TablaCosechas[[#Headers],[ID]]) - 4</f>
        <v>1367</v>
      </c>
      <c r="C1372" s="9" t="str">
        <f>LEFT(A1372,2)</f>
        <v>TI</v>
      </c>
      <c r="D1372" s="182" t="s">
        <v>366</v>
      </c>
      <c r="E1372" s="178">
        <v>54650</v>
      </c>
      <c r="F1372" s="19">
        <v>34</v>
      </c>
      <c r="G1372" s="195">
        <v>46099</v>
      </c>
      <c r="H1372" s="9" t="str">
        <f>VLOOKUP(TablaCosechas[[#This Row],[COD]],DATOS!$E$3:$F$27,2,0)</f>
        <v>TIBURON</v>
      </c>
      <c r="I1372" s="9" t="str">
        <f>RIGHT(TablaCosechas[[#This Row],[SECTOR/PISCINA]],2)</f>
        <v>15</v>
      </c>
      <c r="J1372" s="9" t="str">
        <f>VLOOKUP(TablaCosechas[[#This Row],[COD]],Tabla7[#All],4,0)</f>
        <v>ALFONSO GRUNAUER</v>
      </c>
      <c r="K1372" s="179">
        <f>(TablaCosechas[[#This Row],[libras planta]]*454)/M1372</f>
        <v>883237.22648083617</v>
      </c>
      <c r="L1372" s="215">
        <v>55834.6</v>
      </c>
      <c r="M1372" s="205">
        <v>28.7</v>
      </c>
      <c r="N1372" s="9" t="str">
        <f>UPPER(TEXT(TablaCosechas[[#This Row],[COSECHA]],"MMMM"))</f>
        <v>MARZO</v>
      </c>
      <c r="O1372" s="9" t="str">
        <f>IF(A1372="DO 29","BAP",IF(A1372="RO 14","BAP",(VLOOKUP(TablaCosechas[[#This Row],[COD]],Tabla7[[CODIGO]:[CERTIFICACION]],3,0))))</f>
        <v>ASC</v>
      </c>
      <c r="P1372" s="180">
        <f>+L1372-E1372</f>
        <v>1184.5999999999985</v>
      </c>
      <c r="Q1372" s="49">
        <f>+M1372-F1372</f>
        <v>-5.3000000000000007</v>
      </c>
      <c r="R1372" s="9"/>
    </row>
    <row r="1373" spans="1:18" x14ac:dyDescent="0.25">
      <c r="A1373" s="9" t="s">
        <v>299</v>
      </c>
      <c r="B1373" s="9">
        <f>ROW() - ROW(TablaCosechas[[#Headers],[ID]]) - 4</f>
        <v>1368</v>
      </c>
      <c r="C1373" s="9" t="str">
        <f>LEFT(A1373,2)</f>
        <v>PR</v>
      </c>
      <c r="D1373" s="182" t="s">
        <v>366</v>
      </c>
      <c r="E1373" s="178">
        <v>27000</v>
      </c>
      <c r="F1373" s="19">
        <v>20</v>
      </c>
      <c r="G1373" s="195">
        <v>46099</v>
      </c>
      <c r="H1373" s="9" t="str">
        <f>VLOOKUP(TablaCosechas[[#This Row],[COD]],DATOS!$E$3:$F$27,2,0)</f>
        <v>PARGO ROJO</v>
      </c>
      <c r="I1373" s="9" t="str">
        <f>RIGHT(TablaCosechas[[#This Row],[SECTOR/PISCINA]],2)</f>
        <v>13</v>
      </c>
      <c r="J1373" s="9" t="str">
        <f>VLOOKUP(TablaCosechas[[#This Row],[COD]],Tabla7[#All],4,0)</f>
        <v>WILMER TORRES</v>
      </c>
      <c r="K1373" s="179">
        <f>(TablaCosechas[[#This Row],[libras planta]]*454)/M1373</f>
        <v>660574.68251121079</v>
      </c>
      <c r="L1373" s="215">
        <v>32446.73</v>
      </c>
      <c r="M1373" s="205">
        <v>22.3</v>
      </c>
      <c r="N1373" s="9" t="str">
        <f>UPPER(TEXT(TablaCosechas[[#This Row],[COSECHA]],"MMMM"))</f>
        <v>MARZO</v>
      </c>
      <c r="O1373" s="9" t="str">
        <f>IF(A1373="DO 29","BAP",IF(A1373="RO 14","BAP",(VLOOKUP(TablaCosechas[[#This Row],[COD]],Tabla7[[CODIGO]:[CERTIFICACION]],3,0))))</f>
        <v>CONVENCIONAL</v>
      </c>
      <c r="P1373" s="180">
        <f>+L1373-E1373</f>
        <v>5446.73</v>
      </c>
      <c r="Q1373" s="49">
        <f>+M1373-F1373</f>
        <v>2.3000000000000007</v>
      </c>
      <c r="R1373" s="9"/>
    </row>
    <row r="1374" spans="1:18" x14ac:dyDescent="0.25">
      <c r="A1374" s="9" t="s">
        <v>120</v>
      </c>
      <c r="B1374" s="9">
        <f>ROW() - ROW(TablaCosechas[[#Headers],[ID]]) - 4</f>
        <v>1369</v>
      </c>
      <c r="C1374" s="9" t="str">
        <f>LEFT(A1374,2)</f>
        <v>ME</v>
      </c>
      <c r="D1374" s="182" t="s">
        <v>366</v>
      </c>
      <c r="E1374" s="178">
        <v>7600</v>
      </c>
      <c r="F1374" s="19">
        <v>40</v>
      </c>
      <c r="G1374" s="195">
        <v>46099</v>
      </c>
      <c r="H1374" s="9" t="str">
        <f>VLOOKUP(TablaCosechas[[#This Row],[COD]],DATOS!$E$3:$F$27,2,0)</f>
        <v>MERO</v>
      </c>
      <c r="I1374" s="9" t="str">
        <f>RIGHT(TablaCosechas[[#This Row],[SECTOR/PISCINA]],2)</f>
        <v>19</v>
      </c>
      <c r="J1374" s="9" t="str">
        <f>VLOOKUP(TablaCosechas[[#This Row],[COD]],Tabla7[#All],4,0)</f>
        <v>NESTOR MOGOLLON</v>
      </c>
      <c r="K1374" s="179">
        <f>(TablaCosechas[[#This Row],[libras planta]]*454)/M1374</f>
        <v>91619.400799600189</v>
      </c>
      <c r="L1374" s="215">
        <v>8076.23</v>
      </c>
      <c r="M1374" s="205">
        <v>40.020000000000003</v>
      </c>
      <c r="N1374" s="9" t="str">
        <f>UPPER(TEXT(TablaCosechas[[#This Row],[COSECHA]],"MMMM"))</f>
        <v>MARZO</v>
      </c>
      <c r="O1374" s="9" t="str">
        <f>IF(A1374="DO 29","BAP",IF(A1374="RO 14","BAP",(VLOOKUP(TablaCosechas[[#This Row],[COD]],Tabla7[[CODIGO]:[CERTIFICACION]],3,0))))</f>
        <v>CONVENCIONAL</v>
      </c>
      <c r="P1374" s="180">
        <f>+L1374-E1374</f>
        <v>476.22999999999956</v>
      </c>
      <c r="Q1374" s="49">
        <f>+M1374-F1374</f>
        <v>2.0000000000003126E-2</v>
      </c>
      <c r="R1374" s="9"/>
    </row>
    <row r="1375" spans="1:18" x14ac:dyDescent="0.25">
      <c r="A1375" s="9" t="s">
        <v>329</v>
      </c>
      <c r="B1375" s="9">
        <f>ROW() - ROW(TablaCosechas[[#Headers],[ID]]) - 4</f>
        <v>1370</v>
      </c>
      <c r="C1375" s="9" t="str">
        <f>LEFT(A1375,2)</f>
        <v>GT</v>
      </c>
      <c r="D1375" s="182" t="s">
        <v>367</v>
      </c>
      <c r="E1375" s="178">
        <v>4150</v>
      </c>
      <c r="F1375" s="19">
        <v>25</v>
      </c>
      <c r="G1375" s="195">
        <v>46099</v>
      </c>
      <c r="H1375" s="9" t="str">
        <f>VLOOKUP(TablaCosechas[[#This Row],[COD]],DATOS!$E$3:$F$27,2,0)</f>
        <v>GUATO</v>
      </c>
      <c r="I1375" s="9" t="str">
        <f>RIGHT(TablaCosechas[[#This Row],[SECTOR/PISCINA]],2)</f>
        <v>09</v>
      </c>
      <c r="J1375" s="9" t="str">
        <f>VLOOKUP(TablaCosechas[[#This Row],[COD]],Tabla7[#All],4,0)</f>
        <v>JULIO SANTOS</v>
      </c>
      <c r="K1375" s="179">
        <f>(TablaCosechas[[#This Row],[libras planta]]*454)/M1375</f>
        <v>82104.360410094654</v>
      </c>
      <c r="L1375" s="215">
        <v>4586.2700000000004</v>
      </c>
      <c r="M1375" s="205">
        <v>25.36</v>
      </c>
      <c r="N1375" s="9" t="str">
        <f>UPPER(TEXT(TablaCosechas[[#This Row],[COSECHA]],"MMMM"))</f>
        <v>MARZO</v>
      </c>
      <c r="O1375" s="9" t="str">
        <f>IF(A1375="DO 29","BAP",IF(A1375="RO 14","BAP",(VLOOKUP(TablaCosechas[[#This Row],[COD]],Tabla7[[CODIGO]:[CERTIFICACION]],3,0))))</f>
        <v>CONVENCIONAL</v>
      </c>
      <c r="P1375" s="180">
        <f>+L1375-E1375</f>
        <v>436.27000000000044</v>
      </c>
      <c r="Q1375" s="49">
        <f>+M1375-F1375</f>
        <v>0.35999999999999943</v>
      </c>
      <c r="R1375" s="9"/>
    </row>
    <row r="1376" spans="1:18" x14ac:dyDescent="0.25">
      <c r="A1376" s="9" t="s">
        <v>323</v>
      </c>
      <c r="B1376" s="9">
        <f>ROW() - ROW(TablaCosechas[[#Headers],[ID]]) - 4</f>
        <v>1371</v>
      </c>
      <c r="C1376" s="9" t="str">
        <f>LEFT(A1376,2)</f>
        <v>DO</v>
      </c>
      <c r="D1376" s="182" t="s">
        <v>367</v>
      </c>
      <c r="E1376" s="178">
        <v>17000</v>
      </c>
      <c r="F1376" s="19">
        <v>32</v>
      </c>
      <c r="G1376" s="195">
        <v>46099</v>
      </c>
      <c r="H1376" s="9" t="str">
        <f>VLOOKUP(TablaCosechas[[#This Row],[COD]],DATOS!$E$3:$F$27,2,0)</f>
        <v>DORADO</v>
      </c>
      <c r="I1376" s="9" t="str">
        <f>RIGHT(TablaCosechas[[#This Row],[SECTOR/PISCINA]],2)</f>
        <v>22</v>
      </c>
      <c r="J1376" s="9" t="str">
        <f>VLOOKUP(TablaCosechas[[#This Row],[COD]],Tabla7[#All],4,0)</f>
        <v>JOSE CEDEÑO</v>
      </c>
      <c r="K1376" s="179">
        <f>(TablaCosechas[[#This Row],[libras planta]]*454)/M1376</f>
        <v>247374.04929577469</v>
      </c>
      <c r="L1376" s="215">
        <v>17021.95</v>
      </c>
      <c r="M1376" s="205">
        <v>31.24</v>
      </c>
      <c r="N1376" s="9" t="str">
        <f>UPPER(TEXT(TablaCosechas[[#This Row],[COSECHA]],"MMMM"))</f>
        <v>MARZO</v>
      </c>
      <c r="O1376" s="9" t="str">
        <f>IF(A1376="DO 29","BAP",IF(A1376="RO 14","BAP",(VLOOKUP(TablaCosechas[[#This Row],[COD]],Tabla7[[CODIGO]:[CERTIFICACION]],3,0))))</f>
        <v>ASC</v>
      </c>
      <c r="P1376" s="180">
        <f>+L1376-E1376</f>
        <v>21.950000000000728</v>
      </c>
      <c r="Q1376" s="49">
        <f>+M1376-F1376</f>
        <v>-0.76000000000000156</v>
      </c>
      <c r="R1376" s="9"/>
    </row>
    <row r="1377" spans="1:18" x14ac:dyDescent="0.25">
      <c r="A1377" s="9" t="s">
        <v>127</v>
      </c>
      <c r="B1377" s="9">
        <f>ROW() - ROW(TablaCosechas[[#Headers],[ID]]) - 4</f>
        <v>1372</v>
      </c>
      <c r="C1377" s="9" t="str">
        <f>LEFT(A1377,2)</f>
        <v>DO</v>
      </c>
      <c r="D1377" s="182" t="s">
        <v>367</v>
      </c>
      <c r="E1377" s="178">
        <v>16850</v>
      </c>
      <c r="F1377" s="19">
        <v>31</v>
      </c>
      <c r="G1377" s="195">
        <v>46099</v>
      </c>
      <c r="H1377" s="9" t="str">
        <f>VLOOKUP(TablaCosechas[[#This Row],[COD]],DATOS!$E$3:$F$27,2,0)</f>
        <v>DORADO</v>
      </c>
      <c r="I1377" s="9" t="str">
        <f>RIGHT(TablaCosechas[[#This Row],[SECTOR/PISCINA]],2)</f>
        <v>07</v>
      </c>
      <c r="J1377" s="9" t="str">
        <f>VLOOKUP(TablaCosechas[[#This Row],[COD]],Tabla7[#All],4,0)</f>
        <v>JOSE CEDEÑO</v>
      </c>
      <c r="K1377" s="179">
        <f>(TablaCosechas[[#This Row],[libras planta]]*454)/M1377</f>
        <v>231954.83658854169</v>
      </c>
      <c r="L1377" s="215">
        <v>15695.27</v>
      </c>
      <c r="M1377" s="205">
        <v>30.72</v>
      </c>
      <c r="N1377" s="9" t="str">
        <f>UPPER(TEXT(TablaCosechas[[#This Row],[COSECHA]],"MMMM"))</f>
        <v>MARZO</v>
      </c>
      <c r="O1377" s="9" t="str">
        <f>IF(A1377="DO 29","BAP",IF(A1377="RO 14","BAP",(VLOOKUP(TablaCosechas[[#This Row],[COD]],Tabla7[[CODIGO]:[CERTIFICACION]],3,0))))</f>
        <v>ASC</v>
      </c>
      <c r="P1377" s="180">
        <f>+L1377-E1377</f>
        <v>-1154.7299999999996</v>
      </c>
      <c r="Q1377" s="49">
        <f>+M1377-F1377</f>
        <v>-0.28000000000000114</v>
      </c>
      <c r="R1377" s="9"/>
    </row>
    <row r="1378" spans="1:18" x14ac:dyDescent="0.25">
      <c r="A1378" s="9" t="s">
        <v>115</v>
      </c>
      <c r="B1378" s="9">
        <f>ROW() - ROW(TablaCosechas[[#Headers],[ID]]) - 4</f>
        <v>1373</v>
      </c>
      <c r="C1378" s="9" t="str">
        <f>LEFT(A1378,2)</f>
        <v>DE</v>
      </c>
      <c r="D1378" s="182" t="s">
        <v>366</v>
      </c>
      <c r="E1378" s="178">
        <v>25800</v>
      </c>
      <c r="F1378" s="19">
        <v>32</v>
      </c>
      <c r="G1378" s="195">
        <v>46099</v>
      </c>
      <c r="H1378" s="9" t="str">
        <f>VLOOKUP(TablaCosechas[[#This Row],[COD]],DATOS!$E$3:$F$27,2,0)</f>
        <v>DELFIN</v>
      </c>
      <c r="I1378" s="9" t="str">
        <f>RIGHT(TablaCosechas[[#This Row],[SECTOR/PISCINA]],2)</f>
        <v>19</v>
      </c>
      <c r="J1378" s="9" t="str">
        <f>VLOOKUP(TablaCosechas[[#This Row],[COD]],Tabla7[#All],4,0)</f>
        <v>CARLOS FLORES</v>
      </c>
      <c r="K1378" s="179">
        <f>(TablaCosechas[[#This Row],[libras planta]]*454)/M1378</f>
        <v>396041.18930817611</v>
      </c>
      <c r="L1378" s="215">
        <v>27740.33</v>
      </c>
      <c r="M1378" s="19">
        <v>31.8</v>
      </c>
      <c r="N1378" s="9" t="str">
        <f>UPPER(TEXT(TablaCosechas[[#This Row],[COSECHA]],"MMMM"))</f>
        <v>MARZO</v>
      </c>
      <c r="O1378" s="9" t="str">
        <f>IF(A1378="DO 29","BAP",IF(A1378="RO 14","BAP",(VLOOKUP(TablaCosechas[[#This Row],[COD]],Tabla7[[CODIGO]:[CERTIFICACION]],3,0))))</f>
        <v>CONVENCIONAL</v>
      </c>
      <c r="P1378" s="180">
        <f>+L1378-E1378</f>
        <v>1940.3300000000017</v>
      </c>
      <c r="Q1378" s="181">
        <f>+M1378-F1378</f>
        <v>-0.19999999999999929</v>
      </c>
      <c r="R1378" s="9"/>
    </row>
    <row r="1379" spans="1:18" x14ac:dyDescent="0.25">
      <c r="A1379" s="9" t="s">
        <v>344</v>
      </c>
      <c r="B1379" s="9">
        <f>ROW() - ROW(TablaCosechas[[#Headers],[ID]]) - 4</f>
        <v>1374</v>
      </c>
      <c r="C1379" s="9" t="str">
        <f>LEFT(A1379,2)</f>
        <v>WA</v>
      </c>
      <c r="D1379" s="182" t="s">
        <v>367</v>
      </c>
      <c r="E1379" s="178">
        <v>5150</v>
      </c>
      <c r="F1379" s="19">
        <v>20</v>
      </c>
      <c r="G1379" s="195">
        <v>46100</v>
      </c>
      <c r="H1379" s="9" t="str">
        <f>VLOOKUP(TablaCosechas[[#This Row],[COD]],DATOS!$E$3:$F$27,2,0)</f>
        <v>WAHOO</v>
      </c>
      <c r="I1379" s="9" t="str">
        <f>RIGHT(TablaCosechas[[#This Row],[SECTOR/PISCINA]],2)</f>
        <v>20</v>
      </c>
      <c r="J1379" s="9" t="str">
        <f>VLOOKUP(TablaCosechas[[#This Row],[COD]],Tabla7[#All],4,0)</f>
        <v>JUNIOR ESQUIVEL</v>
      </c>
      <c r="K1379" s="179">
        <f>(TablaCosechas[[#This Row],[libras planta]]*454)/M1379</f>
        <v>132776.37890625</v>
      </c>
      <c r="L1379" s="215">
        <v>5989.56</v>
      </c>
      <c r="M1379" s="19">
        <v>20.48</v>
      </c>
      <c r="N1379" s="9" t="str">
        <f>UPPER(TEXT(TablaCosechas[[#This Row],[COSECHA]],"MMMM"))</f>
        <v>MARZO</v>
      </c>
      <c r="O1379" s="9" t="str">
        <f>IF(A1379="DO 29","BAP",IF(A1379="RO 14","BAP",(VLOOKUP(TablaCosechas[[#This Row],[COD]],Tabla7[[CODIGO]:[CERTIFICACION]],3,0))))</f>
        <v>CONVENCIONAL</v>
      </c>
      <c r="P1379" s="180">
        <f>+L1379-E1379</f>
        <v>839.5600000000004</v>
      </c>
      <c r="Q1379" s="49">
        <f>+M1379-F1379</f>
        <v>0.48000000000000043</v>
      </c>
      <c r="R1379" s="9"/>
    </row>
    <row r="1380" spans="1:18" x14ac:dyDescent="0.25">
      <c r="A1380" s="9" t="s">
        <v>162</v>
      </c>
      <c r="B1380" s="9">
        <f>ROW() - ROW(TablaCosechas[[#Headers],[ID]]) - 4</f>
        <v>1375</v>
      </c>
      <c r="C1380" s="9" t="str">
        <f>LEFT(A1380,2)</f>
        <v>TA</v>
      </c>
      <c r="D1380" s="182" t="s">
        <v>367</v>
      </c>
      <c r="E1380" s="178">
        <v>8100</v>
      </c>
      <c r="F1380" s="19">
        <v>19.2</v>
      </c>
      <c r="G1380" s="195">
        <v>46100</v>
      </c>
      <c r="H1380" s="9" t="str">
        <f>VLOOKUP(TablaCosechas[[#This Row],[COD]],DATOS!$E$3:$F$27,2,0)</f>
        <v>TAMBULERO</v>
      </c>
      <c r="I1380" s="9" t="str">
        <f>RIGHT(TablaCosechas[[#This Row],[SECTOR/PISCINA]],2)</f>
        <v>06</v>
      </c>
      <c r="J1380" s="9" t="str">
        <f>VLOOKUP(TablaCosechas[[#This Row],[COD]],Tabla7[#All],4,0)</f>
        <v>ALFONSO GRUNAUER</v>
      </c>
      <c r="K1380" s="179">
        <f>(TablaCosechas[[#This Row],[libras planta]]*454)/M1380</f>
        <v>197526.4077294686</v>
      </c>
      <c r="L1380" s="215">
        <v>9006.16</v>
      </c>
      <c r="M1380" s="19">
        <v>20.7</v>
      </c>
      <c r="N1380" s="9" t="str">
        <f>UPPER(TEXT(TablaCosechas[[#This Row],[COSECHA]],"MMMM"))</f>
        <v>MARZO</v>
      </c>
      <c r="O1380" s="9" t="str">
        <f>IF(A1380="DO 29","BAP",IF(A1380="RO 14","BAP",(VLOOKUP(TablaCosechas[[#This Row],[COD]],Tabla7[[CODIGO]:[CERTIFICACION]],3,0))))</f>
        <v>CONVENCIONAL</v>
      </c>
      <c r="P1380" s="180">
        <f>+L1380-E1380</f>
        <v>906.15999999999985</v>
      </c>
      <c r="Q1380" s="49">
        <f>+M1380-F1380</f>
        <v>1.5</v>
      </c>
      <c r="R1380" s="9"/>
    </row>
    <row r="1381" spans="1:18" x14ac:dyDescent="0.25">
      <c r="A1381" s="9" t="s">
        <v>325</v>
      </c>
      <c r="B1381" s="9">
        <f>ROW() - ROW(TablaCosechas[[#Headers],[ID]]) - 4</f>
        <v>1376</v>
      </c>
      <c r="C1381" s="9" t="str">
        <f>LEFT(A1381,2)</f>
        <v>PA</v>
      </c>
      <c r="D1381" s="182" t="s">
        <v>367</v>
      </c>
      <c r="E1381" s="178">
        <v>15000</v>
      </c>
      <c r="F1381" s="19">
        <v>24</v>
      </c>
      <c r="G1381" s="195">
        <v>46100</v>
      </c>
      <c r="H1381" s="9" t="str">
        <f>VLOOKUP(TablaCosechas[[#This Row],[COD]],DATOS!$E$3:$F$27,2,0)</f>
        <v>PAMPANO</v>
      </c>
      <c r="I1381" s="9" t="str">
        <f>RIGHT(TablaCosechas[[#This Row],[SECTOR/PISCINA]],2)</f>
        <v>15</v>
      </c>
      <c r="J1381" s="9" t="str">
        <f>VLOOKUP(TablaCosechas[[#This Row],[COD]],Tabla7[#All],4,0)</f>
        <v>GUSTAVO CARRASCO</v>
      </c>
      <c r="K1381" s="179">
        <f>(TablaCosechas[[#This Row],[libras planta]]*454)/M1381</f>
        <v>273482.95444361458</v>
      </c>
      <c r="L1381" s="215">
        <v>16131.88</v>
      </c>
      <c r="M1381" s="19">
        <v>26.78</v>
      </c>
      <c r="N1381" s="9" t="str">
        <f>UPPER(TEXT(TablaCosechas[[#This Row],[COSECHA]],"MMMM"))</f>
        <v>MARZO</v>
      </c>
      <c r="O1381" s="9" t="str">
        <f>IF(A1381="DO 29","BAP",IF(A1381="RO 14","BAP",(VLOOKUP(TablaCosechas[[#This Row],[COD]],Tabla7[[CODIGO]:[CERTIFICACION]],3,0))))</f>
        <v>ASC</v>
      </c>
      <c r="P1381" s="180">
        <f>+L1381-E1381</f>
        <v>1131.8799999999992</v>
      </c>
      <c r="Q1381" s="49">
        <f>+M1381-F1381</f>
        <v>2.7800000000000011</v>
      </c>
      <c r="R1381" s="9"/>
    </row>
    <row r="1382" spans="1:18" x14ac:dyDescent="0.25">
      <c r="A1382" s="9" t="s">
        <v>119</v>
      </c>
      <c r="B1382" s="9">
        <f>ROW() - ROW(TablaCosechas[[#Headers],[ID]]) - 4</f>
        <v>1377</v>
      </c>
      <c r="C1382" s="9" t="str">
        <f>LEFT(A1382,2)</f>
        <v>ME</v>
      </c>
      <c r="D1382" s="182" t="s">
        <v>367</v>
      </c>
      <c r="E1382" s="178">
        <v>2900</v>
      </c>
      <c r="F1382" s="19">
        <v>37</v>
      </c>
      <c r="G1382" s="195">
        <v>46100</v>
      </c>
      <c r="H1382" s="9" t="str">
        <f>VLOOKUP(TablaCosechas[[#This Row],[COD]],DATOS!$E$3:$F$27,2,0)</f>
        <v>MERO</v>
      </c>
      <c r="I1382" s="9" t="str">
        <f>RIGHT(TablaCosechas[[#This Row],[SECTOR/PISCINA]],2)</f>
        <v>13</v>
      </c>
      <c r="J1382" s="9" t="str">
        <f>VLOOKUP(TablaCosechas[[#This Row],[COD]],Tabla7[#All],4,0)</f>
        <v>NESTOR MOGOLLON</v>
      </c>
      <c r="K1382" s="179">
        <f>(TablaCosechas[[#This Row],[libras planta]]*454)/M1382</f>
        <v>37716.710249307478</v>
      </c>
      <c r="L1382" s="215">
        <v>2999.06</v>
      </c>
      <c r="M1382" s="19">
        <v>36.1</v>
      </c>
      <c r="N1382" s="9" t="str">
        <f>UPPER(TEXT(TablaCosechas[[#This Row],[COSECHA]],"MMMM"))</f>
        <v>MARZO</v>
      </c>
      <c r="O1382" s="9" t="str">
        <f>IF(A1382="DO 29","BAP",IF(A1382="RO 14","BAP",(VLOOKUP(TablaCosechas[[#This Row],[COD]],Tabla7[[CODIGO]:[CERTIFICACION]],3,0))))</f>
        <v>CONVENCIONAL</v>
      </c>
      <c r="P1382" s="180">
        <f>+L1382-E1382</f>
        <v>99.059999999999945</v>
      </c>
      <c r="Q1382" s="49">
        <f>+M1382-F1382</f>
        <v>-0.89999999999999858</v>
      </c>
      <c r="R1382" s="9"/>
    </row>
    <row r="1383" spans="1:18" x14ac:dyDescent="0.25">
      <c r="A1383" s="9" t="s">
        <v>138</v>
      </c>
      <c r="B1383" s="9">
        <f>ROW() - ROW(TablaCosechas[[#Headers],[ID]]) - 4</f>
        <v>1378</v>
      </c>
      <c r="C1383" s="9" t="str">
        <f>LEFT(A1383,2)</f>
        <v>GT</v>
      </c>
      <c r="D1383" s="182" t="s">
        <v>367</v>
      </c>
      <c r="E1383" s="178">
        <v>7200</v>
      </c>
      <c r="F1383" s="19">
        <v>19</v>
      </c>
      <c r="G1383" s="195">
        <v>46100</v>
      </c>
      <c r="H1383" s="9" t="str">
        <f>VLOOKUP(TablaCosechas[[#This Row],[COD]],DATOS!$E$3:$F$27,2,0)</f>
        <v>GUATO</v>
      </c>
      <c r="I1383" s="9" t="str">
        <f>RIGHT(TablaCosechas[[#This Row],[SECTOR/PISCINA]],2)</f>
        <v>04</v>
      </c>
      <c r="J1383" s="9" t="str">
        <f>VLOOKUP(TablaCosechas[[#This Row],[COD]],Tabla7[#All],4,0)</f>
        <v>JULIO SANTOS</v>
      </c>
      <c r="K1383" s="179">
        <f>(TablaCosechas[[#This Row],[libras planta]]*454)/M1383</f>
        <v>168162.33365019012</v>
      </c>
      <c r="L1383" s="215">
        <v>7793.25</v>
      </c>
      <c r="M1383" s="19">
        <v>21.04</v>
      </c>
      <c r="N1383" s="9" t="str">
        <f>UPPER(TEXT(TablaCosechas[[#This Row],[COSECHA]],"MMMM"))</f>
        <v>MARZO</v>
      </c>
      <c r="O1383" s="9" t="str">
        <f>IF(A1383="DO 29","BAP",IF(A1383="RO 14","BAP",(VLOOKUP(TablaCosechas[[#This Row],[COD]],Tabla7[[CODIGO]:[CERTIFICACION]],3,0))))</f>
        <v>CONVENCIONAL</v>
      </c>
      <c r="P1383" s="180">
        <f>+L1383-E1383</f>
        <v>593.25</v>
      </c>
      <c r="Q1383" s="49">
        <f>+M1383-F1383</f>
        <v>2.0399999999999991</v>
      </c>
      <c r="R1383" s="9"/>
    </row>
    <row r="1384" spans="1:18" x14ac:dyDescent="0.25">
      <c r="A1384" s="9" t="s">
        <v>301</v>
      </c>
      <c r="B1384" s="9">
        <f>ROW() - ROW(TablaCosechas[[#Headers],[ID]]) - 4</f>
        <v>1379</v>
      </c>
      <c r="C1384" s="9" t="str">
        <f>LEFT(A1384,2)</f>
        <v>DE</v>
      </c>
      <c r="D1384" s="182" t="s">
        <v>366</v>
      </c>
      <c r="E1384" s="178">
        <v>23000</v>
      </c>
      <c r="F1384" s="19">
        <v>31</v>
      </c>
      <c r="G1384" s="195">
        <v>46100</v>
      </c>
      <c r="H1384" s="9" t="str">
        <f>VLOOKUP(TablaCosechas[[#This Row],[COD]],DATOS!$E$3:$F$27,2,0)</f>
        <v>DELFIN</v>
      </c>
      <c r="I1384" s="9" t="str">
        <f>RIGHT(TablaCosechas[[#This Row],[SECTOR/PISCINA]],2)</f>
        <v>02</v>
      </c>
      <c r="J1384" s="9" t="str">
        <f>VLOOKUP(TablaCosechas[[#This Row],[COD]],Tabla7[#All],4,0)</f>
        <v>CARLOS FLORES</v>
      </c>
      <c r="K1384" s="179">
        <f>(TablaCosechas[[#This Row],[libras planta]]*454)/M1384</f>
        <v>310204.32639649505</v>
      </c>
      <c r="L1384" s="215">
        <v>24953</v>
      </c>
      <c r="M1384" s="19">
        <v>36.520000000000003</v>
      </c>
      <c r="N1384" s="9" t="str">
        <f>UPPER(TEXT(TablaCosechas[[#This Row],[COSECHA]],"MMMM"))</f>
        <v>MARZO</v>
      </c>
      <c r="O1384" s="9" t="str">
        <f>IF(A1384="DO 29","BAP",IF(A1384="RO 14","BAP",(VLOOKUP(TablaCosechas[[#This Row],[COD]],Tabla7[[CODIGO]:[CERTIFICACION]],3,0))))</f>
        <v>CONVENCIONAL</v>
      </c>
      <c r="P1384" s="180">
        <f>+L1384-E1384</f>
        <v>1953</v>
      </c>
      <c r="Q1384" s="49">
        <f>+M1384-F1384</f>
        <v>5.5200000000000031</v>
      </c>
      <c r="R1384" s="9"/>
    </row>
    <row r="1385" spans="1:18" x14ac:dyDescent="0.25">
      <c r="A1385" s="9" t="s">
        <v>342</v>
      </c>
      <c r="B1385" s="9">
        <f>ROW() - ROW(TablaCosechas[[#Headers],[ID]]) - 4</f>
        <v>1380</v>
      </c>
      <c r="C1385" s="9" t="str">
        <f>LEFT(A1385,2)</f>
        <v>WA</v>
      </c>
      <c r="D1385" s="182" t="s">
        <v>367</v>
      </c>
      <c r="E1385" s="178">
        <v>7250</v>
      </c>
      <c r="F1385" s="19">
        <v>18</v>
      </c>
      <c r="G1385" s="195">
        <v>46101</v>
      </c>
      <c r="H1385" s="9" t="str">
        <f>VLOOKUP(TablaCosechas[[#This Row],[COD]],DATOS!$E$3:$F$27,2,0)</f>
        <v>WAHOO</v>
      </c>
      <c r="I1385" s="9" t="str">
        <f>RIGHT(TablaCosechas[[#This Row],[SECTOR/PISCINA]],2)</f>
        <v>24</v>
      </c>
      <c r="J1385" s="9" t="str">
        <f>VLOOKUP(TablaCosechas[[#This Row],[COD]],Tabla7[#All],4,0)</f>
        <v>JUNIOR ESQUIVEL</v>
      </c>
      <c r="K1385" s="179">
        <f>(TablaCosechas[[#This Row],[libras planta]]*454)/M1385</f>
        <v>186601.80312500001</v>
      </c>
      <c r="L1385" s="215">
        <v>7891.53</v>
      </c>
      <c r="M1385" s="19">
        <v>19.2</v>
      </c>
      <c r="N1385" s="9" t="str">
        <f>UPPER(TEXT(TablaCosechas[[#This Row],[COSECHA]],"MMMM"))</f>
        <v>MARZO</v>
      </c>
      <c r="O1385" s="9" t="str">
        <f>IF(A1385="DO 29","BAP",IF(A1385="RO 14","BAP",(VLOOKUP(TablaCosechas[[#This Row],[COD]],Tabla7[[CODIGO]:[CERTIFICACION]],3,0))))</f>
        <v>CONVENCIONAL</v>
      </c>
      <c r="P1385" s="180">
        <f>+L1385-E1385</f>
        <v>641.52999999999975</v>
      </c>
      <c r="Q1385" s="181">
        <f>+M1385-F1385</f>
        <v>1.1999999999999993</v>
      </c>
      <c r="R1385" s="9"/>
    </row>
    <row r="1386" spans="1:18" x14ac:dyDescent="0.25">
      <c r="A1386" s="9" t="s">
        <v>112</v>
      </c>
      <c r="B1386" s="9">
        <f>ROW() - ROW(TablaCosechas[[#Headers],[ID]]) - 4</f>
        <v>1381</v>
      </c>
      <c r="C1386" s="9" t="str">
        <f>LEFT(A1386,2)</f>
        <v>TI</v>
      </c>
      <c r="D1386" s="182" t="s">
        <v>366</v>
      </c>
      <c r="E1386" s="178">
        <v>18400</v>
      </c>
      <c r="F1386" s="19">
        <v>35.5</v>
      </c>
      <c r="G1386" s="195">
        <v>46101</v>
      </c>
      <c r="H1386" s="9" t="str">
        <f>VLOOKUP(TablaCosechas[[#This Row],[COD]],DATOS!$E$3:$F$27,2,0)</f>
        <v>TIBURON</v>
      </c>
      <c r="I1386" s="9" t="str">
        <f>RIGHT(TablaCosechas[[#This Row],[SECTOR/PISCINA]],2)</f>
        <v>17</v>
      </c>
      <c r="J1386" s="9" t="str">
        <f>VLOOKUP(TablaCosechas[[#This Row],[COD]],Tabla7[#All],4,0)</f>
        <v>ALFONSO GRUNAUER</v>
      </c>
      <c r="K1386" s="179">
        <f>(TablaCosechas[[#This Row],[libras planta]]*454)/M1386</f>
        <v>234423.0509977827</v>
      </c>
      <c r="L1386" s="215">
        <v>18629.919999999998</v>
      </c>
      <c r="M1386" s="19">
        <v>36.08</v>
      </c>
      <c r="N1386" s="9" t="str">
        <f>UPPER(TEXT(TablaCosechas[[#This Row],[COSECHA]],"MMMM"))</f>
        <v>MARZO</v>
      </c>
      <c r="O1386" s="9" t="str">
        <f>IF(A1386="DO 29","BAP",IF(A1386="RO 14","BAP",(VLOOKUP(TablaCosechas[[#This Row],[COD]],Tabla7[[CODIGO]:[CERTIFICACION]],3,0))))</f>
        <v>ASC</v>
      </c>
      <c r="P1386" s="180">
        <f>+L1386-E1386</f>
        <v>229.91999999999825</v>
      </c>
      <c r="Q1386" s="181">
        <f>+M1386-F1386</f>
        <v>0.57999999999999829</v>
      </c>
      <c r="R1386" s="9"/>
    </row>
    <row r="1387" spans="1:18" x14ac:dyDescent="0.25">
      <c r="A1387" s="9" t="s">
        <v>160</v>
      </c>
      <c r="B1387" s="9">
        <f>ROW() - ROW(TablaCosechas[[#Headers],[ID]]) - 4</f>
        <v>1382</v>
      </c>
      <c r="C1387" s="9" t="str">
        <f>LEFT(A1387,2)</f>
        <v>TI</v>
      </c>
      <c r="D1387" s="182" t="s">
        <v>367</v>
      </c>
      <c r="E1387" s="178">
        <v>7650</v>
      </c>
      <c r="F1387" s="19">
        <v>19</v>
      </c>
      <c r="G1387" s="195">
        <v>46101</v>
      </c>
      <c r="H1387" s="9" t="str">
        <f>VLOOKUP(TablaCosechas[[#This Row],[COD]],DATOS!$E$3:$F$27,2,0)</f>
        <v>TIBURON</v>
      </c>
      <c r="I1387" s="9" t="str">
        <f>RIGHT(TablaCosechas[[#This Row],[SECTOR/PISCINA]],2)</f>
        <v>14</v>
      </c>
      <c r="J1387" s="9" t="str">
        <f>VLOOKUP(TablaCosechas[[#This Row],[COD]],Tabla7[#All],4,0)</f>
        <v>ALFONSO GRUNAUER</v>
      </c>
      <c r="K1387" s="179">
        <f>(TablaCosechas[[#This Row],[libras planta]]*454)/M1387</f>
        <v>188760.4152106886</v>
      </c>
      <c r="L1387" s="215">
        <v>8090.92</v>
      </c>
      <c r="M1387" s="19">
        <v>19.46</v>
      </c>
      <c r="N1387" s="9" t="str">
        <f>UPPER(TEXT(TablaCosechas[[#This Row],[COSECHA]],"MMMM"))</f>
        <v>MARZO</v>
      </c>
      <c r="O1387" s="9" t="str">
        <f>IF(A1387="DO 29","BAP",IF(A1387="RO 14","BAP",(VLOOKUP(TablaCosechas[[#This Row],[COD]],Tabla7[[CODIGO]:[CERTIFICACION]],3,0))))</f>
        <v>ASC</v>
      </c>
      <c r="P1387" s="180">
        <f>+L1387-E1387</f>
        <v>440.92000000000007</v>
      </c>
      <c r="Q1387" s="181">
        <f>+M1387-F1387</f>
        <v>0.46000000000000085</v>
      </c>
      <c r="R1387" s="9"/>
    </row>
    <row r="1388" spans="1:18" x14ac:dyDescent="0.25">
      <c r="A1388" s="9" t="s">
        <v>179</v>
      </c>
      <c r="B1388" s="9">
        <f>ROW() - ROW(TablaCosechas[[#Headers],[ID]]) - 4</f>
        <v>1383</v>
      </c>
      <c r="C1388" s="9" t="str">
        <f>LEFT(A1388,2)</f>
        <v>TI</v>
      </c>
      <c r="D1388" s="182" t="s">
        <v>367</v>
      </c>
      <c r="E1388" s="178">
        <v>6000</v>
      </c>
      <c r="F1388" s="19">
        <v>19.5</v>
      </c>
      <c r="G1388" s="195">
        <v>46101</v>
      </c>
      <c r="H1388" s="9" t="str">
        <f>VLOOKUP(TablaCosechas[[#This Row],[COD]],DATOS!$E$3:$F$27,2,0)</f>
        <v>TIBURON</v>
      </c>
      <c r="I1388" s="9" t="str">
        <f>RIGHT(TablaCosechas[[#This Row],[SECTOR/PISCINA]],2)</f>
        <v>13</v>
      </c>
      <c r="J1388" s="9" t="str">
        <f>VLOOKUP(TablaCosechas[[#This Row],[COD]],Tabla7[#All],4,0)</f>
        <v>ALFONSO GRUNAUER</v>
      </c>
      <c r="K1388" s="179">
        <f>(TablaCosechas[[#This Row],[libras planta]]*454)/M1388</f>
        <v>153484.65221674877</v>
      </c>
      <c r="L1388" s="215">
        <v>6862.86</v>
      </c>
      <c r="M1388" s="19">
        <v>20.3</v>
      </c>
      <c r="N1388" s="9" t="str">
        <f>UPPER(TEXT(TablaCosechas[[#This Row],[COSECHA]],"MMMM"))</f>
        <v>MARZO</v>
      </c>
      <c r="O1388" s="9" t="str">
        <f>IF(A1388="DO 29","BAP",IF(A1388="RO 14","BAP",(VLOOKUP(TablaCosechas[[#This Row],[COD]],Tabla7[[CODIGO]:[CERTIFICACION]],3,0))))</f>
        <v>ASC</v>
      </c>
      <c r="P1388" s="180">
        <f>+L1388-E1388</f>
        <v>862.85999999999967</v>
      </c>
      <c r="Q1388" s="181">
        <f>+M1388-F1388</f>
        <v>0.80000000000000071</v>
      </c>
      <c r="R1388" s="9"/>
    </row>
    <row r="1389" spans="1:18" x14ac:dyDescent="0.25">
      <c r="A1389" s="9" t="s">
        <v>150</v>
      </c>
      <c r="B1389" s="9">
        <f>ROW() - ROW(TablaCosechas[[#Headers],[ID]]) - 4</f>
        <v>1384</v>
      </c>
      <c r="C1389" s="9" t="str">
        <f>LEFT(A1389,2)</f>
        <v>RO</v>
      </c>
      <c r="D1389" s="182" t="s">
        <v>367</v>
      </c>
      <c r="E1389" s="178">
        <v>8800</v>
      </c>
      <c r="F1389" s="19">
        <v>23</v>
      </c>
      <c r="G1389" s="195">
        <v>46101</v>
      </c>
      <c r="H1389" s="9" t="str">
        <f>VLOOKUP(TablaCosechas[[#This Row],[COD]],DATOS!$E$3:$F$27,2,0)</f>
        <v>ROBALO</v>
      </c>
      <c r="I1389" s="9" t="str">
        <f>RIGHT(TablaCosechas[[#This Row],[SECTOR/PISCINA]],2)</f>
        <v>07</v>
      </c>
      <c r="J1389" s="9" t="str">
        <f>VLOOKUP(TablaCosechas[[#This Row],[COD]],Tabla7[#All],4,0)</f>
        <v>VICTOR QUINTANA</v>
      </c>
      <c r="K1389" s="179">
        <f>(TablaCosechas[[#This Row],[libras planta]]*454)/M1389</f>
        <v>194423.21859296484</v>
      </c>
      <c r="L1389" s="215">
        <v>10226.49</v>
      </c>
      <c r="M1389" s="19">
        <v>23.88</v>
      </c>
      <c r="N1389" s="9" t="str">
        <f>UPPER(TEXT(TablaCosechas[[#This Row],[COSECHA]],"MMMM"))</f>
        <v>MARZO</v>
      </c>
      <c r="O1389" s="9" t="str">
        <f>IF(A1389="DO 29","BAP",IF(A1389="RO 14","BAP",(VLOOKUP(TablaCosechas[[#This Row],[COD]],Tabla7[[CODIGO]:[CERTIFICACION]],3,0))))</f>
        <v>ASC</v>
      </c>
      <c r="P1389" s="180">
        <f>+L1389-E1389</f>
        <v>1426.4899999999998</v>
      </c>
      <c r="Q1389" s="181">
        <f>+M1389-F1389</f>
        <v>0.87999999999999901</v>
      </c>
      <c r="R1389" s="9"/>
    </row>
    <row r="1390" spans="1:18" x14ac:dyDescent="0.25">
      <c r="A1390" s="9" t="s">
        <v>128</v>
      </c>
      <c r="B1390" s="9">
        <f>ROW() - ROW(TablaCosechas[[#Headers],[ID]]) - 4</f>
        <v>1385</v>
      </c>
      <c r="C1390" s="9" t="str">
        <f>LEFT(A1390,2)</f>
        <v>PA</v>
      </c>
      <c r="D1390" s="182" t="s">
        <v>367</v>
      </c>
      <c r="E1390" s="178">
        <v>9000</v>
      </c>
      <c r="F1390" s="19">
        <v>19</v>
      </c>
      <c r="G1390" s="195">
        <v>46101</v>
      </c>
      <c r="H1390" s="9" t="str">
        <f>VLOOKUP(TablaCosechas[[#This Row],[COD]],DATOS!$E$3:$F$27,2,0)</f>
        <v>PAMPANO</v>
      </c>
      <c r="I1390" s="9" t="str">
        <f>RIGHT(TablaCosechas[[#This Row],[SECTOR/PISCINA]],2)</f>
        <v>14</v>
      </c>
      <c r="J1390" s="9" t="str">
        <f>VLOOKUP(TablaCosechas[[#This Row],[COD]],Tabla7[#All],4,0)</f>
        <v>GUSTAVO CARRASCO</v>
      </c>
      <c r="K1390" s="179">
        <f>(TablaCosechas[[#This Row],[libras planta]]*454)/M1390</f>
        <v>211801.13200379867</v>
      </c>
      <c r="L1390" s="215">
        <v>9824.9599999999991</v>
      </c>
      <c r="M1390" s="19">
        <v>21.06</v>
      </c>
      <c r="N1390" s="9" t="str">
        <f>UPPER(TEXT(TablaCosechas[[#This Row],[COSECHA]],"MMMM"))</f>
        <v>MARZO</v>
      </c>
      <c r="O1390" s="9" t="str">
        <f>IF(A1390="DO 29","BAP",IF(A1390="RO 14","BAP",(VLOOKUP(TablaCosechas[[#This Row],[COD]],Tabla7[[CODIGO]:[CERTIFICACION]],3,0))))</f>
        <v>ASC</v>
      </c>
      <c r="P1390" s="180">
        <f>+L1390-E1390</f>
        <v>824.95999999999913</v>
      </c>
      <c r="Q1390" s="181">
        <f>+M1390-F1390</f>
        <v>2.0599999999999987</v>
      </c>
      <c r="R1390" s="9"/>
    </row>
    <row r="1391" spans="1:18" x14ac:dyDescent="0.25">
      <c r="A1391" s="9" t="s">
        <v>153</v>
      </c>
      <c r="B1391" s="9">
        <f>ROW() - ROW(TablaCosechas[[#Headers],[ID]]) - 4</f>
        <v>1386</v>
      </c>
      <c r="C1391" s="9" t="str">
        <f>LEFT(A1391,2)</f>
        <v>GT</v>
      </c>
      <c r="D1391" s="182" t="s">
        <v>367</v>
      </c>
      <c r="E1391" s="178">
        <v>4200</v>
      </c>
      <c r="F1391" s="19">
        <v>21</v>
      </c>
      <c r="G1391" s="195">
        <v>46101</v>
      </c>
      <c r="H1391" s="9" t="str">
        <f>VLOOKUP(TablaCosechas[[#This Row],[COD]],DATOS!$E$3:$F$27,2,0)</f>
        <v>GUATO</v>
      </c>
      <c r="I1391" s="9" t="str">
        <f>RIGHT(TablaCosechas[[#This Row],[SECTOR/PISCINA]],2)</f>
        <v>05</v>
      </c>
      <c r="J1391" s="9" t="str">
        <f>VLOOKUP(TablaCosechas[[#This Row],[COD]],Tabla7[#All],4,0)</f>
        <v>JULIO SANTOS</v>
      </c>
      <c r="K1391" s="179">
        <f>(TablaCosechas[[#This Row],[libras planta]]*454)/M1391</f>
        <v>86986.4</v>
      </c>
      <c r="L1391" s="215">
        <v>4483.4399999999996</v>
      </c>
      <c r="M1391" s="19">
        <v>23.4</v>
      </c>
      <c r="N1391" s="9" t="str">
        <f>UPPER(TEXT(TablaCosechas[[#This Row],[COSECHA]],"MMMM"))</f>
        <v>MARZO</v>
      </c>
      <c r="O1391" s="9" t="str">
        <f>IF(A1391="DO 29","BAP",IF(A1391="RO 14","BAP",(VLOOKUP(TablaCosechas[[#This Row],[COD]],Tabla7[[CODIGO]:[CERTIFICACION]],3,0))))</f>
        <v>CONVENCIONAL</v>
      </c>
      <c r="P1391" s="180">
        <f>+L1391-E1391</f>
        <v>283.4399999999996</v>
      </c>
      <c r="Q1391" s="181">
        <f>+M1391-F1391</f>
        <v>2.3999999999999986</v>
      </c>
      <c r="R1391" s="9"/>
    </row>
    <row r="1392" spans="1:18" x14ac:dyDescent="0.25">
      <c r="A1392" s="9" t="s">
        <v>321</v>
      </c>
      <c r="B1392" s="9">
        <f>ROW() - ROW(TablaCosechas[[#Headers],[ID]]) - 4</f>
        <v>1387</v>
      </c>
      <c r="C1392" s="9" t="str">
        <f>LEFT(A1392,2)</f>
        <v>GT</v>
      </c>
      <c r="D1392" s="182" t="s">
        <v>367</v>
      </c>
      <c r="E1392" s="178">
        <v>4000</v>
      </c>
      <c r="F1392" s="19">
        <v>27</v>
      </c>
      <c r="G1392" s="195">
        <v>46101</v>
      </c>
      <c r="H1392" s="9" t="str">
        <f>VLOOKUP(TablaCosechas[[#This Row],[COD]],DATOS!$E$3:$F$27,2,0)</f>
        <v>GUATO</v>
      </c>
      <c r="I1392" s="9" t="str">
        <f>RIGHT(TablaCosechas[[#This Row],[SECTOR/PISCINA]],2)</f>
        <v>02</v>
      </c>
      <c r="J1392" s="9" t="str">
        <f>VLOOKUP(TablaCosechas[[#This Row],[COD]],Tabla7[#All],4,0)</f>
        <v>JULIO SANTOS</v>
      </c>
      <c r="K1392" s="179">
        <f>(TablaCosechas[[#This Row],[libras planta]]*454)/M1392</f>
        <v>62107.846054333757</v>
      </c>
      <c r="L1392" s="215">
        <v>4229.8999999999996</v>
      </c>
      <c r="M1392" s="19">
        <v>30.92</v>
      </c>
      <c r="N1392" s="9" t="str">
        <f>UPPER(TEXT(TablaCosechas[[#This Row],[COSECHA]],"MMMM"))</f>
        <v>MARZO</v>
      </c>
      <c r="O1392" s="9" t="str">
        <f>IF(A1392="DO 29","BAP",IF(A1392="RO 14","BAP",(VLOOKUP(TablaCosechas[[#This Row],[COD]],Tabla7[[CODIGO]:[CERTIFICACION]],3,0))))</f>
        <v>CONVENCIONAL</v>
      </c>
      <c r="P1392" s="180">
        <f>+L1392-E1392</f>
        <v>229.89999999999964</v>
      </c>
      <c r="Q1392" s="181">
        <f>+M1392-F1392</f>
        <v>3.9200000000000017</v>
      </c>
      <c r="R1392" s="9"/>
    </row>
    <row r="1393" spans="1:18" x14ac:dyDescent="0.25">
      <c r="A1393" s="9" t="s">
        <v>169</v>
      </c>
      <c r="B1393" s="9">
        <f>ROW() - ROW(TablaCosechas[[#Headers],[ID]]) - 4</f>
        <v>1388</v>
      </c>
      <c r="C1393" s="9" t="str">
        <f>LEFT(A1393,2)</f>
        <v>DO</v>
      </c>
      <c r="D1393" s="182" t="s">
        <v>367</v>
      </c>
      <c r="E1393" s="178">
        <v>11200</v>
      </c>
      <c r="F1393" s="19">
        <v>30</v>
      </c>
      <c r="G1393" s="195">
        <v>46101</v>
      </c>
      <c r="H1393" s="9" t="str">
        <f>VLOOKUP(TablaCosechas[[#This Row],[COD]],DATOS!$E$3:$F$27,2,0)</f>
        <v>DORADO</v>
      </c>
      <c r="I1393" s="9" t="str">
        <f>RIGHT(TablaCosechas[[#This Row],[SECTOR/PISCINA]],2)</f>
        <v>12</v>
      </c>
      <c r="J1393" s="9" t="str">
        <f>VLOOKUP(TablaCosechas[[#This Row],[COD]],Tabla7[#All],4,0)</f>
        <v>JOSE CEDEÑO</v>
      </c>
      <c r="K1393" s="179">
        <f>(TablaCosechas[[#This Row],[libras planta]]*454)/M1393</f>
        <v>157047.59819819819</v>
      </c>
      <c r="L1393" s="215">
        <v>11519.13</v>
      </c>
      <c r="M1393" s="19">
        <v>33.299999999999997</v>
      </c>
      <c r="N1393" s="9" t="str">
        <f>UPPER(TEXT(TablaCosechas[[#This Row],[COSECHA]],"MMMM"))</f>
        <v>MARZO</v>
      </c>
      <c r="O1393" s="9" t="str">
        <f>IF(A1393="DO 29","BAP",IF(A1393="RO 14","BAP",(VLOOKUP(TablaCosechas[[#This Row],[COD]],Tabla7[[CODIGO]:[CERTIFICACION]],3,0))))</f>
        <v>ASC</v>
      </c>
      <c r="P1393" s="180">
        <f>+L1393-E1393</f>
        <v>319.1299999999992</v>
      </c>
      <c r="Q1393" s="181">
        <f>+M1393-F1393</f>
        <v>3.2999999999999972</v>
      </c>
      <c r="R1393" s="9"/>
    </row>
    <row r="1394" spans="1:18" x14ac:dyDescent="0.25">
      <c r="A1394" s="9" t="s">
        <v>126</v>
      </c>
      <c r="B1394" s="9">
        <f>ROW() - ROW(TablaCosechas[[#Headers],[ID]]) - 4</f>
        <v>1389</v>
      </c>
      <c r="C1394" s="9" t="str">
        <f>LEFT(A1394,2)</f>
        <v>DO</v>
      </c>
      <c r="D1394" s="182" t="s">
        <v>367</v>
      </c>
      <c r="E1394" s="178">
        <v>11900</v>
      </c>
      <c r="F1394" s="19">
        <v>28</v>
      </c>
      <c r="G1394" s="195">
        <v>46101</v>
      </c>
      <c r="H1394" s="9" t="str">
        <f>VLOOKUP(TablaCosechas[[#This Row],[COD]],DATOS!$E$3:$F$27,2,0)</f>
        <v>DORADO</v>
      </c>
      <c r="I1394" s="9" t="str">
        <f>RIGHT(TablaCosechas[[#This Row],[SECTOR/PISCINA]],2)</f>
        <v>06</v>
      </c>
      <c r="J1394" s="9" t="str">
        <f>VLOOKUP(TablaCosechas[[#This Row],[COD]],Tabla7[#All],4,0)</f>
        <v>JOSE CEDEÑO</v>
      </c>
      <c r="K1394" s="179">
        <f>(TablaCosechas[[#This Row],[libras planta]]*454)/M1394</f>
        <v>182270.8112211221</v>
      </c>
      <c r="L1394" s="215">
        <v>12164.77</v>
      </c>
      <c r="M1394" s="19">
        <v>30.3</v>
      </c>
      <c r="N1394" s="9" t="str">
        <f>UPPER(TEXT(TablaCosechas[[#This Row],[COSECHA]],"MMMM"))</f>
        <v>MARZO</v>
      </c>
      <c r="O1394" s="9" t="str">
        <f>IF(A1394="DO 29","BAP",IF(A1394="RO 14","BAP",(VLOOKUP(TablaCosechas[[#This Row],[COD]],Tabla7[[CODIGO]:[CERTIFICACION]],3,0))))</f>
        <v>ASC</v>
      </c>
      <c r="P1394" s="180">
        <f>+L1394-E1394</f>
        <v>264.77000000000044</v>
      </c>
      <c r="Q1394" s="181">
        <f>+M1394-F1394</f>
        <v>2.3000000000000007</v>
      </c>
      <c r="R1394" s="9"/>
    </row>
    <row r="1395" spans="1:18" x14ac:dyDescent="0.25">
      <c r="A1395" s="9" t="s">
        <v>302</v>
      </c>
      <c r="B1395" s="9">
        <f>ROW() - ROW(TablaCosechas[[#Headers],[ID]]) - 4</f>
        <v>1390</v>
      </c>
      <c r="C1395" s="9" t="str">
        <f>LEFT(A1395,2)</f>
        <v>DE</v>
      </c>
      <c r="D1395" s="182" t="s">
        <v>366</v>
      </c>
      <c r="E1395" s="178">
        <v>22500</v>
      </c>
      <c r="F1395" s="19">
        <v>32</v>
      </c>
      <c r="G1395" s="195">
        <v>46101</v>
      </c>
      <c r="H1395" s="9" t="str">
        <f>VLOOKUP(TablaCosechas[[#This Row],[COD]],DATOS!$E$3:$F$27,2,0)</f>
        <v>DELFIN</v>
      </c>
      <c r="I1395" s="9" t="str">
        <f>RIGHT(TablaCosechas[[#This Row],[SECTOR/PISCINA]],2)</f>
        <v>23</v>
      </c>
      <c r="J1395" s="9" t="str">
        <f>VLOOKUP(TablaCosechas[[#This Row],[COD]],Tabla7[#All],4,0)</f>
        <v>CARLOS FLORES</v>
      </c>
      <c r="K1395" s="179">
        <f>(TablaCosechas[[#This Row],[libras planta]]*454)/M1395</f>
        <v>318259.89958653279</v>
      </c>
      <c r="L1395" s="215">
        <v>23736.3</v>
      </c>
      <c r="M1395" s="19">
        <v>33.86</v>
      </c>
      <c r="N1395" s="9" t="str">
        <f>UPPER(TEXT(TablaCosechas[[#This Row],[COSECHA]],"MMMM"))</f>
        <v>MARZO</v>
      </c>
      <c r="O1395" s="9" t="str">
        <f>IF(A1395="DO 29","BAP",IF(A1395="RO 14","BAP",(VLOOKUP(TablaCosechas[[#This Row],[COD]],Tabla7[[CODIGO]:[CERTIFICACION]],3,0))))</f>
        <v>CONVENCIONAL</v>
      </c>
      <c r="P1395" s="180">
        <f>+L1395-E1395</f>
        <v>1236.2999999999993</v>
      </c>
      <c r="Q1395" s="181">
        <f>+M1395-F1395</f>
        <v>1.8599999999999994</v>
      </c>
      <c r="R1395" s="9"/>
    </row>
    <row r="1396" spans="1:18" x14ac:dyDescent="0.25">
      <c r="A1396" s="9" t="s">
        <v>337</v>
      </c>
      <c r="B1396" s="9">
        <f>ROW() - ROW(TablaCosechas[[#Headers],[ID]]) - 4</f>
        <v>1391</v>
      </c>
      <c r="C1396" s="9" t="str">
        <f>LEFT(A1396,2)</f>
        <v>WA</v>
      </c>
      <c r="D1396" s="182" t="s">
        <v>367</v>
      </c>
      <c r="E1396" s="178">
        <v>5000</v>
      </c>
      <c r="F1396" s="19">
        <v>19</v>
      </c>
      <c r="G1396" s="195">
        <v>46102</v>
      </c>
      <c r="H1396" s="9" t="str">
        <f>VLOOKUP(TablaCosechas[[#This Row],[COD]],DATOS!$E$3:$F$27,2,0)</f>
        <v>WAHOO</v>
      </c>
      <c r="I1396" s="9" t="str">
        <f>RIGHT(TablaCosechas[[#This Row],[SECTOR/PISCINA]],2)</f>
        <v>03</v>
      </c>
      <c r="J1396" s="9" t="str">
        <f>VLOOKUP(TablaCosechas[[#This Row],[COD]],Tabla7[#All],4,0)</f>
        <v>JUNIOR ESQUIVEL</v>
      </c>
      <c r="K1396" s="179">
        <f>(TablaCosechas[[#This Row],[libras planta]]*454)/M1396</f>
        <v>101701.890639481</v>
      </c>
      <c r="L1396" s="215">
        <v>4834.2</v>
      </c>
      <c r="M1396" s="19">
        <v>21.58</v>
      </c>
      <c r="N1396" s="9" t="str">
        <f>UPPER(TEXT(TablaCosechas[[#This Row],[COSECHA]],"MMMM"))</f>
        <v>MARZO</v>
      </c>
      <c r="O1396" s="9" t="str">
        <f>IF(A1396="DO 29","BAP",IF(A1396="RO 14","BAP",(VLOOKUP(TablaCosechas[[#This Row],[COD]],Tabla7[[CODIGO]:[CERTIFICACION]],3,0))))</f>
        <v>CONVENCIONAL</v>
      </c>
      <c r="P1396" s="180">
        <f>+L1396-E1396</f>
        <v>-165.80000000000018</v>
      </c>
      <c r="Q1396" s="181">
        <f>+M1396-F1396</f>
        <v>2.5799999999999983</v>
      </c>
      <c r="R1396" s="9"/>
    </row>
    <row r="1397" spans="1:18" x14ac:dyDescent="0.25">
      <c r="A1397" s="9" t="s">
        <v>303</v>
      </c>
      <c r="B1397" s="9">
        <f>ROW() - ROW(TablaCosechas[[#Headers],[ID]]) - 4</f>
        <v>1392</v>
      </c>
      <c r="C1397" s="9" t="str">
        <f>LEFT(A1397,2)</f>
        <v>TI</v>
      </c>
      <c r="D1397" s="182" t="s">
        <v>366</v>
      </c>
      <c r="E1397" s="178">
        <v>66100</v>
      </c>
      <c r="F1397" s="19">
        <v>36</v>
      </c>
      <c r="G1397" s="195">
        <v>46102</v>
      </c>
      <c r="H1397" s="9" t="str">
        <f>VLOOKUP(TablaCosechas[[#This Row],[COD]],DATOS!$E$3:$F$27,2,0)</f>
        <v>TIBURON</v>
      </c>
      <c r="I1397" s="9" t="str">
        <f>RIGHT(TablaCosechas[[#This Row],[SECTOR/PISCINA]],2)</f>
        <v>16</v>
      </c>
      <c r="J1397" s="9" t="str">
        <f>VLOOKUP(TablaCosechas[[#This Row],[COD]],Tabla7[#All],4,0)</f>
        <v>ALFONSO GRUNAUER</v>
      </c>
      <c r="K1397" s="179">
        <f>(TablaCosechas[[#This Row],[libras planta]]*454)/M1397</f>
        <v>842348.64571746369</v>
      </c>
      <c r="L1397" s="215">
        <v>66719.95</v>
      </c>
      <c r="M1397" s="19">
        <v>35.96</v>
      </c>
      <c r="N1397" s="9" t="str">
        <f>UPPER(TEXT(TablaCosechas[[#This Row],[COSECHA]],"MMMM"))</f>
        <v>MARZO</v>
      </c>
      <c r="O1397" s="9" t="str">
        <f>IF(A1397="DO 29","BAP",IF(A1397="RO 14","BAP",(VLOOKUP(TablaCosechas[[#This Row],[COD]],Tabla7[[CODIGO]:[CERTIFICACION]],3,0))))</f>
        <v>ASC</v>
      </c>
      <c r="P1397" s="180">
        <f>+L1397-E1397</f>
        <v>619.94999999999709</v>
      </c>
      <c r="Q1397" s="181">
        <f>+M1397-F1397</f>
        <v>-3.9999999999999147E-2</v>
      </c>
      <c r="R1397" s="9"/>
    </row>
    <row r="1398" spans="1:18" x14ac:dyDescent="0.25">
      <c r="A1398" s="9" t="s">
        <v>332</v>
      </c>
      <c r="B1398" s="9">
        <f>ROW() - ROW(TablaCosechas[[#Headers],[ID]]) - 4</f>
        <v>1393</v>
      </c>
      <c r="C1398" s="9" t="str">
        <f>LEFT(A1398,2)</f>
        <v>PA</v>
      </c>
      <c r="D1398" s="182" t="s">
        <v>367</v>
      </c>
      <c r="E1398" s="178">
        <v>9200</v>
      </c>
      <c r="F1398" s="19">
        <v>27</v>
      </c>
      <c r="G1398" s="195">
        <v>46102</v>
      </c>
      <c r="H1398" s="9" t="str">
        <f>VLOOKUP(TablaCosechas[[#This Row],[COD]],DATOS!$E$3:$F$27,2,0)</f>
        <v>PAMPANO</v>
      </c>
      <c r="I1398" s="9" t="str">
        <f>RIGHT(TablaCosechas[[#This Row],[SECTOR/PISCINA]],2)</f>
        <v>12</v>
      </c>
      <c r="J1398" s="9" t="str">
        <f>VLOOKUP(TablaCosechas[[#This Row],[COD]],Tabla7[#All],4,0)</f>
        <v>GUSTAVO CARRASCO</v>
      </c>
      <c r="K1398" s="179">
        <f>(TablaCosechas[[#This Row],[libras planta]]*454)/M1398</f>
        <v>148370.89717046238</v>
      </c>
      <c r="L1398" s="215">
        <v>9470.9</v>
      </c>
      <c r="M1398" s="19">
        <v>28.98</v>
      </c>
      <c r="N1398" s="9" t="str">
        <f>UPPER(TEXT(TablaCosechas[[#This Row],[COSECHA]],"MMMM"))</f>
        <v>MARZO</v>
      </c>
      <c r="O1398" s="9" t="str">
        <f>IF(A1398="DO 29","BAP",IF(A1398="RO 14","BAP",(VLOOKUP(TablaCosechas[[#This Row],[COD]],Tabla7[[CODIGO]:[CERTIFICACION]],3,0))))</f>
        <v>ASC</v>
      </c>
      <c r="P1398" s="180">
        <f>+L1398-E1398</f>
        <v>270.89999999999964</v>
      </c>
      <c r="Q1398" s="181">
        <f>+M1398-F1398</f>
        <v>1.9800000000000004</v>
      </c>
      <c r="R1398" s="9"/>
    </row>
    <row r="1399" spans="1:18" x14ac:dyDescent="0.25">
      <c r="A1399" s="9" t="s">
        <v>310</v>
      </c>
      <c r="B1399" s="9">
        <f>ROW() - ROW(TablaCosechas[[#Headers],[ID]]) - 4</f>
        <v>1394</v>
      </c>
      <c r="C1399" s="9" t="str">
        <f>LEFT(A1399,2)</f>
        <v>GT</v>
      </c>
      <c r="D1399" s="182" t="s">
        <v>367</v>
      </c>
      <c r="E1399" s="178">
        <v>3200</v>
      </c>
      <c r="F1399" s="19">
        <v>30</v>
      </c>
      <c r="G1399" s="195">
        <v>46102</v>
      </c>
      <c r="H1399" s="9" t="str">
        <f>VLOOKUP(TablaCosechas[[#This Row],[COD]],DATOS!$E$3:$F$27,2,0)</f>
        <v>GUATO</v>
      </c>
      <c r="I1399" s="9" t="str">
        <f>RIGHT(TablaCosechas[[#This Row],[SECTOR/PISCINA]],2)</f>
        <v>13</v>
      </c>
      <c r="J1399" s="9" t="str">
        <f>VLOOKUP(TablaCosechas[[#This Row],[COD]],Tabla7[#All],4,0)</f>
        <v>JULIO SANTOS</v>
      </c>
      <c r="K1399" s="179">
        <f>(TablaCosechas[[#This Row],[libras planta]]*454)/M1399</f>
        <v>49355.992243051063</v>
      </c>
      <c r="L1399" s="215">
        <v>3363.6</v>
      </c>
      <c r="M1399" s="19">
        <v>30.94</v>
      </c>
      <c r="N1399" s="9" t="str">
        <f>UPPER(TEXT(TablaCosechas[[#This Row],[COSECHA]],"MMMM"))</f>
        <v>MARZO</v>
      </c>
      <c r="O1399" s="9" t="str">
        <f>IF(A1399="DO 29","BAP",IF(A1399="RO 14","BAP",(VLOOKUP(TablaCosechas[[#This Row],[COD]],Tabla7[[CODIGO]:[CERTIFICACION]],3,0))))</f>
        <v>CONVENCIONAL</v>
      </c>
      <c r="P1399" s="180">
        <f>+L1399-E1399</f>
        <v>163.59999999999991</v>
      </c>
      <c r="Q1399" s="181">
        <f>+M1399-F1399</f>
        <v>0.94000000000000128</v>
      </c>
      <c r="R1399" s="9"/>
    </row>
    <row r="1400" spans="1:18" x14ac:dyDescent="0.25">
      <c r="A1400" s="9" t="s">
        <v>318</v>
      </c>
      <c r="B1400" s="9">
        <f>ROW() - ROW(TablaCosechas[[#Headers],[ID]]) - 4</f>
        <v>1395</v>
      </c>
      <c r="C1400" s="9" t="str">
        <f>LEFT(A1400,2)</f>
        <v>GT</v>
      </c>
      <c r="D1400" s="182" t="s">
        <v>367</v>
      </c>
      <c r="E1400" s="178">
        <v>6400</v>
      </c>
      <c r="F1400" s="19">
        <v>24</v>
      </c>
      <c r="G1400" s="195">
        <v>46102</v>
      </c>
      <c r="H1400" s="9" t="str">
        <f>VLOOKUP(TablaCosechas[[#This Row],[COD]],DATOS!$E$3:$F$27,2,0)</f>
        <v>GUATO</v>
      </c>
      <c r="I1400" s="9" t="str">
        <f>RIGHT(TablaCosechas[[#This Row],[SECTOR/PISCINA]],2)</f>
        <v>11</v>
      </c>
      <c r="J1400" s="9" t="str">
        <f>VLOOKUP(TablaCosechas[[#This Row],[COD]],Tabla7[#All],4,0)</f>
        <v>JULIO SANTOS</v>
      </c>
      <c r="K1400" s="179">
        <f>(TablaCosechas[[#This Row],[libras planta]]*454)/M1400</f>
        <v>109743.06335877861</v>
      </c>
      <c r="L1400" s="215">
        <v>6333.19</v>
      </c>
      <c r="M1400" s="19">
        <v>26.2</v>
      </c>
      <c r="N1400" s="9" t="str">
        <f>UPPER(TEXT(TablaCosechas[[#This Row],[COSECHA]],"MMMM"))</f>
        <v>MARZO</v>
      </c>
      <c r="O1400" s="9" t="str">
        <f>IF(A1400="DO 29","BAP",IF(A1400="RO 14","BAP",(VLOOKUP(TablaCosechas[[#This Row],[COD]],Tabla7[[CODIGO]:[CERTIFICACION]],3,0))))</f>
        <v>CONVENCIONAL</v>
      </c>
      <c r="P1400" s="180">
        <f>+L1400-E1400</f>
        <v>-66.8100000000004</v>
      </c>
      <c r="Q1400" s="181">
        <f>+M1400-F1400</f>
        <v>2.1999999999999993</v>
      </c>
      <c r="R1400" s="9"/>
    </row>
    <row r="1401" spans="1:18" x14ac:dyDescent="0.25">
      <c r="A1401" s="9" t="s">
        <v>183</v>
      </c>
      <c r="B1401" s="9">
        <f>ROW() - ROW(TablaCosechas[[#Headers],[ID]]) - 4</f>
        <v>1396</v>
      </c>
      <c r="C1401" s="9" t="str">
        <f>LEFT(A1401,2)</f>
        <v>DO</v>
      </c>
      <c r="D1401" s="182" t="s">
        <v>367</v>
      </c>
      <c r="E1401" s="178">
        <v>7000</v>
      </c>
      <c r="F1401" s="19">
        <v>19</v>
      </c>
      <c r="G1401" s="195">
        <v>46102</v>
      </c>
      <c r="H1401" s="9" t="str">
        <f>VLOOKUP(TablaCosechas[[#This Row],[COD]],DATOS!$E$3:$F$27,2,0)</f>
        <v>DORADO</v>
      </c>
      <c r="I1401" s="9" t="str">
        <f>RIGHT(TablaCosechas[[#This Row],[SECTOR/PISCINA]],2)</f>
        <v>05</v>
      </c>
      <c r="J1401" s="9" t="str">
        <f>VLOOKUP(TablaCosechas[[#This Row],[COD]],Tabla7[#All],4,0)</f>
        <v>JOSE CEDEÑO</v>
      </c>
      <c r="K1401" s="179">
        <f>(TablaCosechas[[#This Row],[libras planta]]*454)/M1401</f>
        <v>173960.16926070041</v>
      </c>
      <c r="L1401" s="215">
        <v>7878.02</v>
      </c>
      <c r="M1401" s="19">
        <v>20.56</v>
      </c>
      <c r="N1401" s="9" t="str">
        <f>UPPER(TEXT(TablaCosechas[[#This Row],[COSECHA]],"MMMM"))</f>
        <v>MARZO</v>
      </c>
      <c r="O1401" s="9" t="str">
        <f>IF(A1401="DO 29","BAP",IF(A1401="RO 14","BAP",(VLOOKUP(TablaCosechas[[#This Row],[COD]],Tabla7[[CODIGO]:[CERTIFICACION]],3,0))))</f>
        <v>ASC</v>
      </c>
      <c r="P1401" s="180">
        <f>+L1401-E1401</f>
        <v>878.02000000000044</v>
      </c>
      <c r="Q1401" s="181">
        <f>+M1401-F1401</f>
        <v>1.5599999999999987</v>
      </c>
      <c r="R1401" s="9"/>
    </row>
    <row r="1402" spans="1:18" x14ac:dyDescent="0.25">
      <c r="A1402" s="9" t="s">
        <v>187</v>
      </c>
      <c r="B1402" s="9">
        <f>ROW() - ROW(TablaCosechas[[#Headers],[ID]]) - 4</f>
        <v>1397</v>
      </c>
      <c r="C1402" s="9" t="str">
        <f>LEFT(A1402,2)</f>
        <v>DE</v>
      </c>
      <c r="D1402" s="182" t="s">
        <v>367</v>
      </c>
      <c r="E1402" s="178">
        <v>5000</v>
      </c>
      <c r="F1402" s="19">
        <v>16</v>
      </c>
      <c r="G1402" s="195">
        <v>46102</v>
      </c>
      <c r="H1402" s="9" t="str">
        <f>VLOOKUP(TablaCosechas[[#This Row],[COD]],DATOS!$E$3:$F$27,2,0)</f>
        <v>DELFIN</v>
      </c>
      <c r="I1402" s="9" t="str">
        <f>RIGHT(TablaCosechas[[#This Row],[SECTOR/PISCINA]],2)</f>
        <v>22</v>
      </c>
      <c r="J1402" s="9" t="str">
        <f>VLOOKUP(TablaCosechas[[#This Row],[COD]],Tabla7[#All],4,0)</f>
        <v>CARLOS FLORES</v>
      </c>
      <c r="K1402" s="179">
        <f>(TablaCosechas[[#This Row],[libras planta]]*454)/M1402</f>
        <v>121880.00317796611</v>
      </c>
      <c r="L1402" s="215">
        <v>5068.49</v>
      </c>
      <c r="M1402" s="19">
        <v>18.88</v>
      </c>
      <c r="N1402" s="9" t="str">
        <f>UPPER(TEXT(TablaCosechas[[#This Row],[COSECHA]],"MMMM"))</f>
        <v>MARZO</v>
      </c>
      <c r="O1402" s="9" t="str">
        <f>IF(A1402="DO 29","BAP",IF(A1402="RO 14","BAP",(VLOOKUP(TablaCosechas[[#This Row],[COD]],Tabla7[[CODIGO]:[CERTIFICACION]],3,0))))</f>
        <v>CONVENCIONAL</v>
      </c>
      <c r="P1402" s="180">
        <f>+L1402-E1402</f>
        <v>68.489999999999782</v>
      </c>
      <c r="Q1402" s="181">
        <f>+M1402-F1402</f>
        <v>2.879999999999999</v>
      </c>
      <c r="R1402" s="9"/>
    </row>
    <row r="1403" spans="1:18" x14ac:dyDescent="0.25">
      <c r="A1403" s="9" t="s">
        <v>22</v>
      </c>
      <c r="B1403" s="9">
        <f>ROW() - ROW(TablaCosechas[[#Headers],[ID]]) - 4</f>
        <v>1398</v>
      </c>
      <c r="C1403" s="9" t="str">
        <f>LEFT(A1403,2)</f>
        <v>CH</v>
      </c>
      <c r="D1403" s="182" t="s">
        <v>367</v>
      </c>
      <c r="E1403" s="178">
        <v>7550</v>
      </c>
      <c r="F1403" s="19">
        <v>19</v>
      </c>
      <c r="G1403" s="195">
        <v>46102</v>
      </c>
      <c r="H1403" s="9" t="str">
        <f>VLOOKUP(TablaCosechas[[#This Row],[COD]],DATOS!$E$3:$F$27,2,0)</f>
        <v>CHERNA</v>
      </c>
      <c r="I1403" s="9" t="str">
        <f>RIGHT(TablaCosechas[[#This Row],[SECTOR/PISCINA]],2)</f>
        <v>16</v>
      </c>
      <c r="J1403" s="9" t="str">
        <f>VLOOKUP(TablaCosechas[[#This Row],[COD]],Tabla7[#All],4,0)</f>
        <v>SANTIAGO OBRIEN</v>
      </c>
      <c r="K1403" s="179">
        <f>(TablaCosechas[[#This Row],[libras planta]]*454)/M1403</f>
        <v>226237.03549571606</v>
      </c>
      <c r="L1403" s="215">
        <v>8142.54</v>
      </c>
      <c r="M1403" s="19">
        <v>16.34</v>
      </c>
      <c r="N1403" s="9" t="str">
        <f>UPPER(TEXT(TablaCosechas[[#This Row],[COSECHA]],"MMMM"))</f>
        <v>MARZO</v>
      </c>
      <c r="O1403" s="9" t="str">
        <f>IF(A1403="DO 29","BAP",IF(A1403="RO 14","BAP",(VLOOKUP(TablaCosechas[[#This Row],[COD]],Tabla7[[CODIGO]:[CERTIFICACION]],3,0))))</f>
        <v>ASC</v>
      </c>
      <c r="P1403" s="180">
        <f>+L1403-E1403</f>
        <v>592.54</v>
      </c>
      <c r="Q1403" s="181">
        <f>+M1403-F1403</f>
        <v>-2.66</v>
      </c>
      <c r="R1403" s="9"/>
    </row>
    <row r="1404" spans="1:18" x14ac:dyDescent="0.25">
      <c r="A1404" s="9" t="s">
        <v>341</v>
      </c>
      <c r="B1404" s="9">
        <f>ROW() - ROW(TablaCosechas[[#Headers],[ID]]) - 4</f>
        <v>1399</v>
      </c>
      <c r="C1404" s="9" t="str">
        <f>LEFT(A1404,2)</f>
        <v>WA</v>
      </c>
      <c r="D1404" s="182" t="s">
        <v>367</v>
      </c>
      <c r="E1404" s="178">
        <v>11200</v>
      </c>
      <c r="F1404" s="19">
        <v>20</v>
      </c>
      <c r="G1404" s="195">
        <v>46103</v>
      </c>
      <c r="H1404" s="9" t="str">
        <f>VLOOKUP(TablaCosechas[[#This Row],[COD]],DATOS!$E$3:$F$27,2,0)</f>
        <v>WAHOO</v>
      </c>
      <c r="I1404" s="9" t="str">
        <f>RIGHT(TablaCosechas[[#This Row],[SECTOR/PISCINA]],2)</f>
        <v>05</v>
      </c>
      <c r="J1404" s="9" t="str">
        <f>VLOOKUP(TablaCosechas[[#This Row],[COD]],Tabla7[#All],4,0)</f>
        <v>JUNIOR ESQUIVEL</v>
      </c>
      <c r="K1404" s="179">
        <f>(TablaCosechas[[#This Row],[libras planta]]*454)/M1404</f>
        <v>272717.84719334723</v>
      </c>
      <c r="L1404" s="215">
        <v>11557.47</v>
      </c>
      <c r="M1404" s="19">
        <v>19.239999999999998</v>
      </c>
      <c r="N1404" s="9" t="str">
        <f>UPPER(TEXT(TablaCosechas[[#This Row],[COSECHA]],"MMMM"))</f>
        <v>MARZO</v>
      </c>
      <c r="O1404" s="9" t="str">
        <f>IF(A1404="DO 29","BAP",IF(A1404="RO 14","BAP",(VLOOKUP(TablaCosechas[[#This Row],[COD]],Tabla7[[CODIGO]:[CERTIFICACION]],3,0))))</f>
        <v>CONVENCIONAL</v>
      </c>
      <c r="P1404" s="180">
        <f>+L1404-E1404</f>
        <v>357.46999999999935</v>
      </c>
      <c r="Q1404" s="181">
        <f>+M1404-F1404</f>
        <v>-0.76000000000000156</v>
      </c>
      <c r="R1404" s="9"/>
    </row>
    <row r="1405" spans="1:18" x14ac:dyDescent="0.25">
      <c r="A1405" s="9" t="s">
        <v>168</v>
      </c>
      <c r="B1405" s="9">
        <f>ROW() - ROW(TablaCosechas[[#Headers],[ID]]) - 4</f>
        <v>1400</v>
      </c>
      <c r="C1405" s="9" t="str">
        <f>LEFT(A1405,2)</f>
        <v>TA</v>
      </c>
      <c r="D1405" s="182" t="s">
        <v>367</v>
      </c>
      <c r="E1405" s="178">
        <v>6000</v>
      </c>
      <c r="F1405" s="19">
        <v>17</v>
      </c>
      <c r="G1405" s="195">
        <v>46103</v>
      </c>
      <c r="H1405" s="9" t="str">
        <f>VLOOKUP(TablaCosechas[[#This Row],[COD]],DATOS!$E$3:$F$27,2,0)</f>
        <v>TAMBULERO</v>
      </c>
      <c r="I1405" s="9" t="str">
        <f>RIGHT(TablaCosechas[[#This Row],[SECTOR/PISCINA]],2)</f>
        <v>27</v>
      </c>
      <c r="J1405" s="9" t="str">
        <f>VLOOKUP(TablaCosechas[[#This Row],[COD]],Tabla7[#All],4,0)</f>
        <v>ALFONSO GRUNAUER</v>
      </c>
      <c r="K1405" s="179">
        <f>(TablaCosechas[[#This Row],[libras planta]]*454)/M1405</f>
        <v>162000.96843291997</v>
      </c>
      <c r="L1405" s="215">
        <v>6330.17</v>
      </c>
      <c r="M1405" s="19">
        <v>17.739999999999998</v>
      </c>
      <c r="N1405" s="9" t="str">
        <f>UPPER(TEXT(TablaCosechas[[#This Row],[COSECHA]],"MMMM"))</f>
        <v>MARZO</v>
      </c>
      <c r="O1405" s="9" t="str">
        <f>IF(A1405="DO 29","BAP",IF(A1405="RO 14","BAP",(VLOOKUP(TablaCosechas[[#This Row],[COD]],Tabla7[[CODIGO]:[CERTIFICACION]],3,0))))</f>
        <v>CONVENCIONAL</v>
      </c>
      <c r="P1405" s="180">
        <f>+L1405-E1405</f>
        <v>330.17000000000007</v>
      </c>
      <c r="Q1405" s="181">
        <f>+M1405-F1405</f>
        <v>0.73999999999999844</v>
      </c>
      <c r="R1405" s="9"/>
    </row>
    <row r="1406" spans="1:18" x14ac:dyDescent="0.25">
      <c r="A1406" s="9" t="s">
        <v>305</v>
      </c>
      <c r="B1406" s="9">
        <f>ROW() - ROW(TablaCosechas[[#Headers],[ID]]) - 4</f>
        <v>1401</v>
      </c>
      <c r="C1406" s="9" t="str">
        <f>LEFT(A1406,2)</f>
        <v>TA</v>
      </c>
      <c r="D1406" s="182" t="s">
        <v>366</v>
      </c>
      <c r="E1406" s="178">
        <v>57150</v>
      </c>
      <c r="F1406" s="19">
        <v>36</v>
      </c>
      <c r="G1406" s="195">
        <v>46103</v>
      </c>
      <c r="H1406" s="9" t="str">
        <f>VLOOKUP(TablaCosechas[[#This Row],[COD]],DATOS!$E$3:$F$27,2,0)</f>
        <v>TAMBULERO</v>
      </c>
      <c r="I1406" s="9" t="str">
        <f>RIGHT(TablaCosechas[[#This Row],[SECTOR/PISCINA]],2)</f>
        <v>18</v>
      </c>
      <c r="J1406" s="9" t="str">
        <f>VLOOKUP(TablaCosechas[[#This Row],[COD]],Tabla7[#All],4,0)</f>
        <v>ALFONSO GRUNAUER</v>
      </c>
      <c r="K1406" s="179">
        <f>(TablaCosechas[[#This Row],[libras planta]]*454)/M1406</f>
        <v>715358.18630280765</v>
      </c>
      <c r="L1406" s="215">
        <v>60049.120000000003</v>
      </c>
      <c r="M1406" s="19">
        <v>38.11</v>
      </c>
      <c r="N1406" s="9" t="str">
        <f>UPPER(TEXT(TablaCosechas[[#This Row],[COSECHA]],"MMMM"))</f>
        <v>MARZO</v>
      </c>
      <c r="O1406" s="9" t="str">
        <f>IF(A1406="DO 29","BAP",IF(A1406="RO 14","BAP",(VLOOKUP(TablaCosechas[[#This Row],[COD]],Tabla7[[CODIGO]:[CERTIFICACION]],3,0))))</f>
        <v>CONVENCIONAL</v>
      </c>
      <c r="P1406" s="180">
        <f>+L1406-E1406</f>
        <v>2899.1200000000026</v>
      </c>
      <c r="Q1406" s="181">
        <f>+M1406-F1406</f>
        <v>2.1099999999999994</v>
      </c>
      <c r="R1406" s="9"/>
    </row>
    <row r="1407" spans="1:18" x14ac:dyDescent="0.25">
      <c r="A1407" s="9" t="s">
        <v>176</v>
      </c>
      <c r="B1407" s="9">
        <f>ROW() - ROW(TablaCosechas[[#Headers],[ID]]) - 4</f>
        <v>1402</v>
      </c>
      <c r="C1407" s="9" t="str">
        <f>LEFT(A1407,2)</f>
        <v>TA</v>
      </c>
      <c r="D1407" s="182" t="s">
        <v>367</v>
      </c>
      <c r="E1407" s="178">
        <v>10200</v>
      </c>
      <c r="F1407" s="19">
        <v>25</v>
      </c>
      <c r="G1407" s="195">
        <v>46103</v>
      </c>
      <c r="H1407" s="9" t="str">
        <f>VLOOKUP(TablaCosechas[[#This Row],[COD]],DATOS!$E$3:$F$27,2,0)</f>
        <v>TAMBULERO</v>
      </c>
      <c r="I1407" s="9" t="str">
        <f>RIGHT(TablaCosechas[[#This Row],[SECTOR/PISCINA]],2)</f>
        <v>15</v>
      </c>
      <c r="J1407" s="9" t="str">
        <f>VLOOKUP(TablaCosechas[[#This Row],[COD]],Tabla7[#All],4,0)</f>
        <v>ALFONSO GRUNAUER</v>
      </c>
      <c r="K1407" s="179">
        <f>(TablaCosechas[[#This Row],[libras planta]]*454)/M1407</f>
        <v>178065.78731631863</v>
      </c>
      <c r="L1407" s="215">
        <v>10142.69</v>
      </c>
      <c r="M1407" s="19">
        <v>25.86</v>
      </c>
      <c r="N1407" s="9" t="str">
        <f>UPPER(TEXT(TablaCosechas[[#This Row],[COSECHA]],"MMMM"))</f>
        <v>MARZO</v>
      </c>
      <c r="O1407" s="9" t="str">
        <f>IF(A1407="DO 29","BAP",IF(A1407="RO 14","BAP",(VLOOKUP(TablaCosechas[[#This Row],[COD]],Tabla7[[CODIGO]:[CERTIFICACION]],3,0))))</f>
        <v>CONVENCIONAL</v>
      </c>
      <c r="P1407" s="180">
        <f>+L1407-E1407</f>
        <v>-57.309999999999491</v>
      </c>
      <c r="Q1407" s="181">
        <f>+M1407-F1407</f>
        <v>0.85999999999999943</v>
      </c>
      <c r="R1407" s="9"/>
    </row>
    <row r="1408" spans="1:18" x14ac:dyDescent="0.25">
      <c r="A1408" s="9" t="s">
        <v>304</v>
      </c>
      <c r="B1408" s="9">
        <f>ROW() - ROW(TablaCosechas[[#Headers],[ID]]) - 4</f>
        <v>1403</v>
      </c>
      <c r="C1408" s="9" t="str">
        <f>LEFT(A1408,2)</f>
        <v>PA</v>
      </c>
      <c r="D1408" s="182" t="s">
        <v>366</v>
      </c>
      <c r="E1408" s="178">
        <v>25100</v>
      </c>
      <c r="F1408" s="19">
        <v>36</v>
      </c>
      <c r="G1408" s="195">
        <v>46103</v>
      </c>
      <c r="H1408" s="9" t="str">
        <f>VLOOKUP(TablaCosechas[[#This Row],[COD]],DATOS!$E$3:$F$27,2,0)</f>
        <v>PAMPANO</v>
      </c>
      <c r="I1408" s="9" t="str">
        <f>RIGHT(TablaCosechas[[#This Row],[SECTOR/PISCINA]],2)</f>
        <v>06</v>
      </c>
      <c r="J1408" s="9" t="str">
        <f>VLOOKUP(TablaCosechas[[#This Row],[COD]],Tabla7[#All],4,0)</f>
        <v>GUSTAVO CARRASCO</v>
      </c>
      <c r="K1408" s="179">
        <f>(TablaCosechas[[#This Row],[libras planta]]*454)/M1408</f>
        <v>311195.79605604568</v>
      </c>
      <c r="L1408" s="215">
        <v>26417.37</v>
      </c>
      <c r="M1408" s="19">
        <v>38.54</v>
      </c>
      <c r="N1408" s="9" t="str">
        <f>UPPER(TEXT(TablaCosechas[[#This Row],[COSECHA]],"MMMM"))</f>
        <v>MARZO</v>
      </c>
      <c r="O1408" s="9" t="str">
        <f>IF(A1408="DO 29","BAP",IF(A1408="RO 14","BAP",(VLOOKUP(TablaCosechas[[#This Row],[COD]],Tabla7[[CODIGO]:[CERTIFICACION]],3,0))))</f>
        <v>ASC</v>
      </c>
      <c r="P1408" s="180">
        <f>+L1408-E1408</f>
        <v>1317.369999999999</v>
      </c>
      <c r="Q1408" s="181">
        <f>+M1408-F1408</f>
        <v>2.5399999999999991</v>
      </c>
      <c r="R1408" s="9"/>
    </row>
    <row r="1409" spans="1:18" x14ac:dyDescent="0.25">
      <c r="A1409" s="9" t="s">
        <v>327</v>
      </c>
      <c r="B1409" s="9">
        <f>ROW() - ROW(TablaCosechas[[#Headers],[ID]]) - 4</f>
        <v>1404</v>
      </c>
      <c r="C1409" s="9" t="str">
        <f>LEFT(A1409,2)</f>
        <v>GT</v>
      </c>
      <c r="D1409" s="182" t="s">
        <v>367</v>
      </c>
      <c r="E1409" s="178">
        <v>4000</v>
      </c>
      <c r="F1409" s="19">
        <v>27</v>
      </c>
      <c r="G1409" s="195">
        <v>46103</v>
      </c>
      <c r="H1409" s="9" t="str">
        <f>VLOOKUP(TablaCosechas[[#This Row],[COD]],DATOS!$E$3:$F$27,2,0)</f>
        <v>GUATO</v>
      </c>
      <c r="I1409" s="9" t="str">
        <f>RIGHT(TablaCosechas[[#This Row],[SECTOR/PISCINA]],2)</f>
        <v>08</v>
      </c>
      <c r="J1409" s="9" t="str">
        <f>VLOOKUP(TablaCosechas[[#This Row],[COD]],Tabla7[#All],4,0)</f>
        <v>JULIO SANTOS</v>
      </c>
      <c r="K1409" s="179">
        <f>(TablaCosechas[[#This Row],[libras planta]]*454)/M1409</f>
        <v>72626.89754689754</v>
      </c>
      <c r="L1409" s="215">
        <v>4434.3999999999996</v>
      </c>
      <c r="M1409" s="205">
        <v>27.72</v>
      </c>
      <c r="N1409" s="9" t="str">
        <f>UPPER(TEXT(TablaCosechas[[#This Row],[COSECHA]],"MMMM"))</f>
        <v>MARZO</v>
      </c>
      <c r="O1409" s="9" t="str">
        <f>IF(A1409="DO 29","BAP",IF(A1409="RO 14","BAP",(VLOOKUP(TablaCosechas[[#This Row],[COD]],Tabla7[[CODIGO]:[CERTIFICACION]],3,0))))</f>
        <v>CONVENCIONAL</v>
      </c>
      <c r="P1409" s="180">
        <f>+L1409-E1409</f>
        <v>434.39999999999964</v>
      </c>
      <c r="Q1409" s="181">
        <f>+M1409-F1409</f>
        <v>0.71999999999999886</v>
      </c>
      <c r="R1409" s="9"/>
    </row>
    <row r="1410" spans="1:18" x14ac:dyDescent="0.25">
      <c r="A1410" s="9" t="s">
        <v>206</v>
      </c>
      <c r="B1410" s="9">
        <f>ROW() - ROW(TablaCosechas[[#Headers],[ID]]) - 4</f>
        <v>1405</v>
      </c>
      <c r="C1410" s="9" t="str">
        <f>LEFT(A1410,2)</f>
        <v>DO</v>
      </c>
      <c r="D1410" s="182" t="s">
        <v>367</v>
      </c>
      <c r="E1410" s="178">
        <v>8400</v>
      </c>
      <c r="F1410" s="19">
        <v>19</v>
      </c>
      <c r="G1410" s="195">
        <v>46103</v>
      </c>
      <c r="H1410" s="9" t="str">
        <f>VLOOKUP(TablaCosechas[[#This Row],[COD]],DATOS!$E$3:$F$27,2,0)</f>
        <v>DORADO</v>
      </c>
      <c r="I1410" s="9" t="str">
        <f>RIGHT(TablaCosechas[[#This Row],[SECTOR/PISCINA]],2)</f>
        <v>27</v>
      </c>
      <c r="J1410" s="9" t="str">
        <f>VLOOKUP(TablaCosechas[[#This Row],[COD]],Tabla7[#All],4,0)</f>
        <v>JOSE CEDEÑO</v>
      </c>
      <c r="K1410" s="179">
        <f>(TablaCosechas[[#This Row],[libras planta]]*454)/M1410</f>
        <v>202514.26666666669</v>
      </c>
      <c r="L1410" s="215">
        <v>8430.66</v>
      </c>
      <c r="M1410" s="19">
        <v>18.899999999999999</v>
      </c>
      <c r="N1410" s="9" t="str">
        <f>UPPER(TEXT(TablaCosechas[[#This Row],[COSECHA]],"MMMM"))</f>
        <v>MARZO</v>
      </c>
      <c r="O1410" s="9" t="str">
        <f>IF(A1410="DO 29","BAP",IF(A1410="RO 14","BAP",(VLOOKUP(TablaCosechas[[#This Row],[COD]],Tabla7[[CODIGO]:[CERTIFICACION]],3,0))))</f>
        <v>ASC</v>
      </c>
      <c r="P1410" s="180">
        <f>+L1410-E1410</f>
        <v>30.659999999999854</v>
      </c>
      <c r="Q1410" s="181">
        <f>+M1410-F1410</f>
        <v>-0.10000000000000142</v>
      </c>
      <c r="R1410" s="9"/>
    </row>
    <row r="1411" spans="1:18" x14ac:dyDescent="0.25">
      <c r="A1411" s="9" t="s">
        <v>25</v>
      </c>
      <c r="B1411" s="9">
        <f>ROW() - ROW(TablaCosechas[[#Headers],[ID]]) - 4</f>
        <v>1406</v>
      </c>
      <c r="C1411" s="9" t="str">
        <f>LEFT(A1411,2)</f>
        <v>CH</v>
      </c>
      <c r="D1411" s="182" t="s">
        <v>367</v>
      </c>
      <c r="E1411" s="178">
        <v>6800</v>
      </c>
      <c r="F1411" s="19">
        <v>22</v>
      </c>
      <c r="G1411" s="195">
        <v>46103</v>
      </c>
      <c r="H1411" s="9" t="str">
        <f>VLOOKUP(TablaCosechas[[#This Row],[COD]],DATOS!$E$3:$F$27,2,0)</f>
        <v>CHERNA</v>
      </c>
      <c r="I1411" s="9" t="str">
        <f>RIGHT(TablaCosechas[[#This Row],[SECTOR/PISCINA]],2)</f>
        <v>21</v>
      </c>
      <c r="J1411" s="9" t="str">
        <f>VLOOKUP(TablaCosechas[[#This Row],[COD]],Tabla7[#All],4,0)</f>
        <v>SANTIAGO OBRIEN</v>
      </c>
      <c r="K1411" s="179">
        <f>(TablaCosechas[[#This Row],[libras planta]]*454)/M1411</f>
        <v>165952.35588235295</v>
      </c>
      <c r="L1411" s="215">
        <v>7456.89</v>
      </c>
      <c r="M1411" s="19">
        <v>20.399999999999999</v>
      </c>
      <c r="N1411" s="9" t="str">
        <f>UPPER(TEXT(TablaCosechas[[#This Row],[COSECHA]],"MMMM"))</f>
        <v>MARZO</v>
      </c>
      <c r="O1411" s="9" t="str">
        <f>IF(A1411="DO 29","BAP",IF(A1411="RO 14","BAP",(VLOOKUP(TablaCosechas[[#This Row],[COD]],Tabla7[[CODIGO]:[CERTIFICACION]],3,0))))</f>
        <v>ASC</v>
      </c>
      <c r="P1411" s="180">
        <f>+L1411-E1411</f>
        <v>656.89000000000033</v>
      </c>
      <c r="Q1411" s="181">
        <f>+M1411-F1411</f>
        <v>-1.6000000000000014</v>
      </c>
      <c r="R1411" s="9"/>
    </row>
    <row r="1412" spans="1:18" x14ac:dyDescent="0.25">
      <c r="A1412" s="9" t="s">
        <v>11</v>
      </c>
      <c r="B1412" s="9">
        <f>ROW() - ROW(TablaCosechas[[#Headers],[ID]]) - 4</f>
        <v>1407</v>
      </c>
      <c r="C1412" s="9" t="str">
        <f>LEFT(A1412,2)</f>
        <v>CH</v>
      </c>
      <c r="D1412" s="182" t="s">
        <v>367</v>
      </c>
      <c r="E1412" s="178">
        <v>6400</v>
      </c>
      <c r="F1412" s="19">
        <v>19</v>
      </c>
      <c r="G1412" s="195">
        <v>46103</v>
      </c>
      <c r="H1412" s="9" t="str">
        <f>VLOOKUP(TablaCosechas[[#This Row],[COD]],DATOS!$E$3:$F$27,2,0)</f>
        <v>CHERNA</v>
      </c>
      <c r="I1412" s="9" t="str">
        <f>RIGHT(TablaCosechas[[#This Row],[SECTOR/PISCINA]],2)</f>
        <v>05</v>
      </c>
      <c r="J1412" s="9" t="str">
        <f>VLOOKUP(TablaCosechas[[#This Row],[COD]],Tabla7[#All],4,0)</f>
        <v>SANTIAGO OBRIEN</v>
      </c>
      <c r="K1412" s="179">
        <f>(TablaCosechas[[#This Row],[libras planta]]*454)/M1412</f>
        <v>159093.93948717948</v>
      </c>
      <c r="L1412" s="215">
        <v>6833.33</v>
      </c>
      <c r="M1412" s="19">
        <v>19.5</v>
      </c>
      <c r="N1412" s="9" t="str">
        <f>UPPER(TEXT(TablaCosechas[[#This Row],[COSECHA]],"MMMM"))</f>
        <v>MARZO</v>
      </c>
      <c r="O1412" s="9" t="str">
        <f>IF(A1412="DO 29","BAP",IF(A1412="RO 14","BAP",(VLOOKUP(TablaCosechas[[#This Row],[COD]],Tabla7[[CODIGO]:[CERTIFICACION]],3,0))))</f>
        <v>ASC</v>
      </c>
      <c r="P1412" s="180">
        <f>+L1412-E1412</f>
        <v>433.32999999999993</v>
      </c>
      <c r="Q1412" s="181">
        <f>+M1412-F1412</f>
        <v>0.5</v>
      </c>
      <c r="R1412" s="9"/>
    </row>
    <row r="1413" spans="1:18" x14ac:dyDescent="0.25">
      <c r="A1413" s="9" t="s">
        <v>330</v>
      </c>
      <c r="B1413" s="9">
        <f>ROW() - ROW(TablaCosechas[[#Headers],[ID]]) - 4</f>
        <v>1408</v>
      </c>
      <c r="C1413" s="9" t="str">
        <f>LEFT(A1413,2)</f>
        <v>WA</v>
      </c>
      <c r="D1413" s="182" t="s">
        <v>367</v>
      </c>
      <c r="E1413" s="178">
        <v>19400</v>
      </c>
      <c r="F1413" s="19">
        <v>25</v>
      </c>
      <c r="G1413" s="195">
        <v>46104</v>
      </c>
      <c r="H1413" s="9" t="str">
        <f>VLOOKUP(TablaCosechas[[#This Row],[COD]],DATOS!$E$3:$F$27,2,0)</f>
        <v>WAHOO</v>
      </c>
      <c r="I1413" s="9" t="str">
        <f>RIGHT(TablaCosechas[[#This Row],[SECTOR/PISCINA]],2)</f>
        <v>38</v>
      </c>
      <c r="J1413" s="9" t="str">
        <f>VLOOKUP(TablaCosechas[[#This Row],[COD]],Tabla7[#All],4,0)</f>
        <v>JUNIOR ESQUIVEL</v>
      </c>
      <c r="K1413" s="179">
        <f>(TablaCosechas[[#This Row],[libras planta]]*454)/M1413</f>
        <v>371607.68689601851</v>
      </c>
      <c r="L1413" s="174">
        <v>21175.09</v>
      </c>
      <c r="M1413" s="19">
        <v>25.87</v>
      </c>
      <c r="N1413" s="9" t="str">
        <f>UPPER(TEXT(TablaCosechas[[#This Row],[COSECHA]],"MMMM"))</f>
        <v>MARZO</v>
      </c>
      <c r="O1413" s="9" t="str">
        <f>IF(A1413="DO 29","BAP",IF(A1413="RO 14","BAP",(VLOOKUP(TablaCosechas[[#This Row],[COD]],Tabla7[[CODIGO]:[CERTIFICACION]],3,0))))</f>
        <v>CONVENCIONAL</v>
      </c>
      <c r="P1413" s="180">
        <f>+L1413-E1413</f>
        <v>1775.0900000000001</v>
      </c>
      <c r="Q1413" s="181">
        <f>+M1413-F1413</f>
        <v>0.87000000000000099</v>
      </c>
      <c r="R1413" s="9"/>
    </row>
    <row r="1414" spans="1:18" x14ac:dyDescent="0.25">
      <c r="A1414" s="9" t="s">
        <v>181</v>
      </c>
      <c r="B1414" s="9">
        <f>ROW() - ROW(TablaCosechas[[#Headers],[ID]]) - 4</f>
        <v>1409</v>
      </c>
      <c r="C1414" s="9" t="str">
        <f>LEFT(A1414,2)</f>
        <v>TA</v>
      </c>
      <c r="D1414" s="182" t="s">
        <v>367</v>
      </c>
      <c r="E1414" s="178">
        <v>12000</v>
      </c>
      <c r="F1414" s="19">
        <v>26</v>
      </c>
      <c r="G1414" s="195">
        <v>46104</v>
      </c>
      <c r="H1414" s="9" t="str">
        <f>VLOOKUP(TablaCosechas[[#This Row],[COD]],DATOS!$E$3:$F$27,2,0)</f>
        <v>TAMBULERO</v>
      </c>
      <c r="I1414" s="9" t="str">
        <f>RIGHT(TablaCosechas[[#This Row],[SECTOR/PISCINA]],2)</f>
        <v>10</v>
      </c>
      <c r="J1414" s="9" t="str">
        <f>VLOOKUP(TablaCosechas[[#This Row],[COD]],Tabla7[#All],4,0)</f>
        <v>ALFONSO GRUNAUER</v>
      </c>
      <c r="K1414" s="179">
        <f>(TablaCosechas[[#This Row],[libras planta]]*454)/M1414</f>
        <v>220124.3841509434</v>
      </c>
      <c r="L1414" s="215">
        <v>12848.67</v>
      </c>
      <c r="M1414" s="19">
        <v>26.5</v>
      </c>
      <c r="N1414" s="9" t="str">
        <f>UPPER(TEXT(TablaCosechas[[#This Row],[COSECHA]],"MMMM"))</f>
        <v>MARZO</v>
      </c>
      <c r="O1414" s="9" t="str">
        <f>IF(A1414="DO 29","BAP",IF(A1414="RO 14","BAP",(VLOOKUP(TablaCosechas[[#This Row],[COD]],Tabla7[[CODIGO]:[CERTIFICACION]],3,0))))</f>
        <v>CONVENCIONAL</v>
      </c>
      <c r="P1414" s="180">
        <f>+L1414-E1414</f>
        <v>848.67000000000007</v>
      </c>
      <c r="Q1414" s="181">
        <f>+M1414-F1414</f>
        <v>0.5</v>
      </c>
      <c r="R1414" s="9"/>
    </row>
    <row r="1415" spans="1:18" x14ac:dyDescent="0.25">
      <c r="A1415" s="9" t="s">
        <v>166</v>
      </c>
      <c r="B1415" s="9">
        <f>ROW() - ROW(TablaCosechas[[#Headers],[ID]]) - 4</f>
        <v>1410</v>
      </c>
      <c r="C1415" s="9" t="str">
        <f>LEFT(A1415,2)</f>
        <v>TA</v>
      </c>
      <c r="D1415" s="182" t="s">
        <v>367</v>
      </c>
      <c r="E1415" s="178">
        <v>5250</v>
      </c>
      <c r="F1415" s="19">
        <v>26</v>
      </c>
      <c r="G1415" s="195">
        <v>46104</v>
      </c>
      <c r="H1415" s="9" t="str">
        <f>VLOOKUP(TablaCosechas[[#This Row],[COD]],DATOS!$E$3:$F$27,2,0)</f>
        <v>TAMBULERO</v>
      </c>
      <c r="I1415" s="9" t="str">
        <f>RIGHT(TablaCosechas[[#This Row],[SECTOR/PISCINA]],2)</f>
        <v>01</v>
      </c>
      <c r="J1415" s="9" t="str">
        <f>VLOOKUP(TablaCosechas[[#This Row],[COD]],Tabla7[#All],4,0)</f>
        <v>ALFONSO GRUNAUER</v>
      </c>
      <c r="K1415" s="179">
        <f>(TablaCosechas[[#This Row],[libras planta]]*454)/M1415</f>
        <v>98108.793768545991</v>
      </c>
      <c r="L1415" s="215">
        <v>5826.02</v>
      </c>
      <c r="M1415" s="19">
        <v>26.96</v>
      </c>
      <c r="N1415" s="9" t="str">
        <f>UPPER(TEXT(TablaCosechas[[#This Row],[COSECHA]],"MMMM"))</f>
        <v>MARZO</v>
      </c>
      <c r="O1415" s="9" t="str">
        <f>IF(A1415="DO 29","BAP",IF(A1415="RO 14","BAP",(VLOOKUP(TablaCosechas[[#This Row],[COD]],Tabla7[[CODIGO]:[CERTIFICACION]],3,0))))</f>
        <v>CONVENCIONAL</v>
      </c>
      <c r="P1415" s="180">
        <f>+L1415-E1415</f>
        <v>576.02000000000044</v>
      </c>
      <c r="Q1415" s="181">
        <f>+M1415-F1415</f>
        <v>0.96000000000000085</v>
      </c>
      <c r="R1415" s="9"/>
    </row>
    <row r="1416" spans="1:18" x14ac:dyDescent="0.25">
      <c r="A1416" s="9" t="s">
        <v>198</v>
      </c>
      <c r="B1416" s="9">
        <f>ROW() - ROW(TablaCosechas[[#Headers],[ID]]) - 4</f>
        <v>1411</v>
      </c>
      <c r="C1416" s="9" t="str">
        <f>LEFT(A1416,2)</f>
        <v>RO</v>
      </c>
      <c r="D1416" s="182" t="s">
        <v>367</v>
      </c>
      <c r="E1416" s="178">
        <v>10150</v>
      </c>
      <c r="F1416" s="19">
        <v>15</v>
      </c>
      <c r="G1416" s="195">
        <v>46104</v>
      </c>
      <c r="H1416" s="9" t="str">
        <f>VLOOKUP(TablaCosechas[[#This Row],[COD]],DATOS!$E$3:$F$27,2,0)</f>
        <v>ROBALO</v>
      </c>
      <c r="I1416" s="9" t="str">
        <f>RIGHT(TablaCosechas[[#This Row],[SECTOR/PISCINA]],2)</f>
        <v>14</v>
      </c>
      <c r="J1416" s="9" t="str">
        <f>VLOOKUP(TablaCosechas[[#This Row],[COD]],Tabla7[#All],4,0)</f>
        <v>VICTOR QUINTANA</v>
      </c>
      <c r="K1416" s="179">
        <f>(TablaCosechas[[#This Row],[libras planta]]*454)/M1416</f>
        <v>334868.11572327046</v>
      </c>
      <c r="L1416" s="215">
        <v>11727.76</v>
      </c>
      <c r="M1416" s="19">
        <v>15.9</v>
      </c>
      <c r="N1416" s="9" t="str">
        <f>UPPER(TEXT(TablaCosechas[[#This Row],[COSECHA]],"MMMM"))</f>
        <v>MARZO</v>
      </c>
      <c r="O1416" s="9" t="str">
        <f>IF(A1416="DO 29","BAP",IF(A1416="RO 14","BAP",(VLOOKUP(TablaCosechas[[#This Row],[COD]],Tabla7[[CODIGO]:[CERTIFICACION]],3,0))))</f>
        <v>BAP</v>
      </c>
      <c r="P1416" s="180">
        <f>+L1416-E1416</f>
        <v>1577.7600000000002</v>
      </c>
      <c r="Q1416" s="181">
        <f>+M1416-F1416</f>
        <v>0.90000000000000036</v>
      </c>
      <c r="R1416" s="9"/>
    </row>
    <row r="1417" spans="1:18" x14ac:dyDescent="0.25">
      <c r="A1417" s="9" t="s">
        <v>306</v>
      </c>
      <c r="B1417" s="9">
        <f>ROW() - ROW(TablaCosechas[[#Headers],[ID]]) - 4</f>
        <v>1412</v>
      </c>
      <c r="C1417" s="9" t="str">
        <f>LEFT(A1417,2)</f>
        <v>PA</v>
      </c>
      <c r="D1417" s="182" t="s">
        <v>366</v>
      </c>
      <c r="E1417" s="178">
        <v>24400</v>
      </c>
      <c r="F1417" s="19">
        <v>34</v>
      </c>
      <c r="G1417" s="195">
        <v>46104</v>
      </c>
      <c r="H1417" s="9" t="str">
        <f>VLOOKUP(TablaCosechas[[#This Row],[COD]],DATOS!$E$3:$F$27,2,0)</f>
        <v>PAMPANO</v>
      </c>
      <c r="I1417" s="9" t="str">
        <f>RIGHT(TablaCosechas[[#This Row],[SECTOR/PISCINA]],2)</f>
        <v>17</v>
      </c>
      <c r="J1417" s="9" t="str">
        <f>VLOOKUP(TablaCosechas[[#This Row],[COD]],Tabla7[#All],4,0)</f>
        <v>GUSTAVO CARRASCO</v>
      </c>
      <c r="K1417" s="179">
        <f>(TablaCosechas[[#This Row],[libras planta]]*454)/M1417</f>
        <v>307236.3928571429</v>
      </c>
      <c r="L1417" s="215">
        <v>23496.14</v>
      </c>
      <c r="M1417" s="19">
        <v>34.72</v>
      </c>
      <c r="N1417" s="9" t="str">
        <f>UPPER(TEXT(TablaCosechas[[#This Row],[COSECHA]],"MMMM"))</f>
        <v>MARZO</v>
      </c>
      <c r="O1417" s="9" t="str">
        <f>IF(A1417="DO 29","BAP",IF(A1417="RO 14","BAP",(VLOOKUP(TablaCosechas[[#This Row],[COD]],Tabla7[[CODIGO]:[CERTIFICACION]],3,0))))</f>
        <v>ASC</v>
      </c>
      <c r="P1417" s="180">
        <f>+L1417-E1417</f>
        <v>-903.86000000000058</v>
      </c>
      <c r="Q1417" s="181">
        <f>+M1417-F1417</f>
        <v>0.71999999999999886</v>
      </c>
      <c r="R1417" s="9"/>
    </row>
    <row r="1418" spans="1:18" x14ac:dyDescent="0.25">
      <c r="A1418" s="9" t="s">
        <v>182</v>
      </c>
      <c r="B1418" s="9">
        <f>ROW() - ROW(TablaCosechas[[#Headers],[ID]]) - 4</f>
        <v>1413</v>
      </c>
      <c r="C1418" s="9" t="str">
        <f>LEFT(A1418,2)</f>
        <v>DE</v>
      </c>
      <c r="D1418" s="182" t="s">
        <v>367</v>
      </c>
      <c r="E1418" s="178">
        <v>4400</v>
      </c>
      <c r="F1418" s="19">
        <v>17</v>
      </c>
      <c r="G1418" s="195">
        <v>46104</v>
      </c>
      <c r="H1418" s="9" t="str">
        <f>VLOOKUP(TablaCosechas[[#This Row],[COD]],DATOS!$E$3:$F$27,2,0)</f>
        <v>DELFIN</v>
      </c>
      <c r="I1418" s="9" t="str">
        <f>RIGHT(TablaCosechas[[#This Row],[SECTOR/PISCINA]],2)</f>
        <v>24</v>
      </c>
      <c r="J1418" s="9" t="str">
        <f>VLOOKUP(TablaCosechas[[#This Row],[COD]],Tabla7[#All],4,0)</f>
        <v>CARLOS FLORES</v>
      </c>
      <c r="K1418" s="179">
        <f>(TablaCosechas[[#This Row],[libras planta]]*454)/M1418</f>
        <v>100537.77320675105</v>
      </c>
      <c r="L1418" s="215">
        <v>4198.67</v>
      </c>
      <c r="M1418" s="19">
        <v>18.96</v>
      </c>
      <c r="N1418" s="9" t="str">
        <f>UPPER(TEXT(TablaCosechas[[#This Row],[COSECHA]],"MMMM"))</f>
        <v>MARZO</v>
      </c>
      <c r="O1418" s="9" t="str">
        <f>IF(A1418="DO 29","BAP",IF(A1418="RO 14","BAP",(VLOOKUP(TablaCosechas[[#This Row],[COD]],Tabla7[[CODIGO]:[CERTIFICACION]],3,0))))</f>
        <v>CONVENCIONAL</v>
      </c>
      <c r="P1418" s="180">
        <f>+L1418-E1418</f>
        <v>-201.32999999999993</v>
      </c>
      <c r="Q1418" s="181">
        <f>+M1418-F1418</f>
        <v>1.9600000000000009</v>
      </c>
      <c r="R1418" s="9"/>
    </row>
    <row r="1419" spans="1:18" x14ac:dyDescent="0.25">
      <c r="A1419" s="9" t="s">
        <v>193</v>
      </c>
      <c r="B1419" s="9">
        <f>ROW() - ROW(TablaCosechas[[#Headers],[ID]]) - 4</f>
        <v>1414</v>
      </c>
      <c r="C1419" s="9" t="str">
        <f>LEFT(A1419,2)</f>
        <v>DE</v>
      </c>
      <c r="D1419" s="182" t="s">
        <v>367</v>
      </c>
      <c r="E1419" s="178">
        <v>5000</v>
      </c>
      <c r="F1419" s="19">
        <v>18</v>
      </c>
      <c r="G1419" s="195">
        <v>46104</v>
      </c>
      <c r="H1419" s="9" t="str">
        <f>VLOOKUP(TablaCosechas[[#This Row],[COD]],DATOS!$E$3:$F$27,2,0)</f>
        <v>DELFIN</v>
      </c>
      <c r="I1419" s="9" t="str">
        <f>RIGHT(TablaCosechas[[#This Row],[SECTOR/PISCINA]],2)</f>
        <v>21</v>
      </c>
      <c r="J1419" s="9" t="str">
        <f>VLOOKUP(TablaCosechas[[#This Row],[COD]],Tabla7[#All],4,0)</f>
        <v>CARLOS FLORES</v>
      </c>
      <c r="K1419" s="179">
        <f>(TablaCosechas[[#This Row],[libras planta]]*454)/M1419</f>
        <v>124127.68255687974</v>
      </c>
      <c r="L1419" s="215">
        <v>5047.13</v>
      </c>
      <c r="M1419" s="19">
        <v>18.46</v>
      </c>
      <c r="N1419" s="9" t="str">
        <f>UPPER(TEXT(TablaCosechas[[#This Row],[COSECHA]],"MMMM"))</f>
        <v>MARZO</v>
      </c>
      <c r="O1419" s="9" t="str">
        <f>IF(A1419="DO 29","BAP",IF(A1419="RO 14","BAP",(VLOOKUP(TablaCosechas[[#This Row],[COD]],Tabla7[[CODIGO]:[CERTIFICACION]],3,0))))</f>
        <v>CONVENCIONAL</v>
      </c>
      <c r="P1419" s="180">
        <f>+L1419-E1419</f>
        <v>47.130000000000109</v>
      </c>
      <c r="Q1419" s="181">
        <f>+M1419-F1419</f>
        <v>0.46000000000000085</v>
      </c>
      <c r="R1419" s="9"/>
    </row>
    <row r="1420" spans="1:18" x14ac:dyDescent="0.25">
      <c r="A1420" s="9" t="s">
        <v>26</v>
      </c>
      <c r="B1420" s="9">
        <f>ROW() - ROW(TablaCosechas[[#Headers],[ID]]) - 4</f>
        <v>1415</v>
      </c>
      <c r="C1420" s="9" t="str">
        <f>LEFT(A1420,2)</f>
        <v>CH</v>
      </c>
      <c r="D1420" s="182" t="s">
        <v>367</v>
      </c>
      <c r="E1420" s="178">
        <v>8200</v>
      </c>
      <c r="F1420" s="19">
        <v>23</v>
      </c>
      <c r="G1420" s="195">
        <v>46104</v>
      </c>
      <c r="H1420" s="9" t="str">
        <f>VLOOKUP(TablaCosechas[[#This Row],[COD]],DATOS!$E$3:$F$27,2,0)</f>
        <v>CHERNA</v>
      </c>
      <c r="I1420" s="9" t="str">
        <f>RIGHT(TablaCosechas[[#This Row],[SECTOR/PISCINA]],2)</f>
        <v>23</v>
      </c>
      <c r="J1420" s="9" t="str">
        <f>VLOOKUP(TablaCosechas[[#This Row],[COD]],Tabla7[#All],4,0)</f>
        <v>SANTIAGO OBRIEN</v>
      </c>
      <c r="K1420" s="179">
        <f>(TablaCosechas[[#This Row],[libras planta]]*454)/M1420</f>
        <v>170332.51211631662</v>
      </c>
      <c r="L1420" s="215">
        <v>9289.5</v>
      </c>
      <c r="M1420" s="19">
        <v>24.76</v>
      </c>
      <c r="N1420" s="9" t="str">
        <f>UPPER(TEXT(TablaCosechas[[#This Row],[COSECHA]],"MMMM"))</f>
        <v>MARZO</v>
      </c>
      <c r="O1420" s="9" t="str">
        <f>IF(A1420="DO 29","BAP",IF(A1420="RO 14","BAP",(VLOOKUP(TablaCosechas[[#This Row],[COD]],Tabla7[[CODIGO]:[CERTIFICACION]],3,0))))</f>
        <v>ASC</v>
      </c>
      <c r="P1420" s="180">
        <f>+L1420-E1420</f>
        <v>1089.5</v>
      </c>
      <c r="Q1420" s="181">
        <f>+M1420-F1420</f>
        <v>1.7600000000000016</v>
      </c>
      <c r="R1420" s="9"/>
    </row>
    <row r="1421" spans="1:18" x14ac:dyDescent="0.25">
      <c r="A1421" s="9" t="s">
        <v>143</v>
      </c>
      <c r="B1421" s="9">
        <f>ROW() - ROW(TablaCosechas[[#Headers],[ID]]) - 4</f>
        <v>1416</v>
      </c>
      <c r="C1421" s="9" t="str">
        <f>LEFT(A1421,2)</f>
        <v>TA</v>
      </c>
      <c r="D1421" s="182" t="s">
        <v>366</v>
      </c>
      <c r="E1421" s="178">
        <v>42300</v>
      </c>
      <c r="F1421" s="19">
        <v>38</v>
      </c>
      <c r="G1421" s="195">
        <v>46105</v>
      </c>
      <c r="H1421" s="9" t="str">
        <f>VLOOKUP(TablaCosechas[[#This Row],[COD]],DATOS!$E$3:$F$27,2,0)</f>
        <v>TAMBULERO</v>
      </c>
      <c r="I1421" s="9" t="str">
        <f>RIGHT(TablaCosechas[[#This Row],[SECTOR/PISCINA]],2)</f>
        <v>08</v>
      </c>
      <c r="J1421" s="9" t="str">
        <f>VLOOKUP(TablaCosechas[[#This Row],[COD]],Tabla7[#All],4,0)</f>
        <v>ALFONSO GRUNAUER</v>
      </c>
      <c r="K1421" s="179">
        <f>(TablaCosechas[[#This Row],[libras planta]]*454)/M1421</f>
        <v>509297.66781158006</v>
      </c>
      <c r="L1421" s="215">
        <v>45724.61</v>
      </c>
      <c r="M1421" s="19">
        <v>40.76</v>
      </c>
      <c r="N1421" s="9" t="str">
        <f>UPPER(TEXT(TablaCosechas[[#This Row],[COSECHA]],"MMMM"))</f>
        <v>MARZO</v>
      </c>
      <c r="O1421" s="9" t="str">
        <f>IF(A1421="DO 29","BAP",IF(A1421="RO 14","BAP",(VLOOKUP(TablaCosechas[[#This Row],[COD]],Tabla7[[CODIGO]:[CERTIFICACION]],3,0))))</f>
        <v>CONVENCIONAL</v>
      </c>
      <c r="P1421" s="180">
        <f>+L1421-E1421</f>
        <v>3424.6100000000006</v>
      </c>
      <c r="Q1421" s="181">
        <f>+M1421-F1421</f>
        <v>2.759999999999998</v>
      </c>
      <c r="R1421" s="9"/>
    </row>
    <row r="1422" spans="1:18" x14ac:dyDescent="0.25">
      <c r="A1422" s="9" t="s">
        <v>129</v>
      </c>
      <c r="B1422" s="9">
        <f>ROW() - ROW(TablaCosechas[[#Headers],[ID]]) - 4</f>
        <v>1417</v>
      </c>
      <c r="C1422" s="9" t="str">
        <f>LEFT(A1422,2)</f>
        <v>RO</v>
      </c>
      <c r="D1422" s="182" t="s">
        <v>367</v>
      </c>
      <c r="E1422" s="178">
        <v>2000</v>
      </c>
      <c r="F1422" s="19">
        <v>27</v>
      </c>
      <c r="G1422" s="195">
        <v>46105</v>
      </c>
      <c r="H1422" s="9" t="str">
        <f>VLOOKUP(TablaCosechas[[#This Row],[COD]],DATOS!$E$3:$F$27,2,0)</f>
        <v>ROBALO</v>
      </c>
      <c r="I1422" s="9" t="str">
        <f>RIGHT(TablaCosechas[[#This Row],[SECTOR/PISCINA]],2)</f>
        <v>11</v>
      </c>
      <c r="J1422" s="9" t="str">
        <f>VLOOKUP(TablaCosechas[[#This Row],[COD]],Tabla7[#All],4,0)</f>
        <v>VICTOR QUINTANA</v>
      </c>
      <c r="K1422" s="179">
        <f>(TablaCosechas[[#This Row],[libras planta]]*454)/M1422</f>
        <v>47074.144968332163</v>
      </c>
      <c r="L1422" s="215">
        <v>2946.8</v>
      </c>
      <c r="M1422" s="19">
        <v>28.42</v>
      </c>
      <c r="N1422" s="9" t="str">
        <f>UPPER(TEXT(TablaCosechas[[#This Row],[COSECHA]],"MMMM"))</f>
        <v>MARZO</v>
      </c>
      <c r="O1422" s="9" t="str">
        <f>IF(A1422="DO 29","BAP",IF(A1422="RO 14","BAP",(VLOOKUP(TablaCosechas[[#This Row],[COD]],Tabla7[[CODIGO]:[CERTIFICACION]],3,0))))</f>
        <v>ASC</v>
      </c>
      <c r="P1422" s="180">
        <f>+L1422-E1422</f>
        <v>946.80000000000018</v>
      </c>
      <c r="Q1422" s="181">
        <f>+M1422-F1422</f>
        <v>1.4200000000000017</v>
      </c>
      <c r="R1422" s="9"/>
    </row>
    <row r="1423" spans="1:18" x14ac:dyDescent="0.25">
      <c r="A1423" s="9" t="s">
        <v>164</v>
      </c>
      <c r="B1423" s="9">
        <f>ROW() - ROW(TablaCosechas[[#Headers],[ID]]) - 4</f>
        <v>1418</v>
      </c>
      <c r="C1423" s="9" t="str">
        <f>LEFT(A1423,2)</f>
        <v>PA</v>
      </c>
      <c r="D1423" s="182" t="s">
        <v>367</v>
      </c>
      <c r="E1423" s="178">
        <v>5600</v>
      </c>
      <c r="F1423" s="19">
        <v>17</v>
      </c>
      <c r="G1423" s="195">
        <v>46105</v>
      </c>
      <c r="H1423" s="9" t="str">
        <f>VLOOKUP(TablaCosechas[[#This Row],[COD]],DATOS!$E$3:$F$27,2,0)</f>
        <v>PAMPANO</v>
      </c>
      <c r="I1423" s="9" t="str">
        <f>RIGHT(TablaCosechas[[#This Row],[SECTOR/PISCINA]],2)</f>
        <v>11</v>
      </c>
      <c r="J1423" s="9" t="str">
        <f>VLOOKUP(TablaCosechas[[#This Row],[COD]],Tabla7[#All],4,0)</f>
        <v>GUSTAVO CARRASCO</v>
      </c>
      <c r="K1423" s="179">
        <f>(TablaCosechas[[#This Row],[libras planta]]*454)/M1423</f>
        <v>145372.08490566039</v>
      </c>
      <c r="L1423" s="215">
        <v>6109.47</v>
      </c>
      <c r="M1423" s="19">
        <v>19.079999999999998</v>
      </c>
      <c r="N1423" s="9" t="str">
        <f>UPPER(TEXT(TablaCosechas[[#This Row],[COSECHA]],"MMMM"))</f>
        <v>MARZO</v>
      </c>
      <c r="O1423" s="9" t="str">
        <f>IF(A1423="DO 29","BAP",IF(A1423="RO 14","BAP",(VLOOKUP(TablaCosechas[[#This Row],[COD]],Tabla7[[CODIGO]:[CERTIFICACION]],3,0))))</f>
        <v>ASC</v>
      </c>
      <c r="P1423" s="180">
        <f>+L1423-E1423</f>
        <v>509.47000000000025</v>
      </c>
      <c r="Q1423" s="181">
        <f>+M1423-F1423</f>
        <v>2.0799999999999983</v>
      </c>
      <c r="R1423" s="9"/>
    </row>
    <row r="1424" spans="1:18" x14ac:dyDescent="0.25">
      <c r="A1424" s="9" t="s">
        <v>170</v>
      </c>
      <c r="B1424" s="9">
        <f>ROW() - ROW(TablaCosechas[[#Headers],[ID]]) - 4</f>
        <v>1419</v>
      </c>
      <c r="C1424" s="9" t="str">
        <f>LEFT(A1424,2)</f>
        <v>PA</v>
      </c>
      <c r="D1424" s="182" t="s">
        <v>367</v>
      </c>
      <c r="E1424" s="178">
        <v>5200</v>
      </c>
      <c r="F1424" s="19">
        <v>20</v>
      </c>
      <c r="G1424" s="195">
        <v>46105</v>
      </c>
      <c r="H1424" s="9" t="str">
        <f>VLOOKUP(TablaCosechas[[#This Row],[COD]],DATOS!$E$3:$F$27,2,0)</f>
        <v>PAMPANO</v>
      </c>
      <c r="I1424" s="9" t="str">
        <f>RIGHT(TablaCosechas[[#This Row],[SECTOR/PISCINA]],2)</f>
        <v>08</v>
      </c>
      <c r="J1424" s="9" t="str">
        <f>VLOOKUP(TablaCosechas[[#This Row],[COD]],Tabla7[#All],4,0)</f>
        <v>GUSTAVO CARRASCO</v>
      </c>
      <c r="K1424" s="179">
        <f>(TablaCosechas[[#This Row],[libras planta]]*454)/M1424</f>
        <v>127328.72821969698</v>
      </c>
      <c r="L1424" s="215">
        <v>5923.31</v>
      </c>
      <c r="M1424" s="19">
        <v>21.12</v>
      </c>
      <c r="N1424" s="9" t="str">
        <f>UPPER(TEXT(TablaCosechas[[#This Row],[COSECHA]],"MMMM"))</f>
        <v>MARZO</v>
      </c>
      <c r="O1424" s="9" t="str">
        <f>IF(A1424="DO 29","BAP",IF(A1424="RO 14","BAP",(VLOOKUP(TablaCosechas[[#This Row],[COD]],Tabla7[[CODIGO]:[CERTIFICACION]],3,0))))</f>
        <v>ASC</v>
      </c>
      <c r="P1424" s="180">
        <f>+L1424-E1424</f>
        <v>723.3100000000004</v>
      </c>
      <c r="Q1424" s="181">
        <f>+M1424-F1424</f>
        <v>1.120000000000001</v>
      </c>
      <c r="R1424" s="9"/>
    </row>
    <row r="1425" spans="1:18" x14ac:dyDescent="0.25">
      <c r="A1425" s="9" t="s">
        <v>134</v>
      </c>
      <c r="B1425" s="9">
        <f>ROW() - ROW(TablaCosechas[[#Headers],[ID]]) - 4</f>
        <v>1420</v>
      </c>
      <c r="C1425" s="9" t="str">
        <f>LEFT(A1425,2)</f>
        <v>GT</v>
      </c>
      <c r="D1425" s="182" t="s">
        <v>367</v>
      </c>
      <c r="E1425" s="178">
        <v>4000</v>
      </c>
      <c r="F1425" s="19">
        <v>25</v>
      </c>
      <c r="G1425" s="195">
        <v>46105</v>
      </c>
      <c r="H1425" s="9" t="str">
        <f>VLOOKUP(TablaCosechas[[#This Row],[COD]],DATOS!$E$3:$F$27,2,0)</f>
        <v>GUATO</v>
      </c>
      <c r="I1425" s="9" t="str">
        <f>RIGHT(TablaCosechas[[#This Row],[SECTOR/PISCINA]],2)</f>
        <v>21</v>
      </c>
      <c r="J1425" s="9" t="str">
        <f>VLOOKUP(TablaCosechas[[#This Row],[COD]],Tabla7[#All],4,0)</f>
        <v>JULIO SANTOS</v>
      </c>
      <c r="K1425" s="179">
        <f>(TablaCosechas[[#This Row],[libras planta]]*454)/M1425</f>
        <v>77483.550623052972</v>
      </c>
      <c r="L1425" s="215">
        <v>4382.7700000000004</v>
      </c>
      <c r="M1425" s="19">
        <v>25.68</v>
      </c>
      <c r="N1425" s="9" t="str">
        <f>UPPER(TEXT(TablaCosechas[[#This Row],[COSECHA]],"MMMM"))</f>
        <v>MARZO</v>
      </c>
      <c r="O1425" s="9" t="str">
        <f>IF(A1425="DO 29","BAP",IF(A1425="RO 14","BAP",(VLOOKUP(TablaCosechas[[#This Row],[COD]],Tabla7[[CODIGO]:[CERTIFICACION]],3,0))))</f>
        <v>CONVENCIONAL</v>
      </c>
      <c r="P1425" s="180">
        <f>+L1425-E1425</f>
        <v>382.77000000000044</v>
      </c>
      <c r="Q1425" s="181">
        <f>+M1425-F1425</f>
        <v>0.67999999999999972</v>
      </c>
      <c r="R1425" s="9"/>
    </row>
    <row r="1426" spans="1:18" x14ac:dyDescent="0.25">
      <c r="A1426" s="9" t="s">
        <v>308</v>
      </c>
      <c r="B1426" s="9">
        <f>ROW() - ROW(TablaCosechas[[#Headers],[ID]]) - 4</f>
        <v>1421</v>
      </c>
      <c r="C1426" s="9" t="str">
        <f>LEFT(A1426,2)</f>
        <v>DO</v>
      </c>
      <c r="D1426" s="182" t="s">
        <v>366</v>
      </c>
      <c r="E1426" s="178">
        <v>31300</v>
      </c>
      <c r="F1426" s="19">
        <v>40</v>
      </c>
      <c r="G1426" s="195">
        <v>46105</v>
      </c>
      <c r="H1426" s="9" t="str">
        <f>VLOOKUP(TablaCosechas[[#This Row],[COD]],DATOS!$E$3:$F$27,2,0)</f>
        <v>DORADO</v>
      </c>
      <c r="I1426" s="9" t="str">
        <f>RIGHT(TablaCosechas[[#This Row],[SECTOR/PISCINA]],2)</f>
        <v>26</v>
      </c>
      <c r="J1426" s="9" t="str">
        <f>VLOOKUP(TablaCosechas[[#This Row],[COD]],Tabla7[#All],4,0)</f>
        <v>JOSE CEDEÑO</v>
      </c>
      <c r="K1426" s="179">
        <f>(TablaCosechas[[#This Row],[libras planta]]*454)/M1426</f>
        <v>344113.82384341635</v>
      </c>
      <c r="L1426" s="215">
        <v>34077.879999999997</v>
      </c>
      <c r="M1426" s="19">
        <v>44.96</v>
      </c>
      <c r="N1426" s="9" t="str">
        <f>UPPER(TEXT(TablaCosechas[[#This Row],[COSECHA]],"MMMM"))</f>
        <v>MARZO</v>
      </c>
      <c r="O1426" s="9" t="str">
        <f>IF(A1426="DO 29","BAP",IF(A1426="RO 14","BAP",(VLOOKUP(TablaCosechas[[#This Row],[COD]],Tabla7[[CODIGO]:[CERTIFICACION]],3,0))))</f>
        <v>ASC</v>
      </c>
      <c r="P1426" s="180">
        <f>+L1426-E1426</f>
        <v>2777.8799999999974</v>
      </c>
      <c r="Q1426" s="181">
        <f>+M1426-F1426</f>
        <v>4.9600000000000009</v>
      </c>
      <c r="R1426" s="9"/>
    </row>
    <row r="1427" spans="1:18" x14ac:dyDescent="0.25">
      <c r="A1427" s="9" t="s">
        <v>307</v>
      </c>
      <c r="B1427" s="9">
        <f>ROW() - ROW(TablaCosechas[[#Headers],[ID]]) - 4</f>
        <v>1422</v>
      </c>
      <c r="C1427" s="9" t="str">
        <f>LEFT(A1427,2)</f>
        <v>DO</v>
      </c>
      <c r="D1427" s="182" t="s">
        <v>366</v>
      </c>
      <c r="E1427" s="178">
        <f>45000+5600</f>
        <v>50600</v>
      </c>
      <c r="F1427" s="19">
        <v>38</v>
      </c>
      <c r="G1427" s="195">
        <v>46105</v>
      </c>
      <c r="H1427" s="9" t="str">
        <f>VLOOKUP(TablaCosechas[[#This Row],[COD]],DATOS!$E$3:$F$27,2,0)</f>
        <v>DORADO</v>
      </c>
      <c r="I1427" s="9" t="str">
        <f>RIGHT(TablaCosechas[[#This Row],[SECTOR/PISCINA]],2)</f>
        <v>24</v>
      </c>
      <c r="J1427" s="9" t="str">
        <f>VLOOKUP(TablaCosechas[[#This Row],[COD]],Tabla7[#All],4,0)</f>
        <v>JOSE CEDEÑO</v>
      </c>
      <c r="K1427" s="179">
        <f>(TablaCosechas[[#This Row],[libras planta]]*454)/M1427</f>
        <v>612031.83499214251</v>
      </c>
      <c r="L1427" s="215">
        <v>51469.99</v>
      </c>
      <c r="M1427" s="19">
        <v>38.18</v>
      </c>
      <c r="N1427" s="9" t="str">
        <f>UPPER(TEXT(TablaCosechas[[#This Row],[COSECHA]],"MMMM"))</f>
        <v>MARZO</v>
      </c>
      <c r="O1427" s="9" t="str">
        <f>IF(A1427="DO 29","BAP",IF(A1427="RO 14","BAP",(VLOOKUP(TablaCosechas[[#This Row],[COD]],Tabla7[[CODIGO]:[CERTIFICACION]],3,0))))</f>
        <v>ASC</v>
      </c>
      <c r="P1427" s="180">
        <f>+L1427-E1427</f>
        <v>869.98999999999796</v>
      </c>
      <c r="Q1427" s="181">
        <f>+M1427-F1427</f>
        <v>0.17999999999999972</v>
      </c>
      <c r="R1427" s="9"/>
    </row>
    <row r="1428" spans="1:18" x14ac:dyDescent="0.25">
      <c r="A1428" s="9" t="s">
        <v>130</v>
      </c>
      <c r="B1428" s="9">
        <f>ROW() - ROW(TablaCosechas[[#Headers],[ID]]) - 4</f>
        <v>1423</v>
      </c>
      <c r="C1428" s="9" t="str">
        <f>LEFT(A1428,2)</f>
        <v>DE</v>
      </c>
      <c r="D1428" s="182" t="s">
        <v>367</v>
      </c>
      <c r="E1428" s="178">
        <v>12000</v>
      </c>
      <c r="F1428" s="19">
        <v>29</v>
      </c>
      <c r="G1428" s="195">
        <v>46105</v>
      </c>
      <c r="H1428" s="9" t="str">
        <f>VLOOKUP(TablaCosechas[[#This Row],[COD]],DATOS!$E$3:$F$27,2,0)</f>
        <v>DELFIN</v>
      </c>
      <c r="I1428" s="9" t="str">
        <f>RIGHT(TablaCosechas[[#This Row],[SECTOR/PISCINA]],2)</f>
        <v>27</v>
      </c>
      <c r="J1428" s="9" t="str">
        <f>VLOOKUP(TablaCosechas[[#This Row],[COD]],Tabla7[#All],4,0)</f>
        <v>CARLOS FLORES</v>
      </c>
      <c r="K1428" s="179">
        <f>(TablaCosechas[[#This Row],[libras planta]]*454)/M1428</f>
        <v>182842.07547169813</v>
      </c>
      <c r="L1428" s="215">
        <v>12380.1</v>
      </c>
      <c r="M1428" s="19">
        <v>30.74</v>
      </c>
      <c r="N1428" s="9" t="str">
        <f>UPPER(TEXT(TablaCosechas[[#This Row],[COSECHA]],"MMMM"))</f>
        <v>MARZO</v>
      </c>
      <c r="O1428" s="9" t="str">
        <f>IF(A1428="DO 29","BAP",IF(A1428="RO 14","BAP",(VLOOKUP(TablaCosechas[[#This Row],[COD]],Tabla7[[CODIGO]:[CERTIFICACION]],3,0))))</f>
        <v>CONVENCIONAL</v>
      </c>
      <c r="P1428" s="180">
        <f>+L1428-E1428</f>
        <v>380.10000000000036</v>
      </c>
      <c r="Q1428" s="181">
        <f>+M1428-F1428</f>
        <v>1.7399999999999984</v>
      </c>
      <c r="R1428" s="9"/>
    </row>
    <row r="1429" spans="1:18" x14ac:dyDescent="0.25">
      <c r="A1429" s="9" t="s">
        <v>174</v>
      </c>
      <c r="B1429" s="9">
        <f>ROW() - ROW(TablaCosechas[[#Headers],[ID]]) - 4</f>
        <v>1424</v>
      </c>
      <c r="C1429" s="9" t="str">
        <f>LEFT(A1429,2)</f>
        <v>DE</v>
      </c>
      <c r="D1429" s="182" t="s">
        <v>367</v>
      </c>
      <c r="E1429" s="178">
        <v>10000</v>
      </c>
      <c r="F1429" s="19">
        <v>16</v>
      </c>
      <c r="G1429" s="195">
        <v>46105</v>
      </c>
      <c r="H1429" s="9" t="str">
        <f>VLOOKUP(TablaCosechas[[#This Row],[COD]],DATOS!$E$3:$F$27,2,0)</f>
        <v>DELFIN</v>
      </c>
      <c r="I1429" s="9" t="str">
        <f>RIGHT(TablaCosechas[[#This Row],[SECTOR/PISCINA]],2)</f>
        <v>07</v>
      </c>
      <c r="J1429" s="9" t="str">
        <f>VLOOKUP(TablaCosechas[[#This Row],[COD]],Tabla7[#All],4,0)</f>
        <v>CARLOS FLORES</v>
      </c>
      <c r="K1429" s="179">
        <f>(TablaCosechas[[#This Row],[libras planta]]*454)/M1429</f>
        <v>304334.53461538465</v>
      </c>
      <c r="L1429" s="215">
        <v>10457.31</v>
      </c>
      <c r="M1429" s="19">
        <v>15.6</v>
      </c>
      <c r="N1429" s="9" t="str">
        <f>UPPER(TEXT(TablaCosechas[[#This Row],[COSECHA]],"MMMM"))</f>
        <v>MARZO</v>
      </c>
      <c r="O1429" s="9" t="str">
        <f>IF(A1429="DO 29","BAP",IF(A1429="RO 14","BAP",(VLOOKUP(TablaCosechas[[#This Row],[COD]],Tabla7[[CODIGO]:[CERTIFICACION]],3,0))))</f>
        <v>CONVENCIONAL</v>
      </c>
      <c r="P1429" s="180">
        <f>+L1429-E1429</f>
        <v>457.30999999999949</v>
      </c>
      <c r="Q1429" s="181">
        <f>+M1429-F1429</f>
        <v>-0.40000000000000036</v>
      </c>
      <c r="R1429" s="9"/>
    </row>
    <row r="1430" spans="1:18" x14ac:dyDescent="0.25">
      <c r="A1430" s="9" t="s">
        <v>110</v>
      </c>
      <c r="B1430" s="9">
        <f>ROW() - ROW(TablaCosechas[[#Headers],[ID]]) - 4</f>
        <v>1425</v>
      </c>
      <c r="C1430" s="9" t="str">
        <f>LEFT(A1430,2)</f>
        <v>CA</v>
      </c>
      <c r="D1430" s="182" t="s">
        <v>367</v>
      </c>
      <c r="E1430" s="178">
        <v>5100</v>
      </c>
      <c r="F1430" s="19">
        <v>30</v>
      </c>
      <c r="G1430" s="195">
        <v>46105</v>
      </c>
      <c r="H1430" s="9" t="str">
        <f>VLOOKUP(TablaCosechas[[#This Row],[COD]],DATOS!$E$3:$F$27,2,0)</f>
        <v>CATANUDA</v>
      </c>
      <c r="I1430" s="9" t="str">
        <f>RIGHT(TablaCosechas[[#This Row],[SECTOR/PISCINA]],2)</f>
        <v>17</v>
      </c>
      <c r="J1430" s="9" t="str">
        <f>VLOOKUP(TablaCosechas[[#This Row],[COD]],Tabla7[#All],4,0)</f>
        <v>VICTOR QUINTANA</v>
      </c>
      <c r="K1430" s="179">
        <f>(TablaCosechas[[#This Row],[libras planta]]*454)/M1430</f>
        <v>88857.987029831376</v>
      </c>
      <c r="L1430" s="215">
        <v>6036.08</v>
      </c>
      <c r="M1430" s="19">
        <v>30.84</v>
      </c>
      <c r="N1430" s="9" t="str">
        <f>UPPER(TEXT(TablaCosechas[[#This Row],[COSECHA]],"MMMM"))</f>
        <v>MARZO</v>
      </c>
      <c r="O1430" s="9" t="str">
        <f>IF(A1430="DO 29","BAP",IF(A1430="RO 14","BAP",(VLOOKUP(TablaCosechas[[#This Row],[COD]],Tabla7[[CODIGO]:[CERTIFICACION]],3,0))))</f>
        <v>ASC</v>
      </c>
      <c r="P1430" s="180">
        <f>+L1430-E1430</f>
        <v>936.07999999999993</v>
      </c>
      <c r="Q1430" s="181">
        <f>+M1430-F1430</f>
        <v>0.83999999999999986</v>
      </c>
      <c r="R1430" s="9"/>
    </row>
    <row r="1431" spans="1:18" x14ac:dyDescent="0.25">
      <c r="A1431" s="9" t="s">
        <v>311</v>
      </c>
      <c r="B1431" s="9">
        <f>ROW() - ROW(TablaCosechas[[#Headers],[ID]]) - 4</f>
        <v>1426</v>
      </c>
      <c r="C1431" s="9" t="str">
        <f>LEFT(A1431,2)</f>
        <v>WA</v>
      </c>
      <c r="D1431" s="182" t="s">
        <v>366</v>
      </c>
      <c r="E1431" s="178">
        <f>13600+4200</f>
        <v>17800</v>
      </c>
      <c r="F1431" s="19">
        <v>18</v>
      </c>
      <c r="G1431" s="195">
        <v>46106</v>
      </c>
      <c r="H1431" s="9" t="str">
        <f>VLOOKUP(TablaCosechas[[#This Row],[COD]],DATOS!$E$3:$F$27,2,0)</f>
        <v>WAHOO</v>
      </c>
      <c r="I1431" s="9" t="str">
        <f>RIGHT(TablaCosechas[[#This Row],[SECTOR/PISCINA]],2)</f>
        <v>01</v>
      </c>
      <c r="J1431" s="9" t="str">
        <f>VLOOKUP(TablaCosechas[[#This Row],[COD]],Tabla7[#All],4,0)</f>
        <v>JUNIOR ESQUIVEL</v>
      </c>
      <c r="K1431" s="179">
        <f>(TablaCosechas[[#This Row],[libras planta]]*454)/M1431</f>
        <v>505175.9163043478</v>
      </c>
      <c r="L1431" s="215">
        <v>20474.09</v>
      </c>
      <c r="M1431" s="19">
        <v>18.399999999999999</v>
      </c>
      <c r="N1431" s="9" t="str">
        <f>UPPER(TEXT(TablaCosechas[[#This Row],[COSECHA]],"MMMM"))</f>
        <v>MARZO</v>
      </c>
      <c r="O1431" s="9" t="str">
        <f>IF(A1431="DO 29","BAP",IF(A1431="RO 14","BAP",(VLOOKUP(TablaCosechas[[#This Row],[COD]],Tabla7[[CODIGO]:[CERTIFICACION]],3,0))))</f>
        <v>CONVENCIONAL</v>
      </c>
      <c r="P1431" s="180">
        <f>+L1431-E1431</f>
        <v>2674.09</v>
      </c>
      <c r="Q1431" s="49">
        <f>+M1431-F1431</f>
        <v>0.39999999999999858</v>
      </c>
      <c r="R1431" s="9"/>
    </row>
    <row r="1432" spans="1:18" x14ac:dyDescent="0.25">
      <c r="A1432" s="9" t="s">
        <v>173</v>
      </c>
      <c r="B1432" s="9">
        <f>ROW() - ROW(TablaCosechas[[#Headers],[ID]]) - 4</f>
        <v>1427</v>
      </c>
      <c r="C1432" s="9" t="str">
        <f>LEFT(A1432,2)</f>
        <v>TI</v>
      </c>
      <c r="D1432" s="182" t="s">
        <v>367</v>
      </c>
      <c r="E1432" s="178">
        <v>12000</v>
      </c>
      <c r="F1432" s="19">
        <v>22</v>
      </c>
      <c r="G1432" s="195">
        <v>46106</v>
      </c>
      <c r="H1432" s="9" t="str">
        <f>VLOOKUP(TablaCosechas[[#This Row],[COD]],DATOS!$E$3:$F$27,2,0)</f>
        <v>TIBURON</v>
      </c>
      <c r="I1432" s="9" t="str">
        <f>RIGHT(TablaCosechas[[#This Row],[SECTOR/PISCINA]],2)</f>
        <v>01</v>
      </c>
      <c r="J1432" s="9" t="str">
        <f>VLOOKUP(TablaCosechas[[#This Row],[COD]],Tabla7[#All],4,0)</f>
        <v>ALFONSO GRUNAUER</v>
      </c>
      <c r="K1432" s="179">
        <f>(TablaCosechas[[#This Row],[libras planta]]*454)/M1432</f>
        <v>248172.09286328458</v>
      </c>
      <c r="L1432" s="215">
        <v>12714.72</v>
      </c>
      <c r="M1432" s="19">
        <v>23.26</v>
      </c>
      <c r="N1432" s="9" t="str">
        <f>UPPER(TEXT(TablaCosechas[[#This Row],[COSECHA]],"MMMM"))</f>
        <v>MARZO</v>
      </c>
      <c r="O1432" s="9" t="str">
        <f>IF(A1432="DO 29","BAP",IF(A1432="RO 14","BAP",(VLOOKUP(TablaCosechas[[#This Row],[COD]],Tabla7[[CODIGO]:[CERTIFICACION]],3,0))))</f>
        <v>ASC</v>
      </c>
      <c r="P1432" s="180">
        <f>+L1432-E1432</f>
        <v>714.71999999999935</v>
      </c>
      <c r="Q1432" s="49">
        <f>+M1432-F1432</f>
        <v>1.2600000000000016</v>
      </c>
      <c r="R1432" s="9"/>
    </row>
    <row r="1433" spans="1:18" x14ac:dyDescent="0.25">
      <c r="A1433" s="9" t="s">
        <v>171</v>
      </c>
      <c r="B1433" s="9">
        <f>ROW() - ROW(TablaCosechas[[#Headers],[ID]]) - 4</f>
        <v>1428</v>
      </c>
      <c r="C1433" s="9" t="str">
        <f>LEFT(A1433,2)</f>
        <v>TA</v>
      </c>
      <c r="D1433" s="182" t="s">
        <v>367</v>
      </c>
      <c r="E1433" s="178">
        <v>6000</v>
      </c>
      <c r="F1433" s="19">
        <v>20</v>
      </c>
      <c r="G1433" s="195">
        <v>46106</v>
      </c>
      <c r="H1433" s="9" t="str">
        <f>VLOOKUP(TablaCosechas[[#This Row],[COD]],DATOS!$E$3:$F$27,2,0)</f>
        <v>TAMBULERO</v>
      </c>
      <c r="I1433" s="9" t="str">
        <f>RIGHT(TablaCosechas[[#This Row],[SECTOR/PISCINA]],2)</f>
        <v>13</v>
      </c>
      <c r="J1433" s="9" t="str">
        <f>VLOOKUP(TablaCosechas[[#This Row],[COD]],Tabla7[#All],4,0)</f>
        <v>ALFONSO GRUNAUER</v>
      </c>
      <c r="K1433" s="179">
        <f>(TablaCosechas[[#This Row],[libras planta]]*454)/M1433</f>
        <v>136379.37911571024</v>
      </c>
      <c r="L1433" s="215">
        <v>6386.4</v>
      </c>
      <c r="M1433" s="19">
        <v>21.26</v>
      </c>
      <c r="N1433" s="9" t="str">
        <f>UPPER(TEXT(TablaCosechas[[#This Row],[COSECHA]],"MMMM"))</f>
        <v>MARZO</v>
      </c>
      <c r="O1433" s="9" t="str">
        <f>IF(A1433="DO 29","BAP",IF(A1433="RO 14","BAP",(VLOOKUP(TablaCosechas[[#This Row],[COD]],Tabla7[[CODIGO]:[CERTIFICACION]],3,0))))</f>
        <v>CONVENCIONAL</v>
      </c>
      <c r="P1433" s="180">
        <f>+L1433-E1433</f>
        <v>386.39999999999964</v>
      </c>
      <c r="Q1433" s="49">
        <f>+M1433-F1433</f>
        <v>1.2600000000000016</v>
      </c>
      <c r="R1433" s="9"/>
    </row>
    <row r="1434" spans="1:18" x14ac:dyDescent="0.25">
      <c r="A1434" s="9" t="s">
        <v>332</v>
      </c>
      <c r="B1434" s="9">
        <f>ROW() - ROW(TablaCosechas[[#Headers],[ID]]) - 4</f>
        <v>1429</v>
      </c>
      <c r="C1434" s="9" t="str">
        <f>LEFT(A1434,2)</f>
        <v>PA</v>
      </c>
      <c r="D1434" s="182" t="s">
        <v>367</v>
      </c>
      <c r="E1434" s="178">
        <v>19600</v>
      </c>
      <c r="F1434" s="19">
        <v>28</v>
      </c>
      <c r="G1434" s="195">
        <v>46106</v>
      </c>
      <c r="H1434" s="9" t="str">
        <f>VLOOKUP(TablaCosechas[[#This Row],[COD]],DATOS!$E$3:$F$27,2,0)</f>
        <v>PAMPANO</v>
      </c>
      <c r="I1434" s="9" t="str">
        <f>RIGHT(TablaCosechas[[#This Row],[SECTOR/PISCINA]],2)</f>
        <v>12</v>
      </c>
      <c r="J1434" s="9" t="str">
        <f>VLOOKUP(TablaCosechas[[#This Row],[COD]],Tabla7[#All],4,0)</f>
        <v>GUSTAVO CARRASCO</v>
      </c>
      <c r="K1434" s="179">
        <f>(TablaCosechas[[#This Row],[libras planta]]*454)/M1434</f>
        <v>304630.26890203811</v>
      </c>
      <c r="L1434" s="215">
        <v>20411.57</v>
      </c>
      <c r="M1434" s="19">
        <v>30.42</v>
      </c>
      <c r="N1434" s="9" t="str">
        <f>UPPER(TEXT(TablaCosechas[[#This Row],[COSECHA]],"MMMM"))</f>
        <v>MARZO</v>
      </c>
      <c r="O1434" s="9" t="str">
        <f>IF(A1434="DO 29","BAP",IF(A1434="RO 14","BAP",(VLOOKUP(TablaCosechas[[#This Row],[COD]],Tabla7[[CODIGO]:[CERTIFICACION]],3,0))))</f>
        <v>ASC</v>
      </c>
      <c r="P1434" s="180">
        <f>+L1434-E1434</f>
        <v>811.56999999999971</v>
      </c>
      <c r="Q1434" s="49">
        <f>+M1434-F1434</f>
        <v>2.4200000000000017</v>
      </c>
      <c r="R1434" s="9"/>
    </row>
    <row r="1435" spans="1:18" x14ac:dyDescent="0.25">
      <c r="A1435" s="9" t="s">
        <v>310</v>
      </c>
      <c r="B1435" s="9">
        <f>ROW() - ROW(TablaCosechas[[#Headers],[ID]]) - 4</f>
        <v>1430</v>
      </c>
      <c r="C1435" s="9" t="str">
        <f>LEFT(A1435,2)</f>
        <v>GT</v>
      </c>
      <c r="D1435" s="182" t="s">
        <v>366</v>
      </c>
      <c r="E1435" s="178">
        <v>7600</v>
      </c>
      <c r="F1435" s="19">
        <v>32</v>
      </c>
      <c r="G1435" s="195">
        <v>46106</v>
      </c>
      <c r="H1435" s="9" t="str">
        <f>VLOOKUP(TablaCosechas[[#This Row],[COD]],DATOS!$E$3:$F$27,2,0)</f>
        <v>GUATO</v>
      </c>
      <c r="I1435" s="9" t="str">
        <f>RIGHT(TablaCosechas[[#This Row],[SECTOR/PISCINA]],2)</f>
        <v>13</v>
      </c>
      <c r="J1435" s="9" t="str">
        <f>VLOOKUP(TablaCosechas[[#This Row],[COD]],Tabla7[#All],4,0)</f>
        <v>JULIO SANTOS</v>
      </c>
      <c r="K1435" s="179">
        <f>(TablaCosechas[[#This Row],[libras planta]]*454)/M1435</f>
        <v>114521.42653721683</v>
      </c>
      <c r="L1435" s="215">
        <v>7794.52</v>
      </c>
      <c r="M1435" s="19">
        <v>30.9</v>
      </c>
      <c r="N1435" s="9" t="str">
        <f>UPPER(TEXT(TablaCosechas[[#This Row],[COSECHA]],"MMMM"))</f>
        <v>MARZO</v>
      </c>
      <c r="O1435" s="9" t="str">
        <f>IF(A1435="DO 29","BAP",IF(A1435="RO 14","BAP",(VLOOKUP(TablaCosechas[[#This Row],[COD]],Tabla7[[CODIGO]:[CERTIFICACION]],3,0))))</f>
        <v>CONVENCIONAL</v>
      </c>
      <c r="P1435" s="180">
        <f>+L1435-E1435</f>
        <v>194.52000000000044</v>
      </c>
      <c r="Q1435" s="181">
        <f>+M1435-F1435</f>
        <v>-1.1000000000000014</v>
      </c>
      <c r="R1435" s="9"/>
    </row>
    <row r="1436" spans="1:18" x14ac:dyDescent="0.25">
      <c r="A1436" s="9" t="s">
        <v>132</v>
      </c>
      <c r="B1436" s="9">
        <f>ROW() - ROW(TablaCosechas[[#Headers],[ID]]) - 4</f>
        <v>1431</v>
      </c>
      <c r="C1436" s="9" t="str">
        <f>LEFT(A1436,2)</f>
        <v>DO</v>
      </c>
      <c r="D1436" s="182" t="s">
        <v>367</v>
      </c>
      <c r="E1436" s="178">
        <v>13200</v>
      </c>
      <c r="F1436" s="19">
        <v>26</v>
      </c>
      <c r="G1436" s="195">
        <v>46106</v>
      </c>
      <c r="H1436" s="9" t="str">
        <f>VLOOKUP(TablaCosechas[[#This Row],[COD]],DATOS!$E$3:$F$27,2,0)</f>
        <v>DORADO</v>
      </c>
      <c r="I1436" s="9" t="str">
        <f>RIGHT(TablaCosechas[[#This Row],[SECTOR/PISCINA]],2)</f>
        <v>28</v>
      </c>
      <c r="J1436" s="9" t="str">
        <f>VLOOKUP(TablaCosechas[[#This Row],[COD]],Tabla7[#All],4,0)</f>
        <v>JOSE CEDEÑO</v>
      </c>
      <c r="K1436" s="179">
        <f>(TablaCosechas[[#This Row],[libras planta]]*454)/M1436</f>
        <v>198812.44235924934</v>
      </c>
      <c r="L1436" s="215">
        <v>13067.32</v>
      </c>
      <c r="M1436" s="19">
        <v>29.84</v>
      </c>
      <c r="N1436" s="9" t="str">
        <f>UPPER(TEXT(TablaCosechas[[#This Row],[COSECHA]],"MMMM"))</f>
        <v>MARZO</v>
      </c>
      <c r="O1436" s="9" t="str">
        <f>IF(A1436="DO 29","BAP",IF(A1436="RO 14","BAP",(VLOOKUP(TablaCosechas[[#This Row],[COD]],Tabla7[[CODIGO]:[CERTIFICACION]],3,0))))</f>
        <v>ASC</v>
      </c>
      <c r="P1436" s="180">
        <f>+L1436-E1436</f>
        <v>-132.68000000000029</v>
      </c>
      <c r="Q1436" s="49">
        <f>+M1436-F1436</f>
        <v>3.84</v>
      </c>
      <c r="R1436" s="9"/>
    </row>
    <row r="1437" spans="1:18" x14ac:dyDescent="0.25">
      <c r="A1437" s="9" t="s">
        <v>208</v>
      </c>
      <c r="B1437" s="9">
        <f>ROW() - ROW(TablaCosechas[[#Headers],[ID]]) - 4</f>
        <v>1432</v>
      </c>
      <c r="C1437" s="9" t="str">
        <f>LEFT(A1437,2)</f>
        <v>DO</v>
      </c>
      <c r="D1437" s="182" t="s">
        <v>367</v>
      </c>
      <c r="E1437" s="178">
        <v>14950</v>
      </c>
      <c r="F1437" s="19">
        <v>19</v>
      </c>
      <c r="G1437" s="195">
        <v>46106</v>
      </c>
      <c r="H1437" s="9" t="str">
        <f>VLOOKUP(TablaCosechas[[#This Row],[COD]],DATOS!$E$3:$F$27,2,0)</f>
        <v>DORADO</v>
      </c>
      <c r="I1437" s="9" t="str">
        <f>RIGHT(TablaCosechas[[#This Row],[SECTOR/PISCINA]],2)</f>
        <v>04</v>
      </c>
      <c r="J1437" s="9" t="str">
        <f>VLOOKUP(TablaCosechas[[#This Row],[COD]],Tabla7[#All],4,0)</f>
        <v>JOSE CEDEÑO</v>
      </c>
      <c r="K1437" s="179">
        <f>(TablaCosechas[[#This Row],[libras planta]]*454)/M1437</f>
        <v>354116.3799249531</v>
      </c>
      <c r="L1437" s="215">
        <v>16629.43</v>
      </c>
      <c r="M1437" s="19">
        <v>21.32</v>
      </c>
      <c r="N1437" s="9" t="str">
        <f>UPPER(TEXT(TablaCosechas[[#This Row],[COSECHA]],"MMMM"))</f>
        <v>MARZO</v>
      </c>
      <c r="O1437" s="9" t="str">
        <f>IF(A1437="DO 29","BAP",IF(A1437="RO 14","BAP",(VLOOKUP(TablaCosechas[[#This Row],[COD]],Tabla7[[CODIGO]:[CERTIFICACION]],3,0))))</f>
        <v>ASC</v>
      </c>
      <c r="P1437" s="180">
        <f>+L1437-E1437</f>
        <v>1679.4300000000003</v>
      </c>
      <c r="Q1437" s="181">
        <f>+M1437-F1437</f>
        <v>2.3200000000000003</v>
      </c>
      <c r="R1437" s="9"/>
    </row>
    <row r="1438" spans="1:18" x14ac:dyDescent="0.25">
      <c r="A1438" s="9" t="s">
        <v>309</v>
      </c>
      <c r="B1438" s="9">
        <f>ROW() - ROW(TablaCosechas[[#Headers],[ID]]) - 4</f>
        <v>1433</v>
      </c>
      <c r="C1438" s="9" t="str">
        <f>LEFT(A1438,2)</f>
        <v>DE</v>
      </c>
      <c r="D1438" s="182" t="s">
        <v>366</v>
      </c>
      <c r="E1438" s="178">
        <v>26700</v>
      </c>
      <c r="F1438" s="19">
        <v>33</v>
      </c>
      <c r="G1438" s="195">
        <v>46106</v>
      </c>
      <c r="H1438" s="9" t="str">
        <f>VLOOKUP(TablaCosechas[[#This Row],[COD]],DATOS!$E$3:$F$27,2,0)</f>
        <v>DELFIN</v>
      </c>
      <c r="I1438" s="9" t="str">
        <f>RIGHT(TablaCosechas[[#This Row],[SECTOR/PISCINA]],2)</f>
        <v>05</v>
      </c>
      <c r="J1438" s="9" t="str">
        <f>VLOOKUP(TablaCosechas[[#This Row],[COD]],Tabla7[#All],4,0)</f>
        <v>CARLOS FLORES</v>
      </c>
      <c r="K1438" s="179">
        <f>(TablaCosechas[[#This Row],[libras planta]]*454)/M1438</f>
        <v>320108.20546448079</v>
      </c>
      <c r="L1438" s="215">
        <v>25806.079999999998</v>
      </c>
      <c r="M1438" s="19">
        <v>36.6</v>
      </c>
      <c r="N1438" s="9" t="str">
        <f>UPPER(TEXT(TablaCosechas[[#This Row],[COSECHA]],"MMMM"))</f>
        <v>MARZO</v>
      </c>
      <c r="O1438" s="9" t="str">
        <f>IF(A1438="DO 29","BAP",IF(A1438="RO 14","BAP",(VLOOKUP(TablaCosechas[[#This Row],[COD]],Tabla7[[CODIGO]:[CERTIFICACION]],3,0))))</f>
        <v>CONVENCIONAL</v>
      </c>
      <c r="P1438" s="180">
        <f>+L1438-E1438</f>
        <v>-893.92000000000189</v>
      </c>
      <c r="Q1438" s="49">
        <f>+M1438-F1438</f>
        <v>3.6000000000000014</v>
      </c>
      <c r="R1438" s="9"/>
    </row>
    <row r="1439" spans="1:18" x14ac:dyDescent="0.25">
      <c r="A1439" s="9" t="s">
        <v>333</v>
      </c>
      <c r="B1439" s="9">
        <f>ROW() - ROW(TablaCosechas[[#Headers],[ID]]) - 4</f>
        <v>1434</v>
      </c>
      <c r="C1439" s="9" t="str">
        <f>LEFT(A1439,2)</f>
        <v>WA</v>
      </c>
      <c r="D1439" s="182" t="s">
        <v>367</v>
      </c>
      <c r="E1439" s="178">
        <v>10600</v>
      </c>
      <c r="F1439" s="19">
        <v>25</v>
      </c>
      <c r="G1439" s="195">
        <v>46107</v>
      </c>
      <c r="H1439" s="9" t="str">
        <f>VLOOKUP(TablaCosechas[[#This Row],[COD]],DATOS!$E$3:$F$27,2,0)</f>
        <v>WAHOO</v>
      </c>
      <c r="I1439" s="9" t="str">
        <f>RIGHT(TablaCosechas[[#This Row],[SECTOR/PISCINA]],2)</f>
        <v>02</v>
      </c>
      <c r="J1439" s="9" t="str">
        <f>VLOOKUP(TablaCosechas[[#This Row],[COD]],Tabla7[#All],4,0)</f>
        <v>JUNIOR ESQUIVEL</v>
      </c>
      <c r="K1439" s="179">
        <f>(TablaCosechas[[#This Row],[libras planta]]*454)/M1439</f>
        <v>202834.52226415093</v>
      </c>
      <c r="L1439" s="215">
        <v>11839.46</v>
      </c>
      <c r="M1439" s="205">
        <v>26.5</v>
      </c>
      <c r="N1439" s="9" t="str">
        <f>UPPER(TEXT(TablaCosechas[[#This Row],[COSECHA]],"MMMM"))</f>
        <v>MARZO</v>
      </c>
      <c r="O1439" s="9" t="str">
        <f>IF(A1439="DO 29","BAP",IF(A1439="RO 14","BAP",(VLOOKUP(TablaCosechas[[#This Row],[COD]],Tabla7[[CODIGO]:[CERTIFICACION]],3,0))))</f>
        <v>CONVENCIONAL</v>
      </c>
      <c r="P1439" s="180">
        <f>+L1439-E1439</f>
        <v>1239.4599999999991</v>
      </c>
      <c r="Q1439" s="181">
        <f>+M1439-F1439</f>
        <v>1.5</v>
      </c>
      <c r="R1439" s="9"/>
    </row>
    <row r="1440" spans="1:18" x14ac:dyDescent="0.25">
      <c r="A1440" s="9" t="s">
        <v>313</v>
      </c>
      <c r="B1440" s="9">
        <f>ROW() - ROW(TablaCosechas[[#Headers],[ID]]) - 4</f>
        <v>1435</v>
      </c>
      <c r="C1440" s="9" t="str">
        <f>LEFT(A1440,2)</f>
        <v>TI</v>
      </c>
      <c r="D1440" s="182" t="s">
        <v>366</v>
      </c>
      <c r="E1440" s="178">
        <f>26000+2250</f>
        <v>28250</v>
      </c>
      <c r="F1440" s="19">
        <v>33</v>
      </c>
      <c r="G1440" s="195">
        <v>46107</v>
      </c>
      <c r="H1440" s="9" t="str">
        <f>VLOOKUP(TablaCosechas[[#This Row],[COD]],DATOS!$E$3:$F$27,2,0)</f>
        <v>TIBURON</v>
      </c>
      <c r="I1440" s="9" t="str">
        <f>RIGHT(TablaCosechas[[#This Row],[SECTOR/PISCINA]],2)</f>
        <v>20</v>
      </c>
      <c r="J1440" s="9" t="str">
        <f>VLOOKUP(TablaCosechas[[#This Row],[COD]],Tabla7[#All],4,0)</f>
        <v>ALFONSO GRUNAUER</v>
      </c>
      <c r="K1440" s="179">
        <f>(TablaCosechas[[#This Row],[libras planta]]*454)/M1440</f>
        <v>396995.20545508451</v>
      </c>
      <c r="L1440" s="215">
        <v>29494.82</v>
      </c>
      <c r="M1440" s="205">
        <v>33.729999999999997</v>
      </c>
      <c r="N1440" s="9" t="str">
        <f>UPPER(TEXT(TablaCosechas[[#This Row],[COSECHA]],"MMMM"))</f>
        <v>MARZO</v>
      </c>
      <c r="O1440" s="9" t="str">
        <f>IF(A1440="DO 29","BAP",IF(A1440="RO 14","BAP",(VLOOKUP(TablaCosechas[[#This Row],[COD]],Tabla7[[CODIGO]:[CERTIFICACION]],3,0))))</f>
        <v>ASC</v>
      </c>
      <c r="P1440" s="180">
        <f>+L1440-E1440</f>
        <v>1244.8199999999997</v>
      </c>
      <c r="Q1440" s="49">
        <f>+M1440-F1440</f>
        <v>0.72999999999999687</v>
      </c>
      <c r="R1440" s="9"/>
    </row>
    <row r="1441" spans="1:18" x14ac:dyDescent="0.25">
      <c r="A1441" s="9" t="s">
        <v>188</v>
      </c>
      <c r="B1441" s="9">
        <f>ROW() - ROW(TablaCosechas[[#Headers],[ID]]) - 4</f>
        <v>1436</v>
      </c>
      <c r="C1441" s="9" t="str">
        <f>LEFT(A1441,2)</f>
        <v>TI</v>
      </c>
      <c r="D1441" s="182" t="s">
        <v>367</v>
      </c>
      <c r="E1441" s="178">
        <v>10850</v>
      </c>
      <c r="F1441" s="19">
        <v>19</v>
      </c>
      <c r="G1441" s="195">
        <v>46107</v>
      </c>
      <c r="H1441" s="9" t="str">
        <f>VLOOKUP(TablaCosechas[[#This Row],[COD]],DATOS!$E$3:$F$27,2,0)</f>
        <v>TIBURON</v>
      </c>
      <c r="I1441" s="9" t="str">
        <f>RIGHT(TablaCosechas[[#This Row],[SECTOR/PISCINA]],2)</f>
        <v>03</v>
      </c>
      <c r="J1441" s="9" t="str">
        <f>VLOOKUP(TablaCosechas[[#This Row],[COD]],Tabla7[#All],4,0)</f>
        <v>ALFONSO GRUNAUER</v>
      </c>
      <c r="K1441" s="179">
        <f>(TablaCosechas[[#This Row],[libras planta]]*454)/M1441</f>
        <v>264072.54928131413</v>
      </c>
      <c r="L1441" s="215">
        <v>11330.69</v>
      </c>
      <c r="M1441" s="205">
        <v>19.48</v>
      </c>
      <c r="N1441" s="9" t="str">
        <f>UPPER(TEXT(TablaCosechas[[#This Row],[COSECHA]],"MMMM"))</f>
        <v>MARZO</v>
      </c>
      <c r="O1441" s="9" t="str">
        <f>IF(A1441="DO 29","BAP",IF(A1441="RO 14","BAP",(VLOOKUP(TablaCosechas[[#This Row],[COD]],Tabla7[[CODIGO]:[CERTIFICACION]],3,0))))</f>
        <v>ASC</v>
      </c>
      <c r="P1441" s="180">
        <f>+L1441-E1441</f>
        <v>480.69000000000051</v>
      </c>
      <c r="Q1441" s="181">
        <f>+M1441-F1441</f>
        <v>0.48000000000000043</v>
      </c>
      <c r="R1441" s="9"/>
    </row>
    <row r="1442" spans="1:18" x14ac:dyDescent="0.25">
      <c r="A1442" s="9" t="s">
        <v>180</v>
      </c>
      <c r="B1442" s="9">
        <f>ROW() - ROW(TablaCosechas[[#Headers],[ID]]) - 4</f>
        <v>1437</v>
      </c>
      <c r="C1442" s="9" t="str">
        <f>LEFT(A1442,2)</f>
        <v>TA</v>
      </c>
      <c r="D1442" s="182" t="s">
        <v>367</v>
      </c>
      <c r="E1442" s="178">
        <v>5600</v>
      </c>
      <c r="F1442" s="19">
        <v>19</v>
      </c>
      <c r="G1442" s="195">
        <v>46107</v>
      </c>
      <c r="H1442" s="9" t="str">
        <f>VLOOKUP(TablaCosechas[[#This Row],[COD]],DATOS!$E$3:$F$27,2,0)</f>
        <v>TAMBULERO</v>
      </c>
      <c r="I1442" s="9" t="str">
        <f>RIGHT(TablaCosechas[[#This Row],[SECTOR/PISCINA]],2)</f>
        <v>03</v>
      </c>
      <c r="J1442" s="9" t="str">
        <f>VLOOKUP(TablaCosechas[[#This Row],[COD]],Tabla7[#All],4,0)</f>
        <v>ALFONSO GRUNAUER</v>
      </c>
      <c r="K1442" s="179">
        <f>(TablaCosechas[[#This Row],[libras planta]]*454)/M1442</f>
        <v>127096.44889573703</v>
      </c>
      <c r="L1442" s="215">
        <v>5450.59</v>
      </c>
      <c r="M1442" s="205">
        <v>19.47</v>
      </c>
      <c r="N1442" s="9" t="str">
        <f>UPPER(TEXT(TablaCosechas[[#This Row],[COSECHA]],"MMMM"))</f>
        <v>MARZO</v>
      </c>
      <c r="O1442" s="9" t="str">
        <f>IF(A1442="DO 29","BAP",IF(A1442="RO 14","BAP",(VLOOKUP(TablaCosechas[[#This Row],[COD]],Tabla7[[CODIGO]:[CERTIFICACION]],3,0))))</f>
        <v>CONVENCIONAL</v>
      </c>
      <c r="P1442" s="180">
        <f>+L1442-E1442</f>
        <v>-149.40999999999985</v>
      </c>
      <c r="Q1442" s="181">
        <f>+M1442-F1442</f>
        <v>0.46999999999999886</v>
      </c>
      <c r="R1442" s="9"/>
    </row>
    <row r="1443" spans="1:18" x14ac:dyDescent="0.25">
      <c r="A1443" s="9" t="s">
        <v>325</v>
      </c>
      <c r="B1443" s="9">
        <f>ROW() - ROW(TablaCosechas[[#Headers],[ID]]) - 4</f>
        <v>1438</v>
      </c>
      <c r="C1443" s="9" t="str">
        <f>LEFT(A1443,2)</f>
        <v>PA</v>
      </c>
      <c r="D1443" s="182" t="s">
        <v>367</v>
      </c>
      <c r="E1443" s="178">
        <v>21600</v>
      </c>
      <c r="F1443" s="19">
        <v>28</v>
      </c>
      <c r="G1443" s="195">
        <v>46107</v>
      </c>
      <c r="H1443" s="9" t="str">
        <f>VLOOKUP(TablaCosechas[[#This Row],[COD]],DATOS!$E$3:$F$27,2,0)</f>
        <v>PAMPANO</v>
      </c>
      <c r="I1443" s="9" t="str">
        <f>RIGHT(TablaCosechas[[#This Row],[SECTOR/PISCINA]],2)</f>
        <v>15</v>
      </c>
      <c r="J1443" s="9" t="str">
        <f>VLOOKUP(TablaCosechas[[#This Row],[COD]],Tabla7[#All],4,0)</f>
        <v>GUSTAVO CARRASCO</v>
      </c>
      <c r="K1443" s="179">
        <f>(TablaCosechas[[#This Row],[libras planta]]*454)/M1443</f>
        <v>388888.34792452835</v>
      </c>
      <c r="L1443" s="215">
        <v>22699.43</v>
      </c>
      <c r="M1443" s="205">
        <v>26.5</v>
      </c>
      <c r="N1443" s="9" t="str">
        <f>UPPER(TEXT(TablaCosechas[[#This Row],[COSECHA]],"MMMM"))</f>
        <v>MARZO</v>
      </c>
      <c r="O1443" s="9" t="str">
        <f>IF(A1443="DO 29","BAP",IF(A1443="RO 14","BAP",(VLOOKUP(TablaCosechas[[#This Row],[COD]],Tabla7[[CODIGO]:[CERTIFICACION]],3,0))))</f>
        <v>ASC</v>
      </c>
      <c r="P1443" s="180">
        <f>+L1443-E1443</f>
        <v>1099.4300000000003</v>
      </c>
      <c r="Q1443" s="49">
        <f>+M1443-F1443</f>
        <v>-1.5</v>
      </c>
      <c r="R1443" s="9"/>
    </row>
    <row r="1444" spans="1:18" x14ac:dyDescent="0.25">
      <c r="A1444" s="9" t="s">
        <v>312</v>
      </c>
      <c r="B1444" s="9">
        <f>ROW() - ROW(TablaCosechas[[#Headers],[ID]]) - 4</f>
        <v>1439</v>
      </c>
      <c r="C1444" s="9" t="str">
        <f>LEFT(A1444,2)</f>
        <v>GT</v>
      </c>
      <c r="D1444" s="182" t="s">
        <v>366</v>
      </c>
      <c r="E1444" s="178">
        <v>32700</v>
      </c>
      <c r="F1444" s="19">
        <v>30</v>
      </c>
      <c r="G1444" s="195">
        <v>46107</v>
      </c>
      <c r="H1444" s="9" t="str">
        <f>VLOOKUP(TablaCosechas[[#This Row],[COD]],DATOS!$E$3:$F$27,2,0)</f>
        <v>GUATO</v>
      </c>
      <c r="I1444" s="9" t="str">
        <f>RIGHT(TablaCosechas[[#This Row],[SECTOR/PISCINA]],2)</f>
        <v>12</v>
      </c>
      <c r="J1444" s="9" t="str">
        <f>VLOOKUP(TablaCosechas[[#This Row],[COD]],Tabla7[#All],4,0)</f>
        <v>JULIO SANTOS</v>
      </c>
      <c r="K1444" s="179">
        <f>(TablaCosechas[[#This Row],[libras planta]]*454)/M1444</f>
        <v>520745.40053226874</v>
      </c>
      <c r="L1444" s="215">
        <v>34479.31</v>
      </c>
      <c r="M1444" s="205">
        <v>30.06</v>
      </c>
      <c r="N1444" s="9" t="str">
        <f>UPPER(TEXT(TablaCosechas[[#This Row],[COSECHA]],"MMMM"))</f>
        <v>MARZO</v>
      </c>
      <c r="O1444" s="9" t="str">
        <f>IF(A1444="DO 29","BAP",IF(A1444="RO 14","BAP",(VLOOKUP(TablaCosechas[[#This Row],[COD]],Tabla7[[CODIGO]:[CERTIFICACION]],3,0))))</f>
        <v>CONVENCIONAL</v>
      </c>
      <c r="P1444" s="180">
        <f>+L1444-E1444</f>
        <v>1779.3099999999977</v>
      </c>
      <c r="Q1444" s="49">
        <f>+M1444-F1444</f>
        <v>5.9999999999998721E-2</v>
      </c>
      <c r="R1444" s="9"/>
    </row>
    <row r="1445" spans="1:18" x14ac:dyDescent="0.25">
      <c r="A1445" s="9" t="s">
        <v>184</v>
      </c>
      <c r="B1445" s="9">
        <f>ROW() - ROW(TablaCosechas[[#Headers],[ID]]) - 4</f>
        <v>1440</v>
      </c>
      <c r="C1445" s="9" t="str">
        <f>LEFT(A1445,2)</f>
        <v>DO</v>
      </c>
      <c r="D1445" s="182" t="s">
        <v>367</v>
      </c>
      <c r="E1445" s="178">
        <v>18600</v>
      </c>
      <c r="F1445" s="19">
        <v>28</v>
      </c>
      <c r="G1445" s="195">
        <v>46107</v>
      </c>
      <c r="H1445" s="9" t="str">
        <f>VLOOKUP(TablaCosechas[[#This Row],[COD]],DATOS!$E$3:$F$27,2,0)</f>
        <v>DORADO</v>
      </c>
      <c r="I1445" s="9" t="str">
        <f>RIGHT(TablaCosechas[[#This Row],[SECTOR/PISCINA]],2)</f>
        <v>19</v>
      </c>
      <c r="J1445" s="9" t="str">
        <f>VLOOKUP(TablaCosechas[[#This Row],[COD]],Tabla7[#All],4,0)</f>
        <v>JOSE CEDEÑO</v>
      </c>
      <c r="K1445" s="179">
        <f>(TablaCosechas[[#This Row],[libras planta]]*454)/M1445</f>
        <v>242188.09915682967</v>
      </c>
      <c r="L1445" s="215">
        <v>15816.91</v>
      </c>
      <c r="M1445" s="205">
        <v>29.65</v>
      </c>
      <c r="N1445" s="9" t="str">
        <f>UPPER(TEXT(TablaCosechas[[#This Row],[COSECHA]],"MMMM"))</f>
        <v>MARZO</v>
      </c>
      <c r="O1445" s="9" t="str">
        <f>IF(A1445="DO 29","BAP",IF(A1445="RO 14","BAP",(VLOOKUP(TablaCosechas[[#This Row],[COD]],Tabla7[[CODIGO]:[CERTIFICACION]],3,0))))</f>
        <v>ASC</v>
      </c>
      <c r="P1445" s="180">
        <f>+L1445-E1445</f>
        <v>-2783.09</v>
      </c>
      <c r="Q1445" s="49">
        <f>+M1445-F1445</f>
        <v>1.6499999999999986</v>
      </c>
      <c r="R1445" s="9"/>
    </row>
    <row r="1446" spans="1:18" x14ac:dyDescent="0.25">
      <c r="A1446" s="9" t="s">
        <v>177</v>
      </c>
      <c r="B1446" s="9">
        <f>ROW() - ROW(TablaCosechas[[#Headers],[ID]]) - 4</f>
        <v>1441</v>
      </c>
      <c r="C1446" s="9" t="str">
        <f>LEFT(A1446,2)</f>
        <v>DE</v>
      </c>
      <c r="D1446" s="182" t="s">
        <v>367</v>
      </c>
      <c r="E1446" s="178">
        <v>7200</v>
      </c>
      <c r="F1446" s="19">
        <v>17</v>
      </c>
      <c r="G1446" s="195">
        <v>46107</v>
      </c>
      <c r="H1446" s="9" t="str">
        <f>VLOOKUP(TablaCosechas[[#This Row],[COD]],DATOS!$E$3:$F$27,2,0)</f>
        <v>DELFIN</v>
      </c>
      <c r="I1446" s="9" t="str">
        <f>RIGHT(TablaCosechas[[#This Row],[SECTOR/PISCINA]],2)</f>
        <v>09</v>
      </c>
      <c r="J1446" s="9" t="str">
        <f>VLOOKUP(TablaCosechas[[#This Row],[COD]],Tabla7[#All],4,0)</f>
        <v>CARLOS FLORES</v>
      </c>
      <c r="K1446" s="179">
        <f>(TablaCosechas[[#This Row],[libras planta]]*454)/M1446</f>
        <v>161090.18089430893</v>
      </c>
      <c r="L1446" s="215">
        <v>6982.94</v>
      </c>
      <c r="M1446" s="205">
        <v>19.68</v>
      </c>
      <c r="N1446" s="9" t="str">
        <f>UPPER(TEXT(TablaCosechas[[#This Row],[COSECHA]],"MMMM"))</f>
        <v>MARZO</v>
      </c>
      <c r="O1446" s="9" t="str">
        <f>IF(A1446="DO 29","BAP",IF(A1446="RO 14","BAP",(VLOOKUP(TablaCosechas[[#This Row],[COD]],Tabla7[[CODIGO]:[CERTIFICACION]],3,0))))</f>
        <v>CONVENCIONAL</v>
      </c>
      <c r="P1446" s="180">
        <f>+L1446-E1446</f>
        <v>-217.0600000000004</v>
      </c>
      <c r="Q1446" s="181">
        <v>0</v>
      </c>
      <c r="R1446" s="9"/>
    </row>
    <row r="1447" spans="1:18" x14ac:dyDescent="0.25">
      <c r="A1447" s="9" t="s">
        <v>196</v>
      </c>
      <c r="B1447" s="9">
        <f>ROW() - ROW(TablaCosechas[[#Headers],[ID]]) - 4</f>
        <v>1442</v>
      </c>
      <c r="C1447" s="9" t="str">
        <f>LEFT(A1447,2)</f>
        <v>DE</v>
      </c>
      <c r="D1447" s="182" t="s">
        <v>367</v>
      </c>
      <c r="E1447" s="178">
        <v>6400</v>
      </c>
      <c r="F1447" s="19">
        <v>17</v>
      </c>
      <c r="G1447" s="195">
        <v>46107</v>
      </c>
      <c r="H1447" s="9" t="str">
        <f>VLOOKUP(TablaCosechas[[#This Row],[COD]],DATOS!$E$3:$F$27,2,0)</f>
        <v>DELFIN</v>
      </c>
      <c r="I1447" s="9" t="str">
        <f>RIGHT(TablaCosechas[[#This Row],[SECTOR/PISCINA]],2)</f>
        <v>03</v>
      </c>
      <c r="J1447" s="9" t="str">
        <f>VLOOKUP(TablaCosechas[[#This Row],[COD]],Tabla7[#All],4,0)</f>
        <v>CARLOS FLORES</v>
      </c>
      <c r="K1447" s="179">
        <f>(TablaCosechas[[#This Row],[libras planta]]*454)/M1447</f>
        <v>157459.36026563364</v>
      </c>
      <c r="L1447" s="215">
        <v>6267.16</v>
      </c>
      <c r="M1447" s="205">
        <v>18.07</v>
      </c>
      <c r="N1447" s="9" t="str">
        <f>UPPER(TEXT(TablaCosechas[[#This Row],[COSECHA]],"MMMM"))</f>
        <v>MARZO</v>
      </c>
      <c r="O1447" s="9" t="str">
        <f>IF(A1447="DO 29","BAP",IF(A1447="RO 14","BAP",(VLOOKUP(TablaCosechas[[#This Row],[COD]],Tabla7[[CODIGO]:[CERTIFICACION]],3,0))))</f>
        <v>CONVENCIONAL</v>
      </c>
      <c r="P1447" s="180">
        <f>+L1447-E1447</f>
        <v>-132.84000000000015</v>
      </c>
      <c r="Q1447" s="49">
        <v>0</v>
      </c>
      <c r="R1447" s="9"/>
    </row>
    <row r="1448" spans="1:18" x14ac:dyDescent="0.25">
      <c r="A1448" s="9" t="s">
        <v>24</v>
      </c>
      <c r="B1448" s="9">
        <f>ROW() - ROW(TablaCosechas[[#Headers],[ID]]) - 4</f>
        <v>1443</v>
      </c>
      <c r="C1448" s="9" t="str">
        <f>LEFT(A1448,2)</f>
        <v>CH</v>
      </c>
      <c r="D1448" s="182" t="s">
        <v>367</v>
      </c>
      <c r="E1448" s="178">
        <v>9800</v>
      </c>
      <c r="F1448" s="19">
        <v>28</v>
      </c>
      <c r="G1448" s="195">
        <v>46107</v>
      </c>
      <c r="H1448" s="9" t="str">
        <f>VLOOKUP(TablaCosechas[[#This Row],[COD]],DATOS!$E$3:$F$27,2,0)</f>
        <v>CHERNA</v>
      </c>
      <c r="I1448" s="9" t="str">
        <f>RIGHT(TablaCosechas[[#This Row],[SECTOR/PISCINA]],2)</f>
        <v>20</v>
      </c>
      <c r="J1448" s="9" t="str">
        <f>VLOOKUP(TablaCosechas[[#This Row],[COD]],Tabla7[#All],4,0)</f>
        <v>SANTIAGO OBRIEN</v>
      </c>
      <c r="K1448" s="179">
        <f>(TablaCosechas[[#This Row],[libras planta]]*454)/M1448</f>
        <v>161569.38930774503</v>
      </c>
      <c r="L1448" s="215">
        <v>10384.57</v>
      </c>
      <c r="M1448" s="205">
        <v>29.18</v>
      </c>
      <c r="N1448" s="9" t="str">
        <f>UPPER(TEXT(TablaCosechas[[#This Row],[COSECHA]],"MMMM"))</f>
        <v>MARZO</v>
      </c>
      <c r="O1448" s="9" t="str">
        <f>IF(A1448="DO 29","BAP",IF(A1448="RO 14","BAP",(VLOOKUP(TablaCosechas[[#This Row],[COD]],Tabla7[[CODIGO]:[CERTIFICACION]],3,0))))</f>
        <v>ASC</v>
      </c>
      <c r="P1448" s="180">
        <f>+L1448-E1448</f>
        <v>584.56999999999971</v>
      </c>
      <c r="Q1448" s="181">
        <f>+M1448-F1448</f>
        <v>1.1799999999999997</v>
      </c>
      <c r="R1448" s="9"/>
    </row>
    <row r="1449" spans="1:18" x14ac:dyDescent="0.25">
      <c r="A1449" s="9" t="s">
        <v>114</v>
      </c>
      <c r="B1449" s="9">
        <f>ROW() - ROW(TablaCosechas[[#Headers],[ID]]) - 4</f>
        <v>1444</v>
      </c>
      <c r="C1449" s="9" t="str">
        <f>LEFT(A1449,2)</f>
        <v>CA</v>
      </c>
      <c r="D1449" s="182" t="s">
        <v>367</v>
      </c>
      <c r="E1449" s="178">
        <v>5150</v>
      </c>
      <c r="F1449" s="19">
        <v>31</v>
      </c>
      <c r="G1449" s="195">
        <v>46107</v>
      </c>
      <c r="H1449" s="9" t="str">
        <f>VLOOKUP(TablaCosechas[[#This Row],[COD]],DATOS!$E$3:$F$27,2,0)</f>
        <v>CATANUDA</v>
      </c>
      <c r="I1449" s="9" t="str">
        <f>RIGHT(TablaCosechas[[#This Row],[SECTOR/PISCINA]],2)</f>
        <v>18</v>
      </c>
      <c r="J1449" s="9" t="str">
        <f>VLOOKUP(TablaCosechas[[#This Row],[COD]],Tabla7[#All],4,0)</f>
        <v>VICTOR QUINTANA</v>
      </c>
      <c r="K1449" s="179">
        <f>(TablaCosechas[[#This Row],[libras planta]]*454)/M1449</f>
        <v>86751.562214983715</v>
      </c>
      <c r="L1449" s="215">
        <v>5866.24</v>
      </c>
      <c r="M1449" s="205">
        <v>30.7</v>
      </c>
      <c r="N1449" s="9" t="str">
        <f>UPPER(TEXT(TablaCosechas[[#This Row],[COSECHA]],"MMMM"))</f>
        <v>MARZO</v>
      </c>
      <c r="O1449" s="9" t="str">
        <f>IF(A1449="DO 29","BAP",IF(A1449="RO 14","BAP",(VLOOKUP(TablaCosechas[[#This Row],[COD]],Tabla7[[CODIGO]:[CERTIFICACION]],3,0))))</f>
        <v>ASC</v>
      </c>
      <c r="P1449" s="180">
        <f>+L1449-E1449</f>
        <v>716.23999999999978</v>
      </c>
      <c r="Q1449" s="49">
        <f>+M1449-F1449</f>
        <v>-0.30000000000000071</v>
      </c>
      <c r="R1449" s="9"/>
    </row>
    <row r="1450" spans="1:18" x14ac:dyDescent="0.25">
      <c r="A1450" s="9" t="s">
        <v>345</v>
      </c>
      <c r="B1450" s="9">
        <f>ROW() - ROW(TablaCosechas[[#Headers],[ID]]) - 4</f>
        <v>1445</v>
      </c>
      <c r="C1450" s="9" t="str">
        <f>LEFT(A1450,2)</f>
        <v>WA</v>
      </c>
      <c r="D1450" s="182" t="s">
        <v>367</v>
      </c>
      <c r="E1450" s="178">
        <v>11400</v>
      </c>
      <c r="F1450" s="19">
        <v>30</v>
      </c>
      <c r="G1450" s="195">
        <v>46108</v>
      </c>
      <c r="H1450" s="9" t="str">
        <f>VLOOKUP(TablaCosechas[[#This Row],[COD]],DATOS!$E$3:$F$27,2,0)</f>
        <v>WAHOO</v>
      </c>
      <c r="I1450" s="9" t="str">
        <f>RIGHT(TablaCosechas[[#This Row],[SECTOR/PISCINA]],2)</f>
        <v>35</v>
      </c>
      <c r="J1450" s="9" t="str">
        <f>VLOOKUP(TablaCosechas[[#This Row],[COD]],Tabla7[#All],4,0)</f>
        <v>JUNIOR ESQUIVEL</v>
      </c>
      <c r="K1450" s="179">
        <f>(TablaCosechas[[#This Row],[libras planta]]*454)/M1450</f>
        <v>189733.98784604995</v>
      </c>
      <c r="L1450" s="215">
        <v>12378.68</v>
      </c>
      <c r="M1450" s="19">
        <v>29.62</v>
      </c>
      <c r="N1450" s="9" t="str">
        <f>UPPER(TEXT(TablaCosechas[[#This Row],[COSECHA]],"MMMM"))</f>
        <v>MARZO</v>
      </c>
      <c r="O1450" s="9" t="str">
        <f>IF(A1450="DO 29","BAP",IF(A1450="RO 14","BAP",(VLOOKUP(TablaCosechas[[#This Row],[COD]],Tabla7[[CODIGO]:[CERTIFICACION]],3,0))))</f>
        <v>CONVENCIONAL</v>
      </c>
      <c r="P1450" s="180">
        <f>+L1450-E1450</f>
        <v>978.68000000000029</v>
      </c>
      <c r="Q1450" s="181">
        <f>+M1450-F1450</f>
        <v>-0.37999999999999901</v>
      </c>
      <c r="R1450" s="9"/>
    </row>
    <row r="1451" spans="1:18" x14ac:dyDescent="0.25">
      <c r="A1451" s="9" t="s">
        <v>195</v>
      </c>
      <c r="B1451" s="9">
        <f>ROW() - ROW(TablaCosechas[[#Headers],[ID]]) - 4</f>
        <v>1446</v>
      </c>
      <c r="C1451" s="9" t="str">
        <f>LEFT(A1451,2)</f>
        <v>TU</v>
      </c>
      <c r="D1451" s="182" t="s">
        <v>367</v>
      </c>
      <c r="E1451" s="178">
        <v>9000</v>
      </c>
      <c r="F1451" s="19">
        <v>15</v>
      </c>
      <c r="G1451" s="195">
        <v>46108</v>
      </c>
      <c r="H1451" s="9" t="str">
        <f>VLOOKUP(TablaCosechas[[#This Row],[COD]],DATOS!$E$3:$F$27,2,0)</f>
        <v>TUNA</v>
      </c>
      <c r="I1451" s="9" t="str">
        <f>RIGHT(TablaCosechas[[#This Row],[SECTOR/PISCINA]],2)</f>
        <v>01</v>
      </c>
      <c r="J1451" s="9" t="str">
        <f>VLOOKUP(TablaCosechas[[#This Row],[COD]],Tabla7[#All],4,0)</f>
        <v>GUSTAVO CARRASCO</v>
      </c>
      <c r="K1451" s="179">
        <f>(TablaCosechas[[#This Row],[libras planta]]*454)/M1451</f>
        <v>285187.56788511749</v>
      </c>
      <c r="L1451" s="215">
        <v>9623.51</v>
      </c>
      <c r="M1451" s="19">
        <v>15.32</v>
      </c>
      <c r="N1451" s="9" t="str">
        <f>UPPER(TEXT(TablaCosechas[[#This Row],[COSECHA]],"MMMM"))</f>
        <v>MARZO</v>
      </c>
      <c r="O1451" s="9" t="str">
        <f>IF(A1451="DO 29","BAP",IF(A1451="RO 14","BAP",(VLOOKUP(TablaCosechas[[#This Row],[COD]],Tabla7[[CODIGO]:[CERTIFICACION]],3,0))))</f>
        <v>ASC</v>
      </c>
      <c r="P1451" s="180">
        <f>+L1451-E1451</f>
        <v>623.51000000000022</v>
      </c>
      <c r="Q1451" s="181">
        <f>+M1451-F1451</f>
        <v>0.32000000000000028</v>
      </c>
      <c r="R1451" s="9"/>
    </row>
    <row r="1452" spans="1:18" x14ac:dyDescent="0.25">
      <c r="A1452" s="9" t="s">
        <v>315</v>
      </c>
      <c r="B1452" s="9">
        <f>ROW() - ROW(TablaCosechas[[#Headers],[ID]]) - 4</f>
        <v>1447</v>
      </c>
      <c r="C1452" s="9" t="str">
        <f>LEFT(A1452,2)</f>
        <v>TI</v>
      </c>
      <c r="D1452" s="182" t="s">
        <v>366</v>
      </c>
      <c r="E1452" s="178">
        <f>41250+4750</f>
        <v>46000</v>
      </c>
      <c r="F1452" s="19">
        <v>41</v>
      </c>
      <c r="G1452" s="195">
        <v>46108</v>
      </c>
      <c r="H1452" s="9" t="str">
        <f>VLOOKUP(TablaCosechas[[#This Row],[COD]],DATOS!$E$3:$F$27,2,0)</f>
        <v>TIBURON</v>
      </c>
      <c r="I1452" s="9" t="str">
        <f>RIGHT(TablaCosechas[[#This Row],[SECTOR/PISCINA]],2)</f>
        <v>05</v>
      </c>
      <c r="J1452" s="9" t="str">
        <f>VLOOKUP(TablaCosechas[[#This Row],[COD]],Tabla7[#All],4,0)</f>
        <v>ALFONSO GRUNAUER</v>
      </c>
      <c r="K1452" s="179">
        <f>(TablaCosechas[[#This Row],[libras planta]]*454)/M1452</f>
        <v>541442.03393316199</v>
      </c>
      <c r="L1452" s="215">
        <v>46392.28</v>
      </c>
      <c r="M1452" s="19">
        <v>38.9</v>
      </c>
      <c r="N1452" s="9" t="str">
        <f>UPPER(TEXT(TablaCosechas[[#This Row],[COSECHA]],"MMMM"))</f>
        <v>MARZO</v>
      </c>
      <c r="O1452" s="9" t="str">
        <f>IF(A1452="DO 29","BAP",IF(A1452="RO 14","BAP",(VLOOKUP(TablaCosechas[[#This Row],[COD]],Tabla7[[CODIGO]:[CERTIFICACION]],3,0))))</f>
        <v>ASC</v>
      </c>
      <c r="P1452" s="180">
        <f>+L1452-E1452</f>
        <v>392.27999999999884</v>
      </c>
      <c r="Q1452" s="181">
        <f>+M1452-F1452</f>
        <v>-2.1000000000000014</v>
      </c>
      <c r="R1452" s="9"/>
    </row>
    <row r="1453" spans="1:18" x14ac:dyDescent="0.25">
      <c r="A1453" s="9" t="s">
        <v>167</v>
      </c>
      <c r="B1453" s="9">
        <f>ROW() - ROW(TablaCosechas[[#Headers],[ID]]) - 4</f>
        <v>1448</v>
      </c>
      <c r="C1453" s="9" t="str">
        <f>LEFT(A1453,2)</f>
        <v>PA</v>
      </c>
      <c r="D1453" s="182" t="s">
        <v>367</v>
      </c>
      <c r="E1453" s="178">
        <v>3100</v>
      </c>
      <c r="F1453" s="19">
        <v>20.5</v>
      </c>
      <c r="G1453" s="195">
        <v>46108</v>
      </c>
      <c r="H1453" s="9" t="str">
        <f>VLOOKUP(TablaCosechas[[#This Row],[COD]],DATOS!$E$3:$F$27,2,0)</f>
        <v>PAMPANO</v>
      </c>
      <c r="I1453" s="9" t="str">
        <f>RIGHT(TablaCosechas[[#This Row],[SECTOR/PISCINA]],2)</f>
        <v>10</v>
      </c>
      <c r="J1453" s="9" t="str">
        <f>VLOOKUP(TablaCosechas[[#This Row],[COD]],Tabla7[#All],4,0)</f>
        <v>GUSTAVO CARRASCO</v>
      </c>
      <c r="K1453" s="179">
        <f>(TablaCosechas[[#This Row],[libras planta]]*454)/M1453</f>
        <v>64920.842820730672</v>
      </c>
      <c r="L1453" s="215">
        <v>3366.16</v>
      </c>
      <c r="M1453" s="19">
        <v>23.54</v>
      </c>
      <c r="N1453" s="9" t="str">
        <f>UPPER(TEXT(TablaCosechas[[#This Row],[COSECHA]],"MMMM"))</f>
        <v>MARZO</v>
      </c>
      <c r="O1453" s="9" t="str">
        <f>IF(A1453="DO 29","BAP",IF(A1453="RO 14","BAP",(VLOOKUP(TablaCosechas[[#This Row],[COD]],Tabla7[[CODIGO]:[CERTIFICACION]],3,0))))</f>
        <v>ASC</v>
      </c>
      <c r="P1453" s="180">
        <f>+L1453-E1453</f>
        <v>266.15999999999985</v>
      </c>
      <c r="Q1453" s="181">
        <f>+M1453-F1453</f>
        <v>3.0399999999999991</v>
      </c>
      <c r="R1453" s="9"/>
    </row>
    <row r="1454" spans="1:18" x14ac:dyDescent="0.25">
      <c r="A1454" s="9" t="s">
        <v>119</v>
      </c>
      <c r="B1454" s="9">
        <f>ROW() - ROW(TablaCosechas[[#Headers],[ID]]) - 4</f>
        <v>1449</v>
      </c>
      <c r="C1454" s="9" t="str">
        <f>LEFT(A1454,2)</f>
        <v>ME</v>
      </c>
      <c r="D1454" s="182" t="s">
        <v>366</v>
      </c>
      <c r="E1454" s="178">
        <v>6600</v>
      </c>
      <c r="F1454" s="19">
        <v>41</v>
      </c>
      <c r="G1454" s="195">
        <v>46108</v>
      </c>
      <c r="H1454" s="9" t="str">
        <f>VLOOKUP(TablaCosechas[[#This Row],[COD]],DATOS!$E$3:$F$27,2,0)</f>
        <v>MERO</v>
      </c>
      <c r="I1454" s="9" t="str">
        <f>RIGHT(TablaCosechas[[#This Row],[SECTOR/PISCINA]],2)</f>
        <v>13</v>
      </c>
      <c r="J1454" s="9" t="str">
        <f>VLOOKUP(TablaCosechas[[#This Row],[COD]],Tabla7[#All],4,0)</f>
        <v>NESTOR MOGOLLON</v>
      </c>
      <c r="K1454" s="179">
        <f>(TablaCosechas[[#This Row],[libras planta]]*454)/M1454</f>
        <v>66600.72597338591</v>
      </c>
      <c r="L1454" s="215">
        <v>5952.99</v>
      </c>
      <c r="M1454" s="19">
        <v>40.58</v>
      </c>
      <c r="N1454" s="9" t="str">
        <f>UPPER(TEXT(TablaCosechas[[#This Row],[COSECHA]],"MMMM"))</f>
        <v>MARZO</v>
      </c>
      <c r="O1454" s="9" t="str">
        <f>IF(A1454="DO 29","BAP",IF(A1454="RO 14","BAP",(VLOOKUP(TablaCosechas[[#This Row],[COD]],Tabla7[[CODIGO]:[CERTIFICACION]],3,0))))</f>
        <v>CONVENCIONAL</v>
      </c>
      <c r="P1454" s="180">
        <f>+L1454-E1454</f>
        <v>-647.01000000000022</v>
      </c>
      <c r="Q1454" s="181">
        <f>+M1454-F1454</f>
        <v>-0.42000000000000171</v>
      </c>
      <c r="R1454" s="9"/>
    </row>
    <row r="1455" spans="1:18" x14ac:dyDescent="0.25">
      <c r="A1455" s="9" t="s">
        <v>314</v>
      </c>
      <c r="B1455" s="9">
        <f>ROW() - ROW(TablaCosechas[[#Headers],[ID]]) - 4</f>
        <v>1450</v>
      </c>
      <c r="C1455" s="9" t="str">
        <f>LEFT(A1455,2)</f>
        <v>GT</v>
      </c>
      <c r="D1455" s="182" t="s">
        <v>366</v>
      </c>
      <c r="E1455" s="178">
        <v>23250</v>
      </c>
      <c r="F1455" s="19">
        <v>33</v>
      </c>
      <c r="G1455" s="195">
        <v>46108</v>
      </c>
      <c r="H1455" s="9" t="str">
        <f>VLOOKUP(TablaCosechas[[#This Row],[COD]],DATOS!$E$3:$F$27,2,0)</f>
        <v>GUATO</v>
      </c>
      <c r="I1455" s="9" t="str">
        <f>RIGHT(TablaCosechas[[#This Row],[SECTOR/PISCINA]],2)</f>
        <v>10</v>
      </c>
      <c r="J1455" s="9" t="str">
        <f>VLOOKUP(TablaCosechas[[#This Row],[COD]],Tabla7[#All],4,0)</f>
        <v>JULIO SANTOS</v>
      </c>
      <c r="K1455" s="179">
        <f>(TablaCosechas[[#This Row],[libras planta]]*454)/M1455</f>
        <v>367126.24856961216</v>
      </c>
      <c r="L1455" s="215">
        <v>25440.07</v>
      </c>
      <c r="M1455" s="19">
        <v>31.46</v>
      </c>
      <c r="N1455" s="9" t="str">
        <f>UPPER(TEXT(TablaCosechas[[#This Row],[COSECHA]],"MMMM"))</f>
        <v>MARZO</v>
      </c>
      <c r="O1455" s="9" t="str">
        <f>IF(A1455="DO 29","BAP",IF(A1455="RO 14","BAP",(VLOOKUP(TablaCosechas[[#This Row],[COD]],Tabla7[[CODIGO]:[CERTIFICACION]],3,0))))</f>
        <v>CONVENCIONAL</v>
      </c>
      <c r="P1455" s="180">
        <f>+L1455-E1455</f>
        <v>2190.0699999999997</v>
      </c>
      <c r="Q1455" s="49">
        <f>+M1455-F1455</f>
        <v>-1.5399999999999991</v>
      </c>
      <c r="R1455" s="9"/>
    </row>
    <row r="1456" spans="1:18" x14ac:dyDescent="0.25">
      <c r="A1456" s="9" t="s">
        <v>169</v>
      </c>
      <c r="B1456" s="9">
        <f>ROW() - ROW(TablaCosechas[[#Headers],[ID]]) - 4</f>
        <v>1451</v>
      </c>
      <c r="C1456" s="9" t="str">
        <f>LEFT(A1456,2)</f>
        <v>DO</v>
      </c>
      <c r="D1456" s="182" t="s">
        <v>367</v>
      </c>
      <c r="E1456" s="178">
        <v>10500</v>
      </c>
      <c r="F1456" s="19">
        <v>32</v>
      </c>
      <c r="G1456" s="195">
        <v>46108</v>
      </c>
      <c r="H1456" s="9" t="str">
        <f>VLOOKUP(TablaCosechas[[#This Row],[COD]],DATOS!$E$3:$F$27,2,0)</f>
        <v>DORADO</v>
      </c>
      <c r="I1456" s="9" t="str">
        <f>RIGHT(TablaCosechas[[#This Row],[SECTOR/PISCINA]],2)</f>
        <v>12</v>
      </c>
      <c r="J1456" s="9" t="str">
        <f>VLOOKUP(TablaCosechas[[#This Row],[COD]],Tabla7[#All],4,0)</f>
        <v>JOSE CEDEÑO</v>
      </c>
      <c r="K1456" s="179">
        <f>(TablaCosechas[[#This Row],[libras planta]]*454)/M1456</f>
        <v>156257.16123076924</v>
      </c>
      <c r="L1456" s="215">
        <v>11185.81</v>
      </c>
      <c r="M1456" s="19">
        <v>32.5</v>
      </c>
      <c r="N1456" s="9" t="str">
        <f>UPPER(TEXT(TablaCosechas[[#This Row],[COSECHA]],"MMMM"))</f>
        <v>MARZO</v>
      </c>
      <c r="O1456" s="9" t="str">
        <f>IF(A1456="DO 29","BAP",IF(A1456="RO 14","BAP",(VLOOKUP(TablaCosechas[[#This Row],[COD]],Tabla7[[CODIGO]:[CERTIFICACION]],3,0))))</f>
        <v>ASC</v>
      </c>
      <c r="P1456" s="180">
        <f>+L1456-E1456</f>
        <v>685.80999999999949</v>
      </c>
      <c r="Q1456" s="181">
        <f>+M1456-F1456</f>
        <v>0.5</v>
      </c>
      <c r="R1456" s="9"/>
    </row>
    <row r="1457" spans="1:18" x14ac:dyDescent="0.25">
      <c r="A1457" s="9" t="s">
        <v>27</v>
      </c>
      <c r="B1457" s="9">
        <f>ROW() - ROW(TablaCosechas[[#Headers],[ID]]) - 4</f>
        <v>1452</v>
      </c>
      <c r="C1457" s="9" t="str">
        <f>LEFT(A1457,2)</f>
        <v>CH</v>
      </c>
      <c r="D1457" s="182" t="s">
        <v>367</v>
      </c>
      <c r="E1457" s="178">
        <v>6300</v>
      </c>
      <c r="F1457" s="19">
        <v>26.8</v>
      </c>
      <c r="G1457" s="195">
        <v>46108</v>
      </c>
      <c r="H1457" s="9" t="str">
        <f>VLOOKUP(TablaCosechas[[#This Row],[COD]],DATOS!$E$3:$F$27,2,0)</f>
        <v>CHERNA</v>
      </c>
      <c r="I1457" s="9" t="str">
        <f>RIGHT(TablaCosechas[[#This Row],[SECTOR/PISCINA]],2)</f>
        <v>24</v>
      </c>
      <c r="J1457" s="9" t="str">
        <f>VLOOKUP(TablaCosechas[[#This Row],[COD]],Tabla7[#All],4,0)</f>
        <v>SANTIAGO OBRIEN</v>
      </c>
      <c r="K1457" s="179">
        <f>(TablaCosechas[[#This Row],[libras planta]]*454)/M1457</f>
        <v>123303.67600000002</v>
      </c>
      <c r="L1457" s="215">
        <v>6789.85</v>
      </c>
      <c r="M1457" s="19">
        <v>25</v>
      </c>
      <c r="N1457" s="9" t="str">
        <f>UPPER(TEXT(TablaCosechas[[#This Row],[COSECHA]],"MMMM"))</f>
        <v>MARZO</v>
      </c>
      <c r="O1457" s="9" t="str">
        <f>IF(A1457="DO 29","BAP",IF(A1457="RO 14","BAP",(VLOOKUP(TablaCosechas[[#This Row],[COD]],Tabla7[[CODIGO]:[CERTIFICACION]],3,0))))</f>
        <v>ASC</v>
      </c>
      <c r="P1457" s="180">
        <f>+L1457-E1457</f>
        <v>489.85000000000036</v>
      </c>
      <c r="Q1457" s="181">
        <f>+M1457-F1457</f>
        <v>-1.8000000000000007</v>
      </c>
      <c r="R1457" s="9"/>
    </row>
    <row r="1458" spans="1:18" x14ac:dyDescent="0.25">
      <c r="A1458" s="9" t="s">
        <v>339</v>
      </c>
      <c r="B1458" s="9">
        <f>ROW() - ROW(TablaCosechas[[#Headers],[ID]]) - 4</f>
        <v>1453</v>
      </c>
      <c r="C1458" s="9" t="str">
        <f>LEFT(A1458,2)</f>
        <v>WA</v>
      </c>
      <c r="D1458" s="182" t="s">
        <v>367</v>
      </c>
      <c r="E1458" s="178">
        <v>6300</v>
      </c>
      <c r="F1458" s="19">
        <v>32</v>
      </c>
      <c r="G1458" s="195">
        <v>46109</v>
      </c>
      <c r="H1458" s="9" t="str">
        <f>VLOOKUP(TablaCosechas[[#This Row],[COD]],DATOS!$E$3:$F$27,2,0)</f>
        <v>WAHOO</v>
      </c>
      <c r="I1458" s="9" t="str">
        <f>RIGHT(TablaCosechas[[#This Row],[SECTOR/PISCINA]],2)</f>
        <v>16</v>
      </c>
      <c r="J1458" s="9" t="str">
        <f>VLOOKUP(TablaCosechas[[#This Row],[COD]],Tabla7[#All],4,0)</f>
        <v>JUNIOR ESQUIVEL</v>
      </c>
      <c r="K1458" s="179">
        <f>(TablaCosechas[[#This Row],[libras planta]]*454)/M1458</f>
        <v>102471.63324538259</v>
      </c>
      <c r="L1458" s="215">
        <v>6843.48</v>
      </c>
      <c r="M1458" s="19">
        <v>30.32</v>
      </c>
      <c r="N1458" s="9" t="str">
        <f>UPPER(TEXT(TablaCosechas[[#This Row],[COSECHA]],"MMMM"))</f>
        <v>MARZO</v>
      </c>
      <c r="O1458" s="9" t="str">
        <f>IF(A1458="DO 29","BAP",IF(A1458="RO 14","BAP",(VLOOKUP(TablaCosechas[[#This Row],[COD]],Tabla7[[CODIGO]:[CERTIFICACION]],3,0))))</f>
        <v>CONVENCIONAL</v>
      </c>
      <c r="P1458" s="180">
        <f>+L1458-E1458</f>
        <v>543.47999999999956</v>
      </c>
      <c r="Q1458" s="181">
        <f>+M1458-F1458</f>
        <v>-1.6799999999999997</v>
      </c>
      <c r="R1458" s="9"/>
    </row>
    <row r="1459" spans="1:18" x14ac:dyDescent="0.25">
      <c r="A1459" s="9" t="s">
        <v>189</v>
      </c>
      <c r="B1459" s="9">
        <f>ROW() - ROW(TablaCosechas[[#Headers],[ID]]) - 4</f>
        <v>1454</v>
      </c>
      <c r="C1459" s="9" t="str">
        <f>LEFT(A1459,2)</f>
        <v>TU</v>
      </c>
      <c r="D1459" s="182" t="s">
        <v>367</v>
      </c>
      <c r="E1459" s="178">
        <v>3200</v>
      </c>
      <c r="F1459" s="19">
        <v>14</v>
      </c>
      <c r="G1459" s="195">
        <v>46109</v>
      </c>
      <c r="H1459" s="9" t="str">
        <f>VLOOKUP(TablaCosechas[[#This Row],[COD]],DATOS!$E$3:$F$27,2,0)</f>
        <v>TUNA</v>
      </c>
      <c r="I1459" s="9" t="str">
        <f>RIGHT(TablaCosechas[[#This Row],[SECTOR/PISCINA]],2)</f>
        <v>03</v>
      </c>
      <c r="J1459" s="9" t="str">
        <f>VLOOKUP(TablaCosechas[[#This Row],[COD]],Tabla7[#All],4,0)</f>
        <v>GUSTAVO CARRASCO</v>
      </c>
      <c r="K1459" s="179">
        <f>(TablaCosechas[[#This Row],[libras planta]]*454)/M1459</f>
        <v>98990.765333333329</v>
      </c>
      <c r="L1459" s="215">
        <v>3270.62</v>
      </c>
      <c r="M1459" s="19">
        <v>15</v>
      </c>
      <c r="N1459" s="9" t="str">
        <f>UPPER(TEXT(TablaCosechas[[#This Row],[COSECHA]],"MMMM"))</f>
        <v>MARZO</v>
      </c>
      <c r="O1459" s="9" t="str">
        <f>IF(A1459="DO 29","BAP",IF(A1459="RO 14","BAP",(VLOOKUP(TablaCosechas[[#This Row],[COD]],Tabla7[[CODIGO]:[CERTIFICACION]],3,0))))</f>
        <v>ASC</v>
      </c>
      <c r="P1459" s="180">
        <f>+L1459-E1459</f>
        <v>70.619999999999891</v>
      </c>
      <c r="Q1459" s="49">
        <f>+M1459-F1459</f>
        <v>1</v>
      </c>
      <c r="R1459" s="9"/>
    </row>
    <row r="1460" spans="1:18" x14ac:dyDescent="0.25">
      <c r="A1460" s="9" t="s">
        <v>192</v>
      </c>
      <c r="B1460" s="9">
        <f>ROW() - ROW(TablaCosechas[[#Headers],[ID]]) - 4</f>
        <v>1455</v>
      </c>
      <c r="C1460" s="9" t="str">
        <f>LEFT(A1460,2)</f>
        <v>TU</v>
      </c>
      <c r="D1460" s="182" t="s">
        <v>367</v>
      </c>
      <c r="E1460" s="178">
        <v>4000</v>
      </c>
      <c r="F1460" s="19">
        <v>14</v>
      </c>
      <c r="G1460" s="195">
        <v>46109</v>
      </c>
      <c r="H1460" s="9" t="str">
        <f>VLOOKUP(TablaCosechas[[#This Row],[COD]],DATOS!$E$3:$F$27,2,0)</f>
        <v>TUNA</v>
      </c>
      <c r="I1460" s="9" t="str">
        <f>RIGHT(TablaCosechas[[#This Row],[SECTOR/PISCINA]],2)</f>
        <v>02</v>
      </c>
      <c r="J1460" s="9" t="str">
        <f>VLOOKUP(TablaCosechas[[#This Row],[COD]],Tabla7[#All],4,0)</f>
        <v>GUSTAVO CARRASCO</v>
      </c>
      <c r="K1460" s="179">
        <f>(TablaCosechas[[#This Row],[libras planta]]*454)/M1460</f>
        <v>126396.43749999999</v>
      </c>
      <c r="L1460" s="215">
        <v>4187.2299999999996</v>
      </c>
      <c r="M1460" s="19">
        <v>15.04</v>
      </c>
      <c r="N1460" s="9" t="str">
        <f>UPPER(TEXT(TablaCosechas[[#This Row],[COSECHA]],"MMMM"))</f>
        <v>MARZO</v>
      </c>
      <c r="O1460" s="9" t="str">
        <f>IF(A1460="DO 29","BAP",IF(A1460="RO 14","BAP",(VLOOKUP(TablaCosechas[[#This Row],[COD]],Tabla7[[CODIGO]:[CERTIFICACION]],3,0))))</f>
        <v>ASC</v>
      </c>
      <c r="P1460" s="180">
        <f>+L1460-E1460</f>
        <v>187.22999999999956</v>
      </c>
      <c r="Q1460" s="49">
        <f>+M1460-F1460</f>
        <v>1.0399999999999991</v>
      </c>
      <c r="R1460" s="9"/>
    </row>
    <row r="1461" spans="1:18" x14ac:dyDescent="0.25">
      <c r="A1461" s="9" t="s">
        <v>318</v>
      </c>
      <c r="B1461" s="9">
        <f>ROW() - ROW(TablaCosechas[[#Headers],[ID]]) - 4</f>
        <v>1456</v>
      </c>
      <c r="C1461" s="9" t="str">
        <f>LEFT(A1461,2)</f>
        <v>GT</v>
      </c>
      <c r="D1461" s="182" t="s">
        <v>366</v>
      </c>
      <c r="E1461" s="178">
        <v>11100</v>
      </c>
      <c r="F1461" s="19">
        <v>25</v>
      </c>
      <c r="G1461" s="195">
        <v>46109</v>
      </c>
      <c r="H1461" s="9" t="str">
        <f>VLOOKUP(TablaCosechas[[#This Row],[COD]],DATOS!$E$3:$F$27,2,0)</f>
        <v>GUATO</v>
      </c>
      <c r="I1461" s="9" t="str">
        <f>RIGHT(TablaCosechas[[#This Row],[SECTOR/PISCINA]],2)</f>
        <v>11</v>
      </c>
      <c r="J1461" s="9" t="str">
        <f>VLOOKUP(TablaCosechas[[#This Row],[COD]],Tabla7[#All],4,0)</f>
        <v>JULIO SANTOS</v>
      </c>
      <c r="K1461" s="179">
        <f>(TablaCosechas[[#This Row],[libras planta]]*454)/M1461</f>
        <v>184778.48452508004</v>
      </c>
      <c r="L1461" s="215">
        <v>11440.800000000001</v>
      </c>
      <c r="M1461" s="19">
        <v>28.11</v>
      </c>
      <c r="N1461" s="9" t="str">
        <f>UPPER(TEXT(TablaCosechas[[#This Row],[COSECHA]],"MMMM"))</f>
        <v>MARZO</v>
      </c>
      <c r="O1461" s="9" t="str">
        <f>IF(A1461="DO 29","BAP",IF(A1461="RO 14","BAP",(VLOOKUP(TablaCosechas[[#This Row],[COD]],Tabla7[[CODIGO]:[CERTIFICACION]],3,0))))</f>
        <v>CONVENCIONAL</v>
      </c>
      <c r="P1461" s="180">
        <f>+L1461-E1461</f>
        <v>340.80000000000109</v>
      </c>
      <c r="Q1461" s="49">
        <f>+M1461-F1461</f>
        <v>3.1099999999999994</v>
      </c>
      <c r="R1461" s="9"/>
    </row>
    <row r="1462" spans="1:18" x14ac:dyDescent="0.25">
      <c r="A1462" s="9" t="s">
        <v>137</v>
      </c>
      <c r="B1462" s="9">
        <f>ROW() - ROW(TablaCosechas[[#Headers],[ID]]) - 4</f>
        <v>1457</v>
      </c>
      <c r="C1462" s="9" t="str">
        <f>LEFT(A1462,2)</f>
        <v>DO</v>
      </c>
      <c r="D1462" s="182" t="s">
        <v>367</v>
      </c>
      <c r="E1462" s="178">
        <v>18900</v>
      </c>
      <c r="F1462" s="19">
        <v>29</v>
      </c>
      <c r="G1462" s="195">
        <v>46109</v>
      </c>
      <c r="H1462" s="9" t="str">
        <f>VLOOKUP(TablaCosechas[[#This Row],[COD]],DATOS!$E$3:$F$27,2,0)</f>
        <v>DORADO</v>
      </c>
      <c r="I1462" s="9" t="str">
        <f>RIGHT(TablaCosechas[[#This Row],[SECTOR/PISCINA]],2)</f>
        <v>20</v>
      </c>
      <c r="J1462" s="9" t="str">
        <f>VLOOKUP(TablaCosechas[[#This Row],[COD]],Tabla7[#All],4,0)</f>
        <v>JOSE CEDEÑO</v>
      </c>
      <c r="K1462" s="179">
        <f>(TablaCosechas[[#This Row],[libras planta]]*454)/M1462</f>
        <v>288152.55921513669</v>
      </c>
      <c r="L1462" s="215">
        <v>18114.260000000002</v>
      </c>
      <c r="M1462" s="19">
        <v>28.54</v>
      </c>
      <c r="N1462" s="9" t="str">
        <f>UPPER(TEXT(TablaCosechas[[#This Row],[COSECHA]],"MMMM"))</f>
        <v>MARZO</v>
      </c>
      <c r="O1462" s="9" t="str">
        <f>IF(A1462="DO 29","BAP",IF(A1462="RO 14","BAP",(VLOOKUP(TablaCosechas[[#This Row],[COD]],Tabla7[[CODIGO]:[CERTIFICACION]],3,0))))</f>
        <v>ASC</v>
      </c>
      <c r="P1462" s="180">
        <f>+L1462-E1462</f>
        <v>-785.73999999999796</v>
      </c>
      <c r="Q1462" s="49">
        <f>+M1462-F1462</f>
        <v>-0.46000000000000085</v>
      </c>
      <c r="R1462" s="9"/>
    </row>
    <row r="1463" spans="1:18" x14ac:dyDescent="0.25">
      <c r="A1463" s="9" t="s">
        <v>317</v>
      </c>
      <c r="B1463" s="9">
        <f>ROW() - ROW(TablaCosechas[[#Headers],[ID]]) - 4</f>
        <v>1458</v>
      </c>
      <c r="C1463" s="9" t="str">
        <f>LEFT(A1463,2)</f>
        <v>CA</v>
      </c>
      <c r="D1463" s="182" t="s">
        <v>366</v>
      </c>
      <c r="E1463" s="178">
        <v>4000</v>
      </c>
      <c r="F1463" s="19">
        <v>33</v>
      </c>
      <c r="G1463" s="195">
        <v>46109</v>
      </c>
      <c r="H1463" s="9" t="str">
        <f>VLOOKUP(TablaCosechas[[#This Row],[COD]],DATOS!$E$3:$F$27,2,0)</f>
        <v>CATANUDA</v>
      </c>
      <c r="I1463" s="9" t="str">
        <f>RIGHT(TablaCosechas[[#This Row],[SECTOR/PISCINA]],2)</f>
        <v>13</v>
      </c>
      <c r="J1463" s="9" t="str">
        <f>VLOOKUP(TablaCosechas[[#This Row],[COD]],Tabla7[#All],4,0)</f>
        <v>VICTOR QUINTANA</v>
      </c>
      <c r="K1463" s="179">
        <f>(TablaCosechas[[#This Row],[libras planta]]*454)/M1463</f>
        <v>53613.552960347639</v>
      </c>
      <c r="L1463" s="215">
        <v>4348.13</v>
      </c>
      <c r="M1463" s="19">
        <v>36.82</v>
      </c>
      <c r="N1463" s="9" t="str">
        <f>UPPER(TEXT(TablaCosechas[[#This Row],[COSECHA]],"MMMM"))</f>
        <v>MARZO</v>
      </c>
      <c r="O1463" s="9" t="str">
        <f>IF(A1463="DO 29","BAP",IF(A1463="RO 14","BAP",(VLOOKUP(TablaCosechas[[#This Row],[COD]],Tabla7[[CODIGO]:[CERTIFICACION]],3,0))))</f>
        <v>ASC</v>
      </c>
      <c r="P1463" s="180">
        <f>+L1463-E1463</f>
        <v>348.13000000000011</v>
      </c>
      <c r="Q1463" s="49">
        <f>+M1463-F1463</f>
        <v>3.8200000000000003</v>
      </c>
      <c r="R1463" s="9"/>
    </row>
    <row r="1464" spans="1:18" x14ac:dyDescent="0.25">
      <c r="A1464" s="9" t="s">
        <v>316</v>
      </c>
      <c r="B1464" s="9">
        <f>ROW() - ROW(TablaCosechas[[#Headers],[ID]]) - 4</f>
        <v>1459</v>
      </c>
      <c r="C1464" s="9" t="str">
        <f>LEFT(A1464,2)</f>
        <v>CA</v>
      </c>
      <c r="D1464" s="182" t="s">
        <v>366</v>
      </c>
      <c r="E1464" s="178">
        <v>3500</v>
      </c>
      <c r="F1464" s="19">
        <v>36</v>
      </c>
      <c r="G1464" s="195">
        <v>46109</v>
      </c>
      <c r="H1464" s="9" t="str">
        <f>VLOOKUP(TablaCosechas[[#This Row],[COD]],DATOS!$E$3:$F$27,2,0)</f>
        <v>CATANUDA</v>
      </c>
      <c r="I1464" s="9" t="str">
        <f>RIGHT(TablaCosechas[[#This Row],[SECTOR/PISCINA]],2)</f>
        <v>12</v>
      </c>
      <c r="J1464" s="9" t="str">
        <f>VLOOKUP(TablaCosechas[[#This Row],[COD]],Tabla7[#All],4,0)</f>
        <v>VICTOR QUINTANA</v>
      </c>
      <c r="K1464" s="179">
        <f>(TablaCosechas[[#This Row],[libras planta]]*454)/M1464</f>
        <v>40753.768472906406</v>
      </c>
      <c r="L1464" s="215">
        <v>3644.5</v>
      </c>
      <c r="M1464" s="19">
        <v>40.6</v>
      </c>
      <c r="N1464" s="9" t="str">
        <f>UPPER(TEXT(TablaCosechas[[#This Row],[COSECHA]],"MMMM"))</f>
        <v>MARZO</v>
      </c>
      <c r="O1464" s="9" t="str">
        <f>IF(A1464="DO 29","BAP",IF(A1464="RO 14","BAP",(VLOOKUP(TablaCosechas[[#This Row],[COD]],Tabla7[[CODIGO]:[CERTIFICACION]],3,0))))</f>
        <v>ASC</v>
      </c>
      <c r="P1464" s="180">
        <f>+L1464-E1464</f>
        <v>144.5</v>
      </c>
      <c r="Q1464" s="181">
        <f>+M1464-F1464</f>
        <v>4.6000000000000014</v>
      </c>
      <c r="R1464" s="9"/>
    </row>
    <row r="1465" spans="1:18" x14ac:dyDescent="0.25">
      <c r="A1465" s="9" t="s">
        <v>185</v>
      </c>
      <c r="B1465" s="9">
        <f>ROW() - ROW(TablaCosechas[[#Headers],[ID]]) - 4</f>
        <v>1460</v>
      </c>
      <c r="C1465" s="9" t="str">
        <f>LEFT(A1465,2)</f>
        <v>TU</v>
      </c>
      <c r="D1465" s="182" t="s">
        <v>367</v>
      </c>
      <c r="E1465" s="178">
        <v>6000</v>
      </c>
      <c r="F1465" s="19">
        <v>14</v>
      </c>
      <c r="G1465" s="195">
        <v>46110</v>
      </c>
      <c r="H1465" s="9" t="str">
        <f>VLOOKUP(TablaCosechas[[#This Row],[COD]],DATOS!$E$3:$F$27,2,0)</f>
        <v>TUNA</v>
      </c>
      <c r="I1465" s="9" t="str">
        <f>RIGHT(TablaCosechas[[#This Row],[SECTOR/PISCINA]],2)</f>
        <v>4A</v>
      </c>
      <c r="J1465" s="9" t="str">
        <f>VLOOKUP(TablaCosechas[[#This Row],[COD]],Tabla7[#All],4,0)</f>
        <v>GUSTAVO CARRASCO</v>
      </c>
      <c r="K1465" s="179">
        <f>(TablaCosechas[[#This Row],[libras planta]]*454)/M1465</f>
        <v>159025.40022547913</v>
      </c>
      <c r="L1465" s="215">
        <v>6213.9</v>
      </c>
      <c r="M1465" s="19">
        <v>17.739999999999998</v>
      </c>
      <c r="N1465" s="9" t="str">
        <f>UPPER(TEXT(TablaCosechas[[#This Row],[COSECHA]],"MMMM"))</f>
        <v>MARZO</v>
      </c>
      <c r="O1465" s="9" t="str">
        <f>IF(A1465="DO 29","BAP",IF(A1465="RO 14","BAP",(VLOOKUP(TablaCosechas[[#This Row],[COD]],Tabla7[[CODIGO]:[CERTIFICACION]],3,0))))</f>
        <v>ASC</v>
      </c>
      <c r="P1465" s="180">
        <f>+L1465-E1465</f>
        <v>213.89999999999964</v>
      </c>
      <c r="Q1465" s="49">
        <f>+M1465-F1465</f>
        <v>3.7399999999999984</v>
      </c>
      <c r="R1465" s="9"/>
    </row>
    <row r="1466" spans="1:18" x14ac:dyDescent="0.25">
      <c r="A1466" s="9" t="s">
        <v>197</v>
      </c>
      <c r="B1466" s="9">
        <f>ROW() - ROW(TablaCosechas[[#Headers],[ID]]) - 4</f>
        <v>1461</v>
      </c>
      <c r="C1466" s="9" t="str">
        <f>LEFT(A1466,2)</f>
        <v>PA</v>
      </c>
      <c r="D1466" s="182" t="s">
        <v>367</v>
      </c>
      <c r="E1466" s="178">
        <v>3400</v>
      </c>
      <c r="F1466" s="19">
        <v>14</v>
      </c>
      <c r="G1466" s="195">
        <v>46110</v>
      </c>
      <c r="H1466" s="9" t="str">
        <f>VLOOKUP(TablaCosechas[[#This Row],[COD]],DATOS!$E$3:$F$27,2,0)</f>
        <v>PAMPANO</v>
      </c>
      <c r="I1466" s="9" t="str">
        <f>RIGHT(TablaCosechas[[#This Row],[SECTOR/PISCINA]],2)</f>
        <v>05</v>
      </c>
      <c r="J1466" s="9" t="str">
        <f>VLOOKUP(TablaCosechas[[#This Row],[COD]],Tabla7[#All],4,0)</f>
        <v>GUSTAVO CARRASCO</v>
      </c>
      <c r="K1466" s="179">
        <f>(TablaCosechas[[#This Row],[libras planta]]*454)/M1466</f>
        <v>113499.08835341365</v>
      </c>
      <c r="L1466" s="215">
        <v>3734.97</v>
      </c>
      <c r="M1466" s="19">
        <v>14.94</v>
      </c>
      <c r="N1466" s="9" t="str">
        <f>UPPER(TEXT(TablaCosechas[[#This Row],[COSECHA]],"MMMM"))</f>
        <v>MARZO</v>
      </c>
      <c r="O1466" s="9" t="str">
        <f>IF(A1466="DO 29","BAP",IF(A1466="RO 14","BAP",(VLOOKUP(TablaCosechas[[#This Row],[COD]],Tabla7[[CODIGO]:[CERTIFICACION]],3,0))))</f>
        <v>ASC</v>
      </c>
      <c r="P1466" s="180">
        <f>+L1466-E1466</f>
        <v>334.9699999999998</v>
      </c>
      <c r="Q1466" s="181">
        <f>+M1466-F1466</f>
        <v>0.9399999999999995</v>
      </c>
      <c r="R1466" s="9"/>
    </row>
    <row r="1467" spans="1:18" x14ac:dyDescent="0.25">
      <c r="A1467" s="9" t="s">
        <v>320</v>
      </c>
      <c r="B1467" s="9">
        <f>ROW() - ROW(TablaCosechas[[#Headers],[ID]]) - 4</f>
        <v>1462</v>
      </c>
      <c r="C1467" s="9" t="str">
        <f>LEFT(A1467,2)</f>
        <v>CA</v>
      </c>
      <c r="D1467" s="182" t="s">
        <v>366</v>
      </c>
      <c r="E1467" s="178">
        <v>23000</v>
      </c>
      <c r="F1467" s="19">
        <v>40</v>
      </c>
      <c r="G1467" s="195">
        <v>46110</v>
      </c>
      <c r="H1467" s="9" t="str">
        <f>VLOOKUP(TablaCosechas[[#This Row],[COD]],DATOS!$E$3:$F$27,2,0)</f>
        <v>CATANUDA</v>
      </c>
      <c r="I1467" s="9" t="str">
        <f>RIGHT(TablaCosechas[[#This Row],[SECTOR/PISCINA]],2)</f>
        <v>21</v>
      </c>
      <c r="J1467" s="9" t="str">
        <f>VLOOKUP(TablaCosechas[[#This Row],[COD]],Tabla7[#All],4,0)</f>
        <v>VICTOR QUINTANA</v>
      </c>
      <c r="K1467" s="179">
        <f>(TablaCosechas[[#This Row],[libras planta]]*454)/M1467</f>
        <v>297313.65743589745</v>
      </c>
      <c r="L1467" s="215">
        <v>25540.16</v>
      </c>
      <c r="M1467" s="19">
        <v>39</v>
      </c>
      <c r="N1467" s="9" t="str">
        <f>UPPER(TEXT(TablaCosechas[[#This Row],[COSECHA]],"MMMM"))</f>
        <v>MARZO</v>
      </c>
      <c r="O1467" s="9" t="str">
        <f>IF(A1467="DO 29","BAP",IF(A1467="RO 14","BAP",(VLOOKUP(TablaCosechas[[#This Row],[COD]],Tabla7[[CODIGO]:[CERTIFICACION]],3,0))))</f>
        <v>ASC</v>
      </c>
      <c r="P1467" s="180">
        <f>+L1467-E1467</f>
        <v>2540.16</v>
      </c>
      <c r="Q1467" s="49">
        <f>+M1467-F1467</f>
        <v>-1</v>
      </c>
      <c r="R1467" s="9"/>
    </row>
    <row r="1468" spans="1:18" x14ac:dyDescent="0.25">
      <c r="A1468" s="9" t="s">
        <v>342</v>
      </c>
      <c r="B1468" s="9">
        <f>ROW() - ROW(TablaCosechas[[#Headers],[ID]]) - 4</f>
        <v>1463</v>
      </c>
      <c r="C1468" s="9" t="str">
        <f>LEFT(A1468,2)</f>
        <v>WA</v>
      </c>
      <c r="D1468" s="182" t="s">
        <v>367</v>
      </c>
      <c r="E1468" s="178">
        <v>8300</v>
      </c>
      <c r="F1468" s="19">
        <v>23</v>
      </c>
      <c r="G1468" s="195">
        <v>46111</v>
      </c>
      <c r="H1468" s="9" t="str">
        <f>VLOOKUP(TablaCosechas[[#This Row],[COD]],DATOS!$E$3:$F$27,2,0)</f>
        <v>WAHOO</v>
      </c>
      <c r="I1468" s="9" t="str">
        <f>RIGHT(TablaCosechas[[#This Row],[SECTOR/PISCINA]],2)</f>
        <v>24</v>
      </c>
      <c r="J1468" s="9" t="str">
        <f>VLOOKUP(TablaCosechas[[#This Row],[COD]],Tabla7[#All],4,0)</f>
        <v>JUNIOR ESQUIVEL</v>
      </c>
      <c r="K1468" s="179">
        <f>(TablaCosechas[[#This Row],[libras planta]]*454)/M1468</f>
        <v>170527.01348920865</v>
      </c>
      <c r="L1468" s="215">
        <v>8353.57</v>
      </c>
      <c r="M1468" s="19">
        <v>22.24</v>
      </c>
      <c r="N1468" s="9" t="str">
        <f>UPPER(TEXT(TablaCosechas[[#This Row],[COSECHA]],"MMMM"))</f>
        <v>MARZO</v>
      </c>
      <c r="O1468" s="9" t="str">
        <f>IF(A1468="DO 29","BAP",IF(A1468="RO 14","BAP",(VLOOKUP(TablaCosechas[[#This Row],[COD]],Tabla7[[CODIGO]:[CERTIFICACION]],3,0))))</f>
        <v>CONVENCIONAL</v>
      </c>
      <c r="P1468" s="180">
        <f>+L1468-E1468</f>
        <v>53.569999999999709</v>
      </c>
      <c r="Q1468" s="181">
        <f>+M1468-F1468</f>
        <v>-0.76000000000000156</v>
      </c>
      <c r="R1468" s="9"/>
    </row>
    <row r="1469" spans="1:18" x14ac:dyDescent="0.25">
      <c r="A1469" s="9" t="s">
        <v>322</v>
      </c>
      <c r="B1469" s="9">
        <f>ROW() - ROW(TablaCosechas[[#Headers],[ID]]) - 4</f>
        <v>1464</v>
      </c>
      <c r="C1469" s="9" t="str">
        <f>LEFT(A1469,2)</f>
        <v>TI</v>
      </c>
      <c r="D1469" s="182" t="s">
        <v>366</v>
      </c>
      <c r="E1469" s="178">
        <v>24800</v>
      </c>
      <c r="F1469" s="19">
        <v>35.200000000000003</v>
      </c>
      <c r="G1469" s="195">
        <v>46111</v>
      </c>
      <c r="H1469" s="9" t="str">
        <f>VLOOKUP(TablaCosechas[[#This Row],[COD]],DATOS!$E$3:$F$27,2,0)</f>
        <v>TIBURON</v>
      </c>
      <c r="I1469" s="9" t="str">
        <f>RIGHT(TablaCosechas[[#This Row],[SECTOR/PISCINA]],2)</f>
        <v>12</v>
      </c>
      <c r="J1469" s="9" t="str">
        <f>VLOOKUP(TablaCosechas[[#This Row],[COD]],Tabla7[#All],4,0)</f>
        <v>ALFONSO GRUNAUER</v>
      </c>
      <c r="K1469" s="179">
        <f>(TablaCosechas[[#This Row],[libras planta]]*454)/M1469</f>
        <v>334725.23566878983</v>
      </c>
      <c r="L1469" s="215">
        <v>25465.66</v>
      </c>
      <c r="M1469" s="19">
        <v>34.54</v>
      </c>
      <c r="N1469" s="9" t="str">
        <f>UPPER(TEXT(TablaCosechas[[#This Row],[COSECHA]],"MMMM"))</f>
        <v>MARZO</v>
      </c>
      <c r="O1469" s="9" t="str">
        <f>IF(A1469="DO 29","BAP",IF(A1469="RO 14","BAP",(VLOOKUP(TablaCosechas[[#This Row],[COD]],Tabla7[[CODIGO]:[CERTIFICACION]],3,0))))</f>
        <v>ASC</v>
      </c>
      <c r="P1469" s="180">
        <f>+L1469-E1469</f>
        <v>665.65999999999985</v>
      </c>
      <c r="Q1469" s="49">
        <f>+M1469-F1469</f>
        <v>-0.66000000000000369</v>
      </c>
      <c r="R1469" s="9"/>
    </row>
    <row r="1470" spans="1:18" x14ac:dyDescent="0.25">
      <c r="A1470" s="9" t="s">
        <v>198</v>
      </c>
      <c r="B1470" s="9">
        <f>ROW() - ROW(TablaCosechas[[#Headers],[ID]]) - 4</f>
        <v>1465</v>
      </c>
      <c r="C1470" s="9" t="str">
        <f>LEFT(A1470,2)</f>
        <v>RO</v>
      </c>
      <c r="D1470" s="182" t="s">
        <v>367</v>
      </c>
      <c r="E1470" s="178">
        <v>400</v>
      </c>
      <c r="F1470" s="19">
        <v>20</v>
      </c>
      <c r="G1470" s="195">
        <v>46111</v>
      </c>
      <c r="H1470" s="9" t="str">
        <f>VLOOKUP(TablaCosechas[[#This Row],[COD]],DATOS!$E$3:$F$27,2,0)</f>
        <v>ROBALO</v>
      </c>
      <c r="I1470" s="9" t="str">
        <f>RIGHT(TablaCosechas[[#This Row],[SECTOR/PISCINA]],2)</f>
        <v>14</v>
      </c>
      <c r="J1470" s="9" t="str">
        <f>VLOOKUP(TablaCosechas[[#This Row],[COD]],Tabla7[#All],4,0)</f>
        <v>VICTOR QUINTANA</v>
      </c>
      <c r="K1470" s="179">
        <f>(TablaCosechas[[#This Row],[libras planta]]*454)/M1470</f>
        <v>12111.9422310757</v>
      </c>
      <c r="L1470" s="215">
        <v>535.70000000000005</v>
      </c>
      <c r="M1470" s="19">
        <v>20.079999999999998</v>
      </c>
      <c r="N1470" s="9" t="str">
        <f>UPPER(TEXT(TablaCosechas[[#This Row],[COSECHA]],"MMMM"))</f>
        <v>MARZO</v>
      </c>
      <c r="O1470" s="9" t="str">
        <f>IF(A1470="DO 29","BAP",IF(A1470="RO 14","BAP",(VLOOKUP(TablaCosechas[[#This Row],[COD]],Tabla7[[CODIGO]:[CERTIFICACION]],3,0))))</f>
        <v>BAP</v>
      </c>
      <c r="P1470" s="180">
        <f>+L1470-E1470</f>
        <v>135.70000000000005</v>
      </c>
      <c r="Q1470" s="49">
        <f>+M1470-F1470</f>
        <v>7.9999999999998295E-2</v>
      </c>
      <c r="R1470" s="9"/>
    </row>
    <row r="1471" spans="1:18" x14ac:dyDescent="0.25">
      <c r="A1471" s="9" t="s">
        <v>128</v>
      </c>
      <c r="B1471" s="9">
        <f>ROW() - ROW(TablaCosechas[[#Headers],[ID]]) - 4</f>
        <v>1466</v>
      </c>
      <c r="C1471" s="9" t="str">
        <f>LEFT(A1471,2)</f>
        <v>PA</v>
      </c>
      <c r="D1471" s="182" t="s">
        <v>367</v>
      </c>
      <c r="E1471" s="178">
        <v>13000</v>
      </c>
      <c r="F1471" s="19">
        <v>25</v>
      </c>
      <c r="G1471" s="195">
        <v>46111</v>
      </c>
      <c r="H1471" s="9" t="str">
        <f>VLOOKUP(TablaCosechas[[#This Row],[COD]],DATOS!$E$3:$F$27,2,0)</f>
        <v>PAMPANO</v>
      </c>
      <c r="I1471" s="9" t="str">
        <f>RIGHT(TablaCosechas[[#This Row],[SECTOR/PISCINA]],2)</f>
        <v>14</v>
      </c>
      <c r="J1471" s="9" t="str">
        <f>VLOOKUP(TablaCosechas[[#This Row],[COD]],Tabla7[#All],4,0)</f>
        <v>GUSTAVO CARRASCO</v>
      </c>
      <c r="K1471" s="179">
        <f>(TablaCosechas[[#This Row],[libras planta]]*454)/M1471</f>
        <v>249071.18602761978</v>
      </c>
      <c r="L1471" s="215">
        <v>13506.9</v>
      </c>
      <c r="M1471" s="19">
        <v>24.62</v>
      </c>
      <c r="N1471" s="9" t="str">
        <f>UPPER(TEXT(TablaCosechas[[#This Row],[COSECHA]],"MMMM"))</f>
        <v>MARZO</v>
      </c>
      <c r="O1471" s="9" t="str">
        <f>IF(A1471="DO 29","BAP",IF(A1471="RO 14","BAP",(VLOOKUP(TablaCosechas[[#This Row],[COD]],Tabla7[[CODIGO]:[CERTIFICACION]],3,0))))</f>
        <v>ASC</v>
      </c>
      <c r="P1471" s="180">
        <f>+L1471-E1471</f>
        <v>506.89999999999964</v>
      </c>
      <c r="Q1471" s="181">
        <f>+M1471-F1471</f>
        <v>-0.37999999999999901</v>
      </c>
      <c r="R1471" s="9"/>
    </row>
    <row r="1472" spans="1:18" x14ac:dyDescent="0.25">
      <c r="A1472" s="9" t="s">
        <v>321</v>
      </c>
      <c r="B1472" s="9">
        <f>ROW() - ROW(TablaCosechas[[#Headers],[ID]]) - 4</f>
        <v>1467</v>
      </c>
      <c r="C1472" s="9" t="str">
        <f>LEFT(A1472,2)</f>
        <v>GT</v>
      </c>
      <c r="D1472" s="182" t="s">
        <v>366</v>
      </c>
      <c r="E1472" s="178">
        <v>14100</v>
      </c>
      <c r="F1472" s="19">
        <v>32</v>
      </c>
      <c r="G1472" s="195">
        <v>46111</v>
      </c>
      <c r="H1472" s="9" t="str">
        <f>VLOOKUP(TablaCosechas[[#This Row],[COD]],DATOS!$E$3:$F$27,2,0)</f>
        <v>GUATO</v>
      </c>
      <c r="I1472" s="9" t="str">
        <f>RIGHT(TablaCosechas[[#This Row],[SECTOR/PISCINA]],2)</f>
        <v>02</v>
      </c>
      <c r="J1472" s="9" t="str">
        <f>VLOOKUP(TablaCosechas[[#This Row],[COD]],Tabla7[#All],4,0)</f>
        <v>JULIO SANTOS</v>
      </c>
      <c r="K1472" s="179">
        <f>(TablaCosechas[[#This Row],[libras planta]]*454)/M1472</f>
        <v>203438.62566100754</v>
      </c>
      <c r="L1472" s="215">
        <v>16100.33</v>
      </c>
      <c r="M1472" s="19">
        <v>35.93</v>
      </c>
      <c r="N1472" s="9" t="str">
        <f>UPPER(TEXT(TablaCosechas[[#This Row],[COSECHA]],"MMMM"))</f>
        <v>MARZO</v>
      </c>
      <c r="O1472" s="9" t="str">
        <f>IF(A1472="DO 29","BAP",IF(A1472="RO 14","BAP",(VLOOKUP(TablaCosechas[[#This Row],[COD]],Tabla7[[CODIGO]:[CERTIFICACION]],3,0))))</f>
        <v>CONVENCIONAL</v>
      </c>
      <c r="P1472" s="180">
        <f>+L1472-E1472</f>
        <v>2000.33</v>
      </c>
      <c r="Q1472" s="181">
        <f>+M1472-F1472</f>
        <v>3.9299999999999997</v>
      </c>
      <c r="R1472" s="9"/>
    </row>
    <row r="1473" spans="1:18" x14ac:dyDescent="0.25">
      <c r="A1473" s="9" t="s">
        <v>159</v>
      </c>
      <c r="B1473" s="9">
        <f>ROW() - ROW(TablaCosechas[[#Headers],[ID]]) - 4</f>
        <v>1468</v>
      </c>
      <c r="C1473" s="9" t="str">
        <f>LEFT(A1473,2)</f>
        <v>DO</v>
      </c>
      <c r="D1473" s="182" t="s">
        <v>367</v>
      </c>
      <c r="E1473" s="178">
        <v>12600</v>
      </c>
      <c r="F1473" s="19">
        <v>27</v>
      </c>
      <c r="G1473" s="195">
        <v>46111</v>
      </c>
      <c r="H1473" s="9" t="str">
        <f>VLOOKUP(TablaCosechas[[#This Row],[COD]],DATOS!$E$3:$F$27,2,0)</f>
        <v>DORADO</v>
      </c>
      <c r="I1473" s="9" t="str">
        <f>RIGHT(TablaCosechas[[#This Row],[SECTOR/PISCINA]],2)</f>
        <v>23</v>
      </c>
      <c r="J1473" s="9" t="str">
        <f>VLOOKUP(TablaCosechas[[#This Row],[COD]],Tabla7[#All],4,0)</f>
        <v>JOSE CEDEÑO</v>
      </c>
      <c r="K1473" s="179">
        <f>(TablaCosechas[[#This Row],[libras planta]]*454)/M1473</f>
        <v>226102.56606606607</v>
      </c>
      <c r="L1473" s="215">
        <v>13267.34</v>
      </c>
      <c r="M1473" s="19">
        <v>26.64</v>
      </c>
      <c r="N1473" s="9" t="str">
        <f>UPPER(TEXT(TablaCosechas[[#This Row],[COSECHA]],"MMMM"))</f>
        <v>MARZO</v>
      </c>
      <c r="O1473" s="9" t="str">
        <f>IF(A1473="DO 29","BAP",IF(A1473="RO 14","BAP",(VLOOKUP(TablaCosechas[[#This Row],[COD]],Tabla7[[CODIGO]:[CERTIFICACION]],3,0))))</f>
        <v>ASC</v>
      </c>
      <c r="P1473" s="180">
        <f>+L1473-E1473</f>
        <v>667.34000000000015</v>
      </c>
      <c r="Q1473" s="181">
        <f>+M1473-F1473</f>
        <v>-0.35999999999999943</v>
      </c>
      <c r="R1473" s="9"/>
    </row>
    <row r="1474" spans="1:18" x14ac:dyDescent="0.25">
      <c r="A1474" s="9" t="s">
        <v>21</v>
      </c>
      <c r="B1474" s="9">
        <f>ROW() - ROW(TablaCosechas[[#Headers],[ID]]) - 4</f>
        <v>1469</v>
      </c>
      <c r="C1474" s="9" t="str">
        <f>LEFT(A1474,2)</f>
        <v>CH</v>
      </c>
      <c r="D1474" s="182" t="s">
        <v>367</v>
      </c>
      <c r="E1474" s="178">
        <v>2000</v>
      </c>
      <c r="F1474" s="19">
        <v>22</v>
      </c>
      <c r="G1474" s="195">
        <v>46111</v>
      </c>
      <c r="H1474" s="9" t="str">
        <f>VLOOKUP(TablaCosechas[[#This Row],[COD]],DATOS!$E$3:$F$27,2,0)</f>
        <v>CHERNA</v>
      </c>
      <c r="I1474" s="9" t="str">
        <f>RIGHT(TablaCosechas[[#This Row],[SECTOR/PISCINA]],2)</f>
        <v>15</v>
      </c>
      <c r="J1474" s="9" t="str">
        <f>VLOOKUP(TablaCosechas[[#This Row],[COD]],Tabla7[#All],4,0)</f>
        <v>SANTIAGO OBRIEN</v>
      </c>
      <c r="K1474" s="179">
        <f>(TablaCosechas[[#This Row],[libras planta]]*454)/M1474</f>
        <v>49576.88454376164</v>
      </c>
      <c r="L1474" s="215">
        <v>2345.62</v>
      </c>
      <c r="M1474" s="19">
        <v>21.48</v>
      </c>
      <c r="N1474" s="9" t="str">
        <f>UPPER(TEXT(TablaCosechas[[#This Row],[COSECHA]],"MMMM"))</f>
        <v>MARZO</v>
      </c>
      <c r="O1474" s="9" t="str">
        <f>IF(A1474="DO 29","BAP",IF(A1474="RO 14","BAP",(VLOOKUP(TablaCosechas[[#This Row],[COD]],Tabla7[[CODIGO]:[CERTIFICACION]],3,0))))</f>
        <v>ASC</v>
      </c>
      <c r="P1474" s="180">
        <f>+L1474-E1474</f>
        <v>345.61999999999989</v>
      </c>
      <c r="Q1474" s="181">
        <f>+M1474-F1474</f>
        <v>-0.51999999999999957</v>
      </c>
      <c r="R1474" s="9"/>
    </row>
    <row r="1475" spans="1:18" x14ac:dyDescent="0.25">
      <c r="A1475" s="9" t="s">
        <v>16</v>
      </c>
      <c r="B1475" s="9">
        <f>ROW() - ROW(TablaCosechas[[#Headers],[ID]]) - 4</f>
        <v>1470</v>
      </c>
      <c r="C1475" s="9" t="str">
        <f>LEFT(A1475,2)</f>
        <v>CH</v>
      </c>
      <c r="D1475" s="182" t="s">
        <v>367</v>
      </c>
      <c r="E1475" s="178">
        <f>24500+700</f>
        <v>25200</v>
      </c>
      <c r="F1475" s="19">
        <v>30</v>
      </c>
      <c r="G1475" s="195">
        <v>46111</v>
      </c>
      <c r="H1475" s="9" t="str">
        <f>VLOOKUP(TablaCosechas[[#This Row],[COD]],DATOS!$E$3:$F$27,2,0)</f>
        <v>CHERNA</v>
      </c>
      <c r="I1475" s="9" t="str">
        <f>RIGHT(TablaCosechas[[#This Row],[SECTOR/PISCINA]],2)</f>
        <v>10</v>
      </c>
      <c r="J1475" s="9" t="str">
        <f>VLOOKUP(TablaCosechas[[#This Row],[COD]],Tabla7[#All],4,0)</f>
        <v>SANTIAGO OBRIEN</v>
      </c>
      <c r="K1475" s="179">
        <f>(TablaCosechas[[#This Row],[libras planta]]*454)/M1475</f>
        <v>314873.10368519672</v>
      </c>
      <c r="L1475" s="215">
        <v>22207.57</v>
      </c>
      <c r="M1475" s="19">
        <v>32.020000000000003</v>
      </c>
      <c r="N1475" s="9" t="str">
        <f>UPPER(TEXT(TablaCosechas[[#This Row],[COSECHA]],"MMMM"))</f>
        <v>MARZO</v>
      </c>
      <c r="O1475" s="9" t="str">
        <f>IF(A1475="DO 29","BAP",IF(A1475="RO 14","BAP",(VLOOKUP(TablaCosechas[[#This Row],[COD]],Tabla7[[CODIGO]:[CERTIFICACION]],3,0))))</f>
        <v>ASC</v>
      </c>
      <c r="P1475" s="180">
        <f>+L1475-E1475</f>
        <v>-2992.4300000000003</v>
      </c>
      <c r="Q1475" s="181">
        <f>+M1475-F1475</f>
        <v>2.0200000000000031</v>
      </c>
      <c r="R1475" s="9"/>
    </row>
    <row r="1476" spans="1:18" x14ac:dyDescent="0.25">
      <c r="A1476" s="9" t="s">
        <v>14</v>
      </c>
      <c r="B1476" s="9">
        <f>ROW() - ROW(TablaCosechas[[#Headers],[ID]]) - 4</f>
        <v>1471</v>
      </c>
      <c r="C1476" s="9" t="str">
        <f>LEFT(A1476,2)</f>
        <v>CH</v>
      </c>
      <c r="D1476" s="182" t="s">
        <v>367</v>
      </c>
      <c r="E1476" s="178">
        <v>3200</v>
      </c>
      <c r="F1476" s="19">
        <v>20</v>
      </c>
      <c r="G1476" s="195">
        <v>46111</v>
      </c>
      <c r="H1476" s="9" t="str">
        <f>VLOOKUP(TablaCosechas[[#This Row],[COD]],DATOS!$E$3:$F$27,2,0)</f>
        <v>CHERNA</v>
      </c>
      <c r="I1476" s="9" t="str">
        <f>RIGHT(TablaCosechas[[#This Row],[SECTOR/PISCINA]],2)</f>
        <v>08</v>
      </c>
      <c r="J1476" s="9" t="str">
        <f>VLOOKUP(TablaCosechas[[#This Row],[COD]],Tabla7[#All],4,0)</f>
        <v>SANTIAGO OBRIEN</v>
      </c>
      <c r="K1476" s="179">
        <f>(TablaCosechas[[#This Row],[libras planta]]*454)/M1476</f>
        <v>74667.178787878787</v>
      </c>
      <c r="L1476" s="215">
        <v>3256.41</v>
      </c>
      <c r="M1476" s="19">
        <v>19.8</v>
      </c>
      <c r="N1476" s="9" t="str">
        <f>UPPER(TEXT(TablaCosechas[[#This Row],[COSECHA]],"MMMM"))</f>
        <v>MARZO</v>
      </c>
      <c r="O1476" s="9" t="str">
        <f>IF(A1476="DO 29","BAP",IF(A1476="RO 14","BAP",(VLOOKUP(TablaCosechas[[#This Row],[COD]],Tabla7[[CODIGO]:[CERTIFICACION]],3,0))))</f>
        <v>ASC</v>
      </c>
      <c r="P1476" s="180">
        <f>+L1476-E1476</f>
        <v>56.409999999999854</v>
      </c>
      <c r="Q1476" s="181">
        <f>+M1476-F1476</f>
        <v>-0.19999999999999929</v>
      </c>
      <c r="R1476" s="9"/>
    </row>
    <row r="1477" spans="1:18" x14ac:dyDescent="0.25">
      <c r="A1477" s="9" t="s">
        <v>343</v>
      </c>
      <c r="B1477" s="9">
        <f>ROW() - ROW(TablaCosechas[[#Headers],[ID]]) - 4</f>
        <v>1472</v>
      </c>
      <c r="C1477" s="9" t="str">
        <f>LEFT(A1477,2)</f>
        <v>WA</v>
      </c>
      <c r="D1477" s="182" t="s">
        <v>367</v>
      </c>
      <c r="E1477" s="178">
        <v>6900</v>
      </c>
      <c r="F1477" s="19">
        <v>26</v>
      </c>
      <c r="G1477" s="195">
        <v>46112</v>
      </c>
      <c r="H1477" s="9" t="str">
        <f>VLOOKUP(TablaCosechas[[#This Row],[COD]],DATOS!$E$3:$F$27,2,0)</f>
        <v>WAHOO</v>
      </c>
      <c r="I1477" s="9" t="str">
        <f>RIGHT(TablaCosechas[[#This Row],[SECTOR/PISCINA]],2)</f>
        <v>08</v>
      </c>
      <c r="J1477" s="9" t="str">
        <f>VLOOKUP(TablaCosechas[[#This Row],[COD]],Tabla7[#All],4,0)</f>
        <v>JUNIOR ESQUIVEL</v>
      </c>
      <c r="K1477" s="179">
        <f>(TablaCosechas[[#This Row],[libras planta]]*454)/M1477</f>
        <v>130352.52973395932</v>
      </c>
      <c r="L1477" s="215">
        <v>7338.79</v>
      </c>
      <c r="M1477" s="19">
        <v>25.56</v>
      </c>
      <c r="N1477" s="9" t="str">
        <f>UPPER(TEXT(TablaCosechas[[#This Row],[COSECHA]],"MMMM"))</f>
        <v>MARZO</v>
      </c>
      <c r="O1477" s="9" t="str">
        <f>IF(A1477="DO 29","BAP",IF(A1477="RO 14","BAP",(VLOOKUP(TablaCosechas[[#This Row],[COD]],Tabla7[[CODIGO]:[CERTIFICACION]],3,0))))</f>
        <v>CONVENCIONAL</v>
      </c>
      <c r="P1477" s="180">
        <f>+L1477-E1477</f>
        <v>438.78999999999996</v>
      </c>
      <c r="Q1477" s="181">
        <f>+M1477-F1477</f>
        <v>-0.44000000000000128</v>
      </c>
      <c r="R1477" s="9"/>
    </row>
    <row r="1478" spans="1:18" x14ac:dyDescent="0.25">
      <c r="A1478" s="9" t="s">
        <v>160</v>
      </c>
      <c r="B1478" s="9">
        <f>ROW() - ROW(TablaCosechas[[#Headers],[ID]]) - 4</f>
        <v>1473</v>
      </c>
      <c r="C1478" s="9" t="str">
        <f>LEFT(A1478,2)</f>
        <v>TI</v>
      </c>
      <c r="D1478" s="182" t="s">
        <v>367</v>
      </c>
      <c r="E1478" s="178">
        <v>5400</v>
      </c>
      <c r="F1478" s="19">
        <v>22.5</v>
      </c>
      <c r="G1478" s="195">
        <v>46112</v>
      </c>
      <c r="H1478" s="9" t="str">
        <f>VLOOKUP(TablaCosechas[[#This Row],[COD]],DATOS!$E$3:$F$27,2,0)</f>
        <v>TIBURON</v>
      </c>
      <c r="I1478" s="9" t="str">
        <f>RIGHT(TablaCosechas[[#This Row],[SECTOR/PISCINA]],2)</f>
        <v>14</v>
      </c>
      <c r="J1478" s="9" t="str">
        <f>VLOOKUP(TablaCosechas[[#This Row],[COD]],Tabla7[#All],4,0)</f>
        <v>ALFONSO GRUNAUER</v>
      </c>
      <c r="K1478" s="179">
        <f>(TablaCosechas[[#This Row],[libras planta]]*454)/M1478</f>
        <v>120532.26185958256</v>
      </c>
      <c r="L1478" s="215">
        <v>5596.52</v>
      </c>
      <c r="M1478" s="19">
        <v>21.08</v>
      </c>
      <c r="N1478" s="9" t="str">
        <f>UPPER(TEXT(TablaCosechas[[#This Row],[COSECHA]],"MMMM"))</f>
        <v>MARZO</v>
      </c>
      <c r="O1478" s="9" t="str">
        <f>IF(A1478="DO 29","BAP",IF(A1478="RO 14","BAP",(VLOOKUP(TablaCosechas[[#This Row],[COD]],Tabla7[[CODIGO]:[CERTIFICACION]],3,0))))</f>
        <v>ASC</v>
      </c>
      <c r="P1478" s="180">
        <f>+L1478-E1478</f>
        <v>196.52000000000044</v>
      </c>
      <c r="Q1478" s="181">
        <f>+M1478-F1478</f>
        <v>-1.4200000000000017</v>
      </c>
      <c r="R1478" s="9"/>
    </row>
    <row r="1479" spans="1:18" x14ac:dyDescent="0.25">
      <c r="A1479" s="9" t="s">
        <v>179</v>
      </c>
      <c r="B1479" s="9">
        <f>ROW() - ROW(TablaCosechas[[#Headers],[ID]]) - 4</f>
        <v>1474</v>
      </c>
      <c r="C1479" s="9" t="str">
        <f>LEFT(A1479,2)</f>
        <v>TI</v>
      </c>
      <c r="D1479" s="182" t="s">
        <v>367</v>
      </c>
      <c r="E1479" s="178">
        <v>6800</v>
      </c>
      <c r="F1479" s="19">
        <v>22.5</v>
      </c>
      <c r="G1479" s="195">
        <v>46112</v>
      </c>
      <c r="H1479" s="9" t="str">
        <f>VLOOKUP(TablaCosechas[[#This Row],[COD]],DATOS!$E$3:$F$27,2,0)</f>
        <v>TIBURON</v>
      </c>
      <c r="I1479" s="9" t="str">
        <f>RIGHT(TablaCosechas[[#This Row],[SECTOR/PISCINA]],2)</f>
        <v>13</v>
      </c>
      <c r="J1479" s="9" t="str">
        <f>VLOOKUP(TablaCosechas[[#This Row],[COD]],Tabla7[#All],4,0)</f>
        <v>ALFONSO GRUNAUER</v>
      </c>
      <c r="K1479" s="179">
        <f>(TablaCosechas[[#This Row],[libras planta]]*454)/M1479</f>
        <v>148497.11696428573</v>
      </c>
      <c r="L1479" s="215">
        <v>7326.73</v>
      </c>
      <c r="M1479" s="19">
        <v>22.4</v>
      </c>
      <c r="N1479" s="9" t="str">
        <f>UPPER(TEXT(TablaCosechas[[#This Row],[COSECHA]],"MMMM"))</f>
        <v>MARZO</v>
      </c>
      <c r="O1479" s="9" t="str">
        <f>IF(A1479="DO 29","BAP",IF(A1479="RO 14","BAP",(VLOOKUP(TablaCosechas[[#This Row],[COD]],Tabla7[[CODIGO]:[CERTIFICACION]],3,0))))</f>
        <v>ASC</v>
      </c>
      <c r="P1479" s="180">
        <f>+L1479-E1479</f>
        <v>526.72999999999956</v>
      </c>
      <c r="Q1479" s="181">
        <f>+M1479-F1479</f>
        <v>-0.10000000000000142</v>
      </c>
      <c r="R1479" s="9"/>
    </row>
    <row r="1480" spans="1:18" x14ac:dyDescent="0.25">
      <c r="A1480" s="9" t="s">
        <v>129</v>
      </c>
      <c r="B1480" s="9">
        <f>ROW() - ROW(TablaCosechas[[#Headers],[ID]]) - 4</f>
        <v>1475</v>
      </c>
      <c r="C1480" s="9" t="str">
        <f>LEFT(A1480,2)</f>
        <v>RO</v>
      </c>
      <c r="D1480" s="182" t="s">
        <v>366</v>
      </c>
      <c r="E1480" s="178">
        <v>8200</v>
      </c>
      <c r="F1480" s="19">
        <v>29</v>
      </c>
      <c r="G1480" s="195">
        <v>46112</v>
      </c>
      <c r="H1480" s="9" t="str">
        <f>VLOOKUP(TablaCosechas[[#This Row],[COD]],DATOS!$E$3:$F$27,2,0)</f>
        <v>ROBALO</v>
      </c>
      <c r="I1480" s="9" t="str">
        <f>RIGHT(TablaCosechas[[#This Row],[SECTOR/PISCINA]],2)</f>
        <v>11</v>
      </c>
      <c r="J1480" s="9" t="str">
        <f>VLOOKUP(TablaCosechas[[#This Row],[COD]],Tabla7[#All],4,0)</f>
        <v>VICTOR QUINTANA</v>
      </c>
      <c r="K1480" s="179">
        <f>(TablaCosechas[[#This Row],[libras planta]]*454)/M1480</f>
        <v>151500.27622377622</v>
      </c>
      <c r="L1480" s="215">
        <v>9543.85</v>
      </c>
      <c r="M1480" s="19">
        <v>28.6</v>
      </c>
      <c r="N1480" s="9" t="str">
        <f>UPPER(TEXT(TablaCosechas[[#This Row],[COSECHA]],"MMMM"))</f>
        <v>MARZO</v>
      </c>
      <c r="O1480" s="9" t="str">
        <f>IF(A1480="DO 29","BAP",IF(A1480="RO 14","BAP",(VLOOKUP(TablaCosechas[[#This Row],[COD]],Tabla7[[CODIGO]:[CERTIFICACION]],3,0))))</f>
        <v>ASC</v>
      </c>
      <c r="P1480" s="180">
        <f>+L1480-E1480</f>
        <v>1343.8500000000004</v>
      </c>
      <c r="Q1480" s="181">
        <f>+M1480-F1480</f>
        <v>-0.39999999999999858</v>
      </c>
      <c r="R1480" s="9"/>
    </row>
    <row r="1481" spans="1:18" x14ac:dyDescent="0.25">
      <c r="A1481" s="9" t="s">
        <v>325</v>
      </c>
      <c r="B1481" s="9">
        <f>ROW() - ROW(TablaCosechas[[#Headers],[ID]]) - 4</f>
        <v>1476</v>
      </c>
      <c r="C1481" s="9" t="str">
        <f>LEFT(A1481,2)</f>
        <v>PA</v>
      </c>
      <c r="D1481" s="182" t="s">
        <v>367</v>
      </c>
      <c r="E1481" s="178">
        <v>32600</v>
      </c>
      <c r="F1481" s="19">
        <v>29</v>
      </c>
      <c r="G1481" s="195">
        <v>46112</v>
      </c>
      <c r="H1481" s="9" t="str">
        <f>VLOOKUP(TablaCosechas[[#This Row],[COD]],DATOS!$E$3:$F$27,2,0)</f>
        <v>PAMPANO</v>
      </c>
      <c r="I1481" s="9" t="str">
        <f>RIGHT(TablaCosechas[[#This Row],[SECTOR/PISCINA]],2)</f>
        <v>15</v>
      </c>
      <c r="J1481" s="9" t="str">
        <f>VLOOKUP(TablaCosechas[[#This Row],[COD]],Tabla7[#All],4,0)</f>
        <v>GUSTAVO CARRASCO</v>
      </c>
      <c r="K1481" s="179">
        <f>(TablaCosechas[[#This Row],[libras planta]]*454)/M1481</f>
        <v>603951.75038284843</v>
      </c>
      <c r="L1481" s="215">
        <v>34747.18</v>
      </c>
      <c r="M1481" s="19">
        <v>26.12</v>
      </c>
      <c r="N1481" s="9" t="str">
        <f>UPPER(TEXT(TablaCosechas[[#This Row],[COSECHA]],"MMMM"))</f>
        <v>MARZO</v>
      </c>
      <c r="O1481" s="9" t="str">
        <f>IF(A1481="DO 29","BAP",IF(A1481="RO 14","BAP",(VLOOKUP(TablaCosechas[[#This Row],[COD]],Tabla7[[CODIGO]:[CERTIFICACION]],3,0))))</f>
        <v>ASC</v>
      </c>
      <c r="P1481" s="180">
        <f>+L1481-E1481</f>
        <v>2147.1800000000003</v>
      </c>
      <c r="Q1481" s="181">
        <f>+M1481-F1481</f>
        <v>-2.879999999999999</v>
      </c>
      <c r="R1481" s="9"/>
    </row>
    <row r="1482" spans="1:18" x14ac:dyDescent="0.25">
      <c r="A1482" s="9" t="s">
        <v>159</v>
      </c>
      <c r="B1482" s="9">
        <f>ROW() - ROW(TablaCosechas[[#Headers],[ID]]) - 4</f>
        <v>1477</v>
      </c>
      <c r="C1482" s="9" t="str">
        <f>LEFT(A1482,2)</f>
        <v>DO</v>
      </c>
      <c r="D1482" s="182" t="s">
        <v>367</v>
      </c>
      <c r="E1482" s="178">
        <v>25200</v>
      </c>
      <c r="F1482" s="19">
        <v>27</v>
      </c>
      <c r="G1482" s="195">
        <v>46112</v>
      </c>
      <c r="H1482" s="9" t="str">
        <f>VLOOKUP(TablaCosechas[[#This Row],[COD]],DATOS!$E$3:$F$27,2,0)</f>
        <v>DORADO</v>
      </c>
      <c r="I1482" s="9" t="str">
        <f>RIGHT(TablaCosechas[[#This Row],[SECTOR/PISCINA]],2)</f>
        <v>23</v>
      </c>
      <c r="J1482" s="9" t="str">
        <f>VLOOKUP(TablaCosechas[[#This Row],[COD]],Tabla7[#All],4,0)</f>
        <v>JOSE CEDEÑO</v>
      </c>
      <c r="K1482" s="179">
        <f>(TablaCosechas[[#This Row],[libras planta]]*454)/M1482</f>
        <v>418338.76124818576</v>
      </c>
      <c r="L1482" s="215">
        <v>25395.19</v>
      </c>
      <c r="M1482" s="19">
        <v>27.56</v>
      </c>
      <c r="N1482" s="9" t="str">
        <f>UPPER(TEXT(TablaCosechas[[#This Row],[COSECHA]],"MMMM"))</f>
        <v>MARZO</v>
      </c>
      <c r="O1482" s="9" t="str">
        <f>IF(A1482="DO 29","BAP",IF(A1482="RO 14","BAP",(VLOOKUP(TablaCosechas[[#This Row],[COD]],Tabla7[[CODIGO]:[CERTIFICACION]],3,0))))</f>
        <v>ASC</v>
      </c>
      <c r="P1482" s="180">
        <f>+L1482-E1482</f>
        <v>195.18999999999869</v>
      </c>
      <c r="Q1482" s="49">
        <f>+M1482-F1482</f>
        <v>0.55999999999999872</v>
      </c>
      <c r="R1482" s="9"/>
    </row>
    <row r="1483" spans="1:18" x14ac:dyDescent="0.25">
      <c r="A1483" s="9" t="s">
        <v>194</v>
      </c>
      <c r="B1483" s="9">
        <f>ROW() - ROW(TablaCosechas[[#Headers],[ID]]) - 4</f>
        <v>1478</v>
      </c>
      <c r="C1483" s="9" t="str">
        <f>LEFT(A1483,2)</f>
        <v>DE</v>
      </c>
      <c r="D1483" s="182" t="s">
        <v>367</v>
      </c>
      <c r="E1483" s="178">
        <v>3650</v>
      </c>
      <c r="F1483" s="19">
        <v>18</v>
      </c>
      <c r="G1483" s="195">
        <v>46112</v>
      </c>
      <c r="H1483" s="9" t="str">
        <f>VLOOKUP(TablaCosechas[[#This Row],[COD]],DATOS!$E$3:$F$27,2,0)</f>
        <v>DELFIN</v>
      </c>
      <c r="I1483" s="9" t="str">
        <f>RIGHT(TablaCosechas[[#This Row],[SECTOR/PISCINA]],2)</f>
        <v>20</v>
      </c>
      <c r="J1483" s="9" t="str">
        <f>VLOOKUP(TablaCosechas[[#This Row],[COD]],Tabla7[#All],4,0)</f>
        <v>CARLOS FLORES</v>
      </c>
      <c r="K1483" s="179">
        <f>(TablaCosechas[[#This Row],[libras planta]]*454)/M1483</f>
        <v>78439.424518743675</v>
      </c>
      <c r="L1483" s="215">
        <v>3410.56</v>
      </c>
      <c r="M1483" s="19">
        <v>19.739999999999998</v>
      </c>
      <c r="N1483" s="9" t="str">
        <f>UPPER(TEXT(TablaCosechas[[#This Row],[COSECHA]],"MMMM"))</f>
        <v>MARZO</v>
      </c>
      <c r="O1483" s="9" t="str">
        <f>IF(A1483="DO 29","BAP",IF(A1483="RO 14","BAP",(VLOOKUP(TablaCosechas[[#This Row],[COD]],Tabla7[[CODIGO]:[CERTIFICACION]],3,0))))</f>
        <v>CONVENCIONAL</v>
      </c>
      <c r="P1483" s="180">
        <f>+L1483-E1483</f>
        <v>-239.44000000000005</v>
      </c>
      <c r="Q1483" s="181">
        <f>+M1483-F1483</f>
        <v>1.7399999999999984</v>
      </c>
      <c r="R1483" s="9"/>
    </row>
    <row r="1484" spans="1:18" x14ac:dyDescent="0.25">
      <c r="A1484" s="9" t="s">
        <v>16</v>
      </c>
      <c r="B1484" s="9">
        <f>ROW() - ROW(TablaCosechas[[#Headers],[ID]]) - 4</f>
        <v>1479</v>
      </c>
      <c r="C1484" s="9" t="str">
        <f>LEFT(A1484,2)</f>
        <v>CH</v>
      </c>
      <c r="D1484" s="182" t="s">
        <v>366</v>
      </c>
      <c r="E1484" s="178">
        <v>17600</v>
      </c>
      <c r="F1484" s="19">
        <v>30</v>
      </c>
      <c r="G1484" s="195">
        <v>46112</v>
      </c>
      <c r="H1484" s="9" t="str">
        <f>VLOOKUP(TablaCosechas[[#This Row],[COD]],DATOS!$E$3:$F$27,2,0)</f>
        <v>CHERNA</v>
      </c>
      <c r="I1484" s="9" t="str">
        <f>RIGHT(TablaCosechas[[#This Row],[SECTOR/PISCINA]],2)</f>
        <v>10</v>
      </c>
      <c r="J1484" s="9" t="str">
        <f>VLOOKUP(TablaCosechas[[#This Row],[COD]],Tabla7[#All],4,0)</f>
        <v>SANTIAGO OBRIEN</v>
      </c>
      <c r="K1484" s="179">
        <f>(TablaCosechas[[#This Row],[libras planta]]*454)/M1484</f>
        <v>284348.67466666666</v>
      </c>
      <c r="L1484" s="215">
        <v>18789.560000000001</v>
      </c>
      <c r="M1484" s="19">
        <v>30</v>
      </c>
      <c r="N1484" s="9" t="str">
        <f>UPPER(TEXT(TablaCosechas[[#This Row],[COSECHA]],"MMMM"))</f>
        <v>MARZO</v>
      </c>
      <c r="O1484" s="9" t="str">
        <f>IF(A1484="DO 29","BAP",IF(A1484="RO 14","BAP",(VLOOKUP(TablaCosechas[[#This Row],[COD]],Tabla7[[CODIGO]:[CERTIFICACION]],3,0))))</f>
        <v>ASC</v>
      </c>
      <c r="P1484" s="180">
        <f>+L1484-E1484</f>
        <v>1189.5600000000013</v>
      </c>
      <c r="Q1484" s="181">
        <f>+M1484-F1484</f>
        <v>0</v>
      </c>
      <c r="R1484" s="9"/>
    </row>
    <row r="1485" spans="1:18" x14ac:dyDescent="0.25">
      <c r="A1485" s="9" t="s">
        <v>324</v>
      </c>
      <c r="B1485" s="9">
        <f>ROW() - ROW(TablaCosechas[[#Headers],[ID]]) - 4</f>
        <v>1480</v>
      </c>
      <c r="C1485" s="9" t="str">
        <f>LEFT(A1485,2)</f>
        <v>WA</v>
      </c>
      <c r="D1485" s="182" t="s">
        <v>366</v>
      </c>
      <c r="E1485" s="178">
        <v>24900</v>
      </c>
      <c r="F1485" s="19">
        <v>30</v>
      </c>
      <c r="G1485" s="195">
        <v>46113</v>
      </c>
      <c r="H1485" s="9" t="str">
        <f>VLOOKUP(TablaCosechas[[#This Row],[COD]],DATOS!$E$3:$F$27,2,0)</f>
        <v>WAHOO</v>
      </c>
      <c r="I1485" s="9" t="str">
        <f>RIGHT(TablaCosechas[[#This Row],[SECTOR/PISCINA]],2)</f>
        <v>11</v>
      </c>
      <c r="J1485" s="9" t="str">
        <f>VLOOKUP(TablaCosechas[[#This Row],[COD]],Tabla7[#All],4,0)</f>
        <v>JUNIOR ESQUIVEL</v>
      </c>
      <c r="K1485" s="179">
        <f>(TablaCosechas[[#This Row],[libras planta]]*454)/M1485</f>
        <v>410358.63901203295</v>
      </c>
      <c r="L1485" s="215">
        <v>28544.33</v>
      </c>
      <c r="M1485" s="19">
        <v>31.58</v>
      </c>
      <c r="N1485" s="9" t="str">
        <f>UPPER(TEXT(TablaCosechas[[#This Row],[COSECHA]],"MMMM"))</f>
        <v>ABRIL</v>
      </c>
      <c r="O1485" s="9" t="str">
        <f>IF(A1485="DO 29","BAP",IF(A1485="RO 14","BAP",(VLOOKUP(TablaCosechas[[#This Row],[COD]],Tabla7[[CODIGO]:[CERTIFICACION]],3,0))))</f>
        <v>CONVENCIONAL</v>
      </c>
      <c r="P1485" s="180">
        <f>+L1485-E1485</f>
        <v>3644.3300000000017</v>
      </c>
      <c r="Q1485" s="49">
        <f>+M1485-F1485</f>
        <v>1.5799999999999983</v>
      </c>
      <c r="R1485" s="9"/>
    </row>
    <row r="1486" spans="1:18" x14ac:dyDescent="0.25">
      <c r="A1486" s="9" t="s">
        <v>168</v>
      </c>
      <c r="B1486" s="9">
        <f>ROW() - ROW(TablaCosechas[[#Headers],[ID]]) - 4</f>
        <v>1481</v>
      </c>
      <c r="C1486" s="9" t="str">
        <f>LEFT(A1486,2)</f>
        <v>TA</v>
      </c>
      <c r="D1486" s="182" t="s">
        <v>367</v>
      </c>
      <c r="E1486" s="178">
        <v>8000</v>
      </c>
      <c r="F1486" s="19">
        <v>21</v>
      </c>
      <c r="G1486" s="195">
        <v>46113</v>
      </c>
      <c r="H1486" s="9" t="str">
        <f>VLOOKUP(TablaCosechas[[#This Row],[COD]],DATOS!$E$3:$F$27,2,0)</f>
        <v>TAMBULERO</v>
      </c>
      <c r="I1486" s="9" t="str">
        <f>RIGHT(TablaCosechas[[#This Row],[SECTOR/PISCINA]],2)</f>
        <v>27</v>
      </c>
      <c r="J1486" s="9" t="str">
        <f>VLOOKUP(TablaCosechas[[#This Row],[COD]],Tabla7[#All],4,0)</f>
        <v>ALFONSO GRUNAUER</v>
      </c>
      <c r="K1486" s="179">
        <f>(TablaCosechas[[#This Row],[libras planta]]*454)/M1486</f>
        <v>158086.26876404494</v>
      </c>
      <c r="L1486" s="215">
        <v>7747.62</v>
      </c>
      <c r="M1486" s="19">
        <v>22.25</v>
      </c>
      <c r="N1486" s="9" t="str">
        <f>UPPER(TEXT(TablaCosechas[[#This Row],[COSECHA]],"MMMM"))</f>
        <v>ABRIL</v>
      </c>
      <c r="O1486" s="9" t="str">
        <f>IF(A1486="DO 29","BAP",IF(A1486="RO 14","BAP",(VLOOKUP(TablaCosechas[[#This Row],[COD]],Tabla7[[CODIGO]:[CERTIFICACION]],3,0))))</f>
        <v>CONVENCIONAL</v>
      </c>
      <c r="P1486" s="180">
        <f>+L1486-E1486</f>
        <v>-252.38000000000011</v>
      </c>
      <c r="Q1486" s="181">
        <f>+M1486-F1486</f>
        <v>1.25</v>
      </c>
      <c r="R1486" s="9"/>
    </row>
    <row r="1487" spans="1:18" x14ac:dyDescent="0.25">
      <c r="A1487" s="9" t="s">
        <v>172</v>
      </c>
      <c r="B1487" s="9">
        <f>ROW() - ROW(TablaCosechas[[#Headers],[ID]]) - 4</f>
        <v>1482</v>
      </c>
      <c r="C1487" s="9" t="str">
        <f>LEFT(A1487,2)</f>
        <v>TA</v>
      </c>
      <c r="D1487" s="182" t="s">
        <v>367</v>
      </c>
      <c r="E1487" s="178">
        <v>10400</v>
      </c>
      <c r="F1487" s="19">
        <v>21</v>
      </c>
      <c r="G1487" s="195">
        <v>46113</v>
      </c>
      <c r="H1487" s="9" t="str">
        <f>VLOOKUP(TablaCosechas[[#This Row],[COD]],DATOS!$E$3:$F$27,2,0)</f>
        <v>TAMBULERO</v>
      </c>
      <c r="I1487" s="9" t="str">
        <f>RIGHT(TablaCosechas[[#This Row],[SECTOR/PISCINA]],2)</f>
        <v>24</v>
      </c>
      <c r="J1487" s="9" t="str">
        <f>VLOOKUP(TablaCosechas[[#This Row],[COD]],Tabla7[#All],4,0)</f>
        <v>ALFONSO GRUNAUER</v>
      </c>
      <c r="K1487" s="179">
        <f>(TablaCosechas[[#This Row],[libras planta]]*454)/M1487</f>
        <v>244334.09190809188</v>
      </c>
      <c r="L1487" s="215">
        <v>10774.38</v>
      </c>
      <c r="M1487" s="19">
        <v>20.02</v>
      </c>
      <c r="N1487" s="9" t="str">
        <f>UPPER(TEXT(TablaCosechas[[#This Row],[COSECHA]],"MMMM"))</f>
        <v>ABRIL</v>
      </c>
      <c r="O1487" s="9" t="str">
        <f>IF(A1487="DO 29","BAP",IF(A1487="RO 14","BAP",(VLOOKUP(TablaCosechas[[#This Row],[COD]],Tabla7[[CODIGO]:[CERTIFICACION]],3,0))))</f>
        <v>CONVENCIONAL</v>
      </c>
      <c r="P1487" s="180">
        <f>+L1487-E1487</f>
        <v>374.3799999999992</v>
      </c>
      <c r="Q1487" s="181">
        <f>+M1487-F1487</f>
        <v>-0.98000000000000043</v>
      </c>
      <c r="R1487" s="9"/>
    </row>
    <row r="1488" spans="1:18" x14ac:dyDescent="0.25">
      <c r="A1488" s="9" t="s">
        <v>201</v>
      </c>
      <c r="B1488" s="9">
        <f>ROW() - ROW(TablaCosechas[[#Headers],[ID]]) - 4</f>
        <v>1483</v>
      </c>
      <c r="C1488" s="9" t="str">
        <f>LEFT(A1488,2)</f>
        <v>TA</v>
      </c>
      <c r="D1488" s="182" t="s">
        <v>367</v>
      </c>
      <c r="E1488" s="178">
        <v>2250</v>
      </c>
      <c r="F1488" s="19">
        <v>20</v>
      </c>
      <c r="G1488" s="195">
        <v>46113</v>
      </c>
      <c r="H1488" s="9" t="str">
        <f>VLOOKUP(TablaCosechas[[#This Row],[COD]],DATOS!$E$3:$F$27,2,0)</f>
        <v>TAMBULERO</v>
      </c>
      <c r="I1488" s="9" t="str">
        <f>RIGHT(TablaCosechas[[#This Row],[SECTOR/PISCINA]],2)</f>
        <v>11</v>
      </c>
      <c r="J1488" s="9" t="str">
        <f>VLOOKUP(TablaCosechas[[#This Row],[COD]],Tabla7[#All],4,0)</f>
        <v>ALFONSO GRUNAUER</v>
      </c>
      <c r="K1488" s="179">
        <f>(TablaCosechas[[#This Row],[libras planta]]*454)/M1488</f>
        <v>48021.792964824126</v>
      </c>
      <c r="L1488" s="215">
        <v>2104.92</v>
      </c>
      <c r="M1488" s="19">
        <v>19.899999999999999</v>
      </c>
      <c r="N1488" s="9" t="str">
        <f>UPPER(TEXT(TablaCosechas[[#This Row],[COSECHA]],"MMMM"))</f>
        <v>ABRIL</v>
      </c>
      <c r="O1488" s="9" t="str">
        <f>IF(A1488="DO 29","BAP",IF(A1488="RO 14","BAP",(VLOOKUP(TablaCosechas[[#This Row],[COD]],Tabla7[[CODIGO]:[CERTIFICACION]],3,0))))</f>
        <v>CONVENCIONAL</v>
      </c>
      <c r="P1488" s="180">
        <f>+L1488-E1488</f>
        <v>-145.07999999999993</v>
      </c>
      <c r="Q1488" s="49">
        <f>+M1488-F1488</f>
        <v>-0.10000000000000142</v>
      </c>
      <c r="R1488" s="9"/>
    </row>
    <row r="1489" spans="1:18" x14ac:dyDescent="0.25">
      <c r="A1489" s="9" t="s">
        <v>215</v>
      </c>
      <c r="B1489" s="9">
        <f>ROW() - ROW(TablaCosechas[[#Headers],[ID]]) - 4</f>
        <v>1484</v>
      </c>
      <c r="C1489" s="9" t="str">
        <f>LEFT(A1489,2)</f>
        <v>RO</v>
      </c>
      <c r="D1489" s="182" t="s">
        <v>367</v>
      </c>
      <c r="E1489" s="178">
        <v>7000</v>
      </c>
      <c r="F1489" s="19">
        <v>18.5</v>
      </c>
      <c r="G1489" s="195">
        <v>46113</v>
      </c>
      <c r="H1489" s="9" t="str">
        <f>VLOOKUP(TablaCosechas[[#This Row],[COD]],DATOS!$E$3:$F$27,2,0)</f>
        <v>ROBALO</v>
      </c>
      <c r="I1489" s="9" t="str">
        <f>RIGHT(TablaCosechas[[#This Row],[SECTOR/PISCINA]],2)</f>
        <v>03</v>
      </c>
      <c r="J1489" s="9" t="str">
        <f>VLOOKUP(TablaCosechas[[#This Row],[COD]],Tabla7[#All],4,0)</f>
        <v>VICTOR QUINTANA</v>
      </c>
      <c r="K1489" s="179">
        <f>(TablaCosechas[[#This Row],[libras planta]]*454)/M1489</f>
        <v>167043.90097259064</v>
      </c>
      <c r="L1489" s="215">
        <v>8322.76</v>
      </c>
      <c r="M1489" s="19">
        <v>22.62</v>
      </c>
      <c r="N1489" s="9" t="str">
        <f>UPPER(TEXT(TablaCosechas[[#This Row],[COSECHA]],"MMMM"))</f>
        <v>ABRIL</v>
      </c>
      <c r="O1489" s="9" t="str">
        <f>IF(A1489="DO 29","BAP",IF(A1489="RO 14","BAP",(VLOOKUP(TablaCosechas[[#This Row],[COD]],Tabla7[[CODIGO]:[CERTIFICACION]],3,0))))</f>
        <v>ASC</v>
      </c>
      <c r="P1489" s="180">
        <f>+L1489-E1489</f>
        <v>1322.7600000000002</v>
      </c>
      <c r="Q1489" s="49">
        <f>+M1489-F1489</f>
        <v>4.120000000000001</v>
      </c>
      <c r="R1489" s="9"/>
    </row>
    <row r="1490" spans="1:18" x14ac:dyDescent="0.25">
      <c r="A1490" s="9" t="s">
        <v>206</v>
      </c>
      <c r="B1490" s="9">
        <f>ROW() - ROW(TablaCosechas[[#Headers],[ID]]) - 4</f>
        <v>1485</v>
      </c>
      <c r="C1490" s="9" t="str">
        <f>LEFT(A1490,2)</f>
        <v>DO</v>
      </c>
      <c r="D1490" s="182" t="s">
        <v>367</v>
      </c>
      <c r="E1490" s="178">
        <v>9100</v>
      </c>
      <c r="F1490" s="19">
        <v>23</v>
      </c>
      <c r="G1490" s="195">
        <v>46113</v>
      </c>
      <c r="H1490" s="9" t="str">
        <f>VLOOKUP(TablaCosechas[[#This Row],[COD]],DATOS!$E$3:$F$27,2,0)</f>
        <v>DORADO</v>
      </c>
      <c r="I1490" s="9" t="str">
        <f>RIGHT(TablaCosechas[[#This Row],[SECTOR/PISCINA]],2)</f>
        <v>27</v>
      </c>
      <c r="J1490" s="9" t="str">
        <f>VLOOKUP(TablaCosechas[[#This Row],[COD]],Tabla7[#All],4,0)</f>
        <v>JOSE CEDEÑO</v>
      </c>
      <c r="K1490" s="179">
        <f>(TablaCosechas[[#This Row],[libras planta]]*454)/M1490</f>
        <v>154429.9645817634</v>
      </c>
      <c r="L1490" s="215">
        <v>9027.69</v>
      </c>
      <c r="M1490" s="19">
        <v>26.54</v>
      </c>
      <c r="N1490" s="9" t="str">
        <f>UPPER(TEXT(TablaCosechas[[#This Row],[COSECHA]],"MMMM"))</f>
        <v>ABRIL</v>
      </c>
      <c r="O1490" s="9" t="str">
        <f>IF(A1490="DO 29","BAP",IF(A1490="RO 14","BAP",(VLOOKUP(TablaCosechas[[#This Row],[COD]],Tabla7[[CODIGO]:[CERTIFICACION]],3,0))))</f>
        <v>ASC</v>
      </c>
      <c r="P1490" s="180">
        <f>+L1490-E1490</f>
        <v>-72.309999999999491</v>
      </c>
      <c r="Q1490" s="49">
        <f>+M1490-F1490</f>
        <v>3.5399999999999991</v>
      </c>
      <c r="R1490" s="9"/>
    </row>
    <row r="1491" spans="1:18" x14ac:dyDescent="0.25">
      <c r="A1491" s="9" t="s">
        <v>323</v>
      </c>
      <c r="B1491" s="9">
        <f>ROW() - ROW(TablaCosechas[[#Headers],[ID]]) - 4</f>
        <v>1486</v>
      </c>
      <c r="C1491" s="9" t="str">
        <f>LEFT(A1491,2)</f>
        <v>DO</v>
      </c>
      <c r="D1491" s="182" t="s">
        <v>366</v>
      </c>
      <c r="E1491" s="178">
        <f>40900+1000</f>
        <v>41900</v>
      </c>
      <c r="F1491" s="19">
        <v>36</v>
      </c>
      <c r="G1491" s="195">
        <v>46113</v>
      </c>
      <c r="H1491" s="9" t="str">
        <f>VLOOKUP(TablaCosechas[[#This Row],[COD]],DATOS!$E$3:$F$27,2,0)</f>
        <v>DORADO</v>
      </c>
      <c r="I1491" s="9" t="str">
        <f>RIGHT(TablaCosechas[[#This Row],[SECTOR/PISCINA]],2)</f>
        <v>22</v>
      </c>
      <c r="J1491" s="9" t="str">
        <f>VLOOKUP(TablaCosechas[[#This Row],[COD]],Tabla7[#All],4,0)</f>
        <v>JOSE CEDEÑO</v>
      </c>
      <c r="K1491" s="179">
        <f>(TablaCosechas[[#This Row],[libras planta]]*454)/M1491</f>
        <v>532797.03635859</v>
      </c>
      <c r="L1491" s="215">
        <v>42283.43</v>
      </c>
      <c r="M1491" s="19">
        <v>36.03</v>
      </c>
      <c r="N1491" s="9" t="str">
        <f>UPPER(TEXT(TablaCosechas[[#This Row],[COSECHA]],"MMMM"))</f>
        <v>ABRIL</v>
      </c>
      <c r="O1491" s="9" t="str">
        <f>IF(A1491="DO 29","BAP",IF(A1491="RO 14","BAP",(VLOOKUP(TablaCosechas[[#This Row],[COD]],Tabla7[[CODIGO]:[CERTIFICACION]],3,0))))</f>
        <v>ASC</v>
      </c>
      <c r="P1491" s="180">
        <f>+L1491-E1491</f>
        <v>383.43000000000029</v>
      </c>
      <c r="Q1491" s="181">
        <f>+M1491-F1491</f>
        <v>3.0000000000001137E-2</v>
      </c>
      <c r="R1491" s="9"/>
    </row>
    <row r="1492" spans="1:18" x14ac:dyDescent="0.25">
      <c r="A1492" s="9" t="s">
        <v>181</v>
      </c>
      <c r="B1492" s="9">
        <f>ROW() - ROW(TablaCosechas[[#Headers],[ID]]) - 4</f>
        <v>1487</v>
      </c>
      <c r="C1492" s="9" t="str">
        <f>LEFT(A1492,2)</f>
        <v>TA</v>
      </c>
      <c r="D1492" s="182" t="s">
        <v>367</v>
      </c>
      <c r="E1492" s="178">
        <v>14500</v>
      </c>
      <c r="F1492" s="19">
        <v>31</v>
      </c>
      <c r="G1492" s="195">
        <v>46114</v>
      </c>
      <c r="H1492" s="9" t="str">
        <f>VLOOKUP(TablaCosechas[[#This Row],[COD]],DATOS!$E$3:$F$27,2,0)</f>
        <v>TAMBULERO</v>
      </c>
      <c r="I1492" s="9" t="str">
        <f>RIGHT(TablaCosechas[[#This Row],[SECTOR/PISCINA]],2)</f>
        <v>10</v>
      </c>
      <c r="J1492" s="9" t="str">
        <f>VLOOKUP(TablaCosechas[[#This Row],[COD]],Tabla7[#All],4,0)</f>
        <v>ALFONSO GRUNAUER</v>
      </c>
      <c r="K1492" s="179">
        <f>(TablaCosechas[[#This Row],[libras planta]]*454)/M1492</f>
        <v>210539.40126984127</v>
      </c>
      <c r="L1492" s="215">
        <v>14607.91</v>
      </c>
      <c r="M1492" s="19">
        <v>31.5</v>
      </c>
      <c r="N1492" s="9" t="str">
        <f>UPPER(TEXT(TablaCosechas[[#This Row],[COSECHA]],"MMMM"))</f>
        <v>ABRIL</v>
      </c>
      <c r="O1492" s="9" t="str">
        <f>IF(A1492="DO 29","BAP",IF(A1492="RO 14","BAP",(VLOOKUP(TablaCosechas[[#This Row],[COD]],Tabla7[[CODIGO]:[CERTIFICACION]],3,0))))</f>
        <v>CONVENCIONAL</v>
      </c>
      <c r="P1492" s="180">
        <f>+L1492-E1492</f>
        <v>107.90999999999985</v>
      </c>
      <c r="Q1492" s="181">
        <f>+M1492-F1492</f>
        <v>0.5</v>
      </c>
      <c r="R1492" s="9"/>
    </row>
    <row r="1493" spans="1:18" x14ac:dyDescent="0.25">
      <c r="A1493" s="9" t="s">
        <v>325</v>
      </c>
      <c r="B1493" s="9">
        <f>ROW() - ROW(TablaCosechas[[#Headers],[ID]]) - 4</f>
        <v>1488</v>
      </c>
      <c r="C1493" s="9" t="str">
        <f>LEFT(A1493,2)</f>
        <v>PA</v>
      </c>
      <c r="D1493" s="182" t="s">
        <v>366</v>
      </c>
      <c r="E1493" s="178">
        <v>25400</v>
      </c>
      <c r="F1493" s="19">
        <v>29</v>
      </c>
      <c r="G1493" s="195">
        <v>46114</v>
      </c>
      <c r="H1493" s="9" t="str">
        <f>VLOOKUP(TablaCosechas[[#This Row],[COD]],DATOS!$E$3:$F$27,2,0)</f>
        <v>PAMPANO</v>
      </c>
      <c r="I1493" s="9" t="str">
        <f>RIGHT(TablaCosechas[[#This Row],[SECTOR/PISCINA]],2)</f>
        <v>15</v>
      </c>
      <c r="J1493" s="9" t="str">
        <f>VLOOKUP(TablaCosechas[[#This Row],[COD]],Tabla7[#All],4,0)</f>
        <v>GUSTAVO CARRASCO</v>
      </c>
      <c r="K1493" s="179">
        <f>(TablaCosechas[[#This Row],[libras planta]]*454)/M1493</f>
        <v>473437.85495011514</v>
      </c>
      <c r="L1493" s="215">
        <v>27175.75</v>
      </c>
      <c r="M1493" s="19">
        <v>26.06</v>
      </c>
      <c r="N1493" s="9" t="str">
        <f>UPPER(TEXT(TablaCosechas[[#This Row],[COSECHA]],"MMMM"))</f>
        <v>ABRIL</v>
      </c>
      <c r="O1493" s="9" t="str">
        <f>IF(A1493="DO 29","BAP",IF(A1493="RO 14","BAP",(VLOOKUP(TablaCosechas[[#This Row],[COD]],Tabla7[[CODIGO]:[CERTIFICACION]],3,0))))</f>
        <v>ASC</v>
      </c>
      <c r="P1493" s="180">
        <f>+L1493-E1493</f>
        <v>1775.75</v>
      </c>
      <c r="Q1493" s="181">
        <f>+M1493-F1493</f>
        <v>-2.9400000000000013</v>
      </c>
      <c r="R1493" s="9"/>
    </row>
    <row r="1494" spans="1:18" x14ac:dyDescent="0.25">
      <c r="A1494" s="9" t="s">
        <v>152</v>
      </c>
      <c r="B1494" s="9">
        <f>ROW() - ROW(TablaCosechas[[#Headers],[ID]]) - 4</f>
        <v>1489</v>
      </c>
      <c r="C1494" s="9" t="str">
        <f>LEFT(A1494,2)</f>
        <v>DO</v>
      </c>
      <c r="D1494" s="182" t="s">
        <v>367</v>
      </c>
      <c r="E1494" s="178">
        <v>11600</v>
      </c>
      <c r="F1494" s="19">
        <v>30</v>
      </c>
      <c r="G1494" s="195">
        <v>46114</v>
      </c>
      <c r="H1494" s="9" t="str">
        <f>VLOOKUP(TablaCosechas[[#This Row],[COD]],DATOS!$E$3:$F$27,2,0)</f>
        <v>DORADO</v>
      </c>
      <c r="I1494" s="9" t="str">
        <f>RIGHT(TablaCosechas[[#This Row],[SECTOR/PISCINA]],2)</f>
        <v>30</v>
      </c>
      <c r="J1494" s="9" t="str">
        <f>VLOOKUP(TablaCosechas[[#This Row],[COD]],Tabla7[#All],4,0)</f>
        <v>JOSE CEDEÑO</v>
      </c>
      <c r="K1494" s="179">
        <f>(TablaCosechas[[#This Row],[libras planta]]*454)/M1494</f>
        <v>174314.35963182116</v>
      </c>
      <c r="L1494" s="215">
        <v>11679.83</v>
      </c>
      <c r="M1494" s="19">
        <v>30.42</v>
      </c>
      <c r="N1494" s="9" t="str">
        <f>UPPER(TEXT(TablaCosechas[[#This Row],[COSECHA]],"MMMM"))</f>
        <v>ABRIL</v>
      </c>
      <c r="O1494" s="9" t="str">
        <f>IF(A1494="DO 29","BAP",IF(A1494="RO 14","BAP",(VLOOKUP(TablaCosechas[[#This Row],[COD]],Tabla7[[CODIGO]:[CERTIFICACION]],3,0))))</f>
        <v>ASC</v>
      </c>
      <c r="P1494" s="180">
        <f>+L1494-E1494</f>
        <v>79.829999999999927</v>
      </c>
      <c r="Q1494" s="49">
        <f>+M1494-F1494</f>
        <v>0.42000000000000171</v>
      </c>
      <c r="R1494" s="9"/>
    </row>
    <row r="1495" spans="1:18" x14ac:dyDescent="0.25">
      <c r="A1495" s="9" t="s">
        <v>144</v>
      </c>
      <c r="B1495" s="9">
        <f>ROW() - ROW(TablaCosechas[[#Headers],[ID]]) - 4</f>
        <v>1490</v>
      </c>
      <c r="C1495" s="9" t="str">
        <f>LEFT(A1495,2)</f>
        <v>DO</v>
      </c>
      <c r="D1495" s="182" t="s">
        <v>367</v>
      </c>
      <c r="E1495" s="178">
        <v>12600</v>
      </c>
      <c r="F1495" s="19">
        <v>35</v>
      </c>
      <c r="G1495" s="195">
        <v>46114</v>
      </c>
      <c r="H1495" s="9" t="str">
        <f>VLOOKUP(TablaCosechas[[#This Row],[COD]],DATOS!$E$3:$F$27,2,0)</f>
        <v>DORADO</v>
      </c>
      <c r="I1495" s="9" t="str">
        <f>RIGHT(TablaCosechas[[#This Row],[SECTOR/PISCINA]],2)</f>
        <v>09</v>
      </c>
      <c r="J1495" s="9" t="str">
        <f>VLOOKUP(TablaCosechas[[#This Row],[COD]],Tabla7[#All],4,0)</f>
        <v>JOSE CEDEÑO</v>
      </c>
      <c r="K1495" s="179">
        <f>(TablaCosechas[[#This Row],[libras planta]]*454)/M1495</f>
        <v>171685.9185918592</v>
      </c>
      <c r="L1495" s="215">
        <v>13750</v>
      </c>
      <c r="M1495" s="19">
        <v>36.36</v>
      </c>
      <c r="N1495" s="9" t="str">
        <f>UPPER(TEXT(TablaCosechas[[#This Row],[COSECHA]],"MMMM"))</f>
        <v>ABRIL</v>
      </c>
      <c r="O1495" s="9" t="str">
        <f>IF(A1495="DO 29","BAP",IF(A1495="RO 14","BAP",(VLOOKUP(TablaCosechas[[#This Row],[COD]],Tabla7[[CODIGO]:[CERTIFICACION]],3,0))))</f>
        <v>ASC</v>
      </c>
      <c r="P1495" s="180">
        <f>+L1495-E1495</f>
        <v>1150</v>
      </c>
      <c r="Q1495" s="49">
        <f>+M1495-F1495</f>
        <v>1.3599999999999994</v>
      </c>
      <c r="R1495" s="9"/>
    </row>
    <row r="1496" spans="1:18" x14ac:dyDescent="0.25">
      <c r="A1496" s="9" t="s">
        <v>20</v>
      </c>
      <c r="B1496" s="9">
        <f>ROW() - ROW(TablaCosechas[[#Headers],[ID]]) - 4</f>
        <v>1491</v>
      </c>
      <c r="C1496" s="9" t="str">
        <f>LEFT(A1496,2)</f>
        <v>CH</v>
      </c>
      <c r="D1496" s="182" t="s">
        <v>366</v>
      </c>
      <c r="E1496" s="178">
        <v>24700</v>
      </c>
      <c r="F1496" s="19">
        <v>29</v>
      </c>
      <c r="G1496" s="195">
        <v>46114</v>
      </c>
      <c r="H1496" s="9" t="str">
        <f>VLOOKUP(TablaCosechas[[#This Row],[COD]],DATOS!$E$3:$F$27,2,0)</f>
        <v>CHERNA</v>
      </c>
      <c r="I1496" s="9" t="str">
        <f>RIGHT(TablaCosechas[[#This Row],[SECTOR/PISCINA]],2)</f>
        <v>14</v>
      </c>
      <c r="J1496" s="9" t="str">
        <f>VLOOKUP(TablaCosechas[[#This Row],[COD]],Tabla7[#All],4,0)</f>
        <v>SANTIAGO OBRIEN</v>
      </c>
      <c r="K1496" s="179">
        <f>(TablaCosechas[[#This Row],[libras planta]]*454)/M1496</f>
        <v>367845.35745477228</v>
      </c>
      <c r="L1496" s="215">
        <v>25976.04</v>
      </c>
      <c r="M1496" s="19">
        <v>32.06</v>
      </c>
      <c r="N1496" s="9" t="str">
        <f>UPPER(TEXT(TablaCosechas[[#This Row],[COSECHA]],"MMMM"))</f>
        <v>ABRIL</v>
      </c>
      <c r="O1496" s="9" t="str">
        <f>IF(A1496="DO 29","BAP",IF(A1496="RO 14","BAP",(VLOOKUP(TablaCosechas[[#This Row],[COD]],Tabla7[[CODIGO]:[CERTIFICACION]],3,0))))</f>
        <v>ASC</v>
      </c>
      <c r="P1496" s="180">
        <f>+L1496-E1496</f>
        <v>1276.0400000000009</v>
      </c>
      <c r="Q1496" s="49">
        <f>+M1496-F1496</f>
        <v>3.0600000000000023</v>
      </c>
      <c r="R1496" s="9"/>
    </row>
    <row r="1497" spans="1:18" x14ac:dyDescent="0.25">
      <c r="A1497" s="9" t="s">
        <v>136</v>
      </c>
      <c r="B1497" s="9">
        <f>ROW() - ROW(TablaCosechas[[#Headers],[ID]]) - 4</f>
        <v>1492</v>
      </c>
      <c r="C1497" s="9" t="str">
        <f>LEFT(A1497,2)</f>
        <v>CA</v>
      </c>
      <c r="D1497" s="182" t="s">
        <v>366</v>
      </c>
      <c r="E1497" s="178">
        <v>11700</v>
      </c>
      <c r="F1497" s="19">
        <v>33</v>
      </c>
      <c r="G1497" s="195">
        <v>46114</v>
      </c>
      <c r="H1497" s="9" t="str">
        <f>VLOOKUP(TablaCosechas[[#This Row],[COD]],DATOS!$E$3:$F$27,2,0)</f>
        <v>CATANUDA</v>
      </c>
      <c r="I1497" s="9" t="str">
        <f>RIGHT(TablaCosechas[[#This Row],[SECTOR/PISCINA]],2)</f>
        <v>10</v>
      </c>
      <c r="J1497" s="9" t="str">
        <f>VLOOKUP(TablaCosechas[[#This Row],[COD]],Tabla7[#All],4,0)</f>
        <v>VICTOR QUINTANA</v>
      </c>
      <c r="K1497" s="179">
        <f>(TablaCosechas[[#This Row],[libras planta]]*454)/M1497</f>
        <v>175942.77866061291</v>
      </c>
      <c r="L1497" s="215">
        <v>13656.88</v>
      </c>
      <c r="M1497" s="19">
        <v>35.24</v>
      </c>
      <c r="N1497" s="9" t="str">
        <f>UPPER(TEXT(TablaCosechas[[#This Row],[COSECHA]],"MMMM"))</f>
        <v>ABRIL</v>
      </c>
      <c r="O1497" s="9" t="str">
        <f>IF(A1497="DO 29","BAP",IF(A1497="RO 14","BAP",(VLOOKUP(TablaCosechas[[#This Row],[COD]],Tabla7[[CODIGO]:[CERTIFICACION]],3,0))))</f>
        <v>ASC</v>
      </c>
      <c r="P1497" s="180">
        <f>+L1497-E1497</f>
        <v>1956.8799999999992</v>
      </c>
      <c r="Q1497" s="49">
        <f>+M1497-F1497</f>
        <v>2.240000000000002</v>
      </c>
      <c r="R1497" s="9"/>
    </row>
    <row r="1498" spans="1:18" x14ac:dyDescent="0.25">
      <c r="A1498" s="9" t="s">
        <v>328</v>
      </c>
      <c r="B1498" s="9">
        <f>ROW() - ROW(TablaCosechas[[#Headers],[ID]]) - 4</f>
        <v>1493</v>
      </c>
      <c r="C1498" s="9" t="str">
        <f>LEFT(A1498,2)</f>
        <v>WA</v>
      </c>
      <c r="D1498" s="182" t="s">
        <v>367</v>
      </c>
      <c r="E1498" s="178">
        <v>16821</v>
      </c>
      <c r="F1498" s="19">
        <v>31</v>
      </c>
      <c r="G1498" s="195">
        <v>46115</v>
      </c>
      <c r="H1498" s="9" t="str">
        <f>VLOOKUP(TablaCosechas[[#This Row],[COD]],DATOS!$E$3:$F$27,2,0)</f>
        <v>WAHOO</v>
      </c>
      <c r="I1498" s="9" t="str">
        <f>RIGHT(TablaCosechas[[#This Row],[SECTOR/PISCINA]],2)</f>
        <v>36</v>
      </c>
      <c r="J1498" s="9" t="str">
        <f>VLOOKUP(TablaCosechas[[#This Row],[COD]],Tabla7[#All],4,0)</f>
        <v>JUNIOR ESQUIVEL</v>
      </c>
      <c r="K1498" s="179">
        <f>(TablaCosechas[[#This Row],[libras planta]]*454)/M1498</f>
        <v>340585.28176795581</v>
      </c>
      <c r="L1498" s="215">
        <v>21725.439999999999</v>
      </c>
      <c r="M1498" s="19">
        <v>28.96</v>
      </c>
      <c r="N1498" s="9" t="str">
        <f>UPPER(TEXT(TablaCosechas[[#This Row],[COSECHA]],"MMMM"))</f>
        <v>ABRIL</v>
      </c>
      <c r="O1498" s="9" t="str">
        <f>IF(A1498="DO 29","BAP",IF(A1498="RO 14","BAP",(VLOOKUP(TablaCosechas[[#This Row],[COD]],Tabla7[[CODIGO]:[CERTIFICACION]],3,0))))</f>
        <v>CONVENCIONAL</v>
      </c>
      <c r="P1498" s="180">
        <f>+L1498-E1498</f>
        <v>4904.4399999999987</v>
      </c>
      <c r="Q1498" s="181">
        <f>+M1498-F1498</f>
        <v>-2.0399999999999991</v>
      </c>
      <c r="R1498" s="9"/>
    </row>
    <row r="1499" spans="1:18" x14ac:dyDescent="0.25">
      <c r="A1499" s="9" t="s">
        <v>198</v>
      </c>
      <c r="B1499" s="9">
        <f>ROW() - ROW(TablaCosechas[[#Headers],[ID]]) - 4</f>
        <v>1494</v>
      </c>
      <c r="C1499" s="9" t="str">
        <f>LEFT(A1499,2)</f>
        <v>RO</v>
      </c>
      <c r="D1499" s="182" t="s">
        <v>366</v>
      </c>
      <c r="E1499" s="178">
        <v>25500</v>
      </c>
      <c r="F1499" s="19">
        <v>21</v>
      </c>
      <c r="G1499" s="195">
        <v>46115</v>
      </c>
      <c r="H1499" s="9" t="str">
        <f>VLOOKUP(TablaCosechas[[#This Row],[COD]],DATOS!$E$3:$F$27,2,0)</f>
        <v>ROBALO</v>
      </c>
      <c r="I1499" s="9" t="str">
        <f>RIGHT(TablaCosechas[[#This Row],[SECTOR/PISCINA]],2)</f>
        <v>14</v>
      </c>
      <c r="J1499" s="9" t="str">
        <f>VLOOKUP(TablaCosechas[[#This Row],[COD]],Tabla7[#All],4,0)</f>
        <v>VICTOR QUINTANA</v>
      </c>
      <c r="K1499" s="179">
        <f>(TablaCosechas[[#This Row],[libras planta]]*454)/M1499</f>
        <v>600691.71240105538</v>
      </c>
      <c r="L1499" s="215">
        <v>30087.51</v>
      </c>
      <c r="M1499" s="19">
        <v>22.74</v>
      </c>
      <c r="N1499" s="9" t="str">
        <f>UPPER(TEXT(TablaCosechas[[#This Row],[COSECHA]],"MMMM"))</f>
        <v>ABRIL</v>
      </c>
      <c r="O1499" s="9" t="str">
        <f>IF(A1499="DO 29","BAP",IF(A1499="RO 14","BAP",(VLOOKUP(TablaCosechas[[#This Row],[COD]],Tabla7[[CODIGO]:[CERTIFICACION]],3,0))))</f>
        <v>BAP</v>
      </c>
      <c r="P1499" s="180">
        <f>+L1499-E1499</f>
        <v>4587.5099999999984</v>
      </c>
      <c r="Q1499" s="181">
        <f>+M1499-F1499</f>
        <v>1.7399999999999984</v>
      </c>
      <c r="R1499" s="9"/>
    </row>
    <row r="1500" spans="1:18" x14ac:dyDescent="0.25">
      <c r="A1500" s="9" t="s">
        <v>121</v>
      </c>
      <c r="B1500" s="9">
        <f>ROW() - ROW(TablaCosechas[[#Headers],[ID]]) - 4</f>
        <v>1495</v>
      </c>
      <c r="C1500" s="9" t="str">
        <f>LEFT(A1500,2)</f>
        <v>PR</v>
      </c>
      <c r="D1500" s="182" t="s">
        <v>366</v>
      </c>
      <c r="E1500" s="178">
        <v>33800</v>
      </c>
      <c r="F1500" s="19">
        <v>24</v>
      </c>
      <c r="G1500" s="195">
        <v>46115</v>
      </c>
      <c r="H1500" s="9" t="str">
        <f>VLOOKUP(TablaCosechas[[#This Row],[COD]],DATOS!$E$3:$F$27,2,0)</f>
        <v>PARGO ROJO</v>
      </c>
      <c r="I1500" s="9" t="str">
        <f>RIGHT(TablaCosechas[[#This Row],[SECTOR/PISCINA]],2)</f>
        <v>15</v>
      </c>
      <c r="J1500" s="9" t="str">
        <f>VLOOKUP(TablaCosechas[[#This Row],[COD]],Tabla7[#All],4,0)</f>
        <v>WILMER TORRES</v>
      </c>
      <c r="K1500" s="179">
        <f>(TablaCosechas[[#This Row],[libras planta]]*454)/M1500</f>
        <v>688307.93548387103</v>
      </c>
      <c r="L1500" s="215">
        <v>39479.160000000003</v>
      </c>
      <c r="M1500" s="19">
        <v>26.04</v>
      </c>
      <c r="N1500" s="9" t="str">
        <f>UPPER(TEXT(TablaCosechas[[#This Row],[COSECHA]],"MMMM"))</f>
        <v>ABRIL</v>
      </c>
      <c r="O1500" s="9" t="str">
        <f>IF(A1500="DO 29","BAP",IF(A1500="RO 14","BAP",(VLOOKUP(TablaCosechas[[#This Row],[COD]],Tabla7[[CODIGO]:[CERTIFICACION]],3,0))))</f>
        <v>CONVENCIONAL</v>
      </c>
      <c r="P1500" s="180">
        <f>+L1500-E1500</f>
        <v>5679.1600000000035</v>
      </c>
      <c r="Q1500" s="181">
        <f>+M1500-F1500</f>
        <v>2.0399999999999991</v>
      </c>
      <c r="R1500" s="9"/>
    </row>
    <row r="1501" spans="1:18" x14ac:dyDescent="0.25">
      <c r="A1501" s="9" t="s">
        <v>210</v>
      </c>
      <c r="B1501" s="9">
        <f>ROW() - ROW(TablaCosechas[[#Headers],[ID]]) - 4</f>
        <v>1496</v>
      </c>
      <c r="C1501" s="9" t="str">
        <f>LEFT(A1501,2)</f>
        <v>ME</v>
      </c>
      <c r="D1501" s="182" t="s">
        <v>367</v>
      </c>
      <c r="E1501" s="178">
        <v>19400</v>
      </c>
      <c r="F1501" s="19">
        <v>30</v>
      </c>
      <c r="G1501" s="195">
        <v>46115</v>
      </c>
      <c r="H1501" s="9" t="str">
        <f>VLOOKUP(TablaCosechas[[#This Row],[COD]],DATOS!$E$3:$F$27,2,0)</f>
        <v>MERO</v>
      </c>
      <c r="I1501" s="9" t="str">
        <f>RIGHT(TablaCosechas[[#This Row],[SECTOR/PISCINA]],2)</f>
        <v>09</v>
      </c>
      <c r="J1501" s="9" t="str">
        <f>VLOOKUP(TablaCosechas[[#This Row],[COD]],Tabla7[#All],4,0)</f>
        <v>NESTOR MOGOLLON</v>
      </c>
      <c r="K1501" s="179">
        <f>(TablaCosechas[[#This Row],[libras planta]]*454)/M1501</f>
        <v>306696.6829594911</v>
      </c>
      <c r="L1501" s="215">
        <v>20178.48</v>
      </c>
      <c r="M1501" s="19">
        <v>29.87</v>
      </c>
      <c r="N1501" s="9" t="str">
        <f>UPPER(TEXT(TablaCosechas[[#This Row],[COSECHA]],"MMMM"))</f>
        <v>ABRIL</v>
      </c>
      <c r="O1501" s="9" t="str">
        <f>IF(A1501="DO 29","BAP",IF(A1501="RO 14","BAP",(VLOOKUP(TablaCosechas[[#This Row],[COD]],Tabla7[[CODIGO]:[CERTIFICACION]],3,0))))</f>
        <v>CONVENCIONAL</v>
      </c>
      <c r="P1501" s="180">
        <f>+L1501-E1501</f>
        <v>778.47999999999956</v>
      </c>
      <c r="Q1501" s="49">
        <f>+M1501-F1501</f>
        <v>-0.12999999999999901</v>
      </c>
      <c r="R1501" s="9"/>
    </row>
    <row r="1502" spans="1:18" x14ac:dyDescent="0.25">
      <c r="A1502" s="9" t="s">
        <v>326</v>
      </c>
      <c r="B1502" s="9">
        <f>ROW() - ROW(TablaCosechas[[#Headers],[ID]]) - 4</f>
        <v>1497</v>
      </c>
      <c r="C1502" s="9" t="str">
        <f>LEFT(A1502,2)</f>
        <v>GT</v>
      </c>
      <c r="D1502" s="182" t="s">
        <v>366</v>
      </c>
      <c r="E1502" s="178">
        <v>27200</v>
      </c>
      <c r="F1502" s="19">
        <v>26</v>
      </c>
      <c r="G1502" s="195">
        <v>46115</v>
      </c>
      <c r="H1502" s="9" t="str">
        <f>VLOOKUP(TablaCosechas[[#This Row],[COD]],DATOS!$E$3:$F$27,2,0)</f>
        <v>GUATO</v>
      </c>
      <c r="I1502" s="9" t="str">
        <f>RIGHT(TablaCosechas[[#This Row],[SECTOR/PISCINA]],2)</f>
        <v>03</v>
      </c>
      <c r="J1502" s="9" t="str">
        <f>VLOOKUP(TablaCosechas[[#This Row],[COD]],Tabla7[#All],4,0)</f>
        <v>JULIO SANTOS</v>
      </c>
      <c r="K1502" s="179">
        <f>(TablaCosechas[[#This Row],[libras planta]]*454)/M1502</f>
        <v>533629.77181208052</v>
      </c>
      <c r="L1502" s="215">
        <v>31524.12</v>
      </c>
      <c r="M1502" s="19">
        <v>26.82</v>
      </c>
      <c r="N1502" s="9" t="str">
        <f>UPPER(TEXT(TablaCosechas[[#This Row],[COSECHA]],"MMMM"))</f>
        <v>ABRIL</v>
      </c>
      <c r="O1502" s="9" t="str">
        <f>IF(A1502="DO 29","BAP",IF(A1502="RO 14","BAP",(VLOOKUP(TablaCosechas[[#This Row],[COD]],Tabla7[[CODIGO]:[CERTIFICACION]],3,0))))</f>
        <v>CONVENCIONAL</v>
      </c>
      <c r="P1502" s="180">
        <f>+L1502-E1502</f>
        <v>4324.119999999999</v>
      </c>
      <c r="Q1502" s="49">
        <f>+M1502-F1502</f>
        <v>0.82000000000000028</v>
      </c>
      <c r="R1502" s="9"/>
    </row>
    <row r="1503" spans="1:18" x14ac:dyDescent="0.25">
      <c r="A1503" s="9" t="s">
        <v>26</v>
      </c>
      <c r="B1503" s="9">
        <f>ROW() - ROW(TablaCosechas[[#Headers],[ID]]) - 4</f>
        <v>1498</v>
      </c>
      <c r="C1503" s="9" t="str">
        <f>LEFT(A1503,2)</f>
        <v>CH</v>
      </c>
      <c r="D1503" s="182" t="s">
        <v>367</v>
      </c>
      <c r="E1503" s="178">
        <v>7900</v>
      </c>
      <c r="F1503" s="19">
        <v>29.6</v>
      </c>
      <c r="G1503" s="195">
        <v>46115</v>
      </c>
      <c r="H1503" s="9" t="str">
        <f>VLOOKUP(TablaCosechas[[#This Row],[COD]],DATOS!$E$3:$F$27,2,0)</f>
        <v>CHERNA</v>
      </c>
      <c r="I1503" s="9" t="str">
        <f>RIGHT(TablaCosechas[[#This Row],[SECTOR/PISCINA]],2)</f>
        <v>23</v>
      </c>
      <c r="J1503" s="9" t="str">
        <f>VLOOKUP(TablaCosechas[[#This Row],[COD]],Tabla7[#All],4,0)</f>
        <v>SANTIAGO OBRIEN</v>
      </c>
      <c r="K1503" s="179">
        <f>(TablaCosechas[[#This Row],[libras planta]]*454)/M1503</f>
        <v>131153.80886426594</v>
      </c>
      <c r="L1503" s="215">
        <v>8343</v>
      </c>
      <c r="M1503" s="19">
        <v>28.88</v>
      </c>
      <c r="N1503" s="9" t="str">
        <f>UPPER(TEXT(TablaCosechas[[#This Row],[COSECHA]],"MMMM"))</f>
        <v>ABRIL</v>
      </c>
      <c r="O1503" s="9" t="str">
        <f>IF(A1503="DO 29","BAP",IF(A1503="RO 14","BAP",(VLOOKUP(TablaCosechas[[#This Row],[COD]],Tabla7[[CODIGO]:[CERTIFICACION]],3,0))))</f>
        <v>ASC</v>
      </c>
      <c r="P1503" s="180">
        <f>+L1503-E1503</f>
        <v>443</v>
      </c>
      <c r="Q1503" s="181">
        <f>+M1503-F1503</f>
        <v>-0.72000000000000242</v>
      </c>
      <c r="R1503" s="9"/>
    </row>
    <row r="1504" spans="1:18" x14ac:dyDescent="0.25">
      <c r="A1504" s="9" t="s">
        <v>110</v>
      </c>
      <c r="B1504" s="9">
        <f>ROW() - ROW(TablaCosechas[[#Headers],[ID]]) - 4</f>
        <v>1499</v>
      </c>
      <c r="C1504" s="9" t="str">
        <f>LEFT(A1504,2)</f>
        <v>CA</v>
      </c>
      <c r="D1504" s="182" t="s">
        <v>367</v>
      </c>
      <c r="E1504" s="178">
        <v>12600</v>
      </c>
      <c r="F1504" s="19">
        <v>33</v>
      </c>
      <c r="G1504" s="195">
        <v>46115</v>
      </c>
      <c r="H1504" s="9" t="str">
        <f>VLOOKUP(TablaCosechas[[#This Row],[COD]],DATOS!$E$3:$F$27,2,0)</f>
        <v>CATANUDA</v>
      </c>
      <c r="I1504" s="9" t="str">
        <f>RIGHT(TablaCosechas[[#This Row],[SECTOR/PISCINA]],2)</f>
        <v>17</v>
      </c>
      <c r="J1504" s="9" t="str">
        <f>VLOOKUP(TablaCosechas[[#This Row],[COD]],Tabla7[#All],4,0)</f>
        <v>VICTOR QUINTANA</v>
      </c>
      <c r="K1504" s="179">
        <f>(TablaCosechas[[#This Row],[libras planta]]*454)/M1504</f>
        <v>157645.77565217391</v>
      </c>
      <c r="L1504" s="215">
        <v>11979.69</v>
      </c>
      <c r="M1504" s="19">
        <v>34.5</v>
      </c>
      <c r="N1504" s="9" t="str">
        <f>UPPER(TEXT(TablaCosechas[[#This Row],[COSECHA]],"MMMM"))</f>
        <v>ABRIL</v>
      </c>
      <c r="O1504" s="9" t="str">
        <f>IF(A1504="DO 29","BAP",IF(A1504="RO 14","BAP",(VLOOKUP(TablaCosechas[[#This Row],[COD]],Tabla7[[CODIGO]:[CERTIFICACION]],3,0))))</f>
        <v>ASC</v>
      </c>
      <c r="P1504" s="180">
        <f>+L1504-E1504</f>
        <v>-620.30999999999949</v>
      </c>
      <c r="Q1504" s="181">
        <f>+M1504-F1504</f>
        <v>1.5</v>
      </c>
      <c r="R1504" s="9"/>
    </row>
    <row r="1505" spans="1:18" x14ac:dyDescent="0.25">
      <c r="A1505" s="9" t="s">
        <v>328</v>
      </c>
      <c r="B1505" s="9">
        <f>ROW() - ROW(TablaCosechas[[#Headers],[ID]]) - 4</f>
        <v>1500</v>
      </c>
      <c r="C1505" s="9" t="str">
        <f>LEFT(A1505,2)</f>
        <v>WA</v>
      </c>
      <c r="D1505" s="182" t="s">
        <v>366</v>
      </c>
      <c r="E1505" s="178">
        <v>17850</v>
      </c>
      <c r="F1505" s="19">
        <v>31</v>
      </c>
      <c r="G1505" s="195">
        <v>46116</v>
      </c>
      <c r="H1505" s="9" t="str">
        <f>VLOOKUP(TablaCosechas[[#This Row],[COD]],DATOS!$E$3:$F$27,2,0)</f>
        <v>WAHOO</v>
      </c>
      <c r="I1505" s="9" t="str">
        <f>RIGHT(TablaCosechas[[#This Row],[SECTOR/PISCINA]],2)</f>
        <v>36</v>
      </c>
      <c r="J1505" s="9" t="str">
        <f>VLOOKUP(TablaCosechas[[#This Row],[COD]],Tabla7[#All],4,0)</f>
        <v>JUNIOR ESQUIVEL</v>
      </c>
      <c r="K1505" s="179">
        <f>(TablaCosechas[[#This Row],[libras planta]]*454)/M1505</f>
        <v>340585.28176795581</v>
      </c>
      <c r="L1505" s="215">
        <v>21725.439999999999</v>
      </c>
      <c r="M1505" s="19">
        <v>28.96</v>
      </c>
      <c r="N1505" s="9" t="str">
        <f>UPPER(TEXT(TablaCosechas[[#This Row],[COSECHA]],"MMMM"))</f>
        <v>ABRIL</v>
      </c>
      <c r="O1505" s="9" t="str">
        <f>IF(A1505="DO 29","BAP",IF(A1505="RO 14","BAP",(VLOOKUP(TablaCosechas[[#This Row],[COD]],Tabla7[[CODIGO]:[CERTIFICACION]],3,0))))</f>
        <v>CONVENCIONAL</v>
      </c>
      <c r="P1505" s="180">
        <f>+L1505-E1505</f>
        <v>3875.4399999999987</v>
      </c>
      <c r="Q1505" s="181">
        <f>+M1505-F1505</f>
        <v>-2.0399999999999991</v>
      </c>
      <c r="R1505" s="9"/>
    </row>
    <row r="1506" spans="1:18" x14ac:dyDescent="0.25">
      <c r="A1506" s="9" t="s">
        <v>113</v>
      </c>
      <c r="B1506" s="9">
        <f>ROW() - ROW(TablaCosechas[[#Headers],[ID]]) - 4</f>
        <v>1501</v>
      </c>
      <c r="C1506" s="9" t="str">
        <f>LEFT(A1506,2)</f>
        <v>PR</v>
      </c>
      <c r="D1506" s="182" t="s">
        <v>366</v>
      </c>
      <c r="E1506" s="178">
        <v>13000</v>
      </c>
      <c r="F1506" s="19">
        <v>26</v>
      </c>
      <c r="G1506" s="195">
        <v>46116</v>
      </c>
      <c r="H1506" s="9" t="str">
        <f>VLOOKUP(TablaCosechas[[#This Row],[COD]],DATOS!$E$3:$F$27,2,0)</f>
        <v>PARGO ROJO</v>
      </c>
      <c r="I1506" s="9" t="str">
        <f>RIGHT(TablaCosechas[[#This Row],[SECTOR/PISCINA]],2)</f>
        <v>03</v>
      </c>
      <c r="J1506" s="9" t="str">
        <f>VLOOKUP(TablaCosechas[[#This Row],[COD]],Tabla7[#All],4,0)</f>
        <v>WILMER TORRES</v>
      </c>
      <c r="K1506" s="179">
        <f>(TablaCosechas[[#This Row],[libras planta]]*454)/M1506</f>
        <v>261273.36384439358</v>
      </c>
      <c r="L1506" s="215">
        <v>15089.4</v>
      </c>
      <c r="M1506" s="19">
        <v>26.22</v>
      </c>
      <c r="N1506" s="9" t="str">
        <f>UPPER(TEXT(TablaCosechas[[#This Row],[COSECHA]],"MMMM"))</f>
        <v>ABRIL</v>
      </c>
      <c r="O1506" s="9" t="str">
        <f>IF(A1506="DO 29","BAP",IF(A1506="RO 14","BAP",(VLOOKUP(TablaCosechas[[#This Row],[COD]],Tabla7[[CODIGO]:[CERTIFICACION]],3,0))))</f>
        <v>CONVENCIONAL</v>
      </c>
      <c r="P1506" s="180">
        <f>+L1506-E1506</f>
        <v>2089.3999999999996</v>
      </c>
      <c r="Q1506" s="181">
        <f>+M1506-F1506</f>
        <v>0.21999999999999886</v>
      </c>
      <c r="R1506" s="9"/>
    </row>
    <row r="1507" spans="1:18" x14ac:dyDescent="0.25">
      <c r="A1507" s="9" t="s">
        <v>154</v>
      </c>
      <c r="B1507" s="9">
        <f>ROW() - ROW(TablaCosechas[[#Headers],[ID]]) - 4</f>
        <v>1502</v>
      </c>
      <c r="C1507" s="9" t="str">
        <f>LEFT(A1507,2)</f>
        <v>PR</v>
      </c>
      <c r="D1507" s="182" t="s">
        <v>366</v>
      </c>
      <c r="E1507" s="178">
        <v>12500</v>
      </c>
      <c r="F1507" s="19">
        <v>25</v>
      </c>
      <c r="G1507" s="195">
        <v>46116</v>
      </c>
      <c r="H1507" s="9" t="str">
        <f>VLOOKUP(TablaCosechas[[#This Row],[COD]],DATOS!$E$3:$F$27,2,0)</f>
        <v>PARGO ROJO</v>
      </c>
      <c r="I1507" s="9" t="str">
        <f>RIGHT(TablaCosechas[[#This Row],[SECTOR/PISCINA]],2)</f>
        <v>02</v>
      </c>
      <c r="J1507" s="9" t="str">
        <f>VLOOKUP(TablaCosechas[[#This Row],[COD]],Tabla7[#All],4,0)</f>
        <v>WILMER TORRES</v>
      </c>
      <c r="K1507" s="179">
        <f>(TablaCosechas[[#This Row],[libras planta]]*454)/M1507</f>
        <v>259266.42857142858</v>
      </c>
      <c r="L1507" s="215">
        <v>14630.85</v>
      </c>
      <c r="M1507" s="19">
        <v>25.62</v>
      </c>
      <c r="N1507" s="9" t="str">
        <f>UPPER(TEXT(TablaCosechas[[#This Row],[COSECHA]],"MMMM"))</f>
        <v>ABRIL</v>
      </c>
      <c r="O1507" s="9" t="str">
        <f>IF(A1507="DO 29","BAP",IF(A1507="RO 14","BAP",(VLOOKUP(TablaCosechas[[#This Row],[COD]],Tabla7[[CODIGO]:[CERTIFICACION]],3,0))))</f>
        <v>CONVENCIONAL</v>
      </c>
      <c r="P1507" s="180">
        <f>+L1507-E1507</f>
        <v>2130.8500000000004</v>
      </c>
      <c r="Q1507" s="181">
        <f>+M1507-F1507</f>
        <v>0.62000000000000099</v>
      </c>
      <c r="R1507" s="9"/>
    </row>
    <row r="1508" spans="1:18" x14ac:dyDescent="0.25">
      <c r="A1508" s="9" t="s">
        <v>332</v>
      </c>
      <c r="B1508" s="9">
        <f>ROW() - ROW(TablaCosechas[[#Headers],[ID]]) - 4</f>
        <v>1503</v>
      </c>
      <c r="C1508" s="9" t="str">
        <f>LEFT(A1508,2)</f>
        <v>PA</v>
      </c>
      <c r="D1508" s="182" t="s">
        <v>367</v>
      </c>
      <c r="E1508" s="178">
        <v>12100</v>
      </c>
      <c r="F1508" s="19">
        <v>32</v>
      </c>
      <c r="G1508" s="195">
        <v>46116</v>
      </c>
      <c r="H1508" s="9" t="str">
        <f>VLOOKUP(TablaCosechas[[#This Row],[COD]],DATOS!$E$3:$F$27,2,0)</f>
        <v>PAMPANO</v>
      </c>
      <c r="I1508" s="9" t="str">
        <f>RIGHT(TablaCosechas[[#This Row],[SECTOR/PISCINA]],2)</f>
        <v>12</v>
      </c>
      <c r="J1508" s="9" t="str">
        <f>VLOOKUP(TablaCosechas[[#This Row],[COD]],Tabla7[#All],4,0)</f>
        <v>GUSTAVO CARRASCO</v>
      </c>
      <c r="K1508" s="179">
        <f>(TablaCosechas[[#This Row],[libras planta]]*454)/M1508</f>
        <v>155811.07930029155</v>
      </c>
      <c r="L1508" s="215">
        <v>11771.63</v>
      </c>
      <c r="M1508" s="19">
        <v>34.299999999999997</v>
      </c>
      <c r="N1508" s="9" t="str">
        <f>UPPER(TEXT(TablaCosechas[[#This Row],[COSECHA]],"MMMM"))</f>
        <v>ABRIL</v>
      </c>
      <c r="O1508" s="9" t="str">
        <f>IF(A1508="DO 29","BAP",IF(A1508="RO 14","BAP",(VLOOKUP(TablaCosechas[[#This Row],[COD]],Tabla7[[CODIGO]:[CERTIFICACION]],3,0))))</f>
        <v>ASC</v>
      </c>
      <c r="P1508" s="180">
        <f>+L1508-E1508</f>
        <v>-328.3700000000008</v>
      </c>
      <c r="Q1508" s="49">
        <f>+M1508-F1508</f>
        <v>2.2999999999999972</v>
      </c>
      <c r="R1508" s="9"/>
    </row>
    <row r="1509" spans="1:18" x14ac:dyDescent="0.25">
      <c r="A1509" s="9" t="s">
        <v>164</v>
      </c>
      <c r="B1509" s="9">
        <f>ROW() - ROW(TablaCosechas[[#Headers],[ID]]) - 4</f>
        <v>1504</v>
      </c>
      <c r="C1509" s="9" t="str">
        <f>LEFT(A1509,2)</f>
        <v>PA</v>
      </c>
      <c r="D1509" s="182" t="s">
        <v>367</v>
      </c>
      <c r="E1509" s="178">
        <v>6600</v>
      </c>
      <c r="F1509" s="19">
        <v>25</v>
      </c>
      <c r="G1509" s="195">
        <v>46116</v>
      </c>
      <c r="H1509" s="9" t="str">
        <f>VLOOKUP(TablaCosechas[[#This Row],[COD]],DATOS!$E$3:$F$27,2,0)</f>
        <v>PAMPANO</v>
      </c>
      <c r="I1509" s="9" t="str">
        <f>RIGHT(TablaCosechas[[#This Row],[SECTOR/PISCINA]],2)</f>
        <v>11</v>
      </c>
      <c r="J1509" s="9" t="str">
        <f>VLOOKUP(TablaCosechas[[#This Row],[COD]],Tabla7[#All],4,0)</f>
        <v>GUSTAVO CARRASCO</v>
      </c>
      <c r="K1509" s="179">
        <f>(TablaCosechas[[#This Row],[libras planta]]*454)/M1509</f>
        <v>116289.7802919708</v>
      </c>
      <c r="L1509" s="215">
        <v>7018.37</v>
      </c>
      <c r="M1509" s="19">
        <v>27.4</v>
      </c>
      <c r="N1509" s="9" t="str">
        <f>UPPER(TEXT(TablaCosechas[[#This Row],[COSECHA]],"MMMM"))</f>
        <v>ABRIL</v>
      </c>
      <c r="O1509" s="9" t="str">
        <f>IF(A1509="DO 29","BAP",IF(A1509="RO 14","BAP",(VLOOKUP(TablaCosechas[[#This Row],[COD]],Tabla7[[CODIGO]:[CERTIFICACION]],3,0))))</f>
        <v>ASC</v>
      </c>
      <c r="P1509" s="180">
        <f>+L1509-E1509</f>
        <v>418.36999999999989</v>
      </c>
      <c r="Q1509" s="181">
        <f>+M1509-F1509</f>
        <v>2.3999999999999986</v>
      </c>
      <c r="R1509" s="9"/>
    </row>
    <row r="1510" spans="1:18" x14ac:dyDescent="0.25">
      <c r="A1510" s="9" t="s">
        <v>170</v>
      </c>
      <c r="B1510" s="9">
        <f>ROW() - ROW(TablaCosechas[[#Headers],[ID]]) - 4</f>
        <v>1505</v>
      </c>
      <c r="C1510" s="9" t="str">
        <f>LEFT(A1510,2)</f>
        <v>PA</v>
      </c>
      <c r="D1510" s="182" t="s">
        <v>367</v>
      </c>
      <c r="E1510" s="178">
        <v>5250</v>
      </c>
      <c r="F1510" s="19">
        <v>26.5</v>
      </c>
      <c r="G1510" s="195">
        <v>46116</v>
      </c>
      <c r="H1510" s="9" t="str">
        <f>VLOOKUP(TablaCosechas[[#This Row],[COD]],DATOS!$E$3:$F$27,2,0)</f>
        <v>PAMPANO</v>
      </c>
      <c r="I1510" s="9" t="str">
        <f>RIGHT(TablaCosechas[[#This Row],[SECTOR/PISCINA]],2)</f>
        <v>08</v>
      </c>
      <c r="J1510" s="9" t="str">
        <f>VLOOKUP(TablaCosechas[[#This Row],[COD]],Tabla7[#All],4,0)</f>
        <v>GUSTAVO CARRASCO</v>
      </c>
      <c r="K1510" s="179">
        <f>(TablaCosechas[[#This Row],[libras planta]]*454)/M1510</f>
        <v>97121.076923076907</v>
      </c>
      <c r="L1510" s="215">
        <v>6229.44</v>
      </c>
      <c r="M1510" s="19">
        <v>29.12</v>
      </c>
      <c r="N1510" s="9" t="str">
        <f>UPPER(TEXT(TablaCosechas[[#This Row],[COSECHA]],"MMMM"))</f>
        <v>ABRIL</v>
      </c>
      <c r="O1510" s="9" t="str">
        <f>IF(A1510="DO 29","BAP",IF(A1510="RO 14","BAP",(VLOOKUP(TablaCosechas[[#This Row],[COD]],Tabla7[[CODIGO]:[CERTIFICACION]],3,0))))</f>
        <v>ASC</v>
      </c>
      <c r="P1510" s="180">
        <f>+L1510-E1510</f>
        <v>979.4399999999996</v>
      </c>
      <c r="Q1510" s="181">
        <f>+M1510-F1510</f>
        <v>2.620000000000001</v>
      </c>
      <c r="R1510" s="9"/>
    </row>
    <row r="1511" spans="1:18" x14ac:dyDescent="0.25">
      <c r="A1511" s="9" t="s">
        <v>210</v>
      </c>
      <c r="B1511" s="9">
        <f>ROW() - ROW(TablaCosechas[[#Headers],[ID]]) - 4</f>
        <v>1506</v>
      </c>
      <c r="C1511" s="9" t="str">
        <f>LEFT(A1511,2)</f>
        <v>ME</v>
      </c>
      <c r="D1511" s="182" t="s">
        <v>366</v>
      </c>
      <c r="E1511" s="178">
        <f>11600+800</f>
        <v>12400</v>
      </c>
      <c r="F1511" s="19">
        <v>30</v>
      </c>
      <c r="G1511" s="195">
        <v>46116</v>
      </c>
      <c r="H1511" s="9" t="str">
        <f>VLOOKUP(TablaCosechas[[#This Row],[COD]],DATOS!$E$3:$F$27,2,0)</f>
        <v>MERO</v>
      </c>
      <c r="I1511" s="9" t="str">
        <f>RIGHT(TablaCosechas[[#This Row],[SECTOR/PISCINA]],2)</f>
        <v>09</v>
      </c>
      <c r="J1511" s="9" t="str">
        <f>VLOOKUP(TablaCosechas[[#This Row],[COD]],Tabla7[#All],4,0)</f>
        <v>NESTOR MOGOLLON</v>
      </c>
      <c r="K1511" s="179">
        <f>(TablaCosechas[[#This Row],[libras planta]]*454)/M1511</f>
        <v>187515.80206985769</v>
      </c>
      <c r="L1511" s="215">
        <v>12770.9</v>
      </c>
      <c r="M1511" s="19">
        <v>30.92</v>
      </c>
      <c r="N1511" s="9" t="str">
        <f>UPPER(TEXT(TablaCosechas[[#This Row],[COSECHA]],"MMMM"))</f>
        <v>ABRIL</v>
      </c>
      <c r="O1511" s="9" t="str">
        <f>IF(A1511="DO 29","BAP",IF(A1511="RO 14","BAP",(VLOOKUP(TablaCosechas[[#This Row],[COD]],Tabla7[[CODIGO]:[CERTIFICACION]],3,0))))</f>
        <v>CONVENCIONAL</v>
      </c>
      <c r="P1511" s="180">
        <f>+L1511-E1511</f>
        <v>370.89999999999964</v>
      </c>
      <c r="Q1511" s="181">
        <f>+M1511-F1511</f>
        <v>0.92000000000000171</v>
      </c>
      <c r="R1511" s="9"/>
    </row>
    <row r="1512" spans="1:18" x14ac:dyDescent="0.25">
      <c r="A1512" s="9" t="s">
        <v>327</v>
      </c>
      <c r="B1512" s="9">
        <f>ROW() - ROW(TablaCosechas[[#Headers],[ID]]) - 4</f>
        <v>1507</v>
      </c>
      <c r="C1512" s="9" t="str">
        <f>LEFT(A1512,2)</f>
        <v>GT</v>
      </c>
      <c r="D1512" s="182" t="s">
        <v>366</v>
      </c>
      <c r="E1512" s="178">
        <v>16100</v>
      </c>
      <c r="F1512" s="19">
        <v>35</v>
      </c>
      <c r="G1512" s="195">
        <v>46116</v>
      </c>
      <c r="H1512" s="9" t="str">
        <f>VLOOKUP(TablaCosechas[[#This Row],[COD]],DATOS!$E$3:$F$27,2,0)</f>
        <v>GUATO</v>
      </c>
      <c r="I1512" s="9" t="str">
        <f>RIGHT(TablaCosechas[[#This Row],[SECTOR/PISCINA]],2)</f>
        <v>08</v>
      </c>
      <c r="J1512" s="9" t="str">
        <f>VLOOKUP(TablaCosechas[[#This Row],[COD]],Tabla7[#All],4,0)</f>
        <v>JULIO SANTOS</v>
      </c>
      <c r="K1512" s="179">
        <f>(TablaCosechas[[#This Row],[libras planta]]*454)/M1512</f>
        <v>226292.84014869886</v>
      </c>
      <c r="L1512" s="215">
        <v>17430.53</v>
      </c>
      <c r="M1512" s="19">
        <v>34.97</v>
      </c>
      <c r="N1512" s="9" t="str">
        <f>UPPER(TEXT(TablaCosechas[[#This Row],[COSECHA]],"MMMM"))</f>
        <v>ABRIL</v>
      </c>
      <c r="O1512" s="9" t="str">
        <f>IF(A1512="DO 29","BAP",IF(A1512="RO 14","BAP",(VLOOKUP(TablaCosechas[[#This Row],[COD]],Tabla7[[CODIGO]:[CERTIFICACION]],3,0))))</f>
        <v>CONVENCIONAL</v>
      </c>
      <c r="P1512" s="180">
        <f>+L1512-E1512</f>
        <v>1330.5299999999988</v>
      </c>
      <c r="Q1512" s="181">
        <f>+M1512-F1512</f>
        <v>-3.0000000000001137E-2</v>
      </c>
      <c r="R1512" s="9"/>
    </row>
    <row r="1513" spans="1:18" x14ac:dyDescent="0.25">
      <c r="A1513" s="9" t="s">
        <v>187</v>
      </c>
      <c r="B1513" s="9">
        <f>ROW() - ROW(TablaCosechas[[#Headers],[ID]]) - 4</f>
        <v>1508</v>
      </c>
      <c r="C1513" s="9" t="str">
        <f>LEFT(A1513,2)</f>
        <v>DE</v>
      </c>
      <c r="D1513" s="182" t="s">
        <v>367</v>
      </c>
      <c r="E1513" s="178">
        <v>6400</v>
      </c>
      <c r="F1513" s="19">
        <v>22</v>
      </c>
      <c r="G1513" s="195">
        <v>46116</v>
      </c>
      <c r="H1513" s="9" t="str">
        <f>VLOOKUP(TablaCosechas[[#This Row],[COD]],DATOS!$E$3:$F$27,2,0)</f>
        <v>DELFIN</v>
      </c>
      <c r="I1513" s="9" t="str">
        <f>RIGHT(TablaCosechas[[#This Row],[SECTOR/PISCINA]],2)</f>
        <v>22</v>
      </c>
      <c r="J1513" s="9" t="str">
        <f>VLOOKUP(TablaCosechas[[#This Row],[COD]],Tabla7[#All],4,0)</f>
        <v>CARLOS FLORES</v>
      </c>
      <c r="K1513" s="179">
        <f>(TablaCosechas[[#This Row],[libras planta]]*454)/M1513</f>
        <v>123303.76811594205</v>
      </c>
      <c r="L1513" s="215">
        <v>6371.6</v>
      </c>
      <c r="M1513" s="19">
        <v>23.46</v>
      </c>
      <c r="N1513" s="9" t="str">
        <f>UPPER(TEXT(TablaCosechas[[#This Row],[COSECHA]],"MMMM"))</f>
        <v>ABRIL</v>
      </c>
      <c r="O1513" s="9" t="str">
        <f>IF(A1513="DO 29","BAP",IF(A1513="RO 14","BAP",(VLOOKUP(TablaCosechas[[#This Row],[COD]],Tabla7[[CODIGO]:[CERTIFICACION]],3,0))))</f>
        <v>CONVENCIONAL</v>
      </c>
      <c r="P1513" s="180">
        <f>+L1513-E1513</f>
        <v>-28.399999999999636</v>
      </c>
      <c r="Q1513" s="181">
        <f>+M1513-F1513</f>
        <v>1.4600000000000009</v>
      </c>
      <c r="R1513" s="9"/>
    </row>
    <row r="1514" spans="1:18" x14ac:dyDescent="0.25">
      <c r="A1514" s="9" t="s">
        <v>254</v>
      </c>
      <c r="B1514" s="9">
        <f>ROW() - ROW(TablaCosechas[[#Headers],[ID]]) - 4</f>
        <v>1509</v>
      </c>
      <c r="C1514" s="9" t="str">
        <f>LEFT(A1514,2)</f>
        <v>DE</v>
      </c>
      <c r="D1514" s="182" t="s">
        <v>367</v>
      </c>
      <c r="E1514" s="178">
        <v>8400</v>
      </c>
      <c r="F1514" s="19">
        <v>19</v>
      </c>
      <c r="G1514" s="195">
        <v>46116</v>
      </c>
      <c r="H1514" s="9" t="str">
        <f>VLOOKUP(TablaCosechas[[#This Row],[COD]],DATOS!$E$3:$F$27,2,0)</f>
        <v>DELFIN</v>
      </c>
      <c r="I1514" s="9" t="str">
        <f>RIGHT(TablaCosechas[[#This Row],[SECTOR/PISCINA]],2)</f>
        <v>12</v>
      </c>
      <c r="J1514" s="9" t="str">
        <f>VLOOKUP(TablaCosechas[[#This Row],[COD]],Tabla7[#All],4,0)</f>
        <v>CARLOS FLORES</v>
      </c>
      <c r="K1514" s="179">
        <f>(TablaCosechas[[#This Row],[libras planta]]*454)/M1514</f>
        <v>184065.14969497887</v>
      </c>
      <c r="L1514" s="215">
        <v>8639.7099999999991</v>
      </c>
      <c r="M1514" s="19">
        <v>21.31</v>
      </c>
      <c r="N1514" s="9" t="str">
        <f>UPPER(TEXT(TablaCosechas[[#This Row],[COSECHA]],"MMMM"))</f>
        <v>ABRIL</v>
      </c>
      <c r="O1514" s="9" t="str">
        <f>IF(A1514="DO 29","BAP",IF(A1514="RO 14","BAP",(VLOOKUP(TablaCosechas[[#This Row],[COD]],Tabla7[[CODIGO]:[CERTIFICACION]],3,0))))</f>
        <v>CONVENCIONAL</v>
      </c>
      <c r="P1514" s="180">
        <f>+L1514-E1514</f>
        <v>239.70999999999913</v>
      </c>
      <c r="Q1514" s="181">
        <f>+M1514-F1514</f>
        <v>2.3099999999999987</v>
      </c>
      <c r="R1514" s="9"/>
    </row>
    <row r="1515" spans="1:18" x14ac:dyDescent="0.25">
      <c r="A1515" s="9" t="s">
        <v>22</v>
      </c>
      <c r="B1515" s="9">
        <f>ROW() - ROW(TablaCosechas[[#Headers],[ID]]) - 4</f>
        <v>1510</v>
      </c>
      <c r="C1515" s="9" t="str">
        <f>LEFT(A1515,2)</f>
        <v>CH</v>
      </c>
      <c r="D1515" s="182" t="s">
        <v>367</v>
      </c>
      <c r="E1515" s="178">
        <v>8600</v>
      </c>
      <c r="F1515" s="19">
        <v>23</v>
      </c>
      <c r="G1515" s="195">
        <v>46116</v>
      </c>
      <c r="H1515" s="9" t="str">
        <f>VLOOKUP(TablaCosechas[[#This Row],[COD]],DATOS!$E$3:$F$27,2,0)</f>
        <v>CHERNA</v>
      </c>
      <c r="I1515" s="9" t="str">
        <f>RIGHT(TablaCosechas[[#This Row],[SECTOR/PISCINA]],2)</f>
        <v>16</v>
      </c>
      <c r="J1515" s="9" t="str">
        <f>VLOOKUP(TablaCosechas[[#This Row],[COD]],Tabla7[#All],4,0)</f>
        <v>SANTIAGO OBRIEN</v>
      </c>
      <c r="K1515" s="179">
        <f>(TablaCosechas[[#This Row],[libras planta]]*454)/M1515</f>
        <v>187899.60248447207</v>
      </c>
      <c r="L1515" s="215">
        <v>9328.76</v>
      </c>
      <c r="M1515" s="19">
        <v>22.54</v>
      </c>
      <c r="N1515" s="9" t="str">
        <f>UPPER(TEXT(TablaCosechas[[#This Row],[COSECHA]],"MMMM"))</f>
        <v>ABRIL</v>
      </c>
      <c r="O1515" s="9" t="str">
        <f>IF(A1515="DO 29","BAP",IF(A1515="RO 14","BAP",(VLOOKUP(TablaCosechas[[#This Row],[COD]],Tabla7[[CODIGO]:[CERTIFICACION]],3,0))))</f>
        <v>ASC</v>
      </c>
      <c r="P1515" s="180">
        <f>+L1515-E1515</f>
        <v>728.76000000000022</v>
      </c>
      <c r="Q1515" s="181">
        <f>+M1515-F1515</f>
        <v>-0.46000000000000085</v>
      </c>
      <c r="R1515" s="9"/>
    </row>
    <row r="1516" spans="1:18" x14ac:dyDescent="0.25">
      <c r="A1516" s="9" t="s">
        <v>110</v>
      </c>
      <c r="B1516" s="9">
        <f>ROW() - ROW(TablaCosechas[[#Headers],[ID]]) - 4</f>
        <v>1511</v>
      </c>
      <c r="C1516" s="9" t="str">
        <f>LEFT(A1516,2)</f>
        <v>CA</v>
      </c>
      <c r="D1516" s="182" t="s">
        <v>366</v>
      </c>
      <c r="E1516" s="178">
        <v>20800</v>
      </c>
      <c r="F1516" s="19">
        <v>33</v>
      </c>
      <c r="G1516" s="195">
        <v>46116</v>
      </c>
      <c r="H1516" s="9" t="str">
        <f>VLOOKUP(TablaCosechas[[#This Row],[COD]],DATOS!$E$3:$F$27,2,0)</f>
        <v>CATANUDA</v>
      </c>
      <c r="I1516" s="9" t="str">
        <f>RIGHT(TablaCosechas[[#This Row],[SECTOR/PISCINA]],2)</f>
        <v>17</v>
      </c>
      <c r="J1516" s="9" t="str">
        <f>VLOOKUP(TablaCosechas[[#This Row],[COD]],Tabla7[#All],4,0)</f>
        <v>VICTOR QUINTANA</v>
      </c>
      <c r="K1516" s="179">
        <f>(TablaCosechas[[#This Row],[libras planta]]*454)/M1516</f>
        <v>321330.7614095899</v>
      </c>
      <c r="L1516" s="215">
        <v>24503.24</v>
      </c>
      <c r="M1516" s="19">
        <v>34.619999999999997</v>
      </c>
      <c r="N1516" s="9" t="str">
        <f>UPPER(TEXT(TablaCosechas[[#This Row],[COSECHA]],"MMMM"))</f>
        <v>ABRIL</v>
      </c>
      <c r="O1516" s="9" t="str">
        <f>IF(A1516="DO 29","BAP",IF(A1516="RO 14","BAP",(VLOOKUP(TablaCosechas[[#This Row],[COD]],Tabla7[[CODIGO]:[CERTIFICACION]],3,0))))</f>
        <v>ASC</v>
      </c>
      <c r="P1516" s="180">
        <f>+L1516-E1516</f>
        <v>3703.2400000000016</v>
      </c>
      <c r="Q1516" s="181">
        <f>+M1516-F1516</f>
        <v>1.6199999999999974</v>
      </c>
      <c r="R1516" s="9"/>
    </row>
    <row r="1517" spans="1:18" x14ac:dyDescent="0.25">
      <c r="A1517" s="9" t="s">
        <v>124</v>
      </c>
      <c r="B1517" s="9">
        <f>ROW() - ROW(TablaCosechas[[#Headers],[ID]]) - 4</f>
        <v>1512</v>
      </c>
      <c r="C1517" s="9" t="str">
        <f>LEFT(A1517,2)</f>
        <v>WA</v>
      </c>
      <c r="D1517" s="182" t="s">
        <v>366</v>
      </c>
      <c r="E1517" s="178">
        <v>15500</v>
      </c>
      <c r="F1517" s="19">
        <v>35</v>
      </c>
      <c r="G1517" s="195">
        <v>46117</v>
      </c>
      <c r="H1517" s="9" t="str">
        <f>VLOOKUP(TablaCosechas[[#This Row],[COD]],DATOS!$E$3:$F$27,2,0)</f>
        <v>WAHOO</v>
      </c>
      <c r="I1517" s="9" t="str">
        <f>RIGHT(TablaCosechas[[#This Row],[SECTOR/PISCINA]],2)</f>
        <v>14</v>
      </c>
      <c r="J1517" s="9" t="str">
        <f>VLOOKUP(TablaCosechas[[#This Row],[COD]],Tabla7[#All],4,0)</f>
        <v>JUNIOR ESQUIVEL</v>
      </c>
      <c r="K1517" s="179">
        <f>(TablaCosechas[[#This Row],[libras planta]]*454)/M1517</f>
        <v>268456.14597544336</v>
      </c>
      <c r="L1517" s="215">
        <v>17337.3</v>
      </c>
      <c r="M1517" s="19">
        <v>29.32</v>
      </c>
      <c r="N1517" s="9" t="str">
        <f>UPPER(TEXT(TablaCosechas[[#This Row],[COSECHA]],"MMMM"))</f>
        <v>ABRIL</v>
      </c>
      <c r="O1517" s="9" t="str">
        <f>IF(A1517="DO 29","BAP",IF(A1517="RO 14","BAP",(VLOOKUP(TablaCosechas[[#This Row],[COD]],Tabla7[[CODIGO]:[CERTIFICACION]],3,0))))</f>
        <v>CONVENCIONAL</v>
      </c>
      <c r="P1517" s="180">
        <f>+L1517-E1517</f>
        <v>1837.2999999999993</v>
      </c>
      <c r="Q1517" s="181">
        <f>+M1517-F1517</f>
        <v>-5.68</v>
      </c>
      <c r="R1517" s="9"/>
    </row>
    <row r="1518" spans="1:18" x14ac:dyDescent="0.25">
      <c r="A1518" s="9" t="s">
        <v>185</v>
      </c>
      <c r="B1518" s="9">
        <f>ROW() - ROW(TablaCosechas[[#Headers],[ID]]) - 4</f>
        <v>1513</v>
      </c>
      <c r="C1518" s="9" t="str">
        <f>LEFT(A1518,2)</f>
        <v>TU</v>
      </c>
      <c r="D1518" s="182" t="s">
        <v>367</v>
      </c>
      <c r="E1518" s="178">
        <v>8000</v>
      </c>
      <c r="F1518" s="19">
        <v>19</v>
      </c>
      <c r="G1518" s="195">
        <v>46117</v>
      </c>
      <c r="H1518" s="9" t="str">
        <f>VLOOKUP(TablaCosechas[[#This Row],[COD]],DATOS!$E$3:$F$27,2,0)</f>
        <v>TUNA</v>
      </c>
      <c r="I1518" s="9" t="str">
        <f>RIGHT(TablaCosechas[[#This Row],[SECTOR/PISCINA]],2)</f>
        <v>4A</v>
      </c>
      <c r="J1518" s="9" t="str">
        <f>VLOOKUP(TablaCosechas[[#This Row],[COD]],Tabla7[#All],4,0)</f>
        <v>GUSTAVO CARRASCO</v>
      </c>
      <c r="K1518" s="179">
        <f>(TablaCosechas[[#This Row],[libras planta]]*454)/M1518</f>
        <v>186318.03921568629</v>
      </c>
      <c r="L1518" s="215">
        <v>8372</v>
      </c>
      <c r="M1518" s="19">
        <v>20.399999999999999</v>
      </c>
      <c r="N1518" s="9" t="str">
        <f>UPPER(TEXT(TablaCosechas[[#This Row],[COSECHA]],"MMMM"))</f>
        <v>ABRIL</v>
      </c>
      <c r="O1518" s="9" t="str">
        <f>IF(A1518="DO 29","BAP",IF(A1518="RO 14","BAP",(VLOOKUP(TablaCosechas[[#This Row],[COD]],Tabla7[[CODIGO]:[CERTIFICACION]],3,0))))</f>
        <v>ASC</v>
      </c>
      <c r="P1518" s="180">
        <f>+L1518-E1518</f>
        <v>372</v>
      </c>
      <c r="Q1518" s="181">
        <f>+M1518-F1518</f>
        <v>1.3999999999999986</v>
      </c>
      <c r="R1518" s="9"/>
    </row>
    <row r="1519" spans="1:18" x14ac:dyDescent="0.25">
      <c r="A1519" s="9" t="s">
        <v>173</v>
      </c>
      <c r="B1519" s="9">
        <f>ROW() - ROW(TablaCosechas[[#Headers],[ID]]) - 4</f>
        <v>1514</v>
      </c>
      <c r="C1519" s="9" t="str">
        <f>LEFT(A1519,2)</f>
        <v>TI</v>
      </c>
      <c r="D1519" s="182" t="s">
        <v>367</v>
      </c>
      <c r="E1519" s="178">
        <v>10500</v>
      </c>
      <c r="F1519" s="19">
        <v>26</v>
      </c>
      <c r="G1519" s="195">
        <v>46117</v>
      </c>
      <c r="H1519" s="9" t="str">
        <f>VLOOKUP(TablaCosechas[[#This Row],[COD]],DATOS!$E$3:$F$27,2,0)</f>
        <v>TIBURON</v>
      </c>
      <c r="I1519" s="9" t="str">
        <f>RIGHT(TablaCosechas[[#This Row],[SECTOR/PISCINA]],2)</f>
        <v>01</v>
      </c>
      <c r="J1519" s="9" t="str">
        <f>VLOOKUP(TablaCosechas[[#This Row],[COD]],Tabla7[#All],4,0)</f>
        <v>ALFONSO GRUNAUER</v>
      </c>
      <c r="K1519" s="179">
        <f>(TablaCosechas[[#This Row],[libras planta]]*454)/M1519</f>
        <v>184752.66441947565</v>
      </c>
      <c r="L1519" s="215">
        <v>10865.41</v>
      </c>
      <c r="M1519" s="19">
        <v>26.7</v>
      </c>
      <c r="N1519" s="9" t="str">
        <f>UPPER(TEXT(TablaCosechas[[#This Row],[COSECHA]],"MMMM"))</f>
        <v>ABRIL</v>
      </c>
      <c r="O1519" s="9" t="str">
        <f>IF(A1519="DO 29","BAP",IF(A1519="RO 14","BAP",(VLOOKUP(TablaCosechas[[#This Row],[COD]],Tabla7[[CODIGO]:[CERTIFICACION]],3,0))))</f>
        <v>ASC</v>
      </c>
      <c r="P1519" s="180">
        <f>+L1519-E1519</f>
        <v>365.40999999999985</v>
      </c>
      <c r="Q1519" s="181">
        <f>+M1519-F1519</f>
        <v>0.69999999999999929</v>
      </c>
      <c r="R1519" s="9"/>
    </row>
    <row r="1520" spans="1:18" x14ac:dyDescent="0.25">
      <c r="A1520" s="9" t="s">
        <v>111</v>
      </c>
      <c r="B1520" s="9">
        <f>ROW() - ROW(TablaCosechas[[#Headers],[ID]]) - 4</f>
        <v>1515</v>
      </c>
      <c r="C1520" s="9" t="str">
        <f>LEFT(A1520,2)</f>
        <v>PR</v>
      </c>
      <c r="D1520" s="182" t="s">
        <v>366</v>
      </c>
      <c r="E1520" s="178">
        <v>13200</v>
      </c>
      <c r="F1520" s="19">
        <v>24</v>
      </c>
      <c r="G1520" s="195">
        <v>46117</v>
      </c>
      <c r="H1520" s="9" t="str">
        <f>VLOOKUP(TablaCosechas[[#This Row],[COD]],DATOS!$E$3:$F$27,2,0)</f>
        <v>PARGO ROJO</v>
      </c>
      <c r="I1520" s="9" t="str">
        <f>RIGHT(TablaCosechas[[#This Row],[SECTOR/PISCINA]],2)</f>
        <v>16</v>
      </c>
      <c r="J1520" s="9" t="str">
        <f>VLOOKUP(TablaCosechas[[#This Row],[COD]],Tabla7[#All],4,0)</f>
        <v>WILMER TORRES</v>
      </c>
      <c r="K1520" s="179">
        <f>(TablaCosechas[[#This Row],[libras planta]]*454)/M1520</f>
        <v>296259.99822380103</v>
      </c>
      <c r="L1520" s="215">
        <v>14695.539999999999</v>
      </c>
      <c r="M1520" s="19">
        <v>22.52</v>
      </c>
      <c r="N1520" s="9" t="str">
        <f>UPPER(TEXT(TablaCosechas[[#This Row],[COSECHA]],"MMMM"))</f>
        <v>ABRIL</v>
      </c>
      <c r="O1520" s="9" t="str">
        <f>IF(A1520="DO 29","BAP",IF(A1520="RO 14","BAP",(VLOOKUP(TablaCosechas[[#This Row],[COD]],Tabla7[[CODIGO]:[CERTIFICACION]],3,0))))</f>
        <v>CONVENCIONAL</v>
      </c>
      <c r="P1520" s="180">
        <f>+L1520-E1520</f>
        <v>1495.5399999999991</v>
      </c>
      <c r="Q1520" s="181">
        <f>+M1520-F1520</f>
        <v>-1.4800000000000004</v>
      </c>
      <c r="R1520" s="9"/>
    </row>
    <row r="1521" spans="1:18" x14ac:dyDescent="0.25">
      <c r="A1521" s="9" t="s">
        <v>167</v>
      </c>
      <c r="B1521" s="9">
        <f>ROW() - ROW(TablaCosechas[[#Headers],[ID]]) - 4</f>
        <v>1516</v>
      </c>
      <c r="C1521" s="9" t="str">
        <f>LEFT(A1521,2)</f>
        <v>PA</v>
      </c>
      <c r="D1521" s="182" t="s">
        <v>367</v>
      </c>
      <c r="E1521" s="178">
        <v>3000</v>
      </c>
      <c r="F1521" s="19">
        <v>25</v>
      </c>
      <c r="G1521" s="195">
        <v>46117</v>
      </c>
      <c r="H1521" s="9" t="str">
        <f>VLOOKUP(TablaCosechas[[#This Row],[COD]],DATOS!$E$3:$F$27,2,0)</f>
        <v>PAMPANO</v>
      </c>
      <c r="I1521" s="9" t="str">
        <f>RIGHT(TablaCosechas[[#This Row],[SECTOR/PISCINA]],2)</f>
        <v>10</v>
      </c>
      <c r="J1521" s="9" t="str">
        <f>VLOOKUP(TablaCosechas[[#This Row],[COD]],Tabla7[#All],4,0)</f>
        <v>GUSTAVO CARRASCO</v>
      </c>
      <c r="K1521" s="179">
        <f>(TablaCosechas[[#This Row],[libras planta]]*454)/M1521</f>
        <v>49265.676470588238</v>
      </c>
      <c r="L1521" s="215">
        <v>3025.39</v>
      </c>
      <c r="M1521" s="19">
        <v>27.88</v>
      </c>
      <c r="N1521" s="9" t="str">
        <f>UPPER(TEXT(TablaCosechas[[#This Row],[COSECHA]],"MMMM"))</f>
        <v>ABRIL</v>
      </c>
      <c r="O1521" s="9" t="str">
        <f>IF(A1521="DO 29","BAP",IF(A1521="RO 14","BAP",(VLOOKUP(TablaCosechas[[#This Row],[COD]],Tabla7[[CODIGO]:[CERTIFICACION]],3,0))))</f>
        <v>ASC</v>
      </c>
      <c r="P1521" s="180">
        <f>+L1521-E1521</f>
        <v>25.389999999999873</v>
      </c>
      <c r="Q1521" s="181">
        <f>+M1521-F1521</f>
        <v>2.879999999999999</v>
      </c>
      <c r="R1521" s="9"/>
    </row>
    <row r="1522" spans="1:18" x14ac:dyDescent="0.25">
      <c r="A1522" s="9" t="s">
        <v>329</v>
      </c>
      <c r="B1522" s="9">
        <f>ROW() - ROW(TablaCosechas[[#Headers],[ID]]) - 4</f>
        <v>1517</v>
      </c>
      <c r="C1522" s="9" t="str">
        <f>LEFT(A1522,2)</f>
        <v>GT</v>
      </c>
      <c r="D1522" s="182" t="s">
        <v>366</v>
      </c>
      <c r="E1522" s="178">
        <v>16500</v>
      </c>
      <c r="F1522" s="19">
        <v>33</v>
      </c>
      <c r="G1522" s="195">
        <v>46117</v>
      </c>
      <c r="H1522" s="9" t="str">
        <f>VLOOKUP(TablaCosechas[[#This Row],[COD]],DATOS!$E$3:$F$27,2,0)</f>
        <v>GUATO</v>
      </c>
      <c r="I1522" s="9" t="str">
        <f>RIGHT(TablaCosechas[[#This Row],[SECTOR/PISCINA]],2)</f>
        <v>09</v>
      </c>
      <c r="J1522" s="9" t="str">
        <f>VLOOKUP(TablaCosechas[[#This Row],[COD]],Tabla7[#All],4,0)</f>
        <v>JULIO SANTOS</v>
      </c>
      <c r="K1522" s="179">
        <f>(TablaCosechas[[#This Row],[libras planta]]*454)/M1522</f>
        <v>254280.20820385334</v>
      </c>
      <c r="L1522" s="215">
        <v>18023.650000000001</v>
      </c>
      <c r="M1522" s="19">
        <v>32.18</v>
      </c>
      <c r="N1522" s="9" t="str">
        <f>UPPER(TEXT(TablaCosechas[[#This Row],[COSECHA]],"MMMM"))</f>
        <v>ABRIL</v>
      </c>
      <c r="O1522" s="9" t="str">
        <f>IF(A1522="DO 29","BAP",IF(A1522="RO 14","BAP",(VLOOKUP(TablaCosechas[[#This Row],[COD]],Tabla7[[CODIGO]:[CERTIFICACION]],3,0))))</f>
        <v>CONVENCIONAL</v>
      </c>
      <c r="P1522" s="180">
        <f>+L1522-E1522</f>
        <v>1523.6500000000015</v>
      </c>
      <c r="Q1522" s="181">
        <f>+M1522-F1522</f>
        <v>-0.82000000000000028</v>
      </c>
      <c r="R1522" s="9"/>
    </row>
    <row r="1523" spans="1:18" x14ac:dyDescent="0.25">
      <c r="A1523" s="9" t="s">
        <v>193</v>
      </c>
      <c r="B1523" s="9">
        <f>ROW() - ROW(TablaCosechas[[#Headers],[ID]]) - 4</f>
        <v>1518</v>
      </c>
      <c r="C1523" s="9" t="str">
        <f>LEFT(A1523,2)</f>
        <v>DE</v>
      </c>
      <c r="D1523" s="182" t="s">
        <v>367</v>
      </c>
      <c r="E1523" s="178">
        <v>4550</v>
      </c>
      <c r="F1523" s="19">
        <v>23</v>
      </c>
      <c r="G1523" s="195">
        <v>46117</v>
      </c>
      <c r="H1523" s="9" t="str">
        <f>VLOOKUP(TablaCosechas[[#This Row],[COD]],DATOS!$E$3:$F$27,2,0)</f>
        <v>DELFIN</v>
      </c>
      <c r="I1523" s="9" t="str">
        <f>RIGHT(TablaCosechas[[#This Row],[SECTOR/PISCINA]],2)</f>
        <v>21</v>
      </c>
      <c r="J1523" s="9" t="str">
        <f>VLOOKUP(TablaCosechas[[#This Row],[COD]],Tabla7[#All],4,0)</f>
        <v>CARLOS FLORES</v>
      </c>
      <c r="K1523" s="179">
        <f>(TablaCosechas[[#This Row],[libras planta]]*454)/M1523</f>
        <v>82617.146677471639</v>
      </c>
      <c r="L1523" s="215">
        <v>4491.17</v>
      </c>
      <c r="M1523" s="19">
        <v>24.68</v>
      </c>
      <c r="N1523" s="9" t="str">
        <f>UPPER(TEXT(TablaCosechas[[#This Row],[COSECHA]],"MMMM"))</f>
        <v>ABRIL</v>
      </c>
      <c r="O1523" s="9" t="str">
        <f>IF(A1523="DO 29","BAP",IF(A1523="RO 14","BAP",(VLOOKUP(TablaCosechas[[#This Row],[COD]],Tabla7[[CODIGO]:[CERTIFICACION]],3,0))))</f>
        <v>CONVENCIONAL</v>
      </c>
      <c r="P1523" s="180">
        <f>+L1523-E1523</f>
        <v>-58.829999999999927</v>
      </c>
      <c r="Q1523" s="181">
        <f>+M1523-F1523</f>
        <v>1.6799999999999997</v>
      </c>
      <c r="R1523" s="9"/>
    </row>
    <row r="1524" spans="1:18" x14ac:dyDescent="0.25">
      <c r="A1524" s="9" t="s">
        <v>242</v>
      </c>
      <c r="B1524" s="9">
        <f>ROW() - ROW(TablaCosechas[[#Headers],[ID]]) - 4</f>
        <v>1519</v>
      </c>
      <c r="C1524" s="9" t="str">
        <f>LEFT(A1524,2)</f>
        <v>DE</v>
      </c>
      <c r="D1524" s="182" t="s">
        <v>367</v>
      </c>
      <c r="E1524" s="178">
        <v>8000</v>
      </c>
      <c r="F1524" s="19">
        <v>17</v>
      </c>
      <c r="G1524" s="195">
        <v>46117</v>
      </c>
      <c r="H1524" s="9" t="str">
        <f>VLOOKUP(TablaCosechas[[#This Row],[COD]],DATOS!$E$3:$F$27,2,0)</f>
        <v>DELFIN</v>
      </c>
      <c r="I1524" s="9" t="str">
        <f>RIGHT(TablaCosechas[[#This Row],[SECTOR/PISCINA]],2)</f>
        <v>06</v>
      </c>
      <c r="J1524" s="9" t="str">
        <f>VLOOKUP(TablaCosechas[[#This Row],[COD]],Tabla7[#All],4,0)</f>
        <v>CARLOS FLORES</v>
      </c>
      <c r="K1524" s="179">
        <f>(TablaCosechas[[#This Row],[libras planta]]*454)/M1524</f>
        <v>196455.53556034484</v>
      </c>
      <c r="L1524" s="215">
        <v>8031.31</v>
      </c>
      <c r="M1524" s="19">
        <v>18.559999999999999</v>
      </c>
      <c r="N1524" s="9" t="str">
        <f>UPPER(TEXT(TablaCosechas[[#This Row],[COSECHA]],"MMMM"))</f>
        <v>ABRIL</v>
      </c>
      <c r="O1524" s="9" t="str">
        <f>IF(A1524="DO 29","BAP",IF(A1524="RO 14","BAP",(VLOOKUP(TablaCosechas[[#This Row],[COD]],Tabla7[[CODIGO]:[CERTIFICACION]],3,0))))</f>
        <v>CONVENCIONAL</v>
      </c>
      <c r="P1524" s="180">
        <f>+L1524-E1524</f>
        <v>31.3100000000004</v>
      </c>
      <c r="Q1524" s="181">
        <f>+M1524-F1524</f>
        <v>1.5599999999999987</v>
      </c>
      <c r="R1524" s="9"/>
    </row>
    <row r="1525" spans="1:18" x14ac:dyDescent="0.25">
      <c r="A1525" s="9" t="s">
        <v>196</v>
      </c>
      <c r="B1525" s="9">
        <f>ROW() - ROW(TablaCosechas[[#Headers],[ID]]) - 4</f>
        <v>1520</v>
      </c>
      <c r="C1525" s="9" t="str">
        <f>LEFT(A1525,2)</f>
        <v>DE</v>
      </c>
      <c r="D1525" s="182" t="s">
        <v>367</v>
      </c>
      <c r="E1525" s="178">
        <v>6100</v>
      </c>
      <c r="F1525" s="19">
        <v>23</v>
      </c>
      <c r="G1525" s="195">
        <v>46117</v>
      </c>
      <c r="H1525" s="9" t="str">
        <f>VLOOKUP(TablaCosechas[[#This Row],[COD]],DATOS!$E$3:$F$27,2,0)</f>
        <v>DELFIN</v>
      </c>
      <c r="I1525" s="9" t="str">
        <f>RIGHT(TablaCosechas[[#This Row],[SECTOR/PISCINA]],2)</f>
        <v>03</v>
      </c>
      <c r="J1525" s="9" t="str">
        <f>VLOOKUP(TablaCosechas[[#This Row],[COD]],Tabla7[#All],4,0)</f>
        <v>CARLOS FLORES</v>
      </c>
      <c r="K1525" s="179">
        <f>(TablaCosechas[[#This Row],[libras planta]]*454)/M1525</f>
        <v>141534.5</v>
      </c>
      <c r="L1525" s="215">
        <v>6359.7</v>
      </c>
      <c r="M1525" s="19">
        <v>20.399999999999999</v>
      </c>
      <c r="N1525" s="9" t="str">
        <f>UPPER(TEXT(TablaCosechas[[#This Row],[COSECHA]],"MMMM"))</f>
        <v>ABRIL</v>
      </c>
      <c r="O1525" s="9" t="str">
        <f>IF(A1525="DO 29","BAP",IF(A1525="RO 14","BAP",(VLOOKUP(TablaCosechas[[#This Row],[COD]],Tabla7[[CODIGO]:[CERTIFICACION]],3,0))))</f>
        <v>CONVENCIONAL</v>
      </c>
      <c r="P1525" s="180">
        <f>+L1525-E1525</f>
        <v>259.69999999999982</v>
      </c>
      <c r="Q1525" s="181">
        <f>+M1525-F1525</f>
        <v>-2.6000000000000014</v>
      </c>
      <c r="R1525" s="9"/>
    </row>
    <row r="1526" spans="1:18" x14ac:dyDescent="0.25">
      <c r="A1526" s="9" t="s">
        <v>23</v>
      </c>
      <c r="B1526" s="9">
        <f>ROW() - ROW(TablaCosechas[[#Headers],[ID]]) - 4</f>
        <v>1521</v>
      </c>
      <c r="C1526" s="9" t="str">
        <f>LEFT(A1526,2)</f>
        <v>CH</v>
      </c>
      <c r="D1526" s="182" t="s">
        <v>366</v>
      </c>
      <c r="E1526" s="178">
        <v>34400</v>
      </c>
      <c r="F1526" s="19">
        <v>38</v>
      </c>
      <c r="G1526" s="195">
        <v>46117</v>
      </c>
      <c r="H1526" s="9" t="str">
        <f>VLOOKUP(TablaCosechas[[#This Row],[COD]],DATOS!$E$3:$F$27,2,0)</f>
        <v>CHERNA</v>
      </c>
      <c r="I1526" s="9" t="str">
        <f>RIGHT(TablaCosechas[[#This Row],[SECTOR/PISCINA]],2)</f>
        <v>18</v>
      </c>
      <c r="J1526" s="9" t="str">
        <f>VLOOKUP(TablaCosechas[[#This Row],[COD]],Tabla7[#All],4,0)</f>
        <v>SANTIAGO OBRIEN</v>
      </c>
      <c r="K1526" s="179">
        <f>(TablaCosechas[[#This Row],[libras planta]]*454)/M1526</f>
        <v>410736.82666666666</v>
      </c>
      <c r="L1526" s="215">
        <v>33247.97</v>
      </c>
      <c r="M1526" s="19">
        <v>36.75</v>
      </c>
      <c r="N1526" s="9" t="str">
        <f>UPPER(TEXT(TablaCosechas[[#This Row],[COSECHA]],"MMMM"))</f>
        <v>ABRIL</v>
      </c>
      <c r="O1526" s="9" t="str">
        <f>IF(A1526="DO 29","BAP",IF(A1526="RO 14","BAP",(VLOOKUP(TablaCosechas[[#This Row],[COD]],Tabla7[[CODIGO]:[CERTIFICACION]],3,0))))</f>
        <v>ASC</v>
      </c>
      <c r="P1526" s="180">
        <f>+L1526-E1526</f>
        <v>-1152.0299999999988</v>
      </c>
      <c r="Q1526" s="181">
        <f>+M1526-F1526</f>
        <v>-1.25</v>
      </c>
      <c r="R1526" s="9"/>
    </row>
    <row r="1527" spans="1:18" x14ac:dyDescent="0.25">
      <c r="A1527" s="9" t="s">
        <v>114</v>
      </c>
      <c r="B1527" s="9">
        <f>ROW() - ROW(TablaCosechas[[#Headers],[ID]]) - 4</f>
        <v>1522</v>
      </c>
      <c r="C1527" s="9" t="str">
        <f>LEFT(A1527,2)</f>
        <v>CA</v>
      </c>
      <c r="D1527" s="182" t="s">
        <v>366</v>
      </c>
      <c r="E1527" s="178">
        <v>27200</v>
      </c>
      <c r="F1527" s="19">
        <v>32.5</v>
      </c>
      <c r="G1527" s="195">
        <v>46117</v>
      </c>
      <c r="H1527" s="9" t="str">
        <f>VLOOKUP(TablaCosechas[[#This Row],[COD]],DATOS!$E$3:$F$27,2,0)</f>
        <v>CATANUDA</v>
      </c>
      <c r="I1527" s="9" t="str">
        <f>RIGHT(TablaCosechas[[#This Row],[SECTOR/PISCINA]],2)</f>
        <v>18</v>
      </c>
      <c r="J1527" s="9" t="str">
        <f>VLOOKUP(TablaCosechas[[#This Row],[COD]],Tabla7[#All],4,0)</f>
        <v>VICTOR QUINTANA</v>
      </c>
      <c r="K1527" s="179">
        <f>(TablaCosechas[[#This Row],[libras planta]]*454)/M1527</f>
        <v>414935.41193680518</v>
      </c>
      <c r="L1527" s="215">
        <v>31238.97</v>
      </c>
      <c r="M1527" s="19">
        <v>34.18</v>
      </c>
      <c r="N1527" s="9" t="str">
        <f>UPPER(TEXT(TablaCosechas[[#This Row],[COSECHA]],"MMMM"))</f>
        <v>ABRIL</v>
      </c>
      <c r="O1527" s="9" t="str">
        <f>IF(A1527="DO 29","BAP",IF(A1527="RO 14","BAP",(VLOOKUP(TablaCosechas[[#This Row],[COD]],Tabla7[[CODIGO]:[CERTIFICACION]],3,0))))</f>
        <v>ASC</v>
      </c>
      <c r="P1527" s="180">
        <f>+L1527-E1527</f>
        <v>4038.9700000000012</v>
      </c>
      <c r="Q1527" s="49">
        <f>+M1527-F1527</f>
        <v>1.6799999999999997</v>
      </c>
      <c r="R1527" s="9"/>
    </row>
    <row r="1528" spans="1:18" x14ac:dyDescent="0.25">
      <c r="A1528" s="9" t="s">
        <v>330</v>
      </c>
      <c r="B1528" s="9">
        <f>ROW() - ROW(TablaCosechas[[#Headers],[ID]]) - 4</f>
        <v>1523</v>
      </c>
      <c r="C1528" s="9" t="str">
        <f>LEFT(A1528,2)</f>
        <v>WA</v>
      </c>
      <c r="D1528" s="182" t="s">
        <v>366</v>
      </c>
      <c r="E1528" s="178">
        <v>37350</v>
      </c>
      <c r="F1528" s="19">
        <v>33</v>
      </c>
      <c r="G1528" s="195">
        <v>46118</v>
      </c>
      <c r="H1528" s="9" t="str">
        <f>VLOOKUP(TablaCosechas[[#This Row],[COD]],DATOS!$E$3:$F$27,2,0)</f>
        <v>WAHOO</v>
      </c>
      <c r="I1528" s="9" t="str">
        <f>RIGHT(TablaCosechas[[#This Row],[SECTOR/PISCINA]],2)</f>
        <v>38</v>
      </c>
      <c r="J1528" s="9" t="str">
        <f>VLOOKUP(TablaCosechas[[#This Row],[COD]],Tabla7[#All],4,0)</f>
        <v>JUNIOR ESQUIVEL</v>
      </c>
      <c r="K1528" s="179">
        <f>(TablaCosechas[[#This Row],[libras planta]]*454)/M1528</f>
        <v>633288.87058080814</v>
      </c>
      <c r="L1528" s="215">
        <v>44190.73</v>
      </c>
      <c r="M1528" s="19">
        <v>31.68</v>
      </c>
      <c r="N1528" s="9" t="str">
        <f>UPPER(TEXT(TablaCosechas[[#This Row],[COSECHA]],"MMMM"))</f>
        <v>ABRIL</v>
      </c>
      <c r="O1528" s="9" t="str">
        <f>IF(A1528="DO 29","BAP",IF(A1528="RO 14","BAP",(VLOOKUP(TablaCosechas[[#This Row],[COD]],Tabla7[[CODIGO]:[CERTIFICACION]],3,0))))</f>
        <v>CONVENCIONAL</v>
      </c>
      <c r="P1528" s="180">
        <f>+L1528-E1528</f>
        <v>6840.7300000000032</v>
      </c>
      <c r="Q1528" s="49">
        <f>+M1528-F1528</f>
        <v>-1.3200000000000003</v>
      </c>
      <c r="R1528" s="9"/>
    </row>
    <row r="1529" spans="1:18" x14ac:dyDescent="0.25">
      <c r="A1529" s="9" t="s">
        <v>189</v>
      </c>
      <c r="B1529" s="9">
        <f>ROW() - ROW(TablaCosechas[[#Headers],[ID]]) - 4</f>
        <v>1524</v>
      </c>
      <c r="C1529" s="9" t="str">
        <f>LEFT(A1529,2)</f>
        <v>TU</v>
      </c>
      <c r="D1529" s="182" t="s">
        <v>367</v>
      </c>
      <c r="E1529" s="178">
        <v>4850</v>
      </c>
      <c r="F1529" s="19">
        <v>17</v>
      </c>
      <c r="G1529" s="195">
        <v>46118</v>
      </c>
      <c r="H1529" s="9" t="str">
        <f>VLOOKUP(TablaCosechas[[#This Row],[COD]],DATOS!$E$3:$F$27,2,0)</f>
        <v>TUNA</v>
      </c>
      <c r="I1529" s="9" t="str">
        <f>RIGHT(TablaCosechas[[#This Row],[SECTOR/PISCINA]],2)</f>
        <v>03</v>
      </c>
      <c r="J1529" s="9" t="str">
        <f>VLOOKUP(TablaCosechas[[#This Row],[COD]],Tabla7[#All],4,0)</f>
        <v>GUSTAVO CARRASCO</v>
      </c>
      <c r="K1529" s="179">
        <f>(TablaCosechas[[#This Row],[libras planta]]*454)/M1529</f>
        <v>135330.48788927335</v>
      </c>
      <c r="L1529" s="215">
        <v>5168.79</v>
      </c>
      <c r="M1529" s="19">
        <v>17.34</v>
      </c>
      <c r="N1529" s="9" t="str">
        <f>UPPER(TEXT(TablaCosechas[[#This Row],[COSECHA]],"MMMM"))</f>
        <v>ABRIL</v>
      </c>
      <c r="O1529" s="9" t="str">
        <f>IF(A1529="DO 29","BAP",IF(A1529="RO 14","BAP",(VLOOKUP(TablaCosechas[[#This Row],[COD]],Tabla7[[CODIGO]:[CERTIFICACION]],3,0))))</f>
        <v>ASC</v>
      </c>
      <c r="P1529" s="180">
        <f>+L1529-E1529</f>
        <v>318.78999999999996</v>
      </c>
      <c r="Q1529" s="181">
        <f>+M1529-F1529</f>
        <v>0.33999999999999986</v>
      </c>
      <c r="R1529" s="9"/>
    </row>
    <row r="1530" spans="1:18" x14ac:dyDescent="0.25">
      <c r="A1530" s="9" t="s">
        <v>162</v>
      </c>
      <c r="B1530" s="9">
        <f>ROW() - ROW(TablaCosechas[[#Headers],[ID]]) - 4</f>
        <v>1525</v>
      </c>
      <c r="C1530" s="9" t="str">
        <f>LEFT(A1530,2)</f>
        <v>TA</v>
      </c>
      <c r="D1530" s="182" t="s">
        <v>367</v>
      </c>
      <c r="E1530" s="178">
        <v>7400</v>
      </c>
      <c r="F1530" s="19">
        <v>27</v>
      </c>
      <c r="G1530" s="195">
        <v>46118</v>
      </c>
      <c r="H1530" s="9" t="str">
        <f>VLOOKUP(TablaCosechas[[#This Row],[COD]],DATOS!$E$3:$F$27,2,0)</f>
        <v>TAMBULERO</v>
      </c>
      <c r="I1530" s="9" t="str">
        <f>RIGHT(TablaCosechas[[#This Row],[SECTOR/PISCINA]],2)</f>
        <v>06</v>
      </c>
      <c r="J1530" s="9" t="str">
        <f>VLOOKUP(TablaCosechas[[#This Row],[COD]],Tabla7[#All],4,0)</f>
        <v>ALFONSO GRUNAUER</v>
      </c>
      <c r="K1530" s="179">
        <f>(TablaCosechas[[#This Row],[libras planta]]*454)/M1530</f>
        <v>138226.12508934955</v>
      </c>
      <c r="L1530" s="215">
        <v>8518.8700000000008</v>
      </c>
      <c r="M1530" s="19">
        <v>27.98</v>
      </c>
      <c r="N1530" s="9" t="str">
        <f>UPPER(TEXT(TablaCosechas[[#This Row],[COSECHA]],"MMMM"))</f>
        <v>ABRIL</v>
      </c>
      <c r="O1530" s="9" t="str">
        <f>IF(A1530="DO 29","BAP",IF(A1530="RO 14","BAP",(VLOOKUP(TablaCosechas[[#This Row],[COD]],Tabla7[[CODIGO]:[CERTIFICACION]],3,0))))</f>
        <v>CONVENCIONAL</v>
      </c>
      <c r="P1530" s="180">
        <f>+L1530-E1530</f>
        <v>1118.8700000000008</v>
      </c>
      <c r="Q1530" s="49">
        <f>+M1530-F1530</f>
        <v>0.98000000000000043</v>
      </c>
      <c r="R1530" s="9"/>
    </row>
    <row r="1531" spans="1:18" x14ac:dyDescent="0.25">
      <c r="A1531" s="9" t="s">
        <v>107</v>
      </c>
      <c r="B1531" s="9">
        <f>ROW() - ROW(TablaCosechas[[#Headers],[ID]]) - 4</f>
        <v>1526</v>
      </c>
      <c r="C1531" s="9" t="str">
        <f>LEFT(A1531,2)</f>
        <v>PR</v>
      </c>
      <c r="D1531" s="182" t="s">
        <v>366</v>
      </c>
      <c r="E1531" s="178">
        <v>16800</v>
      </c>
      <c r="F1531" s="19">
        <v>28</v>
      </c>
      <c r="G1531" s="195">
        <v>46118</v>
      </c>
      <c r="H1531" s="9" t="str">
        <f>VLOOKUP(TablaCosechas[[#This Row],[COD]],DATOS!$E$3:$F$27,2,0)</f>
        <v>PARGO ROJO</v>
      </c>
      <c r="I1531" s="9" t="str">
        <f>RIGHT(TablaCosechas[[#This Row],[SECTOR/PISCINA]],2)</f>
        <v>14</v>
      </c>
      <c r="J1531" s="9" t="str">
        <f>VLOOKUP(TablaCosechas[[#This Row],[COD]],Tabla7[#All],4,0)</f>
        <v>WILMER TORRES</v>
      </c>
      <c r="K1531" s="179">
        <f>(TablaCosechas[[#This Row],[libras planta]]*454)/M1531</f>
        <v>309027.37320574158</v>
      </c>
      <c r="L1531" s="215">
        <v>19916.61</v>
      </c>
      <c r="M1531" s="19">
        <v>29.26</v>
      </c>
      <c r="N1531" s="9" t="str">
        <f>UPPER(TEXT(TablaCosechas[[#This Row],[COSECHA]],"MMMM"))</f>
        <v>ABRIL</v>
      </c>
      <c r="O1531" s="9" t="str">
        <f>IF(A1531="DO 29","BAP",IF(A1531="RO 14","BAP",(VLOOKUP(TablaCosechas[[#This Row],[COD]],Tabla7[[CODIGO]:[CERTIFICACION]],3,0))))</f>
        <v>CONVENCIONAL</v>
      </c>
      <c r="P1531" s="180">
        <f>+L1531-E1531</f>
        <v>3116.6100000000006</v>
      </c>
      <c r="Q1531" s="49">
        <f>+M1531-F1531</f>
        <v>1.2600000000000016</v>
      </c>
      <c r="R1531" s="9"/>
    </row>
    <row r="1532" spans="1:18" x14ac:dyDescent="0.25">
      <c r="A1532" s="9" t="s">
        <v>140</v>
      </c>
      <c r="B1532" s="9">
        <f>ROW() - ROW(TablaCosechas[[#Headers],[ID]]) - 4</f>
        <v>1527</v>
      </c>
      <c r="C1532" s="9" t="str">
        <f>LEFT(A1532,2)</f>
        <v>GT</v>
      </c>
      <c r="D1532" s="182" t="s">
        <v>367</v>
      </c>
      <c r="E1532" s="178">
        <v>4900</v>
      </c>
      <c r="F1532" s="19">
        <v>24</v>
      </c>
      <c r="G1532" s="195">
        <v>46118</v>
      </c>
      <c r="H1532" s="9" t="str">
        <f>VLOOKUP(TablaCosechas[[#This Row],[COD]],DATOS!$E$3:$F$27,2,0)</f>
        <v>GUATO</v>
      </c>
      <c r="I1532" s="9" t="str">
        <f>RIGHT(TablaCosechas[[#This Row],[SECTOR/PISCINA]],2)</f>
        <v>18</v>
      </c>
      <c r="J1532" s="9" t="str">
        <f>VLOOKUP(TablaCosechas[[#This Row],[COD]],Tabla7[#All],4,0)</f>
        <v>JULIO SANTOS</v>
      </c>
      <c r="K1532" s="179">
        <f>(TablaCosechas[[#This Row],[libras planta]]*454)/M1532</f>
        <v>86992.805705474166</v>
      </c>
      <c r="L1532" s="215">
        <v>4970.47</v>
      </c>
      <c r="M1532" s="19">
        <v>25.94</v>
      </c>
      <c r="N1532" s="9" t="str">
        <f>UPPER(TEXT(TablaCosechas[[#This Row],[COSECHA]],"MMMM"))</f>
        <v>ABRIL</v>
      </c>
      <c r="O1532" s="9" t="str">
        <f>IF(A1532="DO 29","BAP",IF(A1532="RO 14","BAP",(VLOOKUP(TablaCosechas[[#This Row],[COD]],Tabla7[[CODIGO]:[CERTIFICACION]],3,0))))</f>
        <v>CONVENCIONAL</v>
      </c>
      <c r="P1532" s="180">
        <f>+L1532-E1532</f>
        <v>70.470000000000255</v>
      </c>
      <c r="Q1532" s="49">
        <f>+M1532-F1532</f>
        <v>1.9400000000000013</v>
      </c>
      <c r="R1532" s="9"/>
    </row>
    <row r="1533" spans="1:18" x14ac:dyDescent="0.25">
      <c r="A1533" s="9" t="s">
        <v>182</v>
      </c>
      <c r="B1533" s="9">
        <f>ROW() - ROW(TablaCosechas[[#Headers],[ID]]) - 4</f>
        <v>1528</v>
      </c>
      <c r="C1533" s="9" t="str">
        <f>LEFT(A1533,2)</f>
        <v>DE</v>
      </c>
      <c r="D1533" s="182" t="s">
        <v>367</v>
      </c>
      <c r="E1533" s="178">
        <v>6400</v>
      </c>
      <c r="F1533" s="19">
        <v>23</v>
      </c>
      <c r="G1533" s="195">
        <v>46118</v>
      </c>
      <c r="H1533" s="9" t="str">
        <f>VLOOKUP(TablaCosechas[[#This Row],[COD]],DATOS!$E$3:$F$27,2,0)</f>
        <v>DELFIN</v>
      </c>
      <c r="I1533" s="9" t="str">
        <f>RIGHT(TablaCosechas[[#This Row],[SECTOR/PISCINA]],2)</f>
        <v>24</v>
      </c>
      <c r="J1533" s="9" t="str">
        <f>VLOOKUP(TablaCosechas[[#This Row],[COD]],Tabla7[#All],4,0)</f>
        <v>CARLOS FLORES</v>
      </c>
      <c r="K1533" s="179">
        <f>(TablaCosechas[[#This Row],[libras planta]]*454)/M1533</f>
        <v>114179.52117263844</v>
      </c>
      <c r="L1533" s="215">
        <v>6176.76</v>
      </c>
      <c r="M1533" s="19">
        <v>24.56</v>
      </c>
      <c r="N1533" s="9" t="str">
        <f>UPPER(TEXT(TablaCosechas[[#This Row],[COSECHA]],"MMMM"))</f>
        <v>ABRIL</v>
      </c>
      <c r="O1533" s="9" t="str">
        <f>IF(A1533="DO 29","BAP",IF(A1533="RO 14","BAP",(VLOOKUP(TablaCosechas[[#This Row],[COD]],Tabla7[[CODIGO]:[CERTIFICACION]],3,0))))</f>
        <v>CONVENCIONAL</v>
      </c>
      <c r="P1533" s="180">
        <f>+L1533-E1533</f>
        <v>-223.23999999999978</v>
      </c>
      <c r="Q1533" s="49">
        <f>+M1533-F1533</f>
        <v>1.5599999999999987</v>
      </c>
      <c r="R1533" s="9"/>
    </row>
    <row r="1534" spans="1:18" x14ac:dyDescent="0.25">
      <c r="A1534" s="9" t="s">
        <v>380</v>
      </c>
      <c r="B1534" s="9">
        <f>ROW() - ROW(TablaCosechas[[#Headers],[ID]]) - 4</f>
        <v>1529</v>
      </c>
      <c r="C1534" s="9" t="str">
        <f>LEFT(A1534,2)</f>
        <v>CH</v>
      </c>
      <c r="D1534" s="182" t="s">
        <v>367</v>
      </c>
      <c r="E1534" s="178">
        <v>5000</v>
      </c>
      <c r="F1534" s="19">
        <v>16.100000000000001</v>
      </c>
      <c r="G1534" s="195">
        <v>46118</v>
      </c>
      <c r="H1534" s="9" t="str">
        <f>VLOOKUP(TablaCosechas[[#This Row],[COD]],DATOS!$E$3:$F$27,2,0)</f>
        <v>CHERNA</v>
      </c>
      <c r="I1534" s="9" t="str">
        <f>RIGHT(TablaCosechas[[#This Row],[SECTOR/PISCINA]],2)</f>
        <v>04</v>
      </c>
      <c r="J1534" s="9" t="str">
        <f>VLOOKUP(TablaCosechas[[#This Row],[COD]],Tabla7[#All],4,0)</f>
        <v>SANTIAGO OBRIEN</v>
      </c>
      <c r="K1534" s="179">
        <f>(TablaCosechas[[#This Row],[libras planta]]*454)/M1534</f>
        <v>149223.6065773447</v>
      </c>
      <c r="L1534" s="215">
        <v>5397.03</v>
      </c>
      <c r="M1534" s="19">
        <v>16.420000000000002</v>
      </c>
      <c r="N1534" s="9" t="str">
        <f>UPPER(TEXT(TablaCosechas[[#This Row],[COSECHA]],"MMMM"))</f>
        <v>ABRIL</v>
      </c>
      <c r="O1534" s="9" t="str">
        <f>IF(A1534="DO 29","BAP",IF(A1534="RO 14","BAP",(VLOOKUP(TablaCosechas[[#This Row],[COD]],Tabla7[[CODIGO]:[CERTIFICACION]],3,0))))</f>
        <v>ASC</v>
      </c>
      <c r="P1534" s="180">
        <f>+L1534-E1534</f>
        <v>397.02999999999975</v>
      </c>
      <c r="Q1534" s="181">
        <f>+M1534-F1534</f>
        <v>0.32000000000000028</v>
      </c>
      <c r="R1534" s="9"/>
    </row>
    <row r="1535" spans="1:18" x14ac:dyDescent="0.25">
      <c r="A1535" s="9" t="s">
        <v>337</v>
      </c>
      <c r="B1535" s="9">
        <f>ROW() - ROW(TablaCosechas[[#Headers],[ID]]) - 4</f>
        <v>1530</v>
      </c>
      <c r="C1535" s="9" t="str">
        <f>LEFT(A1535,2)</f>
        <v>WA</v>
      </c>
      <c r="D1535" s="182" t="s">
        <v>367</v>
      </c>
      <c r="E1535" s="178">
        <v>6400</v>
      </c>
      <c r="F1535" s="19">
        <v>26</v>
      </c>
      <c r="G1535" s="195">
        <v>46119</v>
      </c>
      <c r="H1535" s="9" t="str">
        <f>VLOOKUP(TablaCosechas[[#This Row],[COD]],DATOS!$E$3:$F$27,2,0)</f>
        <v>WAHOO</v>
      </c>
      <c r="I1535" s="9" t="str">
        <f>RIGHT(TablaCosechas[[#This Row],[SECTOR/PISCINA]],2)</f>
        <v>03</v>
      </c>
      <c r="J1535" s="9" t="str">
        <f>VLOOKUP(TablaCosechas[[#This Row],[COD]],Tabla7[#All],4,0)</f>
        <v>JUNIOR ESQUIVEL</v>
      </c>
      <c r="K1535" s="179">
        <f>(TablaCosechas[[#This Row],[libras planta]]*454)/M1535</f>
        <v>120482.99194729136</v>
      </c>
      <c r="L1535" s="215">
        <v>7250.21</v>
      </c>
      <c r="M1535" s="4">
        <v>27.32</v>
      </c>
      <c r="N1535" s="9" t="str">
        <f>UPPER(TEXT(TablaCosechas[[#This Row],[COSECHA]],"MMMM"))</f>
        <v>ABRIL</v>
      </c>
      <c r="O1535" s="9" t="str">
        <f>IF(A1535="DO 29","BAP",IF(A1535="RO 14","BAP",(VLOOKUP(TablaCosechas[[#This Row],[COD]],Tabla7[[CODIGO]:[CERTIFICACION]],3,0))))</f>
        <v>CONVENCIONAL</v>
      </c>
      <c r="P1535" s="180">
        <f>+L1535-E1535</f>
        <v>850.21</v>
      </c>
      <c r="Q1535" s="49">
        <f>+M1535-F1535</f>
        <v>1.3200000000000003</v>
      </c>
      <c r="R1535" s="9"/>
    </row>
    <row r="1536" spans="1:18" x14ac:dyDescent="0.25">
      <c r="A1536" s="9" t="s">
        <v>195</v>
      </c>
      <c r="B1536" s="9">
        <f>ROW() - ROW(TablaCosechas[[#Headers],[ID]]) - 4</f>
        <v>1531</v>
      </c>
      <c r="C1536" s="9" t="str">
        <f>LEFT(A1536,2)</f>
        <v>TU</v>
      </c>
      <c r="D1536" s="182" t="s">
        <v>367</v>
      </c>
      <c r="E1536" s="178">
        <v>9600</v>
      </c>
      <c r="F1536" s="19">
        <v>19</v>
      </c>
      <c r="G1536" s="195">
        <v>46119</v>
      </c>
      <c r="H1536" s="9" t="str">
        <f>VLOOKUP(TablaCosechas[[#This Row],[COD]],DATOS!$E$3:$F$27,2,0)</f>
        <v>TUNA</v>
      </c>
      <c r="I1536" s="9" t="str">
        <f>RIGHT(TablaCosechas[[#This Row],[SECTOR/PISCINA]],2)</f>
        <v>01</v>
      </c>
      <c r="J1536" s="9" t="str">
        <f>VLOOKUP(TablaCosechas[[#This Row],[COD]],Tabla7[#All],4,0)</f>
        <v>GUSTAVO CARRASCO</v>
      </c>
      <c r="K1536" s="179">
        <f>(TablaCosechas[[#This Row],[libras planta]]*454)/M1536</f>
        <v>217417.11423220971</v>
      </c>
      <c r="L1536" s="215">
        <v>10229.14</v>
      </c>
      <c r="M1536" s="4">
        <v>21.36</v>
      </c>
      <c r="N1536" s="9" t="str">
        <f>UPPER(TEXT(TablaCosechas[[#This Row],[COSECHA]],"MMMM"))</f>
        <v>ABRIL</v>
      </c>
      <c r="O1536" s="9" t="str">
        <f>IF(A1536="DO 29","BAP",IF(A1536="RO 14","BAP",(VLOOKUP(TablaCosechas[[#This Row],[COD]],Tabla7[[CODIGO]:[CERTIFICACION]],3,0))))</f>
        <v>ASC</v>
      </c>
      <c r="P1536" s="180">
        <f>+L1536-E1536</f>
        <v>629.13999999999942</v>
      </c>
      <c r="Q1536" s="49">
        <f>+M1536-F1536</f>
        <v>2.3599999999999994</v>
      </c>
      <c r="R1536" s="9"/>
    </row>
    <row r="1537" spans="1:18" x14ac:dyDescent="0.25">
      <c r="A1537" s="9" t="s">
        <v>118</v>
      </c>
      <c r="B1537" s="9">
        <f>ROW() - ROW(TablaCosechas[[#Headers],[ID]]) - 4</f>
        <v>1532</v>
      </c>
      <c r="C1537" s="9" t="str">
        <f>LEFT(A1537,2)</f>
        <v>TI</v>
      </c>
      <c r="D1537" s="182" t="s">
        <v>367</v>
      </c>
      <c r="E1537" s="178">
        <v>8200</v>
      </c>
      <c r="F1537" s="19">
        <v>33</v>
      </c>
      <c r="G1537" s="195">
        <v>46119</v>
      </c>
      <c r="H1537" s="9" t="str">
        <f>VLOOKUP(TablaCosechas[[#This Row],[COD]],DATOS!$E$3:$F$27,2,0)</f>
        <v>TIBURON</v>
      </c>
      <c r="I1537" s="9" t="str">
        <f>RIGHT(TablaCosechas[[#This Row],[SECTOR/PISCINA]],2)</f>
        <v>06</v>
      </c>
      <c r="J1537" s="9" t="str">
        <f>VLOOKUP(TablaCosechas[[#This Row],[COD]],Tabla7[#All],4,0)</f>
        <v>ALFONSO GRUNAUER</v>
      </c>
      <c r="K1537" s="179">
        <f>(TablaCosechas[[#This Row],[libras planta]]*454)/M1537</f>
        <v>125887.44516893895</v>
      </c>
      <c r="L1537" s="215">
        <v>9355.6</v>
      </c>
      <c r="M1537" s="4">
        <v>33.74</v>
      </c>
      <c r="N1537" s="9" t="str">
        <f>UPPER(TEXT(TablaCosechas[[#This Row],[COSECHA]],"MMMM"))</f>
        <v>ABRIL</v>
      </c>
      <c r="O1537" s="9" t="str">
        <f>IF(A1537="DO 29","BAP",IF(A1537="RO 14","BAP",(VLOOKUP(TablaCosechas[[#This Row],[COD]],Tabla7[[CODIGO]:[CERTIFICACION]],3,0))))</f>
        <v>ASC</v>
      </c>
      <c r="P1537" s="180">
        <f>+L1537-E1537</f>
        <v>1155.6000000000004</v>
      </c>
      <c r="Q1537" s="181">
        <f>+M1537-F1537</f>
        <v>0.74000000000000199</v>
      </c>
      <c r="R1537" s="9"/>
    </row>
    <row r="1538" spans="1:18" x14ac:dyDescent="0.25">
      <c r="A1538" s="9" t="s">
        <v>131</v>
      </c>
      <c r="B1538" s="9">
        <f>ROW() - ROW(TablaCosechas[[#Headers],[ID]]) - 4</f>
        <v>1533</v>
      </c>
      <c r="C1538" s="9" t="str">
        <f>LEFT(A1538,2)</f>
        <v>RO</v>
      </c>
      <c r="D1538" s="182" t="s">
        <v>366</v>
      </c>
      <c r="E1538" s="178">
        <v>23200</v>
      </c>
      <c r="F1538" s="19">
        <v>37</v>
      </c>
      <c r="G1538" s="195">
        <v>46119</v>
      </c>
      <c r="H1538" s="9" t="str">
        <f>VLOOKUP(TablaCosechas[[#This Row],[COD]],DATOS!$E$3:$F$27,2,0)</f>
        <v>ROBALO</v>
      </c>
      <c r="I1538" s="9" t="str">
        <f>RIGHT(TablaCosechas[[#This Row],[SECTOR/PISCINA]],2)</f>
        <v>13</v>
      </c>
      <c r="J1538" s="9" t="str">
        <f>VLOOKUP(TablaCosechas[[#This Row],[COD]],Tabla7[#All],4,0)</f>
        <v>VICTOR QUINTANA</v>
      </c>
      <c r="K1538" s="179">
        <f>(TablaCosechas[[#This Row],[libras planta]]*454)/M1538</f>
        <v>344238.17842437554</v>
      </c>
      <c r="L1538" s="215">
        <v>27622.46</v>
      </c>
      <c r="M1538" s="4">
        <v>36.43</v>
      </c>
      <c r="N1538" s="9" t="str">
        <f>UPPER(TEXT(TablaCosechas[[#This Row],[COSECHA]],"MMMM"))</f>
        <v>ABRIL</v>
      </c>
      <c r="O1538" s="9" t="str">
        <f>IF(A1538="DO 29","BAP",IF(A1538="RO 14","BAP",(VLOOKUP(TablaCosechas[[#This Row],[COD]],Tabla7[[CODIGO]:[CERTIFICACION]],3,0))))</f>
        <v>ASC</v>
      </c>
      <c r="P1538" s="180">
        <f>+L1538-E1538</f>
        <v>4422.4599999999991</v>
      </c>
      <c r="Q1538" s="49">
        <f>+M1538-F1538</f>
        <v>-0.57000000000000028</v>
      </c>
      <c r="R1538" s="9"/>
    </row>
    <row r="1539" spans="1:18" x14ac:dyDescent="0.25">
      <c r="A1539" s="9" t="s">
        <v>139</v>
      </c>
      <c r="B1539" s="9">
        <f>ROW() - ROW(TablaCosechas[[#Headers],[ID]]) - 4</f>
        <v>1534</v>
      </c>
      <c r="C1539" s="9" t="str">
        <f>LEFT(A1539,2)</f>
        <v>PR</v>
      </c>
      <c r="D1539" s="182" t="s">
        <v>366</v>
      </c>
      <c r="E1539" s="178">
        <v>19700</v>
      </c>
      <c r="F1539" s="19">
        <v>26</v>
      </c>
      <c r="G1539" s="195">
        <v>46119</v>
      </c>
      <c r="H1539" s="9" t="str">
        <f>VLOOKUP(TablaCosechas[[#This Row],[COD]],DATOS!$E$3:$F$27,2,0)</f>
        <v>PARGO ROJO</v>
      </c>
      <c r="I1539" s="9" t="str">
        <f>RIGHT(TablaCosechas[[#This Row],[SECTOR/PISCINA]],2)</f>
        <v>17</v>
      </c>
      <c r="J1539" s="9" t="str">
        <f>VLOOKUP(TablaCosechas[[#This Row],[COD]],Tabla7[#All],4,0)</f>
        <v>WILMER TORRES</v>
      </c>
      <c r="K1539" s="179">
        <f>(TablaCosechas[[#This Row],[libras planta]]*454)/M1539</f>
        <v>292749.96480395173</v>
      </c>
      <c r="L1539" s="215">
        <v>20885.839999999997</v>
      </c>
      <c r="M1539" s="4">
        <v>32.39</v>
      </c>
      <c r="N1539" s="9" t="str">
        <f>UPPER(TEXT(TablaCosechas[[#This Row],[COSECHA]],"MMMM"))</f>
        <v>ABRIL</v>
      </c>
      <c r="O1539" s="9" t="str">
        <f>IF(A1539="DO 29","BAP",IF(A1539="RO 14","BAP",(VLOOKUP(TablaCosechas[[#This Row],[COD]],Tabla7[[CODIGO]:[CERTIFICACION]],3,0))))</f>
        <v>CONVENCIONAL</v>
      </c>
      <c r="P1539" s="180">
        <f>+L1539-E1539</f>
        <v>1185.8399999999965</v>
      </c>
      <c r="Q1539" s="49">
        <f>+M1539-F1539</f>
        <v>6.3900000000000006</v>
      </c>
      <c r="R1539" s="9"/>
    </row>
    <row r="1540" spans="1:18" x14ac:dyDescent="0.25">
      <c r="A1540" s="9" t="s">
        <v>331</v>
      </c>
      <c r="B1540" s="9">
        <f>ROW() - ROW(TablaCosechas[[#Headers],[ID]]) - 4</f>
        <v>1535</v>
      </c>
      <c r="C1540" s="9" t="str">
        <f>LEFT(A1540,2)</f>
        <v>DO</v>
      </c>
      <c r="D1540" s="182" t="s">
        <v>366</v>
      </c>
      <c r="E1540" s="178">
        <f>45000+24300</f>
        <v>69300</v>
      </c>
      <c r="F1540" s="19">
        <v>37</v>
      </c>
      <c r="G1540" s="195">
        <v>46119</v>
      </c>
      <c r="H1540" s="9" t="str">
        <f>VLOOKUP(TablaCosechas[[#This Row],[COD]],DATOS!$E$3:$F$27,2,0)</f>
        <v>DORADO</v>
      </c>
      <c r="I1540" s="9" t="str">
        <f>RIGHT(TablaCosechas[[#This Row],[SECTOR/PISCINA]],2)</f>
        <v>25</v>
      </c>
      <c r="J1540" s="9" t="str">
        <f>VLOOKUP(TablaCosechas[[#This Row],[COD]],Tabla7[#All],4,0)</f>
        <v>JOSE CEDEÑO</v>
      </c>
      <c r="K1540" s="179">
        <f>(TablaCosechas[[#This Row],[libras planta]]*454)/M1540</f>
        <v>939596.90691192867</v>
      </c>
      <c r="L1540" s="215">
        <v>74257.13</v>
      </c>
      <c r="M1540" s="4">
        <v>35.880000000000003</v>
      </c>
      <c r="N1540" s="9" t="str">
        <f>UPPER(TEXT(TablaCosechas[[#This Row],[COSECHA]],"MMMM"))</f>
        <v>ABRIL</v>
      </c>
      <c r="O1540" s="9" t="str">
        <f>IF(A1540="DO 29","BAP",IF(A1540="RO 14","BAP",(VLOOKUP(TablaCosechas[[#This Row],[COD]],Tabla7[[CODIGO]:[CERTIFICACION]],3,0))))</f>
        <v>ASC</v>
      </c>
      <c r="P1540" s="180">
        <f>+L1540-E1540</f>
        <v>4957.1300000000047</v>
      </c>
      <c r="Q1540" s="49">
        <f>+M1540-F1540</f>
        <v>-1.1199999999999974</v>
      </c>
      <c r="R1540" s="9"/>
    </row>
    <row r="1541" spans="1:18" x14ac:dyDescent="0.25">
      <c r="A1541" s="9" t="s">
        <v>25</v>
      </c>
      <c r="B1541" s="9">
        <f>ROW() - ROW(TablaCosechas[[#Headers],[ID]]) - 4</f>
        <v>1536</v>
      </c>
      <c r="C1541" s="9" t="str">
        <f>LEFT(A1541,2)</f>
        <v>CH</v>
      </c>
      <c r="D1541" s="182" t="s">
        <v>367</v>
      </c>
      <c r="E1541" s="178">
        <v>4750</v>
      </c>
      <c r="F1541" s="19">
        <v>27</v>
      </c>
      <c r="G1541" s="195">
        <v>46119</v>
      </c>
      <c r="H1541" s="9" t="str">
        <f>VLOOKUP(TablaCosechas[[#This Row],[COD]],DATOS!$E$3:$F$27,2,0)</f>
        <v>CHERNA</v>
      </c>
      <c r="I1541" s="9" t="str">
        <f>RIGHT(TablaCosechas[[#This Row],[SECTOR/PISCINA]],2)</f>
        <v>21</v>
      </c>
      <c r="J1541" s="9" t="str">
        <f>VLOOKUP(TablaCosechas[[#This Row],[COD]],Tabla7[#All],4,0)</f>
        <v>SANTIAGO OBRIEN</v>
      </c>
      <c r="K1541" s="179">
        <f>(TablaCosechas[[#This Row],[libras planta]]*454)/M1541</f>
        <v>82899.157060518715</v>
      </c>
      <c r="L1541" s="215">
        <v>5068.8999999999996</v>
      </c>
      <c r="M1541" s="4">
        <v>27.76</v>
      </c>
      <c r="N1541" s="9" t="str">
        <f>UPPER(TEXT(TablaCosechas[[#This Row],[COSECHA]],"MMMM"))</f>
        <v>ABRIL</v>
      </c>
      <c r="O1541" s="9" t="str">
        <f>IF(A1541="DO 29","BAP",IF(A1541="RO 14","BAP",(VLOOKUP(TablaCosechas[[#This Row],[COD]],Tabla7[[CODIGO]:[CERTIFICACION]],3,0))))</f>
        <v>ASC</v>
      </c>
      <c r="P1541" s="180">
        <f>+L1541-E1541</f>
        <v>318.89999999999964</v>
      </c>
      <c r="Q1541" s="181">
        <f>+M1541-F1541</f>
        <v>0.76000000000000156</v>
      </c>
      <c r="R1541" s="9"/>
    </row>
    <row r="1542" spans="1:18" x14ac:dyDescent="0.25">
      <c r="A1542" s="9" t="s">
        <v>192</v>
      </c>
      <c r="B1542" s="9">
        <f>ROW() - ROW(TablaCosechas[[#Headers],[ID]]) - 4</f>
        <v>1537</v>
      </c>
      <c r="C1542" s="9" t="str">
        <f>LEFT(A1542,2)</f>
        <v>TU</v>
      </c>
      <c r="D1542" s="182" t="s">
        <v>367</v>
      </c>
      <c r="E1542" s="178">
        <v>6000</v>
      </c>
      <c r="F1542" s="19">
        <v>20</v>
      </c>
      <c r="G1542" s="195">
        <v>46120</v>
      </c>
      <c r="H1542" s="9" t="str">
        <f>VLOOKUP(TablaCosechas[[#This Row],[COD]],DATOS!$E$3:$F$27,2,0)</f>
        <v>TUNA</v>
      </c>
      <c r="I1542" s="9" t="str">
        <f>RIGHT(TablaCosechas[[#This Row],[SECTOR/PISCINA]],2)</f>
        <v>02</v>
      </c>
      <c r="J1542" s="9" t="str">
        <f>VLOOKUP(TablaCosechas[[#This Row],[COD]],Tabla7[#All],4,0)</f>
        <v>GUSTAVO CARRASCO</v>
      </c>
      <c r="K1542" s="179">
        <f>(TablaCosechas[[#This Row],[libras planta]]*454)/M1542</f>
        <v>139209.85966542753</v>
      </c>
      <c r="L1542" s="215">
        <v>6598.67</v>
      </c>
      <c r="M1542" s="19">
        <v>21.52</v>
      </c>
      <c r="N1542" s="9" t="str">
        <f>UPPER(TEXT(TablaCosechas[[#This Row],[COSECHA]],"MMMM"))</f>
        <v>ABRIL</v>
      </c>
      <c r="O1542" s="9" t="str">
        <f>IF(A1542="DO 29","BAP",IF(A1542="RO 14","BAP",(VLOOKUP(TablaCosechas[[#This Row],[COD]],Tabla7[[CODIGO]:[CERTIFICACION]],3,0))))</f>
        <v>ASC</v>
      </c>
      <c r="P1542" s="180">
        <f>+L1542-E1542</f>
        <v>598.67000000000007</v>
      </c>
      <c r="Q1542" s="181">
        <f>+M1542-F1542</f>
        <v>1.5199999999999996</v>
      </c>
      <c r="R1542" s="9"/>
    </row>
    <row r="1543" spans="1:18" x14ac:dyDescent="0.25">
      <c r="A1543" s="9" t="s">
        <v>237</v>
      </c>
      <c r="B1543" s="9">
        <f>ROW() - ROW(TablaCosechas[[#Headers],[ID]]) - 4</f>
        <v>1538</v>
      </c>
      <c r="C1543" s="9" t="str">
        <f>LEFT(A1543,2)</f>
        <v>TI</v>
      </c>
      <c r="D1543" s="182" t="s">
        <v>367</v>
      </c>
      <c r="E1543" s="178">
        <v>7000</v>
      </c>
      <c r="F1543" s="19">
        <v>21</v>
      </c>
      <c r="G1543" s="195">
        <v>46120</v>
      </c>
      <c r="H1543" s="9" t="str">
        <f>VLOOKUP(TablaCosechas[[#This Row],[COD]],DATOS!$E$3:$F$27,2,0)</f>
        <v>TIBURON</v>
      </c>
      <c r="I1543" s="9" t="str">
        <f>RIGHT(TablaCosechas[[#This Row],[SECTOR/PISCINA]],2)</f>
        <v>08</v>
      </c>
      <c r="J1543" s="9" t="str">
        <f>VLOOKUP(TablaCosechas[[#This Row],[COD]],Tabla7[#All],4,0)</f>
        <v>ALFONSO GRUNAUER</v>
      </c>
      <c r="K1543" s="179">
        <f>(TablaCosechas[[#This Row],[libras planta]]*454)/M1543</f>
        <v>168111.5593056895</v>
      </c>
      <c r="L1543" s="215">
        <v>7679.81</v>
      </c>
      <c r="M1543" s="19">
        <v>20.74</v>
      </c>
      <c r="N1543" s="9" t="str">
        <f>UPPER(TEXT(TablaCosechas[[#This Row],[COSECHA]],"MMMM"))</f>
        <v>ABRIL</v>
      </c>
      <c r="O1543" s="9" t="str">
        <f>IF(A1543="DO 29","BAP",IF(A1543="RO 14","BAP",(VLOOKUP(TablaCosechas[[#This Row],[COD]],Tabla7[[CODIGO]:[CERTIFICACION]],3,0))))</f>
        <v>ASC</v>
      </c>
      <c r="P1543" s="180">
        <f>+L1543-E1543</f>
        <v>679.8100000000004</v>
      </c>
      <c r="Q1543" s="181">
        <f>+M1543-F1543</f>
        <v>-0.26000000000000156</v>
      </c>
      <c r="R1543" s="9"/>
    </row>
    <row r="1544" spans="1:18" x14ac:dyDescent="0.25">
      <c r="A1544" s="9" t="s">
        <v>135</v>
      </c>
      <c r="B1544" s="9">
        <f>ROW() - ROW(TablaCosechas[[#Headers],[ID]]) - 4</f>
        <v>1539</v>
      </c>
      <c r="C1544" s="9" t="str">
        <f>LEFT(A1544,2)</f>
        <v>RO</v>
      </c>
      <c r="D1544" s="182" t="s">
        <v>366</v>
      </c>
      <c r="E1544" s="178">
        <v>32150</v>
      </c>
      <c r="F1544" s="19">
        <v>39</v>
      </c>
      <c r="G1544" s="195">
        <v>46120</v>
      </c>
      <c r="H1544" s="9" t="str">
        <f>VLOOKUP(TablaCosechas[[#This Row],[COD]],DATOS!$E$3:$F$27,2,0)</f>
        <v>ROBALO</v>
      </c>
      <c r="I1544" s="9" t="str">
        <f>RIGHT(TablaCosechas[[#This Row],[SECTOR/PISCINA]],2)</f>
        <v>12</v>
      </c>
      <c r="J1544" s="9" t="str">
        <f>VLOOKUP(TablaCosechas[[#This Row],[COD]],Tabla7[#All],4,0)</f>
        <v>VICTOR QUINTANA</v>
      </c>
      <c r="K1544" s="179">
        <f>(TablaCosechas[[#This Row],[libras planta]]*454)/M1544</f>
        <v>379674.62823469128</v>
      </c>
      <c r="L1544" s="215">
        <v>32640.31</v>
      </c>
      <c r="M1544" s="19">
        <v>39.03</v>
      </c>
      <c r="N1544" s="9" t="str">
        <f>UPPER(TEXT(TablaCosechas[[#This Row],[COSECHA]],"MMMM"))</f>
        <v>ABRIL</v>
      </c>
      <c r="O1544" s="9" t="str">
        <f>IF(A1544="DO 29","BAP",IF(A1544="RO 14","BAP",(VLOOKUP(TablaCosechas[[#This Row],[COD]],Tabla7[[CODIGO]:[CERTIFICACION]],3,0))))</f>
        <v>ASC</v>
      </c>
      <c r="P1544" s="180">
        <f>+L1544-E1544</f>
        <v>490.31000000000131</v>
      </c>
      <c r="Q1544" s="181">
        <f>+M1544-F1544</f>
        <v>3.0000000000001137E-2</v>
      </c>
      <c r="R1544" s="9"/>
    </row>
    <row r="1545" spans="1:18" x14ac:dyDescent="0.25">
      <c r="A1545" s="9" t="s">
        <v>142</v>
      </c>
      <c r="B1545" s="9">
        <f>ROW() - ROW(TablaCosechas[[#Headers],[ID]]) - 4</f>
        <v>1540</v>
      </c>
      <c r="C1545" s="9" t="str">
        <f>LEFT(A1545,2)</f>
        <v>PR</v>
      </c>
      <c r="D1545" s="182" t="s">
        <v>366</v>
      </c>
      <c r="E1545" s="178">
        <v>9350</v>
      </c>
      <c r="F1545" s="19">
        <v>27</v>
      </c>
      <c r="G1545" s="195">
        <v>46120</v>
      </c>
      <c r="H1545" s="9" t="str">
        <f>VLOOKUP(TablaCosechas[[#This Row],[COD]],DATOS!$E$3:$F$27,2,0)</f>
        <v>PARGO ROJO</v>
      </c>
      <c r="I1545" s="9" t="str">
        <f>RIGHT(TablaCosechas[[#This Row],[SECTOR/PISCINA]],2)</f>
        <v>22</v>
      </c>
      <c r="J1545" s="9" t="str">
        <f>VLOOKUP(TablaCosechas[[#This Row],[COD]],Tabla7[#All],4,0)</f>
        <v>WILMER TORRES</v>
      </c>
      <c r="K1545" s="179">
        <f>(TablaCosechas[[#This Row],[libras planta]]*454)/M1545</f>
        <v>170421.67814569536</v>
      </c>
      <c r="L1545" s="215">
        <v>11336.42</v>
      </c>
      <c r="M1545" s="19">
        <v>30.2</v>
      </c>
      <c r="N1545" s="9" t="str">
        <f>UPPER(TEXT(TablaCosechas[[#This Row],[COSECHA]],"MMMM"))</f>
        <v>ABRIL</v>
      </c>
      <c r="O1545" s="9" t="str">
        <f>IF(A1545="DO 29","BAP",IF(A1545="RO 14","BAP",(VLOOKUP(TablaCosechas[[#This Row],[COD]],Tabla7[[CODIGO]:[CERTIFICACION]],3,0))))</f>
        <v>CONVENCIONAL</v>
      </c>
      <c r="P1545" s="180">
        <f>+L1545-E1545</f>
        <v>1986.42</v>
      </c>
      <c r="Q1545" s="181">
        <f>+M1545-F1545</f>
        <v>3.1999999999999993</v>
      </c>
      <c r="R1545" s="9"/>
    </row>
    <row r="1546" spans="1:18" x14ac:dyDescent="0.25">
      <c r="A1546" s="9" t="s">
        <v>141</v>
      </c>
      <c r="B1546" s="9">
        <f>ROW() - ROW(TablaCosechas[[#Headers],[ID]]) - 4</f>
        <v>1541</v>
      </c>
      <c r="C1546" s="9" t="str">
        <f>LEFT(A1546,2)</f>
        <v>PR</v>
      </c>
      <c r="D1546" s="182" t="s">
        <v>366</v>
      </c>
      <c r="E1546" s="178">
        <v>7000</v>
      </c>
      <c r="F1546" s="19">
        <v>31</v>
      </c>
      <c r="G1546" s="195">
        <v>46120</v>
      </c>
      <c r="H1546" s="9" t="str">
        <f>VLOOKUP(TablaCosechas[[#This Row],[COD]],DATOS!$E$3:$F$27,2,0)</f>
        <v>PARGO ROJO</v>
      </c>
      <c r="I1546" s="9" t="str">
        <f>RIGHT(TablaCosechas[[#This Row],[SECTOR/PISCINA]],2)</f>
        <v>21</v>
      </c>
      <c r="J1546" s="9" t="str">
        <f>VLOOKUP(TablaCosechas[[#This Row],[COD]],Tabla7[#All],4,0)</f>
        <v>WILMER TORRES</v>
      </c>
      <c r="K1546" s="179">
        <f>(TablaCosechas[[#This Row],[libras planta]]*454)/M1546</f>
        <v>110014.30607609313</v>
      </c>
      <c r="L1546" s="215">
        <v>8534.59</v>
      </c>
      <c r="M1546" s="19">
        <v>35.22</v>
      </c>
      <c r="N1546" s="9" t="str">
        <f>UPPER(TEXT(TablaCosechas[[#This Row],[COSECHA]],"MMMM"))</f>
        <v>ABRIL</v>
      </c>
      <c r="O1546" s="9" t="str">
        <f>IF(A1546="DO 29","BAP",IF(A1546="RO 14","BAP",(VLOOKUP(TablaCosechas[[#This Row],[COD]],Tabla7[[CODIGO]:[CERTIFICACION]],3,0))))</f>
        <v>CONVENCIONAL</v>
      </c>
      <c r="P1546" s="180">
        <f>+L1546-E1546</f>
        <v>1534.5900000000001</v>
      </c>
      <c r="Q1546" s="181">
        <f>+M1546-F1546</f>
        <v>4.2199999999999989</v>
      </c>
      <c r="R1546" s="9"/>
    </row>
    <row r="1547" spans="1:18" x14ac:dyDescent="0.25">
      <c r="A1547" s="9" t="s">
        <v>134</v>
      </c>
      <c r="B1547" s="9">
        <f>ROW() - ROW(TablaCosechas[[#Headers],[ID]]) - 4</f>
        <v>1542</v>
      </c>
      <c r="C1547" s="9" t="str">
        <f>LEFT(A1547,2)</f>
        <v>GT</v>
      </c>
      <c r="D1547" s="182" t="s">
        <v>366</v>
      </c>
      <c r="E1547" s="178">
        <v>10750</v>
      </c>
      <c r="F1547" s="19">
        <v>34</v>
      </c>
      <c r="G1547" s="195">
        <v>46120</v>
      </c>
      <c r="H1547" s="9" t="str">
        <f>VLOOKUP(TablaCosechas[[#This Row],[COD]],DATOS!$E$3:$F$27,2,0)</f>
        <v>GUATO</v>
      </c>
      <c r="I1547" s="9" t="str">
        <f>RIGHT(TablaCosechas[[#This Row],[SECTOR/PISCINA]],2)</f>
        <v>21</v>
      </c>
      <c r="J1547" s="9" t="str">
        <f>VLOOKUP(TablaCosechas[[#This Row],[COD]],Tabla7[#All],4,0)</f>
        <v>JULIO SANTOS</v>
      </c>
      <c r="K1547" s="179">
        <f>(TablaCosechas[[#This Row],[libras planta]]*454)/M1547</f>
        <v>149563.12136752135</v>
      </c>
      <c r="L1547" s="215">
        <v>11563.14</v>
      </c>
      <c r="M1547" s="19">
        <v>35.1</v>
      </c>
      <c r="N1547" s="9" t="str">
        <f>UPPER(TEXT(TablaCosechas[[#This Row],[COSECHA]],"MMMM"))</f>
        <v>ABRIL</v>
      </c>
      <c r="O1547" s="9" t="str">
        <f>IF(A1547="DO 29","BAP",IF(A1547="RO 14","BAP",(VLOOKUP(TablaCosechas[[#This Row],[COD]],Tabla7[[CODIGO]:[CERTIFICACION]],3,0))))</f>
        <v>CONVENCIONAL</v>
      </c>
      <c r="P1547" s="180">
        <f>+L1547-E1547</f>
        <v>813.13999999999942</v>
      </c>
      <c r="Q1547" s="181">
        <f>+M1547-F1547</f>
        <v>1.1000000000000014</v>
      </c>
      <c r="R1547" s="9"/>
    </row>
    <row r="1548" spans="1:18" x14ac:dyDescent="0.25">
      <c r="A1548" s="9" t="s">
        <v>144</v>
      </c>
      <c r="B1548" s="9">
        <f>ROW() - ROW(TablaCosechas[[#Headers],[ID]]) - 4</f>
        <v>1543</v>
      </c>
      <c r="C1548" s="9" t="str">
        <f>LEFT(A1548,2)</f>
        <v>DO</v>
      </c>
      <c r="D1548" s="182" t="s">
        <v>366</v>
      </c>
      <c r="E1548" s="178">
        <v>37350</v>
      </c>
      <c r="F1548" s="19">
        <v>38</v>
      </c>
      <c r="G1548" s="195">
        <v>46120</v>
      </c>
      <c r="H1548" s="9" t="str">
        <f>VLOOKUP(TablaCosechas[[#This Row],[COD]],DATOS!$E$3:$F$27,2,0)</f>
        <v>DORADO</v>
      </c>
      <c r="I1548" s="9" t="str">
        <f>RIGHT(TablaCosechas[[#This Row],[SECTOR/PISCINA]],2)</f>
        <v>09</v>
      </c>
      <c r="J1548" s="9" t="str">
        <f>VLOOKUP(TablaCosechas[[#This Row],[COD]],Tabla7[#All],4,0)</f>
        <v>JOSE CEDEÑO</v>
      </c>
      <c r="K1548" s="179">
        <f>(TablaCosechas[[#This Row],[libras planta]]*454)/M1548</f>
        <v>480558.76092680357</v>
      </c>
      <c r="L1548" s="215">
        <v>40201.81</v>
      </c>
      <c r="M1548" s="19">
        <v>37.979999999999997</v>
      </c>
      <c r="N1548" s="9" t="str">
        <f>UPPER(TEXT(TablaCosechas[[#This Row],[COSECHA]],"MMMM"))</f>
        <v>ABRIL</v>
      </c>
      <c r="O1548" s="9" t="str">
        <f>IF(A1548="DO 29","BAP",IF(A1548="RO 14","BAP",(VLOOKUP(TablaCosechas[[#This Row],[COD]],Tabla7[[CODIGO]:[CERTIFICACION]],3,0))))</f>
        <v>ASC</v>
      </c>
      <c r="P1548" s="180">
        <f>+L1548-E1548</f>
        <v>2851.8099999999977</v>
      </c>
      <c r="Q1548" s="181">
        <f>+M1548-F1548</f>
        <v>-2.0000000000003126E-2</v>
      </c>
      <c r="R1548" s="9"/>
    </row>
    <row r="1549" spans="1:18" x14ac:dyDescent="0.25">
      <c r="A1549" s="9" t="s">
        <v>11</v>
      </c>
      <c r="B1549" s="9">
        <f>ROW() - ROW(TablaCosechas[[#Headers],[ID]]) - 4</f>
        <v>1544</v>
      </c>
      <c r="C1549" s="9" t="str">
        <f>LEFT(A1549,2)</f>
        <v>CH</v>
      </c>
      <c r="D1549" s="182" t="s">
        <v>367</v>
      </c>
      <c r="E1549" s="178">
        <v>8800</v>
      </c>
      <c r="F1549" s="19">
        <v>24.7</v>
      </c>
      <c r="G1549" s="195">
        <v>46120</v>
      </c>
      <c r="H1549" s="9" t="str">
        <f>VLOOKUP(TablaCosechas[[#This Row],[COD]],DATOS!$E$3:$F$27,2,0)</f>
        <v>CHERNA</v>
      </c>
      <c r="I1549" s="9" t="str">
        <f>RIGHT(TablaCosechas[[#This Row],[SECTOR/PISCINA]],2)</f>
        <v>05</v>
      </c>
      <c r="J1549" s="9" t="str">
        <f>VLOOKUP(TablaCosechas[[#This Row],[COD]],Tabla7[#All],4,0)</f>
        <v>SANTIAGO OBRIEN</v>
      </c>
      <c r="K1549" s="179">
        <f>(TablaCosechas[[#This Row],[libras planta]]*454)/M1549</f>
        <v>143023.02334889927</v>
      </c>
      <c r="L1549" s="215">
        <v>9444.56</v>
      </c>
      <c r="M1549" s="19">
        <v>29.98</v>
      </c>
      <c r="N1549" s="9" t="str">
        <f>UPPER(TEXT(TablaCosechas[[#This Row],[COSECHA]],"MMMM"))</f>
        <v>ABRIL</v>
      </c>
      <c r="O1549" s="9" t="str">
        <f>IF(A1549="DO 29","BAP",IF(A1549="RO 14","BAP",(VLOOKUP(TablaCosechas[[#This Row],[COD]],Tabla7[[CODIGO]:[CERTIFICACION]],3,0))))</f>
        <v>ASC</v>
      </c>
      <c r="P1549" s="180">
        <f>+L1549-E1549</f>
        <v>644.55999999999949</v>
      </c>
      <c r="Q1549" s="181">
        <f>+M1549-F1549</f>
        <v>5.2800000000000011</v>
      </c>
      <c r="R1549" s="9"/>
    </row>
    <row r="1550" spans="1:18" x14ac:dyDescent="0.25">
      <c r="A1550" s="9" t="s">
        <v>341</v>
      </c>
      <c r="B1550" s="9">
        <f>ROW() - ROW(TablaCosechas[[#Headers],[ID]]) - 4</f>
        <v>1545</v>
      </c>
      <c r="C1550" s="9" t="str">
        <f>LEFT(A1550,2)</f>
        <v>WA</v>
      </c>
      <c r="D1550" s="182" t="s">
        <v>367</v>
      </c>
      <c r="E1550" s="178">
        <v>11400</v>
      </c>
      <c r="F1550" s="19">
        <v>25</v>
      </c>
      <c r="G1550" s="195">
        <v>46121</v>
      </c>
      <c r="H1550" s="9" t="str">
        <f>VLOOKUP(TablaCosechas[[#This Row],[COD]],DATOS!$E$3:$F$27,2,0)</f>
        <v>WAHOO</v>
      </c>
      <c r="I1550" s="9" t="str">
        <f>RIGHT(TablaCosechas[[#This Row],[SECTOR/PISCINA]],2)</f>
        <v>05</v>
      </c>
      <c r="J1550" s="9" t="str">
        <f>VLOOKUP(TablaCosechas[[#This Row],[COD]],Tabla7[#All],4,0)</f>
        <v>JUNIOR ESQUIVEL</v>
      </c>
      <c r="K1550" s="179">
        <f>(TablaCosechas[[#This Row],[libras planta]]*454)/M1550</f>
        <v>206522.83979517192</v>
      </c>
      <c r="L1550" s="215">
        <v>12436.86</v>
      </c>
      <c r="M1550" s="19">
        <v>27.34</v>
      </c>
      <c r="N1550" s="9" t="str">
        <f>UPPER(TEXT(TablaCosechas[[#This Row],[COSECHA]],"MMMM"))</f>
        <v>ABRIL</v>
      </c>
      <c r="O1550" s="9" t="str">
        <f>IF(A1550="DO 29","BAP",IF(A1550="RO 14","BAP",(VLOOKUP(TablaCosechas[[#This Row],[COD]],Tabla7[[CODIGO]:[CERTIFICACION]],3,0))))</f>
        <v>CONVENCIONAL</v>
      </c>
      <c r="P1550" s="180">
        <f>+L1550-E1550</f>
        <v>1036.8600000000006</v>
      </c>
      <c r="Q1550" s="181">
        <f>+M1550-F1550</f>
        <v>2.34</v>
      </c>
      <c r="R1550" s="9"/>
    </row>
    <row r="1551" spans="1:18" x14ac:dyDescent="0.25">
      <c r="A1551" s="9" t="s">
        <v>156</v>
      </c>
      <c r="B1551" s="9">
        <f>ROW() - ROW(TablaCosechas[[#Headers],[ID]]) - 4</f>
        <v>1546</v>
      </c>
      <c r="C1551" s="9" t="str">
        <f>LEFT(A1551,2)</f>
        <v>TI</v>
      </c>
      <c r="D1551" s="182" t="s">
        <v>367</v>
      </c>
      <c r="E1551" s="178">
        <v>8800</v>
      </c>
      <c r="F1551" s="19">
        <v>28</v>
      </c>
      <c r="G1551" s="195">
        <v>46121</v>
      </c>
      <c r="H1551" s="9" t="str">
        <f>VLOOKUP(TablaCosechas[[#This Row],[COD]],DATOS!$E$3:$F$27,2,0)</f>
        <v>TIBURON</v>
      </c>
      <c r="I1551" s="9" t="str">
        <f>RIGHT(TablaCosechas[[#This Row],[SECTOR/PISCINA]],2)</f>
        <v>11</v>
      </c>
      <c r="J1551" s="9" t="str">
        <f>VLOOKUP(TablaCosechas[[#This Row],[COD]],Tabla7[#All],4,0)</f>
        <v>ALFONSO GRUNAUER</v>
      </c>
      <c r="K1551" s="179">
        <f>(TablaCosechas[[#This Row],[libras planta]]*454)/M1551</f>
        <v>148027.31436502427</v>
      </c>
      <c r="L1551" s="215">
        <v>9396.7999999999993</v>
      </c>
      <c r="M1551" s="19">
        <v>28.82</v>
      </c>
      <c r="N1551" s="9" t="str">
        <f>UPPER(TEXT(TablaCosechas[[#This Row],[COSECHA]],"MMMM"))</f>
        <v>ABRIL</v>
      </c>
      <c r="O1551" s="9" t="str">
        <f>IF(A1551="DO 29","BAP",IF(A1551="RO 14","BAP",(VLOOKUP(TablaCosechas[[#This Row],[COD]],Tabla7[[CODIGO]:[CERTIFICACION]],3,0))))</f>
        <v>ASC</v>
      </c>
      <c r="P1551" s="180">
        <f>+L1551-E1551</f>
        <v>596.79999999999927</v>
      </c>
      <c r="Q1551" s="181">
        <f>+M1551-F1551</f>
        <v>0.82000000000000028</v>
      </c>
      <c r="R1551" s="9"/>
    </row>
    <row r="1552" spans="1:18" x14ac:dyDescent="0.25">
      <c r="A1552" s="9" t="s">
        <v>232</v>
      </c>
      <c r="B1552" s="9">
        <f>ROW() - ROW(TablaCosechas[[#Headers],[ID]]) - 4</f>
        <v>1547</v>
      </c>
      <c r="C1552" s="9" t="str">
        <f>LEFT(A1552,2)</f>
        <v>TI</v>
      </c>
      <c r="D1552" s="182" t="s">
        <v>367</v>
      </c>
      <c r="E1552" s="178">
        <v>7000</v>
      </c>
      <c r="F1552" s="19">
        <v>18</v>
      </c>
      <c r="G1552" s="195">
        <v>46121</v>
      </c>
      <c r="H1552" s="9" t="str">
        <f>VLOOKUP(TablaCosechas[[#This Row],[COD]],DATOS!$E$3:$F$27,2,0)</f>
        <v>TIBURON</v>
      </c>
      <c r="I1552" s="9" t="str">
        <f>RIGHT(TablaCosechas[[#This Row],[SECTOR/PISCINA]],2)</f>
        <v>09</v>
      </c>
      <c r="J1552" s="9" t="str">
        <f>VLOOKUP(TablaCosechas[[#This Row],[COD]],Tabla7[#All],4,0)</f>
        <v>ALFONSO GRUNAUER</v>
      </c>
      <c r="K1552" s="179">
        <f>(TablaCosechas[[#This Row],[libras planta]]*454)/M1552</f>
        <v>180825.84093319194</v>
      </c>
      <c r="L1552" s="215">
        <v>7511.84</v>
      </c>
      <c r="M1552" s="19">
        <v>18.86</v>
      </c>
      <c r="N1552" s="9" t="str">
        <f>UPPER(TEXT(TablaCosechas[[#This Row],[COSECHA]],"MMMM"))</f>
        <v>ABRIL</v>
      </c>
      <c r="O1552" s="9" t="str">
        <f>IF(A1552="DO 29","BAP",IF(A1552="RO 14","BAP",(VLOOKUP(TablaCosechas[[#This Row],[COD]],Tabla7[[CODIGO]:[CERTIFICACION]],3,0))))</f>
        <v>ASC</v>
      </c>
      <c r="P1552" s="180">
        <f>+L1552-E1552</f>
        <v>511.84000000000015</v>
      </c>
      <c r="Q1552" s="181">
        <f>+M1552-F1552</f>
        <v>0.85999999999999943</v>
      </c>
      <c r="R1552" s="9"/>
    </row>
    <row r="1553" spans="1:18" x14ac:dyDescent="0.25">
      <c r="A1553" s="9" t="s">
        <v>117</v>
      </c>
      <c r="B1553" s="9">
        <f>ROW() - ROW(TablaCosechas[[#Headers],[ID]]) - 4</f>
        <v>1548</v>
      </c>
      <c r="C1553" s="9" t="str">
        <f>LEFT(A1553,2)</f>
        <v>PR</v>
      </c>
      <c r="D1553" s="182" t="s">
        <v>366</v>
      </c>
      <c r="E1553" s="178">
        <v>12100</v>
      </c>
      <c r="F1553" s="19">
        <v>21</v>
      </c>
      <c r="G1553" s="195">
        <v>46121</v>
      </c>
      <c r="H1553" s="9" t="str">
        <f>VLOOKUP(TablaCosechas[[#This Row],[COD]],DATOS!$E$3:$F$27,2,0)</f>
        <v>PARGO ROJO</v>
      </c>
      <c r="I1553" s="9" t="str">
        <f>RIGHT(TablaCosechas[[#This Row],[SECTOR/PISCINA]],2)</f>
        <v>05</v>
      </c>
      <c r="J1553" s="9" t="str">
        <f>VLOOKUP(TablaCosechas[[#This Row],[COD]],Tabla7[#All],4,0)</f>
        <v>WILMER TORRES</v>
      </c>
      <c r="K1553" s="179">
        <f>(TablaCosechas[[#This Row],[libras planta]]*454)/M1553</f>
        <v>286186.07720588235</v>
      </c>
      <c r="L1553" s="215">
        <v>13716.76</v>
      </c>
      <c r="M1553" s="19">
        <v>21.76</v>
      </c>
      <c r="N1553" s="9" t="str">
        <f>UPPER(TEXT(TablaCosechas[[#This Row],[COSECHA]],"MMMM"))</f>
        <v>ABRIL</v>
      </c>
      <c r="O1553" s="9" t="str">
        <f>IF(A1553="DO 29","BAP",IF(A1553="RO 14","BAP",(VLOOKUP(TablaCosechas[[#This Row],[COD]],Tabla7[[CODIGO]:[CERTIFICACION]],3,0))))</f>
        <v>CONVENCIONAL</v>
      </c>
      <c r="P1553" s="180">
        <f>+L1553-E1553</f>
        <v>1616.7600000000002</v>
      </c>
      <c r="Q1553" s="181">
        <f>+M1553-F1553</f>
        <v>0.76000000000000156</v>
      </c>
      <c r="R1553" s="9"/>
    </row>
    <row r="1554" spans="1:18" x14ac:dyDescent="0.25">
      <c r="A1554" s="9" t="s">
        <v>332</v>
      </c>
      <c r="B1554" s="9">
        <f>ROW() - ROW(TablaCosechas[[#Headers],[ID]]) - 4</f>
        <v>1549</v>
      </c>
      <c r="C1554" s="9" t="str">
        <f>LEFT(A1554,2)</f>
        <v>PA</v>
      </c>
      <c r="D1554" s="182" t="s">
        <v>366</v>
      </c>
      <c r="E1554" s="178">
        <v>33750</v>
      </c>
      <c r="F1554" s="19">
        <v>33</v>
      </c>
      <c r="G1554" s="195">
        <v>46121</v>
      </c>
      <c r="H1554" s="9" t="str">
        <f>VLOOKUP(TablaCosechas[[#This Row],[COD]],DATOS!$E$3:$F$27,2,0)</f>
        <v>PAMPANO</v>
      </c>
      <c r="I1554" s="9" t="str">
        <f>RIGHT(TablaCosechas[[#This Row],[SECTOR/PISCINA]],2)</f>
        <v>12</v>
      </c>
      <c r="J1554" s="9" t="str">
        <f>VLOOKUP(TablaCosechas[[#This Row],[COD]],Tabla7[#All],4,0)</f>
        <v>GUSTAVO CARRASCO</v>
      </c>
      <c r="K1554" s="179">
        <f>(TablaCosechas[[#This Row],[libras planta]]*454)/M1554</f>
        <v>518442.95556236588</v>
      </c>
      <c r="L1554" s="215">
        <v>37261.660000000003</v>
      </c>
      <c r="M1554" s="19">
        <v>32.630000000000003</v>
      </c>
      <c r="N1554" s="9" t="str">
        <f>UPPER(TEXT(TablaCosechas[[#This Row],[COSECHA]],"MMMM"))</f>
        <v>ABRIL</v>
      </c>
      <c r="O1554" s="9" t="str">
        <f>IF(A1554="DO 29","BAP",IF(A1554="RO 14","BAP",(VLOOKUP(TablaCosechas[[#This Row],[COD]],Tabla7[[CODIGO]:[CERTIFICACION]],3,0))))</f>
        <v>ASC</v>
      </c>
      <c r="P1554" s="180">
        <f>+L1554-E1554</f>
        <v>3511.6600000000035</v>
      </c>
      <c r="Q1554" s="181">
        <f>+M1554-F1554</f>
        <v>-0.36999999999999744</v>
      </c>
      <c r="R1554" s="9"/>
    </row>
    <row r="1555" spans="1:18" x14ac:dyDescent="0.25">
      <c r="A1555" s="9" t="s">
        <v>216</v>
      </c>
      <c r="B1555" s="9">
        <f>ROW() - ROW(TablaCosechas[[#Headers],[ID]]) - 4</f>
        <v>1550</v>
      </c>
      <c r="C1555" s="9" t="str">
        <f>LEFT(A1555,2)</f>
        <v>DO</v>
      </c>
      <c r="D1555" s="182" t="s">
        <v>367</v>
      </c>
      <c r="E1555" s="178">
        <v>12600</v>
      </c>
      <c r="F1555" s="19">
        <v>21</v>
      </c>
      <c r="G1555" s="195">
        <v>46121</v>
      </c>
      <c r="H1555" s="9" t="str">
        <f>VLOOKUP(TablaCosechas[[#This Row],[COD]],DATOS!$E$3:$F$27,2,0)</f>
        <v>DORADO</v>
      </c>
      <c r="I1555" s="9" t="str">
        <f>RIGHT(TablaCosechas[[#This Row],[SECTOR/PISCINA]],2)</f>
        <v>21</v>
      </c>
      <c r="J1555" s="9" t="str">
        <f>VLOOKUP(TablaCosechas[[#This Row],[COD]],Tabla7[#All],4,0)</f>
        <v>JOSE CEDEÑO</v>
      </c>
      <c r="K1555" s="179">
        <f>(TablaCosechas[[#This Row],[libras planta]]*454)/M1555</f>
        <v>272296.45242537314</v>
      </c>
      <c r="L1555" s="215">
        <v>12859.11</v>
      </c>
      <c r="M1555" s="19">
        <v>21.44</v>
      </c>
      <c r="N1555" s="9" t="str">
        <f>UPPER(TEXT(TablaCosechas[[#This Row],[COSECHA]],"MMMM"))</f>
        <v>ABRIL</v>
      </c>
      <c r="O1555" s="9" t="str">
        <f>IF(A1555="DO 29","BAP",IF(A1555="RO 14","BAP",(VLOOKUP(TablaCosechas[[#This Row],[COD]],Tabla7[[CODIGO]:[CERTIFICACION]],3,0))))</f>
        <v>ASC</v>
      </c>
      <c r="P1555" s="180">
        <f>+L1555-E1555</f>
        <v>259.11000000000058</v>
      </c>
      <c r="Q1555" s="181">
        <f>+M1555-F1555</f>
        <v>0.44000000000000128</v>
      </c>
      <c r="R1555" s="9"/>
    </row>
    <row r="1556" spans="1:18" x14ac:dyDescent="0.25">
      <c r="A1556" s="9" t="s">
        <v>260</v>
      </c>
      <c r="B1556" s="9">
        <f>ROW() - ROW(TablaCosechas[[#Headers],[ID]]) - 4</f>
        <v>1551</v>
      </c>
      <c r="C1556" s="9" t="str">
        <f>LEFT(A1556,2)</f>
        <v>DO</v>
      </c>
      <c r="D1556" s="182" t="s">
        <v>367</v>
      </c>
      <c r="E1556" s="178">
        <v>6800</v>
      </c>
      <c r="F1556" s="19">
        <v>17</v>
      </c>
      <c r="G1556" s="195">
        <v>46121</v>
      </c>
      <c r="H1556" s="9" t="str">
        <f>VLOOKUP(TablaCosechas[[#This Row],[COD]],DATOS!$E$3:$F$27,2,0)</f>
        <v>DORADO</v>
      </c>
      <c r="I1556" s="9" t="str">
        <f>RIGHT(TablaCosechas[[#This Row],[SECTOR/PISCINA]],2)</f>
        <v>03</v>
      </c>
      <c r="J1556" s="9" t="str">
        <f>VLOOKUP(TablaCosechas[[#This Row],[COD]],Tabla7[#All],4,0)</f>
        <v>JOSE CEDEÑO</v>
      </c>
      <c r="K1556" s="179">
        <f>(TablaCosechas[[#This Row],[libras planta]]*454)/M1556</f>
        <v>170156.10134436403</v>
      </c>
      <c r="L1556" s="215">
        <v>7248.5</v>
      </c>
      <c r="M1556" s="19">
        <v>19.34</v>
      </c>
      <c r="N1556" s="9" t="str">
        <f>UPPER(TEXT(TablaCosechas[[#This Row],[COSECHA]],"MMMM"))</f>
        <v>ABRIL</v>
      </c>
      <c r="O1556" s="9" t="str">
        <f>IF(A1556="DO 29","BAP",IF(A1556="RO 14","BAP",(VLOOKUP(TablaCosechas[[#This Row],[COD]],Tabla7[[CODIGO]:[CERTIFICACION]],3,0))))</f>
        <v>ASC</v>
      </c>
      <c r="P1556" s="180">
        <f>+L1556-E1556</f>
        <v>448.5</v>
      </c>
      <c r="Q1556" s="181">
        <f>+M1556-F1556</f>
        <v>2.34</v>
      </c>
      <c r="R1556" s="9"/>
    </row>
    <row r="1557" spans="1:18" x14ac:dyDescent="0.25">
      <c r="A1557" s="9" t="s">
        <v>350</v>
      </c>
      <c r="B1557" s="9">
        <f>ROW() - ROW(TablaCosechas[[#Headers],[ID]]) - 4</f>
        <v>1552</v>
      </c>
      <c r="C1557" s="9" t="str">
        <f>LEFT(A1557,2)</f>
        <v>DO</v>
      </c>
      <c r="D1557" s="182" t="s">
        <v>367</v>
      </c>
      <c r="E1557" s="178">
        <v>10000</v>
      </c>
      <c r="F1557" s="19">
        <v>17</v>
      </c>
      <c r="G1557" s="195">
        <v>46121</v>
      </c>
      <c r="H1557" s="9" t="str">
        <f>VLOOKUP(TablaCosechas[[#This Row],[COD]],DATOS!$E$3:$F$27,2,0)</f>
        <v>DORADO</v>
      </c>
      <c r="I1557" s="9" t="str">
        <f>RIGHT(TablaCosechas[[#This Row],[SECTOR/PISCINA]],2)</f>
        <v>02</v>
      </c>
      <c r="J1557" s="9" t="str">
        <f>VLOOKUP(TablaCosechas[[#This Row],[COD]],Tabla7[#All],4,0)</f>
        <v>JOSE CEDEÑO</v>
      </c>
      <c r="K1557" s="179">
        <f>(TablaCosechas[[#This Row],[libras planta]]*454)/M1557</f>
        <v>311860.89423076925</v>
      </c>
      <c r="L1557" s="215">
        <v>12859.11</v>
      </c>
      <c r="M1557" s="19">
        <v>18.72</v>
      </c>
      <c r="N1557" s="9" t="str">
        <f>UPPER(TEXT(TablaCosechas[[#This Row],[COSECHA]],"MMMM"))</f>
        <v>ABRIL</v>
      </c>
      <c r="O1557" s="9" t="str">
        <f>IF(A1557="DO 29","BAP",IF(A1557="RO 14","BAP",(VLOOKUP(TablaCosechas[[#This Row],[COD]],Tabla7[[CODIGO]:[CERTIFICACION]],3,0))))</f>
        <v>ASC</v>
      </c>
      <c r="P1557" s="180">
        <f>+L1557-E1557</f>
        <v>2859.1100000000006</v>
      </c>
      <c r="Q1557" s="181">
        <f>+M1557-F1557</f>
        <v>1.7199999999999989</v>
      </c>
      <c r="R1557" s="9"/>
    </row>
    <row r="1558" spans="1:18" x14ac:dyDescent="0.25">
      <c r="A1558" s="9" t="s">
        <v>177</v>
      </c>
      <c r="B1558" s="9">
        <f>ROW() - ROW(TablaCosechas[[#Headers],[ID]]) - 4</f>
        <v>1553</v>
      </c>
      <c r="C1558" s="9" t="str">
        <f>LEFT(A1558,2)</f>
        <v>DE</v>
      </c>
      <c r="D1558" s="182" t="s">
        <v>367</v>
      </c>
      <c r="E1558" s="178">
        <v>8000</v>
      </c>
      <c r="F1558" s="19">
        <v>24</v>
      </c>
      <c r="G1558" s="195">
        <v>46121</v>
      </c>
      <c r="H1558" s="9" t="str">
        <f>VLOOKUP(TablaCosechas[[#This Row],[COD]],DATOS!$E$3:$F$27,2,0)</f>
        <v>DELFIN</v>
      </c>
      <c r="I1558" s="9" t="str">
        <f>RIGHT(TablaCosechas[[#This Row],[SECTOR/PISCINA]],2)</f>
        <v>09</v>
      </c>
      <c r="J1558" s="9" t="str">
        <f>VLOOKUP(TablaCosechas[[#This Row],[COD]],Tabla7[#All],4,0)</f>
        <v>CARLOS FLORES</v>
      </c>
      <c r="K1558" s="179">
        <f>(TablaCosechas[[#This Row],[libras planta]]*454)/M1558</f>
        <v>151333.33333333334</v>
      </c>
      <c r="L1558" s="215">
        <v>8000</v>
      </c>
      <c r="M1558" s="19">
        <v>24</v>
      </c>
      <c r="N1558" s="9" t="str">
        <f>UPPER(TEXT(TablaCosechas[[#This Row],[COSECHA]],"MMMM"))</f>
        <v>ABRIL</v>
      </c>
      <c r="O1558" s="9" t="str">
        <f>IF(A1558="DO 29","BAP",IF(A1558="RO 14","BAP",(VLOOKUP(TablaCosechas[[#This Row],[COD]],Tabla7[[CODIGO]:[CERTIFICACION]],3,0))))</f>
        <v>CONVENCIONAL</v>
      </c>
      <c r="P1558" s="180">
        <f>+L1558-E1558</f>
        <v>0</v>
      </c>
      <c r="Q1558" s="181">
        <f>+M1558-F1558</f>
        <v>0</v>
      </c>
      <c r="R1558" s="9"/>
    </row>
    <row r="1559" spans="1:18" x14ac:dyDescent="0.25">
      <c r="A1559" s="9" t="s">
        <v>174</v>
      </c>
      <c r="B1559" s="9">
        <f>ROW() - ROW(TablaCosechas[[#Headers],[ID]]) - 4</f>
        <v>1554</v>
      </c>
      <c r="C1559" s="9" t="str">
        <f>LEFT(A1559,2)</f>
        <v>DE</v>
      </c>
      <c r="D1559" s="182" t="s">
        <v>367</v>
      </c>
      <c r="E1559" s="178">
        <f>4500+7500</f>
        <v>12000</v>
      </c>
      <c r="F1559" s="19">
        <v>23</v>
      </c>
      <c r="G1559" s="195">
        <v>46121</v>
      </c>
      <c r="H1559" s="9" t="str">
        <f>VLOOKUP(TablaCosechas[[#This Row],[COD]],DATOS!$E$3:$F$27,2,0)</f>
        <v>DELFIN</v>
      </c>
      <c r="I1559" s="9" t="str">
        <f>RIGHT(TablaCosechas[[#This Row],[SECTOR/PISCINA]],2)</f>
        <v>07</v>
      </c>
      <c r="J1559" s="9" t="str">
        <f>VLOOKUP(TablaCosechas[[#This Row],[COD]],Tabla7[#All],4,0)</f>
        <v>CARLOS FLORES</v>
      </c>
      <c r="K1559" s="179">
        <f>(TablaCosechas[[#This Row],[libras planta]]*454)/M1559</f>
        <v>253074.35104529615</v>
      </c>
      <c r="L1559" s="215">
        <v>12798.65</v>
      </c>
      <c r="M1559" s="19">
        <v>22.96</v>
      </c>
      <c r="N1559" s="9" t="str">
        <f>UPPER(TEXT(TablaCosechas[[#This Row],[COSECHA]],"MMMM"))</f>
        <v>ABRIL</v>
      </c>
      <c r="O1559" s="9" t="str">
        <f>IF(A1559="DO 29","BAP",IF(A1559="RO 14","BAP",(VLOOKUP(TablaCosechas[[#This Row],[COD]],Tabla7[[CODIGO]:[CERTIFICACION]],3,0))))</f>
        <v>CONVENCIONAL</v>
      </c>
      <c r="P1559" s="180">
        <f>+L1559-E1559</f>
        <v>798.64999999999964</v>
      </c>
      <c r="Q1559" s="181">
        <f>+M1559-F1559</f>
        <v>-3.9999999999999147E-2</v>
      </c>
      <c r="R1559" s="9"/>
    </row>
    <row r="1560" spans="1:18" x14ac:dyDescent="0.25">
      <c r="A1560" s="9" t="s">
        <v>14</v>
      </c>
      <c r="B1560" s="9">
        <f>ROW() - ROW(TablaCosechas[[#Headers],[ID]]) - 4</f>
        <v>1555</v>
      </c>
      <c r="C1560" s="9" t="str">
        <f>LEFT(A1560,2)</f>
        <v>CH</v>
      </c>
      <c r="D1560" s="182" t="s">
        <v>367</v>
      </c>
      <c r="E1560" s="178">
        <v>3500</v>
      </c>
      <c r="F1560" s="19">
        <v>25</v>
      </c>
      <c r="G1560" s="195">
        <v>46121</v>
      </c>
      <c r="H1560" s="9" t="str">
        <f>VLOOKUP(TablaCosechas[[#This Row],[COD]],DATOS!$E$3:$F$27,2,0)</f>
        <v>CHERNA</v>
      </c>
      <c r="I1560" s="9" t="str">
        <f>RIGHT(TablaCosechas[[#This Row],[SECTOR/PISCINA]],2)</f>
        <v>08</v>
      </c>
      <c r="J1560" s="9" t="str">
        <f>VLOOKUP(TablaCosechas[[#This Row],[COD]],Tabla7[#All],4,0)</f>
        <v>SANTIAGO OBRIEN</v>
      </c>
      <c r="K1560" s="179">
        <f>(TablaCosechas[[#This Row],[libras planta]]*454)/M1560</f>
        <v>70735.987075928919</v>
      </c>
      <c r="L1560" s="215">
        <v>3857.76</v>
      </c>
      <c r="M1560" s="19">
        <v>24.76</v>
      </c>
      <c r="N1560" s="9" t="str">
        <f>UPPER(TEXT(TablaCosechas[[#This Row],[COSECHA]],"MMMM"))</f>
        <v>ABRIL</v>
      </c>
      <c r="O1560" s="9" t="str">
        <f>IF(A1560="DO 29","BAP",IF(A1560="RO 14","BAP",(VLOOKUP(TablaCosechas[[#This Row],[COD]],Tabla7[[CODIGO]:[CERTIFICACION]],3,0))))</f>
        <v>ASC</v>
      </c>
      <c r="P1560" s="180">
        <f>+L1560-E1560</f>
        <v>357.76000000000022</v>
      </c>
      <c r="Q1560" s="181">
        <f>+M1560-F1560</f>
        <v>-0.23999999999999844</v>
      </c>
      <c r="R1560" s="9"/>
    </row>
    <row r="1561" spans="1:18" x14ac:dyDescent="0.25">
      <c r="A1561" s="9" t="s">
        <v>200</v>
      </c>
      <c r="B1561" s="9">
        <f>ROW() - ROW(TablaCosechas[[#Headers],[ID]]) - 4</f>
        <v>1556</v>
      </c>
      <c r="C1561" s="9" t="str">
        <f>LEFT(A1561,2)</f>
        <v>CA</v>
      </c>
      <c r="D1561" s="182" t="s">
        <v>367</v>
      </c>
      <c r="E1561" s="178">
        <v>9150</v>
      </c>
      <c r="F1561" s="19">
        <v>20</v>
      </c>
      <c r="G1561" s="195">
        <v>46121</v>
      </c>
      <c r="H1561" s="9" t="str">
        <f>VLOOKUP(TablaCosechas[[#This Row],[COD]],DATOS!$E$3:$F$27,2,0)</f>
        <v>CATANUDA</v>
      </c>
      <c r="I1561" s="9" t="str">
        <f>RIGHT(TablaCosechas[[#This Row],[SECTOR/PISCINA]],2)</f>
        <v>03</v>
      </c>
      <c r="J1561" s="9" t="str">
        <f>VLOOKUP(TablaCosechas[[#This Row],[COD]],Tabla7[#All],4,0)</f>
        <v>VICTOR QUINTANA</v>
      </c>
      <c r="K1561" s="179">
        <f>(TablaCosechas[[#This Row],[libras planta]]*454)/M1561</f>
        <v>227956.34462729914</v>
      </c>
      <c r="L1561" s="215">
        <v>10373.52</v>
      </c>
      <c r="M1561" s="19">
        <v>20.66</v>
      </c>
      <c r="N1561" s="9" t="str">
        <f>UPPER(TEXT(TablaCosechas[[#This Row],[COSECHA]],"MMMM"))</f>
        <v>ABRIL</v>
      </c>
      <c r="O1561" s="9" t="str">
        <f>IF(A1561="DO 29","BAP",IF(A1561="RO 14","BAP",(VLOOKUP(TablaCosechas[[#This Row],[COD]],Tabla7[[CODIGO]:[CERTIFICACION]],3,0))))</f>
        <v>ASC</v>
      </c>
      <c r="P1561" s="180">
        <f>+L1561-E1561</f>
        <v>1223.5200000000004</v>
      </c>
      <c r="Q1561" s="181">
        <f>+M1561-F1561</f>
        <v>0.66000000000000014</v>
      </c>
      <c r="R1561" s="9"/>
    </row>
    <row r="1562" spans="1:18" x14ac:dyDescent="0.25">
      <c r="A1562" s="9" t="s">
        <v>333</v>
      </c>
      <c r="B1562" s="9">
        <f>ROW() - ROW(TablaCosechas[[#Headers],[ID]]) - 4</f>
        <v>1557</v>
      </c>
      <c r="C1562" s="9" t="str">
        <f>LEFT(A1562,2)</f>
        <v>WA</v>
      </c>
      <c r="D1562" s="182" t="s">
        <v>366</v>
      </c>
      <c r="E1562" s="178">
        <f>10450+4400</f>
        <v>14850</v>
      </c>
      <c r="F1562" s="19">
        <v>33</v>
      </c>
      <c r="G1562" s="195">
        <v>46122</v>
      </c>
      <c r="H1562" s="9" t="str">
        <f>VLOOKUP(TablaCosechas[[#This Row],[COD]],DATOS!$E$3:$F$27,2,0)</f>
        <v>WAHOO</v>
      </c>
      <c r="I1562" s="9" t="str">
        <f>RIGHT(TablaCosechas[[#This Row],[SECTOR/PISCINA]],2)</f>
        <v>02</v>
      </c>
      <c r="J1562" s="9" t="str">
        <f>VLOOKUP(TablaCosechas[[#This Row],[COD]],Tabla7[#All],4,0)</f>
        <v>JUNIOR ESQUIVEL</v>
      </c>
      <c r="K1562" s="179">
        <f>(TablaCosechas[[#This Row],[libras planta]]*454)/M1562</f>
        <v>191293.86699356421</v>
      </c>
      <c r="L1562" s="215">
        <v>13748.720000000001</v>
      </c>
      <c r="M1562" s="19">
        <v>32.630000000000003</v>
      </c>
      <c r="N1562" s="9" t="str">
        <f>UPPER(TEXT(TablaCosechas[[#This Row],[COSECHA]],"MMMM"))</f>
        <v>ABRIL</v>
      </c>
      <c r="O1562" s="9" t="str">
        <f>IF(A1562="DO 29","BAP",IF(A1562="RO 14","BAP",(VLOOKUP(TablaCosechas[[#This Row],[COD]],Tabla7[[CODIGO]:[CERTIFICACION]],3,0))))</f>
        <v>CONVENCIONAL</v>
      </c>
      <c r="P1562" s="180">
        <f>+L1562-E1562</f>
        <v>-1101.2799999999988</v>
      </c>
      <c r="Q1562" s="181">
        <f>+M1562-F1562</f>
        <v>-0.36999999999999744</v>
      </c>
      <c r="R1562" s="9"/>
    </row>
    <row r="1563" spans="1:18" x14ac:dyDescent="0.25">
      <c r="A1563" s="9" t="s">
        <v>172</v>
      </c>
      <c r="B1563" s="9">
        <f>ROW() - ROW(TablaCosechas[[#Headers],[ID]]) - 4</f>
        <v>1558</v>
      </c>
      <c r="C1563" s="9" t="str">
        <f>LEFT(A1563,2)</f>
        <v>TA</v>
      </c>
      <c r="D1563" s="182" t="s">
        <v>367</v>
      </c>
      <c r="E1563" s="178">
        <v>8000</v>
      </c>
      <c r="F1563" s="19">
        <v>24.5</v>
      </c>
      <c r="G1563" s="195">
        <v>46122</v>
      </c>
      <c r="H1563" s="9" t="str">
        <f>VLOOKUP(TablaCosechas[[#This Row],[COD]],DATOS!$E$3:$F$27,2,0)</f>
        <v>TAMBULERO</v>
      </c>
      <c r="I1563" s="9" t="str">
        <f>RIGHT(TablaCosechas[[#This Row],[SECTOR/PISCINA]],2)</f>
        <v>24</v>
      </c>
      <c r="J1563" s="9" t="str">
        <f>VLOOKUP(TablaCosechas[[#This Row],[COD]],Tabla7[#All],4,0)</f>
        <v>ALFONSO GRUNAUER</v>
      </c>
      <c r="K1563" s="179">
        <f>(TablaCosechas[[#This Row],[libras planta]]*454)/M1563</f>
        <v>136321.49295774646</v>
      </c>
      <c r="L1563" s="215">
        <v>8101.22</v>
      </c>
      <c r="M1563" s="19">
        <v>26.98</v>
      </c>
      <c r="N1563" s="9" t="str">
        <f>UPPER(TEXT(TablaCosechas[[#This Row],[COSECHA]],"MMMM"))</f>
        <v>ABRIL</v>
      </c>
      <c r="O1563" s="9" t="str">
        <f>IF(A1563="DO 29","BAP",IF(A1563="RO 14","BAP",(VLOOKUP(TablaCosechas[[#This Row],[COD]],Tabla7[[CODIGO]:[CERTIFICACION]],3,0))))</f>
        <v>CONVENCIONAL</v>
      </c>
      <c r="P1563" s="180">
        <f>+L1563-E1563</f>
        <v>101.22000000000025</v>
      </c>
      <c r="Q1563" s="49">
        <f>+M1563-F1563</f>
        <v>2.4800000000000004</v>
      </c>
      <c r="R1563" s="9"/>
    </row>
    <row r="1564" spans="1:18" x14ac:dyDescent="0.25">
      <c r="A1564" s="9" t="s">
        <v>171</v>
      </c>
      <c r="B1564" s="9">
        <f>ROW() - ROW(TablaCosechas[[#Headers],[ID]]) - 4</f>
        <v>1559</v>
      </c>
      <c r="C1564" s="9" t="str">
        <f>LEFT(A1564,2)</f>
        <v>TA</v>
      </c>
      <c r="D1564" s="182" t="s">
        <v>367</v>
      </c>
      <c r="E1564" s="178">
        <v>5000</v>
      </c>
      <c r="F1564" s="19">
        <v>28.5</v>
      </c>
      <c r="G1564" s="195">
        <v>46122</v>
      </c>
      <c r="H1564" s="9" t="str">
        <f>VLOOKUP(TablaCosechas[[#This Row],[COD]],DATOS!$E$3:$F$27,2,0)</f>
        <v>TAMBULERO</v>
      </c>
      <c r="I1564" s="9" t="str">
        <f>RIGHT(TablaCosechas[[#This Row],[SECTOR/PISCINA]],2)</f>
        <v>13</v>
      </c>
      <c r="J1564" s="9" t="str">
        <f>VLOOKUP(TablaCosechas[[#This Row],[COD]],Tabla7[#All],4,0)</f>
        <v>ALFONSO GRUNAUER</v>
      </c>
      <c r="K1564" s="179">
        <f>(TablaCosechas[[#This Row],[libras planta]]*454)/M1564</f>
        <v>85178.981707317071</v>
      </c>
      <c r="L1564" s="215">
        <v>5538.51</v>
      </c>
      <c r="M1564" s="19">
        <v>29.52</v>
      </c>
      <c r="N1564" s="9" t="str">
        <f>UPPER(TEXT(TablaCosechas[[#This Row],[COSECHA]],"MMMM"))</f>
        <v>ABRIL</v>
      </c>
      <c r="O1564" s="9" t="str">
        <f>IF(A1564="DO 29","BAP",IF(A1564="RO 14","BAP",(VLOOKUP(TablaCosechas[[#This Row],[COD]],Tabla7[[CODIGO]:[CERTIFICACION]],3,0))))</f>
        <v>CONVENCIONAL</v>
      </c>
      <c r="P1564" s="180">
        <f>+L1564-E1564</f>
        <v>538.51000000000022</v>
      </c>
      <c r="Q1564" s="49">
        <f>+M1564-F1564</f>
        <v>1.0199999999999996</v>
      </c>
      <c r="R1564" s="9"/>
    </row>
    <row r="1565" spans="1:18" x14ac:dyDescent="0.25">
      <c r="A1565" s="9" t="s">
        <v>150</v>
      </c>
      <c r="B1565" s="9">
        <f>ROW() - ROW(TablaCosechas[[#Headers],[ID]]) - 4</f>
        <v>1560</v>
      </c>
      <c r="C1565" s="9" t="str">
        <f>LEFT(A1565,2)</f>
        <v>RO</v>
      </c>
      <c r="D1565" s="182" t="s">
        <v>367</v>
      </c>
      <c r="E1565" s="178">
        <v>18700</v>
      </c>
      <c r="F1565" s="19">
        <v>31</v>
      </c>
      <c r="G1565" s="195">
        <v>46122</v>
      </c>
      <c r="H1565" s="9" t="str">
        <f>VLOOKUP(TablaCosechas[[#This Row],[COD]],DATOS!$E$3:$F$27,2,0)</f>
        <v>ROBALO</v>
      </c>
      <c r="I1565" s="9" t="str">
        <f>RIGHT(TablaCosechas[[#This Row],[SECTOR/PISCINA]],2)</f>
        <v>07</v>
      </c>
      <c r="J1565" s="9" t="str">
        <f>VLOOKUP(TablaCosechas[[#This Row],[COD]],Tabla7[#All],4,0)</f>
        <v>VICTOR QUINTANA</v>
      </c>
      <c r="K1565" s="179">
        <f>(TablaCosechas[[#This Row],[libras planta]]*454)/M1565</f>
        <v>230770.62387522493</v>
      </c>
      <c r="L1565" s="215">
        <v>16946.900000000001</v>
      </c>
      <c r="M1565" s="19">
        <v>33.340000000000003</v>
      </c>
      <c r="N1565" s="9" t="str">
        <f>UPPER(TEXT(TablaCosechas[[#This Row],[COSECHA]],"MMMM"))</f>
        <v>ABRIL</v>
      </c>
      <c r="O1565" s="9" t="str">
        <f>IF(A1565="DO 29","BAP",IF(A1565="RO 14","BAP",(VLOOKUP(TablaCosechas[[#This Row],[COD]],Tabla7[[CODIGO]:[CERTIFICACION]],3,0))))</f>
        <v>ASC</v>
      </c>
      <c r="P1565" s="180">
        <f>+L1565-E1565</f>
        <v>-1753.0999999999985</v>
      </c>
      <c r="Q1565" s="49">
        <f>+M1565-F1565</f>
        <v>2.3400000000000034</v>
      </c>
      <c r="R1565" s="9"/>
    </row>
    <row r="1566" spans="1:18" x14ac:dyDescent="0.25">
      <c r="A1566" s="9" t="s">
        <v>128</v>
      </c>
      <c r="B1566" s="9">
        <f>ROW() - ROW(TablaCosechas[[#Headers],[ID]]) - 4</f>
        <v>1561</v>
      </c>
      <c r="C1566" s="9" t="str">
        <f>LEFT(A1566,2)</f>
        <v>PA</v>
      </c>
      <c r="D1566" s="182" t="s">
        <v>366</v>
      </c>
      <c r="E1566" s="178">
        <v>27100</v>
      </c>
      <c r="F1566" s="19">
        <v>31</v>
      </c>
      <c r="G1566" s="195">
        <v>46122</v>
      </c>
      <c r="H1566" s="9" t="str">
        <f>VLOOKUP(TablaCosechas[[#This Row],[COD]],DATOS!$E$3:$F$27,2,0)</f>
        <v>PAMPANO</v>
      </c>
      <c r="I1566" s="9" t="str">
        <f>RIGHT(TablaCosechas[[#This Row],[SECTOR/PISCINA]],2)</f>
        <v>14</v>
      </c>
      <c r="J1566" s="9" t="str">
        <f>VLOOKUP(TablaCosechas[[#This Row],[COD]],Tabla7[#All],4,0)</f>
        <v>GUSTAVO CARRASCO</v>
      </c>
      <c r="K1566" s="179">
        <f>(TablaCosechas[[#This Row],[libras planta]]*454)/M1566</f>
        <v>357027.39245727757</v>
      </c>
      <c r="L1566" s="215">
        <v>26690.55</v>
      </c>
      <c r="M1566" s="19">
        <v>33.94</v>
      </c>
      <c r="N1566" s="9" t="str">
        <f>UPPER(TEXT(TablaCosechas[[#This Row],[COSECHA]],"MMMM"))</f>
        <v>ABRIL</v>
      </c>
      <c r="O1566" s="9" t="str">
        <f>IF(A1566="DO 29","BAP",IF(A1566="RO 14","BAP",(VLOOKUP(TablaCosechas[[#This Row],[COD]],Tabla7[[CODIGO]:[CERTIFICACION]],3,0))))</f>
        <v>ASC</v>
      </c>
      <c r="P1566" s="180">
        <f>+L1566-E1566</f>
        <v>-409.45000000000073</v>
      </c>
      <c r="Q1566" s="49">
        <f>+M1566-F1566</f>
        <v>2.9399999999999977</v>
      </c>
      <c r="R1566" s="9"/>
    </row>
    <row r="1567" spans="1:18" x14ac:dyDescent="0.25">
      <c r="A1567" s="9" t="s">
        <v>147</v>
      </c>
      <c r="B1567" s="9">
        <f>ROW() - ROW(TablaCosechas[[#Headers],[ID]]) - 4</f>
        <v>1562</v>
      </c>
      <c r="C1567" s="9" t="str">
        <f>LEFT(A1567,2)</f>
        <v>DO</v>
      </c>
      <c r="D1567" s="182" t="s">
        <v>367</v>
      </c>
      <c r="E1567" s="178">
        <v>13200</v>
      </c>
      <c r="F1567" s="19">
        <v>28</v>
      </c>
      <c r="G1567" s="195">
        <v>46122</v>
      </c>
      <c r="H1567" s="9" t="str">
        <f>VLOOKUP(TablaCosechas[[#This Row],[COD]],DATOS!$E$3:$F$27,2,0)</f>
        <v>DORADO</v>
      </c>
      <c r="I1567" s="9" t="str">
        <f>RIGHT(TablaCosechas[[#This Row],[SECTOR/PISCINA]],2)</f>
        <v>08</v>
      </c>
      <c r="J1567" s="9" t="str">
        <f>VLOOKUP(TablaCosechas[[#This Row],[COD]],Tabla7[#All],4,0)</f>
        <v>JOSE CEDEÑO</v>
      </c>
      <c r="K1567" s="179">
        <f>(TablaCosechas[[#This Row],[libras planta]]*454)/M1567</f>
        <v>187957.20035252644</v>
      </c>
      <c r="L1567" s="215">
        <v>14092.65</v>
      </c>
      <c r="M1567" s="19">
        <v>34.04</v>
      </c>
      <c r="N1567" s="9" t="str">
        <f>UPPER(TEXT(TablaCosechas[[#This Row],[COSECHA]],"MMMM"))</f>
        <v>ABRIL</v>
      </c>
      <c r="O1567" s="9" t="str">
        <f>IF(A1567="DO 29","BAP",IF(A1567="RO 14","BAP",(VLOOKUP(TablaCosechas[[#This Row],[COD]],Tabla7[[CODIGO]:[CERTIFICACION]],3,0))))</f>
        <v>ASC</v>
      </c>
      <c r="P1567" s="180">
        <f>+L1567-E1567</f>
        <v>892.64999999999964</v>
      </c>
      <c r="Q1567" s="49">
        <f>+M1567-F1567</f>
        <v>6.0399999999999991</v>
      </c>
      <c r="R1567" s="9"/>
    </row>
    <row r="1568" spans="1:18" x14ac:dyDescent="0.25">
      <c r="A1568" s="9" t="s">
        <v>27</v>
      </c>
      <c r="B1568" s="9">
        <f>ROW() - ROW(TablaCosechas[[#Headers],[ID]]) - 4</f>
        <v>1563</v>
      </c>
      <c r="C1568" s="9" t="str">
        <f>LEFT(A1568,2)</f>
        <v>CH</v>
      </c>
      <c r="D1568" s="182" t="s">
        <v>366</v>
      </c>
      <c r="E1568" s="178">
        <v>19450</v>
      </c>
      <c r="F1568" s="19">
        <v>34</v>
      </c>
      <c r="G1568" s="195">
        <v>46122</v>
      </c>
      <c r="H1568" s="9" t="str">
        <f>VLOOKUP(TablaCosechas[[#This Row],[COD]],DATOS!$E$3:$F$27,2,0)</f>
        <v>CHERNA</v>
      </c>
      <c r="I1568" s="9" t="str">
        <f>RIGHT(TablaCosechas[[#This Row],[SECTOR/PISCINA]],2)</f>
        <v>24</v>
      </c>
      <c r="J1568" s="9" t="str">
        <f>VLOOKUP(TablaCosechas[[#This Row],[COD]],Tabla7[#All],4,0)</f>
        <v>SANTIAGO OBRIEN</v>
      </c>
      <c r="K1568" s="179">
        <f>(TablaCosechas[[#This Row],[libras planta]]*454)/M1568</f>
        <v>237144.70929544108</v>
      </c>
      <c r="L1568" s="215">
        <v>17644.82</v>
      </c>
      <c r="M1568" s="19">
        <v>33.78</v>
      </c>
      <c r="N1568" s="9" t="str">
        <f>UPPER(TEXT(TablaCosechas[[#This Row],[COSECHA]],"MMMM"))</f>
        <v>ABRIL</v>
      </c>
      <c r="O1568" s="9" t="str">
        <f>IF(A1568="DO 29","BAP",IF(A1568="RO 14","BAP",(VLOOKUP(TablaCosechas[[#This Row],[COD]],Tabla7[[CODIGO]:[CERTIFICACION]],3,0))))</f>
        <v>ASC</v>
      </c>
      <c r="P1568" s="180">
        <f>+L1568-E1568</f>
        <v>-1805.1800000000003</v>
      </c>
      <c r="Q1568" s="49">
        <f>+M1568-F1568</f>
        <v>-0.21999999999999886</v>
      </c>
      <c r="R1568" s="9"/>
    </row>
    <row r="1569" spans="1:18" x14ac:dyDescent="0.25">
      <c r="A1569" s="9" t="s">
        <v>203</v>
      </c>
      <c r="B1569" s="9">
        <f>ROW() - ROW(TablaCosechas[[#Headers],[ID]]) - 4</f>
        <v>1564</v>
      </c>
      <c r="C1569" s="9" t="str">
        <f>LEFT(A1569,2)</f>
        <v>CA</v>
      </c>
      <c r="D1569" s="182" t="s">
        <v>367</v>
      </c>
      <c r="E1569" s="178">
        <v>9250</v>
      </c>
      <c r="F1569" s="19">
        <v>22</v>
      </c>
      <c r="G1569" s="195">
        <v>46122</v>
      </c>
      <c r="H1569" s="9" t="str">
        <f>VLOOKUP(TablaCosechas[[#This Row],[COD]],DATOS!$E$3:$F$27,2,0)</f>
        <v>CATANUDA</v>
      </c>
      <c r="I1569" s="9" t="str">
        <f>RIGHT(TablaCosechas[[#This Row],[SECTOR/PISCINA]],2)</f>
        <v>04</v>
      </c>
      <c r="J1569" s="9" t="str">
        <f>VLOOKUP(TablaCosechas[[#This Row],[COD]],Tabla7[#All],4,0)</f>
        <v>VICTOR QUINTANA</v>
      </c>
      <c r="K1569" s="179">
        <f>(TablaCosechas[[#This Row],[libras planta]]*454)/M1569</f>
        <v>177812.48317307691</v>
      </c>
      <c r="L1569" s="215">
        <v>9775.77</v>
      </c>
      <c r="M1569" s="19">
        <v>24.96</v>
      </c>
      <c r="N1569" s="9" t="str">
        <f>UPPER(TEXT(TablaCosechas[[#This Row],[COSECHA]],"MMMM"))</f>
        <v>ABRIL</v>
      </c>
      <c r="O1569" s="9" t="str">
        <f>IF(A1569="DO 29","BAP",IF(A1569="RO 14","BAP",(VLOOKUP(TablaCosechas[[#This Row],[COD]],Tabla7[[CODIGO]:[CERTIFICACION]],3,0))))</f>
        <v>ASC</v>
      </c>
      <c r="P1569" s="180">
        <f>+L1569-E1569</f>
        <v>525.77000000000044</v>
      </c>
      <c r="Q1569" s="49">
        <f>+M1569-F1569</f>
        <v>2.9600000000000009</v>
      </c>
      <c r="R1569" s="9"/>
    </row>
    <row r="1570" spans="1:18" x14ac:dyDescent="0.25">
      <c r="A1570" s="9" t="s">
        <v>344</v>
      </c>
      <c r="B1570" s="9">
        <f>ROW() - ROW(TablaCosechas[[#Headers],[ID]]) - 4</f>
        <v>1565</v>
      </c>
      <c r="C1570" s="9" t="str">
        <f>LEFT(A1570,2)</f>
        <v>WA</v>
      </c>
      <c r="D1570" s="182" t="s">
        <v>367</v>
      </c>
      <c r="E1570" s="178">
        <v>6850</v>
      </c>
      <c r="F1570" s="19">
        <v>27</v>
      </c>
      <c r="G1570" s="195">
        <v>46123</v>
      </c>
      <c r="H1570" s="9" t="str">
        <f>VLOOKUP(TablaCosechas[[#This Row],[COD]],DATOS!$E$3:$F$27,2,0)</f>
        <v>WAHOO</v>
      </c>
      <c r="I1570" s="9" t="str">
        <f>RIGHT(TablaCosechas[[#This Row],[SECTOR/PISCINA]],2)</f>
        <v>20</v>
      </c>
      <c r="J1570" s="9" t="str">
        <f>VLOOKUP(TablaCosechas[[#This Row],[COD]],Tabla7[#All],4,0)</f>
        <v>JUNIOR ESQUIVEL</v>
      </c>
      <c r="K1570" s="179">
        <f>(TablaCosechas[[#This Row],[libras planta]]*454)/M1570</f>
        <v>127462.50530035337</v>
      </c>
      <c r="L1570" s="215">
        <v>7945.35</v>
      </c>
      <c r="M1570" s="205">
        <v>28.3</v>
      </c>
      <c r="N1570" s="9" t="str">
        <f>UPPER(TEXT(TablaCosechas[[#This Row],[COSECHA]],"MMMM"))</f>
        <v>ABRIL</v>
      </c>
      <c r="O1570" s="9" t="str">
        <f>IF(A1570="DO 29","BAP",IF(A1570="RO 14","BAP",(VLOOKUP(TablaCosechas[[#This Row],[COD]],Tabla7[[CODIGO]:[CERTIFICACION]],3,0))))</f>
        <v>CONVENCIONAL</v>
      </c>
      <c r="P1570" s="180">
        <f>+L1570-E1570</f>
        <v>1095.3500000000004</v>
      </c>
      <c r="Q1570" s="49">
        <f>+M1570-F1570</f>
        <v>1.3000000000000007</v>
      </c>
      <c r="R1570" s="9"/>
    </row>
    <row r="1571" spans="1:18" x14ac:dyDescent="0.25">
      <c r="A1571" s="9" t="s">
        <v>188</v>
      </c>
      <c r="B1571" s="9">
        <f>ROW() - ROW(TablaCosechas[[#Headers],[ID]]) - 4</f>
        <v>1566</v>
      </c>
      <c r="C1571" s="9" t="str">
        <f>LEFT(A1571,2)</f>
        <v>TI</v>
      </c>
      <c r="D1571" s="182" t="s">
        <v>367</v>
      </c>
      <c r="E1571" s="178">
        <v>8100</v>
      </c>
      <c r="F1571" s="19">
        <v>26</v>
      </c>
      <c r="G1571" s="195">
        <v>46123</v>
      </c>
      <c r="H1571" s="9" t="str">
        <f>VLOOKUP(TablaCosechas[[#This Row],[COD]],DATOS!$E$3:$F$27,2,0)</f>
        <v>TIBURON</v>
      </c>
      <c r="I1571" s="9" t="str">
        <f>RIGHT(TablaCosechas[[#This Row],[SECTOR/PISCINA]],2)</f>
        <v>03</v>
      </c>
      <c r="J1571" s="9" t="str">
        <f>VLOOKUP(TablaCosechas[[#This Row],[COD]],Tabla7[#All],4,0)</f>
        <v>ALFONSO GRUNAUER</v>
      </c>
      <c r="K1571" s="179">
        <f>(TablaCosechas[[#This Row],[libras planta]]*454)/M1571</f>
        <v>149030.17352941178</v>
      </c>
      <c r="L1571" s="215">
        <v>8928.68</v>
      </c>
      <c r="M1571" s="205">
        <v>27.2</v>
      </c>
      <c r="N1571" s="9" t="str">
        <f>UPPER(TEXT(TablaCosechas[[#This Row],[COSECHA]],"MMMM"))</f>
        <v>ABRIL</v>
      </c>
      <c r="O1571" s="9" t="str">
        <f>IF(A1571="DO 29","BAP",IF(A1571="RO 14","BAP",(VLOOKUP(TablaCosechas[[#This Row],[COD]],Tabla7[[CODIGO]:[CERTIFICACION]],3,0))))</f>
        <v>ASC</v>
      </c>
      <c r="P1571" s="180">
        <f>+L1571-E1571</f>
        <v>828.68000000000029</v>
      </c>
      <c r="Q1571" s="49">
        <f>+M1571-F1571</f>
        <v>1.1999999999999993</v>
      </c>
      <c r="R1571" s="9"/>
    </row>
    <row r="1572" spans="1:18" x14ac:dyDescent="0.25">
      <c r="A1572" s="9" t="s">
        <v>150</v>
      </c>
      <c r="B1572" s="9">
        <f>ROW() - ROW(TablaCosechas[[#Headers],[ID]]) - 4</f>
        <v>1567</v>
      </c>
      <c r="C1572" s="9" t="str">
        <f>LEFT(A1572,2)</f>
        <v>RO</v>
      </c>
      <c r="D1572" s="182" t="s">
        <v>366</v>
      </c>
      <c r="E1572" s="178">
        <f>35800+900</f>
        <v>36700</v>
      </c>
      <c r="F1572" s="19">
        <v>31</v>
      </c>
      <c r="G1572" s="195">
        <v>46123</v>
      </c>
      <c r="H1572" s="9" t="str">
        <f>VLOOKUP(TablaCosechas[[#This Row],[COD]],DATOS!$E$3:$F$27,2,0)</f>
        <v>ROBALO</v>
      </c>
      <c r="I1572" s="9" t="str">
        <f>RIGHT(TablaCosechas[[#This Row],[SECTOR/PISCINA]],2)</f>
        <v>07</v>
      </c>
      <c r="J1572" s="9" t="str">
        <f>VLOOKUP(TablaCosechas[[#This Row],[COD]],Tabla7[#All],4,0)</f>
        <v>VICTOR QUINTANA</v>
      </c>
      <c r="K1572" s="179">
        <f>(TablaCosechas[[#This Row],[libras planta]]*454)/M1572</f>
        <v>537068.24242424255</v>
      </c>
      <c r="L1572" s="215">
        <v>37866.86</v>
      </c>
      <c r="M1572" s="205">
        <v>32.01</v>
      </c>
      <c r="N1572" s="9" t="str">
        <f>UPPER(TEXT(TablaCosechas[[#This Row],[COSECHA]],"MMMM"))</f>
        <v>ABRIL</v>
      </c>
      <c r="O1572" s="9" t="str">
        <f>IF(A1572="DO 29","BAP",IF(A1572="RO 14","BAP",(VLOOKUP(TablaCosechas[[#This Row],[COD]],Tabla7[[CODIGO]:[CERTIFICACION]],3,0))))</f>
        <v>ASC</v>
      </c>
      <c r="P1572" s="180">
        <f>+L1572-E1572</f>
        <v>1166.8600000000006</v>
      </c>
      <c r="Q1572" s="49">
        <f>+M1572-F1572</f>
        <v>1.009999999999998</v>
      </c>
      <c r="R1572" s="9"/>
    </row>
    <row r="1573" spans="1:18" x14ac:dyDescent="0.25">
      <c r="A1573" s="9" t="s">
        <v>178</v>
      </c>
      <c r="B1573" s="9">
        <f>ROW() - ROW(TablaCosechas[[#Headers],[ID]]) - 4</f>
        <v>1568</v>
      </c>
      <c r="C1573" s="9" t="str">
        <f>LEFT(A1573,2)</f>
        <v>PR</v>
      </c>
      <c r="D1573" s="182" t="s">
        <v>367</v>
      </c>
      <c r="E1573" s="178">
        <v>5250</v>
      </c>
      <c r="F1573" s="19">
        <v>14</v>
      </c>
      <c r="G1573" s="195">
        <v>46123</v>
      </c>
      <c r="H1573" s="9" t="str">
        <f>VLOOKUP(TablaCosechas[[#This Row],[COD]],DATOS!$E$3:$F$27,2,0)</f>
        <v>PARGO ROJO</v>
      </c>
      <c r="I1573" s="9" t="str">
        <f>RIGHT(TablaCosechas[[#This Row],[SECTOR/PISCINA]],2)</f>
        <v>09</v>
      </c>
      <c r="J1573" s="9" t="str">
        <f>VLOOKUP(TablaCosechas[[#This Row],[COD]],Tabla7[#All],4,0)</f>
        <v>WILMER TORRES</v>
      </c>
      <c r="K1573" s="179">
        <f>(TablaCosechas[[#This Row],[libras planta]]*454)/M1573</f>
        <v>128737.56011183598</v>
      </c>
      <c r="L1573" s="215">
        <v>6085.26</v>
      </c>
      <c r="M1573" s="205">
        <v>21.46</v>
      </c>
      <c r="N1573" s="9" t="str">
        <f>UPPER(TEXT(TablaCosechas[[#This Row],[COSECHA]],"MMMM"))</f>
        <v>ABRIL</v>
      </c>
      <c r="O1573" s="9" t="str">
        <f>IF(A1573="DO 29","BAP",IF(A1573="RO 14","BAP",(VLOOKUP(TablaCosechas[[#This Row],[COD]],Tabla7[[CODIGO]:[CERTIFICACION]],3,0))))</f>
        <v>CONVENCIONAL</v>
      </c>
      <c r="P1573" s="180">
        <f>+L1573-E1573</f>
        <v>835.26000000000022</v>
      </c>
      <c r="Q1573" s="49">
        <f>+M1573-F1573</f>
        <v>7.4600000000000009</v>
      </c>
      <c r="R1573" s="9"/>
    </row>
    <row r="1574" spans="1:18" x14ac:dyDescent="0.25">
      <c r="A1574" s="9" t="s">
        <v>217</v>
      </c>
      <c r="B1574" s="9">
        <f>ROW() - ROW(TablaCosechas[[#Headers],[ID]]) - 4</f>
        <v>1569</v>
      </c>
      <c r="C1574" s="9" t="str">
        <f>LEFT(A1574,2)</f>
        <v>PR</v>
      </c>
      <c r="D1574" s="182" t="s">
        <v>367</v>
      </c>
      <c r="E1574" s="178">
        <v>5000</v>
      </c>
      <c r="F1574" s="19">
        <v>16</v>
      </c>
      <c r="G1574" s="195">
        <v>46123</v>
      </c>
      <c r="H1574" s="9" t="str">
        <f>VLOOKUP(TablaCosechas[[#This Row],[COD]],DATOS!$E$3:$F$27,2,0)</f>
        <v>PARGO ROJO</v>
      </c>
      <c r="I1574" s="9" t="str">
        <f>RIGHT(TablaCosechas[[#This Row],[SECTOR/PISCINA]],2)</f>
        <v>06</v>
      </c>
      <c r="J1574" s="9" t="str">
        <f>VLOOKUP(TablaCosechas[[#This Row],[COD]],Tabla7[#All],4,0)</f>
        <v>WILMER TORRES</v>
      </c>
      <c r="K1574" s="179">
        <f>(TablaCosechas[[#This Row],[libras planta]]*454)/M1574</f>
        <v>124143.9781529295</v>
      </c>
      <c r="L1574" s="215">
        <v>5507.18</v>
      </c>
      <c r="M1574" s="205">
        <v>20.14</v>
      </c>
      <c r="N1574" s="9" t="str">
        <f>UPPER(TEXT(TablaCosechas[[#This Row],[COSECHA]],"MMMM"))</f>
        <v>ABRIL</v>
      </c>
      <c r="O1574" s="9" t="str">
        <f>IF(A1574="DO 29","BAP",IF(A1574="RO 14","BAP",(VLOOKUP(TablaCosechas[[#This Row],[COD]],Tabla7[[CODIGO]:[CERTIFICACION]],3,0))))</f>
        <v>CONVENCIONAL</v>
      </c>
      <c r="P1574" s="180">
        <f>+L1574-E1574</f>
        <v>507.18000000000029</v>
      </c>
      <c r="Q1574" s="49">
        <f>+M1574-F1574</f>
        <v>4.1400000000000006</v>
      </c>
      <c r="R1574" s="9"/>
    </row>
    <row r="1575" spans="1:18" x14ac:dyDescent="0.25">
      <c r="A1575" s="9" t="s">
        <v>25</v>
      </c>
      <c r="B1575" s="9">
        <f>ROW() - ROW(TablaCosechas[[#Headers],[ID]]) - 4</f>
        <v>1570</v>
      </c>
      <c r="C1575" s="9" t="str">
        <f>LEFT(A1575,2)</f>
        <v>CH</v>
      </c>
      <c r="D1575" s="182" t="s">
        <v>366</v>
      </c>
      <c r="E1575" s="178">
        <v>15900</v>
      </c>
      <c r="F1575" s="19">
        <v>30</v>
      </c>
      <c r="G1575" s="195">
        <v>46123</v>
      </c>
      <c r="H1575" s="9" t="str">
        <f>VLOOKUP(TablaCosechas[[#This Row],[COD]],DATOS!$E$3:$F$27,2,0)</f>
        <v>CHERNA</v>
      </c>
      <c r="I1575" s="9" t="str">
        <f>RIGHT(TablaCosechas[[#This Row],[SECTOR/PISCINA]],2)</f>
        <v>21</v>
      </c>
      <c r="J1575" s="9" t="str">
        <f>VLOOKUP(TablaCosechas[[#This Row],[COD]],Tabla7[#All],4,0)</f>
        <v>SANTIAGO OBRIEN</v>
      </c>
      <c r="K1575" s="179">
        <f>(TablaCosechas[[#This Row],[libras planta]]*454)/M1575</f>
        <v>281422.90836120408</v>
      </c>
      <c r="L1575" s="215">
        <v>18534.240000000002</v>
      </c>
      <c r="M1575" s="205">
        <v>29.9</v>
      </c>
      <c r="N1575" s="9" t="str">
        <f>UPPER(TEXT(TablaCosechas[[#This Row],[COSECHA]],"MMMM"))</f>
        <v>ABRIL</v>
      </c>
      <c r="O1575" s="9" t="str">
        <f>IF(A1575="DO 29","BAP",IF(A1575="RO 14","BAP",(VLOOKUP(TablaCosechas[[#This Row],[COD]],Tabla7[[CODIGO]:[CERTIFICACION]],3,0))))</f>
        <v>ASC</v>
      </c>
      <c r="P1575" s="180">
        <f>+L1575-E1575</f>
        <v>2634.2400000000016</v>
      </c>
      <c r="Q1575" s="49">
        <f>+M1575-F1575</f>
        <v>-0.10000000000000142</v>
      </c>
      <c r="R1575" s="9"/>
    </row>
    <row r="1576" spans="1:18" x14ac:dyDescent="0.25">
      <c r="A1576" s="9" t="s">
        <v>205</v>
      </c>
      <c r="B1576" s="9">
        <f>ROW() - ROW(TablaCosechas[[#Headers],[ID]]) - 4</f>
        <v>1571</v>
      </c>
      <c r="C1576" s="9" t="str">
        <f>LEFT(A1576,2)</f>
        <v>BA</v>
      </c>
      <c r="D1576" s="182" t="s">
        <v>367</v>
      </c>
      <c r="E1576" s="178">
        <v>2000</v>
      </c>
      <c r="F1576" s="19">
        <v>18</v>
      </c>
      <c r="G1576" s="195">
        <v>46123</v>
      </c>
      <c r="H1576" s="9" t="str">
        <f>VLOOKUP(TablaCosechas[[#This Row],[COD]],DATOS!$E$3:$F$27,2,0)</f>
        <v>BARRACUDA</v>
      </c>
      <c r="I1576" s="9" t="str">
        <f>RIGHT(TablaCosechas[[#This Row],[SECTOR/PISCINA]],2)</f>
        <v>03</v>
      </c>
      <c r="J1576" s="9" t="str">
        <f>VLOOKUP(TablaCosechas[[#This Row],[COD]],Tabla7[#All],4,0)</f>
        <v>GUSTAVO CARRASCO</v>
      </c>
      <c r="K1576" s="179">
        <f>(TablaCosechas[[#This Row],[libras planta]]*454)/M1576</f>
        <v>51507.0550935551</v>
      </c>
      <c r="L1576" s="215">
        <v>2182.81</v>
      </c>
      <c r="M1576" s="205">
        <v>19.239999999999998</v>
      </c>
      <c r="N1576" s="9" t="str">
        <f>UPPER(TEXT(TablaCosechas[[#This Row],[COSECHA]],"MMMM"))</f>
        <v>ABRIL</v>
      </c>
      <c r="O1576" s="9" t="str">
        <f>IF(A1576="DO 29","BAP",IF(A1576="RO 14","BAP",(VLOOKUP(TablaCosechas[[#This Row],[COD]],Tabla7[[CODIGO]:[CERTIFICACION]],3,0))))</f>
        <v>CONVENCIONAL</v>
      </c>
      <c r="P1576" s="180">
        <f>+L1576-E1576</f>
        <v>182.80999999999995</v>
      </c>
      <c r="Q1576" s="49">
        <f>+M1576-F1576</f>
        <v>1.2399999999999984</v>
      </c>
      <c r="R1576" s="9"/>
    </row>
    <row r="1577" spans="1:18" x14ac:dyDescent="0.25">
      <c r="A1577" s="9" t="s">
        <v>207</v>
      </c>
      <c r="B1577" s="9">
        <f>ROW() - ROW(TablaCosechas[[#Headers],[ID]]) - 4</f>
        <v>1572</v>
      </c>
      <c r="C1577" s="9" t="str">
        <f>LEFT(A1577,2)</f>
        <v>BA</v>
      </c>
      <c r="D1577" s="182" t="s">
        <v>367</v>
      </c>
      <c r="E1577" s="178">
        <v>3600</v>
      </c>
      <c r="F1577" s="19">
        <v>18</v>
      </c>
      <c r="G1577" s="195">
        <v>46123</v>
      </c>
      <c r="H1577" s="9" t="str">
        <f>VLOOKUP(TablaCosechas[[#This Row],[COD]],DATOS!$E$3:$F$27,2,0)</f>
        <v>BARRACUDA</v>
      </c>
      <c r="I1577" s="9" t="str">
        <f>RIGHT(TablaCosechas[[#This Row],[SECTOR/PISCINA]],2)</f>
        <v>02</v>
      </c>
      <c r="J1577" s="9" t="str">
        <f>VLOOKUP(TablaCosechas[[#This Row],[COD]],Tabla7[#All],4,0)</f>
        <v>GUSTAVO CARRASCO</v>
      </c>
      <c r="K1577" s="179">
        <f>(TablaCosechas[[#This Row],[libras planta]]*454)/M1577</f>
        <v>90973.291203235596</v>
      </c>
      <c r="L1577" s="215">
        <v>3963.55</v>
      </c>
      <c r="M1577" s="205">
        <v>19.78</v>
      </c>
      <c r="N1577" s="9" t="str">
        <f>UPPER(TEXT(TablaCosechas[[#This Row],[COSECHA]],"MMMM"))</f>
        <v>ABRIL</v>
      </c>
      <c r="O1577" s="9" t="str">
        <f>IF(A1577="DO 29","BAP",IF(A1577="RO 14","BAP",(VLOOKUP(TablaCosechas[[#This Row],[COD]],Tabla7[[CODIGO]:[CERTIFICACION]],3,0))))</f>
        <v>CONVENCIONAL</v>
      </c>
      <c r="P1577" s="180">
        <f>+L1577-E1577</f>
        <v>363.55000000000018</v>
      </c>
      <c r="Q1577" s="181">
        <f>+M1577-F1577</f>
        <v>1.7800000000000011</v>
      </c>
      <c r="R1577" s="9"/>
    </row>
    <row r="1578" spans="1:18" x14ac:dyDescent="0.25">
      <c r="A1578" s="9" t="s">
        <v>248</v>
      </c>
      <c r="B1578" s="9">
        <f>ROW() - ROW(TablaCosechas[[#Headers],[ID]]) - 4</f>
        <v>1573</v>
      </c>
      <c r="C1578" s="9" t="str">
        <f>LEFT(A1578,2)</f>
        <v>TA</v>
      </c>
      <c r="D1578" s="182" t="s">
        <v>367</v>
      </c>
      <c r="E1578" s="178">
        <v>10500</v>
      </c>
      <c r="F1578" s="19">
        <v>18</v>
      </c>
      <c r="G1578" s="195">
        <v>46125</v>
      </c>
      <c r="H1578" s="9" t="str">
        <f>VLOOKUP(TablaCosechas[[#This Row],[COD]],DATOS!$E$3:$F$27,2,0)</f>
        <v>TAMBULERO</v>
      </c>
      <c r="I1578" s="9" t="str">
        <f>RIGHT(TablaCosechas[[#This Row],[SECTOR/PISCINA]],2)</f>
        <v>16</v>
      </c>
      <c r="J1578" s="9" t="str">
        <f>VLOOKUP(TablaCosechas[[#This Row],[COD]],Tabla7[#All],4,0)</f>
        <v>ALFONSO GRUNAUER</v>
      </c>
      <c r="K1578" s="179">
        <f>(TablaCosechas[[#This Row],[libras planta]]*454)/M1578</f>
        <v>258670.57067510544</v>
      </c>
      <c r="L1578" s="215">
        <v>10802.63</v>
      </c>
      <c r="M1578" s="205">
        <v>18.96</v>
      </c>
      <c r="N1578" s="9" t="str">
        <f>UPPER(TEXT(TablaCosechas[[#This Row],[COSECHA]],"MMMM"))</f>
        <v>ABRIL</v>
      </c>
      <c r="O1578" s="9" t="str">
        <f>IF(A1578="DO 29","BAP",IF(A1578="RO 14","BAP",(VLOOKUP(TablaCosechas[[#This Row],[COD]],Tabla7[[CODIGO]:[CERTIFICACION]],3,0))))</f>
        <v>CONVENCIONAL</v>
      </c>
      <c r="P1578" s="180">
        <f>+L1578-E1578</f>
        <v>302.6299999999992</v>
      </c>
      <c r="Q1578" s="49">
        <f>+M1578-F1578</f>
        <v>0.96000000000000085</v>
      </c>
      <c r="R1578" s="9"/>
    </row>
    <row r="1579" spans="1:18" x14ac:dyDescent="0.25">
      <c r="A1579" s="9" t="s">
        <v>199</v>
      </c>
      <c r="B1579" s="9">
        <f>ROW() - ROW(TablaCosechas[[#Headers],[ID]]) - 4</f>
        <v>1574</v>
      </c>
      <c r="C1579" s="9" t="str">
        <f>LEFT(A1579,2)</f>
        <v>RO</v>
      </c>
      <c r="D1579" s="182" t="s">
        <v>367</v>
      </c>
      <c r="E1579" s="178">
        <v>10300</v>
      </c>
      <c r="F1579" s="19">
        <v>21</v>
      </c>
      <c r="G1579" s="195">
        <v>46125</v>
      </c>
      <c r="H1579" s="9" t="str">
        <f>VLOOKUP(TablaCosechas[[#This Row],[COD]],DATOS!$E$3:$F$27,2,0)</f>
        <v>ROBALO</v>
      </c>
      <c r="I1579" s="9" t="str">
        <f>RIGHT(TablaCosechas[[#This Row],[SECTOR/PISCINA]],2)</f>
        <v>08</v>
      </c>
      <c r="J1579" s="9" t="str">
        <f>VLOOKUP(TablaCosechas[[#This Row],[COD]],Tabla7[#All],4,0)</f>
        <v>VICTOR QUINTANA</v>
      </c>
      <c r="K1579" s="179">
        <f>(TablaCosechas[[#This Row],[libras planta]]*454)/M1579</f>
        <v>206068.47438162542</v>
      </c>
      <c r="L1579" s="215">
        <v>10276.19</v>
      </c>
      <c r="M1579" s="205">
        <v>22.64</v>
      </c>
      <c r="N1579" s="9" t="str">
        <f>UPPER(TEXT(TablaCosechas[[#This Row],[COSECHA]],"MMMM"))</f>
        <v>ABRIL</v>
      </c>
      <c r="O1579" s="9" t="str">
        <f>IF(A1579="DO 29","BAP",IF(A1579="RO 14","BAP",(VLOOKUP(TablaCosechas[[#This Row],[COD]],Tabla7[[CODIGO]:[CERTIFICACION]],3,0))))</f>
        <v>ASC</v>
      </c>
      <c r="P1579" s="180">
        <f>+L1579-E1579</f>
        <v>-23.809999999999491</v>
      </c>
      <c r="Q1579" s="49">
        <f>+M1579-F1579</f>
        <v>1.6400000000000006</v>
      </c>
      <c r="R1579" s="9"/>
    </row>
    <row r="1580" spans="1:18" x14ac:dyDescent="0.25">
      <c r="A1580" s="9" t="s">
        <v>249</v>
      </c>
      <c r="B1580" s="9">
        <f>ROW() - ROW(TablaCosechas[[#Headers],[ID]]) - 4</f>
        <v>1575</v>
      </c>
      <c r="C1580" s="9" t="str">
        <f>LEFT(A1580,2)</f>
        <v>DO</v>
      </c>
      <c r="D1580" s="182" t="s">
        <v>367</v>
      </c>
      <c r="E1580" s="178">
        <v>12000</v>
      </c>
      <c r="F1580" s="19">
        <v>20</v>
      </c>
      <c r="G1580" s="195">
        <v>46125</v>
      </c>
      <c r="H1580" s="9" t="str">
        <f>VLOOKUP(TablaCosechas[[#This Row],[COD]],DATOS!$E$3:$F$27,2,0)</f>
        <v>DORADO</v>
      </c>
      <c r="I1580" s="9" t="str">
        <f>RIGHT(TablaCosechas[[#This Row],[SECTOR/PISCINA]],2)</f>
        <v>14</v>
      </c>
      <c r="J1580" s="9" t="str">
        <f>VLOOKUP(TablaCosechas[[#This Row],[COD]],Tabla7[#All],4,0)</f>
        <v>JOSE CEDEÑO</v>
      </c>
      <c r="K1580" s="179">
        <f>(TablaCosechas[[#This Row],[libras planta]]*454)/M1580</f>
        <v>239110.63812154694</v>
      </c>
      <c r="L1580" s="215">
        <v>11439.39</v>
      </c>
      <c r="M1580" s="205">
        <v>21.72</v>
      </c>
      <c r="N1580" s="9" t="str">
        <f>UPPER(TEXT(TablaCosechas[[#This Row],[COSECHA]],"MMMM"))</f>
        <v>ABRIL</v>
      </c>
      <c r="O1580" s="9" t="str">
        <f>IF(A1580="DO 29","BAP",IF(A1580="RO 14","BAP",(VLOOKUP(TablaCosechas[[#This Row],[COD]],Tabla7[[CODIGO]:[CERTIFICACION]],3,0))))</f>
        <v>ASC</v>
      </c>
      <c r="P1580" s="180">
        <f>+L1580-E1580</f>
        <v>-560.61000000000058</v>
      </c>
      <c r="Q1580" s="49">
        <f>+M1580-F1580</f>
        <v>1.7199999999999989</v>
      </c>
      <c r="R1580" s="9"/>
    </row>
    <row r="1581" spans="1:18" x14ac:dyDescent="0.25">
      <c r="A1581" s="9" t="s">
        <v>24</v>
      </c>
      <c r="B1581" s="9">
        <f>ROW() - ROW(TablaCosechas[[#Headers],[ID]]) - 4</f>
        <v>1576</v>
      </c>
      <c r="C1581" s="9" t="str">
        <f>LEFT(A1581,2)</f>
        <v>CH</v>
      </c>
      <c r="D1581" s="182" t="s">
        <v>366</v>
      </c>
      <c r="E1581" s="178">
        <v>23500</v>
      </c>
      <c r="F1581" s="19">
        <v>34</v>
      </c>
      <c r="G1581" s="195">
        <v>46125</v>
      </c>
      <c r="H1581" s="9" t="str">
        <f>VLOOKUP(TablaCosechas[[#This Row],[COD]],DATOS!$E$3:$F$27,2,0)</f>
        <v>CHERNA</v>
      </c>
      <c r="I1581" s="9" t="str">
        <f>RIGHT(TablaCosechas[[#This Row],[SECTOR/PISCINA]],2)</f>
        <v>20</v>
      </c>
      <c r="J1581" s="9" t="str">
        <f>VLOOKUP(TablaCosechas[[#This Row],[COD]],Tabla7[#All],4,0)</f>
        <v>SANTIAGO OBRIEN</v>
      </c>
      <c r="K1581" s="179">
        <f>(TablaCosechas[[#This Row],[libras planta]]*454)/M1581</f>
        <v>325521.0998577525</v>
      </c>
      <c r="L1581" s="215">
        <v>25202.79</v>
      </c>
      <c r="M1581" s="205">
        <v>35.15</v>
      </c>
      <c r="N1581" s="9" t="str">
        <f>UPPER(TEXT(TablaCosechas[[#This Row],[COSECHA]],"MMMM"))</f>
        <v>ABRIL</v>
      </c>
      <c r="O1581" s="9" t="str">
        <f>IF(A1581="DO 29","BAP",IF(A1581="RO 14","BAP",(VLOOKUP(TablaCosechas[[#This Row],[COD]],Tabla7[[CODIGO]:[CERTIFICACION]],3,0))))</f>
        <v>ASC</v>
      </c>
      <c r="P1581" s="180">
        <f>+L1581-E1581</f>
        <v>1702.7900000000009</v>
      </c>
      <c r="Q1581" s="49">
        <f>+M1581-F1581</f>
        <v>1.1499999999999986</v>
      </c>
      <c r="R1581" s="9"/>
    </row>
    <row r="1582" spans="1:18" x14ac:dyDescent="0.25">
      <c r="A1582" s="9" t="s">
        <v>209</v>
      </c>
      <c r="B1582" s="9">
        <f>ROW() - ROW(TablaCosechas[[#Headers],[ID]]) - 4</f>
        <v>1577</v>
      </c>
      <c r="C1582" s="9" t="str">
        <f>LEFT(A1582,2)</f>
        <v>BA</v>
      </c>
      <c r="D1582" s="182" t="s">
        <v>367</v>
      </c>
      <c r="E1582" s="178">
        <v>3100</v>
      </c>
      <c r="F1582" s="19">
        <v>16</v>
      </c>
      <c r="G1582" s="195">
        <v>46125</v>
      </c>
      <c r="H1582" s="9" t="str">
        <f>VLOOKUP(TablaCosechas[[#This Row],[COD]],DATOS!$E$3:$F$27,2,0)</f>
        <v>BARRACUDA</v>
      </c>
      <c r="I1582" s="9" t="str">
        <f>RIGHT(TablaCosechas[[#This Row],[SECTOR/PISCINA]],2)</f>
        <v>05</v>
      </c>
      <c r="J1582" s="9" t="str">
        <f>VLOOKUP(TablaCosechas[[#This Row],[COD]],Tabla7[#All],4,0)</f>
        <v>GUSTAVO CARRASCO</v>
      </c>
      <c r="K1582" s="179">
        <f>(TablaCosechas[[#This Row],[libras planta]]*454)/M1582</f>
        <v>88393.106870229007</v>
      </c>
      <c r="L1582" s="215">
        <v>3570.77</v>
      </c>
      <c r="M1582" s="205">
        <v>18.34</v>
      </c>
      <c r="N1582" s="9" t="str">
        <f>UPPER(TEXT(TablaCosechas[[#This Row],[COSECHA]],"MMMM"))</f>
        <v>ABRIL</v>
      </c>
      <c r="O1582" s="9" t="str">
        <f>IF(A1582="DO 29","BAP",IF(A1582="RO 14","BAP",(VLOOKUP(TablaCosechas[[#This Row],[COD]],Tabla7[[CODIGO]:[CERTIFICACION]],3,0))))</f>
        <v>CONVENCIONAL</v>
      </c>
      <c r="P1582" s="180">
        <f>+L1582-E1582</f>
        <v>470.77</v>
      </c>
      <c r="Q1582" s="49">
        <f>+M1582-F1582</f>
        <v>2.34</v>
      </c>
      <c r="R1582" s="9"/>
    </row>
    <row r="1583" spans="1:18" x14ac:dyDescent="0.25">
      <c r="A1583" s="9" t="s">
        <v>202</v>
      </c>
      <c r="B1583" s="9">
        <f>ROW() - ROW(TablaCosechas[[#Headers],[ID]]) - 4</f>
        <v>1578</v>
      </c>
      <c r="C1583" s="9" t="str">
        <f>LEFT(A1583,2)</f>
        <v>BA</v>
      </c>
      <c r="D1583" s="182" t="s">
        <v>367</v>
      </c>
      <c r="E1583" s="178">
        <v>6600</v>
      </c>
      <c r="F1583" s="19">
        <v>15</v>
      </c>
      <c r="G1583" s="195">
        <v>46125</v>
      </c>
      <c r="H1583" s="9" t="str">
        <f>VLOOKUP(TablaCosechas[[#This Row],[COD]],DATOS!$E$3:$F$27,2,0)</f>
        <v>BARRACUDA</v>
      </c>
      <c r="I1583" s="9" t="str">
        <f>RIGHT(TablaCosechas[[#This Row],[SECTOR/PISCINA]],2)</f>
        <v>04</v>
      </c>
      <c r="J1583" s="9" t="str">
        <f>VLOOKUP(TablaCosechas[[#This Row],[COD]],Tabla7[#All],4,0)</f>
        <v>GUSTAVO CARRASCO</v>
      </c>
      <c r="K1583" s="179">
        <f>(TablaCosechas[[#This Row],[libras planta]]*454)/M1583</f>
        <v>165222.61031833151</v>
      </c>
      <c r="L1583" s="215">
        <v>6630.74</v>
      </c>
      <c r="M1583" s="247">
        <v>18.22</v>
      </c>
      <c r="N1583" s="9" t="str">
        <f>UPPER(TEXT(TablaCosechas[[#This Row],[COSECHA]],"MMMM"))</f>
        <v>ABRIL</v>
      </c>
      <c r="O1583" s="9" t="str">
        <f>IF(A1583="DO 29","BAP",IF(A1583="RO 14","BAP",(VLOOKUP(TablaCosechas[[#This Row],[COD]],Tabla7[[CODIGO]:[CERTIFICACION]],3,0))))</f>
        <v>CONVENCIONAL</v>
      </c>
      <c r="P1583" s="180">
        <f>+L1583-E1583</f>
        <v>30.739999999999782</v>
      </c>
      <c r="Q1583" s="181">
        <f>+M1583-F1583</f>
        <v>3.2199999999999989</v>
      </c>
      <c r="R1583" s="9"/>
    </row>
    <row r="1584" spans="1:18" x14ac:dyDescent="0.25">
      <c r="A1584" s="9" t="s">
        <v>335</v>
      </c>
      <c r="B1584" s="9">
        <f>ROW() - ROW(TablaCosechas[[#Headers],[ID]]) - 4</f>
        <v>1579</v>
      </c>
      <c r="C1584" s="9" t="str">
        <f>LEFT(A1584,2)</f>
        <v>WA</v>
      </c>
      <c r="D1584" s="182" t="s">
        <v>366</v>
      </c>
      <c r="E1584" s="178">
        <v>18700</v>
      </c>
      <c r="F1584" s="19">
        <v>41</v>
      </c>
      <c r="G1584" s="195">
        <v>46126</v>
      </c>
      <c r="H1584" s="9" t="str">
        <f>VLOOKUP(TablaCosechas[[#This Row],[COD]],DATOS!$E$3:$F$27,2,0)</f>
        <v>WAHOO</v>
      </c>
      <c r="I1584" s="9" t="str">
        <f>RIGHT(TablaCosechas[[#This Row],[SECTOR/PISCINA]],2)</f>
        <v>19</v>
      </c>
      <c r="J1584" s="9" t="str">
        <f>VLOOKUP(TablaCosechas[[#This Row],[COD]],Tabla7[#All],4,0)</f>
        <v>JUNIOR ESQUIVEL</v>
      </c>
      <c r="K1584" s="179">
        <f>(TablaCosechas[[#This Row],[libras planta]]*454)/M1584</f>
        <v>233765.57254138269</v>
      </c>
      <c r="L1584" s="215">
        <v>21152.18</v>
      </c>
      <c r="M1584" s="205">
        <v>41.08</v>
      </c>
      <c r="N1584" s="9" t="str">
        <f>UPPER(TEXT(TablaCosechas[[#This Row],[COSECHA]],"MMMM"))</f>
        <v>ABRIL</v>
      </c>
      <c r="O1584" s="9" t="str">
        <f>IF(A1584="DO 29","BAP",IF(A1584="RO 14","BAP",(VLOOKUP(TablaCosechas[[#This Row],[COD]],Tabla7[[CODIGO]:[CERTIFICACION]],3,0))))</f>
        <v>CONVENCIONAL</v>
      </c>
      <c r="P1584" s="180">
        <f>+L1584-E1584</f>
        <v>2452.1800000000003</v>
      </c>
      <c r="Q1584" s="49">
        <f>+M1584-F1584</f>
        <v>7.9999999999998295E-2</v>
      </c>
      <c r="R1584" s="9"/>
    </row>
    <row r="1585" spans="1:18" x14ac:dyDescent="0.25">
      <c r="A1585" s="9" t="s">
        <v>230</v>
      </c>
      <c r="B1585" s="9">
        <f>ROW() - ROW(TablaCosechas[[#Headers],[ID]]) - 4</f>
        <v>1580</v>
      </c>
      <c r="C1585" s="9" t="str">
        <f>LEFT(A1585,2)</f>
        <v>TA</v>
      </c>
      <c r="D1585" s="182" t="s">
        <v>367</v>
      </c>
      <c r="E1585" s="178">
        <v>6400</v>
      </c>
      <c r="F1585" s="19">
        <v>18</v>
      </c>
      <c r="G1585" s="195">
        <v>46126</v>
      </c>
      <c r="H1585" s="9" t="str">
        <f>VLOOKUP(TablaCosechas[[#This Row],[COD]],DATOS!$E$3:$F$27,2,0)</f>
        <v>TAMBULERO</v>
      </c>
      <c r="I1585" s="9" t="str">
        <f>RIGHT(TablaCosechas[[#This Row],[SECTOR/PISCINA]],2)</f>
        <v>26</v>
      </c>
      <c r="J1585" s="9" t="str">
        <f>VLOOKUP(TablaCosechas[[#This Row],[COD]],Tabla7[#All],4,0)</f>
        <v>ALFONSO GRUNAUER</v>
      </c>
      <c r="K1585" s="179">
        <f>(TablaCosechas[[#This Row],[libras planta]]*454)/M1585</f>
        <v>159540.99590163937</v>
      </c>
      <c r="L1585" s="215">
        <v>6859.56</v>
      </c>
      <c r="M1585" s="205">
        <v>19.52</v>
      </c>
      <c r="N1585" s="9" t="str">
        <f>UPPER(TEXT(TablaCosechas[[#This Row],[COSECHA]],"MMMM"))</f>
        <v>ABRIL</v>
      </c>
      <c r="O1585" s="9" t="str">
        <f>IF(A1585="DO 29","BAP",IF(A1585="RO 14","BAP",(VLOOKUP(TablaCosechas[[#This Row],[COD]],Tabla7[[CODIGO]:[CERTIFICACION]],3,0))))</f>
        <v>CONVENCIONAL</v>
      </c>
      <c r="P1585" s="180">
        <f>+L1585-E1585</f>
        <v>459.5600000000004</v>
      </c>
      <c r="Q1585" s="49">
        <f>+M1585-F1585</f>
        <v>1.5199999999999996</v>
      </c>
      <c r="R1585" s="9"/>
    </row>
    <row r="1586" spans="1:18" x14ac:dyDescent="0.25">
      <c r="A1586" s="9" t="s">
        <v>180</v>
      </c>
      <c r="B1586" s="9">
        <f>ROW() - ROW(TablaCosechas[[#Headers],[ID]]) - 4</f>
        <v>1581</v>
      </c>
      <c r="C1586" s="9" t="str">
        <f>LEFT(A1586,2)</f>
        <v>TA</v>
      </c>
      <c r="D1586" s="182" t="s">
        <v>367</v>
      </c>
      <c r="E1586" s="178">
        <v>6600</v>
      </c>
      <c r="F1586" s="19">
        <v>25</v>
      </c>
      <c r="G1586" s="195">
        <v>46126</v>
      </c>
      <c r="H1586" s="9" t="str">
        <f>VLOOKUP(TablaCosechas[[#This Row],[COD]],DATOS!$E$3:$F$27,2,0)</f>
        <v>TAMBULERO</v>
      </c>
      <c r="I1586" s="9" t="str">
        <f>RIGHT(TablaCosechas[[#This Row],[SECTOR/PISCINA]],2)</f>
        <v>03</v>
      </c>
      <c r="J1586" s="9" t="str">
        <f>VLOOKUP(TablaCosechas[[#This Row],[COD]],Tabla7[#All],4,0)</f>
        <v>ALFONSO GRUNAUER</v>
      </c>
      <c r="K1586" s="179">
        <f>(TablaCosechas[[#This Row],[libras planta]]*454)/M1586</f>
        <v>124678.61247216034</v>
      </c>
      <c r="L1586" s="215">
        <v>7398.33</v>
      </c>
      <c r="M1586" s="205">
        <v>26.94</v>
      </c>
      <c r="N1586" s="9" t="str">
        <f>UPPER(TEXT(TablaCosechas[[#This Row],[COSECHA]],"MMMM"))</f>
        <v>ABRIL</v>
      </c>
      <c r="O1586" s="9" t="str">
        <f>IF(A1586="DO 29","BAP",IF(A1586="RO 14","BAP",(VLOOKUP(TablaCosechas[[#This Row],[COD]],Tabla7[[CODIGO]:[CERTIFICACION]],3,0))))</f>
        <v>CONVENCIONAL</v>
      </c>
      <c r="P1586" s="180">
        <f>+L1586-E1586</f>
        <v>798.32999999999993</v>
      </c>
      <c r="Q1586" s="49">
        <f>+M1586-F1586</f>
        <v>1.9400000000000013</v>
      </c>
      <c r="R1586" s="9"/>
    </row>
    <row r="1587" spans="1:18" x14ac:dyDescent="0.25">
      <c r="A1587" s="9" t="s">
        <v>155</v>
      </c>
      <c r="B1587" s="9">
        <f>ROW() - ROW(TablaCosechas[[#Headers],[ID]]) - 4</f>
        <v>1582</v>
      </c>
      <c r="C1587" s="9" t="str">
        <f>LEFT(A1587,2)</f>
        <v>PR</v>
      </c>
      <c r="D1587" s="182" t="s">
        <v>366</v>
      </c>
      <c r="E1587" s="178">
        <v>18800</v>
      </c>
      <c r="F1587" s="19">
        <v>27</v>
      </c>
      <c r="G1587" s="195">
        <v>46126</v>
      </c>
      <c r="H1587" s="9" t="str">
        <f>VLOOKUP(TablaCosechas[[#This Row],[COD]],DATOS!$E$3:$F$27,2,0)</f>
        <v>PARGO ROJO</v>
      </c>
      <c r="I1587" s="9" t="str">
        <f>RIGHT(TablaCosechas[[#This Row],[SECTOR/PISCINA]],2)</f>
        <v>24</v>
      </c>
      <c r="J1587" s="9" t="str">
        <f>VLOOKUP(TablaCosechas[[#This Row],[COD]],Tabla7[#All],4,0)</f>
        <v>WILMER TORRES</v>
      </c>
      <c r="K1587" s="179">
        <f>(TablaCosechas[[#This Row],[libras planta]]*454)/M1587</f>
        <v>313292.71811224491</v>
      </c>
      <c r="L1587" s="215">
        <v>21640.66</v>
      </c>
      <c r="M1587" s="205">
        <v>31.36</v>
      </c>
      <c r="N1587" s="9" t="str">
        <f>UPPER(TEXT(TablaCosechas[[#This Row],[COSECHA]],"MMMM"))</f>
        <v>ABRIL</v>
      </c>
      <c r="O1587" s="9" t="str">
        <f>IF(A1587="DO 29","BAP",IF(A1587="RO 14","BAP",(VLOOKUP(TablaCosechas[[#This Row],[COD]],Tabla7[[CODIGO]:[CERTIFICACION]],3,0))))</f>
        <v>CONVENCIONAL</v>
      </c>
      <c r="P1587" s="180">
        <f>+L1587-E1587</f>
        <v>2840.66</v>
      </c>
      <c r="Q1587" s="49">
        <f>+M1587-F1587</f>
        <v>4.3599999999999994</v>
      </c>
      <c r="R1587" s="9"/>
    </row>
    <row r="1588" spans="1:18" x14ac:dyDescent="0.25">
      <c r="A1588" s="9" t="s">
        <v>221</v>
      </c>
      <c r="B1588" s="9">
        <f>ROW() - ROW(TablaCosechas[[#Headers],[ID]]) - 4</f>
        <v>1583</v>
      </c>
      <c r="C1588" s="9" t="str">
        <f>LEFT(A1588,2)</f>
        <v>MA</v>
      </c>
      <c r="D1588" s="182" t="s">
        <v>367</v>
      </c>
      <c r="E1588" s="178">
        <v>3750</v>
      </c>
      <c r="F1588" s="19">
        <v>16</v>
      </c>
      <c r="G1588" s="195">
        <v>46126</v>
      </c>
      <c r="H1588" s="9" t="str">
        <f>VLOOKUP(TablaCosechas[[#This Row],[COD]],DATOS!$E$3:$F$27,2,0)</f>
        <v>MANTARRAYA</v>
      </c>
      <c r="I1588" s="9" t="str">
        <f>RIGHT(TablaCosechas[[#This Row],[SECTOR/PISCINA]],2)</f>
        <v>11</v>
      </c>
      <c r="J1588" s="9" t="str">
        <f>VLOOKUP(TablaCosechas[[#This Row],[COD]],Tabla7[#All],4,0)</f>
        <v>GUSTAVO CARRASCO</v>
      </c>
      <c r="K1588" s="179">
        <f>(TablaCosechas[[#This Row],[libras planta]]*454)/M1588</f>
        <v>92299.447252747254</v>
      </c>
      <c r="L1588" s="215">
        <v>3700.11</v>
      </c>
      <c r="M1588" s="205">
        <v>18.2</v>
      </c>
      <c r="N1588" s="9" t="str">
        <f>UPPER(TEXT(TablaCosechas[[#This Row],[COSECHA]],"MMMM"))</f>
        <v>ABRIL</v>
      </c>
      <c r="O1588" s="9" t="str">
        <f>IF(A1588="DO 29","BAP",IF(A1588="RO 14","BAP",(VLOOKUP(TablaCosechas[[#This Row],[COD]],Tabla7[[CODIGO]:[CERTIFICACION]],3,0))))</f>
        <v>ASC</v>
      </c>
      <c r="P1588" s="180">
        <f>+L1588-E1588</f>
        <v>-49.889999999999873</v>
      </c>
      <c r="Q1588" s="49">
        <f>+M1588-F1588</f>
        <v>2.1999999999999993</v>
      </c>
      <c r="R1588" s="9"/>
    </row>
    <row r="1589" spans="1:18" x14ac:dyDescent="0.25">
      <c r="A1589" s="9" t="s">
        <v>138</v>
      </c>
      <c r="B1589" s="9">
        <f>ROW() - ROW(TablaCosechas[[#Headers],[ID]]) - 4</f>
        <v>1584</v>
      </c>
      <c r="C1589" s="9" t="str">
        <f>LEFT(A1589,2)</f>
        <v>GT</v>
      </c>
      <c r="D1589" s="182" t="s">
        <v>366</v>
      </c>
      <c r="E1589" s="178">
        <v>31800</v>
      </c>
      <c r="F1589" s="19">
        <v>30</v>
      </c>
      <c r="G1589" s="195">
        <v>46126</v>
      </c>
      <c r="H1589" s="9" t="str">
        <f>VLOOKUP(TablaCosechas[[#This Row],[COD]],DATOS!$E$3:$F$27,2,0)</f>
        <v>GUATO</v>
      </c>
      <c r="I1589" s="9" t="str">
        <f>RIGHT(TablaCosechas[[#This Row],[SECTOR/PISCINA]],2)</f>
        <v>04</v>
      </c>
      <c r="J1589" s="9" t="str">
        <f>VLOOKUP(TablaCosechas[[#This Row],[COD]],Tabla7[#All],4,0)</f>
        <v>JULIO SANTOS</v>
      </c>
      <c r="K1589" s="179">
        <f>(TablaCosechas[[#This Row],[libras planta]]*454)/M1589</f>
        <v>490627.79150066403</v>
      </c>
      <c r="L1589" s="215">
        <v>32550.02</v>
      </c>
      <c r="M1589" s="205">
        <v>30.12</v>
      </c>
      <c r="N1589" s="9" t="str">
        <f>UPPER(TEXT(TablaCosechas[[#This Row],[COSECHA]],"MMMM"))</f>
        <v>ABRIL</v>
      </c>
      <c r="O1589" s="9" t="str">
        <f>IF(A1589="DO 29","BAP",IF(A1589="RO 14","BAP",(VLOOKUP(TablaCosechas[[#This Row],[COD]],Tabla7[[CODIGO]:[CERTIFICACION]],3,0))))</f>
        <v>CONVENCIONAL</v>
      </c>
      <c r="P1589" s="180">
        <f>+L1589-E1589</f>
        <v>750.02000000000044</v>
      </c>
      <c r="Q1589" s="49">
        <f>+M1589-F1589</f>
        <v>0.12000000000000099</v>
      </c>
      <c r="R1589" s="9"/>
    </row>
    <row r="1590" spans="1:18" x14ac:dyDescent="0.25">
      <c r="A1590" s="9" t="s">
        <v>132</v>
      </c>
      <c r="B1590" s="9">
        <f>ROW() - ROW(TablaCosechas[[#Headers],[ID]]) - 4</f>
        <v>1585</v>
      </c>
      <c r="C1590" s="9" t="str">
        <f>LEFT(A1590,2)</f>
        <v>DO</v>
      </c>
      <c r="D1590" s="182" t="s">
        <v>366</v>
      </c>
      <c r="E1590" s="178">
        <v>28900</v>
      </c>
      <c r="F1590" s="19">
        <v>36</v>
      </c>
      <c r="G1590" s="195">
        <v>46126</v>
      </c>
      <c r="H1590" s="9" t="str">
        <f>VLOOKUP(TablaCosechas[[#This Row],[COD]],DATOS!$E$3:$F$27,2,0)</f>
        <v>DORADO</v>
      </c>
      <c r="I1590" s="9" t="str">
        <f>RIGHT(TablaCosechas[[#This Row],[SECTOR/PISCINA]],2)</f>
        <v>28</v>
      </c>
      <c r="J1590" s="9" t="str">
        <f>VLOOKUP(TablaCosechas[[#This Row],[COD]],Tabla7[#All],4,0)</f>
        <v>JOSE CEDEÑO</v>
      </c>
      <c r="K1590" s="179">
        <f>(TablaCosechas[[#This Row],[libras planta]]*454)/M1590</f>
        <v>335013.18300000002</v>
      </c>
      <c r="L1590" s="215">
        <v>29516.58</v>
      </c>
      <c r="M1590" s="205">
        <v>40</v>
      </c>
      <c r="N1590" s="9" t="str">
        <f>UPPER(TEXT(TablaCosechas[[#This Row],[COSECHA]],"MMMM"))</f>
        <v>ABRIL</v>
      </c>
      <c r="O1590" s="9" t="str">
        <f>IF(A1590="DO 29","BAP",IF(A1590="RO 14","BAP",(VLOOKUP(TablaCosechas[[#This Row],[COD]],Tabla7[[CODIGO]:[CERTIFICACION]],3,0))))</f>
        <v>ASC</v>
      </c>
      <c r="P1590" s="180">
        <f>+L1590-E1590</f>
        <v>616.58000000000175</v>
      </c>
      <c r="Q1590" s="49">
        <f>+M1590-F1590</f>
        <v>4</v>
      </c>
      <c r="R1590" s="9"/>
    </row>
    <row r="1591" spans="1:18" x14ac:dyDescent="0.25">
      <c r="A1591" s="9" t="s">
        <v>169</v>
      </c>
      <c r="B1591" s="9">
        <f>ROW() - ROW(TablaCosechas[[#Headers],[ID]]) - 4</f>
        <v>1586</v>
      </c>
      <c r="C1591" s="9" t="str">
        <f>LEFT(A1591,2)</f>
        <v>DO</v>
      </c>
      <c r="D1591" s="182" t="s">
        <v>367</v>
      </c>
      <c r="E1591" s="178">
        <v>18100</v>
      </c>
      <c r="F1591" s="19">
        <v>38</v>
      </c>
      <c r="G1591" s="195">
        <v>46126</v>
      </c>
      <c r="H1591" s="9" t="str">
        <f>VLOOKUP(TablaCosechas[[#This Row],[COD]],DATOS!$E$3:$F$27,2,0)</f>
        <v>DORADO</v>
      </c>
      <c r="I1591" s="9" t="str">
        <f>RIGHT(TablaCosechas[[#This Row],[SECTOR/PISCINA]],2)</f>
        <v>12</v>
      </c>
      <c r="J1591" s="9" t="str">
        <f>VLOOKUP(TablaCosechas[[#This Row],[COD]],Tabla7[#All],4,0)</f>
        <v>JOSE CEDEÑO</v>
      </c>
      <c r="K1591" s="179">
        <f>(TablaCosechas[[#This Row],[libras planta]]*454)/M1591</f>
        <v>205048.81595411888</v>
      </c>
      <c r="L1591" s="215">
        <v>17325.27</v>
      </c>
      <c r="M1591" s="205">
        <v>38.36</v>
      </c>
      <c r="N1591" s="9" t="str">
        <f>UPPER(TEXT(TablaCosechas[[#This Row],[COSECHA]],"MMMM"))</f>
        <v>ABRIL</v>
      </c>
      <c r="O1591" s="9" t="str">
        <f>IF(A1591="DO 29","BAP",IF(A1591="RO 14","BAP",(VLOOKUP(TablaCosechas[[#This Row],[COD]],Tabla7[[CODIGO]:[CERTIFICACION]],3,0))))</f>
        <v>ASC</v>
      </c>
      <c r="P1591" s="180">
        <f>+L1591-E1591</f>
        <v>-774.72999999999956</v>
      </c>
      <c r="Q1591" s="49">
        <f>+M1591-F1591</f>
        <v>0.35999999999999943</v>
      </c>
      <c r="R1591" s="9"/>
    </row>
    <row r="1592" spans="1:18" x14ac:dyDescent="0.25">
      <c r="A1592" s="9" t="s">
        <v>130</v>
      </c>
      <c r="B1592" s="9">
        <f>ROW() - ROW(TablaCosechas[[#Headers],[ID]]) - 4</f>
        <v>1587</v>
      </c>
      <c r="C1592" s="9" t="str">
        <f>LEFT(A1592,2)</f>
        <v>DE</v>
      </c>
      <c r="D1592" s="182" t="s">
        <v>366</v>
      </c>
      <c r="E1592" s="178">
        <f>40000+4400</f>
        <v>44400</v>
      </c>
      <c r="F1592" s="19">
        <v>38</v>
      </c>
      <c r="G1592" s="195">
        <v>46126</v>
      </c>
      <c r="H1592" s="9" t="str">
        <f>VLOOKUP(TablaCosechas[[#This Row],[COD]],DATOS!$E$3:$F$27,2,0)</f>
        <v>DELFIN</v>
      </c>
      <c r="I1592" s="9" t="str">
        <f>RIGHT(TablaCosechas[[#This Row],[SECTOR/PISCINA]],2)</f>
        <v>27</v>
      </c>
      <c r="J1592" s="9" t="str">
        <f>VLOOKUP(TablaCosechas[[#This Row],[COD]],Tabla7[#All],4,0)</f>
        <v>CARLOS FLORES</v>
      </c>
      <c r="K1592" s="179">
        <f>(TablaCosechas[[#This Row],[libras planta]]*454)/M1592</f>
        <v>599340.11108186364</v>
      </c>
      <c r="L1592" s="215">
        <v>50151.83</v>
      </c>
      <c r="M1592" s="205">
        <v>37.99</v>
      </c>
      <c r="N1592" s="9" t="str">
        <f>UPPER(TEXT(TablaCosechas[[#This Row],[COSECHA]],"MMMM"))</f>
        <v>ABRIL</v>
      </c>
      <c r="O1592" s="9" t="str">
        <f>IF(A1592="DO 29","BAP",IF(A1592="RO 14","BAP",(VLOOKUP(TablaCosechas[[#This Row],[COD]],Tabla7[[CODIGO]:[CERTIFICACION]],3,0))))</f>
        <v>CONVENCIONAL</v>
      </c>
      <c r="P1592" s="180">
        <f>+L1592-E1592</f>
        <v>5751.8300000000017</v>
      </c>
      <c r="Q1592" s="49">
        <f>+M1592-F1592</f>
        <v>-9.9999999999980105E-3</v>
      </c>
      <c r="R1592" s="9"/>
    </row>
    <row r="1593" spans="1:18" x14ac:dyDescent="0.25">
      <c r="A1593" s="9" t="s">
        <v>15</v>
      </c>
      <c r="B1593" s="9">
        <f>ROW() - ROW(TablaCosechas[[#Headers],[ID]]) - 4</f>
        <v>1588</v>
      </c>
      <c r="C1593" s="9" t="str">
        <f>LEFT(A1593,2)</f>
        <v>CH</v>
      </c>
      <c r="D1593" s="182" t="s">
        <v>367</v>
      </c>
      <c r="E1593" s="178">
        <v>10500</v>
      </c>
      <c r="F1593" s="19">
        <v>16.5</v>
      </c>
      <c r="G1593" s="195">
        <v>46126</v>
      </c>
      <c r="H1593" s="9" t="str">
        <f>VLOOKUP(TablaCosechas[[#This Row],[COD]],DATOS!$E$3:$F$27,2,0)</f>
        <v>CHERNA</v>
      </c>
      <c r="I1593" s="9" t="str">
        <f>RIGHT(TablaCosechas[[#This Row],[SECTOR/PISCINA]],2)</f>
        <v>09</v>
      </c>
      <c r="J1593" s="9" t="str">
        <f>VLOOKUP(TablaCosechas[[#This Row],[COD]],Tabla7[#All],4,0)</f>
        <v>SANTIAGO OBRIEN</v>
      </c>
      <c r="K1593" s="179">
        <f>(TablaCosechas[[#This Row],[libras planta]]*454)/M1593</f>
        <v>291631.92900856794</v>
      </c>
      <c r="L1593" s="215">
        <v>10496.18</v>
      </c>
      <c r="M1593" s="205">
        <v>16.34</v>
      </c>
      <c r="N1593" s="9" t="str">
        <f>UPPER(TEXT(TablaCosechas[[#This Row],[COSECHA]],"MMMM"))</f>
        <v>ABRIL</v>
      </c>
      <c r="O1593" s="9" t="str">
        <f>IF(A1593="DO 29","BAP",IF(A1593="RO 14","BAP",(VLOOKUP(TablaCosechas[[#This Row],[COD]],Tabla7[[CODIGO]:[CERTIFICACION]],3,0))))</f>
        <v>ASC</v>
      </c>
      <c r="P1593" s="180">
        <f>+L1593-E1593</f>
        <v>-3.819999999999709</v>
      </c>
      <c r="Q1593" s="49">
        <f>+M1593-F1593</f>
        <v>-0.16000000000000014</v>
      </c>
      <c r="R1593" s="9"/>
    </row>
    <row r="1594" spans="1:18" x14ac:dyDescent="0.25">
      <c r="A1594" s="9" t="s">
        <v>226</v>
      </c>
      <c r="B1594" s="9">
        <f>ROW() - ROW(TablaCosechas[[#Headers],[ID]]) - 4</f>
        <v>1589</v>
      </c>
      <c r="C1594" s="9" t="str">
        <f>LEFT(A1594,2)</f>
        <v>BA</v>
      </c>
      <c r="D1594" s="182" t="s">
        <v>367</v>
      </c>
      <c r="E1594" s="178">
        <v>4050</v>
      </c>
      <c r="F1594" s="19">
        <v>17</v>
      </c>
      <c r="G1594" s="195">
        <v>46126</v>
      </c>
      <c r="H1594" s="9" t="str">
        <f>VLOOKUP(TablaCosechas[[#This Row],[COD]],DATOS!$E$3:$F$27,2,0)</f>
        <v>BARRACUDA</v>
      </c>
      <c r="I1594" s="9" t="str">
        <f>RIGHT(TablaCosechas[[#This Row],[SECTOR/PISCINA]],2)</f>
        <v>01</v>
      </c>
      <c r="J1594" s="9" t="str">
        <f>VLOOKUP(TablaCosechas[[#This Row],[COD]],Tabla7[#All],4,0)</f>
        <v>GUSTAVO CARRASCO</v>
      </c>
      <c r="K1594" s="179">
        <f>(TablaCosechas[[#This Row],[libras planta]]*454)/M1594</f>
        <v>96937.407407407416</v>
      </c>
      <c r="L1594" s="215">
        <v>4150.8</v>
      </c>
      <c r="M1594" s="205">
        <v>19.440000000000001</v>
      </c>
      <c r="N1594" s="9" t="str">
        <f>UPPER(TEXT(TablaCosechas[[#This Row],[COSECHA]],"MMMM"))</f>
        <v>ABRIL</v>
      </c>
      <c r="O1594" s="9" t="str">
        <f>IF(A1594="DO 29","BAP",IF(A1594="RO 14","BAP",(VLOOKUP(TablaCosechas[[#This Row],[COD]],Tabla7[[CODIGO]:[CERTIFICACION]],3,0))))</f>
        <v>CONVENCIONAL</v>
      </c>
      <c r="P1594" s="180">
        <f>+L1594-E1594</f>
        <v>100.80000000000018</v>
      </c>
      <c r="Q1594" s="181">
        <f>+M1594-F1594</f>
        <v>2.4400000000000013</v>
      </c>
      <c r="R1594" s="9"/>
    </row>
    <row r="1595" spans="1:18" x14ac:dyDescent="0.25">
      <c r="A1595" s="9" t="s">
        <v>336</v>
      </c>
      <c r="B1595" s="9">
        <f>ROW() - ROW(TablaCosechas[[#Headers],[ID]]) - 4</f>
        <v>1590</v>
      </c>
      <c r="C1595" s="9" t="str">
        <f>LEFT(A1595,2)</f>
        <v>WA</v>
      </c>
      <c r="D1595" s="182" t="s">
        <v>366</v>
      </c>
      <c r="E1595" s="178">
        <v>22500</v>
      </c>
      <c r="F1595" s="19">
        <v>33</v>
      </c>
      <c r="G1595" s="195">
        <v>46127</v>
      </c>
      <c r="H1595" s="9" t="str">
        <f>VLOOKUP(TablaCosechas[[#This Row],[COD]],DATOS!$E$3:$F$27,2,0)</f>
        <v>WAHOO</v>
      </c>
      <c r="I1595" s="9" t="str">
        <f>RIGHT(TablaCosechas[[#This Row],[SECTOR/PISCINA]],2)</f>
        <v>12</v>
      </c>
      <c r="J1595" s="9" t="str">
        <f>VLOOKUP(TablaCosechas[[#This Row],[COD]],Tabla7[#All],4,0)</f>
        <v>JUNIOR ESQUIVEL</v>
      </c>
      <c r="K1595" s="179">
        <f>(TablaCosechas[[#This Row],[libras planta]]*454)/M1595</f>
        <v>403744.16038382461</v>
      </c>
      <c r="L1595" s="215">
        <v>25949.9</v>
      </c>
      <c r="M1595" s="205">
        <v>29.18</v>
      </c>
      <c r="N1595" s="9" t="str">
        <f>UPPER(TEXT(TablaCosechas[[#This Row],[COSECHA]],"MMMM"))</f>
        <v>ABRIL</v>
      </c>
      <c r="O1595" s="9" t="str">
        <f>IF(A1595="DO 29","BAP",IF(A1595="RO 14","BAP",(VLOOKUP(TablaCosechas[[#This Row],[COD]],Tabla7[[CODIGO]:[CERTIFICACION]],3,0))))</f>
        <v>CONVENCIONAL</v>
      </c>
      <c r="P1595" s="180">
        <f>+L1595-E1595</f>
        <v>3449.9000000000015</v>
      </c>
      <c r="Q1595" s="181">
        <f>+M1595-F1595</f>
        <v>-3.8200000000000003</v>
      </c>
      <c r="R1595" s="9"/>
    </row>
    <row r="1596" spans="1:18" x14ac:dyDescent="0.25">
      <c r="A1596" s="9" t="s">
        <v>179</v>
      </c>
      <c r="B1596" s="9">
        <f>ROW() - ROW(TablaCosechas[[#Headers],[ID]]) - 4</f>
        <v>1591</v>
      </c>
      <c r="C1596" s="9" t="str">
        <f>LEFT(A1596,2)</f>
        <v>TI</v>
      </c>
      <c r="D1596" s="182" t="s">
        <v>366</v>
      </c>
      <c r="E1596" s="178">
        <v>24900</v>
      </c>
      <c r="F1596" s="19">
        <v>29</v>
      </c>
      <c r="G1596" s="195">
        <v>46127</v>
      </c>
      <c r="H1596" s="9" t="str">
        <f>VLOOKUP(TablaCosechas[[#This Row],[COD]],DATOS!$E$3:$F$27,2,0)</f>
        <v>TIBURON</v>
      </c>
      <c r="I1596" s="9" t="str">
        <f>RIGHT(TablaCosechas[[#This Row],[SECTOR/PISCINA]],2)</f>
        <v>13</v>
      </c>
      <c r="J1596" s="9" t="str">
        <f>VLOOKUP(TablaCosechas[[#This Row],[COD]],Tabla7[#All],4,0)</f>
        <v>ALFONSO GRUNAUER</v>
      </c>
      <c r="K1596" s="179">
        <f>(TablaCosechas[[#This Row],[libras planta]]*454)/M1596</f>
        <v>430966.42686668946</v>
      </c>
      <c r="L1596" s="215">
        <v>27841.95</v>
      </c>
      <c r="M1596" s="205">
        <v>29.33</v>
      </c>
      <c r="N1596" s="9" t="str">
        <f>UPPER(TEXT(TablaCosechas[[#This Row],[COSECHA]],"MMMM"))</f>
        <v>ABRIL</v>
      </c>
      <c r="O1596" s="9" t="str">
        <f>IF(A1596="DO 29","BAP",IF(A1596="RO 14","BAP",(VLOOKUP(TablaCosechas[[#This Row],[COD]],Tabla7[[CODIGO]:[CERTIFICACION]],3,0))))</f>
        <v>ASC</v>
      </c>
      <c r="P1596" s="180">
        <f>+L1596-E1596</f>
        <v>2941.9500000000007</v>
      </c>
      <c r="Q1596" s="49">
        <f>+M1596-F1596</f>
        <v>0.32999999999999829</v>
      </c>
      <c r="R1596" s="9"/>
    </row>
    <row r="1597" spans="1:18" x14ac:dyDescent="0.25">
      <c r="A1597" s="9" t="s">
        <v>224</v>
      </c>
      <c r="B1597" s="9">
        <f>ROW() - ROW(TablaCosechas[[#Headers],[ID]]) - 4</f>
        <v>1592</v>
      </c>
      <c r="C1597" s="9" t="str">
        <f>LEFT(A1597,2)</f>
        <v>TI</v>
      </c>
      <c r="D1597" s="182" t="s">
        <v>367</v>
      </c>
      <c r="E1597" s="178">
        <v>12000</v>
      </c>
      <c r="F1597" s="19">
        <v>18</v>
      </c>
      <c r="G1597" s="195">
        <v>46127</v>
      </c>
      <c r="H1597" s="9" t="str">
        <f>VLOOKUP(TablaCosechas[[#This Row],[COD]],DATOS!$E$3:$F$27,2,0)</f>
        <v>TIBURON</v>
      </c>
      <c r="I1597" s="9" t="str">
        <f>RIGHT(TablaCosechas[[#This Row],[SECTOR/PISCINA]],2)</f>
        <v>02</v>
      </c>
      <c r="J1597" s="9" t="str">
        <f>VLOOKUP(TablaCosechas[[#This Row],[COD]],Tabla7[#All],4,0)</f>
        <v>ALFONSO GRUNAUER</v>
      </c>
      <c r="K1597" s="179">
        <f>(TablaCosechas[[#This Row],[libras planta]]*454)/M1597</f>
        <v>322957.74144869216</v>
      </c>
      <c r="L1597" s="215">
        <v>14141.85</v>
      </c>
      <c r="M1597" s="205">
        <v>19.88</v>
      </c>
      <c r="N1597" s="9" t="str">
        <f>UPPER(TEXT(TablaCosechas[[#This Row],[COSECHA]],"MMMM"))</f>
        <v>ABRIL</v>
      </c>
      <c r="O1597" s="9" t="str">
        <f>IF(A1597="DO 29","BAP",IF(A1597="RO 14","BAP",(VLOOKUP(TablaCosechas[[#This Row],[COD]],Tabla7[[CODIGO]:[CERTIFICACION]],3,0))))</f>
        <v>ASC</v>
      </c>
      <c r="P1597" s="180">
        <f>+L1597-E1597</f>
        <v>2141.8500000000004</v>
      </c>
      <c r="Q1597" s="49">
        <f>+M1597-F1597</f>
        <v>1.879999999999999</v>
      </c>
      <c r="R1597" s="9"/>
    </row>
    <row r="1598" spans="1:18" x14ac:dyDescent="0.25">
      <c r="A1598" s="9" t="s">
        <v>161</v>
      </c>
      <c r="B1598" s="9">
        <f>ROW() - ROW(TablaCosechas[[#Headers],[ID]]) - 4</f>
        <v>1593</v>
      </c>
      <c r="C1598" s="9" t="str">
        <f>LEFT(A1598,2)</f>
        <v>PR</v>
      </c>
      <c r="D1598" s="182" t="s">
        <v>366</v>
      </c>
      <c r="E1598" s="178">
        <v>20800</v>
      </c>
      <c r="F1598" s="19">
        <v>25</v>
      </c>
      <c r="G1598" s="195">
        <v>46127</v>
      </c>
      <c r="H1598" s="9" t="str">
        <f>VLOOKUP(TablaCosechas[[#This Row],[COD]],DATOS!$E$3:$F$27,2,0)</f>
        <v>PARGO ROJO</v>
      </c>
      <c r="I1598" s="9" t="str">
        <f>RIGHT(TablaCosechas[[#This Row],[SECTOR/PISCINA]],2)</f>
        <v>27</v>
      </c>
      <c r="J1598" s="9" t="str">
        <f>VLOOKUP(TablaCosechas[[#This Row],[COD]],Tabla7[#All],4,0)</f>
        <v>WILMER TORRES</v>
      </c>
      <c r="K1598" s="179">
        <f>(TablaCosechas[[#This Row],[libras planta]]*454)/M1598</f>
        <v>415148.2386039886</v>
      </c>
      <c r="L1598" s="215">
        <v>25677.01</v>
      </c>
      <c r="M1598" s="205">
        <v>28.08</v>
      </c>
      <c r="N1598" s="9" t="str">
        <f>UPPER(TEXT(TablaCosechas[[#This Row],[COSECHA]],"MMMM"))</f>
        <v>ABRIL</v>
      </c>
      <c r="O1598" s="9" t="str">
        <f>IF(A1598="DO 29","BAP",IF(A1598="RO 14","BAP",(VLOOKUP(TablaCosechas[[#This Row],[COD]],Tabla7[[CODIGO]:[CERTIFICACION]],3,0))))</f>
        <v>CONVENCIONAL</v>
      </c>
      <c r="P1598" s="180">
        <f>+L1598-E1598</f>
        <v>4877.0099999999984</v>
      </c>
      <c r="Q1598" s="49">
        <f>+M1598-F1598</f>
        <v>3.0799999999999983</v>
      </c>
      <c r="R1598" s="9"/>
    </row>
    <row r="1599" spans="1:18" x14ac:dyDescent="0.25">
      <c r="A1599" s="9" t="s">
        <v>153</v>
      </c>
      <c r="B1599" s="9">
        <f>ROW() - ROW(TablaCosechas[[#Headers],[ID]]) - 4</f>
        <v>1594</v>
      </c>
      <c r="C1599" s="9" t="str">
        <f>LEFT(A1599,2)</f>
        <v>GT</v>
      </c>
      <c r="D1599" s="182" t="s">
        <v>366</v>
      </c>
      <c r="E1599" s="178">
        <v>18400</v>
      </c>
      <c r="F1599" s="19">
        <v>35</v>
      </c>
      <c r="G1599" s="195">
        <v>46127</v>
      </c>
      <c r="H1599" s="9" t="str">
        <f>VLOOKUP(TablaCosechas[[#This Row],[COD]],DATOS!$E$3:$F$27,2,0)</f>
        <v>GUATO</v>
      </c>
      <c r="I1599" s="9" t="str">
        <f>RIGHT(TablaCosechas[[#This Row],[SECTOR/PISCINA]],2)</f>
        <v>05</v>
      </c>
      <c r="J1599" s="9" t="str">
        <f>VLOOKUP(TablaCosechas[[#This Row],[COD]],Tabla7[#All],4,0)</f>
        <v>JULIO SANTOS</v>
      </c>
      <c r="K1599" s="179">
        <f>(TablaCosechas[[#This Row],[libras planta]]*454)/M1599</f>
        <v>266405.66322432586</v>
      </c>
      <c r="L1599" s="215">
        <v>20455.73</v>
      </c>
      <c r="M1599" s="205">
        <v>34.86</v>
      </c>
      <c r="N1599" s="9" t="str">
        <f>UPPER(TEXT(TablaCosechas[[#This Row],[COSECHA]],"MMMM"))</f>
        <v>ABRIL</v>
      </c>
      <c r="O1599" s="9" t="str">
        <f>IF(A1599="DO 29","BAP",IF(A1599="RO 14","BAP",(VLOOKUP(TablaCosechas[[#This Row],[COD]],Tabla7[[CODIGO]:[CERTIFICACION]],3,0))))</f>
        <v>CONVENCIONAL</v>
      </c>
      <c r="P1599" s="180">
        <f>+L1599-E1599</f>
        <v>2055.7299999999996</v>
      </c>
      <c r="Q1599" s="49">
        <f>+M1599-F1599</f>
        <v>-0.14000000000000057</v>
      </c>
      <c r="R1599" s="9"/>
    </row>
    <row r="1600" spans="1:18" x14ac:dyDescent="0.25">
      <c r="A1600" s="9" t="s">
        <v>206</v>
      </c>
      <c r="B1600" s="9">
        <f>ROW() - ROW(TablaCosechas[[#Headers],[ID]]) - 4</f>
        <v>1595</v>
      </c>
      <c r="C1600" s="9" t="str">
        <f>LEFT(A1600,2)</f>
        <v>DO</v>
      </c>
      <c r="D1600" s="182" t="s">
        <v>366</v>
      </c>
      <c r="E1600" s="178">
        <v>8000</v>
      </c>
      <c r="F1600" s="19">
        <v>32</v>
      </c>
      <c r="G1600" s="195">
        <v>46127</v>
      </c>
      <c r="H1600" s="9" t="str">
        <f>VLOOKUP(TablaCosechas[[#This Row],[COD]],DATOS!$E$3:$F$27,2,0)</f>
        <v>DORADO</v>
      </c>
      <c r="I1600" s="9" t="str">
        <f>RIGHT(TablaCosechas[[#This Row],[SECTOR/PISCINA]],2)</f>
        <v>27</v>
      </c>
      <c r="J1600" s="9" t="str">
        <f>VLOOKUP(TablaCosechas[[#This Row],[COD]],Tabla7[#All],4,0)</f>
        <v>JOSE CEDEÑO</v>
      </c>
      <c r="K1600" s="179">
        <f>(TablaCosechas[[#This Row],[libras planta]]*454)/M1600</f>
        <v>113431.96579710144</v>
      </c>
      <c r="L1600" s="215">
        <v>8619.83</v>
      </c>
      <c r="M1600" s="205">
        <v>34.5</v>
      </c>
      <c r="N1600" s="9" t="str">
        <f>UPPER(TEXT(TablaCosechas[[#This Row],[COSECHA]],"MMMM"))</f>
        <v>ABRIL</v>
      </c>
      <c r="O1600" s="9" t="str">
        <f>IF(A1600="DO 29","BAP",IF(A1600="RO 14","BAP",(VLOOKUP(TablaCosechas[[#This Row],[COD]],Tabla7[[CODIGO]:[CERTIFICACION]],3,0))))</f>
        <v>ASC</v>
      </c>
      <c r="P1600" s="180">
        <f>+L1600-E1600</f>
        <v>619.82999999999993</v>
      </c>
      <c r="Q1600" s="49">
        <f>+M1600-F1600</f>
        <v>2.5</v>
      </c>
      <c r="R1600" s="9"/>
    </row>
    <row r="1601" spans="1:18" x14ac:dyDescent="0.25">
      <c r="A1601" s="9" t="s">
        <v>220</v>
      </c>
      <c r="B1601" s="9">
        <f>ROW() - ROW(TablaCosechas[[#Headers],[ID]]) - 4</f>
        <v>1596</v>
      </c>
      <c r="C1601" s="9" t="str">
        <f>LEFT(A1601,2)</f>
        <v>DO</v>
      </c>
      <c r="D1601" s="182" t="s">
        <v>367</v>
      </c>
      <c r="E1601" s="178">
        <v>7000</v>
      </c>
      <c r="F1601" s="19">
        <v>20</v>
      </c>
      <c r="G1601" s="195">
        <v>46127</v>
      </c>
      <c r="H1601" s="9" t="str">
        <f>VLOOKUP(TablaCosechas[[#This Row],[COD]],DATOS!$E$3:$F$27,2,0)</f>
        <v>DORADO</v>
      </c>
      <c r="I1601" s="9" t="str">
        <f>RIGHT(TablaCosechas[[#This Row],[SECTOR/PISCINA]],2)</f>
        <v>13</v>
      </c>
      <c r="J1601" s="9" t="str">
        <f>VLOOKUP(TablaCosechas[[#This Row],[COD]],Tabla7[#All],4,0)</f>
        <v>JOSE CEDEÑO</v>
      </c>
      <c r="K1601" s="179">
        <f>(TablaCosechas[[#This Row],[libras planta]]*454)/M1601</f>
        <v>128141.49999999999</v>
      </c>
      <c r="L1601" s="215">
        <v>6762.71</v>
      </c>
      <c r="M1601" s="205">
        <v>23.96</v>
      </c>
      <c r="N1601" s="9" t="str">
        <f>UPPER(TEXT(TablaCosechas[[#This Row],[COSECHA]],"MMMM"))</f>
        <v>ABRIL</v>
      </c>
      <c r="O1601" s="9" t="str">
        <f>IF(A1601="DO 29","BAP",IF(A1601="RO 14","BAP",(VLOOKUP(TablaCosechas[[#This Row],[COD]],Tabla7[[CODIGO]:[CERTIFICACION]],3,0))))</f>
        <v>ASC</v>
      </c>
      <c r="P1601" s="180">
        <f>+L1601-E1601</f>
        <v>-237.28999999999996</v>
      </c>
      <c r="Q1601" s="49">
        <f>+M1601-F1601</f>
        <v>3.9600000000000009</v>
      </c>
      <c r="R1601" s="9"/>
    </row>
    <row r="1602" spans="1:18" x14ac:dyDescent="0.25">
      <c r="A1602" s="9" t="s">
        <v>169</v>
      </c>
      <c r="B1602" s="9">
        <f>ROW() - ROW(TablaCosechas[[#Headers],[ID]]) - 4</f>
        <v>1597</v>
      </c>
      <c r="C1602" s="9" t="str">
        <f>LEFT(A1602,2)</f>
        <v>DO</v>
      </c>
      <c r="D1602" s="182" t="s">
        <v>366</v>
      </c>
      <c r="E1602" s="178">
        <v>15900</v>
      </c>
      <c r="F1602" s="19">
        <v>38</v>
      </c>
      <c r="G1602" s="195">
        <v>46127</v>
      </c>
      <c r="H1602" s="9" t="str">
        <f>VLOOKUP(TablaCosechas[[#This Row],[COD]],DATOS!$E$3:$F$27,2,0)</f>
        <v>DORADO</v>
      </c>
      <c r="I1602" s="9" t="str">
        <f>RIGHT(TablaCosechas[[#This Row],[SECTOR/PISCINA]],2)</f>
        <v>12</v>
      </c>
      <c r="J1602" s="9" t="str">
        <f>VLOOKUP(TablaCosechas[[#This Row],[COD]],Tabla7[#All],4,0)</f>
        <v>JOSE CEDEÑO</v>
      </c>
      <c r="K1602" s="179">
        <f>(TablaCosechas[[#This Row],[libras planta]]*454)/M1602</f>
        <v>171018.55714285714</v>
      </c>
      <c r="L1602" s="215">
        <v>14766.36</v>
      </c>
      <c r="M1602" s="19">
        <v>39.200000000000003</v>
      </c>
      <c r="N1602" s="9" t="str">
        <f>UPPER(TEXT(TablaCosechas[[#This Row],[COSECHA]],"MMMM"))</f>
        <v>ABRIL</v>
      </c>
      <c r="O1602" s="9" t="str">
        <f>IF(A1602="DO 29","BAP",IF(A1602="RO 14","BAP",(VLOOKUP(TablaCosechas[[#This Row],[COD]],Tabla7[[CODIGO]:[CERTIFICACION]],3,0))))</f>
        <v>ASC</v>
      </c>
      <c r="P1602" s="180">
        <f>+L1602-E1602</f>
        <v>-1133.6399999999994</v>
      </c>
      <c r="Q1602" s="49">
        <f>+M1602-F1602</f>
        <v>1.2000000000000028</v>
      </c>
      <c r="R1602" s="9"/>
    </row>
    <row r="1603" spans="1:18" x14ac:dyDescent="0.25">
      <c r="A1603" s="9" t="s">
        <v>183</v>
      </c>
      <c r="B1603" s="9">
        <f>ROW() - ROW(TablaCosechas[[#Headers],[ID]]) - 4</f>
        <v>1598</v>
      </c>
      <c r="C1603" s="9" t="str">
        <f>LEFT(A1603,2)</f>
        <v>DO</v>
      </c>
      <c r="D1603" s="182" t="s">
        <v>367</v>
      </c>
      <c r="E1603" s="178">
        <v>6300</v>
      </c>
      <c r="F1603" s="19">
        <v>32</v>
      </c>
      <c r="G1603" s="195">
        <v>46127</v>
      </c>
      <c r="H1603" s="9" t="str">
        <f>VLOOKUP(TablaCosechas[[#This Row],[COD]],DATOS!$E$3:$F$27,2,0)</f>
        <v>DORADO</v>
      </c>
      <c r="I1603" s="9" t="str">
        <f>RIGHT(TablaCosechas[[#This Row],[SECTOR/PISCINA]],2)</f>
        <v>05</v>
      </c>
      <c r="J1603" s="9" t="str">
        <f>VLOOKUP(TablaCosechas[[#This Row],[COD]],Tabla7[#All],4,0)</f>
        <v>JOSE CEDEÑO</v>
      </c>
      <c r="K1603" s="179">
        <f>(TablaCosechas[[#This Row],[libras planta]]*454)/M1603</f>
        <v>90271.701627486444</v>
      </c>
      <c r="L1603" s="215">
        <v>6597.39</v>
      </c>
      <c r="M1603" s="205">
        <v>33.18</v>
      </c>
      <c r="N1603" s="9" t="str">
        <f>UPPER(TEXT(TablaCosechas[[#This Row],[COSECHA]],"MMMM"))</f>
        <v>ABRIL</v>
      </c>
      <c r="O1603" s="9" t="str">
        <f>IF(A1603="DO 29","BAP",IF(A1603="RO 14","BAP",(VLOOKUP(TablaCosechas[[#This Row],[COD]],Tabla7[[CODIGO]:[CERTIFICACION]],3,0))))</f>
        <v>ASC</v>
      </c>
      <c r="P1603" s="180">
        <f>+L1603-E1603</f>
        <v>297.39000000000033</v>
      </c>
      <c r="Q1603" s="49">
        <f>+M1603-F1603</f>
        <v>1.1799999999999997</v>
      </c>
      <c r="R1603" s="9"/>
    </row>
    <row r="1604" spans="1:18" x14ac:dyDescent="0.25">
      <c r="A1604" s="9" t="s">
        <v>26</v>
      </c>
      <c r="B1604" s="9">
        <f>ROW() - ROW(TablaCosechas[[#Headers],[ID]]) - 4</f>
        <v>1599</v>
      </c>
      <c r="C1604" s="9" t="str">
        <f>LEFT(A1604,2)</f>
        <v>CH</v>
      </c>
      <c r="D1604" s="182" t="s">
        <v>366</v>
      </c>
      <c r="E1604" s="178">
        <v>23600</v>
      </c>
      <c r="F1604" s="19">
        <v>33</v>
      </c>
      <c r="G1604" s="195">
        <v>46127</v>
      </c>
      <c r="H1604" s="9" t="str">
        <f>VLOOKUP(TablaCosechas[[#This Row],[COD]],DATOS!$E$3:$F$27,2,0)</f>
        <v>CHERNA</v>
      </c>
      <c r="I1604" s="9" t="str">
        <f>RIGHT(TablaCosechas[[#This Row],[SECTOR/PISCINA]],2)</f>
        <v>23</v>
      </c>
      <c r="J1604" s="9" t="str">
        <f>VLOOKUP(TablaCosechas[[#This Row],[COD]],Tabla7[#All],4,0)</f>
        <v>SANTIAGO OBRIEN</v>
      </c>
      <c r="K1604" s="179">
        <f>(TablaCosechas[[#This Row],[libras planta]]*454)/M1604</f>
        <v>346394.83006948832</v>
      </c>
      <c r="L1604" s="215">
        <v>24156.080000000002</v>
      </c>
      <c r="M1604" s="205">
        <v>31.66</v>
      </c>
      <c r="N1604" s="9" t="str">
        <f>UPPER(TEXT(TablaCosechas[[#This Row],[COSECHA]],"MMMM"))</f>
        <v>ABRIL</v>
      </c>
      <c r="O1604" s="9" t="str">
        <f>IF(A1604="DO 29","BAP",IF(A1604="RO 14","BAP",(VLOOKUP(TablaCosechas[[#This Row],[COD]],Tabla7[[CODIGO]:[CERTIFICACION]],3,0))))</f>
        <v>ASC</v>
      </c>
      <c r="P1604" s="180">
        <f>+L1604-E1604</f>
        <v>556.08000000000175</v>
      </c>
      <c r="Q1604" s="181">
        <f>+M1604-F1604</f>
        <v>-1.3399999999999999</v>
      </c>
      <c r="R1604" s="9"/>
    </row>
    <row r="1605" spans="1:18" x14ac:dyDescent="0.25">
      <c r="A1605" s="9" t="s">
        <v>213</v>
      </c>
      <c r="B1605" s="9">
        <f>ROW() - ROW(TablaCosechas[[#Headers],[ID]]) - 4</f>
        <v>1600</v>
      </c>
      <c r="C1605" s="9" t="str">
        <f>LEFT(A1605,2)</f>
        <v>CA</v>
      </c>
      <c r="D1605" s="182" t="s">
        <v>367</v>
      </c>
      <c r="E1605" s="178">
        <v>8000</v>
      </c>
      <c r="F1605" s="19">
        <v>19</v>
      </c>
      <c r="G1605" s="195">
        <v>46127</v>
      </c>
      <c r="H1605" s="9" t="str">
        <f>VLOOKUP(TablaCosechas[[#This Row],[COD]],DATOS!$E$3:$F$27,2,0)</f>
        <v>CATANUDA</v>
      </c>
      <c r="I1605" s="9" t="str">
        <f>RIGHT(TablaCosechas[[#This Row],[SECTOR/PISCINA]],2)</f>
        <v>07</v>
      </c>
      <c r="J1605" s="9" t="str">
        <f>VLOOKUP(TablaCosechas[[#This Row],[COD]],Tabla7[#All],4,0)</f>
        <v>VICTOR QUINTANA</v>
      </c>
      <c r="K1605" s="179">
        <f>(TablaCosechas[[#This Row],[libras planta]]*454)/M1605</f>
        <v>187914.3648780488</v>
      </c>
      <c r="L1605" s="215">
        <v>8485.1200000000008</v>
      </c>
      <c r="M1605" s="205">
        <v>20.5</v>
      </c>
      <c r="N1605" s="9" t="str">
        <f>UPPER(TEXT(TablaCosechas[[#This Row],[COSECHA]],"MMMM"))</f>
        <v>ABRIL</v>
      </c>
      <c r="O1605" s="9" t="str">
        <f>IF(A1605="DO 29","BAP",IF(A1605="RO 14","BAP",(VLOOKUP(TablaCosechas[[#This Row],[COD]],Tabla7[[CODIGO]:[CERTIFICACION]],3,0))))</f>
        <v>ASC</v>
      </c>
      <c r="P1605" s="180">
        <f>+L1605-E1605</f>
        <v>485.1200000000008</v>
      </c>
      <c r="Q1605" s="181">
        <f>+M1605-F1605</f>
        <v>1.5</v>
      </c>
      <c r="R1605" s="9"/>
    </row>
    <row r="1606" spans="1:18" x14ac:dyDescent="0.25">
      <c r="A1606" s="9" t="s">
        <v>337</v>
      </c>
      <c r="B1606" s="9">
        <f>ROW() - ROW(TablaCosechas[[#Headers],[ID]]) - 4</f>
        <v>1601</v>
      </c>
      <c r="C1606" s="9" t="str">
        <f>LEFT(A1606,2)</f>
        <v>WA</v>
      </c>
      <c r="D1606" s="182" t="s">
        <v>366</v>
      </c>
      <c r="E1606" s="178">
        <v>13200</v>
      </c>
      <c r="F1606" s="19">
        <v>32</v>
      </c>
      <c r="G1606" s="195">
        <v>46128</v>
      </c>
      <c r="H1606" s="9" t="str">
        <f>VLOOKUP(TablaCosechas[[#This Row],[COD]],DATOS!$E$3:$F$27,2,0)</f>
        <v>WAHOO</v>
      </c>
      <c r="I1606" s="9" t="str">
        <f>RIGHT(TablaCosechas[[#This Row],[SECTOR/PISCINA]],2)</f>
        <v>03</v>
      </c>
      <c r="J1606" s="9" t="str">
        <f>VLOOKUP(TablaCosechas[[#This Row],[COD]],Tabla7[#All],4,0)</f>
        <v>JUNIOR ESQUIVEL</v>
      </c>
      <c r="K1606" s="179">
        <f>(TablaCosechas[[#This Row],[libras planta]]*454)/M1606</f>
        <v>225079.02371541504</v>
      </c>
      <c r="L1606" s="215">
        <v>15051.54</v>
      </c>
      <c r="M1606" s="205">
        <v>30.36</v>
      </c>
      <c r="N1606" s="9" t="str">
        <f>UPPER(TEXT(TablaCosechas[[#This Row],[COSECHA]],"MMMM"))</f>
        <v>ABRIL</v>
      </c>
      <c r="O1606" s="9" t="str">
        <f>IF(A1606="DO 29","BAP",IF(A1606="RO 14","BAP",(VLOOKUP(TablaCosechas[[#This Row],[COD]],Tabla7[[CODIGO]:[CERTIFICACION]],3,0))))</f>
        <v>CONVENCIONAL</v>
      </c>
      <c r="P1606" s="180">
        <f>+L1606-E1606</f>
        <v>1851.5400000000009</v>
      </c>
      <c r="Q1606" s="181">
        <f>+M1606-F1606</f>
        <v>-1.6400000000000006</v>
      </c>
      <c r="R1606" s="9"/>
    </row>
    <row r="1607" spans="1:18" x14ac:dyDescent="0.25">
      <c r="A1607" s="9" t="s">
        <v>218</v>
      </c>
      <c r="B1607" s="9">
        <f>ROW() - ROW(TablaCosechas[[#Headers],[ID]]) - 4</f>
        <v>1602</v>
      </c>
      <c r="C1607" s="9" t="str">
        <f>LEFT(A1607,2)</f>
        <v>TU</v>
      </c>
      <c r="D1607" s="182" t="s">
        <v>367</v>
      </c>
      <c r="E1607" s="178">
        <v>5400</v>
      </c>
      <c r="F1607" s="19">
        <v>14</v>
      </c>
      <c r="G1607" s="195">
        <v>46128</v>
      </c>
      <c r="H1607" s="9" t="str">
        <f>VLOOKUP(TablaCosechas[[#This Row],[COD]],DATOS!$E$3:$F$27,2,0)</f>
        <v>TUNA</v>
      </c>
      <c r="I1607" s="9" t="str">
        <f>RIGHT(TablaCosechas[[#This Row],[SECTOR/PISCINA]],2)</f>
        <v>06</v>
      </c>
      <c r="J1607" s="9" t="str">
        <f>VLOOKUP(TablaCosechas[[#This Row],[COD]],Tabla7[#All],4,0)</f>
        <v>GUSTAVO CARRASCO</v>
      </c>
      <c r="K1607" s="179">
        <f>(TablaCosechas[[#This Row],[libras planta]]*454)/M1607</f>
        <v>158226.95048309179</v>
      </c>
      <c r="L1607" s="215">
        <v>5771.45</v>
      </c>
      <c r="M1607" s="205">
        <v>16.559999999999999</v>
      </c>
      <c r="N1607" s="9" t="str">
        <f>UPPER(TEXT(TablaCosechas[[#This Row],[COSECHA]],"MMMM"))</f>
        <v>ABRIL</v>
      </c>
      <c r="O1607" s="9" t="str">
        <f>IF(A1607="DO 29","BAP",IF(A1607="RO 14","BAP",(VLOOKUP(TablaCosechas[[#This Row],[COD]],Tabla7[[CODIGO]:[CERTIFICACION]],3,0))))</f>
        <v>ASC</v>
      </c>
      <c r="P1607" s="180">
        <f>+L1607-E1607</f>
        <v>371.44999999999982</v>
      </c>
      <c r="Q1607" s="181">
        <f>+M1607-F1607</f>
        <v>2.5599999999999987</v>
      </c>
      <c r="R1607" s="9"/>
    </row>
    <row r="1608" spans="1:18" x14ac:dyDescent="0.25">
      <c r="A1608" s="9" t="s">
        <v>239</v>
      </c>
      <c r="B1608" s="9">
        <f>ROW() - ROW(TablaCosechas[[#Headers],[ID]]) - 4</f>
        <v>1603</v>
      </c>
      <c r="C1608" s="9" t="str">
        <f>LEFT(A1608,2)</f>
        <v>TA</v>
      </c>
      <c r="D1608" s="182" t="s">
        <v>367</v>
      </c>
      <c r="E1608" s="178">
        <v>16000</v>
      </c>
      <c r="F1608" s="19">
        <v>18</v>
      </c>
      <c r="G1608" s="195">
        <v>46128</v>
      </c>
      <c r="H1608" s="9" t="str">
        <f>VLOOKUP(TablaCosechas[[#This Row],[COD]],DATOS!$E$3:$F$27,2,0)</f>
        <v>TAMBULERO</v>
      </c>
      <c r="I1608" s="9" t="str">
        <f>RIGHT(TablaCosechas[[#This Row],[SECTOR/PISCINA]],2)</f>
        <v>7A</v>
      </c>
      <c r="J1608" s="9" t="str">
        <f>VLOOKUP(TablaCosechas[[#This Row],[COD]],Tabla7[#All],4,0)</f>
        <v>ALFONSO GRUNAUER</v>
      </c>
      <c r="K1608" s="179">
        <f>(TablaCosechas[[#This Row],[libras planta]]*454)/M1608</f>
        <v>433922.62606837606</v>
      </c>
      <c r="L1608" s="215">
        <v>17892.14</v>
      </c>
      <c r="M1608" s="205">
        <v>18.72</v>
      </c>
      <c r="N1608" s="9" t="str">
        <f>UPPER(TEXT(TablaCosechas[[#This Row],[COSECHA]],"MMMM"))</f>
        <v>ABRIL</v>
      </c>
      <c r="O1608" s="9" t="str">
        <f>IF(A1608="DO 29","BAP",IF(A1608="RO 14","BAP",(VLOOKUP(TablaCosechas[[#This Row],[COD]],Tabla7[[CODIGO]:[CERTIFICACION]],3,0))))</f>
        <v>CONVENCIONAL</v>
      </c>
      <c r="P1608" s="180">
        <f>+L1608-E1608</f>
        <v>1892.1399999999994</v>
      </c>
      <c r="Q1608" s="181">
        <f>+M1608-F1608</f>
        <v>0.71999999999999886</v>
      </c>
      <c r="R1608" s="9"/>
    </row>
    <row r="1609" spans="1:18" x14ac:dyDescent="0.25">
      <c r="A1609" s="9" t="s">
        <v>181</v>
      </c>
      <c r="B1609" s="9">
        <f>ROW() - ROW(TablaCosechas[[#Headers],[ID]]) - 4</f>
        <v>1604</v>
      </c>
      <c r="C1609" s="9" t="str">
        <f>LEFT(A1609,2)</f>
        <v>TA</v>
      </c>
      <c r="D1609" s="182" t="s">
        <v>366</v>
      </c>
      <c r="E1609" s="178">
        <v>31150</v>
      </c>
      <c r="F1609" s="19">
        <v>36</v>
      </c>
      <c r="G1609" s="195">
        <v>46128</v>
      </c>
      <c r="H1609" s="9" t="str">
        <f>VLOOKUP(TablaCosechas[[#This Row],[COD]],DATOS!$E$3:$F$27,2,0)</f>
        <v>TAMBULERO</v>
      </c>
      <c r="I1609" s="9" t="str">
        <f>RIGHT(TablaCosechas[[#This Row],[SECTOR/PISCINA]],2)</f>
        <v>10</v>
      </c>
      <c r="J1609" s="9" t="str">
        <f>VLOOKUP(TablaCosechas[[#This Row],[COD]],Tabla7[#All],4,0)</f>
        <v>ALFONSO GRUNAUER</v>
      </c>
      <c r="K1609" s="179">
        <f>(TablaCosechas[[#This Row],[libras planta]]*454)/M1609</f>
        <v>391609.874301676</v>
      </c>
      <c r="L1609" s="215">
        <v>30880.25</v>
      </c>
      <c r="M1609" s="205">
        <v>35.799999999999997</v>
      </c>
      <c r="N1609" s="9" t="str">
        <f>UPPER(TEXT(TablaCosechas[[#This Row],[COSECHA]],"MMMM"))</f>
        <v>ABRIL</v>
      </c>
      <c r="O1609" s="9" t="str">
        <f>IF(A1609="DO 29","BAP",IF(A1609="RO 14","BAP",(VLOOKUP(TablaCosechas[[#This Row],[COD]],Tabla7[[CODIGO]:[CERTIFICACION]],3,0))))</f>
        <v>CONVENCIONAL</v>
      </c>
      <c r="P1609" s="180">
        <f>+L1609-E1609</f>
        <v>-269.75</v>
      </c>
      <c r="Q1609" s="181">
        <f>+M1609-F1609</f>
        <v>-0.20000000000000284</v>
      </c>
      <c r="R1609" s="9"/>
    </row>
    <row r="1610" spans="1:18" x14ac:dyDescent="0.25">
      <c r="A1610" s="9" t="s">
        <v>146</v>
      </c>
      <c r="B1610" s="9">
        <f>ROW() - ROW(TablaCosechas[[#Headers],[ID]]) - 4</f>
        <v>1605</v>
      </c>
      <c r="C1610" s="9" t="str">
        <f>LEFT(A1610,2)</f>
        <v>PR</v>
      </c>
      <c r="D1610" s="182" t="s">
        <v>366</v>
      </c>
      <c r="E1610" s="178">
        <v>20200</v>
      </c>
      <c r="F1610" s="19">
        <v>32</v>
      </c>
      <c r="G1610" s="195">
        <v>46128</v>
      </c>
      <c r="H1610" s="9" t="str">
        <f>VLOOKUP(TablaCosechas[[#This Row],[COD]],DATOS!$E$3:$F$27,2,0)</f>
        <v>PARGO ROJO</v>
      </c>
      <c r="I1610" s="9" t="str">
        <f>RIGHT(TablaCosechas[[#This Row],[SECTOR/PISCINA]],2)</f>
        <v>29</v>
      </c>
      <c r="J1610" s="9" t="str">
        <f>VLOOKUP(TablaCosechas[[#This Row],[COD]],Tabla7[#All],4,0)</f>
        <v>WILMER TORRES</v>
      </c>
      <c r="K1610" s="179">
        <f>(TablaCosechas[[#This Row],[libras planta]]*454)/M1610</f>
        <v>327941.48129032255</v>
      </c>
      <c r="L1610" s="215">
        <v>22392.48</v>
      </c>
      <c r="M1610" s="205">
        <v>31</v>
      </c>
      <c r="N1610" s="9" t="str">
        <f>UPPER(TEXT(TablaCosechas[[#This Row],[COSECHA]],"MMMM"))</f>
        <v>ABRIL</v>
      </c>
      <c r="O1610" s="9" t="str">
        <f>IF(A1610="DO 29","BAP",IF(A1610="RO 14","BAP",(VLOOKUP(TablaCosechas[[#This Row],[COD]],Tabla7[[CODIGO]:[CERTIFICACION]],3,0))))</f>
        <v>CONVENCIONAL</v>
      </c>
      <c r="P1610" s="180">
        <f>+L1610-E1610</f>
        <v>2192.4799999999996</v>
      </c>
      <c r="Q1610" s="181">
        <f>+M1610-F1610</f>
        <v>-1</v>
      </c>
      <c r="R1610" s="9"/>
    </row>
    <row r="1611" spans="1:18" x14ac:dyDescent="0.25">
      <c r="A1611" s="9" t="s">
        <v>244</v>
      </c>
      <c r="B1611" s="9">
        <f>ROW() - ROW(TablaCosechas[[#Headers],[ID]]) - 4</f>
        <v>1606</v>
      </c>
      <c r="C1611" s="9" t="str">
        <f>LEFT(A1611,2)</f>
        <v>PA</v>
      </c>
      <c r="D1611" s="182" t="s">
        <v>367</v>
      </c>
      <c r="E1611" s="178">
        <v>6200</v>
      </c>
      <c r="F1611" s="19">
        <v>16</v>
      </c>
      <c r="G1611" s="195">
        <v>46128</v>
      </c>
      <c r="H1611" s="9" t="str">
        <f>VLOOKUP(TablaCosechas[[#This Row],[COD]],DATOS!$E$3:$F$27,2,0)</f>
        <v>PAMPANO</v>
      </c>
      <c r="I1611" s="9" t="str">
        <f>RIGHT(TablaCosechas[[#This Row],[SECTOR/PISCINA]],2)</f>
        <v>03</v>
      </c>
      <c r="J1611" s="9" t="str">
        <f>VLOOKUP(TablaCosechas[[#This Row],[COD]],Tabla7[#All],4,0)</f>
        <v>GUSTAVO CARRASCO</v>
      </c>
      <c r="K1611" s="179">
        <f>(TablaCosechas[[#This Row],[libras planta]]*454)/M1611</f>
        <v>157459.59462254395</v>
      </c>
      <c r="L1611" s="215">
        <v>6707.64</v>
      </c>
      <c r="M1611" s="205">
        <v>19.34</v>
      </c>
      <c r="N1611" s="9" t="str">
        <f>UPPER(TEXT(TablaCosechas[[#This Row],[COSECHA]],"MMMM"))</f>
        <v>ABRIL</v>
      </c>
      <c r="O1611" s="9" t="str">
        <f>IF(A1611="DO 29","BAP",IF(A1611="RO 14","BAP",(VLOOKUP(TablaCosechas[[#This Row],[COD]],Tabla7[[CODIGO]:[CERTIFICACION]],3,0))))</f>
        <v>ASC</v>
      </c>
      <c r="P1611" s="180">
        <f>+L1611-E1611</f>
        <v>507.64000000000033</v>
      </c>
      <c r="Q1611" s="181">
        <f>+M1611-F1611</f>
        <v>3.34</v>
      </c>
      <c r="R1611" s="9"/>
    </row>
    <row r="1612" spans="1:18" x14ac:dyDescent="0.25">
      <c r="A1612" s="9" t="s">
        <v>148</v>
      </c>
      <c r="B1612" s="9">
        <f>ROW() - ROW(TablaCosechas[[#Headers],[ID]]) - 4</f>
        <v>1607</v>
      </c>
      <c r="C1612" s="9" t="str">
        <f>LEFT(A1612,2)</f>
        <v>GT</v>
      </c>
      <c r="D1612" s="182" t="s">
        <v>366</v>
      </c>
      <c r="E1612" s="178">
        <v>20500</v>
      </c>
      <c r="F1612" s="19">
        <v>30</v>
      </c>
      <c r="G1612" s="195">
        <v>46128</v>
      </c>
      <c r="H1612" s="9" t="str">
        <f>VLOOKUP(TablaCosechas[[#This Row],[COD]],DATOS!$E$3:$F$27,2,0)</f>
        <v>GUATO</v>
      </c>
      <c r="I1612" s="9" t="str">
        <f>RIGHT(TablaCosechas[[#This Row],[SECTOR/PISCINA]],2)</f>
        <v>07</v>
      </c>
      <c r="J1612" s="9" t="str">
        <f>VLOOKUP(TablaCosechas[[#This Row],[COD]],Tabla7[#All],4,0)</f>
        <v>JULIO SANTOS</v>
      </c>
      <c r="K1612" s="179">
        <f>(TablaCosechas[[#This Row],[libras planta]]*454)/M1612</f>
        <v>332691.46584255045</v>
      </c>
      <c r="L1612" s="215">
        <v>22526.29</v>
      </c>
      <c r="M1612" s="205">
        <v>30.74</v>
      </c>
      <c r="N1612" s="9" t="str">
        <f>UPPER(TEXT(TablaCosechas[[#This Row],[COSECHA]],"MMMM"))</f>
        <v>ABRIL</v>
      </c>
      <c r="O1612" s="9" t="str">
        <f>IF(A1612="DO 29","BAP",IF(A1612="RO 14","BAP",(VLOOKUP(TablaCosechas[[#This Row],[COD]],Tabla7[[CODIGO]:[CERTIFICACION]],3,0))))</f>
        <v>CONVENCIONAL</v>
      </c>
      <c r="P1612" s="180">
        <f>+L1612-E1612</f>
        <v>2026.2900000000009</v>
      </c>
      <c r="Q1612" s="181">
        <f>+M1612-F1612</f>
        <v>0.73999999999999844</v>
      </c>
      <c r="R1612" s="9"/>
    </row>
    <row r="1613" spans="1:18" x14ac:dyDescent="0.25">
      <c r="A1613" s="9" t="s">
        <v>137</v>
      </c>
      <c r="B1613" s="9">
        <f>ROW() - ROW(TablaCosechas[[#Headers],[ID]]) - 4</f>
        <v>1608</v>
      </c>
      <c r="C1613" s="9" t="str">
        <f>LEFT(A1613,2)</f>
        <v>DO</v>
      </c>
      <c r="D1613" s="182" t="s">
        <v>367</v>
      </c>
      <c r="E1613" s="178">
        <v>25200</v>
      </c>
      <c r="F1613" s="19">
        <v>36</v>
      </c>
      <c r="G1613" s="195">
        <v>46128</v>
      </c>
      <c r="H1613" s="9" t="str">
        <f>VLOOKUP(TablaCosechas[[#This Row],[COD]],DATOS!$E$3:$F$27,2,0)</f>
        <v>DORADO</v>
      </c>
      <c r="I1613" s="9" t="str">
        <f>RIGHT(TablaCosechas[[#This Row],[SECTOR/PISCINA]],2)</f>
        <v>20</v>
      </c>
      <c r="J1613" s="9" t="str">
        <f>VLOOKUP(TablaCosechas[[#This Row],[COD]],Tabla7[#All],4,0)</f>
        <v>JOSE CEDEÑO</v>
      </c>
      <c r="K1613" s="179">
        <f>(TablaCosechas[[#This Row],[libras planta]]*454)/M1613</f>
        <v>288425.64339019189</v>
      </c>
      <c r="L1613" s="215">
        <v>23836.41</v>
      </c>
      <c r="M1613" s="205">
        <v>37.520000000000003</v>
      </c>
      <c r="N1613" s="9" t="str">
        <f>UPPER(TEXT(TablaCosechas[[#This Row],[COSECHA]],"MMMM"))</f>
        <v>ABRIL</v>
      </c>
      <c r="O1613" s="9" t="str">
        <f>IF(A1613="DO 29","BAP",IF(A1613="RO 14","BAP",(VLOOKUP(TablaCosechas[[#This Row],[COD]],Tabla7[[CODIGO]:[CERTIFICACION]],3,0))))</f>
        <v>ASC</v>
      </c>
      <c r="P1613" s="180">
        <f>+L1613-E1613</f>
        <v>-1363.5900000000001</v>
      </c>
      <c r="Q1613" s="181">
        <f>+M1613-F1613</f>
        <v>1.5200000000000031</v>
      </c>
      <c r="R1613" s="9"/>
    </row>
    <row r="1614" spans="1:18" x14ac:dyDescent="0.25">
      <c r="A1614" s="9" t="s">
        <v>253</v>
      </c>
      <c r="B1614" s="9">
        <f>ROW() - ROW(TablaCosechas[[#Headers],[ID]]) - 4</f>
        <v>1609</v>
      </c>
      <c r="C1614" s="9" t="str">
        <f>LEFT(A1614,2)</f>
        <v>DO</v>
      </c>
      <c r="D1614" s="182" t="s">
        <v>367</v>
      </c>
      <c r="E1614" s="178">
        <v>5700</v>
      </c>
      <c r="F1614" s="19">
        <v>19</v>
      </c>
      <c r="G1614" s="195">
        <v>46128</v>
      </c>
      <c r="H1614" s="9" t="str">
        <f>VLOOKUP(TablaCosechas[[#This Row],[COD]],DATOS!$E$3:$F$27,2,0)</f>
        <v>DORADO</v>
      </c>
      <c r="I1614" s="9" t="str">
        <f>RIGHT(TablaCosechas[[#This Row],[SECTOR/PISCINA]],2)</f>
        <v>16</v>
      </c>
      <c r="J1614" s="9" t="str">
        <f>VLOOKUP(TablaCosechas[[#This Row],[COD]],Tabla7[#All],4,0)</f>
        <v>JOSE CEDEÑO</v>
      </c>
      <c r="K1614" s="179">
        <f>(TablaCosechas[[#This Row],[libras planta]]*454)/M1614</f>
        <v>100127.41366906476</v>
      </c>
      <c r="L1614" s="215">
        <v>4904.92</v>
      </c>
      <c r="M1614" s="205">
        <v>22.24</v>
      </c>
      <c r="N1614" s="9" t="str">
        <f>UPPER(TEXT(TablaCosechas[[#This Row],[COSECHA]],"MMMM"))</f>
        <v>ABRIL</v>
      </c>
      <c r="O1614" s="9" t="str">
        <f>IF(A1614="DO 29","BAP",IF(A1614="RO 14","BAP",(VLOOKUP(TablaCosechas[[#This Row],[COD]],Tabla7[[CODIGO]:[CERTIFICACION]],3,0))))</f>
        <v>ASC</v>
      </c>
      <c r="P1614" s="180">
        <f>+L1614-E1614</f>
        <v>-795.07999999999993</v>
      </c>
      <c r="Q1614" s="181">
        <f>+M1614-F1614</f>
        <v>3.2399999999999984</v>
      </c>
      <c r="R1614" s="9"/>
    </row>
    <row r="1615" spans="1:18" x14ac:dyDescent="0.25">
      <c r="A1615" s="9" t="s">
        <v>208</v>
      </c>
      <c r="B1615" s="9">
        <f>ROW() - ROW(TablaCosechas[[#Headers],[ID]]) - 4</f>
        <v>1610</v>
      </c>
      <c r="C1615" s="9" t="str">
        <f>LEFT(A1615,2)</f>
        <v>DO</v>
      </c>
      <c r="D1615" s="182" t="s">
        <v>367</v>
      </c>
      <c r="E1615" s="178">
        <v>15000</v>
      </c>
      <c r="F1615" s="19">
        <v>28</v>
      </c>
      <c r="G1615" s="195">
        <v>46128</v>
      </c>
      <c r="H1615" s="9" t="str">
        <f>VLOOKUP(TablaCosechas[[#This Row],[COD]],DATOS!$E$3:$F$27,2,0)</f>
        <v>DORADO</v>
      </c>
      <c r="I1615" s="9" t="str">
        <f>RIGHT(TablaCosechas[[#This Row],[SECTOR/PISCINA]],2)</f>
        <v>04</v>
      </c>
      <c r="J1615" s="9" t="str">
        <f>VLOOKUP(TablaCosechas[[#This Row],[COD]],Tabla7[#All],4,0)</f>
        <v>JOSE CEDEÑO</v>
      </c>
      <c r="K1615" s="179">
        <f>(TablaCosechas[[#This Row],[libras planta]]*454)/M1615</f>
        <v>265938.23115942028</v>
      </c>
      <c r="L1615" s="215">
        <v>16167.17</v>
      </c>
      <c r="M1615" s="205">
        <v>27.6</v>
      </c>
      <c r="N1615" s="9" t="str">
        <f>UPPER(TEXT(TablaCosechas[[#This Row],[COSECHA]],"MMMM"))</f>
        <v>ABRIL</v>
      </c>
      <c r="O1615" s="9" t="str">
        <f>IF(A1615="DO 29","BAP",IF(A1615="RO 14","BAP",(VLOOKUP(TablaCosechas[[#This Row],[COD]],Tabla7[[CODIGO]:[CERTIFICACION]],3,0))))</f>
        <v>ASC</v>
      </c>
      <c r="P1615" s="180">
        <f>+L1615-E1615</f>
        <v>1167.17</v>
      </c>
      <c r="Q1615" s="181">
        <f>+M1615-F1615</f>
        <v>-0.39999999999999858</v>
      </c>
      <c r="R1615" s="9"/>
    </row>
    <row r="1616" spans="1:18" x14ac:dyDescent="0.25">
      <c r="A1616" s="9" t="s">
        <v>19</v>
      </c>
      <c r="B1616" s="9">
        <f>ROW() - ROW(TablaCosechas[[#Headers],[ID]]) - 4</f>
        <v>1611</v>
      </c>
      <c r="C1616" s="9" t="str">
        <f>LEFT(A1616,2)</f>
        <v>CH</v>
      </c>
      <c r="D1616" s="182" t="s">
        <v>367</v>
      </c>
      <c r="E1616" s="178">
        <v>7800</v>
      </c>
      <c r="F1616" s="19">
        <v>17.5</v>
      </c>
      <c r="G1616" s="195">
        <v>46128</v>
      </c>
      <c r="H1616" s="9" t="str">
        <f>VLOOKUP(TablaCosechas[[#This Row],[COD]],DATOS!$E$3:$F$27,2,0)</f>
        <v>CHERNA</v>
      </c>
      <c r="I1616" s="9" t="str">
        <f>RIGHT(TablaCosechas[[#This Row],[SECTOR/PISCINA]],2)</f>
        <v>13</v>
      </c>
      <c r="J1616" s="9" t="str">
        <f>VLOOKUP(TablaCosechas[[#This Row],[COD]],Tabla7[#All],4,0)</f>
        <v>SANTIAGO OBRIEN</v>
      </c>
      <c r="K1616" s="179">
        <f>(TablaCosechas[[#This Row],[libras planta]]*454)/M1616</f>
        <v>183716.61568247821</v>
      </c>
      <c r="L1616" s="215">
        <v>8360.32</v>
      </c>
      <c r="M1616" s="205">
        <v>20.66</v>
      </c>
      <c r="N1616" s="9" t="str">
        <f>UPPER(TEXT(TablaCosechas[[#This Row],[COSECHA]],"MMMM"))</f>
        <v>ABRIL</v>
      </c>
      <c r="O1616" s="9" t="str">
        <f>IF(A1616="DO 29","BAP",IF(A1616="RO 14","BAP",(VLOOKUP(TablaCosechas[[#This Row],[COD]],Tabla7[[CODIGO]:[CERTIFICACION]],3,0))))</f>
        <v>ASC</v>
      </c>
      <c r="P1616" s="180">
        <f>+L1616-E1616</f>
        <v>560.31999999999971</v>
      </c>
      <c r="Q1616" s="181">
        <f>+M1616-F1616</f>
        <v>3.16</v>
      </c>
      <c r="R1616" s="9"/>
    </row>
    <row r="1617" spans="1:18" x14ac:dyDescent="0.25">
      <c r="A1617" s="9" t="s">
        <v>212</v>
      </c>
      <c r="B1617" s="9">
        <f>ROW() - ROW(TablaCosechas[[#Headers],[ID]]) - 4</f>
        <v>1612</v>
      </c>
      <c r="C1617" s="9" t="str">
        <f>LEFT(A1617,2)</f>
        <v>CA</v>
      </c>
      <c r="D1617" s="182" t="s">
        <v>367</v>
      </c>
      <c r="E1617" s="178">
        <v>12000</v>
      </c>
      <c r="F1617" s="19">
        <v>19</v>
      </c>
      <c r="G1617" s="195">
        <v>46128</v>
      </c>
      <c r="H1617" s="9" t="str">
        <f>VLOOKUP(TablaCosechas[[#This Row],[COD]],DATOS!$E$3:$F$27,2,0)</f>
        <v>CATANUDA</v>
      </c>
      <c r="I1617" s="9" t="str">
        <f>RIGHT(TablaCosechas[[#This Row],[SECTOR/PISCINA]],2)</f>
        <v>09</v>
      </c>
      <c r="J1617" s="9" t="str">
        <f>VLOOKUP(TablaCosechas[[#This Row],[COD]],Tabla7[#All],4,0)</f>
        <v>VICTOR QUINTANA</v>
      </c>
      <c r="K1617" s="179">
        <f>(TablaCosechas[[#This Row],[libras planta]]*454)/M1617</f>
        <v>261829.12006861065</v>
      </c>
      <c r="L1617" s="215">
        <v>13449.02</v>
      </c>
      <c r="M1617" s="205">
        <v>23.32</v>
      </c>
      <c r="N1617" s="9" t="str">
        <f>UPPER(TEXT(TablaCosechas[[#This Row],[COSECHA]],"MMMM"))</f>
        <v>ABRIL</v>
      </c>
      <c r="O1617" s="9" t="str">
        <f>IF(A1617="DO 29","BAP",IF(A1617="RO 14","BAP",(VLOOKUP(TablaCosechas[[#This Row],[COD]],Tabla7[[CODIGO]:[CERTIFICACION]],3,0))))</f>
        <v>ASC</v>
      </c>
      <c r="P1617" s="180">
        <f>+L1617-E1617</f>
        <v>1449.0200000000004</v>
      </c>
      <c r="Q1617" s="181">
        <f>+M1617-F1617</f>
        <v>4.32</v>
      </c>
      <c r="R1617" s="9"/>
    </row>
    <row r="1618" spans="1:18" x14ac:dyDescent="0.25">
      <c r="A1618" s="9" t="s">
        <v>338</v>
      </c>
      <c r="B1618" s="9">
        <f>ROW() - ROW(TablaCosechas[[#Headers],[ID]]) - 4</f>
        <v>1613</v>
      </c>
      <c r="C1618" s="9" t="str">
        <f>LEFT(A1618,2)</f>
        <v>WA</v>
      </c>
      <c r="D1618" s="182" t="s">
        <v>366</v>
      </c>
      <c r="E1618" s="178">
        <v>11850</v>
      </c>
      <c r="F1618" s="19">
        <v>32</v>
      </c>
      <c r="G1618" s="195">
        <v>46129</v>
      </c>
      <c r="H1618" s="9" t="str">
        <f>VLOOKUP(TablaCosechas[[#This Row],[COD]],DATOS!$E$3:$F$27,2,0)</f>
        <v>WAHOO</v>
      </c>
      <c r="I1618" s="9" t="str">
        <f>RIGHT(TablaCosechas[[#This Row],[SECTOR/PISCINA]],2)</f>
        <v>07</v>
      </c>
      <c r="J1618" s="9" t="str">
        <f>VLOOKUP(TablaCosechas[[#This Row],[COD]],Tabla7[#All],4,0)</f>
        <v>JUNIOR ESQUIVEL</v>
      </c>
      <c r="K1618" s="179">
        <f>(TablaCosechas[[#This Row],[libras planta]]*454)/M1618</f>
        <v>206496.12153950034</v>
      </c>
      <c r="L1618" s="215">
        <v>13472.28</v>
      </c>
      <c r="M1618" s="19">
        <v>29.62</v>
      </c>
      <c r="N1618" s="9" t="str">
        <f>UPPER(TEXT(TablaCosechas[[#This Row],[COSECHA]],"MMMM"))</f>
        <v>ABRIL</v>
      </c>
      <c r="O1618" s="9" t="str">
        <f>IF(A1618="DO 29","BAP",IF(A1618="RO 14","BAP",(VLOOKUP(TablaCosechas[[#This Row],[COD]],Tabla7[[CODIGO]:[CERTIFICACION]],3,0))))</f>
        <v>CONVENCIONAL</v>
      </c>
      <c r="P1618" s="180">
        <f>+L1618-E1618</f>
        <v>1622.2800000000007</v>
      </c>
      <c r="Q1618" s="49">
        <f>+M1618-F1618</f>
        <v>-2.379999999999999</v>
      </c>
      <c r="R1618" s="9"/>
    </row>
    <row r="1619" spans="1:18" x14ac:dyDescent="0.25">
      <c r="A1619" s="9" t="s">
        <v>185</v>
      </c>
      <c r="B1619" s="9">
        <f>ROW() - ROW(TablaCosechas[[#Headers],[ID]]) - 4</f>
        <v>1614</v>
      </c>
      <c r="C1619" s="9" t="str">
        <f>LEFT(A1619,2)</f>
        <v>TU</v>
      </c>
      <c r="D1619" s="182" t="s">
        <v>367</v>
      </c>
      <c r="E1619" s="178">
        <v>9900</v>
      </c>
      <c r="F1619" s="19">
        <v>23</v>
      </c>
      <c r="G1619" s="195">
        <v>46129</v>
      </c>
      <c r="H1619" s="9" t="str">
        <f>VLOOKUP(TablaCosechas[[#This Row],[COD]],DATOS!$E$3:$F$27,2,0)</f>
        <v>TUNA</v>
      </c>
      <c r="I1619" s="9" t="str">
        <f>RIGHT(TablaCosechas[[#This Row],[SECTOR/PISCINA]],2)</f>
        <v>4A</v>
      </c>
      <c r="J1619" s="9" t="str">
        <f>VLOOKUP(TablaCosechas[[#This Row],[COD]],Tabla7[#All],4,0)</f>
        <v>GUSTAVO CARRASCO</v>
      </c>
      <c r="K1619" s="179">
        <f>(TablaCosechas[[#This Row],[libras planta]]*454)/M1619</f>
        <v>192996.30799999996</v>
      </c>
      <c r="L1619" s="215">
        <v>10627.55</v>
      </c>
      <c r="M1619" s="19">
        <v>25</v>
      </c>
      <c r="N1619" s="9" t="str">
        <f>UPPER(TEXT(TablaCosechas[[#This Row],[COSECHA]],"MMMM"))</f>
        <v>ABRIL</v>
      </c>
      <c r="O1619" s="9" t="str">
        <f>IF(A1619="DO 29","BAP",IF(A1619="RO 14","BAP",(VLOOKUP(TablaCosechas[[#This Row],[COD]],Tabla7[[CODIGO]:[CERTIFICACION]],3,0))))</f>
        <v>ASC</v>
      </c>
      <c r="P1619" s="180">
        <f>+L1619-E1619</f>
        <v>727.54999999999927</v>
      </c>
      <c r="Q1619" s="49">
        <f>+M1619-F1619</f>
        <v>2</v>
      </c>
      <c r="R1619" s="9"/>
    </row>
    <row r="1620" spans="1:18" x14ac:dyDescent="0.25">
      <c r="A1620" s="9" t="s">
        <v>232</v>
      </c>
      <c r="B1620" s="9">
        <f>ROW() - ROW(TablaCosechas[[#Headers],[ID]]) - 4</f>
        <v>1615</v>
      </c>
      <c r="C1620" s="9" t="str">
        <f>LEFT(A1620,2)</f>
        <v>TI</v>
      </c>
      <c r="D1620" s="182" t="s">
        <v>367</v>
      </c>
      <c r="E1620" s="178">
        <v>9400</v>
      </c>
      <c r="F1620" s="19">
        <v>21.1</v>
      </c>
      <c r="G1620" s="195">
        <v>46129</v>
      </c>
      <c r="H1620" s="9" t="str">
        <f>VLOOKUP(TablaCosechas[[#This Row],[COD]],DATOS!$E$3:$F$27,2,0)</f>
        <v>TIBURON</v>
      </c>
      <c r="I1620" s="9" t="str">
        <f>RIGHT(TablaCosechas[[#This Row],[SECTOR/PISCINA]],2)</f>
        <v>09</v>
      </c>
      <c r="J1620" s="9" t="str">
        <f>VLOOKUP(TablaCosechas[[#This Row],[COD]],Tabla7[#All],4,0)</f>
        <v>ALFONSO GRUNAUER</v>
      </c>
      <c r="K1620" s="179">
        <f>(TablaCosechas[[#This Row],[libras planta]]*454)/M1620</f>
        <v>212882.3061411549</v>
      </c>
      <c r="L1620" s="215">
        <v>10231.48</v>
      </c>
      <c r="M1620" s="19">
        <v>21.82</v>
      </c>
      <c r="N1620" s="9" t="str">
        <f>UPPER(TEXT(TablaCosechas[[#This Row],[COSECHA]],"MMMM"))</f>
        <v>ABRIL</v>
      </c>
      <c r="O1620" s="9" t="str">
        <f>IF(A1620="DO 29","BAP",IF(A1620="RO 14","BAP",(VLOOKUP(TablaCosechas[[#This Row],[COD]],Tabla7[[CODIGO]:[CERTIFICACION]],3,0))))</f>
        <v>ASC</v>
      </c>
      <c r="P1620" s="180">
        <f>+L1620-E1620</f>
        <v>831.47999999999956</v>
      </c>
      <c r="Q1620" s="49">
        <f>+M1620-F1620</f>
        <v>0.71999999999999886</v>
      </c>
      <c r="R1620" s="9"/>
    </row>
    <row r="1621" spans="1:18" x14ac:dyDescent="0.25">
      <c r="A1621" s="9" t="s">
        <v>237</v>
      </c>
      <c r="B1621" s="9">
        <f>ROW() - ROW(TablaCosechas[[#Headers],[ID]]) - 4</f>
        <v>1616</v>
      </c>
      <c r="C1621" s="9" t="str">
        <f>LEFT(A1621,2)</f>
        <v>TI</v>
      </c>
      <c r="D1621" s="182" t="s">
        <v>367</v>
      </c>
      <c r="E1621" s="178">
        <v>7600</v>
      </c>
      <c r="F1621" s="19">
        <v>25</v>
      </c>
      <c r="G1621" s="195">
        <v>46129</v>
      </c>
      <c r="H1621" s="9" t="str">
        <f>VLOOKUP(TablaCosechas[[#This Row],[COD]],DATOS!$E$3:$F$27,2,0)</f>
        <v>TIBURON</v>
      </c>
      <c r="I1621" s="9" t="str">
        <f>RIGHT(TablaCosechas[[#This Row],[SECTOR/PISCINA]],2)</f>
        <v>08</v>
      </c>
      <c r="J1621" s="9" t="str">
        <f>VLOOKUP(TablaCosechas[[#This Row],[COD]],Tabla7[#All],4,0)</f>
        <v>ALFONSO GRUNAUER</v>
      </c>
      <c r="K1621" s="179">
        <f>(TablaCosechas[[#This Row],[libras planta]]*454)/M1621</f>
        <v>143989.28925619833</v>
      </c>
      <c r="L1621" s="215">
        <v>8442.7199999999993</v>
      </c>
      <c r="M1621" s="19">
        <v>26.62</v>
      </c>
      <c r="N1621" s="9" t="str">
        <f>UPPER(TEXT(TablaCosechas[[#This Row],[COSECHA]],"MMMM"))</f>
        <v>ABRIL</v>
      </c>
      <c r="O1621" s="9" t="str">
        <f>IF(A1621="DO 29","BAP",IF(A1621="RO 14","BAP",(VLOOKUP(TablaCosechas[[#This Row],[COD]],Tabla7[[CODIGO]:[CERTIFICACION]],3,0))))</f>
        <v>ASC</v>
      </c>
      <c r="P1621" s="180">
        <f>+L1621-E1621</f>
        <v>842.71999999999935</v>
      </c>
      <c r="Q1621" s="49">
        <f>+M1621-F1621</f>
        <v>1.620000000000001</v>
      </c>
      <c r="R1621" s="9"/>
    </row>
    <row r="1622" spans="1:18" x14ac:dyDescent="0.25">
      <c r="A1622" s="9" t="s">
        <v>173</v>
      </c>
      <c r="B1622" s="9">
        <f>ROW() - ROW(TablaCosechas[[#Headers],[ID]]) - 4</f>
        <v>1617</v>
      </c>
      <c r="C1622" s="9" t="str">
        <f>LEFT(A1622,2)</f>
        <v>TI</v>
      </c>
      <c r="D1622" s="182" t="s">
        <v>366</v>
      </c>
      <c r="E1622" s="178">
        <v>37500</v>
      </c>
      <c r="F1622" s="19">
        <v>30</v>
      </c>
      <c r="G1622" s="195">
        <v>46129</v>
      </c>
      <c r="H1622" s="9" t="str">
        <f>VLOOKUP(TablaCosechas[[#This Row],[COD]],DATOS!$E$3:$F$27,2,0)</f>
        <v>TIBURON</v>
      </c>
      <c r="I1622" s="9" t="str">
        <f>RIGHT(TablaCosechas[[#This Row],[SECTOR/PISCINA]],2)</f>
        <v>01</v>
      </c>
      <c r="J1622" s="9" t="str">
        <f>VLOOKUP(TablaCosechas[[#This Row],[COD]],Tabla7[#All],4,0)</f>
        <v>ALFONSO GRUNAUER</v>
      </c>
      <c r="K1622" s="179">
        <f>(TablaCosechas[[#This Row],[libras planta]]*454)/M1622</f>
        <v>564315.27518104017</v>
      </c>
      <c r="L1622" s="215">
        <v>37761.89</v>
      </c>
      <c r="M1622" s="19">
        <v>30.38</v>
      </c>
      <c r="N1622" s="9" t="str">
        <f>UPPER(TEXT(TablaCosechas[[#This Row],[COSECHA]],"MMMM"))</f>
        <v>ABRIL</v>
      </c>
      <c r="O1622" s="9" t="str">
        <f>IF(A1622="DO 29","BAP",IF(A1622="RO 14","BAP",(VLOOKUP(TablaCosechas[[#This Row],[COD]],Tabla7[[CODIGO]:[CERTIFICACION]],3,0))))</f>
        <v>ASC</v>
      </c>
      <c r="P1622" s="180">
        <f>+L1622-E1622</f>
        <v>261.88999999999942</v>
      </c>
      <c r="Q1622" s="49">
        <f>+M1622-F1622</f>
        <v>0.37999999999999901</v>
      </c>
      <c r="R1622" s="9"/>
    </row>
    <row r="1623" spans="1:18" x14ac:dyDescent="0.25">
      <c r="A1623" s="9" t="s">
        <v>149</v>
      </c>
      <c r="B1623" s="9">
        <f>ROW() - ROW(TablaCosechas[[#Headers],[ID]]) - 4</f>
        <v>1618</v>
      </c>
      <c r="C1623" s="9" t="str">
        <f>LEFT(A1623,2)</f>
        <v>PR</v>
      </c>
      <c r="D1623" s="243" t="s">
        <v>366</v>
      </c>
      <c r="E1623" s="178">
        <v>25000</v>
      </c>
      <c r="F1623" s="19">
        <v>25</v>
      </c>
      <c r="G1623" s="195">
        <v>46129</v>
      </c>
      <c r="H1623" s="9" t="str">
        <f>VLOOKUP(TablaCosechas[[#This Row],[COD]],DATOS!$E$3:$F$27,2,0)</f>
        <v>PARGO ROJO</v>
      </c>
      <c r="I1623" s="9" t="str">
        <f>RIGHT(TablaCosechas[[#This Row],[SECTOR/PISCINA]],2)</f>
        <v>31</v>
      </c>
      <c r="J1623" s="9" t="str">
        <f>VLOOKUP(TablaCosechas[[#This Row],[COD]],Tabla7[#All],4,0)</f>
        <v>WILMER TORRES</v>
      </c>
      <c r="K1623" s="179">
        <f>(TablaCosechas[[#This Row],[libras planta]]*454)/M1623</f>
        <v>503237.62554744526</v>
      </c>
      <c r="L1623" s="215">
        <v>30371.61</v>
      </c>
      <c r="M1623" s="19">
        <v>27.4</v>
      </c>
      <c r="N1623" s="9" t="str">
        <f>UPPER(TEXT(TablaCosechas[[#This Row],[COSECHA]],"MMMM"))</f>
        <v>ABRIL</v>
      </c>
      <c r="O1623" s="9" t="str">
        <f>IF(A1623="DO 29","BAP",IF(A1623="RO 14","BAP",(VLOOKUP(TablaCosechas[[#This Row],[COD]],Tabla7[[CODIGO]:[CERTIFICACION]],3,0))))</f>
        <v>CONVENCIONAL</v>
      </c>
      <c r="P1623" s="180">
        <f>+L1623-E1623</f>
        <v>5371.6100000000006</v>
      </c>
      <c r="Q1623" s="49">
        <f>+M1623-F1623</f>
        <v>2.3999999999999986</v>
      </c>
      <c r="R1623" s="9"/>
    </row>
    <row r="1624" spans="1:18" x14ac:dyDescent="0.25">
      <c r="A1624" s="9" t="s">
        <v>197</v>
      </c>
      <c r="B1624" s="9">
        <f>ROW() - ROW(TablaCosechas[[#Headers],[ID]]) - 4</f>
        <v>1619</v>
      </c>
      <c r="C1624" s="9" t="str">
        <f>LEFT(A1624,2)</f>
        <v>PA</v>
      </c>
      <c r="D1624" s="243" t="s">
        <v>367</v>
      </c>
      <c r="E1624" s="178">
        <v>3800</v>
      </c>
      <c r="F1624" s="19">
        <v>24</v>
      </c>
      <c r="G1624" s="195">
        <v>46129</v>
      </c>
      <c r="H1624" s="9" t="str">
        <f>VLOOKUP(TablaCosechas[[#This Row],[COD]],DATOS!$E$3:$F$27,2,0)</f>
        <v>PAMPANO</v>
      </c>
      <c r="I1624" s="9" t="str">
        <f>RIGHT(TablaCosechas[[#This Row],[SECTOR/PISCINA]],2)</f>
        <v>05</v>
      </c>
      <c r="J1624" s="9" t="str">
        <f>VLOOKUP(TablaCosechas[[#This Row],[COD]],Tabla7[#All],4,0)</f>
        <v>GUSTAVO CARRASCO</v>
      </c>
      <c r="K1624" s="179">
        <f>(TablaCosechas[[#This Row],[libras planta]]*454)/M1624</f>
        <v>80454.255793991411</v>
      </c>
      <c r="L1624" s="215">
        <v>4129.04</v>
      </c>
      <c r="M1624" s="19">
        <v>23.3</v>
      </c>
      <c r="N1624" s="9" t="str">
        <f>UPPER(TEXT(TablaCosechas[[#This Row],[COSECHA]],"MMMM"))</f>
        <v>ABRIL</v>
      </c>
      <c r="O1624" s="9" t="str">
        <f>IF(A1624="DO 29","BAP",IF(A1624="RO 14","BAP",(VLOOKUP(TablaCosechas[[#This Row],[COD]],Tabla7[[CODIGO]:[CERTIFICACION]],3,0))))</f>
        <v>ASC</v>
      </c>
      <c r="P1624" s="180">
        <f>+L1624-E1624</f>
        <v>329.03999999999996</v>
      </c>
      <c r="Q1624" s="49">
        <f>+M1624-F1624</f>
        <v>-0.69999999999999929</v>
      </c>
      <c r="R1624" s="9"/>
    </row>
    <row r="1625" spans="1:18" x14ac:dyDescent="0.25">
      <c r="A1625" s="9" t="s">
        <v>145</v>
      </c>
      <c r="B1625" s="9">
        <f>ROW() - ROW(TablaCosechas[[#Headers],[ID]]) - 4</f>
        <v>1620</v>
      </c>
      <c r="C1625" s="9" t="str">
        <f>LEFT(A1625,2)</f>
        <v>GT</v>
      </c>
      <c r="D1625" s="243" t="s">
        <v>366</v>
      </c>
      <c r="E1625" s="178">
        <v>11950</v>
      </c>
      <c r="F1625" s="19">
        <v>33</v>
      </c>
      <c r="G1625" s="195">
        <v>46129</v>
      </c>
      <c r="H1625" s="9" t="str">
        <f>VLOOKUP(TablaCosechas[[#This Row],[COD]],DATOS!$E$3:$F$27,2,0)</f>
        <v>GUATO</v>
      </c>
      <c r="I1625" s="9" t="str">
        <f>RIGHT(TablaCosechas[[#This Row],[SECTOR/PISCINA]],2)</f>
        <v>15</v>
      </c>
      <c r="J1625" s="9" t="str">
        <f>VLOOKUP(TablaCosechas[[#This Row],[COD]],Tabla7[#All],4,0)</f>
        <v>JULIO SANTOS</v>
      </c>
      <c r="K1625" s="179">
        <f>(TablaCosechas[[#This Row],[libras planta]]*454)/M1625</f>
        <v>191280.7530266344</v>
      </c>
      <c r="L1625" s="215">
        <v>13920.52</v>
      </c>
      <c r="M1625" s="19">
        <v>33.04</v>
      </c>
      <c r="N1625" s="9" t="str">
        <f>UPPER(TEXT(TablaCosechas[[#This Row],[COSECHA]],"MMMM"))</f>
        <v>ABRIL</v>
      </c>
      <c r="O1625" s="9" t="str">
        <f>IF(A1625="DO 29","BAP",IF(A1625="RO 14","BAP",(VLOOKUP(TablaCosechas[[#This Row],[COD]],Tabla7[[CODIGO]:[CERTIFICACION]],3,0))))</f>
        <v>CONVENCIONAL</v>
      </c>
      <c r="P1625" s="180">
        <f>+L1625-E1625</f>
        <v>1970.5200000000004</v>
      </c>
      <c r="Q1625" s="49">
        <f>+M1625-F1625</f>
        <v>3.9999999999999147E-2</v>
      </c>
      <c r="R1625" s="9"/>
    </row>
    <row r="1626" spans="1:18" x14ac:dyDescent="0.25">
      <c r="A1626" s="9" t="s">
        <v>152</v>
      </c>
      <c r="B1626" s="9">
        <f>ROW() - ROW(TablaCosechas[[#Headers],[ID]]) - 4</f>
        <v>1621</v>
      </c>
      <c r="C1626" s="9" t="str">
        <f>LEFT(A1626,2)</f>
        <v>DO</v>
      </c>
      <c r="D1626" s="243" t="s">
        <v>366</v>
      </c>
      <c r="E1626" s="178">
        <v>17450</v>
      </c>
      <c r="F1626" s="19">
        <v>38</v>
      </c>
      <c r="G1626" s="195">
        <v>46129</v>
      </c>
      <c r="H1626" s="9" t="str">
        <f>VLOOKUP(TablaCosechas[[#This Row],[COD]],DATOS!$E$3:$F$27,2,0)</f>
        <v>DORADO</v>
      </c>
      <c r="I1626" s="9" t="str">
        <f>RIGHT(TablaCosechas[[#This Row],[SECTOR/PISCINA]],2)</f>
        <v>30</v>
      </c>
      <c r="J1626" s="9" t="str">
        <f>VLOOKUP(TablaCosechas[[#This Row],[COD]],Tabla7[#All],4,0)</f>
        <v>JOSE CEDEÑO</v>
      </c>
      <c r="K1626" s="179">
        <f>(TablaCosechas[[#This Row],[libras planta]]*454)/M1626</f>
        <v>222746.9600415153</v>
      </c>
      <c r="L1626" s="215">
        <v>18908.96</v>
      </c>
      <c r="M1626" s="19">
        <v>38.54</v>
      </c>
      <c r="N1626" s="9" t="str">
        <f>UPPER(TEXT(TablaCosechas[[#This Row],[COSECHA]],"MMMM"))</f>
        <v>ABRIL</v>
      </c>
      <c r="O1626" s="9" t="str">
        <f>IF(A1626="DO 29","BAP",IF(A1626="RO 14","BAP",(VLOOKUP(TablaCosechas[[#This Row],[COD]],Tabla7[[CODIGO]:[CERTIFICACION]],3,0))))</f>
        <v>ASC</v>
      </c>
      <c r="P1626" s="180">
        <f>+L1626-E1626</f>
        <v>1458.9599999999991</v>
      </c>
      <c r="Q1626" s="49">
        <f>+M1626-F1626</f>
        <v>0.53999999999999915</v>
      </c>
      <c r="R1626" s="9"/>
    </row>
    <row r="1627" spans="1:18" x14ac:dyDescent="0.25">
      <c r="A1627" s="9" t="s">
        <v>159</v>
      </c>
      <c r="B1627" s="9">
        <f>ROW() - ROW(TablaCosechas[[#Headers],[ID]]) - 4</f>
        <v>1622</v>
      </c>
      <c r="C1627" s="9" t="str">
        <f>LEFT(A1627,2)</f>
        <v>DO</v>
      </c>
      <c r="D1627" s="243" t="s">
        <v>367</v>
      </c>
      <c r="E1627" s="178">
        <v>30600</v>
      </c>
      <c r="F1627" s="19">
        <v>32</v>
      </c>
      <c r="G1627" s="195">
        <v>46129</v>
      </c>
      <c r="H1627" s="9" t="str">
        <f>VLOOKUP(TablaCosechas[[#This Row],[COD]],DATOS!$E$3:$F$27,2,0)</f>
        <v>DORADO</v>
      </c>
      <c r="I1627" s="9" t="str">
        <f>RIGHT(TablaCosechas[[#This Row],[SECTOR/PISCINA]],2)</f>
        <v>23</v>
      </c>
      <c r="J1627" s="9" t="str">
        <f>VLOOKUP(TablaCosechas[[#This Row],[COD]],Tabla7[#All],4,0)</f>
        <v>JOSE CEDEÑO</v>
      </c>
      <c r="K1627" s="179">
        <f>(TablaCosechas[[#This Row],[libras planta]]*454)/M1627</f>
        <v>368303.18987341772</v>
      </c>
      <c r="L1627" s="215">
        <v>26916.959999999999</v>
      </c>
      <c r="M1627" s="19">
        <v>33.18</v>
      </c>
      <c r="N1627" s="9" t="str">
        <f>UPPER(TEXT(TablaCosechas[[#This Row],[COSECHA]],"MMMM"))</f>
        <v>ABRIL</v>
      </c>
      <c r="O1627" s="9" t="str">
        <f>IF(A1627="DO 29","BAP",IF(A1627="RO 14","BAP",(VLOOKUP(TablaCosechas[[#This Row],[COD]],Tabla7[[CODIGO]:[CERTIFICACION]],3,0))))</f>
        <v>ASC</v>
      </c>
      <c r="P1627" s="180">
        <f>+L1627-E1627</f>
        <v>-3683.0400000000009</v>
      </c>
      <c r="Q1627" s="49">
        <f>+M1627-F1627</f>
        <v>1.1799999999999997</v>
      </c>
      <c r="R1627" s="9"/>
    </row>
    <row r="1628" spans="1:18" x14ac:dyDescent="0.25">
      <c r="A1628" s="9" t="s">
        <v>250</v>
      </c>
      <c r="B1628" s="9">
        <f>ROW() - ROW(TablaCosechas[[#Headers],[ID]]) - 4</f>
        <v>1623</v>
      </c>
      <c r="C1628" s="9" t="str">
        <f>LEFT(A1628,2)</f>
        <v>DO</v>
      </c>
      <c r="D1628" s="182" t="s">
        <v>367</v>
      </c>
      <c r="E1628" s="178">
        <v>6400</v>
      </c>
      <c r="F1628" s="19">
        <v>18.5</v>
      </c>
      <c r="G1628" s="195">
        <v>46129</v>
      </c>
      <c r="H1628" s="9" t="str">
        <f>VLOOKUP(TablaCosechas[[#This Row],[COD]],DATOS!$E$3:$F$27,2,0)</f>
        <v>DORADO</v>
      </c>
      <c r="I1628" s="9" t="str">
        <f>RIGHT(TablaCosechas[[#This Row],[SECTOR/PISCINA]],2)</f>
        <v>10</v>
      </c>
      <c r="J1628" s="9" t="str">
        <f>VLOOKUP(TablaCosechas[[#This Row],[COD]],Tabla7[#All],4,0)</f>
        <v>JOSE CEDEÑO</v>
      </c>
      <c r="K1628" s="179">
        <f>(TablaCosechas[[#This Row],[libras planta]]*454)/M1628</f>
        <v>153624.33283056811</v>
      </c>
      <c r="L1628" s="215">
        <v>6730.37</v>
      </c>
      <c r="M1628" s="19">
        <v>19.89</v>
      </c>
      <c r="N1628" s="9" t="str">
        <f>UPPER(TEXT(TablaCosechas[[#This Row],[COSECHA]],"MMMM"))</f>
        <v>ABRIL</v>
      </c>
      <c r="O1628" s="9" t="str">
        <f>IF(A1628="DO 29","BAP",IF(A1628="RO 14","BAP",(VLOOKUP(TablaCosechas[[#This Row],[COD]],Tabla7[[CODIGO]:[CERTIFICACION]],3,0))))</f>
        <v>ASC</v>
      </c>
      <c r="P1628" s="180">
        <f>+L1628-E1628</f>
        <v>330.36999999999989</v>
      </c>
      <c r="Q1628" s="49">
        <f>+M1628-F1628</f>
        <v>1.3900000000000006</v>
      </c>
      <c r="R1628" s="9"/>
    </row>
    <row r="1629" spans="1:18" x14ac:dyDescent="0.25">
      <c r="A1629" s="9" t="s">
        <v>182</v>
      </c>
      <c r="B1629" s="9">
        <f>ROW() - ROW(TablaCosechas[[#Headers],[ID]]) - 4</f>
        <v>1624</v>
      </c>
      <c r="C1629" s="9" t="str">
        <f>LEFT(A1629,2)</f>
        <v>DE</v>
      </c>
      <c r="D1629" s="243" t="s">
        <v>366</v>
      </c>
      <c r="E1629" s="178">
        <v>18650</v>
      </c>
      <c r="F1629" s="19">
        <v>29</v>
      </c>
      <c r="G1629" s="195">
        <v>46129</v>
      </c>
      <c r="H1629" s="9" t="str">
        <f>VLOOKUP(TablaCosechas[[#This Row],[COD]],DATOS!$E$3:$F$27,2,0)</f>
        <v>DELFIN</v>
      </c>
      <c r="I1629" s="9" t="str">
        <f>RIGHT(TablaCosechas[[#This Row],[SECTOR/PISCINA]],2)</f>
        <v>24</v>
      </c>
      <c r="J1629" s="9" t="str">
        <f>VLOOKUP(TablaCosechas[[#This Row],[COD]],Tabla7[#All],4,0)</f>
        <v>CARLOS FLORES</v>
      </c>
      <c r="K1629" s="179">
        <f>(TablaCosechas[[#This Row],[libras planta]]*454)/M1629</f>
        <v>256110.58234189104</v>
      </c>
      <c r="L1629" s="215">
        <v>18018</v>
      </c>
      <c r="M1629" s="19">
        <v>31.94</v>
      </c>
      <c r="N1629" s="9" t="str">
        <f>UPPER(TEXT(TablaCosechas[[#This Row],[COSECHA]],"MMMM"))</f>
        <v>ABRIL</v>
      </c>
      <c r="O1629" s="9" t="str">
        <f>IF(A1629="DO 29","BAP",IF(A1629="RO 14","BAP",(VLOOKUP(TablaCosechas[[#This Row],[COD]],Tabla7[[CODIGO]:[CERTIFICACION]],3,0))))</f>
        <v>CONVENCIONAL</v>
      </c>
      <c r="P1629" s="180">
        <f>+L1629-E1629</f>
        <v>-632</v>
      </c>
      <c r="Q1629" s="49">
        <f>+M1629-F1629</f>
        <v>2.9400000000000013</v>
      </c>
      <c r="R1629" s="9"/>
    </row>
    <row r="1630" spans="1:18" x14ac:dyDescent="0.25">
      <c r="A1630" s="9" t="s">
        <v>17</v>
      </c>
      <c r="B1630" s="9">
        <f>ROW() - ROW(TablaCosechas[[#Headers],[ID]]) - 4</f>
        <v>1625</v>
      </c>
      <c r="C1630" s="9" t="str">
        <f>LEFT(A1630,2)</f>
        <v>CH</v>
      </c>
      <c r="D1630" s="244" t="s">
        <v>367</v>
      </c>
      <c r="E1630" s="178">
        <v>7600</v>
      </c>
      <c r="F1630" s="19">
        <v>17</v>
      </c>
      <c r="G1630" s="195">
        <v>46129</v>
      </c>
      <c r="H1630" s="9" t="str">
        <f>VLOOKUP(TablaCosechas[[#This Row],[COD]],DATOS!$E$3:$F$27,2,0)</f>
        <v>CHERNA</v>
      </c>
      <c r="I1630" s="9" t="str">
        <f>RIGHT(TablaCosechas[[#This Row],[SECTOR/PISCINA]],2)</f>
        <v>11</v>
      </c>
      <c r="J1630" s="9" t="str">
        <f>VLOOKUP(TablaCosechas[[#This Row],[COD]],Tabla7[#All],4,0)</f>
        <v>SANTIAGO OBRIEN</v>
      </c>
      <c r="K1630" s="179">
        <f>(TablaCosechas[[#This Row],[libras planta]]*454)/M1630</f>
        <v>212011.53559693319</v>
      </c>
      <c r="L1630" s="215">
        <v>8527.16</v>
      </c>
      <c r="M1630" s="19">
        <v>18.260000000000002</v>
      </c>
      <c r="N1630" s="9" t="str">
        <f>UPPER(TEXT(TablaCosechas[[#This Row],[COSECHA]],"MMMM"))</f>
        <v>ABRIL</v>
      </c>
      <c r="O1630" s="9" t="str">
        <f>IF(A1630="DO 29","BAP",IF(A1630="RO 14","BAP",(VLOOKUP(TablaCosechas[[#This Row],[COD]],Tabla7[[CODIGO]:[CERTIFICACION]],3,0))))</f>
        <v>ASC</v>
      </c>
      <c r="P1630" s="180">
        <f>+L1630-E1630</f>
        <v>927.15999999999985</v>
      </c>
      <c r="Q1630" s="181">
        <f>+M1630-F1630</f>
        <v>1.2600000000000016</v>
      </c>
      <c r="R1630" s="9"/>
    </row>
    <row r="1631" spans="1:18" x14ac:dyDescent="0.25">
      <c r="A1631" s="9" t="s">
        <v>10</v>
      </c>
      <c r="B1631" s="9">
        <f>ROW() - ROW(TablaCosechas[[#Headers],[ID]]) - 4</f>
        <v>1626</v>
      </c>
      <c r="C1631" s="9" t="str">
        <f>LEFT(A1631,2)</f>
        <v>CH</v>
      </c>
      <c r="D1631" s="244" t="s">
        <v>367</v>
      </c>
      <c r="E1631" s="178">
        <v>5600</v>
      </c>
      <c r="F1631" s="19">
        <v>20</v>
      </c>
      <c r="G1631" s="195">
        <v>46129</v>
      </c>
      <c r="H1631" s="9" t="str">
        <f>VLOOKUP(TablaCosechas[[#This Row],[COD]],DATOS!$E$3:$F$27,2,0)</f>
        <v>CHERNA</v>
      </c>
      <c r="I1631" s="9" t="str">
        <f>RIGHT(TablaCosechas[[#This Row],[SECTOR/PISCINA]],2)</f>
        <v>04</v>
      </c>
      <c r="J1631" s="9" t="str">
        <f>VLOOKUP(TablaCosechas[[#This Row],[COD]],Tabla7[#All],4,0)</f>
        <v>SANTIAGO OBRIEN</v>
      </c>
      <c r="K1631" s="179">
        <f>(TablaCosechas[[#This Row],[libras planta]]*454)/M1631</f>
        <v>134205.97376093295</v>
      </c>
      <c r="L1631" s="215">
        <v>6083.61</v>
      </c>
      <c r="M1631" s="19">
        <v>20.58</v>
      </c>
      <c r="N1631" s="9" t="str">
        <f>UPPER(TEXT(TablaCosechas[[#This Row],[COSECHA]],"MMMM"))</f>
        <v>ABRIL</v>
      </c>
      <c r="O1631" s="9" t="str">
        <f>IF(A1631="DO 29","BAP",IF(A1631="RO 14","BAP",(VLOOKUP(TablaCosechas[[#This Row],[COD]],Tabla7[[CODIGO]:[CERTIFICACION]],3,0))))</f>
        <v>ASC</v>
      </c>
      <c r="P1631" s="180">
        <f>+L1631-E1631</f>
        <v>483.60999999999967</v>
      </c>
      <c r="Q1631" s="181">
        <f>+M1631-F1631</f>
        <v>0.57999999999999829</v>
      </c>
      <c r="R1631" s="9"/>
    </row>
    <row r="1632" spans="1:18" x14ac:dyDescent="0.25">
      <c r="A1632" s="9" t="s">
        <v>339</v>
      </c>
      <c r="B1632" s="9">
        <f>ROW() - ROW(TablaCosechas[[#Headers],[ID]]) - 4</f>
        <v>1627</v>
      </c>
      <c r="C1632" s="9" t="str">
        <f>LEFT(A1632,2)</f>
        <v>WA</v>
      </c>
      <c r="D1632" s="244" t="s">
        <v>366</v>
      </c>
      <c r="E1632" s="178">
        <v>16750</v>
      </c>
      <c r="F1632" s="19">
        <v>42</v>
      </c>
      <c r="G1632" s="195">
        <v>46130</v>
      </c>
      <c r="H1632" s="9" t="str">
        <f>VLOOKUP(TablaCosechas[[#This Row],[COD]],DATOS!$E$3:$F$27,2,0)</f>
        <v>WAHOO</v>
      </c>
      <c r="I1632" s="9" t="str">
        <f>RIGHT(TablaCosechas[[#This Row],[SECTOR/PISCINA]],2)</f>
        <v>16</v>
      </c>
      <c r="J1632" s="9" t="str">
        <f>VLOOKUP(TablaCosechas[[#This Row],[COD]],Tabla7[#All],4,0)</f>
        <v>JUNIOR ESQUIVEL</v>
      </c>
      <c r="K1632" s="179">
        <f>(TablaCosechas[[#This Row],[libras planta]]*454)/M1632</f>
        <v>213612.95299356754</v>
      </c>
      <c r="L1632" s="215">
        <v>19018.14</v>
      </c>
      <c r="M1632" s="19">
        <v>40.42</v>
      </c>
      <c r="N1632" s="9" t="str">
        <f>UPPER(TEXT(TablaCosechas[[#This Row],[COSECHA]],"MMMM"))</f>
        <v>ABRIL</v>
      </c>
      <c r="O1632" s="9" t="str">
        <f>IF(A1632="DO 29","BAP",IF(A1632="RO 14","BAP",(VLOOKUP(TablaCosechas[[#This Row],[COD]],Tabla7[[CODIGO]:[CERTIFICACION]],3,0))))</f>
        <v>CONVENCIONAL</v>
      </c>
      <c r="P1632" s="180">
        <f>+L1632-E1632</f>
        <v>2268.1399999999994</v>
      </c>
      <c r="Q1632" s="181">
        <f>+M1632-F1632</f>
        <v>-1.5799999999999983</v>
      </c>
      <c r="R1632" s="9"/>
    </row>
    <row r="1633" spans="1:18" x14ac:dyDescent="0.25">
      <c r="A1633" s="9" t="s">
        <v>162</v>
      </c>
      <c r="B1633" s="9">
        <f>ROW() - ROW(TablaCosechas[[#Headers],[ID]]) - 4</f>
        <v>1628</v>
      </c>
      <c r="C1633" s="9" t="str">
        <f>LEFT(A1633,2)</f>
        <v>TA</v>
      </c>
      <c r="D1633" s="244" t="s">
        <v>366</v>
      </c>
      <c r="E1633" s="178">
        <v>20150</v>
      </c>
      <c r="F1633" s="19">
        <v>32</v>
      </c>
      <c r="G1633" s="195">
        <v>46130</v>
      </c>
      <c r="H1633" s="9" t="str">
        <f>VLOOKUP(TablaCosechas[[#This Row],[COD]],DATOS!$E$3:$F$27,2,0)</f>
        <v>TAMBULERO</v>
      </c>
      <c r="I1633" s="9" t="str">
        <f>RIGHT(TablaCosechas[[#This Row],[SECTOR/PISCINA]],2)</f>
        <v>06</v>
      </c>
      <c r="J1633" s="9" t="str">
        <f>VLOOKUP(TablaCosechas[[#This Row],[COD]],Tabla7[#All],4,0)</f>
        <v>ALFONSO GRUNAUER</v>
      </c>
      <c r="K1633" s="179">
        <f>(TablaCosechas[[#This Row],[libras planta]]*454)/M1633</f>
        <v>361100.83666436939</v>
      </c>
      <c r="L1633" s="215">
        <v>23081.82</v>
      </c>
      <c r="M1633" s="19">
        <v>29.02</v>
      </c>
      <c r="N1633" s="9" t="str">
        <f>UPPER(TEXT(TablaCosechas[[#This Row],[COSECHA]],"MMMM"))</f>
        <v>ABRIL</v>
      </c>
      <c r="O1633" s="9" t="str">
        <f>IF(A1633="DO 29","BAP",IF(A1633="RO 14","BAP",(VLOOKUP(TablaCosechas[[#This Row],[COD]],Tabla7[[CODIGO]:[CERTIFICACION]],3,0))))</f>
        <v>CONVENCIONAL</v>
      </c>
      <c r="P1633" s="180">
        <f>+L1633-E1633</f>
        <v>2931.8199999999997</v>
      </c>
      <c r="Q1633" s="181">
        <f>+M1633-F1633</f>
        <v>-2.9800000000000004</v>
      </c>
      <c r="R1633" s="9"/>
    </row>
    <row r="1634" spans="1:18" x14ac:dyDescent="0.25">
      <c r="A1634" s="9" t="s">
        <v>166</v>
      </c>
      <c r="B1634" s="9">
        <f>ROW() - ROW(TablaCosechas[[#Headers],[ID]]) - 4</f>
        <v>1629</v>
      </c>
      <c r="C1634" s="9" t="str">
        <f>LEFT(A1634,2)</f>
        <v>TA</v>
      </c>
      <c r="D1634" s="244" t="s">
        <v>366</v>
      </c>
      <c r="E1634" s="178">
        <v>15900</v>
      </c>
      <c r="F1634" s="19">
        <v>40</v>
      </c>
      <c r="G1634" s="195">
        <v>46130</v>
      </c>
      <c r="H1634" s="9" t="str">
        <f>VLOOKUP(TablaCosechas[[#This Row],[COD]],DATOS!$E$3:$F$27,2,0)</f>
        <v>TAMBULERO</v>
      </c>
      <c r="I1634" s="9" t="str">
        <f>RIGHT(TablaCosechas[[#This Row],[SECTOR/PISCINA]],2)</f>
        <v>01</v>
      </c>
      <c r="J1634" s="9" t="str">
        <f>VLOOKUP(TablaCosechas[[#This Row],[COD]],Tabla7[#All],4,0)</f>
        <v>ALFONSO GRUNAUER</v>
      </c>
      <c r="K1634" s="179">
        <f>(TablaCosechas[[#This Row],[libras planta]]*454)/M1634</f>
        <v>188697.88861138863</v>
      </c>
      <c r="L1634" s="215">
        <v>16641.990000000002</v>
      </c>
      <c r="M1634" s="19">
        <v>40.04</v>
      </c>
      <c r="N1634" s="9" t="str">
        <f>UPPER(TEXT(TablaCosechas[[#This Row],[COSECHA]],"MMMM"))</f>
        <v>ABRIL</v>
      </c>
      <c r="O1634" s="9" t="str">
        <f>IF(A1634="DO 29","BAP",IF(A1634="RO 14","BAP",(VLOOKUP(TablaCosechas[[#This Row],[COD]],Tabla7[[CODIGO]:[CERTIFICACION]],3,0))))</f>
        <v>CONVENCIONAL</v>
      </c>
      <c r="P1634" s="180">
        <f>+L1634-E1634</f>
        <v>741.9900000000016</v>
      </c>
      <c r="Q1634" s="181">
        <f>+M1634-F1634</f>
        <v>3.9999999999999147E-2</v>
      </c>
      <c r="R1634" s="9"/>
    </row>
    <row r="1635" spans="1:18" x14ac:dyDescent="0.25">
      <c r="A1635" s="9" t="s">
        <v>165</v>
      </c>
      <c r="B1635" s="9">
        <f>ROW() - ROW(TablaCosechas[[#Headers],[ID]]) - 4</f>
        <v>1630</v>
      </c>
      <c r="C1635" s="9" t="str">
        <f>LEFT(A1635,2)</f>
        <v>PR</v>
      </c>
      <c r="D1635" s="244" t="s">
        <v>366</v>
      </c>
      <c r="E1635" s="178">
        <v>23400</v>
      </c>
      <c r="F1635" s="19">
        <v>25</v>
      </c>
      <c r="G1635" s="195">
        <v>46130</v>
      </c>
      <c r="H1635" s="9" t="str">
        <f>VLOOKUP(TablaCosechas[[#This Row],[COD]],DATOS!$E$3:$F$27,2,0)</f>
        <v>PARGO ROJO</v>
      </c>
      <c r="I1635" s="9" t="str">
        <f>RIGHT(TablaCosechas[[#This Row],[SECTOR/PISCINA]],2)</f>
        <v>32</v>
      </c>
      <c r="J1635" s="9" t="str">
        <f>VLOOKUP(TablaCosechas[[#This Row],[COD]],Tabla7[#All],4,0)</f>
        <v>WILMER TORRES</v>
      </c>
      <c r="K1635" s="179">
        <f>(TablaCosechas[[#This Row],[libras planta]]*454)/M1635</f>
        <v>436952.23100303952</v>
      </c>
      <c r="L1635" s="215">
        <v>25331.68</v>
      </c>
      <c r="M1635" s="19">
        <v>26.32</v>
      </c>
      <c r="N1635" s="9" t="str">
        <f>UPPER(TEXT(TablaCosechas[[#This Row],[COSECHA]],"MMMM"))</f>
        <v>ABRIL</v>
      </c>
      <c r="O1635" s="9" t="str">
        <f>IF(A1635="DO 29","BAP",IF(A1635="RO 14","BAP",(VLOOKUP(TablaCosechas[[#This Row],[COD]],Tabla7[[CODIGO]:[CERTIFICACION]],3,0))))</f>
        <v>CONVENCIONAL</v>
      </c>
      <c r="P1635" s="180">
        <f>+L1635-E1635</f>
        <v>1931.6800000000003</v>
      </c>
      <c r="Q1635" s="49">
        <f>+M1635-F1635</f>
        <v>1.3200000000000003</v>
      </c>
      <c r="R1635" s="9"/>
    </row>
    <row r="1636" spans="1:18" x14ac:dyDescent="0.25">
      <c r="A1636" s="9" t="s">
        <v>170</v>
      </c>
      <c r="B1636" s="9">
        <f>ROW() - ROW(TablaCosechas[[#Headers],[ID]]) - 4</f>
        <v>1631</v>
      </c>
      <c r="C1636" s="9" t="str">
        <f>LEFT(A1636,2)</f>
        <v>PA</v>
      </c>
      <c r="D1636" s="244" t="s">
        <v>366</v>
      </c>
      <c r="E1636" s="178">
        <v>15500</v>
      </c>
      <c r="F1636" s="19">
        <v>34</v>
      </c>
      <c r="G1636" s="195">
        <v>46130</v>
      </c>
      <c r="H1636" s="9" t="str">
        <f>VLOOKUP(TablaCosechas[[#This Row],[COD]],DATOS!$E$3:$F$27,2,0)</f>
        <v>PAMPANO</v>
      </c>
      <c r="I1636" s="9" t="str">
        <f>RIGHT(TablaCosechas[[#This Row],[SECTOR/PISCINA]],2)</f>
        <v>08</v>
      </c>
      <c r="J1636" s="9" t="str">
        <f>VLOOKUP(TablaCosechas[[#This Row],[COD]],Tabla7[#All],4,0)</f>
        <v>GUSTAVO CARRASCO</v>
      </c>
      <c r="K1636" s="179">
        <f>(TablaCosechas[[#This Row],[libras planta]]*454)/M1636</f>
        <v>228260.26889279438</v>
      </c>
      <c r="L1636" s="215">
        <v>17164.77</v>
      </c>
      <c r="M1636" s="19">
        <v>34.14</v>
      </c>
      <c r="N1636" s="9" t="str">
        <f>UPPER(TEXT(TablaCosechas[[#This Row],[COSECHA]],"MMMM"))</f>
        <v>ABRIL</v>
      </c>
      <c r="O1636" s="9" t="str">
        <f>IF(A1636="DO 29","BAP",IF(A1636="RO 14","BAP",(VLOOKUP(TablaCosechas[[#This Row],[COD]],Tabla7[[CODIGO]:[CERTIFICACION]],3,0))))</f>
        <v>ASC</v>
      </c>
      <c r="P1636" s="180">
        <f>+L1636-E1636</f>
        <v>1664.7700000000004</v>
      </c>
      <c r="Q1636" s="181">
        <f>+M1636-F1636</f>
        <v>0.14000000000000057</v>
      </c>
      <c r="R1636" s="9"/>
    </row>
    <row r="1637" spans="1:18" x14ac:dyDescent="0.25">
      <c r="A1637" s="9" t="s">
        <v>246</v>
      </c>
      <c r="B1637" s="9">
        <f>ROW() - ROW(TablaCosechas[[#Headers],[ID]]) - 4</f>
        <v>1632</v>
      </c>
      <c r="C1637" s="9" t="str">
        <f>LEFT(A1637,2)</f>
        <v>MA</v>
      </c>
      <c r="D1637" s="182" t="s">
        <v>367</v>
      </c>
      <c r="E1637" s="178">
        <v>3000</v>
      </c>
      <c r="F1637" s="19">
        <v>14</v>
      </c>
      <c r="G1637" s="195">
        <v>46130</v>
      </c>
      <c r="H1637" s="9" t="str">
        <f>VLOOKUP(TablaCosechas[[#This Row],[COD]],DATOS!$E$3:$F$27,2,0)</f>
        <v>MANTARRAYA</v>
      </c>
      <c r="I1637" s="9" t="str">
        <f>RIGHT(TablaCosechas[[#This Row],[SECTOR/PISCINA]],2)</f>
        <v>09</v>
      </c>
      <c r="J1637" s="9" t="str">
        <f>VLOOKUP(TablaCosechas[[#This Row],[COD]],Tabla7[#All],4,0)</f>
        <v>GUSTAVO CARRASCO</v>
      </c>
      <c r="K1637" s="179">
        <f>(TablaCosechas[[#This Row],[libras planta]]*454)/M1637</f>
        <v>94476.113360323885</v>
      </c>
      <c r="L1637" s="215">
        <v>3084</v>
      </c>
      <c r="M1637" s="19">
        <v>14.82</v>
      </c>
      <c r="N1637" s="9" t="str">
        <f>UPPER(TEXT(TablaCosechas[[#This Row],[COSECHA]],"MMMM"))</f>
        <v>ABRIL</v>
      </c>
      <c r="O1637" s="9" t="str">
        <f>IF(A1637="DO 29","BAP",IF(A1637="RO 14","BAP",(VLOOKUP(TablaCosechas[[#This Row],[COD]],Tabla7[[CODIGO]:[CERTIFICACION]],3,0))))</f>
        <v>ASC</v>
      </c>
      <c r="P1637" s="180">
        <f>+L1637-E1637</f>
        <v>84</v>
      </c>
      <c r="Q1637" s="181">
        <f>+M1637-F1637</f>
        <v>0.82000000000000028</v>
      </c>
      <c r="R1637" s="9"/>
    </row>
    <row r="1638" spans="1:18" x14ac:dyDescent="0.25">
      <c r="A1638" s="9" t="s">
        <v>140</v>
      </c>
      <c r="B1638" s="9">
        <f>ROW() - ROW(TablaCosechas[[#Headers],[ID]]) - 4</f>
        <v>1633</v>
      </c>
      <c r="C1638" s="9" t="str">
        <f>LEFT(A1638,2)</f>
        <v>GT</v>
      </c>
      <c r="D1638" s="182" t="s">
        <v>366</v>
      </c>
      <c r="E1638" s="178">
        <v>12300</v>
      </c>
      <c r="F1638" s="19">
        <v>30</v>
      </c>
      <c r="G1638" s="195">
        <v>46130</v>
      </c>
      <c r="H1638" s="9" t="str">
        <f>VLOOKUP(TablaCosechas[[#This Row],[COD]],DATOS!$E$3:$F$27,2,0)</f>
        <v>GUATO</v>
      </c>
      <c r="I1638" s="9" t="str">
        <f>RIGHT(TablaCosechas[[#This Row],[SECTOR/PISCINA]],2)</f>
        <v>18</v>
      </c>
      <c r="J1638" s="9" t="str">
        <f>VLOOKUP(TablaCosechas[[#This Row],[COD]],Tabla7[#All],4,0)</f>
        <v>JULIO SANTOS</v>
      </c>
      <c r="K1638" s="179">
        <f>(TablaCosechas[[#This Row],[libras planta]]*454)/M1638</f>
        <v>208201.74575118968</v>
      </c>
      <c r="L1638" s="215">
        <v>13491.84</v>
      </c>
      <c r="M1638" s="19">
        <v>29.42</v>
      </c>
      <c r="N1638" s="9" t="str">
        <f>UPPER(TEXT(TablaCosechas[[#This Row],[COSECHA]],"MMMM"))</f>
        <v>ABRIL</v>
      </c>
      <c r="O1638" s="9" t="str">
        <f>IF(A1638="DO 29","BAP",IF(A1638="RO 14","BAP",(VLOOKUP(TablaCosechas[[#This Row],[COD]],Tabla7[[CODIGO]:[CERTIFICACION]],3,0))))</f>
        <v>CONVENCIONAL</v>
      </c>
      <c r="P1638" s="180">
        <f>+L1638-E1638</f>
        <v>1191.8400000000001</v>
      </c>
      <c r="Q1638" s="181">
        <f>+M1638-F1638</f>
        <v>-0.57999999999999829</v>
      </c>
      <c r="R1638" s="9"/>
    </row>
    <row r="1639" spans="1:18" x14ac:dyDescent="0.25">
      <c r="A1639" s="9" t="s">
        <v>267</v>
      </c>
      <c r="B1639" s="9">
        <f>ROW() - ROW(TablaCosechas[[#Headers],[ID]]) - 4</f>
        <v>1634</v>
      </c>
      <c r="C1639" s="9" t="str">
        <f>LEFT(A1639,2)</f>
        <v>DO</v>
      </c>
      <c r="D1639" s="182" t="s">
        <v>367</v>
      </c>
      <c r="E1639" s="178">
        <v>4500</v>
      </c>
      <c r="F1639" s="19">
        <v>18</v>
      </c>
      <c r="G1639" s="195">
        <v>46130</v>
      </c>
      <c r="H1639" s="9" t="str">
        <f>VLOOKUP(TablaCosechas[[#This Row],[COD]],DATOS!$E$3:$F$27,2,0)</f>
        <v>DORADO</v>
      </c>
      <c r="I1639" s="9" t="str">
        <f>RIGHT(TablaCosechas[[#This Row],[SECTOR/PISCINA]],2)</f>
        <v>17</v>
      </c>
      <c r="J1639" s="9" t="str">
        <f>VLOOKUP(TablaCosechas[[#This Row],[COD]],Tabla7[#All],4,0)</f>
        <v>JOSE CEDEÑO</v>
      </c>
      <c r="K1639" s="179">
        <f>(TablaCosechas[[#This Row],[libras planta]]*454)/M1639</f>
        <v>98442.333333333328</v>
      </c>
      <c r="L1639" s="215">
        <v>4527.4799999999996</v>
      </c>
      <c r="M1639" s="19">
        <v>20.88</v>
      </c>
      <c r="N1639" s="9" t="str">
        <f>UPPER(TEXT(TablaCosechas[[#This Row],[COSECHA]],"MMMM"))</f>
        <v>ABRIL</v>
      </c>
      <c r="O1639" s="9" t="str">
        <f>IF(A1639="DO 29","BAP",IF(A1639="RO 14","BAP",(VLOOKUP(TablaCosechas[[#This Row],[COD]],Tabla7[[CODIGO]:[CERTIFICACION]],3,0))))</f>
        <v>ASC</v>
      </c>
      <c r="P1639" s="180">
        <f>+L1639-E1639</f>
        <v>27.479999999999563</v>
      </c>
      <c r="Q1639" s="181">
        <f>+M1639-F1639</f>
        <v>2.879999999999999</v>
      </c>
      <c r="R1639" s="9"/>
    </row>
    <row r="1640" spans="1:18" x14ac:dyDescent="0.25">
      <c r="A1640" s="9" t="s">
        <v>126</v>
      </c>
      <c r="B1640" s="9">
        <f>ROW() - ROW(TablaCosechas[[#Headers],[ID]]) - 4</f>
        <v>1635</v>
      </c>
      <c r="C1640" s="9" t="str">
        <f>LEFT(A1640,2)</f>
        <v>DO</v>
      </c>
      <c r="D1640" s="182" t="s">
        <v>366</v>
      </c>
      <c r="E1640" s="178">
        <f>15700+800</f>
        <v>16500</v>
      </c>
      <c r="F1640" s="19">
        <v>42</v>
      </c>
      <c r="G1640" s="195">
        <v>46130</v>
      </c>
      <c r="H1640" s="9" t="str">
        <f>VLOOKUP(TablaCosechas[[#This Row],[COD]],DATOS!$E$3:$F$27,2,0)</f>
        <v>DORADO</v>
      </c>
      <c r="I1640" s="9" t="str">
        <f>RIGHT(TablaCosechas[[#This Row],[SECTOR/PISCINA]],2)</f>
        <v>06</v>
      </c>
      <c r="J1640" s="9" t="str">
        <f>VLOOKUP(TablaCosechas[[#This Row],[COD]],Tabla7[#All],4,0)</f>
        <v>JOSE CEDEÑO</v>
      </c>
      <c r="K1640" s="179">
        <f>(TablaCosechas[[#This Row],[libras planta]]*454)/M1640</f>
        <v>158398.8599303136</v>
      </c>
      <c r="L1640" s="215">
        <v>15019.98</v>
      </c>
      <c r="M1640" s="19">
        <v>43.05</v>
      </c>
      <c r="N1640" s="9" t="str">
        <f>UPPER(TEXT(TablaCosechas[[#This Row],[COSECHA]],"MMMM"))</f>
        <v>ABRIL</v>
      </c>
      <c r="O1640" s="9" t="str">
        <f>IF(A1640="DO 29","BAP",IF(A1640="RO 14","BAP",(VLOOKUP(TablaCosechas[[#This Row],[COD]],Tabla7[[CODIGO]:[CERTIFICACION]],3,0))))</f>
        <v>ASC</v>
      </c>
      <c r="P1640" s="180">
        <f>+L1640-E1640</f>
        <v>-1480.0200000000004</v>
      </c>
      <c r="Q1640" s="181">
        <f>+M1640-F1640</f>
        <v>1.0499999999999972</v>
      </c>
      <c r="R1640" s="9"/>
    </row>
    <row r="1641" spans="1:18" x14ac:dyDescent="0.25">
      <c r="A1641" s="9" t="s">
        <v>7</v>
      </c>
      <c r="B1641" s="9">
        <f>ROW() - ROW(TablaCosechas[[#Headers],[ID]]) - 4</f>
        <v>1636</v>
      </c>
      <c r="C1641" s="9" t="str">
        <f>LEFT(A1641,2)</f>
        <v>CH</v>
      </c>
      <c r="D1641" s="182" t="s">
        <v>367</v>
      </c>
      <c r="E1641" s="178">
        <v>8500</v>
      </c>
      <c r="F1641" s="19">
        <v>17</v>
      </c>
      <c r="G1641" s="195">
        <v>46130</v>
      </c>
      <c r="H1641" s="9" t="str">
        <f>VLOOKUP(TablaCosechas[[#This Row],[COD]],DATOS!$E$3:$F$27,2,0)</f>
        <v>CHERNA</v>
      </c>
      <c r="I1641" s="9" t="str">
        <f>RIGHT(TablaCosechas[[#This Row],[SECTOR/PISCINA]],2)</f>
        <v>01</v>
      </c>
      <c r="J1641" s="9" t="str">
        <f>VLOOKUP(TablaCosechas[[#This Row],[COD]],Tabla7[#All],4,0)</f>
        <v>SANTIAGO OBRIEN</v>
      </c>
      <c r="K1641" s="179">
        <f>(TablaCosechas[[#This Row],[libras planta]]*454)/M1641</f>
        <v>235110.96222222224</v>
      </c>
      <c r="L1641" s="215">
        <v>9321.58</v>
      </c>
      <c r="M1641" s="19">
        <v>18</v>
      </c>
      <c r="N1641" s="9" t="str">
        <f>UPPER(TEXT(TablaCosechas[[#This Row],[COSECHA]],"MMMM"))</f>
        <v>ABRIL</v>
      </c>
      <c r="O1641" s="9" t="str">
        <f>IF(A1641="DO 29","BAP",IF(A1641="RO 14","BAP",(VLOOKUP(TablaCosechas[[#This Row],[COD]],Tabla7[[CODIGO]:[CERTIFICACION]],3,0))))</f>
        <v>ASC</v>
      </c>
      <c r="P1641" s="180">
        <f>+L1641-E1641</f>
        <v>821.57999999999993</v>
      </c>
      <c r="Q1641" s="181">
        <f>+M1641-F1641</f>
        <v>1</v>
      </c>
      <c r="R1641" s="9"/>
    </row>
    <row r="1642" spans="1:18" x14ac:dyDescent="0.25">
      <c r="A1642" s="9" t="s">
        <v>340</v>
      </c>
      <c r="B1642" s="9">
        <f>ROW() - ROW(TablaCosechas[[#Headers],[ID]]) - 4</f>
        <v>1637</v>
      </c>
      <c r="C1642" s="9" t="str">
        <f>LEFT(A1642,2)</f>
        <v>WA</v>
      </c>
      <c r="D1642" s="182" t="s">
        <v>366</v>
      </c>
      <c r="E1642" s="178">
        <f>17500+2500</f>
        <v>20000</v>
      </c>
      <c r="F1642" s="19">
        <v>40</v>
      </c>
      <c r="G1642" s="195">
        <v>46131</v>
      </c>
      <c r="H1642" s="9" t="str">
        <f>VLOOKUP(TablaCosechas[[#This Row],[COD]],DATOS!$E$3:$F$27,2,0)</f>
        <v>WAHOO</v>
      </c>
      <c r="I1642" s="9" t="str">
        <f>RIGHT(TablaCosechas[[#This Row],[SECTOR/PISCINA]],2)</f>
        <v>29</v>
      </c>
      <c r="J1642" s="9" t="str">
        <f>VLOOKUP(TablaCosechas[[#This Row],[COD]],Tabla7[#All],4,0)</f>
        <v>JUNIOR ESQUIVEL</v>
      </c>
      <c r="K1642" s="179">
        <f>(TablaCosechas[[#This Row],[libras planta]]*454)/M1642</f>
        <v>258969.28379772961</v>
      </c>
      <c r="L1642" s="215">
        <v>22109.360000000001</v>
      </c>
      <c r="M1642" s="19">
        <v>38.76</v>
      </c>
      <c r="N1642" s="9" t="str">
        <f>UPPER(TEXT(TablaCosechas[[#This Row],[COSECHA]],"MMMM"))</f>
        <v>ABRIL</v>
      </c>
      <c r="O1642" s="9" t="str">
        <f>IF(A1642="DO 29","BAP",IF(A1642="RO 14","BAP",(VLOOKUP(TablaCosechas[[#This Row],[COD]],Tabla7[[CODIGO]:[CERTIFICACION]],3,0))))</f>
        <v>CONVENCIONAL</v>
      </c>
      <c r="P1642" s="180">
        <f>+L1642-E1642</f>
        <v>2109.3600000000006</v>
      </c>
      <c r="Q1642" s="181">
        <f>+M1642-F1642</f>
        <v>-1.240000000000002</v>
      </c>
      <c r="R1642" s="9"/>
    </row>
    <row r="1643" spans="1:18" x14ac:dyDescent="0.25">
      <c r="A1643" s="9" t="s">
        <v>176</v>
      </c>
      <c r="B1643" s="9">
        <f>ROW() - ROW(TablaCosechas[[#Headers],[ID]]) - 4</f>
        <v>1638</v>
      </c>
      <c r="C1643" s="9" t="str">
        <f>LEFT(A1643,2)</f>
        <v>TA</v>
      </c>
      <c r="D1643" s="182" t="s">
        <v>366</v>
      </c>
      <c r="E1643" s="178">
        <v>30000</v>
      </c>
      <c r="F1643" s="19">
        <v>39</v>
      </c>
      <c r="G1643" s="195">
        <v>46131</v>
      </c>
      <c r="H1643" s="9" t="str">
        <f>VLOOKUP(TablaCosechas[[#This Row],[COD]],DATOS!$E$3:$F$27,2,0)</f>
        <v>TAMBULERO</v>
      </c>
      <c r="I1643" s="9" t="str">
        <f>RIGHT(TablaCosechas[[#This Row],[SECTOR/PISCINA]],2)</f>
        <v>15</v>
      </c>
      <c r="J1643" s="9" t="str">
        <f>VLOOKUP(TablaCosechas[[#This Row],[COD]],Tabla7[#All],4,0)</f>
        <v>ALFONSO GRUNAUER</v>
      </c>
      <c r="K1643" s="179">
        <f>(TablaCosechas[[#This Row],[libras planta]]*454)/M1643</f>
        <v>392656.29736575484</v>
      </c>
      <c r="L1643" s="215">
        <v>34145.53</v>
      </c>
      <c r="M1643" s="19">
        <v>39.479999999999997</v>
      </c>
      <c r="N1643" s="9" t="str">
        <f>UPPER(TEXT(TablaCosechas[[#This Row],[COSECHA]],"MMMM"))</f>
        <v>ABRIL</v>
      </c>
      <c r="O1643" s="9" t="str">
        <f>IF(A1643="DO 29","BAP",IF(A1643="RO 14","BAP",(VLOOKUP(TablaCosechas[[#This Row],[COD]],Tabla7[[CODIGO]:[CERTIFICACION]],3,0))))</f>
        <v>CONVENCIONAL</v>
      </c>
      <c r="P1643" s="180">
        <f>+L1643-E1643</f>
        <v>4145.5299999999988</v>
      </c>
      <c r="Q1643" s="49">
        <f>+M1643-F1643</f>
        <v>0.47999999999999687</v>
      </c>
      <c r="R1643" s="9"/>
    </row>
    <row r="1644" spans="1:18" x14ac:dyDescent="0.25">
      <c r="A1644" s="9" t="s">
        <v>201</v>
      </c>
      <c r="B1644" s="9">
        <f>ROW() - ROW(TablaCosechas[[#Headers],[ID]]) - 4</f>
        <v>1639</v>
      </c>
      <c r="C1644" s="9" t="str">
        <f>LEFT(A1644,2)</f>
        <v>TA</v>
      </c>
      <c r="D1644" s="182" t="s">
        <v>367</v>
      </c>
      <c r="E1644" s="178">
        <v>2800</v>
      </c>
      <c r="F1644" s="19">
        <v>30</v>
      </c>
      <c r="G1644" s="195">
        <v>46131</v>
      </c>
      <c r="H1644" s="9" t="str">
        <f>VLOOKUP(TablaCosechas[[#This Row],[COD]],DATOS!$E$3:$F$27,2,0)</f>
        <v>TAMBULERO</v>
      </c>
      <c r="I1644" s="9" t="str">
        <f>RIGHT(TablaCosechas[[#This Row],[SECTOR/PISCINA]],2)</f>
        <v>11</v>
      </c>
      <c r="J1644" s="9" t="str">
        <f>VLOOKUP(TablaCosechas[[#This Row],[COD]],Tabla7[#All],4,0)</f>
        <v>ALFONSO GRUNAUER</v>
      </c>
      <c r="K1644" s="179">
        <f>(TablaCosechas[[#This Row],[libras planta]]*454)/M1644</f>
        <v>66573.437454279439</v>
      </c>
      <c r="L1644" s="215">
        <v>4009.07</v>
      </c>
      <c r="M1644" s="19">
        <v>27.34</v>
      </c>
      <c r="N1644" s="9" t="str">
        <f>UPPER(TEXT(TablaCosechas[[#This Row],[COSECHA]],"MMMM"))</f>
        <v>ABRIL</v>
      </c>
      <c r="O1644" s="9" t="str">
        <f>IF(A1644="DO 29","BAP",IF(A1644="RO 14","BAP",(VLOOKUP(TablaCosechas[[#This Row],[COD]],Tabla7[[CODIGO]:[CERTIFICACION]],3,0))))</f>
        <v>CONVENCIONAL</v>
      </c>
      <c r="P1644" s="180">
        <f>+L1644-E1644</f>
        <v>1209.0700000000002</v>
      </c>
      <c r="Q1644" s="181">
        <f>+M1644-F1644</f>
        <v>-2.66</v>
      </c>
      <c r="R1644" s="9"/>
    </row>
    <row r="1645" spans="1:18" x14ac:dyDescent="0.25">
      <c r="A1645" s="9" t="s">
        <v>199</v>
      </c>
      <c r="B1645" s="9">
        <f>ROW() - ROW(TablaCosechas[[#Headers],[ID]]) - 4</f>
        <v>1640</v>
      </c>
      <c r="C1645" s="9" t="str">
        <f>LEFT(A1645,2)</f>
        <v>RO</v>
      </c>
      <c r="D1645" s="182" t="s">
        <v>367</v>
      </c>
      <c r="E1645" s="178">
        <v>12000</v>
      </c>
      <c r="F1645" s="19">
        <v>24</v>
      </c>
      <c r="G1645" s="195">
        <v>46131</v>
      </c>
      <c r="H1645" s="9" t="str">
        <f>VLOOKUP(TablaCosechas[[#This Row],[COD]],DATOS!$E$3:$F$27,2,0)</f>
        <v>ROBALO</v>
      </c>
      <c r="I1645" s="9" t="str">
        <f>RIGHT(TablaCosechas[[#This Row],[SECTOR/PISCINA]],2)</f>
        <v>08</v>
      </c>
      <c r="J1645" s="9" t="str">
        <f>VLOOKUP(TablaCosechas[[#This Row],[COD]],Tabla7[#All],4,0)</f>
        <v>VICTOR QUINTANA</v>
      </c>
      <c r="K1645" s="179">
        <f>(TablaCosechas[[#This Row],[libras planta]]*454)/M1645</f>
        <v>245457.45461912482</v>
      </c>
      <c r="L1645" s="215">
        <v>13343.37</v>
      </c>
      <c r="M1645" s="19">
        <v>24.68</v>
      </c>
      <c r="N1645" s="9" t="str">
        <f>UPPER(TEXT(TablaCosechas[[#This Row],[COSECHA]],"MMMM"))</f>
        <v>ABRIL</v>
      </c>
      <c r="O1645" s="9" t="str">
        <f>IF(A1645="DO 29","BAP",IF(A1645="RO 14","BAP",(VLOOKUP(TablaCosechas[[#This Row],[COD]],Tabla7[[CODIGO]:[CERTIFICACION]],3,0))))</f>
        <v>ASC</v>
      </c>
      <c r="P1645" s="180">
        <f>+L1645-E1645</f>
        <v>1343.3700000000008</v>
      </c>
      <c r="Q1645" s="181">
        <f>+M1645-F1645</f>
        <v>0.67999999999999972</v>
      </c>
      <c r="R1645" s="9"/>
    </row>
    <row r="1646" spans="1:18" x14ac:dyDescent="0.25">
      <c r="A1646" s="9" t="s">
        <v>247</v>
      </c>
      <c r="B1646" s="9">
        <f>ROW() - ROW(TablaCosechas[[#Headers],[ID]]) - 4</f>
        <v>1641</v>
      </c>
      <c r="C1646" s="9" t="str">
        <f>LEFT(A1646,2)</f>
        <v>PA</v>
      </c>
      <c r="D1646" s="182" t="s">
        <v>367</v>
      </c>
      <c r="E1646" s="178">
        <v>17000</v>
      </c>
      <c r="F1646" s="19">
        <v>15</v>
      </c>
      <c r="G1646" s="195">
        <v>46131</v>
      </c>
      <c r="H1646" s="9" t="str">
        <f>VLOOKUP(TablaCosechas[[#This Row],[COD]],DATOS!$E$3:$F$27,2,0)</f>
        <v>PAMPANO</v>
      </c>
      <c r="I1646" s="9" t="str">
        <f>RIGHT(TablaCosechas[[#This Row],[SECTOR/PISCINA]],2)</f>
        <v>18</v>
      </c>
      <c r="J1646" s="9" t="str">
        <f>VLOOKUP(TablaCosechas[[#This Row],[COD]],Tabla7[#All],4,0)</f>
        <v>GUSTAVO CARRASCO</v>
      </c>
      <c r="K1646" s="179">
        <f>(TablaCosechas[[#This Row],[libras planta]]*454)/M1646</f>
        <v>449478.36404494382</v>
      </c>
      <c r="L1646" s="215">
        <v>17622.72</v>
      </c>
      <c r="M1646" s="19">
        <v>17.8</v>
      </c>
      <c r="N1646" s="9" t="str">
        <f>UPPER(TEXT(TablaCosechas[[#This Row],[COSECHA]],"MMMM"))</f>
        <v>ABRIL</v>
      </c>
      <c r="O1646" s="9" t="str">
        <f>IF(A1646="DO 29","BAP",IF(A1646="RO 14","BAP",(VLOOKUP(TablaCosechas[[#This Row],[COD]],Tabla7[[CODIGO]:[CERTIFICACION]],3,0))))</f>
        <v>ASC</v>
      </c>
      <c r="P1646" s="180">
        <f>+L1646-E1646</f>
        <v>622.72000000000116</v>
      </c>
      <c r="Q1646" s="181">
        <f>+M1646-F1646</f>
        <v>2.8000000000000007</v>
      </c>
      <c r="R1646" s="9"/>
    </row>
    <row r="1647" spans="1:18" x14ac:dyDescent="0.25">
      <c r="A1647" s="9" t="s">
        <v>167</v>
      </c>
      <c r="B1647" s="9">
        <f>ROW() - ROW(TablaCosechas[[#Headers],[ID]]) - 4</f>
        <v>1642</v>
      </c>
      <c r="C1647" s="9" t="str">
        <f>LEFT(A1647,2)</f>
        <v>PA</v>
      </c>
      <c r="D1647" s="182" t="s">
        <v>366</v>
      </c>
      <c r="E1647" s="178">
        <v>8300</v>
      </c>
      <c r="F1647" s="19">
        <v>32</v>
      </c>
      <c r="G1647" s="195">
        <v>46131</v>
      </c>
      <c r="H1647" s="9" t="str">
        <f>VLOOKUP(TablaCosechas[[#This Row],[COD]],DATOS!$E$3:$F$27,2,0)</f>
        <v>PAMPANO</v>
      </c>
      <c r="I1647" s="9" t="str">
        <f>RIGHT(TablaCosechas[[#This Row],[SECTOR/PISCINA]],2)</f>
        <v>10</v>
      </c>
      <c r="J1647" s="9" t="str">
        <f>VLOOKUP(TablaCosechas[[#This Row],[COD]],Tabla7[#All],4,0)</f>
        <v>GUSTAVO CARRASCO</v>
      </c>
      <c r="K1647" s="179">
        <f>(TablaCosechas[[#This Row],[libras planta]]*454)/M1647</f>
        <v>124992.4914856136</v>
      </c>
      <c r="L1647" s="215">
        <v>9377.19</v>
      </c>
      <c r="M1647" s="19">
        <v>34.06</v>
      </c>
      <c r="N1647" s="9" t="str">
        <f>UPPER(TEXT(TablaCosechas[[#This Row],[COSECHA]],"MMMM"))</f>
        <v>ABRIL</v>
      </c>
      <c r="O1647" s="9" t="str">
        <f>IF(A1647="DO 29","BAP",IF(A1647="RO 14","BAP",(VLOOKUP(TablaCosechas[[#This Row],[COD]],Tabla7[[CODIGO]:[CERTIFICACION]],3,0))))</f>
        <v>ASC</v>
      </c>
      <c r="P1647" s="180">
        <f>+L1647-E1647</f>
        <v>1077.1900000000005</v>
      </c>
      <c r="Q1647" s="181">
        <f>+M1647-F1647</f>
        <v>2.0600000000000023</v>
      </c>
      <c r="R1647" s="9"/>
    </row>
    <row r="1648" spans="1:18" x14ac:dyDescent="0.25">
      <c r="A1648" s="9" t="s">
        <v>216</v>
      </c>
      <c r="B1648" s="9">
        <f>ROW() - ROW(TablaCosechas[[#Headers],[ID]]) - 4</f>
        <v>1643</v>
      </c>
      <c r="C1648" s="9" t="str">
        <f>LEFT(A1648,2)</f>
        <v>DO</v>
      </c>
      <c r="D1648" s="182" t="s">
        <v>367</v>
      </c>
      <c r="E1648" s="178">
        <v>13300</v>
      </c>
      <c r="F1648" s="19">
        <v>25</v>
      </c>
      <c r="G1648" s="195">
        <v>46131</v>
      </c>
      <c r="H1648" s="9" t="str">
        <f>VLOOKUP(TablaCosechas[[#This Row],[COD]],DATOS!$E$3:$F$27,2,0)</f>
        <v>DORADO</v>
      </c>
      <c r="I1648" s="9" t="str">
        <f>RIGHT(TablaCosechas[[#This Row],[SECTOR/PISCINA]],2)</f>
        <v>21</v>
      </c>
      <c r="J1648" s="9" t="str">
        <f>VLOOKUP(TablaCosechas[[#This Row],[COD]],Tabla7[#All],4,0)</f>
        <v>JOSE CEDEÑO</v>
      </c>
      <c r="K1648" s="179">
        <f>(TablaCosechas[[#This Row],[libras planta]]*454)/M1648</f>
        <v>254882.16171874999</v>
      </c>
      <c r="L1648" s="215">
        <v>14372.21</v>
      </c>
      <c r="M1648" s="19">
        <v>25.6</v>
      </c>
      <c r="N1648" s="9" t="str">
        <f>UPPER(TEXT(TablaCosechas[[#This Row],[COSECHA]],"MMMM"))</f>
        <v>ABRIL</v>
      </c>
      <c r="O1648" s="9" t="str">
        <f>IF(A1648="DO 29","BAP",IF(A1648="RO 14","BAP",(VLOOKUP(TablaCosechas[[#This Row],[COD]],Tabla7[[CODIGO]:[CERTIFICACION]],3,0))))</f>
        <v>ASC</v>
      </c>
      <c r="P1648" s="180">
        <f>+L1648-E1648</f>
        <v>1072.2099999999991</v>
      </c>
      <c r="Q1648" s="181">
        <f>+M1648-F1648</f>
        <v>0.60000000000000142</v>
      </c>
      <c r="R1648" s="9"/>
    </row>
    <row r="1649" spans="1:18" x14ac:dyDescent="0.25">
      <c r="A1649" s="9" t="s">
        <v>127</v>
      </c>
      <c r="B1649" s="9">
        <f>ROW() - ROW(TablaCosechas[[#Headers],[ID]]) - 4</f>
        <v>1644</v>
      </c>
      <c r="C1649" s="9" t="str">
        <f>LEFT(A1649,2)</f>
        <v>DO</v>
      </c>
      <c r="D1649" s="182" t="s">
        <v>367</v>
      </c>
      <c r="E1649" s="178">
        <v>16200</v>
      </c>
      <c r="F1649" s="19">
        <v>50</v>
      </c>
      <c r="G1649" s="195">
        <v>46131</v>
      </c>
      <c r="H1649" s="9" t="str">
        <f>VLOOKUP(TablaCosechas[[#This Row],[COD]],DATOS!$E$3:$F$27,2,0)</f>
        <v>DORADO</v>
      </c>
      <c r="I1649" s="9" t="str">
        <f>RIGHT(TablaCosechas[[#This Row],[SECTOR/PISCINA]],2)</f>
        <v>07</v>
      </c>
      <c r="J1649" s="9" t="str">
        <f>VLOOKUP(TablaCosechas[[#This Row],[COD]],Tabla7[#All],4,0)</f>
        <v>JOSE CEDEÑO</v>
      </c>
      <c r="K1649" s="179">
        <f>(TablaCosechas[[#This Row],[libras planta]]*454)/M1649</f>
        <v>156976.12649572649</v>
      </c>
      <c r="L1649" s="215">
        <v>16181.68</v>
      </c>
      <c r="M1649" s="19">
        <v>46.8</v>
      </c>
      <c r="N1649" s="9" t="str">
        <f>UPPER(TEXT(TablaCosechas[[#This Row],[COSECHA]],"MMMM"))</f>
        <v>ABRIL</v>
      </c>
      <c r="O1649" s="9" t="str">
        <f>IF(A1649="DO 29","BAP",IF(A1649="RO 14","BAP",(VLOOKUP(TablaCosechas[[#This Row],[COD]],Tabla7[[CODIGO]:[CERTIFICACION]],3,0))))</f>
        <v>ASC</v>
      </c>
      <c r="P1649" s="180">
        <f>+L1649-E1649</f>
        <v>-18.319999999999709</v>
      </c>
      <c r="Q1649" s="181">
        <f>+M1649-F1649</f>
        <v>-3.2000000000000028</v>
      </c>
      <c r="R1649" s="9"/>
    </row>
    <row r="1650" spans="1:18" x14ac:dyDescent="0.25">
      <c r="A1650" s="9" t="s">
        <v>125</v>
      </c>
      <c r="B1650" s="9">
        <f>ROW() - ROW(TablaCosechas[[#Headers],[ID]]) - 4</f>
        <v>1645</v>
      </c>
      <c r="C1650" s="9" t="str">
        <f>LEFT(A1650,2)</f>
        <v>DE</v>
      </c>
      <c r="D1650" s="182" t="s">
        <v>367</v>
      </c>
      <c r="E1650" s="178">
        <v>7000</v>
      </c>
      <c r="F1650" s="19">
        <v>18</v>
      </c>
      <c r="G1650" s="195">
        <v>46131</v>
      </c>
      <c r="H1650" s="9" t="str">
        <f>VLOOKUP(TablaCosechas[[#This Row],[COD]],DATOS!$E$3:$F$27,2,0)</f>
        <v>DELFIN</v>
      </c>
      <c r="I1650" s="9" t="str">
        <f>RIGHT(TablaCosechas[[#This Row],[SECTOR/PISCINA]],2)</f>
        <v>15</v>
      </c>
      <c r="J1650" s="9" t="str">
        <f>VLOOKUP(TablaCosechas[[#This Row],[COD]],Tabla7[#All],4,0)</f>
        <v>CARLOS FLORES</v>
      </c>
      <c r="K1650" s="179">
        <f>(TablaCosechas[[#This Row],[libras planta]]*454)/M1650</f>
        <v>167102.1390937829</v>
      </c>
      <c r="L1650" s="215">
        <v>6985.9</v>
      </c>
      <c r="M1650" s="19">
        <v>18.98</v>
      </c>
      <c r="N1650" s="9" t="str">
        <f>UPPER(TEXT(TablaCosechas[[#This Row],[COSECHA]],"MMMM"))</f>
        <v>ABRIL</v>
      </c>
      <c r="O1650" s="9" t="str">
        <f>IF(A1650="DO 29","BAP",IF(A1650="RO 14","BAP",(VLOOKUP(TablaCosechas[[#This Row],[COD]],Tabla7[[CODIGO]:[CERTIFICACION]],3,0))))</f>
        <v>CONVENCIONAL</v>
      </c>
      <c r="P1650" s="180">
        <f>+L1650-E1650</f>
        <v>-14.100000000000364</v>
      </c>
      <c r="Q1650" s="181">
        <f>+M1650-F1650</f>
        <v>0.98000000000000043</v>
      </c>
      <c r="R1650" s="9"/>
    </row>
    <row r="1651" spans="1:18" x14ac:dyDescent="0.25">
      <c r="A1651" s="9" t="s">
        <v>174</v>
      </c>
      <c r="B1651" s="9">
        <f>ROW() - ROW(TablaCosechas[[#Headers],[ID]]) - 4</f>
        <v>1646</v>
      </c>
      <c r="C1651" s="9" t="str">
        <f>LEFT(A1651,2)</f>
        <v>DE</v>
      </c>
      <c r="D1651" s="182" t="s">
        <v>367</v>
      </c>
      <c r="E1651" s="178">
        <v>6600</v>
      </c>
      <c r="F1651" s="19">
        <v>26</v>
      </c>
      <c r="G1651" s="195">
        <v>46131</v>
      </c>
      <c r="H1651" s="9" t="str">
        <f>VLOOKUP(TablaCosechas[[#This Row],[COD]],DATOS!$E$3:$F$27,2,0)</f>
        <v>DELFIN</v>
      </c>
      <c r="I1651" s="9" t="str">
        <f>RIGHT(TablaCosechas[[#This Row],[SECTOR/PISCINA]],2)</f>
        <v>07</v>
      </c>
      <c r="J1651" s="9" t="str">
        <f>VLOOKUP(TablaCosechas[[#This Row],[COD]],Tabla7[#All],4,0)</f>
        <v>CARLOS FLORES</v>
      </c>
      <c r="K1651" s="179">
        <f>(TablaCosechas[[#This Row],[libras planta]]*454)/M1651</f>
        <v>109839.38943396226</v>
      </c>
      <c r="L1651" s="215">
        <v>6411.33</v>
      </c>
      <c r="M1651" s="19">
        <v>26.5</v>
      </c>
      <c r="N1651" s="9" t="str">
        <f>UPPER(TEXT(TablaCosechas[[#This Row],[COSECHA]],"MMMM"))</f>
        <v>ABRIL</v>
      </c>
      <c r="O1651" s="9" t="str">
        <f>IF(A1651="DO 29","BAP",IF(A1651="RO 14","BAP",(VLOOKUP(TablaCosechas[[#This Row],[COD]],Tabla7[[CODIGO]:[CERTIFICACION]],3,0))))</f>
        <v>CONVENCIONAL</v>
      </c>
      <c r="P1651" s="180">
        <f>+L1651-E1651</f>
        <v>-188.67000000000007</v>
      </c>
      <c r="Q1651" s="181">
        <f>+M1651-F1651</f>
        <v>0.5</v>
      </c>
      <c r="R1651" s="9"/>
    </row>
    <row r="1652" spans="1:18" x14ac:dyDescent="0.25">
      <c r="A1652" s="9" t="s">
        <v>29</v>
      </c>
      <c r="B1652" s="9">
        <f>ROW() - ROW(TablaCosechas[[#Headers],[ID]]) - 4</f>
        <v>1647</v>
      </c>
      <c r="C1652" s="9" t="str">
        <f>LEFT(A1652,2)</f>
        <v>CH</v>
      </c>
      <c r="D1652" s="182" t="s">
        <v>367</v>
      </c>
      <c r="E1652" s="178">
        <v>3000</v>
      </c>
      <c r="F1652" s="19">
        <v>18.5</v>
      </c>
      <c r="G1652" s="195">
        <v>46131</v>
      </c>
      <c r="H1652" s="9" t="str">
        <f>VLOOKUP(TablaCosechas[[#This Row],[COD]],DATOS!$E$3:$F$27,2,0)</f>
        <v>CHERNA</v>
      </c>
      <c r="I1652" s="9" t="str">
        <f>RIGHT(TablaCosechas[[#This Row],[SECTOR/PISCINA]],2)</f>
        <v>25</v>
      </c>
      <c r="J1652" s="9" t="str">
        <f>VLOOKUP(TablaCosechas[[#This Row],[COD]],Tabla7[#All],4,0)</f>
        <v>SANTIAGO OBRIEN</v>
      </c>
      <c r="K1652" s="179">
        <f>(TablaCosechas[[#This Row],[libras planta]]*454)/M1652</f>
        <v>69548.754455445553</v>
      </c>
      <c r="L1652" s="215">
        <v>3094.46</v>
      </c>
      <c r="M1652" s="19">
        <v>20.2</v>
      </c>
      <c r="N1652" s="9" t="str">
        <f>UPPER(TEXT(TablaCosechas[[#This Row],[COSECHA]],"MMMM"))</f>
        <v>ABRIL</v>
      </c>
      <c r="O1652" s="9" t="str">
        <f>IF(A1652="DO 29","BAP",IF(A1652="RO 14","BAP",(VLOOKUP(TablaCosechas[[#This Row],[COD]],Tabla7[[CODIGO]:[CERTIFICACION]],3,0))))</f>
        <v>ASC</v>
      </c>
      <c r="P1652" s="180">
        <f>+L1652-E1652</f>
        <v>94.460000000000036</v>
      </c>
      <c r="Q1652" s="181">
        <f>+M1652-F1652</f>
        <v>1.6999999999999993</v>
      </c>
      <c r="R1652" s="9"/>
    </row>
    <row r="1653" spans="1:18" x14ac:dyDescent="0.25">
      <c r="A1653" s="9" t="s">
        <v>341</v>
      </c>
      <c r="B1653" s="9">
        <f>ROW() - ROW(TablaCosechas[[#Headers],[ID]]) - 4</f>
        <v>1648</v>
      </c>
      <c r="C1653" s="9" t="str">
        <f>LEFT(A1653,2)</f>
        <v>WA</v>
      </c>
      <c r="D1653" s="182" t="s">
        <v>366</v>
      </c>
      <c r="E1653" s="178">
        <v>17100</v>
      </c>
      <c r="F1653" s="19">
        <v>31</v>
      </c>
      <c r="G1653" s="195">
        <v>46132</v>
      </c>
      <c r="H1653" s="9" t="str">
        <f>VLOOKUP(TablaCosechas[[#This Row],[COD]],DATOS!$E$3:$F$27,2,0)</f>
        <v>WAHOO</v>
      </c>
      <c r="I1653" s="9" t="str">
        <f>RIGHT(TablaCosechas[[#This Row],[SECTOR/PISCINA]],2)</f>
        <v>05</v>
      </c>
      <c r="J1653" s="9" t="str">
        <f>VLOOKUP(TablaCosechas[[#This Row],[COD]],Tabla7[#All],4,0)</f>
        <v>JUNIOR ESQUIVEL</v>
      </c>
      <c r="K1653" s="179">
        <f>(TablaCosechas[[#This Row],[libras planta]]*454)/M1653</f>
        <v>269842.8330229671</v>
      </c>
      <c r="L1653" s="215">
        <v>19150.52</v>
      </c>
      <c r="M1653" s="19">
        <v>32.22</v>
      </c>
      <c r="N1653" s="9" t="str">
        <f>UPPER(TEXT(TablaCosechas[[#This Row],[COSECHA]],"MMMM"))</f>
        <v>ABRIL</v>
      </c>
      <c r="O1653" s="9" t="str">
        <f>IF(A1653="DO 29","BAP",IF(A1653="RO 14","BAP",(VLOOKUP(TablaCosechas[[#This Row],[COD]],Tabla7[[CODIGO]:[CERTIFICACION]],3,0))))</f>
        <v>CONVENCIONAL</v>
      </c>
      <c r="P1653" s="180">
        <f>+L1653-E1653</f>
        <v>2050.5200000000004</v>
      </c>
      <c r="Q1653" s="181">
        <f>+M1653-F1653</f>
        <v>1.2199999999999989</v>
      </c>
      <c r="R1653" s="9"/>
    </row>
    <row r="1654" spans="1:18" x14ac:dyDescent="0.25">
      <c r="A1654" s="9" t="s">
        <v>189</v>
      </c>
      <c r="B1654" s="9">
        <f>ROW() - ROW(TablaCosechas[[#Headers],[ID]]) - 4</f>
        <v>1649</v>
      </c>
      <c r="C1654" s="9" t="str">
        <f>LEFT(A1654,2)</f>
        <v>TU</v>
      </c>
      <c r="D1654" s="182" t="s">
        <v>367</v>
      </c>
      <c r="E1654" s="178">
        <v>4300</v>
      </c>
      <c r="F1654" s="19">
        <v>22</v>
      </c>
      <c r="G1654" s="195">
        <v>46132</v>
      </c>
      <c r="H1654" s="9" t="str">
        <f>VLOOKUP(TablaCosechas[[#This Row],[COD]],DATOS!$E$3:$F$27,2,0)</f>
        <v>TUNA</v>
      </c>
      <c r="I1654" s="9" t="str">
        <f>RIGHT(TablaCosechas[[#This Row],[SECTOR/PISCINA]],2)</f>
        <v>03</v>
      </c>
      <c r="J1654" s="9" t="str">
        <f>VLOOKUP(TablaCosechas[[#This Row],[COD]],Tabla7[#All],4,0)</f>
        <v>GUSTAVO CARRASCO</v>
      </c>
      <c r="K1654" s="179">
        <f>(TablaCosechas[[#This Row],[libras planta]]*454)/M1654</f>
        <v>87683.628959276015</v>
      </c>
      <c r="L1654" s="215">
        <v>4268.3</v>
      </c>
      <c r="M1654" s="19">
        <v>22.1</v>
      </c>
      <c r="N1654" s="9" t="str">
        <f>UPPER(TEXT(TablaCosechas[[#This Row],[COSECHA]],"MMMM"))</f>
        <v>ABRIL</v>
      </c>
      <c r="O1654" s="9" t="str">
        <f>IF(A1654="DO 29","BAP",IF(A1654="RO 14","BAP",(VLOOKUP(TablaCosechas[[#This Row],[COD]],Tabla7[[CODIGO]:[CERTIFICACION]],3,0))))</f>
        <v>ASC</v>
      </c>
      <c r="P1654" s="180">
        <f>+L1654-E1654</f>
        <v>-31.699999999999818</v>
      </c>
      <c r="Q1654" s="181">
        <f>+M1654-F1654</f>
        <v>0.10000000000000142</v>
      </c>
      <c r="R1654" s="9"/>
    </row>
    <row r="1655" spans="1:18" x14ac:dyDescent="0.25">
      <c r="A1655" s="9" t="s">
        <v>224</v>
      </c>
      <c r="B1655" s="9">
        <f>ROW() - ROW(TablaCosechas[[#Headers],[ID]]) - 4</f>
        <v>1650</v>
      </c>
      <c r="C1655" s="9" t="str">
        <f>LEFT(A1655,2)</f>
        <v>TI</v>
      </c>
      <c r="D1655" s="182" t="s">
        <v>367</v>
      </c>
      <c r="E1655" s="178">
        <v>11500</v>
      </c>
      <c r="F1655" s="19">
        <v>21</v>
      </c>
      <c r="G1655" s="195">
        <v>46132</v>
      </c>
      <c r="H1655" s="9" t="str">
        <f>VLOOKUP(TablaCosechas[[#This Row],[COD]],DATOS!$E$3:$F$27,2,0)</f>
        <v>TIBURON</v>
      </c>
      <c r="I1655" s="9" t="str">
        <f>RIGHT(TablaCosechas[[#This Row],[SECTOR/PISCINA]],2)</f>
        <v>02</v>
      </c>
      <c r="J1655" s="9" t="str">
        <f>VLOOKUP(TablaCosechas[[#This Row],[COD]],Tabla7[#All],4,0)</f>
        <v>ALFONSO GRUNAUER</v>
      </c>
      <c r="K1655" s="179">
        <f>(TablaCosechas[[#This Row],[libras planta]]*454)/M1655</f>
        <v>306464.89264413517</v>
      </c>
      <c r="L1655" s="215">
        <v>13581.66</v>
      </c>
      <c r="M1655" s="19">
        <v>20.12</v>
      </c>
      <c r="N1655" s="9" t="str">
        <f>UPPER(TEXT(TablaCosechas[[#This Row],[COSECHA]],"MMMM"))</f>
        <v>ABRIL</v>
      </c>
      <c r="O1655" s="9" t="str">
        <f>IF(A1655="DO 29","BAP",IF(A1655="RO 14","BAP",(VLOOKUP(TablaCosechas[[#This Row],[COD]],Tabla7[[CODIGO]:[CERTIFICACION]],3,0))))</f>
        <v>ASC</v>
      </c>
      <c r="P1655" s="180">
        <f>+L1655-E1655</f>
        <v>2081.66</v>
      </c>
      <c r="Q1655" s="181">
        <f>+M1655-F1655</f>
        <v>-0.87999999999999901</v>
      </c>
      <c r="R1655" s="9"/>
    </row>
    <row r="1656" spans="1:18" x14ac:dyDescent="0.25">
      <c r="A1656" s="9" t="s">
        <v>171</v>
      </c>
      <c r="B1656" s="9">
        <f>ROW() - ROW(TablaCosechas[[#Headers],[ID]]) - 4</f>
        <v>1651</v>
      </c>
      <c r="C1656" s="9" t="str">
        <f>LEFT(A1656,2)</f>
        <v>TA</v>
      </c>
      <c r="D1656" s="182" t="s">
        <v>367</v>
      </c>
      <c r="E1656" s="178">
        <f>9450</f>
        <v>9450</v>
      </c>
      <c r="F1656" s="19">
        <v>32</v>
      </c>
      <c r="G1656" s="195">
        <v>46132</v>
      </c>
      <c r="H1656" s="9" t="str">
        <f>VLOOKUP(TablaCosechas[[#This Row],[COD]],DATOS!$E$3:$F$27,2,0)</f>
        <v>TAMBULERO</v>
      </c>
      <c r="I1656" s="9" t="str">
        <f>RIGHT(TablaCosechas[[#This Row],[SECTOR/PISCINA]],2)</f>
        <v>13</v>
      </c>
      <c r="J1656" s="9" t="str">
        <f>VLOOKUP(TablaCosechas[[#This Row],[COD]],Tabla7[#All],4,0)</f>
        <v>ALFONSO GRUNAUER</v>
      </c>
      <c r="K1656" s="179">
        <f>(TablaCosechas[[#This Row],[libras planta]]*454)/M1656</f>
        <v>147255.25299043063</v>
      </c>
      <c r="L1656" s="215">
        <v>10846.29</v>
      </c>
      <c r="M1656" s="19">
        <v>33.44</v>
      </c>
      <c r="N1656" s="9" t="str">
        <f>UPPER(TEXT(TablaCosechas[[#This Row],[COSECHA]],"MMMM"))</f>
        <v>ABRIL</v>
      </c>
      <c r="O1656" s="9" t="str">
        <f>IF(A1656="DO 29","BAP",IF(A1656="RO 14","BAP",(VLOOKUP(TablaCosechas[[#This Row],[COD]],Tabla7[[CODIGO]:[CERTIFICACION]],3,0))))</f>
        <v>CONVENCIONAL</v>
      </c>
      <c r="P1656" s="180">
        <f>+L1656-E1656</f>
        <v>1396.2900000000009</v>
      </c>
      <c r="Q1656" s="181">
        <f>+M1656-F1656</f>
        <v>1.4399999999999977</v>
      </c>
      <c r="R1656" s="9"/>
    </row>
    <row r="1657" spans="1:18" x14ac:dyDescent="0.25">
      <c r="A1657" s="9" t="s">
        <v>259</v>
      </c>
      <c r="B1657" s="9">
        <f>ROW() - ROW(TablaCosechas[[#Headers],[ID]]) - 4</f>
        <v>1652</v>
      </c>
      <c r="C1657" s="9" t="str">
        <f>LEFT(A1657,2)</f>
        <v>PA</v>
      </c>
      <c r="D1657" s="182" t="s">
        <v>367</v>
      </c>
      <c r="E1657" s="178">
        <v>4000</v>
      </c>
      <c r="F1657" s="19">
        <v>15</v>
      </c>
      <c r="G1657" s="195">
        <v>46132</v>
      </c>
      <c r="H1657" s="9" t="str">
        <f>VLOOKUP(TablaCosechas[[#This Row],[COD]],DATOS!$E$3:$F$27,2,0)</f>
        <v>PAMPANO</v>
      </c>
      <c r="I1657" s="9" t="str">
        <f>RIGHT(TablaCosechas[[#This Row],[SECTOR/PISCINA]],2)</f>
        <v>19</v>
      </c>
      <c r="J1657" s="9" t="str">
        <f>VLOOKUP(TablaCosechas[[#This Row],[COD]],Tabla7[#All],4,0)</f>
        <v>GUSTAVO CARRASCO</v>
      </c>
      <c r="K1657" s="179">
        <f>(TablaCosechas[[#This Row],[libras planta]]*454)/M1657</f>
        <v>108360.4036885246</v>
      </c>
      <c r="L1657" s="215">
        <v>4659.0200000000004</v>
      </c>
      <c r="M1657" s="19">
        <v>19.52</v>
      </c>
      <c r="N1657" s="9" t="str">
        <f>UPPER(TEXT(TablaCosechas[[#This Row],[COSECHA]],"MMMM"))</f>
        <v>ABRIL</v>
      </c>
      <c r="O1657" s="9" t="str">
        <f>IF(A1657="DO 29","BAP",IF(A1657="RO 14","BAP",(VLOOKUP(TablaCosechas[[#This Row],[COD]],Tabla7[[CODIGO]:[CERTIFICACION]],3,0))))</f>
        <v>ASC</v>
      </c>
      <c r="P1657" s="180">
        <f>+L1657-E1657</f>
        <v>659.02000000000044</v>
      </c>
      <c r="Q1657" s="49">
        <f>+M1657-F1657</f>
        <v>4.5199999999999996</v>
      </c>
      <c r="R1657" s="9"/>
    </row>
    <row r="1658" spans="1:18" x14ac:dyDescent="0.25">
      <c r="A1658" s="9" t="s">
        <v>164</v>
      </c>
      <c r="B1658" s="9">
        <f>ROW() - ROW(TablaCosechas[[#Headers],[ID]]) - 4</f>
        <v>1653</v>
      </c>
      <c r="C1658" s="9" t="str">
        <f>LEFT(A1658,2)</f>
        <v>PA</v>
      </c>
      <c r="D1658" s="182" t="s">
        <v>366</v>
      </c>
      <c r="E1658" s="178">
        <v>23800</v>
      </c>
      <c r="F1658" s="19">
        <v>31</v>
      </c>
      <c r="G1658" s="195">
        <v>46132</v>
      </c>
      <c r="H1658" s="9" t="str">
        <f>VLOOKUP(TablaCosechas[[#This Row],[COD]],DATOS!$E$3:$F$27,2,0)</f>
        <v>PAMPANO</v>
      </c>
      <c r="I1658" s="9" t="str">
        <f>RIGHT(TablaCosechas[[#This Row],[SECTOR/PISCINA]],2)</f>
        <v>11</v>
      </c>
      <c r="J1658" s="9" t="str">
        <f>VLOOKUP(TablaCosechas[[#This Row],[COD]],Tabla7[#All],4,0)</f>
        <v>GUSTAVO CARRASCO</v>
      </c>
      <c r="K1658" s="179">
        <f>(TablaCosechas[[#This Row],[libras planta]]*454)/M1658</f>
        <v>321901.04345107853</v>
      </c>
      <c r="L1658" s="215">
        <v>22681.97</v>
      </c>
      <c r="M1658" s="19">
        <v>31.99</v>
      </c>
      <c r="N1658" s="9" t="str">
        <f>UPPER(TEXT(TablaCosechas[[#This Row],[COSECHA]],"MMMM"))</f>
        <v>ABRIL</v>
      </c>
      <c r="O1658" s="9" t="str">
        <f>IF(A1658="DO 29","BAP",IF(A1658="RO 14","BAP",(VLOOKUP(TablaCosechas[[#This Row],[COD]],Tabla7[[CODIGO]:[CERTIFICACION]],3,0))))</f>
        <v>ASC</v>
      </c>
      <c r="P1658" s="180">
        <f>+L1658-E2054</f>
        <v>22681.97</v>
      </c>
      <c r="Q1658" s="181">
        <f>+M1658-F1658</f>
        <v>0.98999999999999844</v>
      </c>
      <c r="R1658" s="9"/>
    </row>
    <row r="1659" spans="1:18" x14ac:dyDescent="0.25">
      <c r="A1659" s="9" t="s">
        <v>21</v>
      </c>
      <c r="B1659" s="9">
        <f>ROW() - ROW(TablaCosechas[[#Headers],[ID]]) - 4</f>
        <v>1654</v>
      </c>
      <c r="C1659" s="9" t="str">
        <f>LEFT(A1659,2)</f>
        <v>CH</v>
      </c>
      <c r="D1659" s="182" t="s">
        <v>366</v>
      </c>
      <c r="E1659" s="178">
        <v>9300</v>
      </c>
      <c r="F1659" s="19">
        <v>31</v>
      </c>
      <c r="G1659" s="195">
        <v>46132</v>
      </c>
      <c r="H1659" s="9" t="str">
        <f>VLOOKUP(TablaCosechas[[#This Row],[COD]],DATOS!$E$3:$F$27,2,0)</f>
        <v>CHERNA</v>
      </c>
      <c r="I1659" s="9" t="str">
        <f>RIGHT(TablaCosechas[[#This Row],[SECTOR/PISCINA]],2)</f>
        <v>15</v>
      </c>
      <c r="J1659" s="9" t="str">
        <f>VLOOKUP(TablaCosechas[[#This Row],[COD]],Tabla7[#All],4,0)</f>
        <v>SANTIAGO OBRIEN</v>
      </c>
      <c r="K1659" s="179">
        <f>(TablaCosechas[[#This Row],[libras planta]]*454)/M1659</f>
        <v>138110.83865030674</v>
      </c>
      <c r="L1659" s="215">
        <v>9917.2099999999991</v>
      </c>
      <c r="M1659" s="19">
        <v>32.6</v>
      </c>
      <c r="N1659" s="9" t="str">
        <f>UPPER(TEXT(TablaCosechas[[#This Row],[COSECHA]],"MMMM"))</f>
        <v>ABRIL</v>
      </c>
      <c r="O1659" s="9" t="str">
        <f>IF(A1659="DO 29","BAP",IF(A1659="RO 14","BAP",(VLOOKUP(TablaCosechas[[#This Row],[COD]],Tabla7[[CODIGO]:[CERTIFICACION]],3,0))))</f>
        <v>ASC</v>
      </c>
      <c r="P1659" s="180">
        <f>+L1659-E1659</f>
        <v>617.20999999999913</v>
      </c>
      <c r="Q1659" s="181">
        <f>+M1659-F1659</f>
        <v>1.6000000000000014</v>
      </c>
      <c r="R1659" s="9"/>
    </row>
    <row r="1660" spans="1:18" x14ac:dyDescent="0.25">
      <c r="A1660" s="9" t="s">
        <v>342</v>
      </c>
      <c r="B1660" s="9">
        <f>ROW() - ROW(TablaCosechas[[#Headers],[ID]]) - 4</f>
        <v>1655</v>
      </c>
      <c r="C1660" s="9" t="str">
        <f>LEFT(A1660,2)</f>
        <v>WA</v>
      </c>
      <c r="D1660" s="182" t="s">
        <v>366</v>
      </c>
      <c r="E1660" s="178">
        <v>12600</v>
      </c>
      <c r="F1660" s="19">
        <v>33</v>
      </c>
      <c r="G1660" s="195">
        <v>46133</v>
      </c>
      <c r="H1660" s="9" t="str">
        <f>VLOOKUP(TablaCosechas[[#This Row],[COD]],DATOS!$E$3:$F$27,2,0)</f>
        <v>WAHOO</v>
      </c>
      <c r="I1660" s="9" t="str">
        <f>RIGHT(TablaCosechas[[#This Row],[SECTOR/PISCINA]],2)</f>
        <v>24</v>
      </c>
      <c r="J1660" s="9" t="str">
        <f>VLOOKUP(TablaCosechas[[#This Row],[COD]],Tabla7[#All],4,0)</f>
        <v>JUNIOR ESQUIVEL</v>
      </c>
      <c r="K1660" s="179">
        <f>(TablaCosechas[[#This Row],[libras planta]]*454)/M1660</f>
        <v>169275.1681564246</v>
      </c>
      <c r="L1660" s="215">
        <v>13348.13</v>
      </c>
      <c r="M1660" s="205">
        <v>35.799999999999997</v>
      </c>
      <c r="N1660" s="9" t="str">
        <f>UPPER(TEXT(TablaCosechas[[#This Row],[COSECHA]],"MMMM"))</f>
        <v>ABRIL</v>
      </c>
      <c r="O1660" s="9" t="str">
        <f>IF(A1660="DO 29","BAP",IF(A1660="RO 14","BAP",(VLOOKUP(TablaCosechas[[#This Row],[COD]],Tabla7[[CODIGO]:[CERTIFICACION]],3,0))))</f>
        <v>CONVENCIONAL</v>
      </c>
      <c r="P1660" s="180">
        <f>+L1660-E1660</f>
        <v>748.1299999999992</v>
      </c>
      <c r="Q1660" s="181">
        <f>+M1660-F1660</f>
        <v>2.7999999999999972</v>
      </c>
      <c r="R1660" s="9"/>
    </row>
    <row r="1661" spans="1:18" x14ac:dyDescent="0.25">
      <c r="A1661" s="9" t="s">
        <v>192</v>
      </c>
      <c r="B1661" s="9">
        <f>ROW() - ROW(TablaCosechas[[#Headers],[ID]]) - 4</f>
        <v>1656</v>
      </c>
      <c r="C1661" s="9" t="str">
        <f>LEFT(A1661,2)</f>
        <v>TU</v>
      </c>
      <c r="D1661" s="182" t="s">
        <v>367</v>
      </c>
      <c r="E1661" s="178">
        <v>7250</v>
      </c>
      <c r="F1661" s="19">
        <v>26</v>
      </c>
      <c r="G1661" s="195">
        <v>46133</v>
      </c>
      <c r="H1661" s="9" t="str">
        <f>VLOOKUP(TablaCosechas[[#This Row],[COD]],DATOS!$E$3:$F$27,2,0)</f>
        <v>TUNA</v>
      </c>
      <c r="I1661" s="9" t="str">
        <f>RIGHT(TablaCosechas[[#This Row],[SECTOR/PISCINA]],2)</f>
        <v>02</v>
      </c>
      <c r="J1661" s="9" t="str">
        <f>VLOOKUP(TablaCosechas[[#This Row],[COD]],Tabla7[#All],4,0)</f>
        <v>GUSTAVO CARRASCO</v>
      </c>
      <c r="K1661" s="179">
        <f>(TablaCosechas[[#This Row],[libras planta]]*454)/M1661</f>
        <v>115864.50283687943</v>
      </c>
      <c r="L1661" s="215">
        <v>7196.87</v>
      </c>
      <c r="M1661" s="205">
        <v>28.2</v>
      </c>
      <c r="N1661" s="9" t="str">
        <f>UPPER(TEXT(TablaCosechas[[#This Row],[COSECHA]],"MMMM"))</f>
        <v>ABRIL</v>
      </c>
      <c r="O1661" s="9" t="str">
        <f>IF(A1661="DO 29","BAP",IF(A1661="RO 14","BAP",(VLOOKUP(TablaCosechas[[#This Row],[COD]],Tabla7[[CODIGO]:[CERTIFICACION]],3,0))))</f>
        <v>ASC</v>
      </c>
      <c r="P1661" s="180">
        <f>+L1661-E1661</f>
        <v>-53.130000000000109</v>
      </c>
      <c r="Q1661" s="181">
        <f>+M1661-F1661</f>
        <v>2.1999999999999993</v>
      </c>
      <c r="R1661" s="9"/>
    </row>
    <row r="1662" spans="1:18" x14ac:dyDescent="0.25">
      <c r="A1662" s="9" t="s">
        <v>195</v>
      </c>
      <c r="B1662" s="9">
        <f>ROW() - ROW(TablaCosechas[[#Headers],[ID]]) - 4</f>
        <v>1657</v>
      </c>
      <c r="C1662" s="9" t="str">
        <f>LEFT(A1662,2)</f>
        <v>TU</v>
      </c>
      <c r="D1662" s="182" t="s">
        <v>367</v>
      </c>
      <c r="E1662" s="178">
        <v>12000</v>
      </c>
      <c r="F1662" s="19">
        <v>26</v>
      </c>
      <c r="G1662" s="195">
        <v>46133</v>
      </c>
      <c r="H1662" s="9" t="str">
        <f>VLOOKUP(TablaCosechas[[#This Row],[COD]],DATOS!$E$3:$F$27,2,0)</f>
        <v>TUNA</v>
      </c>
      <c r="I1662" s="9" t="str">
        <f>RIGHT(TablaCosechas[[#This Row],[SECTOR/PISCINA]],2)</f>
        <v>01</v>
      </c>
      <c r="J1662" s="9" t="str">
        <f>VLOOKUP(TablaCosechas[[#This Row],[COD]],Tabla7[#All],4,0)</f>
        <v>GUSTAVO CARRASCO</v>
      </c>
      <c r="K1662" s="179">
        <f>(TablaCosechas[[#This Row],[libras planta]]*454)/M1662</f>
        <v>205152.92616033752</v>
      </c>
      <c r="L1662" s="215">
        <v>12851.43</v>
      </c>
      <c r="M1662" s="205">
        <v>28.44</v>
      </c>
      <c r="N1662" s="9" t="str">
        <f>UPPER(TEXT(TablaCosechas[[#This Row],[COSECHA]],"MMMM"))</f>
        <v>ABRIL</v>
      </c>
      <c r="O1662" s="9" t="str">
        <f>IF(A1662="DO 29","BAP",IF(A1662="RO 14","BAP",(VLOOKUP(TablaCosechas[[#This Row],[COD]],Tabla7[[CODIGO]:[CERTIFICACION]],3,0))))</f>
        <v>ASC</v>
      </c>
      <c r="P1662" s="180">
        <f>+L1662-E1662</f>
        <v>851.43000000000029</v>
      </c>
      <c r="Q1662" s="181">
        <f>+M1662-F1662</f>
        <v>2.4400000000000013</v>
      </c>
      <c r="R1662" s="9"/>
    </row>
    <row r="1663" spans="1:18" x14ac:dyDescent="0.25">
      <c r="A1663" s="9" t="s">
        <v>248</v>
      </c>
      <c r="B1663" s="9">
        <f>ROW() - ROW(TablaCosechas[[#Headers],[ID]]) - 4</f>
        <v>1658</v>
      </c>
      <c r="C1663" s="9" t="str">
        <f>LEFT(A1663,2)</f>
        <v>TA</v>
      </c>
      <c r="D1663" s="182" t="s">
        <v>367</v>
      </c>
      <c r="E1663" s="178">
        <v>12250</v>
      </c>
      <c r="F1663" s="19">
        <v>21</v>
      </c>
      <c r="G1663" s="195">
        <v>46133</v>
      </c>
      <c r="H1663" s="9" t="str">
        <f>VLOOKUP(TablaCosechas[[#This Row],[COD]],DATOS!$E$3:$F$27,2,0)</f>
        <v>TAMBULERO</v>
      </c>
      <c r="I1663" s="9" t="str">
        <f>RIGHT(TablaCosechas[[#This Row],[SECTOR/PISCINA]],2)</f>
        <v>16</v>
      </c>
      <c r="J1663" s="9" t="str">
        <f>VLOOKUP(TablaCosechas[[#This Row],[COD]],Tabla7[#All],4,0)</f>
        <v>ALFONSO GRUNAUER</v>
      </c>
      <c r="K1663" s="179">
        <f>(TablaCosechas[[#This Row],[libras planta]]*454)/M1663</f>
        <v>275686.62831050233</v>
      </c>
      <c r="L1663" s="215">
        <v>13298.54</v>
      </c>
      <c r="M1663" s="205">
        <v>21.9</v>
      </c>
      <c r="N1663" s="9" t="str">
        <f>UPPER(TEXT(TablaCosechas[[#This Row],[COSECHA]],"MMMM"))</f>
        <v>ABRIL</v>
      </c>
      <c r="O1663" s="9" t="str">
        <f>IF(A1663="DO 29","BAP",IF(A1663="RO 14","BAP",(VLOOKUP(TablaCosechas[[#This Row],[COD]],Tabla7[[CODIGO]:[CERTIFICACION]],3,0))))</f>
        <v>CONVENCIONAL</v>
      </c>
      <c r="P1663" s="180">
        <f>+L1663-E1663</f>
        <v>1048.5400000000009</v>
      </c>
      <c r="Q1663" s="181">
        <f>+M1663-F1663</f>
        <v>0.89999999999999858</v>
      </c>
      <c r="R1663" s="9"/>
    </row>
    <row r="1664" spans="1:18" x14ac:dyDescent="0.25">
      <c r="A1664" s="9" t="s">
        <v>255</v>
      </c>
      <c r="B1664" s="9">
        <f>ROW() - ROW(TablaCosechas[[#Headers],[ID]]) - 4</f>
        <v>1659</v>
      </c>
      <c r="C1664" s="9" t="str">
        <f>LEFT(A1664,2)</f>
        <v>RO</v>
      </c>
      <c r="D1664" s="182" t="s">
        <v>367</v>
      </c>
      <c r="E1664" s="178">
        <v>2600</v>
      </c>
      <c r="F1664" s="19">
        <v>16</v>
      </c>
      <c r="G1664" s="195">
        <v>46133</v>
      </c>
      <c r="H1664" s="9" t="str">
        <f>VLOOKUP(TablaCosechas[[#This Row],[COD]],DATOS!$E$3:$F$27,2,0)</f>
        <v>ROBALO</v>
      </c>
      <c r="I1664" s="9" t="str">
        <f>RIGHT(TablaCosechas[[#This Row],[SECTOR/PISCINA]],2)</f>
        <v>10</v>
      </c>
      <c r="J1664" s="9" t="str">
        <f>VLOOKUP(TablaCosechas[[#This Row],[COD]],Tabla7[#All],4,0)</f>
        <v>VICTOR QUINTANA</v>
      </c>
      <c r="K1664" s="179">
        <f>(TablaCosechas[[#This Row],[libras planta]]*454)/M1664</f>
        <v>78433.991935483878</v>
      </c>
      <c r="L1664" s="215">
        <v>2999.15</v>
      </c>
      <c r="M1664" s="205">
        <v>17.36</v>
      </c>
      <c r="N1664" s="9" t="str">
        <f>UPPER(TEXT(TablaCosechas[[#This Row],[COSECHA]],"MMMM"))</f>
        <v>ABRIL</v>
      </c>
      <c r="O1664" s="9" t="str">
        <f>IF(A1664="DO 29","BAP",IF(A1664="RO 14","BAP",(VLOOKUP(TablaCosechas[[#This Row],[COD]],Tabla7[[CODIGO]:[CERTIFICACION]],3,0))))</f>
        <v>ASC</v>
      </c>
      <c r="P1664" s="180">
        <f>+L1664-E1664</f>
        <v>399.15000000000009</v>
      </c>
      <c r="Q1664" s="181">
        <f>+M1664-F1664</f>
        <v>1.3599999999999994</v>
      </c>
      <c r="R1664" s="9"/>
    </row>
    <row r="1665" spans="1:18" x14ac:dyDescent="0.25">
      <c r="A1665" s="9" t="s">
        <v>208</v>
      </c>
      <c r="B1665" s="9">
        <f>ROW() - ROW(TablaCosechas[[#Headers],[ID]]) - 4</f>
        <v>1660</v>
      </c>
      <c r="C1665" s="9" t="str">
        <f>LEFT(A1665,2)</f>
        <v>DO</v>
      </c>
      <c r="D1665" s="182" t="s">
        <v>367</v>
      </c>
      <c r="E1665" s="178">
        <v>14000</v>
      </c>
      <c r="F1665" s="19">
        <v>30</v>
      </c>
      <c r="G1665" s="195">
        <v>46133</v>
      </c>
      <c r="H1665" s="9" t="str">
        <f>VLOOKUP(TablaCosechas[[#This Row],[COD]],DATOS!$E$3:$F$27,2,0)</f>
        <v>DORADO</v>
      </c>
      <c r="I1665" s="9" t="str">
        <f>RIGHT(TablaCosechas[[#This Row],[SECTOR/PISCINA]],2)</f>
        <v>04</v>
      </c>
      <c r="J1665" s="9" t="str">
        <f>VLOOKUP(TablaCosechas[[#This Row],[COD]],Tabla7[#All],4,0)</f>
        <v>JOSE CEDEÑO</v>
      </c>
      <c r="K1665" s="179">
        <f>(TablaCosechas[[#This Row],[libras planta]]*454)/M1665</f>
        <v>182846.75160462133</v>
      </c>
      <c r="L1665" s="215">
        <v>12549.57</v>
      </c>
      <c r="M1665" s="205">
        <v>31.16</v>
      </c>
      <c r="N1665" s="9" t="str">
        <f>UPPER(TEXT(TablaCosechas[[#This Row],[COSECHA]],"MMMM"))</f>
        <v>ABRIL</v>
      </c>
      <c r="O1665" s="9" t="str">
        <f>IF(A1665="DO 29","BAP",IF(A1665="RO 14","BAP",(VLOOKUP(TablaCosechas[[#This Row],[COD]],Tabla7[[CODIGO]:[CERTIFICACION]],3,0))))</f>
        <v>ASC</v>
      </c>
      <c r="P1665" s="180">
        <f>+L1665-E1665</f>
        <v>-1450.4300000000003</v>
      </c>
      <c r="Q1665" s="181">
        <f>+M1665-F1665</f>
        <v>1.1600000000000001</v>
      </c>
      <c r="R1665" s="9"/>
    </row>
    <row r="1666" spans="1:18" x14ac:dyDescent="0.25">
      <c r="A1666" s="9" t="s">
        <v>11</v>
      </c>
      <c r="B1666" s="9">
        <f>ROW() - ROW(TablaCosechas[[#Headers],[ID]]) - 4</f>
        <v>1661</v>
      </c>
      <c r="C1666" s="9" t="str">
        <f>LEFT(A1666,2)</f>
        <v>CH</v>
      </c>
      <c r="D1666" s="182" t="s">
        <v>366</v>
      </c>
      <c r="E1666" s="178">
        <v>18900</v>
      </c>
      <c r="F1666" s="19">
        <v>30</v>
      </c>
      <c r="G1666" s="195">
        <v>46133</v>
      </c>
      <c r="H1666" s="9" t="str">
        <f>VLOOKUP(TablaCosechas[[#This Row],[COD]],DATOS!$E$3:$F$27,2,0)</f>
        <v>CHERNA</v>
      </c>
      <c r="I1666" s="9" t="str">
        <f>RIGHT(TablaCosechas[[#This Row],[SECTOR/PISCINA]],2)</f>
        <v>05</v>
      </c>
      <c r="J1666" s="9" t="str">
        <f>VLOOKUP(TablaCosechas[[#This Row],[COD]],Tabla7[#All],4,0)</f>
        <v>SANTIAGO OBRIEN</v>
      </c>
      <c r="K1666" s="179">
        <f>(TablaCosechas[[#This Row],[libras planta]]*454)/M1666</f>
        <v>304033.31103448273</v>
      </c>
      <c r="L1666" s="215">
        <v>19420.63</v>
      </c>
      <c r="M1666" s="205">
        <v>29</v>
      </c>
      <c r="N1666" s="9" t="str">
        <f>UPPER(TEXT(TablaCosechas[[#This Row],[COSECHA]],"MMMM"))</f>
        <v>ABRIL</v>
      </c>
      <c r="O1666" s="9" t="str">
        <f>IF(A1666="DO 29","BAP",IF(A1666="RO 14","BAP",(VLOOKUP(TablaCosechas[[#This Row],[COD]],Tabla7[[CODIGO]:[CERTIFICACION]],3,0))))</f>
        <v>ASC</v>
      </c>
      <c r="P1666" s="180">
        <f>+L1666-E1666</f>
        <v>520.63000000000102</v>
      </c>
      <c r="Q1666" s="181">
        <f>+M1666-F1666</f>
        <v>-1</v>
      </c>
      <c r="R1666" s="9"/>
    </row>
    <row r="1667" spans="1:18" x14ac:dyDescent="0.25">
      <c r="A1667" s="9" t="s">
        <v>343</v>
      </c>
      <c r="B1667" s="9">
        <f>ROW() - ROW(TablaCosechas[[#Headers],[ID]]) - 4</f>
        <v>1662</v>
      </c>
      <c r="C1667" s="9" t="str">
        <f>LEFT(A1667,2)</f>
        <v>WA</v>
      </c>
      <c r="D1667" s="182" t="s">
        <v>366</v>
      </c>
      <c r="E1667" s="178">
        <v>10150</v>
      </c>
      <c r="F1667" s="19">
        <v>35</v>
      </c>
      <c r="G1667" s="195">
        <v>46134</v>
      </c>
      <c r="H1667" s="9" t="str">
        <f>VLOOKUP(TablaCosechas[[#This Row],[COD]],DATOS!$E$3:$F$27,2,0)</f>
        <v>WAHOO</v>
      </c>
      <c r="I1667" s="9" t="str">
        <f>RIGHT(TablaCosechas[[#This Row],[SECTOR/PISCINA]],2)</f>
        <v>08</v>
      </c>
      <c r="J1667" s="9" t="str">
        <f>VLOOKUP(TablaCosechas[[#This Row],[COD]],Tabla7[#All],4,0)</f>
        <v>JUNIOR ESQUIVEL</v>
      </c>
      <c r="K1667" s="179">
        <f>(TablaCosechas[[#This Row],[libras planta]]*454)/M1667</f>
        <v>151687.36213757819</v>
      </c>
      <c r="L1667" s="215">
        <v>11754.1</v>
      </c>
      <c r="M1667" s="19">
        <v>35.18</v>
      </c>
      <c r="N1667" s="9" t="str">
        <f>UPPER(TEXT(TablaCosechas[[#This Row],[COSECHA]],"MMMM"))</f>
        <v>ABRIL</v>
      </c>
      <c r="O1667" s="9" t="str">
        <f>IF(A1667="DO 29","BAP",IF(A1667="RO 14","BAP",(VLOOKUP(TablaCosechas[[#This Row],[COD]],Tabla7[[CODIGO]:[CERTIFICACION]],3,0))))</f>
        <v>CONVENCIONAL</v>
      </c>
      <c r="P1667" s="180">
        <f>+L1667-E1667</f>
        <v>1604.1000000000004</v>
      </c>
      <c r="Q1667" s="181">
        <f>+M1667-F1667</f>
        <v>0.17999999999999972</v>
      </c>
      <c r="R1667" s="9"/>
    </row>
    <row r="1668" spans="1:18" x14ac:dyDescent="0.25">
      <c r="A1668" s="9" t="s">
        <v>118</v>
      </c>
      <c r="B1668" s="9">
        <f>ROW() - ROW(TablaCosechas[[#Headers],[ID]]) - 4</f>
        <v>1663</v>
      </c>
      <c r="C1668" s="9" t="str">
        <f>LEFT(A1668,2)</f>
        <v>TI</v>
      </c>
      <c r="D1668" s="182" t="s">
        <v>366</v>
      </c>
      <c r="E1668" s="178">
        <v>30400</v>
      </c>
      <c r="F1668" s="19">
        <v>40</v>
      </c>
      <c r="G1668" s="195">
        <v>46134</v>
      </c>
      <c r="H1668" s="9" t="str">
        <f>VLOOKUP(TablaCosechas[[#This Row],[COD]],DATOS!$E$3:$F$27,2,0)</f>
        <v>TIBURON</v>
      </c>
      <c r="I1668" s="9" t="str">
        <f>RIGHT(TablaCosechas[[#This Row],[SECTOR/PISCINA]],2)</f>
        <v>06</v>
      </c>
      <c r="J1668" s="9" t="str">
        <f>VLOOKUP(TablaCosechas[[#This Row],[COD]],Tabla7[#All],4,0)</f>
        <v>ALFONSO GRUNAUER</v>
      </c>
      <c r="K1668" s="179">
        <f>(TablaCosechas[[#This Row],[libras planta]]*454)/M1668</f>
        <v>378727.65430107526</v>
      </c>
      <c r="L1668" s="215">
        <v>31032.31</v>
      </c>
      <c r="M1668" s="19">
        <v>37.200000000000003</v>
      </c>
      <c r="N1668" s="9" t="str">
        <f>UPPER(TEXT(TablaCosechas[[#This Row],[COSECHA]],"MMMM"))</f>
        <v>ABRIL</v>
      </c>
      <c r="O1668" s="9" t="str">
        <f>IF(A1668="DO 29","BAP",IF(A1668="RO 14","BAP",(VLOOKUP(TablaCosechas[[#This Row],[COD]],Tabla7[[CODIGO]:[CERTIFICACION]],3,0))))</f>
        <v>ASC</v>
      </c>
      <c r="P1668" s="180">
        <f>+L1668-E1668</f>
        <v>632.31000000000131</v>
      </c>
      <c r="Q1668" s="181">
        <f>+M1668-F1668</f>
        <v>-2.7999999999999972</v>
      </c>
      <c r="R1668" s="9"/>
    </row>
    <row r="1669" spans="1:18" x14ac:dyDescent="0.25">
      <c r="A1669" s="9" t="s">
        <v>261</v>
      </c>
      <c r="B1669" s="9">
        <f>ROW() - ROW(TablaCosechas[[#Headers],[ID]]) - 4</f>
        <v>1664</v>
      </c>
      <c r="C1669" s="9" t="str">
        <f>LEFT(A1669,2)</f>
        <v>PR</v>
      </c>
      <c r="D1669" s="182" t="s">
        <v>367</v>
      </c>
      <c r="E1669" s="178">
        <v>3600</v>
      </c>
      <c r="F1669" s="19">
        <v>16</v>
      </c>
      <c r="G1669" s="195">
        <v>46134</v>
      </c>
      <c r="H1669" s="9" t="str">
        <f>VLOOKUP(TablaCosechas[[#This Row],[COD]],DATOS!$E$3:$F$27,2,0)</f>
        <v>PARGO ROJO</v>
      </c>
      <c r="I1669" s="9" t="str">
        <f>RIGHT(TablaCosechas[[#This Row],[SECTOR/PISCINA]],2)</f>
        <v>12</v>
      </c>
      <c r="J1669" s="9" t="str">
        <f>VLOOKUP(TablaCosechas[[#This Row],[COD]],Tabla7[#All],4,0)</f>
        <v>WILMER TORRES</v>
      </c>
      <c r="K1669" s="179">
        <f>(TablaCosechas[[#This Row],[libras planta]]*454)/M1669</f>
        <v>109954.13120567375</v>
      </c>
      <c r="L1669" s="215">
        <v>4097.8500000000004</v>
      </c>
      <c r="M1669" s="19">
        <v>16.920000000000002</v>
      </c>
      <c r="N1669" s="9" t="str">
        <f>UPPER(TEXT(TablaCosechas[[#This Row],[COSECHA]],"MMMM"))</f>
        <v>ABRIL</v>
      </c>
      <c r="O1669" s="9" t="str">
        <f>IF(A1669="DO 29","BAP",IF(A1669="RO 14","BAP",(VLOOKUP(TablaCosechas[[#This Row],[COD]],Tabla7[[CODIGO]:[CERTIFICACION]],3,0))))</f>
        <v>CONVENCIONAL</v>
      </c>
      <c r="P1669" s="180">
        <f>+L1669-E1669</f>
        <v>497.85000000000036</v>
      </c>
      <c r="Q1669" s="181">
        <f>+M1669-F1669</f>
        <v>0.92000000000000171</v>
      </c>
      <c r="R1669" s="9"/>
    </row>
    <row r="1670" spans="1:18" x14ac:dyDescent="0.25">
      <c r="A1670" s="9" t="s">
        <v>251</v>
      </c>
      <c r="B1670" s="9">
        <f>ROW() - ROW(TablaCosechas[[#Headers],[ID]]) - 4</f>
        <v>1665</v>
      </c>
      <c r="C1670" s="9" t="str">
        <f>LEFT(A1670,2)</f>
        <v>PR</v>
      </c>
      <c r="D1670" s="182" t="s">
        <v>367</v>
      </c>
      <c r="E1670" s="178">
        <v>5200</v>
      </c>
      <c r="F1670" s="19">
        <v>15</v>
      </c>
      <c r="G1670" s="195">
        <v>46134</v>
      </c>
      <c r="H1670" s="9" t="str">
        <f>VLOOKUP(TablaCosechas[[#This Row],[COD]],DATOS!$E$3:$F$27,2,0)</f>
        <v>PARGO ROJO</v>
      </c>
      <c r="I1670" s="9" t="str">
        <f>RIGHT(TablaCosechas[[#This Row],[SECTOR/PISCINA]],2)</f>
        <v>01</v>
      </c>
      <c r="J1670" s="9" t="str">
        <f>VLOOKUP(TablaCosechas[[#This Row],[COD]],Tabla7[#All],4,0)</f>
        <v>WILMER TORRES</v>
      </c>
      <c r="K1670" s="179">
        <f>(TablaCosechas[[#This Row],[libras planta]]*454)/M1670</f>
        <v>174897.70072992702</v>
      </c>
      <c r="L1670" s="215">
        <v>6333.3</v>
      </c>
      <c r="M1670" s="19">
        <v>16.440000000000001</v>
      </c>
      <c r="N1670" s="9" t="str">
        <f>UPPER(TEXT(TablaCosechas[[#This Row],[COSECHA]],"MMMM"))</f>
        <v>ABRIL</v>
      </c>
      <c r="O1670" s="9" t="str">
        <f>IF(A1670="DO 29","BAP",IF(A1670="RO 14","BAP",(VLOOKUP(TablaCosechas[[#This Row],[COD]],Tabla7[[CODIGO]:[CERTIFICACION]],3,0))))</f>
        <v>CONVENCIONAL</v>
      </c>
      <c r="P1670" s="180">
        <f>+L1670-E1670</f>
        <v>1133.3000000000002</v>
      </c>
      <c r="Q1670" s="181">
        <f>+M1670-F1670</f>
        <v>1.4400000000000013</v>
      </c>
      <c r="R1670" s="9"/>
    </row>
    <row r="1671" spans="1:18" x14ac:dyDescent="0.25">
      <c r="A1671" s="9" t="s">
        <v>159</v>
      </c>
      <c r="B1671" s="9">
        <f>ROW() - ROW(TablaCosechas[[#Headers],[ID]]) - 4</f>
        <v>1666</v>
      </c>
      <c r="C1671" s="9" t="str">
        <f>LEFT(A1671,2)</f>
        <v>DO</v>
      </c>
      <c r="D1671" s="182" t="s">
        <v>367</v>
      </c>
      <c r="E1671" s="178">
        <v>20800</v>
      </c>
      <c r="F1671" s="19">
        <v>36</v>
      </c>
      <c r="G1671" s="195">
        <v>46134</v>
      </c>
      <c r="H1671" s="9" t="str">
        <f>VLOOKUP(TablaCosechas[[#This Row],[COD]],DATOS!$E$3:$F$27,2,0)</f>
        <v>DORADO</v>
      </c>
      <c r="I1671" s="9" t="str">
        <f>RIGHT(TablaCosechas[[#This Row],[SECTOR/PISCINA]],2)</f>
        <v>23</v>
      </c>
      <c r="J1671" s="9" t="str">
        <f>VLOOKUP(TablaCosechas[[#This Row],[COD]],Tabla7[#All],4,0)</f>
        <v>JOSE CEDEÑO</v>
      </c>
      <c r="K1671" s="179">
        <f>(TablaCosechas[[#This Row],[libras planta]]*454)/M1671</f>
        <v>277809.73545290937</v>
      </c>
      <c r="L1671" s="215">
        <v>20401.27</v>
      </c>
      <c r="M1671" s="19">
        <v>33.340000000000003</v>
      </c>
      <c r="N1671" s="9" t="str">
        <f>UPPER(TEXT(TablaCosechas[[#This Row],[COSECHA]],"MMMM"))</f>
        <v>ABRIL</v>
      </c>
      <c r="O1671" s="9" t="str">
        <f>IF(A1671="DO 29","BAP",IF(A1671="RO 14","BAP",(VLOOKUP(TablaCosechas[[#This Row],[COD]],Tabla7[[CODIGO]:[CERTIFICACION]],3,0))))</f>
        <v>ASC</v>
      </c>
      <c r="P1671" s="180">
        <f>+L1671-E1671</f>
        <v>-398.72999999999956</v>
      </c>
      <c r="Q1671" s="181">
        <f>+M1671-F1671</f>
        <v>-2.6599999999999966</v>
      </c>
      <c r="R1671" s="9"/>
    </row>
    <row r="1672" spans="1:18" x14ac:dyDescent="0.25">
      <c r="A1672" s="9" t="s">
        <v>147</v>
      </c>
      <c r="B1672" s="9">
        <f>ROW() - ROW(TablaCosechas[[#Headers],[ID]]) - 4</f>
        <v>1667</v>
      </c>
      <c r="C1672" s="9" t="str">
        <f>LEFT(A1672,2)</f>
        <v>DO</v>
      </c>
      <c r="D1672" s="182" t="s">
        <v>367</v>
      </c>
      <c r="E1672" s="178">
        <v>9000</v>
      </c>
      <c r="F1672" s="19">
        <v>35</v>
      </c>
      <c r="G1672" s="195">
        <v>46134</v>
      </c>
      <c r="H1672" s="9" t="str">
        <f>VLOOKUP(TablaCosechas[[#This Row],[COD]],DATOS!$E$3:$F$27,2,0)</f>
        <v>DORADO</v>
      </c>
      <c r="I1672" s="9" t="str">
        <f>RIGHT(TablaCosechas[[#This Row],[SECTOR/PISCINA]],2)</f>
        <v>08</v>
      </c>
      <c r="J1672" s="9" t="str">
        <f>VLOOKUP(TablaCosechas[[#This Row],[COD]],Tabla7[#All],4,0)</f>
        <v>JOSE CEDEÑO</v>
      </c>
      <c r="K1672" s="179">
        <f>(TablaCosechas[[#This Row],[libras planta]]*454)/M1672</f>
        <v>124750.59816828852</v>
      </c>
      <c r="L1672" s="174">
        <v>9600.85</v>
      </c>
      <c r="M1672" s="248">
        <v>34.94</v>
      </c>
      <c r="N1672" s="9" t="str">
        <f>UPPER(TEXT(TablaCosechas[[#This Row],[COSECHA]],"MMMM"))</f>
        <v>ABRIL</v>
      </c>
      <c r="O1672" s="9" t="str">
        <f>IF(A1672="DO 29","BAP",IF(A1672="RO 14","BAP",(VLOOKUP(TablaCosechas[[#This Row],[COD]],Tabla7[[CODIGO]:[CERTIFICACION]],3,0))))</f>
        <v>ASC</v>
      </c>
      <c r="P1672" s="180">
        <f>+L1672-E1672</f>
        <v>600.85000000000036</v>
      </c>
      <c r="Q1672" s="181">
        <f>+M1672-F1672</f>
        <v>-6.0000000000002274E-2</v>
      </c>
      <c r="R1672" s="9"/>
    </row>
    <row r="1673" spans="1:18" x14ac:dyDescent="0.25">
      <c r="A1673" s="9" t="s">
        <v>208</v>
      </c>
      <c r="B1673" s="9">
        <f>ROW() - ROW(TablaCosechas[[#Headers],[ID]]) - 4</f>
        <v>1668</v>
      </c>
      <c r="C1673" s="9" t="str">
        <f>LEFT(A1673,2)</f>
        <v>DO</v>
      </c>
      <c r="D1673" s="182" t="s">
        <v>367</v>
      </c>
      <c r="E1673" s="178">
        <f>17900</f>
        <v>17900</v>
      </c>
      <c r="F1673" s="19">
        <v>30</v>
      </c>
      <c r="G1673" s="195">
        <v>46134</v>
      </c>
      <c r="H1673" s="9" t="str">
        <f>VLOOKUP(TablaCosechas[[#This Row],[COD]],DATOS!$E$3:$F$27,2,0)</f>
        <v>DORADO</v>
      </c>
      <c r="I1673" s="9" t="str">
        <f>RIGHT(TablaCosechas[[#This Row],[SECTOR/PISCINA]],2)</f>
        <v>04</v>
      </c>
      <c r="J1673" s="9" t="str">
        <f>VLOOKUP(TablaCosechas[[#This Row],[COD]],Tabla7[#All],4,0)</f>
        <v>JOSE CEDEÑO</v>
      </c>
      <c r="K1673" s="179">
        <f>(TablaCosechas[[#This Row],[libras planta]]*454)/M1673</f>
        <v>306700.79714091221</v>
      </c>
      <c r="L1673" s="215">
        <v>19847.73</v>
      </c>
      <c r="M1673" s="19">
        <v>29.38</v>
      </c>
      <c r="N1673" s="9" t="str">
        <f>UPPER(TEXT(TablaCosechas[[#This Row],[COSECHA]],"MMMM"))</f>
        <v>ABRIL</v>
      </c>
      <c r="O1673" s="9" t="str">
        <f>IF(A1673="DO 29","BAP",IF(A1673="RO 14","BAP",(VLOOKUP(TablaCosechas[[#This Row],[COD]],Tabla7[[CODIGO]:[CERTIFICACION]],3,0))))</f>
        <v>ASC</v>
      </c>
      <c r="P1673" s="180">
        <f>+L1673-E1673</f>
        <v>1947.7299999999996</v>
      </c>
      <c r="Q1673" s="181">
        <f>+M1673-F1673</f>
        <v>-0.62000000000000099</v>
      </c>
      <c r="R1673" s="9"/>
    </row>
    <row r="1674" spans="1:18" x14ac:dyDescent="0.25">
      <c r="A1674" s="9" t="s">
        <v>260</v>
      </c>
      <c r="B1674" s="9">
        <f>ROW() - ROW(TablaCosechas[[#Headers],[ID]]) - 4</f>
        <v>1669</v>
      </c>
      <c r="C1674" s="9" t="str">
        <f>LEFT(A1674,2)</f>
        <v>DO</v>
      </c>
      <c r="D1674" s="182" t="s">
        <v>367</v>
      </c>
      <c r="E1674" s="178">
        <v>6000</v>
      </c>
      <c r="F1674" s="19">
        <v>21</v>
      </c>
      <c r="G1674" s="195">
        <v>46134</v>
      </c>
      <c r="H1674" s="9" t="str">
        <f>VLOOKUP(TablaCosechas[[#This Row],[COD]],DATOS!$E$3:$F$27,2,0)</f>
        <v>DORADO</v>
      </c>
      <c r="I1674" s="9" t="str">
        <f>RIGHT(TablaCosechas[[#This Row],[SECTOR/PISCINA]],2)</f>
        <v>03</v>
      </c>
      <c r="J1674" s="9" t="str">
        <f>VLOOKUP(TablaCosechas[[#This Row],[COD]],Tabla7[#All],4,0)</f>
        <v>JOSE CEDEÑO</v>
      </c>
      <c r="K1674" s="179">
        <f>(TablaCosechas[[#This Row],[libras planta]]*454)/M1674</f>
        <v>120393.31174438685</v>
      </c>
      <c r="L1674" s="215">
        <v>6141.65</v>
      </c>
      <c r="M1674" s="19">
        <v>23.16</v>
      </c>
      <c r="N1674" s="9" t="str">
        <f>UPPER(TEXT(TablaCosechas[[#This Row],[COSECHA]],"MMMM"))</f>
        <v>ABRIL</v>
      </c>
      <c r="O1674" s="9" t="str">
        <f>IF(A1674="DO 29","BAP",IF(A1674="RO 14","BAP",(VLOOKUP(TablaCosechas[[#This Row],[COD]],Tabla7[[CODIGO]:[CERTIFICACION]],3,0))))</f>
        <v>ASC</v>
      </c>
      <c r="P1674" s="180">
        <f>+L1674-E1674</f>
        <v>141.64999999999964</v>
      </c>
      <c r="Q1674" s="181">
        <f>+M1674-F1674</f>
        <v>2.16</v>
      </c>
      <c r="R1674" s="9"/>
    </row>
    <row r="1675" spans="1:18" x14ac:dyDescent="0.25">
      <c r="A1675" s="9" t="s">
        <v>14</v>
      </c>
      <c r="B1675" s="9">
        <f>ROW() - ROW(TablaCosechas[[#Headers],[ID]]) - 4</f>
        <v>1670</v>
      </c>
      <c r="C1675" s="9" t="str">
        <f>LEFT(A1675,2)</f>
        <v>CH</v>
      </c>
      <c r="D1675" s="182" t="s">
        <v>366</v>
      </c>
      <c r="E1675" s="178">
        <f>10200+400</f>
        <v>10600</v>
      </c>
      <c r="F1675" s="19">
        <v>31</v>
      </c>
      <c r="G1675" s="195">
        <v>46134</v>
      </c>
      <c r="H1675" s="9" t="str">
        <f>VLOOKUP(TablaCosechas[[#This Row],[COD]],DATOS!$E$3:$F$27,2,0)</f>
        <v>CHERNA</v>
      </c>
      <c r="I1675" s="9" t="str">
        <f>RIGHT(TablaCosechas[[#This Row],[SECTOR/PISCINA]],2)</f>
        <v>08</v>
      </c>
      <c r="J1675" s="9" t="str">
        <f>VLOOKUP(TablaCosechas[[#This Row],[COD]],Tabla7[#All],4,0)</f>
        <v>SANTIAGO OBRIEN</v>
      </c>
      <c r="K1675" s="179">
        <f>(TablaCosechas[[#This Row],[libras planta]]*454)/M1675</f>
        <v>173144.15252490554</v>
      </c>
      <c r="L1675" s="215">
        <v>11101.82</v>
      </c>
      <c r="M1675" s="19">
        <v>29.11</v>
      </c>
      <c r="N1675" s="9" t="str">
        <f>UPPER(TEXT(TablaCosechas[[#This Row],[COSECHA]],"MMMM"))</f>
        <v>ABRIL</v>
      </c>
      <c r="O1675" s="9" t="str">
        <f>IF(A1675="DO 29","BAP",IF(A1675="RO 14","BAP",(VLOOKUP(TablaCosechas[[#This Row],[COD]],Tabla7[[CODIGO]:[CERTIFICACION]],3,0))))</f>
        <v>ASC</v>
      </c>
      <c r="P1675" s="180">
        <f>+L1675-E1675</f>
        <v>501.81999999999971</v>
      </c>
      <c r="Q1675" s="49">
        <f>+M1675-F1675</f>
        <v>-1.8900000000000006</v>
      </c>
      <c r="R1675" s="9"/>
    </row>
    <row r="1676" spans="1:18" x14ac:dyDescent="0.25">
      <c r="A1676" s="9" t="s">
        <v>245</v>
      </c>
      <c r="B1676" s="9">
        <f>ROW() - ROW(TablaCosechas[[#Headers],[ID]]) - 4</f>
        <v>1671</v>
      </c>
      <c r="C1676" s="9" t="str">
        <f>LEFT(A1676,2)</f>
        <v>CA</v>
      </c>
      <c r="D1676" s="182" t="s">
        <v>367</v>
      </c>
      <c r="E1676" s="178">
        <v>5200</v>
      </c>
      <c r="F1676" s="19">
        <v>17</v>
      </c>
      <c r="G1676" s="195">
        <v>46134</v>
      </c>
      <c r="H1676" s="9" t="str">
        <f>VLOOKUP(TablaCosechas[[#This Row],[COD]],DATOS!$E$3:$F$27,2,0)</f>
        <v>CATANUDA</v>
      </c>
      <c r="I1676" s="9" t="str">
        <f>RIGHT(TablaCosechas[[#This Row],[SECTOR/PISCINA]],2)</f>
        <v>16</v>
      </c>
      <c r="J1676" s="9" t="str">
        <f>VLOOKUP(TablaCosechas[[#This Row],[COD]],Tabla7[#All],4,0)</f>
        <v>VICTOR QUINTANA</v>
      </c>
      <c r="K1676" s="179">
        <f>(TablaCosechas[[#This Row],[libras planta]]*454)/M1676</f>
        <v>132425.81318681317</v>
      </c>
      <c r="L1676" s="215">
        <v>5308.7</v>
      </c>
      <c r="M1676" s="19">
        <v>18.2</v>
      </c>
      <c r="N1676" s="9" t="str">
        <f>UPPER(TEXT(TablaCosechas[[#This Row],[COSECHA]],"MMMM"))</f>
        <v>ABRIL</v>
      </c>
      <c r="O1676" s="9" t="str">
        <f>IF(A1676="DO 29","BAP",IF(A1676="RO 14","BAP",(VLOOKUP(TablaCosechas[[#This Row],[COD]],Tabla7[[CODIGO]:[CERTIFICACION]],3,0))))</f>
        <v>ASC</v>
      </c>
      <c r="P1676" s="180">
        <f>+L1676-E1676</f>
        <v>108.69999999999982</v>
      </c>
      <c r="Q1676" s="49">
        <f>+M1676-F1676</f>
        <v>1.1999999999999993</v>
      </c>
      <c r="R1676" s="9"/>
    </row>
    <row r="1677" spans="1:18" x14ac:dyDescent="0.25">
      <c r="A1677" s="9" t="s">
        <v>344</v>
      </c>
      <c r="B1677" s="9">
        <f>ROW() - ROW(TablaCosechas[[#Headers],[ID]]) - 4</f>
        <v>1672</v>
      </c>
      <c r="C1677" s="9" t="str">
        <f>LEFT(A1677,2)</f>
        <v>WA</v>
      </c>
      <c r="D1677" s="182" t="s">
        <v>366</v>
      </c>
      <c r="E1677" s="178">
        <v>11000</v>
      </c>
      <c r="F1677" s="19">
        <v>33</v>
      </c>
      <c r="G1677" s="195">
        <v>46135</v>
      </c>
      <c r="H1677" s="9" t="str">
        <f>VLOOKUP(TablaCosechas[[#This Row],[COD]],DATOS!$E$3:$F$27,2,0)</f>
        <v>WAHOO</v>
      </c>
      <c r="I1677" s="9" t="str">
        <f>RIGHT(TablaCosechas[[#This Row],[SECTOR/PISCINA]],2)</f>
        <v>20</v>
      </c>
      <c r="J1677" s="9" t="str">
        <f>VLOOKUP(TablaCosechas[[#This Row],[COD]],Tabla7[#All],4,0)</f>
        <v>JUNIOR ESQUIVEL</v>
      </c>
      <c r="K1677" s="179">
        <f>(TablaCosechas[[#This Row],[libras planta]]*454)/M1677</f>
        <v>161347.4300486618</v>
      </c>
      <c r="L1677" s="215">
        <v>11685.25</v>
      </c>
      <c r="M1677" s="19">
        <v>32.880000000000003</v>
      </c>
      <c r="N1677" s="9" t="str">
        <f>UPPER(TEXT(TablaCosechas[[#This Row],[COSECHA]],"MMMM"))</f>
        <v>ABRIL</v>
      </c>
      <c r="O1677" s="9" t="str">
        <f>IF(A1677="DO 29","BAP",IF(A1677="RO 14","BAP",(VLOOKUP(TablaCosechas[[#This Row],[COD]],Tabla7[[CODIGO]:[CERTIFICACION]],3,0))))</f>
        <v>CONVENCIONAL</v>
      </c>
      <c r="P1677" s="180">
        <f>+L1677-E1677</f>
        <v>685.25</v>
      </c>
      <c r="Q1677" s="49">
        <f>+M1677-F1677</f>
        <v>-0.11999999999999744</v>
      </c>
      <c r="R1677" s="9"/>
    </row>
    <row r="1678" spans="1:18" x14ac:dyDescent="0.25">
      <c r="A1678" s="9" t="s">
        <v>122</v>
      </c>
      <c r="B1678" s="9">
        <f>ROW() - ROW(TablaCosechas[[#Headers],[ID]]) - 4</f>
        <v>1673</v>
      </c>
      <c r="C1678" s="9" t="str">
        <f>LEFT(A1678,2)</f>
        <v>TI</v>
      </c>
      <c r="D1678" s="182" t="s">
        <v>366</v>
      </c>
      <c r="E1678" s="178">
        <v>14500</v>
      </c>
      <c r="F1678" s="19">
        <v>41</v>
      </c>
      <c r="G1678" s="195">
        <v>46135</v>
      </c>
      <c r="H1678" s="9" t="str">
        <f>VLOOKUP(TablaCosechas[[#This Row],[COD]],DATOS!$E$3:$F$27,2,0)</f>
        <v>TIBURON</v>
      </c>
      <c r="I1678" s="9" t="str">
        <f>RIGHT(TablaCosechas[[#This Row],[SECTOR/PISCINA]],2)</f>
        <v>07</v>
      </c>
      <c r="J1678" s="9" t="str">
        <f>VLOOKUP(TablaCosechas[[#This Row],[COD]],Tabla7[#All],4,0)</f>
        <v>ALFONSO GRUNAUER</v>
      </c>
      <c r="K1678" s="179">
        <f>(TablaCosechas[[#This Row],[libras planta]]*454)/M1678</f>
        <v>175272.53067331671</v>
      </c>
      <c r="L1678" s="215">
        <v>15481.12</v>
      </c>
      <c r="M1678" s="19">
        <v>40.1</v>
      </c>
      <c r="N1678" s="9" t="str">
        <f>UPPER(TEXT(TablaCosechas[[#This Row],[COSECHA]],"MMMM"))</f>
        <v>ABRIL</v>
      </c>
      <c r="O1678" s="9" t="str">
        <f>IF(A1678="DO 29","BAP",IF(A1678="RO 14","BAP",(VLOOKUP(TablaCosechas[[#This Row],[COD]],Tabla7[[CODIGO]:[CERTIFICACION]],3,0))))</f>
        <v>ASC</v>
      </c>
      <c r="P1678" s="180">
        <f>+L1678-E1678</f>
        <v>981.1200000000008</v>
      </c>
      <c r="Q1678" s="49">
        <f>+M1678-F1678</f>
        <v>-0.89999999999999858</v>
      </c>
      <c r="R1678" s="9"/>
    </row>
    <row r="1679" spans="1:18" x14ac:dyDescent="0.25">
      <c r="A1679" s="9" t="s">
        <v>188</v>
      </c>
      <c r="B1679" s="9">
        <f>ROW() - ROW(TablaCosechas[[#Headers],[ID]]) - 4</f>
        <v>1674</v>
      </c>
      <c r="C1679" s="9" t="str">
        <f>LEFT(A1679,2)</f>
        <v>TI</v>
      </c>
      <c r="D1679" s="182" t="s">
        <v>366</v>
      </c>
      <c r="E1679" s="178">
        <v>28300</v>
      </c>
      <c r="F1679" s="19">
        <v>31</v>
      </c>
      <c r="G1679" s="195">
        <v>46135</v>
      </c>
      <c r="H1679" s="9" t="str">
        <f>VLOOKUP(TablaCosechas[[#This Row],[COD]],DATOS!$E$3:$F$27,2,0)</f>
        <v>TIBURON</v>
      </c>
      <c r="I1679" s="9" t="str">
        <f>RIGHT(TablaCosechas[[#This Row],[SECTOR/PISCINA]],2)</f>
        <v>03</v>
      </c>
      <c r="J1679" s="9" t="str">
        <f>VLOOKUP(TablaCosechas[[#This Row],[COD]],Tabla7[#All],4,0)</f>
        <v>ALFONSO GRUNAUER</v>
      </c>
      <c r="K1679" s="179">
        <f>(TablaCosechas[[#This Row],[libras planta]]*454)/M1679</f>
        <v>408194.94955863809</v>
      </c>
      <c r="L1679" s="215">
        <v>28519.7</v>
      </c>
      <c r="M1679" s="19">
        <v>31.72</v>
      </c>
      <c r="N1679" s="9" t="str">
        <f>UPPER(TEXT(TablaCosechas[[#This Row],[COSECHA]],"MMMM"))</f>
        <v>ABRIL</v>
      </c>
      <c r="O1679" s="9" t="str">
        <f>IF(A1679="DO 29","BAP",IF(A1679="RO 14","BAP",(VLOOKUP(TablaCosechas[[#This Row],[COD]],Tabla7[[CODIGO]:[CERTIFICACION]],3,0))))</f>
        <v>ASC</v>
      </c>
      <c r="P1679" s="180">
        <f>+L1679-E1679</f>
        <v>219.70000000000073</v>
      </c>
      <c r="Q1679" s="49">
        <f>+M1679-F1679</f>
        <v>0.71999999999999886</v>
      </c>
      <c r="R1679" s="9"/>
    </row>
    <row r="1680" spans="1:18" x14ac:dyDescent="0.25">
      <c r="A1680" s="9" t="s">
        <v>171</v>
      </c>
      <c r="B1680" s="9">
        <f>ROW() - ROW(TablaCosechas[[#Headers],[ID]]) - 4</f>
        <v>1675</v>
      </c>
      <c r="C1680" s="9" t="str">
        <f>LEFT(A1680,2)</f>
        <v>TA</v>
      </c>
      <c r="D1680" s="182" t="s">
        <v>366</v>
      </c>
      <c r="E1680" s="178">
        <v>1900</v>
      </c>
      <c r="F1680" s="19">
        <v>33</v>
      </c>
      <c r="G1680" s="195">
        <v>46135</v>
      </c>
      <c r="H1680" s="9" t="str">
        <f>VLOOKUP(TablaCosechas[[#This Row],[COD]],DATOS!$E$3:$F$27,2,0)</f>
        <v>TAMBULERO</v>
      </c>
      <c r="I1680" s="9" t="str">
        <f>RIGHT(TablaCosechas[[#This Row],[SECTOR/PISCINA]],2)</f>
        <v>13</v>
      </c>
      <c r="J1680" s="9" t="str">
        <f>VLOOKUP(TablaCosechas[[#This Row],[COD]],Tabla7[#All],4,0)</f>
        <v>ALFONSO GRUNAUER</v>
      </c>
      <c r="K1680" s="179">
        <f>(TablaCosechas[[#This Row],[libras planta]]*454)/M1680</f>
        <v>28249.490519877672</v>
      </c>
      <c r="L1680" s="215">
        <v>2034.71</v>
      </c>
      <c r="M1680" s="19">
        <v>32.700000000000003</v>
      </c>
      <c r="N1680" s="9" t="str">
        <f>UPPER(TEXT(TablaCosechas[[#This Row],[COSECHA]],"MMMM"))</f>
        <v>ABRIL</v>
      </c>
      <c r="O1680" s="9" t="str">
        <f>IF(A1680="DO 29","BAP",IF(A1680="RO 14","BAP",(VLOOKUP(TablaCosechas[[#This Row],[COD]],Tabla7[[CODIGO]:[CERTIFICACION]],3,0))))</f>
        <v>CONVENCIONAL</v>
      </c>
      <c r="P1680" s="180">
        <f>+L1680-E1680</f>
        <v>134.71000000000004</v>
      </c>
      <c r="Q1680" s="49">
        <f>+M1680-F1680</f>
        <v>-0.29999999999999716</v>
      </c>
      <c r="R1680" s="9"/>
    </row>
    <row r="1681" spans="1:18" x14ac:dyDescent="0.25">
      <c r="A1681" s="9" t="s">
        <v>229</v>
      </c>
      <c r="B1681" s="9">
        <f>ROW() - ROW(TablaCosechas[[#Headers],[ID]]) - 4</f>
        <v>1676</v>
      </c>
      <c r="C1681" s="9" t="str">
        <f>LEFT(A1681,2)</f>
        <v>PR</v>
      </c>
      <c r="D1681" s="182" t="s">
        <v>367</v>
      </c>
      <c r="E1681" s="178">
        <v>8000</v>
      </c>
      <c r="F1681" s="19">
        <v>15</v>
      </c>
      <c r="G1681" s="195">
        <v>46135</v>
      </c>
      <c r="H1681" s="9" t="str">
        <f>VLOOKUP(TablaCosechas[[#This Row],[COD]],DATOS!$E$3:$F$27,2,0)</f>
        <v>PARGO ROJO</v>
      </c>
      <c r="I1681" s="9" t="str">
        <f>RIGHT(TablaCosechas[[#This Row],[SECTOR/PISCINA]],2)</f>
        <v>11</v>
      </c>
      <c r="J1681" s="9" t="str">
        <f>VLOOKUP(TablaCosechas[[#This Row],[COD]],Tabla7[#All],4,0)</f>
        <v>WILMER TORRES</v>
      </c>
      <c r="K1681" s="179">
        <f>(TablaCosechas[[#This Row],[libras planta]]*454)/M1681</f>
        <v>280875.14017521904</v>
      </c>
      <c r="L1681" s="215">
        <v>9886.31</v>
      </c>
      <c r="M1681" s="19">
        <v>15.98</v>
      </c>
      <c r="N1681" s="9" t="str">
        <f>UPPER(TEXT(TablaCosechas[[#This Row],[COSECHA]],"MMMM"))</f>
        <v>ABRIL</v>
      </c>
      <c r="O1681" s="9" t="str">
        <f>IF(A1681="DO 29","BAP",IF(A1681="RO 14","BAP",(VLOOKUP(TablaCosechas[[#This Row],[COD]],Tabla7[[CODIGO]:[CERTIFICACION]],3,0))))</f>
        <v>CONVENCIONAL</v>
      </c>
      <c r="P1681" s="180">
        <f>+L1681-E1681</f>
        <v>1886.3099999999995</v>
      </c>
      <c r="Q1681" s="49">
        <f>+M1681-F1681</f>
        <v>0.98000000000000043</v>
      </c>
      <c r="R1681" s="9"/>
    </row>
    <row r="1682" spans="1:18" x14ac:dyDescent="0.25">
      <c r="A1682" s="9" t="s">
        <v>137</v>
      </c>
      <c r="B1682" s="9">
        <f>ROW() - ROW(TablaCosechas[[#Headers],[ID]]) - 4</f>
        <v>1677</v>
      </c>
      <c r="C1682" s="9" t="str">
        <f>LEFT(A1682,2)</f>
        <v>DO</v>
      </c>
      <c r="D1682" s="182" t="s">
        <v>366</v>
      </c>
      <c r="E1682" s="178">
        <v>21750</v>
      </c>
      <c r="F1682" s="19">
        <v>38</v>
      </c>
      <c r="G1682" s="195">
        <v>46135</v>
      </c>
      <c r="H1682" s="9" t="str">
        <f>VLOOKUP(TablaCosechas[[#This Row],[COD]],DATOS!$E$3:$F$27,2,0)</f>
        <v>DORADO</v>
      </c>
      <c r="I1682" s="9" t="str">
        <f>RIGHT(TablaCosechas[[#This Row],[SECTOR/PISCINA]],2)</f>
        <v>20</v>
      </c>
      <c r="J1682" s="9" t="str">
        <f>VLOOKUP(TablaCosechas[[#This Row],[COD]],Tabla7[#All],4,0)</f>
        <v>JOSE CEDEÑO</v>
      </c>
      <c r="K1682" s="179">
        <f>(TablaCosechas[[#This Row],[libras planta]]*454)/M1682</f>
        <v>276437.95248380129</v>
      </c>
      <c r="L1682" s="215">
        <v>22553.439999999999</v>
      </c>
      <c r="M1682" s="19">
        <v>37.04</v>
      </c>
      <c r="N1682" s="9" t="str">
        <f>UPPER(TEXT(TablaCosechas[[#This Row],[COSECHA]],"MMMM"))</f>
        <v>ABRIL</v>
      </c>
      <c r="O1682" s="9" t="str">
        <f>IF(A1682="DO 29","BAP",IF(A1682="RO 14","BAP",(VLOOKUP(TablaCosechas[[#This Row],[COD]],Tabla7[[CODIGO]:[CERTIFICACION]],3,0))))</f>
        <v>ASC</v>
      </c>
      <c r="P1682" s="180">
        <f>+L1682-E1682</f>
        <v>803.43999999999869</v>
      </c>
      <c r="Q1682" s="49">
        <f>+M1682-F1682</f>
        <v>-0.96000000000000085</v>
      </c>
      <c r="R1682" s="9"/>
    </row>
    <row r="1683" spans="1:18" x14ac:dyDescent="0.25">
      <c r="A1683" s="9" t="s">
        <v>267</v>
      </c>
      <c r="B1683" s="9">
        <f>ROW() - ROW(TablaCosechas[[#Headers],[ID]]) - 4</f>
        <v>1678</v>
      </c>
      <c r="C1683" s="9" t="str">
        <f>LEFT(A1683,2)</f>
        <v>DO</v>
      </c>
      <c r="D1683" s="182" t="s">
        <v>367</v>
      </c>
      <c r="E1683" s="178">
        <v>6300</v>
      </c>
      <c r="F1683" s="19">
        <v>20.5</v>
      </c>
      <c r="G1683" s="195">
        <v>46135</v>
      </c>
      <c r="H1683" s="9" t="str">
        <f>VLOOKUP(TablaCosechas[[#This Row],[COD]],DATOS!$E$3:$F$27,2,0)</f>
        <v>DORADO</v>
      </c>
      <c r="I1683" s="9" t="str">
        <f>RIGHT(TablaCosechas[[#This Row],[SECTOR/PISCINA]],2)</f>
        <v>17</v>
      </c>
      <c r="J1683" s="9" t="str">
        <f>VLOOKUP(TablaCosechas[[#This Row],[COD]],Tabla7[#All],4,0)</f>
        <v>JOSE CEDEÑO</v>
      </c>
      <c r="K1683" s="179">
        <f>(TablaCosechas[[#This Row],[libras planta]]*454)/M1683</f>
        <v>114314.41228070174</v>
      </c>
      <c r="L1683" s="215">
        <v>5740.9</v>
      </c>
      <c r="M1683" s="19">
        <v>22.8</v>
      </c>
      <c r="N1683" s="9" t="str">
        <f>UPPER(TEXT(TablaCosechas[[#This Row],[COSECHA]],"MMMM"))</f>
        <v>ABRIL</v>
      </c>
      <c r="O1683" s="9" t="str">
        <f>IF(A1683="DO 29","BAP",IF(A1683="RO 14","BAP",(VLOOKUP(TablaCosechas[[#This Row],[COD]],Tabla7[[CODIGO]:[CERTIFICACION]],3,0))))</f>
        <v>ASC</v>
      </c>
      <c r="P1683" s="180">
        <f>+L1683-E1683</f>
        <v>-559.10000000000036</v>
      </c>
      <c r="Q1683" s="49">
        <f>+M1683-F1683</f>
        <v>2.3000000000000007</v>
      </c>
      <c r="R1683" s="9"/>
    </row>
    <row r="1684" spans="1:18" x14ac:dyDescent="0.25">
      <c r="A1684" s="9" t="s">
        <v>147</v>
      </c>
      <c r="B1684" s="9">
        <f>ROW() - ROW(TablaCosechas[[#Headers],[ID]]) - 4</f>
        <v>1679</v>
      </c>
      <c r="C1684" s="9" t="str">
        <f>LEFT(A1684,2)</f>
        <v>DO</v>
      </c>
      <c r="D1684" s="182" t="s">
        <v>366</v>
      </c>
      <c r="E1684" s="178">
        <f>8800+19200</f>
        <v>28000</v>
      </c>
      <c r="F1684" s="19">
        <v>35</v>
      </c>
      <c r="G1684" s="195">
        <v>46135</v>
      </c>
      <c r="H1684" s="9" t="str">
        <f>VLOOKUP(TablaCosechas[[#This Row],[COD]],DATOS!$E$3:$F$27,2,0)</f>
        <v>DORADO</v>
      </c>
      <c r="I1684" s="9" t="str">
        <f>RIGHT(TablaCosechas[[#This Row],[SECTOR/PISCINA]],2)</f>
        <v>08</v>
      </c>
      <c r="J1684" s="9" t="str">
        <f>VLOOKUP(TablaCosechas[[#This Row],[COD]],Tabla7[#All],4,0)</f>
        <v>JOSE CEDEÑO</v>
      </c>
      <c r="K1684" s="179">
        <f>(TablaCosechas[[#This Row],[libras planta]]*454)/M1684</f>
        <v>365349.23777591507</v>
      </c>
      <c r="L1684" s="215">
        <v>28801.43</v>
      </c>
      <c r="M1684" s="19">
        <v>35.79</v>
      </c>
      <c r="N1684" s="9" t="str">
        <f>UPPER(TEXT(TablaCosechas[[#This Row],[COSECHA]],"MMMM"))</f>
        <v>ABRIL</v>
      </c>
      <c r="O1684" s="9" t="str">
        <f>IF(A1684="DO 29","BAP",IF(A1684="RO 14","BAP",(VLOOKUP(TablaCosechas[[#This Row],[COD]],Tabla7[[CODIGO]:[CERTIFICACION]],3,0))))</f>
        <v>ASC</v>
      </c>
      <c r="P1684" s="180">
        <f>+L1684-E1684</f>
        <v>801.43000000000029</v>
      </c>
      <c r="Q1684" s="49">
        <f>+M1684-F1684</f>
        <v>0.78999999999999915</v>
      </c>
      <c r="R1684" s="9"/>
    </row>
    <row r="1685" spans="1:18" x14ac:dyDescent="0.25">
      <c r="A1685" s="9" t="s">
        <v>193</v>
      </c>
      <c r="B1685" s="9">
        <f>ROW() - ROW(TablaCosechas[[#Headers],[ID]]) - 4</f>
        <v>1680</v>
      </c>
      <c r="C1685" s="9" t="str">
        <f>LEFT(A1685,2)</f>
        <v>DE</v>
      </c>
      <c r="D1685" s="182" t="s">
        <v>367</v>
      </c>
      <c r="E1685" s="178">
        <v>12900</v>
      </c>
      <c r="F1685" s="19">
        <v>33</v>
      </c>
      <c r="G1685" s="195">
        <v>46135</v>
      </c>
      <c r="H1685" s="9" t="str">
        <f>VLOOKUP(TablaCosechas[[#This Row],[COD]],DATOS!$E$3:$F$27,2,0)</f>
        <v>DELFIN</v>
      </c>
      <c r="I1685" s="9" t="str">
        <f>RIGHT(TablaCosechas[[#This Row],[SECTOR/PISCINA]],2)</f>
        <v>21</v>
      </c>
      <c r="J1685" s="9" t="str">
        <f>VLOOKUP(TablaCosechas[[#This Row],[COD]],Tabla7[#All],4,0)</f>
        <v>CARLOS FLORES</v>
      </c>
      <c r="K1685" s="179">
        <f>(TablaCosechas[[#This Row],[libras planta]]*454)/M1685</f>
        <v>207839.55590851334</v>
      </c>
      <c r="L1685" s="215">
        <v>14411.43</v>
      </c>
      <c r="M1685" s="19">
        <v>31.48</v>
      </c>
      <c r="N1685" s="9" t="str">
        <f>UPPER(TEXT(TablaCosechas[[#This Row],[COSECHA]],"MMMM"))</f>
        <v>ABRIL</v>
      </c>
      <c r="O1685" s="9" t="str">
        <f>IF(A1685="DO 29","BAP",IF(A1685="RO 14","BAP",(VLOOKUP(TablaCosechas[[#This Row],[COD]],Tabla7[[CODIGO]:[CERTIFICACION]],3,0))))</f>
        <v>CONVENCIONAL</v>
      </c>
      <c r="P1685" s="180">
        <f>+L1685-E1685</f>
        <v>1511.4300000000003</v>
      </c>
      <c r="Q1685" s="49">
        <f>+M1685-F1685</f>
        <v>-1.5199999999999996</v>
      </c>
      <c r="R1685" s="9"/>
    </row>
    <row r="1686" spans="1:18" x14ac:dyDescent="0.25">
      <c r="A1686" s="9" t="s">
        <v>22</v>
      </c>
      <c r="B1686" s="9">
        <f>ROW() - ROW(TablaCosechas[[#Headers],[ID]]) - 4</f>
        <v>1681</v>
      </c>
      <c r="C1686" s="9" t="str">
        <f>LEFT(A1686,2)</f>
        <v>CH</v>
      </c>
      <c r="D1686" s="182" t="s">
        <v>366</v>
      </c>
      <c r="E1686" s="178">
        <v>31800</v>
      </c>
      <c r="F1686" s="19">
        <v>31</v>
      </c>
      <c r="G1686" s="195">
        <v>46135</v>
      </c>
      <c r="H1686" s="9" t="str">
        <f>VLOOKUP(TablaCosechas[[#This Row],[COD]],DATOS!$E$3:$F$27,2,0)</f>
        <v>CHERNA</v>
      </c>
      <c r="I1686" s="9" t="str">
        <f>RIGHT(TablaCosechas[[#This Row],[SECTOR/PISCINA]],2)</f>
        <v>16</v>
      </c>
      <c r="J1686" s="9" t="str">
        <f>VLOOKUP(TablaCosechas[[#This Row],[COD]],Tabla7[#All],4,0)</f>
        <v>SANTIAGO OBRIEN</v>
      </c>
      <c r="K1686" s="179">
        <f>(TablaCosechas[[#This Row],[libras planta]]*454)/M1686</f>
        <v>520609.92955892038</v>
      </c>
      <c r="L1686" s="215">
        <v>34837.29</v>
      </c>
      <c r="M1686" s="19">
        <v>30.38</v>
      </c>
      <c r="N1686" s="9" t="str">
        <f>UPPER(TEXT(TablaCosechas[[#This Row],[COSECHA]],"MMMM"))</f>
        <v>ABRIL</v>
      </c>
      <c r="O1686" s="9" t="str">
        <f>IF(A1686="DO 29","BAP",IF(A1686="RO 14","BAP",(VLOOKUP(TablaCosechas[[#This Row],[COD]],Tabla7[[CODIGO]:[CERTIFICACION]],3,0))))</f>
        <v>ASC</v>
      </c>
      <c r="P1686" s="180">
        <f>+L1686-E1686</f>
        <v>3037.2900000000009</v>
      </c>
      <c r="Q1686" s="49">
        <f>+M1686-F1686</f>
        <v>-0.62000000000000099</v>
      </c>
      <c r="R1686" s="9"/>
    </row>
    <row r="1687" spans="1:18" x14ac:dyDescent="0.25">
      <c r="A1687" s="9" t="s">
        <v>212</v>
      </c>
      <c r="B1687" s="9">
        <f>ROW() - ROW(TablaCosechas[[#Headers],[ID]]) - 4</f>
        <v>1682</v>
      </c>
      <c r="C1687" s="9" t="str">
        <f>LEFT(A1687,2)</f>
        <v>CA</v>
      </c>
      <c r="D1687" s="182" t="s">
        <v>367</v>
      </c>
      <c r="E1687" s="178">
        <v>6300</v>
      </c>
      <c r="F1687" s="19">
        <v>23</v>
      </c>
      <c r="G1687" s="195">
        <v>46135</v>
      </c>
      <c r="H1687" s="9" t="str">
        <f>VLOOKUP(TablaCosechas[[#This Row],[COD]],DATOS!$E$3:$F$27,2,0)</f>
        <v>CATANUDA</v>
      </c>
      <c r="I1687" s="9" t="str">
        <f>RIGHT(TablaCosechas[[#This Row],[SECTOR/PISCINA]],2)</f>
        <v>09</v>
      </c>
      <c r="J1687" s="9" t="str">
        <f>VLOOKUP(TablaCosechas[[#This Row],[COD]],Tabla7[#All],4,0)</f>
        <v>VICTOR QUINTANA</v>
      </c>
      <c r="K1687" s="179">
        <f>(TablaCosechas[[#This Row],[libras planta]]*454)/M1687</f>
        <v>124162.5406504065</v>
      </c>
      <c r="L1687" s="215">
        <v>6727.75</v>
      </c>
      <c r="M1687" s="19">
        <v>24.6</v>
      </c>
      <c r="N1687" s="9" t="str">
        <f>UPPER(TEXT(TablaCosechas[[#This Row],[COSECHA]],"MMMM"))</f>
        <v>ABRIL</v>
      </c>
      <c r="O1687" s="9" t="str">
        <f>IF(A1687="DO 29","BAP",IF(A1687="RO 14","BAP",(VLOOKUP(TablaCosechas[[#This Row],[COD]],Tabla7[[CODIGO]:[CERTIFICACION]],3,0))))</f>
        <v>ASC</v>
      </c>
      <c r="P1687" s="180">
        <f>+L1687-E1687</f>
        <v>427.75</v>
      </c>
      <c r="Q1687" s="49">
        <f>+M1687-F1687</f>
        <v>1.6000000000000014</v>
      </c>
      <c r="R1687" s="9"/>
    </row>
    <row r="1688" spans="1:18" x14ac:dyDescent="0.25">
      <c r="A1688" s="9" t="s">
        <v>213</v>
      </c>
      <c r="B1688" s="9">
        <f>ROW() - ROW(TablaCosechas[[#Headers],[ID]]) - 4</f>
        <v>1683</v>
      </c>
      <c r="C1688" s="9" t="str">
        <f>LEFT(A1688,2)</f>
        <v>CA</v>
      </c>
      <c r="D1688" s="182" t="s">
        <v>367</v>
      </c>
      <c r="E1688" s="178">
        <v>4900</v>
      </c>
      <c r="F1688" s="19">
        <v>22</v>
      </c>
      <c r="G1688" s="195">
        <v>46135</v>
      </c>
      <c r="H1688" s="9" t="str">
        <f>VLOOKUP(TablaCosechas[[#This Row],[COD]],DATOS!$E$3:$F$27,2,0)</f>
        <v>CATANUDA</v>
      </c>
      <c r="I1688" s="9" t="str">
        <f>RIGHT(TablaCosechas[[#This Row],[SECTOR/PISCINA]],2)</f>
        <v>07</v>
      </c>
      <c r="J1688" s="9" t="str">
        <f>VLOOKUP(TablaCosechas[[#This Row],[COD]],Tabla7[#All],4,0)</f>
        <v>VICTOR QUINTANA</v>
      </c>
      <c r="K1688" s="179">
        <f>(TablaCosechas[[#This Row],[libras planta]]*454)/M1688</f>
        <v>107187.1162185603</v>
      </c>
      <c r="L1688" s="215">
        <v>5444.35</v>
      </c>
      <c r="M1688" s="19">
        <v>23.06</v>
      </c>
      <c r="N1688" s="9" t="str">
        <f>UPPER(TEXT(TablaCosechas[[#This Row],[COSECHA]],"MMMM"))</f>
        <v>ABRIL</v>
      </c>
      <c r="O1688" s="9" t="str">
        <f>IF(A1688="DO 29","BAP",IF(A1688="RO 14","BAP",(VLOOKUP(TablaCosechas[[#This Row],[COD]],Tabla7[[CODIGO]:[CERTIFICACION]],3,0))))</f>
        <v>ASC</v>
      </c>
      <c r="P1688" s="180">
        <f>+L1688-E1688</f>
        <v>544.35000000000036</v>
      </c>
      <c r="Q1688" s="49">
        <f>+M1688-F1688</f>
        <v>1.0599999999999987</v>
      </c>
      <c r="R1688" s="9"/>
    </row>
    <row r="1689" spans="1:18" x14ac:dyDescent="0.25">
      <c r="A1689" s="9" t="s">
        <v>345</v>
      </c>
      <c r="B1689" s="9">
        <f>ROW() - ROW(TablaCosechas[[#Headers],[ID]]) - 4</f>
        <v>1684</v>
      </c>
      <c r="C1689" s="9" t="str">
        <f>LEFT(A1689,2)</f>
        <v>WA</v>
      </c>
      <c r="D1689" s="182" t="s">
        <v>366</v>
      </c>
      <c r="E1689" s="178">
        <v>15750</v>
      </c>
      <c r="F1689" s="19">
        <v>42</v>
      </c>
      <c r="G1689" s="195">
        <v>46136</v>
      </c>
      <c r="H1689" s="9" t="str">
        <f>VLOOKUP(TablaCosechas[[#This Row],[COD]],DATOS!$E$3:$F$27,2,0)</f>
        <v>WAHOO</v>
      </c>
      <c r="I1689" s="9" t="str">
        <f>RIGHT(TablaCosechas[[#This Row],[SECTOR/PISCINA]],2)</f>
        <v>35</v>
      </c>
      <c r="J1689" s="9" t="str">
        <f>VLOOKUP(TablaCosechas[[#This Row],[COD]],Tabla7[#All],4,0)</f>
        <v>JUNIOR ESQUIVEL</v>
      </c>
      <c r="K1689" s="179">
        <f>(TablaCosechas[[#This Row],[libras planta]]*454)/M1689</f>
        <v>176835.21824104234</v>
      </c>
      <c r="L1689" s="215">
        <v>16740.919999999998</v>
      </c>
      <c r="M1689" s="205">
        <v>42.98</v>
      </c>
      <c r="N1689" s="9" t="str">
        <f>UPPER(TEXT(TablaCosechas[[#This Row],[COSECHA]],"MMMM"))</f>
        <v>ABRIL</v>
      </c>
      <c r="O1689" s="9" t="str">
        <f>IF(A1689="DO 29","BAP",IF(A1689="RO 14","BAP",(VLOOKUP(TablaCosechas[[#This Row],[COD]],Tabla7[[CODIGO]:[CERTIFICACION]],3,0))))</f>
        <v>CONVENCIONAL</v>
      </c>
      <c r="P1689" s="180">
        <f>+L1689-E1689</f>
        <v>990.91999999999825</v>
      </c>
      <c r="Q1689" s="49">
        <f>+M1689-F1689</f>
        <v>0.97999999999999687</v>
      </c>
      <c r="R1689" s="9"/>
    </row>
    <row r="1690" spans="1:18" x14ac:dyDescent="0.25">
      <c r="A1690" s="9" t="s">
        <v>160</v>
      </c>
      <c r="B1690" s="9">
        <f>ROW() - ROW(TablaCosechas[[#Headers],[ID]]) - 4</f>
        <v>1685</v>
      </c>
      <c r="C1690" s="9" t="str">
        <f>LEFT(A1690,2)</f>
        <v>TI</v>
      </c>
      <c r="D1690" s="182" t="s">
        <v>366</v>
      </c>
      <c r="E1690" s="178">
        <v>23700</v>
      </c>
      <c r="F1690" s="19">
        <v>32</v>
      </c>
      <c r="G1690" s="195">
        <v>46136</v>
      </c>
      <c r="H1690" s="9" t="str">
        <f>VLOOKUP(TablaCosechas[[#This Row],[COD]],DATOS!$E$3:$F$27,2,0)</f>
        <v>TIBURON</v>
      </c>
      <c r="I1690" s="9" t="str">
        <f>RIGHT(TablaCosechas[[#This Row],[SECTOR/PISCINA]],2)</f>
        <v>14</v>
      </c>
      <c r="J1690" s="9" t="str">
        <f>VLOOKUP(TablaCosechas[[#This Row],[COD]],Tabla7[#All],4,0)</f>
        <v>ALFONSO GRUNAUER</v>
      </c>
      <c r="K1690" s="179">
        <f>(TablaCosechas[[#This Row],[libras planta]]*454)/M1690</f>
        <v>367926.18436482083</v>
      </c>
      <c r="L1690" s="215">
        <v>24879.59</v>
      </c>
      <c r="M1690" s="205">
        <v>30.7</v>
      </c>
      <c r="N1690" s="9" t="str">
        <f>UPPER(TEXT(TablaCosechas[[#This Row],[COSECHA]],"MMMM"))</f>
        <v>ABRIL</v>
      </c>
      <c r="O1690" s="9" t="str">
        <f>IF(A1690="DO 29","BAP",IF(A1690="RO 14","BAP",(VLOOKUP(TablaCosechas[[#This Row],[COD]],Tabla7[[CODIGO]:[CERTIFICACION]],3,0))))</f>
        <v>ASC</v>
      </c>
      <c r="P1690" s="180">
        <f>+L1690-E1690</f>
        <v>1179.5900000000001</v>
      </c>
      <c r="Q1690" s="49">
        <f>+M1690-F1690</f>
        <v>-1.3000000000000007</v>
      </c>
      <c r="R1690" s="9"/>
    </row>
    <row r="1691" spans="1:18" x14ac:dyDescent="0.25">
      <c r="A1691" s="9" t="s">
        <v>168</v>
      </c>
      <c r="B1691" s="9">
        <f>ROW() - ROW(TablaCosechas[[#Headers],[ID]]) - 4</f>
        <v>1686</v>
      </c>
      <c r="C1691" s="9" t="str">
        <f>LEFT(A1691,2)</f>
        <v>TA</v>
      </c>
      <c r="D1691" s="182" t="s">
        <v>366</v>
      </c>
      <c r="E1691" s="178">
        <v>26350</v>
      </c>
      <c r="F1691" s="19">
        <v>31</v>
      </c>
      <c r="G1691" s="195">
        <v>46136</v>
      </c>
      <c r="H1691" s="9" t="str">
        <f>VLOOKUP(TablaCosechas[[#This Row],[COD]],DATOS!$E$3:$F$27,2,0)</f>
        <v>TAMBULERO</v>
      </c>
      <c r="I1691" s="9" t="str">
        <f>RIGHT(TablaCosechas[[#This Row],[SECTOR/PISCINA]],2)</f>
        <v>27</v>
      </c>
      <c r="J1691" s="9" t="str">
        <f>VLOOKUP(TablaCosechas[[#This Row],[COD]],Tabla7[#All],4,0)</f>
        <v>ALFONSO GRUNAUER</v>
      </c>
      <c r="K1691" s="179">
        <f>(TablaCosechas[[#This Row],[libras planta]]*454)/M1691</f>
        <v>392798.97562582343</v>
      </c>
      <c r="L1691" s="215">
        <v>26267.35</v>
      </c>
      <c r="M1691" s="205">
        <v>30.36</v>
      </c>
      <c r="N1691" s="9" t="str">
        <f>UPPER(TEXT(TablaCosechas[[#This Row],[COSECHA]],"MMMM"))</f>
        <v>ABRIL</v>
      </c>
      <c r="O1691" s="9" t="str">
        <f>IF(A1691="DO 29","BAP",IF(A1691="RO 14","BAP",(VLOOKUP(TablaCosechas[[#This Row],[COD]],Tabla7[[CODIGO]:[CERTIFICACION]],3,0))))</f>
        <v>CONVENCIONAL</v>
      </c>
      <c r="P1691" s="180">
        <f>+L1691-E1691</f>
        <v>-82.650000000001455</v>
      </c>
      <c r="Q1691" s="49">
        <f>+M1691-F1691</f>
        <v>-0.64000000000000057</v>
      </c>
      <c r="R1691" s="9"/>
    </row>
    <row r="1692" spans="1:18" x14ac:dyDescent="0.25">
      <c r="A1692" s="9" t="s">
        <v>235</v>
      </c>
      <c r="B1692" s="9">
        <f>ROW() - ROW(TablaCosechas[[#Headers],[ID]]) - 4</f>
        <v>1687</v>
      </c>
      <c r="C1692" s="9" t="str">
        <f>LEFT(A1692,2)</f>
        <v>ME</v>
      </c>
      <c r="D1692" s="182" t="s">
        <v>367</v>
      </c>
      <c r="E1692" s="178">
        <v>4500</v>
      </c>
      <c r="F1692" s="19">
        <v>22</v>
      </c>
      <c r="G1692" s="195">
        <v>46136</v>
      </c>
      <c r="H1692" s="9" t="str">
        <f>VLOOKUP(TablaCosechas[[#This Row],[COD]],DATOS!$E$3:$F$27,2,0)</f>
        <v>MERO</v>
      </c>
      <c r="I1692" s="9" t="str">
        <f>RIGHT(TablaCosechas[[#This Row],[SECTOR/PISCINA]],2)</f>
        <v>18</v>
      </c>
      <c r="J1692" s="9" t="str">
        <f>VLOOKUP(TablaCosechas[[#This Row],[COD]],Tabla7[#All],4,0)</f>
        <v>NESTOR MOGOLLON</v>
      </c>
      <c r="K1692" s="179">
        <f>(TablaCosechas[[#This Row],[libras planta]]*454)/M1692</f>
        <v>79610.91357088706</v>
      </c>
      <c r="L1692" s="215">
        <v>4625.8500000000004</v>
      </c>
      <c r="M1692" s="205">
        <v>26.38</v>
      </c>
      <c r="N1692" s="9" t="str">
        <f>UPPER(TEXT(TablaCosechas[[#This Row],[COSECHA]],"MMMM"))</f>
        <v>ABRIL</v>
      </c>
      <c r="O1692" s="9" t="str">
        <f>IF(A1692="DO 29","BAP",IF(A1692="RO 14","BAP",(VLOOKUP(TablaCosechas[[#This Row],[COD]],Tabla7[[CODIGO]:[CERTIFICACION]],3,0))))</f>
        <v>CONVENCIONAL</v>
      </c>
      <c r="P1692" s="180">
        <f>+L1692-E1692</f>
        <v>125.85000000000036</v>
      </c>
      <c r="Q1692" s="49">
        <f>+M1692-F1692</f>
        <v>4.379999999999999</v>
      </c>
      <c r="R1692" s="9"/>
    </row>
    <row r="1693" spans="1:18" x14ac:dyDescent="0.25">
      <c r="A1693" s="9" t="s">
        <v>234</v>
      </c>
      <c r="B1693" s="9">
        <f>ROW() - ROW(TablaCosechas[[#Headers],[ID]]) - 4</f>
        <v>1688</v>
      </c>
      <c r="C1693" s="9" t="str">
        <f>LEFT(A1693,2)</f>
        <v>ME</v>
      </c>
      <c r="D1693" s="182" t="s">
        <v>367</v>
      </c>
      <c r="E1693" s="178">
        <v>2550</v>
      </c>
      <c r="F1693" s="19">
        <v>22</v>
      </c>
      <c r="G1693" s="195">
        <v>46136</v>
      </c>
      <c r="H1693" s="9" t="str">
        <f>VLOOKUP(TablaCosechas[[#This Row],[COD]],DATOS!$E$3:$F$27,2,0)</f>
        <v>MERO</v>
      </c>
      <c r="I1693" s="9" t="str">
        <f>RIGHT(TablaCosechas[[#This Row],[SECTOR/PISCINA]],2)</f>
        <v>15</v>
      </c>
      <c r="J1693" s="9" t="str">
        <f>VLOOKUP(TablaCosechas[[#This Row],[COD]],Tabla7[#All],4,0)</f>
        <v>NESTOR MOGOLLON</v>
      </c>
      <c r="K1693" s="179">
        <f>(TablaCosechas[[#This Row],[libras planta]]*454)/M1693</f>
        <v>54069.690376569044</v>
      </c>
      <c r="L1693" s="215">
        <v>2846.4</v>
      </c>
      <c r="M1693" s="205">
        <v>23.9</v>
      </c>
      <c r="N1693" s="9" t="str">
        <f>UPPER(TEXT(TablaCosechas[[#This Row],[COSECHA]],"MMMM"))</f>
        <v>ABRIL</v>
      </c>
      <c r="O1693" s="9" t="str">
        <f>IF(A1693="DO 29","BAP",IF(A1693="RO 14","BAP",(VLOOKUP(TablaCosechas[[#This Row],[COD]],Tabla7[[CODIGO]:[CERTIFICACION]],3,0))))</f>
        <v>CONVENCIONAL</v>
      </c>
      <c r="P1693" s="180">
        <f>+L1693-E1693</f>
        <v>296.40000000000009</v>
      </c>
      <c r="Q1693" s="49">
        <f>+M1693-F1693</f>
        <v>1.8999999999999986</v>
      </c>
      <c r="R1693" s="9"/>
    </row>
    <row r="1694" spans="1:18" x14ac:dyDescent="0.25">
      <c r="A1694" s="9" t="s">
        <v>228</v>
      </c>
      <c r="B1694" s="9">
        <f>ROW() - ROW(TablaCosechas[[#Headers],[ID]]) - 4</f>
        <v>1689</v>
      </c>
      <c r="C1694" s="9" t="str">
        <f>LEFT(A1694,2)</f>
        <v>ME</v>
      </c>
      <c r="D1694" s="182" t="s">
        <v>367</v>
      </c>
      <c r="E1694" s="178">
        <v>1600</v>
      </c>
      <c r="F1694" s="19">
        <v>21</v>
      </c>
      <c r="G1694" s="195">
        <v>46136</v>
      </c>
      <c r="H1694" s="9" t="str">
        <f>VLOOKUP(TablaCosechas[[#This Row],[COD]],DATOS!$E$3:$F$27,2,0)</f>
        <v>MERO</v>
      </c>
      <c r="I1694" s="9" t="str">
        <f>RIGHT(TablaCosechas[[#This Row],[SECTOR/PISCINA]],2)</f>
        <v>14</v>
      </c>
      <c r="J1694" s="9" t="str">
        <f>VLOOKUP(TablaCosechas[[#This Row],[COD]],Tabla7[#All],4,0)</f>
        <v>NESTOR MOGOLLON</v>
      </c>
      <c r="K1694" s="179">
        <f>(TablaCosechas[[#This Row],[libras planta]]*454)/M1694</f>
        <v>36615.853080568719</v>
      </c>
      <c r="L1694" s="215">
        <v>1701.75</v>
      </c>
      <c r="M1694" s="205">
        <v>21.1</v>
      </c>
      <c r="N1694" s="9" t="str">
        <f>UPPER(TEXT(TablaCosechas[[#This Row],[COSECHA]],"MMMM"))</f>
        <v>ABRIL</v>
      </c>
      <c r="O1694" s="9" t="str">
        <f>IF(A1694="DO 29","BAP",IF(A1694="RO 14","BAP",(VLOOKUP(TablaCosechas[[#This Row],[COD]],Tabla7[[CODIGO]:[CERTIFICACION]],3,0))))</f>
        <v>CONVENCIONAL</v>
      </c>
      <c r="P1694" s="180">
        <f>+L1694-E1694</f>
        <v>101.75</v>
      </c>
      <c r="Q1694" s="49">
        <f>+M1694-F1694</f>
        <v>0.10000000000000142</v>
      </c>
      <c r="R1694" s="9"/>
    </row>
    <row r="1695" spans="1:18" x14ac:dyDescent="0.25">
      <c r="A1695" s="9" t="s">
        <v>221</v>
      </c>
      <c r="B1695" s="9">
        <f>ROW() - ROW(TablaCosechas[[#Headers],[ID]]) - 4</f>
        <v>1690</v>
      </c>
      <c r="C1695" s="9" t="str">
        <f>LEFT(A1695,2)</f>
        <v>MA</v>
      </c>
      <c r="D1695" s="182" t="s">
        <v>367</v>
      </c>
      <c r="E1695" s="178">
        <v>3900</v>
      </c>
      <c r="F1695" s="19">
        <v>22</v>
      </c>
      <c r="G1695" s="195">
        <v>46136</v>
      </c>
      <c r="H1695" s="9" t="str">
        <f>VLOOKUP(TablaCosechas[[#This Row],[COD]],DATOS!$E$3:$F$27,2,0)</f>
        <v>MANTARRAYA</v>
      </c>
      <c r="I1695" s="9" t="str">
        <f>RIGHT(TablaCosechas[[#This Row],[SECTOR/PISCINA]],2)</f>
        <v>11</v>
      </c>
      <c r="J1695" s="9" t="str">
        <f>VLOOKUP(TablaCosechas[[#This Row],[COD]],Tabla7[#All],4,0)</f>
        <v>GUSTAVO CARRASCO</v>
      </c>
      <c r="K1695" s="179">
        <f>(TablaCosechas[[#This Row],[libras planta]]*454)/M1695</f>
        <v>84714.178208679601</v>
      </c>
      <c r="L1695" s="215">
        <v>4041.65</v>
      </c>
      <c r="M1695" s="205">
        <v>21.66</v>
      </c>
      <c r="N1695" s="9" t="str">
        <f>UPPER(TEXT(TablaCosechas[[#This Row],[COSECHA]],"MMMM"))</f>
        <v>ABRIL</v>
      </c>
      <c r="O1695" s="9" t="str">
        <f>IF(A1695="DO 29","BAP",IF(A1695="RO 14","BAP",(VLOOKUP(TablaCosechas[[#This Row],[COD]],Tabla7[[CODIGO]:[CERTIFICACION]],3,0))))</f>
        <v>ASC</v>
      </c>
      <c r="P1695" s="180">
        <f>+L1695-E1695</f>
        <v>141.65000000000009</v>
      </c>
      <c r="Q1695" s="49">
        <f>+M1695-F1695</f>
        <v>-0.33999999999999986</v>
      </c>
      <c r="R1695" s="9"/>
    </row>
    <row r="1696" spans="1:18" x14ac:dyDescent="0.25">
      <c r="A1696" s="9" t="s">
        <v>246</v>
      </c>
      <c r="B1696" s="9">
        <f>ROW() - ROW(TablaCosechas[[#Headers],[ID]]) - 4</f>
        <v>1691</v>
      </c>
      <c r="C1696" s="9" t="str">
        <f>LEFT(A1696,2)</f>
        <v>MA</v>
      </c>
      <c r="D1696" s="182" t="s">
        <v>367</v>
      </c>
      <c r="E1696" s="178">
        <v>3500</v>
      </c>
      <c r="F1696" s="19">
        <v>16</v>
      </c>
      <c r="G1696" s="195">
        <v>46136</v>
      </c>
      <c r="H1696" s="9" t="str">
        <f>VLOOKUP(TablaCosechas[[#This Row],[COD]],DATOS!$E$3:$F$27,2,0)</f>
        <v>MANTARRAYA</v>
      </c>
      <c r="I1696" s="9" t="str">
        <f>RIGHT(TablaCosechas[[#This Row],[SECTOR/PISCINA]],2)</f>
        <v>09</v>
      </c>
      <c r="J1696" s="9" t="str">
        <f>VLOOKUP(TablaCosechas[[#This Row],[COD]],Tabla7[#All],4,0)</f>
        <v>GUSTAVO CARRASCO</v>
      </c>
      <c r="K1696" s="179">
        <f>(TablaCosechas[[#This Row],[libras planta]]*454)/M1696</f>
        <v>100585.61445783133</v>
      </c>
      <c r="L1696" s="215">
        <v>3677.8</v>
      </c>
      <c r="M1696" s="205">
        <v>16.600000000000001</v>
      </c>
      <c r="N1696" s="9" t="str">
        <f>UPPER(TEXT(TablaCosechas[[#This Row],[COSECHA]],"MMMM"))</f>
        <v>ABRIL</v>
      </c>
      <c r="O1696" s="9" t="str">
        <f>IF(A1696="DO 29","BAP",IF(A1696="RO 14","BAP",(VLOOKUP(TablaCosechas[[#This Row],[COD]],Tabla7[[CODIGO]:[CERTIFICACION]],3,0))))</f>
        <v>ASC</v>
      </c>
      <c r="P1696" s="180">
        <f>+L1696-E1696</f>
        <v>177.80000000000018</v>
      </c>
      <c r="Q1696" s="49">
        <f>+M1696-F1696</f>
        <v>0.60000000000000142</v>
      </c>
      <c r="R1696" s="9"/>
    </row>
    <row r="1697" spans="1:18" x14ac:dyDescent="0.25">
      <c r="A1697" s="9" t="s">
        <v>208</v>
      </c>
      <c r="B1697" s="9">
        <f>ROW() - ROW(TablaCosechas[[#Headers],[ID]]) - 4</f>
        <v>1692</v>
      </c>
      <c r="C1697" s="9" t="str">
        <f>LEFT(A1697,2)</f>
        <v>DO</v>
      </c>
      <c r="D1697" s="182" t="s">
        <v>366</v>
      </c>
      <c r="E1697" s="178">
        <v>600</v>
      </c>
      <c r="F1697" s="19">
        <v>30</v>
      </c>
      <c r="G1697" s="195">
        <v>46136</v>
      </c>
      <c r="H1697" s="9" t="str">
        <f>VLOOKUP(TablaCosechas[[#This Row],[COD]],DATOS!$E$3:$F$27,2,0)</f>
        <v>DORADO</v>
      </c>
      <c r="I1697" s="9" t="str">
        <f>RIGHT(TablaCosechas[[#This Row],[SECTOR/PISCINA]],2)</f>
        <v>04</v>
      </c>
      <c r="J1697" s="9" t="str">
        <f>VLOOKUP(TablaCosechas[[#This Row],[COD]],Tabla7[#All],4,0)</f>
        <v>JOSE CEDEÑO</v>
      </c>
      <c r="K1697" s="179">
        <f>(TablaCosechas[[#This Row],[libras planta]]*454)/M1697</f>
        <v>10418.928376534788</v>
      </c>
      <c r="L1697" s="215">
        <v>672.87</v>
      </c>
      <c r="M1697" s="205">
        <v>29.32</v>
      </c>
      <c r="N1697" s="9" t="str">
        <f>UPPER(TEXT(TablaCosechas[[#This Row],[COSECHA]],"MMMM"))</f>
        <v>ABRIL</v>
      </c>
      <c r="O1697" s="9" t="str">
        <f>IF(A1697="DO 29","BAP",IF(A1697="RO 14","BAP",(VLOOKUP(TablaCosechas[[#This Row],[COD]],Tabla7[[CODIGO]:[CERTIFICACION]],3,0))))</f>
        <v>ASC</v>
      </c>
      <c r="P1697" s="180">
        <f>+L1697-E1697</f>
        <v>72.87</v>
      </c>
      <c r="Q1697" s="49">
        <f>+M1697-F1697</f>
        <v>-0.67999999999999972</v>
      </c>
      <c r="R1697" s="9"/>
    </row>
    <row r="1698" spans="1:18" x14ac:dyDescent="0.25">
      <c r="A1698" s="9" t="s">
        <v>252</v>
      </c>
      <c r="B1698" s="9">
        <f>ROW() - ROW(TablaCosechas[[#Headers],[ID]]) - 4</f>
        <v>1693</v>
      </c>
      <c r="C1698" s="9" t="str">
        <f>LEFT(A1698,2)</f>
        <v>DE</v>
      </c>
      <c r="D1698" s="182" t="s">
        <v>366</v>
      </c>
      <c r="E1698" s="178">
        <v>32800</v>
      </c>
      <c r="F1698" s="19">
        <v>35</v>
      </c>
      <c r="G1698" s="195">
        <v>46136</v>
      </c>
      <c r="H1698" s="9" t="str">
        <f>VLOOKUP(TablaCosechas[[#This Row],[COD]],DATOS!$E$3:$F$27,2,0)</f>
        <v>DELFIN</v>
      </c>
      <c r="I1698" s="9" t="str">
        <f>RIGHT(TablaCosechas[[#This Row],[SECTOR/PISCINA]],2)</f>
        <v>13</v>
      </c>
      <c r="J1698" s="9" t="str">
        <f>VLOOKUP(TablaCosechas[[#This Row],[COD]],Tabla7[#All],4,0)</f>
        <v>CARLOS FLORES</v>
      </c>
      <c r="K1698" s="179">
        <f>(TablaCosechas[[#This Row],[libras planta]]*454)/M1698</f>
        <v>502527.10376775783</v>
      </c>
      <c r="L1698" s="215">
        <v>35841.03</v>
      </c>
      <c r="M1698" s="205">
        <v>32.380000000000003</v>
      </c>
      <c r="N1698" s="9" t="str">
        <f>UPPER(TEXT(TablaCosechas[[#This Row],[COSECHA]],"MMMM"))</f>
        <v>ABRIL</v>
      </c>
      <c r="O1698" s="9" t="str">
        <f>IF(A1698="DO 29","BAP",IF(A1698="RO 14","BAP",(VLOOKUP(TablaCosechas[[#This Row],[COD]],Tabla7[[CODIGO]:[CERTIFICACION]],3,0))))</f>
        <v>CONVENCIONAL</v>
      </c>
      <c r="P1698" s="180">
        <f>+L1698-E1698</f>
        <v>3041.0299999999988</v>
      </c>
      <c r="Q1698" s="181">
        <f>+M1698-F1698</f>
        <v>-2.6199999999999974</v>
      </c>
      <c r="R1698" s="9"/>
    </row>
    <row r="1699" spans="1:18" x14ac:dyDescent="0.25">
      <c r="A1699" s="9" t="s">
        <v>203</v>
      </c>
      <c r="B1699" s="9">
        <f>ROW() - ROW(TablaCosechas[[#Headers],[ID]]) - 4</f>
        <v>1694</v>
      </c>
      <c r="C1699" s="9" t="str">
        <f>LEFT(A1699,2)</f>
        <v>CA</v>
      </c>
      <c r="D1699" s="182" t="s">
        <v>366</v>
      </c>
      <c r="E1699" s="178">
        <f>43200+1000</f>
        <v>44200</v>
      </c>
      <c r="F1699" s="19">
        <v>28</v>
      </c>
      <c r="G1699" s="195">
        <v>46136</v>
      </c>
      <c r="H1699" s="9" t="str">
        <f>VLOOKUP(TablaCosechas[[#This Row],[COD]],DATOS!$E$3:$F$27,2,0)</f>
        <v>CATANUDA</v>
      </c>
      <c r="I1699" s="9" t="str">
        <f>RIGHT(TablaCosechas[[#This Row],[SECTOR/PISCINA]],2)</f>
        <v>04</v>
      </c>
      <c r="J1699" s="9" t="str">
        <f>VLOOKUP(TablaCosechas[[#This Row],[COD]],Tabla7[#All],4,0)</f>
        <v>VICTOR QUINTANA</v>
      </c>
      <c r="K1699" s="179">
        <f>(TablaCosechas[[#This Row],[libras planta]]*454)/M1699</f>
        <v>810644.50990853668</v>
      </c>
      <c r="L1699" s="215">
        <v>46853.11</v>
      </c>
      <c r="M1699" s="205">
        <v>26.24</v>
      </c>
      <c r="N1699" s="9" t="str">
        <f>UPPER(TEXT(TablaCosechas[[#This Row],[COSECHA]],"MMMM"))</f>
        <v>ABRIL</v>
      </c>
      <c r="O1699" s="9" t="str">
        <f>IF(A1699="DO 29","BAP",IF(A1699="RO 14","BAP",(VLOOKUP(TablaCosechas[[#This Row],[COD]],Tabla7[[CODIGO]:[CERTIFICACION]],3,0))))</f>
        <v>ASC</v>
      </c>
      <c r="P1699" s="180">
        <f>+L1699-E1699</f>
        <v>2653.1100000000006</v>
      </c>
      <c r="Q1699" s="49">
        <f>+M1699-F1699</f>
        <v>-1.7600000000000016</v>
      </c>
      <c r="R1699" s="9"/>
    </row>
    <row r="1700" spans="1:18" x14ac:dyDescent="0.25">
      <c r="A1700" s="9" t="s">
        <v>348</v>
      </c>
      <c r="B1700" s="9">
        <f>ROW() - ROW(TablaCosechas[[#Headers],[ID]]) - 4</f>
        <v>1695</v>
      </c>
      <c r="C1700" s="9" t="str">
        <f>LEFT(A1700,2)</f>
        <v>WA</v>
      </c>
      <c r="D1700" s="182" t="s">
        <v>367</v>
      </c>
      <c r="E1700" s="178">
        <v>3200</v>
      </c>
      <c r="F1700" s="19">
        <v>21</v>
      </c>
      <c r="G1700" s="195">
        <v>46137</v>
      </c>
      <c r="H1700" s="9" t="str">
        <f>VLOOKUP(TablaCosechas[[#This Row],[COD]],DATOS!$E$3:$F$27,2,0)</f>
        <v>WAHOO</v>
      </c>
      <c r="I1700" s="9" t="str">
        <f>RIGHT(TablaCosechas[[#This Row],[SECTOR/PISCINA]],2)</f>
        <v>10</v>
      </c>
      <c r="J1700" s="9" t="str">
        <f>VLOOKUP(TablaCosechas[[#This Row],[COD]],Tabla7[#All],4,0)</f>
        <v>JUNIOR ESQUIVEL</v>
      </c>
      <c r="K1700" s="179">
        <f>(TablaCosechas[[#This Row],[libras planta]]*454)/M1700</f>
        <v>69968</v>
      </c>
      <c r="L1700" s="215">
        <v>3498.4</v>
      </c>
      <c r="M1700" s="19">
        <v>22.7</v>
      </c>
      <c r="N1700" s="9" t="str">
        <f>UPPER(TEXT(TablaCosechas[[#This Row],[COSECHA]],"MMMM"))</f>
        <v>ABRIL</v>
      </c>
      <c r="O1700" s="9" t="str">
        <f>IF(A1700="DO 29","BAP",IF(A1700="RO 14","BAP",(VLOOKUP(TablaCosechas[[#This Row],[COD]],Tabla7[[CODIGO]:[CERTIFICACION]],3,0))))</f>
        <v>CONVENCIONAL</v>
      </c>
      <c r="P1700" s="180">
        <f>+L1700-E1700</f>
        <v>298.40000000000009</v>
      </c>
      <c r="Q1700" s="49">
        <f>+M1700-F1700</f>
        <v>1.6999999999999993</v>
      </c>
      <c r="R1700" s="9"/>
    </row>
    <row r="1701" spans="1:18" x14ac:dyDescent="0.25">
      <c r="A1701" s="9" t="s">
        <v>157</v>
      </c>
      <c r="B1701" s="9">
        <f>ROW() - ROW(TablaCosechas[[#Headers],[ID]]) - 4</f>
        <v>1696</v>
      </c>
      <c r="C1701" s="9" t="str">
        <f>LEFT(A1701,2)</f>
        <v>WA</v>
      </c>
      <c r="D1701" s="182" t="s">
        <v>367</v>
      </c>
      <c r="E1701" s="178">
        <v>11300</v>
      </c>
      <c r="F1701" s="19">
        <v>22</v>
      </c>
      <c r="G1701" s="195">
        <v>46137</v>
      </c>
      <c r="H1701" s="9" t="str">
        <f>VLOOKUP(TablaCosechas[[#This Row],[COD]],DATOS!$E$3:$F$27,2,0)</f>
        <v>WAHOO</v>
      </c>
      <c r="I1701" s="9" t="str">
        <f>RIGHT(TablaCosechas[[#This Row],[SECTOR/PISCINA]],2)</f>
        <v>04</v>
      </c>
      <c r="J1701" s="9" t="str">
        <f>VLOOKUP(TablaCosechas[[#This Row],[COD]],Tabla7[#All],4,0)</f>
        <v>JUNIOR ESQUIVEL</v>
      </c>
      <c r="K1701" s="179">
        <f>(TablaCosechas[[#This Row],[libras planta]]*454)/M1701</f>
        <v>246361.91677617171</v>
      </c>
      <c r="L1701" s="215">
        <v>12388.64</v>
      </c>
      <c r="M1701" s="19">
        <v>22.83</v>
      </c>
      <c r="N1701" s="9" t="str">
        <f>UPPER(TEXT(TablaCosechas[[#This Row],[COSECHA]],"MMMM"))</f>
        <v>ABRIL</v>
      </c>
      <c r="O1701" s="9" t="str">
        <f>IF(A1701="DO 29","BAP",IF(A1701="RO 14","BAP",(VLOOKUP(TablaCosechas[[#This Row],[COD]],Tabla7[[CODIGO]:[CERTIFICACION]],3,0))))</f>
        <v>CONVENCIONAL</v>
      </c>
      <c r="P1701" s="180">
        <f>+L1701-E1701</f>
        <v>1088.6399999999994</v>
      </c>
      <c r="Q1701" s="49">
        <f>+M1701-F1701</f>
        <v>0.82999999999999829</v>
      </c>
      <c r="R1701" s="9"/>
    </row>
    <row r="1702" spans="1:18" x14ac:dyDescent="0.25">
      <c r="A1702" s="9" t="s">
        <v>172</v>
      </c>
      <c r="B1702" s="9">
        <f>ROW() - ROW(TablaCosechas[[#Headers],[ID]]) - 4</f>
        <v>1697</v>
      </c>
      <c r="C1702" s="9" t="str">
        <f>LEFT(A1702,2)</f>
        <v>TA</v>
      </c>
      <c r="D1702" s="182" t="s">
        <v>366</v>
      </c>
      <c r="E1702" s="178">
        <v>29350</v>
      </c>
      <c r="F1702" s="19">
        <v>32</v>
      </c>
      <c r="G1702" s="195">
        <v>46137</v>
      </c>
      <c r="H1702" s="9" t="str">
        <f>VLOOKUP(TablaCosechas[[#This Row],[COD]],DATOS!$E$3:$F$27,2,0)</f>
        <v>TAMBULERO</v>
      </c>
      <c r="I1702" s="9" t="str">
        <f>RIGHT(TablaCosechas[[#This Row],[SECTOR/PISCINA]],2)</f>
        <v>24</v>
      </c>
      <c r="J1702" s="9" t="str">
        <f>VLOOKUP(TablaCosechas[[#This Row],[COD]],Tabla7[#All],4,0)</f>
        <v>ALFONSO GRUNAUER</v>
      </c>
      <c r="K1702" s="179">
        <f>(TablaCosechas[[#This Row],[libras planta]]*454)/M1702</f>
        <v>442403.46253869974</v>
      </c>
      <c r="L1702" s="215">
        <v>31474.959999999999</v>
      </c>
      <c r="M1702" s="19">
        <v>32.299999999999997</v>
      </c>
      <c r="N1702" s="9" t="str">
        <f>UPPER(TEXT(TablaCosechas[[#This Row],[COSECHA]],"MMMM"))</f>
        <v>ABRIL</v>
      </c>
      <c r="O1702" s="9" t="str">
        <f>IF(A1702="DO 29","BAP",IF(A1702="RO 14","BAP",(VLOOKUP(TablaCosechas[[#This Row],[COD]],Tabla7[[CODIGO]:[CERTIFICACION]],3,0))))</f>
        <v>CONVENCIONAL</v>
      </c>
      <c r="P1702" s="180">
        <f>+L1702-E1702</f>
        <v>2124.9599999999991</v>
      </c>
      <c r="Q1702" s="49">
        <f>+M1702-F1702</f>
        <v>0.29999999999999716</v>
      </c>
      <c r="R1702" s="9"/>
    </row>
    <row r="1703" spans="1:18" x14ac:dyDescent="0.25">
      <c r="A1703" s="9" t="s">
        <v>215</v>
      </c>
      <c r="B1703" s="9">
        <f>ROW() - ROW(TablaCosechas[[#Headers],[ID]]) - 4</f>
        <v>1698</v>
      </c>
      <c r="C1703" s="9" t="str">
        <f>LEFT(A1703,2)</f>
        <v>RO</v>
      </c>
      <c r="D1703" s="182" t="s">
        <v>367</v>
      </c>
      <c r="E1703" s="178">
        <v>25200</v>
      </c>
      <c r="F1703" s="19">
        <v>28</v>
      </c>
      <c r="G1703" s="195">
        <v>46137</v>
      </c>
      <c r="H1703" s="9" t="str">
        <f>VLOOKUP(TablaCosechas[[#This Row],[COD]],DATOS!$E$3:$F$27,2,0)</f>
        <v>ROBALO</v>
      </c>
      <c r="I1703" s="9" t="str">
        <f>RIGHT(TablaCosechas[[#This Row],[SECTOR/PISCINA]],2)</f>
        <v>03</v>
      </c>
      <c r="J1703" s="9" t="str">
        <f>VLOOKUP(TablaCosechas[[#This Row],[COD]],Tabla7[#All],4,0)</f>
        <v>VICTOR QUINTANA</v>
      </c>
      <c r="K1703" s="179">
        <f>(TablaCosechas[[#This Row],[libras planta]]*454)/M1703</f>
        <v>396980.46991622238</v>
      </c>
      <c r="L1703" s="215">
        <v>22961.91</v>
      </c>
      <c r="M1703" s="19">
        <v>26.26</v>
      </c>
      <c r="N1703" s="9" t="str">
        <f>UPPER(TEXT(TablaCosechas[[#This Row],[COSECHA]],"MMMM"))</f>
        <v>ABRIL</v>
      </c>
      <c r="O1703" s="9" t="str">
        <f>IF(A1703="DO 29","BAP",IF(A1703="RO 14","BAP",(VLOOKUP(TablaCosechas[[#This Row],[COD]],Tabla7[[CODIGO]:[CERTIFICACION]],3,0))))</f>
        <v>ASC</v>
      </c>
      <c r="P1703" s="180">
        <f>+L1703-E1703</f>
        <v>-2238.09</v>
      </c>
      <c r="Q1703" s="49">
        <f>+M1703-F1703</f>
        <v>-1.7399999999999984</v>
      </c>
      <c r="R1703" s="9"/>
    </row>
    <row r="1704" spans="1:18" x14ac:dyDescent="0.25">
      <c r="A1704" s="9" t="s">
        <v>244</v>
      </c>
      <c r="B1704" s="9">
        <f>ROW() - ROW(TablaCosechas[[#Headers],[ID]]) - 4</f>
        <v>1699</v>
      </c>
      <c r="C1704" s="9" t="str">
        <f>LEFT(A1704,2)</f>
        <v>PA</v>
      </c>
      <c r="D1704" s="182" t="s">
        <v>367</v>
      </c>
      <c r="E1704" s="178">
        <v>7700</v>
      </c>
      <c r="F1704" s="19">
        <v>21</v>
      </c>
      <c r="G1704" s="195">
        <v>46137</v>
      </c>
      <c r="H1704" s="9" t="str">
        <f>VLOOKUP(TablaCosechas[[#This Row],[COD]],DATOS!$E$3:$F$27,2,0)</f>
        <v>PAMPANO</v>
      </c>
      <c r="I1704" s="9" t="str">
        <f>RIGHT(TablaCosechas[[#This Row],[SECTOR/PISCINA]],2)</f>
        <v>03</v>
      </c>
      <c r="J1704" s="9" t="str">
        <f>VLOOKUP(TablaCosechas[[#This Row],[COD]],Tabla7[#All],4,0)</f>
        <v>GUSTAVO CARRASCO</v>
      </c>
      <c r="K1704" s="179">
        <f>(TablaCosechas[[#This Row],[libras planta]]*454)/M1704</f>
        <v>174396.46261682245</v>
      </c>
      <c r="L1704" s="215">
        <v>8220.4500000000007</v>
      </c>
      <c r="M1704" s="19">
        <v>21.4</v>
      </c>
      <c r="N1704" s="9" t="str">
        <f>UPPER(TEXT(TablaCosechas[[#This Row],[COSECHA]],"MMMM"))</f>
        <v>ABRIL</v>
      </c>
      <c r="O1704" s="9" t="str">
        <f>IF(A1704="DO 29","BAP",IF(A1704="RO 14","BAP",(VLOOKUP(TablaCosechas[[#This Row],[COD]],Tabla7[[CODIGO]:[CERTIFICACION]],3,0))))</f>
        <v>ASC</v>
      </c>
      <c r="P1704" s="180">
        <f>+L1704-E1704</f>
        <v>520.45000000000073</v>
      </c>
      <c r="Q1704" s="49">
        <f>+M1704-F1704</f>
        <v>0.39999999999999858</v>
      </c>
      <c r="R1704" s="9"/>
    </row>
    <row r="1705" spans="1:18" x14ac:dyDescent="0.25">
      <c r="A1705" s="9" t="s">
        <v>127</v>
      </c>
      <c r="B1705" s="9">
        <f>ROW() - ROW(TablaCosechas[[#Headers],[ID]]) - 4</f>
        <v>1700</v>
      </c>
      <c r="C1705" s="9" t="str">
        <f>LEFT(A1705,2)</f>
        <v>DO</v>
      </c>
      <c r="D1705" s="182" t="s">
        <v>366</v>
      </c>
      <c r="E1705" s="178">
        <v>6400</v>
      </c>
      <c r="F1705" s="19">
        <v>50</v>
      </c>
      <c r="G1705" s="195">
        <v>46137</v>
      </c>
      <c r="H1705" s="9" t="str">
        <f>VLOOKUP(TablaCosechas[[#This Row],[COD]],DATOS!$E$3:$F$27,2,0)</f>
        <v>DORADO</v>
      </c>
      <c r="I1705" s="9" t="str">
        <f>RIGHT(TablaCosechas[[#This Row],[SECTOR/PISCINA]],2)</f>
        <v>07</v>
      </c>
      <c r="J1705" s="9" t="str">
        <f>VLOOKUP(TablaCosechas[[#This Row],[COD]],Tabla7[#All],4,0)</f>
        <v>JOSE CEDEÑO</v>
      </c>
      <c r="K1705" s="179">
        <f>(TablaCosechas[[#This Row],[libras planta]]*454)/M1705</f>
        <v>62120.519834710751</v>
      </c>
      <c r="L1705" s="215">
        <v>6622.54</v>
      </c>
      <c r="M1705" s="19">
        <v>48.4</v>
      </c>
      <c r="N1705" s="9" t="str">
        <f>UPPER(TEXT(TablaCosechas[[#This Row],[COSECHA]],"MMMM"))</f>
        <v>ABRIL</v>
      </c>
      <c r="O1705" s="9" t="str">
        <f>IF(A1705="DO 29","BAP",IF(A1705="RO 14","BAP",(VLOOKUP(TablaCosechas[[#This Row],[COD]],Tabla7[[CODIGO]:[CERTIFICACION]],3,0))))</f>
        <v>ASC</v>
      </c>
      <c r="P1705" s="180">
        <f>+L1705-E1705</f>
        <v>222.53999999999996</v>
      </c>
      <c r="Q1705" s="49">
        <f>+M1705-F1705</f>
        <v>-1.6000000000000014</v>
      </c>
      <c r="R1705" s="9"/>
    </row>
    <row r="1706" spans="1:18" x14ac:dyDescent="0.25">
      <c r="A1706" s="9" t="s">
        <v>183</v>
      </c>
      <c r="B1706" s="9">
        <f>ROW() - ROW(TablaCosechas[[#Headers],[ID]]) - 4</f>
        <v>1701</v>
      </c>
      <c r="C1706" s="9" t="str">
        <f>LEFT(A1706,2)</f>
        <v>DO</v>
      </c>
      <c r="D1706" s="182" t="s">
        <v>367</v>
      </c>
      <c r="E1706" s="178">
        <v>12000</v>
      </c>
      <c r="F1706" s="19">
        <v>35</v>
      </c>
      <c r="G1706" s="195">
        <v>46137</v>
      </c>
      <c r="H1706" s="9" t="str">
        <f>VLOOKUP(TablaCosechas[[#This Row],[COD]],DATOS!$E$3:$F$27,2,0)</f>
        <v>DORADO</v>
      </c>
      <c r="I1706" s="9" t="str">
        <f>RIGHT(TablaCosechas[[#This Row],[SECTOR/PISCINA]],2)</f>
        <v>05</v>
      </c>
      <c r="J1706" s="9" t="str">
        <f>VLOOKUP(TablaCosechas[[#This Row],[COD]],Tabla7[#All],4,0)</f>
        <v>JOSE CEDEÑO</v>
      </c>
      <c r="K1706" s="179">
        <f>(TablaCosechas[[#This Row],[libras planta]]*454)/M1706</f>
        <v>163420.46894586892</v>
      </c>
      <c r="L1706" s="215">
        <v>12634.49</v>
      </c>
      <c r="M1706" s="19">
        <v>35.1</v>
      </c>
      <c r="N1706" s="9" t="str">
        <f>UPPER(TEXT(TablaCosechas[[#This Row],[COSECHA]],"MMMM"))</f>
        <v>ABRIL</v>
      </c>
      <c r="O1706" s="9" t="str">
        <f>IF(A1706="DO 29","BAP",IF(A1706="RO 14","BAP",(VLOOKUP(TablaCosechas[[#This Row],[COD]],Tabla7[[CODIGO]:[CERTIFICACION]],3,0))))</f>
        <v>ASC</v>
      </c>
      <c r="P1706" s="180">
        <f>+L1706-E1706</f>
        <v>634.48999999999978</v>
      </c>
      <c r="Q1706" s="49">
        <f>+M1706-F1706</f>
        <v>0.10000000000000142</v>
      </c>
      <c r="R1706" s="9"/>
    </row>
    <row r="1707" spans="1:18" x14ac:dyDescent="0.25">
      <c r="A1707" s="9" t="s">
        <v>29</v>
      </c>
      <c r="B1707" s="9">
        <f>ROW() - ROW(TablaCosechas[[#Headers],[ID]]) - 4</f>
        <v>1702</v>
      </c>
      <c r="C1707" s="9" t="str">
        <f>LEFT(A1707,2)</f>
        <v>CH</v>
      </c>
      <c r="D1707" s="182" t="s">
        <v>367</v>
      </c>
      <c r="E1707" s="178">
        <v>3200</v>
      </c>
      <c r="F1707" s="19">
        <v>22</v>
      </c>
      <c r="G1707" s="195">
        <v>46137</v>
      </c>
      <c r="H1707" s="9" t="str">
        <f>VLOOKUP(TablaCosechas[[#This Row],[COD]],DATOS!$E$3:$F$27,2,0)</f>
        <v>CHERNA</v>
      </c>
      <c r="I1707" s="9" t="str">
        <f>RIGHT(TablaCosechas[[#This Row],[SECTOR/PISCINA]],2)</f>
        <v>25</v>
      </c>
      <c r="J1707" s="9" t="str">
        <f>VLOOKUP(TablaCosechas[[#This Row],[COD]],Tabla7[#All],4,0)</f>
        <v>SANTIAGO OBRIEN</v>
      </c>
      <c r="K1707" s="179">
        <f>(TablaCosechas[[#This Row],[libras planta]]*454)/M1707</f>
        <v>71661.0625</v>
      </c>
      <c r="L1707" s="215">
        <v>3535.7</v>
      </c>
      <c r="M1707" s="19">
        <v>22.4</v>
      </c>
      <c r="N1707" s="9" t="str">
        <f>UPPER(TEXT(TablaCosechas[[#This Row],[COSECHA]],"MMMM"))</f>
        <v>ABRIL</v>
      </c>
      <c r="O1707" s="9" t="str">
        <f>IF(A1707="DO 29","BAP",IF(A1707="RO 14","BAP",(VLOOKUP(TablaCosechas[[#This Row],[COD]],Tabla7[[CODIGO]:[CERTIFICACION]],3,0))))</f>
        <v>ASC</v>
      </c>
      <c r="P1707" s="180">
        <f>+L1707-E1707</f>
        <v>335.69999999999982</v>
      </c>
      <c r="Q1707" s="49">
        <f>+M1707-F1707</f>
        <v>0.39999999999999858</v>
      </c>
      <c r="R1707" s="9"/>
    </row>
    <row r="1708" spans="1:18" x14ac:dyDescent="0.25">
      <c r="A1708" s="9" t="s">
        <v>18</v>
      </c>
      <c r="B1708" s="9">
        <f>ROW() - ROW(TablaCosechas[[#Headers],[ID]]) - 4</f>
        <v>1703</v>
      </c>
      <c r="C1708" s="9" t="str">
        <f>LEFT(A1708,2)</f>
        <v>CH</v>
      </c>
      <c r="D1708" s="182" t="s">
        <v>367</v>
      </c>
      <c r="E1708" s="178">
        <v>6100</v>
      </c>
      <c r="F1708" s="19">
        <v>19</v>
      </c>
      <c r="G1708" s="195">
        <v>46137</v>
      </c>
      <c r="H1708" s="9" t="str">
        <f>VLOOKUP(TablaCosechas[[#This Row],[COD]],DATOS!$E$3:$F$27,2,0)</f>
        <v>CHERNA</v>
      </c>
      <c r="I1708" s="9" t="str">
        <f>RIGHT(TablaCosechas[[#This Row],[SECTOR/PISCINA]],2)</f>
        <v>12</v>
      </c>
      <c r="J1708" s="9" t="str">
        <f>VLOOKUP(TablaCosechas[[#This Row],[COD]],Tabla7[#All],4,0)</f>
        <v>SANTIAGO OBRIEN</v>
      </c>
      <c r="K1708" s="179">
        <f>(TablaCosechas[[#This Row],[libras planta]]*454)/M1708</f>
        <v>144065.35087719298</v>
      </c>
      <c r="L1708" s="215">
        <v>6149.75</v>
      </c>
      <c r="M1708" s="19">
        <v>19.38</v>
      </c>
      <c r="N1708" s="9" t="str">
        <f>UPPER(TEXT(TablaCosechas[[#This Row],[COSECHA]],"MMMM"))</f>
        <v>ABRIL</v>
      </c>
      <c r="O1708" s="9" t="str">
        <f>IF(A1708="DO 29","BAP",IF(A1708="RO 14","BAP",(VLOOKUP(TablaCosechas[[#This Row],[COD]],Tabla7[[CODIGO]:[CERTIFICACION]],3,0))))</f>
        <v>ASC</v>
      </c>
      <c r="P1708" s="180">
        <f>+L1708-E1708</f>
        <v>49.75</v>
      </c>
      <c r="Q1708" s="181">
        <f>+M1708-F1708</f>
        <v>0.37999999999999901</v>
      </c>
      <c r="R1708" s="9"/>
    </row>
    <row r="1709" spans="1:18" x14ac:dyDescent="0.25">
      <c r="A1709" s="9" t="s">
        <v>226</v>
      </c>
      <c r="B1709" s="9">
        <f>ROW() - ROW(TablaCosechas[[#Headers],[ID]]) - 4</f>
        <v>1704</v>
      </c>
      <c r="C1709" s="9" t="str">
        <f>LEFT(A1709,2)</f>
        <v>BA</v>
      </c>
      <c r="D1709" s="182" t="s">
        <v>367</v>
      </c>
      <c r="E1709" s="178">
        <v>5400</v>
      </c>
      <c r="F1709" s="19">
        <v>22</v>
      </c>
      <c r="G1709" s="195">
        <v>46137</v>
      </c>
      <c r="H1709" s="9" t="str">
        <f>VLOOKUP(TablaCosechas[[#This Row],[COD]],DATOS!$E$3:$F$27,2,0)</f>
        <v>BARRACUDA</v>
      </c>
      <c r="I1709" s="9" t="str">
        <f>RIGHT(TablaCosechas[[#This Row],[SECTOR/PISCINA]],2)</f>
        <v>01</v>
      </c>
      <c r="J1709" s="9" t="str">
        <f>VLOOKUP(TablaCosechas[[#This Row],[COD]],Tabla7[#All],4,0)</f>
        <v>GUSTAVO CARRASCO</v>
      </c>
      <c r="K1709" s="179">
        <f>(TablaCosechas[[#This Row],[libras planta]]*454)/M1709</f>
        <v>114668.29333333332</v>
      </c>
      <c r="L1709" s="215">
        <v>5682.9</v>
      </c>
      <c r="M1709" s="19">
        <v>22.5</v>
      </c>
      <c r="N1709" s="9" t="str">
        <f>UPPER(TEXT(TablaCosechas[[#This Row],[COSECHA]],"MMMM"))</f>
        <v>ABRIL</v>
      </c>
      <c r="O1709" s="9" t="str">
        <f>IF(A1709="DO 29","BAP",IF(A1709="RO 14","BAP",(VLOOKUP(TablaCosechas[[#This Row],[COD]],Tabla7[[CODIGO]:[CERTIFICACION]],3,0))))</f>
        <v>CONVENCIONAL</v>
      </c>
      <c r="P1709" s="180">
        <f>+L1709-E1709</f>
        <v>282.89999999999964</v>
      </c>
      <c r="Q1709" s="49">
        <f>+M1709-F1709</f>
        <v>0.5</v>
      </c>
      <c r="R1709" s="9"/>
    </row>
    <row r="1710" spans="1:18" x14ac:dyDescent="0.25">
      <c r="A1710" s="9" t="s">
        <v>156</v>
      </c>
      <c r="B1710" s="9">
        <f>ROW() - ROW(TablaCosechas[[#Headers],[ID]]) - 4</f>
        <v>1705</v>
      </c>
      <c r="C1710" s="9" t="str">
        <f>LEFT(A1710,2)</f>
        <v>TI</v>
      </c>
      <c r="D1710" s="182" t="s">
        <v>366</v>
      </c>
      <c r="E1710" s="178">
        <v>44350</v>
      </c>
      <c r="F1710" s="19">
        <v>33</v>
      </c>
      <c r="G1710" s="195">
        <v>46138</v>
      </c>
      <c r="H1710" s="9" t="str">
        <f>VLOOKUP(TablaCosechas[[#This Row],[COD]],DATOS!$E$3:$F$27,2,0)</f>
        <v>TIBURON</v>
      </c>
      <c r="I1710" s="9" t="str">
        <f>RIGHT(TablaCosechas[[#This Row],[SECTOR/PISCINA]],2)</f>
        <v>11</v>
      </c>
      <c r="J1710" s="9" t="str">
        <f>VLOOKUP(TablaCosechas[[#This Row],[COD]],Tabla7[#All],4,0)</f>
        <v>ALFONSO GRUNAUER</v>
      </c>
      <c r="K1710" s="179">
        <f>(TablaCosechas[[#This Row],[libras planta]]*454)/M1710</f>
        <v>618455.78804026044</v>
      </c>
      <c r="L1710" s="215">
        <v>46016.38</v>
      </c>
      <c r="M1710" s="205">
        <v>33.78</v>
      </c>
      <c r="N1710" s="9" t="str">
        <f>UPPER(TEXT(TablaCosechas[[#This Row],[COSECHA]],"MMMM"))</f>
        <v>ABRIL</v>
      </c>
      <c r="O1710" s="9" t="str">
        <f>IF(A1710="DO 29","BAP",IF(A1710="RO 14","BAP",(VLOOKUP(TablaCosechas[[#This Row],[COD]],Tabla7[[CODIGO]:[CERTIFICACION]],3,0))))</f>
        <v>ASC</v>
      </c>
      <c r="P1710" s="180">
        <f>+L1710-E1710</f>
        <v>1666.3799999999974</v>
      </c>
      <c r="Q1710" s="49">
        <f>+M1710-F1710</f>
        <v>0.78000000000000114</v>
      </c>
      <c r="R1710" s="9"/>
    </row>
    <row r="1711" spans="1:18" x14ac:dyDescent="0.25">
      <c r="A1711" s="9" t="s">
        <v>180</v>
      </c>
      <c r="B1711" s="9">
        <f>ROW() - ROW(TablaCosechas[[#Headers],[ID]]) - 4</f>
        <v>1706</v>
      </c>
      <c r="C1711" s="9" t="str">
        <f>LEFT(A1711,2)</f>
        <v>TA</v>
      </c>
      <c r="D1711" s="182" t="s">
        <v>366</v>
      </c>
      <c r="E1711" s="178">
        <v>16950</v>
      </c>
      <c r="F1711" s="19">
        <v>31</v>
      </c>
      <c r="G1711" s="195">
        <v>46138</v>
      </c>
      <c r="H1711" s="9" t="str">
        <f>VLOOKUP(TablaCosechas[[#This Row],[COD]],DATOS!$E$3:$F$27,2,0)</f>
        <v>TAMBULERO</v>
      </c>
      <c r="I1711" s="9" t="str">
        <f>RIGHT(TablaCosechas[[#This Row],[SECTOR/PISCINA]],2)</f>
        <v>03</v>
      </c>
      <c r="J1711" s="9" t="str">
        <f>VLOOKUP(TablaCosechas[[#This Row],[COD]],Tabla7[#All],4,0)</f>
        <v>ALFONSO GRUNAUER</v>
      </c>
      <c r="K1711" s="179">
        <f>(TablaCosechas[[#This Row],[libras planta]]*454)/M1711</f>
        <v>255451.84161490682</v>
      </c>
      <c r="L1711" s="215">
        <v>18117.95</v>
      </c>
      <c r="M1711" s="205">
        <v>32.200000000000003</v>
      </c>
      <c r="N1711" s="9" t="str">
        <f>UPPER(TEXT(TablaCosechas[[#This Row],[COSECHA]],"MMMM"))</f>
        <v>ABRIL</v>
      </c>
      <c r="O1711" s="9" t="str">
        <f>IF(A1711="DO 29","BAP",IF(A1711="RO 14","BAP",(VLOOKUP(TablaCosechas[[#This Row],[COD]],Tabla7[[CODIGO]:[CERTIFICACION]],3,0))))</f>
        <v>CONVENCIONAL</v>
      </c>
      <c r="P1711" s="180">
        <f>+L1711-E1711</f>
        <v>1167.9500000000007</v>
      </c>
      <c r="Q1711" s="49">
        <f>+M1711-F1711</f>
        <v>1.2000000000000028</v>
      </c>
      <c r="R1711" s="9"/>
    </row>
    <row r="1712" spans="1:18" x14ac:dyDescent="0.25">
      <c r="A1712" s="9" t="s">
        <v>215</v>
      </c>
      <c r="B1712" s="9">
        <f>ROW() - ROW(TablaCosechas[[#Headers],[ID]]) - 4</f>
        <v>1707</v>
      </c>
      <c r="C1712" s="9" t="str">
        <f>LEFT(A1712,2)</f>
        <v>RO</v>
      </c>
      <c r="D1712" s="182" t="s">
        <v>366</v>
      </c>
      <c r="E1712" s="178">
        <f>32700+1500</f>
        <v>34200</v>
      </c>
      <c r="F1712" s="19">
        <v>28</v>
      </c>
      <c r="G1712" s="195">
        <v>46138</v>
      </c>
      <c r="H1712" s="9" t="str">
        <f>VLOOKUP(TablaCosechas[[#This Row],[COD]],DATOS!$E$3:$F$27,2,0)</f>
        <v>ROBALO</v>
      </c>
      <c r="I1712" s="9" t="str">
        <f>RIGHT(TablaCosechas[[#This Row],[SECTOR/PISCINA]],2)</f>
        <v>03</v>
      </c>
      <c r="J1712" s="9" t="str">
        <f>VLOOKUP(TablaCosechas[[#This Row],[COD]],Tabla7[#All],4,0)</f>
        <v>VICTOR QUINTANA</v>
      </c>
      <c r="K1712" s="179">
        <f>(TablaCosechas[[#This Row],[libras planta]]*454)/M1712</f>
        <v>639774.60964912281</v>
      </c>
      <c r="L1712" s="215">
        <v>38555.58</v>
      </c>
      <c r="M1712" s="205">
        <v>27.36</v>
      </c>
      <c r="N1712" s="9" t="str">
        <f>UPPER(TEXT(TablaCosechas[[#This Row],[COSECHA]],"MMMM"))</f>
        <v>ABRIL</v>
      </c>
      <c r="O1712" s="9" t="str">
        <f>IF(A1712="DO 29","BAP",IF(A1712="RO 14","BAP",(VLOOKUP(TablaCosechas[[#This Row],[COD]],Tabla7[[CODIGO]:[CERTIFICACION]],3,0))))</f>
        <v>ASC</v>
      </c>
      <c r="P1712" s="180">
        <f>+L1712-E1712</f>
        <v>4355.5800000000017</v>
      </c>
      <c r="Q1712" s="49">
        <f>+M1712-F1712</f>
        <v>-0.64000000000000057</v>
      </c>
      <c r="R1712" s="9"/>
    </row>
    <row r="1713" spans="1:18" x14ac:dyDescent="0.25">
      <c r="A1713" s="9" t="s">
        <v>263</v>
      </c>
      <c r="B1713" s="9">
        <f>ROW() - ROW(TablaCosechas[[#Headers],[ID]]) - 4</f>
        <v>1708</v>
      </c>
      <c r="C1713" s="9" t="str">
        <f>LEFT(A1713,2)</f>
        <v>PA</v>
      </c>
      <c r="D1713" s="182" t="s">
        <v>367</v>
      </c>
      <c r="E1713" s="178">
        <v>1500</v>
      </c>
      <c r="F1713" s="19">
        <v>14</v>
      </c>
      <c r="G1713" s="195">
        <v>46138</v>
      </c>
      <c r="H1713" s="9" t="str">
        <f>VLOOKUP(TablaCosechas[[#This Row],[COD]],DATOS!$E$3:$F$27,2,0)</f>
        <v>PAMPANO</v>
      </c>
      <c r="I1713" s="9" t="str">
        <f>RIGHT(TablaCosechas[[#This Row],[SECTOR/PISCINA]],2)</f>
        <v>02</v>
      </c>
      <c r="J1713" s="9" t="str">
        <f>VLOOKUP(TablaCosechas[[#This Row],[COD]],Tabla7[#All],4,0)</f>
        <v>GUSTAVO CARRASCO</v>
      </c>
      <c r="K1713" s="179">
        <f>(TablaCosechas[[#This Row],[libras planta]]*454)/M1713</f>
        <v>47772.757201646091</v>
      </c>
      <c r="L1713" s="215">
        <v>1534.2</v>
      </c>
      <c r="M1713" s="205">
        <v>14.58</v>
      </c>
      <c r="N1713" s="9" t="str">
        <f>UPPER(TEXT(TablaCosechas[[#This Row],[COSECHA]],"MMMM"))</f>
        <v>ABRIL</v>
      </c>
      <c r="O1713" s="9" t="str">
        <f>IF(A1713="DO 29","BAP",IF(A1713="RO 14","BAP",(VLOOKUP(TablaCosechas[[#This Row],[COD]],Tabla7[[CODIGO]:[CERTIFICACION]],3,0))))</f>
        <v>ASC</v>
      </c>
      <c r="P1713" s="180">
        <f>+L1713-E1713</f>
        <v>34.200000000000045</v>
      </c>
      <c r="Q1713" s="49">
        <f>+M1713-F1713</f>
        <v>0.58000000000000007</v>
      </c>
      <c r="R1713" s="9"/>
    </row>
    <row r="1714" spans="1:18" x14ac:dyDescent="0.25">
      <c r="A1714" s="9" t="s">
        <v>184</v>
      </c>
      <c r="B1714" s="9">
        <f>ROW() - ROW(TablaCosechas[[#Headers],[ID]]) - 4</f>
        <v>1709</v>
      </c>
      <c r="C1714" s="9" t="str">
        <f>LEFT(A1714,2)</f>
        <v>DO</v>
      </c>
      <c r="D1714" s="182" t="s">
        <v>367</v>
      </c>
      <c r="E1714" s="178">
        <v>31400</v>
      </c>
      <c r="F1714" s="19">
        <v>38</v>
      </c>
      <c r="G1714" s="195">
        <v>46138</v>
      </c>
      <c r="H1714" s="9" t="str">
        <f>VLOOKUP(TablaCosechas[[#This Row],[COD]],DATOS!$E$3:$F$27,2,0)</f>
        <v>DORADO</v>
      </c>
      <c r="I1714" s="9" t="str">
        <f>RIGHT(TablaCosechas[[#This Row],[SECTOR/PISCINA]],2)</f>
        <v>19</v>
      </c>
      <c r="J1714" s="9" t="str">
        <f>VLOOKUP(TablaCosechas[[#This Row],[COD]],Tabla7[#All],4,0)</f>
        <v>JOSE CEDEÑO</v>
      </c>
      <c r="K1714" s="179">
        <f>(TablaCosechas[[#This Row],[libras planta]]*454)/M1714</f>
        <v>406643.96439957491</v>
      </c>
      <c r="L1714" s="215">
        <v>33713.83</v>
      </c>
      <c r="M1714" s="205">
        <v>37.64</v>
      </c>
      <c r="N1714" s="9" t="str">
        <f>UPPER(TEXT(TablaCosechas[[#This Row],[COSECHA]],"MMMM"))</f>
        <v>ABRIL</v>
      </c>
      <c r="O1714" s="9" t="str">
        <f>IF(A1714="DO 29","BAP",IF(A1714="RO 14","BAP",(VLOOKUP(TablaCosechas[[#This Row],[COD]],Tabla7[[CODIGO]:[CERTIFICACION]],3,0))))</f>
        <v>ASC</v>
      </c>
      <c r="P1714" s="180">
        <f>+L1714-E1714</f>
        <v>2313.8300000000017</v>
      </c>
      <c r="Q1714" s="49">
        <f>+M1714-F1714</f>
        <v>-0.35999999999999943</v>
      </c>
      <c r="R1714" s="9"/>
    </row>
    <row r="1715" spans="1:18" x14ac:dyDescent="0.25">
      <c r="A1715" s="9" t="s">
        <v>350</v>
      </c>
      <c r="B1715" s="9">
        <f>ROW() - ROW(TablaCosechas[[#Headers],[ID]]) - 4</f>
        <v>1710</v>
      </c>
      <c r="C1715" s="9" t="str">
        <f>LEFT(A1715,2)</f>
        <v>DO</v>
      </c>
      <c r="D1715" s="182" t="s">
        <v>367</v>
      </c>
      <c r="E1715" s="178">
        <v>7000</v>
      </c>
      <c r="F1715" s="19">
        <v>24</v>
      </c>
      <c r="G1715" s="195">
        <v>46138</v>
      </c>
      <c r="H1715" s="9" t="str">
        <f>VLOOKUP(TablaCosechas[[#This Row],[COD]],DATOS!$E$3:$F$27,2,0)</f>
        <v>DORADO</v>
      </c>
      <c r="I1715" s="9" t="str">
        <f>RIGHT(TablaCosechas[[#This Row],[SECTOR/PISCINA]],2)</f>
        <v>02</v>
      </c>
      <c r="J1715" s="9" t="str">
        <f>VLOOKUP(TablaCosechas[[#This Row],[COD]],Tabla7[#All],4,0)</f>
        <v>JOSE CEDEÑO</v>
      </c>
      <c r="K1715" s="179">
        <f>(TablaCosechas[[#This Row],[libras planta]]*454)/M1715</f>
        <v>133921.74545454545</v>
      </c>
      <c r="L1715" s="215">
        <v>7300.8</v>
      </c>
      <c r="M1715" s="205">
        <v>24.75</v>
      </c>
      <c r="N1715" s="9" t="str">
        <f>UPPER(TEXT(TablaCosechas[[#This Row],[COSECHA]],"MMMM"))</f>
        <v>ABRIL</v>
      </c>
      <c r="O1715" s="9" t="str">
        <f>IF(A1715="DO 29","BAP",IF(A1715="RO 14","BAP",(VLOOKUP(TablaCosechas[[#This Row],[COD]],Tabla7[[CODIGO]:[CERTIFICACION]],3,0))))</f>
        <v>ASC</v>
      </c>
      <c r="P1715" s="180">
        <f>+L1715-E1715</f>
        <v>300.80000000000018</v>
      </c>
      <c r="Q1715" s="49">
        <f>+M1715-F1715</f>
        <v>0.75</v>
      </c>
      <c r="R1715" s="9"/>
    </row>
    <row r="1716" spans="1:18" x14ac:dyDescent="0.25">
      <c r="A1716" s="9" t="s">
        <v>273</v>
      </c>
      <c r="B1716" s="9">
        <f>ROW() - ROW(TablaCosechas[[#Headers],[ID]]) - 4</f>
        <v>1711</v>
      </c>
      <c r="C1716" s="9" t="str">
        <f>LEFT(A1716,2)</f>
        <v>DE</v>
      </c>
      <c r="D1716" s="182" t="s">
        <v>367</v>
      </c>
      <c r="E1716" s="178">
        <v>7500</v>
      </c>
      <c r="F1716" s="19">
        <v>16</v>
      </c>
      <c r="G1716" s="195">
        <v>46138</v>
      </c>
      <c r="H1716" s="9" t="str">
        <f>VLOOKUP(TablaCosechas[[#This Row],[COD]],DATOS!$E$3:$F$27,2,0)</f>
        <v>DELFIN</v>
      </c>
      <c r="I1716" s="9" t="str">
        <f>RIGHT(TablaCosechas[[#This Row],[SECTOR/PISCINA]],2)</f>
        <v>16</v>
      </c>
      <c r="J1716" s="9" t="str">
        <f>VLOOKUP(TablaCosechas[[#This Row],[COD]],Tabla7[#All],4,0)</f>
        <v>CARLOS FLORES</v>
      </c>
      <c r="K1716" s="179">
        <f>(TablaCosechas[[#This Row],[libras planta]]*454)/M1716</f>
        <v>223924.91028708135</v>
      </c>
      <c r="L1716" s="215">
        <v>8246.75</v>
      </c>
      <c r="M1716" s="205">
        <v>16.72</v>
      </c>
      <c r="N1716" s="9" t="str">
        <f>UPPER(TEXT(TablaCosechas[[#This Row],[COSECHA]],"MMMM"))</f>
        <v>ABRIL</v>
      </c>
      <c r="O1716" s="9" t="str">
        <f>IF(A1716="DO 29","BAP",IF(A1716="RO 14","BAP",(VLOOKUP(TablaCosechas[[#This Row],[COD]],Tabla7[[CODIGO]:[CERTIFICACION]],3,0))))</f>
        <v>CONVENCIONAL</v>
      </c>
      <c r="P1716" s="180">
        <f>+L1716-E1716</f>
        <v>746.75</v>
      </c>
      <c r="Q1716" s="49">
        <f>+M1716-F1716</f>
        <v>0.71999999999999886</v>
      </c>
      <c r="R1716" s="9"/>
    </row>
    <row r="1717" spans="1:18" x14ac:dyDescent="0.25">
      <c r="A1717" s="9" t="s">
        <v>265</v>
      </c>
      <c r="B1717" s="9">
        <f>ROW() - ROW(TablaCosechas[[#Headers],[ID]]) - 4</f>
        <v>1712</v>
      </c>
      <c r="C1717" s="9" t="str">
        <f>LEFT(A1717,2)</f>
        <v>DE</v>
      </c>
      <c r="D1717" s="182" t="s">
        <v>367</v>
      </c>
      <c r="E1717" s="178">
        <v>6200</v>
      </c>
      <c r="F1717" s="19">
        <v>16</v>
      </c>
      <c r="G1717" s="195">
        <v>46138</v>
      </c>
      <c r="H1717" s="9" t="str">
        <f>VLOOKUP(TablaCosechas[[#This Row],[COD]],DATOS!$E$3:$F$27,2,0)</f>
        <v>DELFIN</v>
      </c>
      <c r="I1717" s="9" t="str">
        <f>RIGHT(TablaCosechas[[#This Row],[SECTOR/PISCINA]],2)</f>
        <v>04</v>
      </c>
      <c r="J1717" s="9" t="str">
        <f>VLOOKUP(TablaCosechas[[#This Row],[COD]],Tabla7[#All],4,0)</f>
        <v>CARLOS FLORES</v>
      </c>
      <c r="K1717" s="179">
        <f>(TablaCosechas[[#This Row],[libras planta]]*454)/M1717</f>
        <v>154178.19514946421</v>
      </c>
      <c r="L1717" s="215">
        <v>6021.1</v>
      </c>
      <c r="M1717" s="205">
        <v>17.73</v>
      </c>
      <c r="N1717" s="9" t="str">
        <f>UPPER(TEXT(TablaCosechas[[#This Row],[COSECHA]],"MMMM"))</f>
        <v>ABRIL</v>
      </c>
      <c r="O1717" s="9" t="str">
        <f>IF(A1717="DO 29","BAP",IF(A1717="RO 14","BAP",(VLOOKUP(TablaCosechas[[#This Row],[COD]],Tabla7[[CODIGO]:[CERTIFICACION]],3,0))))</f>
        <v>CONVENCIONAL</v>
      </c>
      <c r="P1717" s="180">
        <f>+L1717-E1717</f>
        <v>-178.89999999999964</v>
      </c>
      <c r="Q1717" s="49">
        <f>+M1717-F1717</f>
        <v>1.7300000000000004</v>
      </c>
      <c r="R1717" s="9"/>
    </row>
    <row r="1718" spans="1:18" x14ac:dyDescent="0.25">
      <c r="A1718" s="9" t="s">
        <v>10</v>
      </c>
      <c r="B1718" s="9">
        <f>ROW() - ROW(TablaCosechas[[#Headers],[ID]]) - 4</f>
        <v>1713</v>
      </c>
      <c r="C1718" s="9" t="str">
        <f>LEFT(A1718,2)</f>
        <v>CH</v>
      </c>
      <c r="D1718" s="182" t="s">
        <v>366</v>
      </c>
      <c r="E1718" s="178">
        <v>21400</v>
      </c>
      <c r="F1718" s="19">
        <v>23.5</v>
      </c>
      <c r="G1718" s="195">
        <v>46138</v>
      </c>
      <c r="H1718" s="9" t="str">
        <f>VLOOKUP(TablaCosechas[[#This Row],[COD]],DATOS!$E$3:$F$27,2,0)</f>
        <v>CHERNA</v>
      </c>
      <c r="I1718" s="9" t="str">
        <f>RIGHT(TablaCosechas[[#This Row],[SECTOR/PISCINA]],2)</f>
        <v>04</v>
      </c>
      <c r="J1718" s="9" t="str">
        <f>VLOOKUP(TablaCosechas[[#This Row],[COD]],Tabla7[#All],4,0)</f>
        <v>SANTIAGO OBRIEN</v>
      </c>
      <c r="K1718" s="179">
        <f>(TablaCosechas[[#This Row],[libras planta]]*454)/M1718</f>
        <v>423661.86308492208</v>
      </c>
      <c r="L1718" s="215">
        <v>21537.7</v>
      </c>
      <c r="M1718" s="205">
        <v>23.08</v>
      </c>
      <c r="N1718" s="9" t="str">
        <f>UPPER(TEXT(TablaCosechas[[#This Row],[COSECHA]],"MMMM"))</f>
        <v>ABRIL</v>
      </c>
      <c r="O1718" s="9" t="str">
        <f>IF(A1718="DO 29","BAP",IF(A1718="RO 14","BAP",(VLOOKUP(TablaCosechas[[#This Row],[COD]],Tabla7[[CODIGO]:[CERTIFICACION]],3,0))))</f>
        <v>ASC</v>
      </c>
      <c r="P1718" s="180">
        <f>+L1718-E1718</f>
        <v>137.70000000000073</v>
      </c>
      <c r="Q1718" s="49">
        <f>+M1718-F1718</f>
        <v>-0.42000000000000171</v>
      </c>
      <c r="R1718" s="9"/>
    </row>
    <row r="1719" spans="1:18" x14ac:dyDescent="0.25">
      <c r="A1719" s="9" t="s">
        <v>205</v>
      </c>
      <c r="B1719" s="9">
        <f>ROW() - ROW(TablaCosechas[[#Headers],[ID]]) - 4</f>
        <v>1714</v>
      </c>
      <c r="C1719" s="9" t="str">
        <f>LEFT(A1719,2)</f>
        <v>BA</v>
      </c>
      <c r="D1719" s="182" t="s">
        <v>367</v>
      </c>
      <c r="E1719" s="178">
        <v>2300</v>
      </c>
      <c r="F1719" s="19">
        <v>23</v>
      </c>
      <c r="G1719" s="195">
        <v>46138</v>
      </c>
      <c r="H1719" s="9" t="str">
        <f>VLOOKUP(TablaCosechas[[#This Row],[COD]],DATOS!$E$3:$F$27,2,0)</f>
        <v>BARRACUDA</v>
      </c>
      <c r="I1719" s="9" t="str">
        <f>RIGHT(TablaCosechas[[#This Row],[SECTOR/PISCINA]],2)</f>
        <v>03</v>
      </c>
      <c r="J1719" s="9" t="str">
        <f>VLOOKUP(TablaCosechas[[#This Row],[COD]],Tabla7[#All],4,0)</f>
        <v>GUSTAVO CARRASCO</v>
      </c>
      <c r="K1719" s="179">
        <f>(TablaCosechas[[#This Row],[libras planta]]*454)/M1719</f>
        <v>45798.408163265303</v>
      </c>
      <c r="L1719" s="215">
        <v>2471.5</v>
      </c>
      <c r="M1719" s="205">
        <v>24.5</v>
      </c>
      <c r="N1719" s="9" t="str">
        <f>UPPER(TEXT(TablaCosechas[[#This Row],[COSECHA]],"MMMM"))</f>
        <v>ABRIL</v>
      </c>
      <c r="O1719" s="9" t="str">
        <f>IF(A1719="DO 29","BAP",IF(A1719="RO 14","BAP",(VLOOKUP(TablaCosechas[[#This Row],[COD]],Tabla7[[CODIGO]:[CERTIFICACION]],3,0))))</f>
        <v>CONVENCIONAL</v>
      </c>
      <c r="P1719" s="180">
        <f>+L1719-E1719</f>
        <v>171.5</v>
      </c>
      <c r="Q1719" s="181">
        <f>+M1719-F1719</f>
        <v>1.5</v>
      </c>
      <c r="R1719" s="9"/>
    </row>
    <row r="1720" spans="1:18" x14ac:dyDescent="0.25">
      <c r="A1720" s="9" t="s">
        <v>207</v>
      </c>
      <c r="B1720" s="9">
        <f>ROW() - ROW(TablaCosechas[[#Headers],[ID]]) - 4</f>
        <v>1715</v>
      </c>
      <c r="C1720" s="9" t="str">
        <f>LEFT(A1720,2)</f>
        <v>BA</v>
      </c>
      <c r="D1720" s="182" t="s">
        <v>367</v>
      </c>
      <c r="E1720" s="178">
        <v>4100</v>
      </c>
      <c r="F1720" s="19">
        <v>22</v>
      </c>
      <c r="G1720" s="195">
        <v>46138</v>
      </c>
      <c r="H1720" s="9" t="str">
        <f>VLOOKUP(TablaCosechas[[#This Row],[COD]],DATOS!$E$3:$F$27,2,0)</f>
        <v>BARRACUDA</v>
      </c>
      <c r="I1720" s="9" t="str">
        <f>RIGHT(TablaCosechas[[#This Row],[SECTOR/PISCINA]],2)</f>
        <v>02</v>
      </c>
      <c r="J1720" s="9" t="str">
        <f>VLOOKUP(TablaCosechas[[#This Row],[COD]],Tabla7[#All],4,0)</f>
        <v>GUSTAVO CARRASCO</v>
      </c>
      <c r="K1720" s="179">
        <f>(TablaCosechas[[#This Row],[libras planta]]*454)/M1720</f>
        <v>84169.879414298019</v>
      </c>
      <c r="L1720" s="215">
        <v>4304.8999999999996</v>
      </c>
      <c r="M1720" s="205">
        <v>23.22</v>
      </c>
      <c r="N1720" s="9" t="str">
        <f>UPPER(TEXT(TablaCosechas[[#This Row],[COSECHA]],"MMMM"))</f>
        <v>ABRIL</v>
      </c>
      <c r="O1720" s="9" t="str">
        <f>IF(A1720="DO 29","BAP",IF(A1720="RO 14","BAP",(VLOOKUP(TablaCosechas[[#This Row],[COD]],Tabla7[[CODIGO]:[CERTIFICACION]],3,0))))</f>
        <v>CONVENCIONAL</v>
      </c>
      <c r="P1720" s="180">
        <f>+L1720-E1720</f>
        <v>204.89999999999964</v>
      </c>
      <c r="Q1720" s="49">
        <f>+M1720-F1720</f>
        <v>1.2199999999999989</v>
      </c>
      <c r="R1720" s="9"/>
    </row>
    <row r="1721" spans="1:18" x14ac:dyDescent="0.25">
      <c r="A1721" s="9" t="s">
        <v>163</v>
      </c>
      <c r="B1721" s="9">
        <f>ROW() - ROW(TablaCosechas[[#Headers],[ID]]) - 4</f>
        <v>1716</v>
      </c>
      <c r="C1721" s="9" t="str">
        <f>LEFT(A1721,2)</f>
        <v>WA</v>
      </c>
      <c r="D1721" s="182" t="s">
        <v>367</v>
      </c>
      <c r="E1721" s="178">
        <v>14500</v>
      </c>
      <c r="F1721" s="19">
        <v>23</v>
      </c>
      <c r="G1721" s="195">
        <v>46139</v>
      </c>
      <c r="H1721" s="9" t="str">
        <f>VLOOKUP(TablaCosechas[[#This Row],[COD]],DATOS!$E$3:$F$27,2,0)</f>
        <v>WAHOO</v>
      </c>
      <c r="I1721" s="9" t="str">
        <f>RIGHT(TablaCosechas[[#This Row],[SECTOR/PISCINA]],2)</f>
        <v>37</v>
      </c>
      <c r="J1721" s="9" t="str">
        <f>VLOOKUP(TablaCosechas[[#This Row],[COD]],Tabla7[#All],4,0)</f>
        <v>JUNIOR ESQUIVEL</v>
      </c>
      <c r="K1721" s="179">
        <f>(TablaCosechas[[#This Row],[libras planta]]*454)/M1721</f>
        <v>307708.83607979183</v>
      </c>
      <c r="L1721" s="215">
        <v>15629.44</v>
      </c>
      <c r="M1721" s="19">
        <v>23.06</v>
      </c>
      <c r="N1721" s="9" t="str">
        <f>UPPER(TEXT(TablaCosechas[[#This Row],[COSECHA]],"MMMM"))</f>
        <v>ABRIL</v>
      </c>
      <c r="O1721" s="9" t="str">
        <f>IF(A1721="DO 29","BAP",IF(A1721="RO 14","BAP",(VLOOKUP(TablaCosechas[[#This Row],[COD]],Tabla7[[CODIGO]:[CERTIFICACION]],3,0))))</f>
        <v>CONVENCIONAL</v>
      </c>
      <c r="P1721" s="180">
        <f>+L1721-E1721</f>
        <v>1129.4400000000005</v>
      </c>
      <c r="Q1721" s="49">
        <f>+M1721-F1721</f>
        <v>5.9999999999998721E-2</v>
      </c>
      <c r="R1721" s="9"/>
    </row>
    <row r="1722" spans="1:18" x14ac:dyDescent="0.25">
      <c r="A1722" s="9" t="s">
        <v>224</v>
      </c>
      <c r="B1722" s="9">
        <f>ROW() - ROW(TablaCosechas[[#Headers],[ID]]) - 4</f>
        <v>1717</v>
      </c>
      <c r="C1722" s="9" t="str">
        <f>LEFT(A1722,2)</f>
        <v>TI</v>
      </c>
      <c r="D1722" s="182" t="s">
        <v>367</v>
      </c>
      <c r="E1722" s="178">
        <v>8000</v>
      </c>
      <c r="F1722" s="19">
        <v>23.5</v>
      </c>
      <c r="G1722" s="195">
        <v>46139</v>
      </c>
      <c r="H1722" s="9" t="str">
        <f>VLOOKUP(TablaCosechas[[#This Row],[COD]],DATOS!$E$3:$F$27,2,0)</f>
        <v>TIBURON</v>
      </c>
      <c r="I1722" s="9" t="str">
        <f>RIGHT(TablaCosechas[[#This Row],[SECTOR/PISCINA]],2)</f>
        <v>02</v>
      </c>
      <c r="J1722" s="9" t="str">
        <f>VLOOKUP(TablaCosechas[[#This Row],[COD]],Tabla7[#All],4,0)</f>
        <v>ALFONSO GRUNAUER</v>
      </c>
      <c r="K1722" s="179">
        <f>(TablaCosechas[[#This Row],[libras planta]]*454)/M1722</f>
        <v>152449.12326530612</v>
      </c>
      <c r="L1722" s="215">
        <v>8226.8799999999992</v>
      </c>
      <c r="M1722" s="19">
        <v>24.5</v>
      </c>
      <c r="N1722" s="9" t="str">
        <f>UPPER(TEXT(TablaCosechas[[#This Row],[COSECHA]],"MMMM"))</f>
        <v>ABRIL</v>
      </c>
      <c r="O1722" s="9" t="str">
        <f>IF(A1722="DO 29","BAP",IF(A1722="RO 14","BAP",(VLOOKUP(TablaCosechas[[#This Row],[COD]],Tabla7[[CODIGO]:[CERTIFICACION]],3,0))))</f>
        <v>ASC</v>
      </c>
      <c r="P1722" s="180">
        <f>+L1722-E1722</f>
        <v>226.8799999999992</v>
      </c>
      <c r="Q1722" s="49">
        <f>+M1722-F1722</f>
        <v>1</v>
      </c>
      <c r="R1722" s="9"/>
    </row>
    <row r="1723" spans="1:18" x14ac:dyDescent="0.25">
      <c r="A1723" s="9" t="s">
        <v>201</v>
      </c>
      <c r="B1723" s="9">
        <f>ROW() - ROW(TablaCosechas[[#Headers],[ID]]) - 4</f>
        <v>1718</v>
      </c>
      <c r="C1723" s="9" t="str">
        <f>LEFT(A1723,2)</f>
        <v>TA</v>
      </c>
      <c r="D1723" s="182" t="s">
        <v>366</v>
      </c>
      <c r="E1723" s="178">
        <v>4900</v>
      </c>
      <c r="F1723" s="19">
        <v>33.5</v>
      </c>
      <c r="G1723" s="195">
        <v>46139</v>
      </c>
      <c r="H1723" s="9" t="str">
        <f>VLOOKUP(TablaCosechas[[#This Row],[COD]],DATOS!$E$3:$F$27,2,0)</f>
        <v>TAMBULERO</v>
      </c>
      <c r="I1723" s="9" t="str">
        <f>RIGHT(TablaCosechas[[#This Row],[SECTOR/PISCINA]],2)</f>
        <v>11</v>
      </c>
      <c r="J1723" s="9" t="str">
        <f>VLOOKUP(TablaCosechas[[#This Row],[COD]],Tabla7[#All],4,0)</f>
        <v>ALFONSO GRUNAUER</v>
      </c>
      <c r="K1723" s="179">
        <f>(TablaCosechas[[#This Row],[libras planta]]*454)/M1723</f>
        <v>76867.974794841735</v>
      </c>
      <c r="L1723" s="215">
        <v>5776.95</v>
      </c>
      <c r="M1723" s="19">
        <v>34.119999999999997</v>
      </c>
      <c r="N1723" s="9" t="str">
        <f>UPPER(TEXT(TablaCosechas[[#This Row],[COSECHA]],"MMMM"))</f>
        <v>ABRIL</v>
      </c>
      <c r="O1723" s="9" t="str">
        <f>IF(A1723="DO 29","BAP",IF(A1723="RO 14","BAP",(VLOOKUP(TablaCosechas[[#This Row],[COD]],Tabla7[[CODIGO]:[CERTIFICACION]],3,0))))</f>
        <v>CONVENCIONAL</v>
      </c>
      <c r="P1723" s="180">
        <f>+L1723-E1723</f>
        <v>876.94999999999982</v>
      </c>
      <c r="Q1723" s="49">
        <f>+M1723-F1723</f>
        <v>0.61999999999999744</v>
      </c>
      <c r="R1723" s="9"/>
    </row>
    <row r="1724" spans="1:18" x14ac:dyDescent="0.25">
      <c r="A1724" s="9" t="s">
        <v>197</v>
      </c>
      <c r="B1724" s="9">
        <f>ROW() - ROW(TablaCosechas[[#Headers],[ID]]) - 4</f>
        <v>1719</v>
      </c>
      <c r="C1724" s="9" t="str">
        <f>LEFT(A1724,2)</f>
        <v>PA</v>
      </c>
      <c r="D1724" s="182" t="s">
        <v>367</v>
      </c>
      <c r="E1724" s="178">
        <v>4000</v>
      </c>
      <c r="F1724" s="19">
        <v>27</v>
      </c>
      <c r="G1724" s="195">
        <v>46139</v>
      </c>
      <c r="H1724" s="9" t="str">
        <f>VLOOKUP(TablaCosechas[[#This Row],[COD]],DATOS!$E$3:$F$27,2,0)</f>
        <v>PAMPANO</v>
      </c>
      <c r="I1724" s="9" t="str">
        <f>RIGHT(TablaCosechas[[#This Row],[SECTOR/PISCINA]],2)</f>
        <v>05</v>
      </c>
      <c r="J1724" s="9" t="str">
        <f>VLOOKUP(TablaCosechas[[#This Row],[COD]],Tabla7[#All],4,0)</f>
        <v>GUSTAVO CARRASCO</v>
      </c>
      <c r="K1724" s="179">
        <f>(TablaCosechas[[#This Row],[libras planta]]*454)/M1724</f>
        <v>68239.692307692298</v>
      </c>
      <c r="L1724" s="215">
        <v>4103.3999999999996</v>
      </c>
      <c r="M1724" s="19">
        <v>27.3</v>
      </c>
      <c r="N1724" s="9" t="str">
        <f>UPPER(TEXT(TablaCosechas[[#This Row],[COSECHA]],"MMMM"))</f>
        <v>ABRIL</v>
      </c>
      <c r="O1724" s="9" t="str">
        <f>IF(A1724="DO 29","BAP",IF(A1724="RO 14","BAP",(VLOOKUP(TablaCosechas[[#This Row],[COD]],Tabla7[[CODIGO]:[CERTIFICACION]],3,0))))</f>
        <v>ASC</v>
      </c>
      <c r="P1724" s="180">
        <f>+L1724-E1724</f>
        <v>103.39999999999964</v>
      </c>
      <c r="Q1724" s="49">
        <f>+M1724-F1724</f>
        <v>0.30000000000000071</v>
      </c>
      <c r="R1724" s="9"/>
    </row>
    <row r="1725" spans="1:18" x14ac:dyDescent="0.25">
      <c r="A1725" s="9" t="s">
        <v>219</v>
      </c>
      <c r="B1725" s="9">
        <f>ROW() - ROW(TablaCosechas[[#Headers],[ID]]) - 4</f>
        <v>1720</v>
      </c>
      <c r="C1725" s="9" t="str">
        <f>LEFT(A1725,2)</f>
        <v>DO</v>
      </c>
      <c r="D1725" s="182" t="s">
        <v>367</v>
      </c>
      <c r="E1725" s="178">
        <v>12000</v>
      </c>
      <c r="F1725" s="19">
        <v>24</v>
      </c>
      <c r="G1725" s="195">
        <v>46139</v>
      </c>
      <c r="H1725" s="9" t="str">
        <f>VLOOKUP(TablaCosechas[[#This Row],[COD]],DATOS!$E$3:$F$27,2,0)</f>
        <v>DORADO</v>
      </c>
      <c r="I1725" s="9" t="str">
        <f>RIGHT(TablaCosechas[[#This Row],[SECTOR/PISCINA]],2)</f>
        <v>11</v>
      </c>
      <c r="J1725" s="9" t="str">
        <f>VLOOKUP(TablaCosechas[[#This Row],[COD]],Tabla7[#All],4,0)</f>
        <v>JOSE CEDEÑO</v>
      </c>
      <c r="K1725" s="179">
        <f>(TablaCosechas[[#This Row],[libras planta]]*454)/M1725</f>
        <v>230977.0122324159</v>
      </c>
      <c r="L1725" s="215">
        <v>13309.16</v>
      </c>
      <c r="M1725" s="19">
        <v>26.16</v>
      </c>
      <c r="N1725" s="9" t="str">
        <f>UPPER(TEXT(TablaCosechas[[#This Row],[COSECHA]],"MMMM"))</f>
        <v>ABRIL</v>
      </c>
      <c r="O1725" s="9" t="str">
        <f>IF(A1725="DO 29","BAP",IF(A1725="RO 14","BAP",(VLOOKUP(TablaCosechas[[#This Row],[COD]],Tabla7[[CODIGO]:[CERTIFICACION]],3,0))))</f>
        <v>ASC</v>
      </c>
      <c r="P1725" s="180">
        <f>+L1725-E1725</f>
        <v>1309.1599999999999</v>
      </c>
      <c r="Q1725" s="49">
        <f>+M1725-F1725</f>
        <v>2.16</v>
      </c>
      <c r="R1725" s="9"/>
    </row>
    <row r="1726" spans="1:18" x14ac:dyDescent="0.25">
      <c r="A1726" s="9" t="s">
        <v>177</v>
      </c>
      <c r="B1726" s="9">
        <f>ROW() - ROW(TablaCosechas[[#Headers],[ID]]) - 4</f>
        <v>1721</v>
      </c>
      <c r="C1726" s="9" t="str">
        <f>LEFT(A1726,2)</f>
        <v>DE</v>
      </c>
      <c r="D1726" s="182" t="s">
        <v>366</v>
      </c>
      <c r="E1726" s="178">
        <v>13900</v>
      </c>
      <c r="F1726" s="19">
        <v>30</v>
      </c>
      <c r="G1726" s="195">
        <v>46139</v>
      </c>
      <c r="H1726" s="9" t="str">
        <f>VLOOKUP(TablaCosechas[[#This Row],[COD]],DATOS!$E$3:$F$27,2,0)</f>
        <v>DELFIN</v>
      </c>
      <c r="I1726" s="9" t="str">
        <f>RIGHT(TablaCosechas[[#This Row],[SECTOR/PISCINA]],2)</f>
        <v>09</v>
      </c>
      <c r="J1726" s="9" t="str">
        <f>VLOOKUP(TablaCosechas[[#This Row],[COD]],Tabla7[#All],4,0)</f>
        <v>CARLOS FLORES</v>
      </c>
      <c r="K1726" s="179">
        <f>(TablaCosechas[[#This Row],[libras planta]]*454)/M1726</f>
        <v>208186.16486314451</v>
      </c>
      <c r="L1726" s="215">
        <v>14407.95</v>
      </c>
      <c r="M1726" s="19">
        <v>31.42</v>
      </c>
      <c r="N1726" s="9" t="str">
        <f>UPPER(TEXT(TablaCosechas[[#This Row],[COSECHA]],"MMMM"))</f>
        <v>ABRIL</v>
      </c>
      <c r="O1726" s="9" t="str">
        <f>IF(A1726="DO 29","BAP",IF(A1726="RO 14","BAP",(VLOOKUP(TablaCosechas[[#This Row],[COD]],Tabla7[[CODIGO]:[CERTIFICACION]],3,0))))</f>
        <v>CONVENCIONAL</v>
      </c>
      <c r="P1726" s="180">
        <f>+L1726-E1726</f>
        <v>507.95000000000073</v>
      </c>
      <c r="Q1726" s="49">
        <f>+M1726-F1726</f>
        <v>1.4200000000000017</v>
      </c>
      <c r="R1726" s="9"/>
    </row>
    <row r="1727" spans="1:18" x14ac:dyDescent="0.25">
      <c r="A1727" s="9" t="s">
        <v>209</v>
      </c>
      <c r="B1727" s="9">
        <f>ROW() - ROW(TablaCosechas[[#Headers],[ID]]) - 4</f>
        <v>1722</v>
      </c>
      <c r="C1727" s="9" t="str">
        <f>LEFT(A1727,2)</f>
        <v>BA</v>
      </c>
      <c r="D1727" s="182" t="s">
        <v>367</v>
      </c>
      <c r="E1727" s="178">
        <v>4300</v>
      </c>
      <c r="F1727" s="19">
        <v>20</v>
      </c>
      <c r="G1727" s="195">
        <v>46139</v>
      </c>
      <c r="H1727" s="9" t="str">
        <f>VLOOKUP(TablaCosechas[[#This Row],[COD]],DATOS!$E$3:$F$27,2,0)</f>
        <v>BARRACUDA</v>
      </c>
      <c r="I1727" s="9" t="str">
        <f>RIGHT(TablaCosechas[[#This Row],[SECTOR/PISCINA]],2)</f>
        <v>05</v>
      </c>
      <c r="J1727" s="9" t="str">
        <f>VLOOKUP(TablaCosechas[[#This Row],[COD]],Tabla7[#All],4,0)</f>
        <v>GUSTAVO CARRASCO</v>
      </c>
      <c r="K1727" s="179">
        <f>(TablaCosechas[[#This Row],[libras planta]]*454)/M1727</f>
        <v>88495.195911413975</v>
      </c>
      <c r="L1727" s="215">
        <v>4576.8</v>
      </c>
      <c r="M1727" s="19">
        <v>23.48</v>
      </c>
      <c r="N1727" s="9" t="str">
        <f>UPPER(TEXT(TablaCosechas[[#This Row],[COSECHA]],"MMMM"))</f>
        <v>ABRIL</v>
      </c>
      <c r="O1727" s="9" t="str">
        <f>IF(A1727="DO 29","BAP",IF(A1727="RO 14","BAP",(VLOOKUP(TablaCosechas[[#This Row],[COD]],Tabla7[[CODIGO]:[CERTIFICACION]],3,0))))</f>
        <v>CONVENCIONAL</v>
      </c>
      <c r="P1727" s="180">
        <f>+L1727-E1727</f>
        <v>276.80000000000018</v>
      </c>
      <c r="Q1727" s="49">
        <f>+M1727-F1727</f>
        <v>3.4800000000000004</v>
      </c>
      <c r="R1727" s="9"/>
    </row>
    <row r="1728" spans="1:18" x14ac:dyDescent="0.25">
      <c r="A1728" s="9" t="s">
        <v>257</v>
      </c>
      <c r="B1728" s="9">
        <f>ROW() - ROW(TablaCosechas[[#Headers],[ID]]) - 4</f>
        <v>1723</v>
      </c>
      <c r="C1728" s="9" t="str">
        <f>LEFT(A1728,2)</f>
        <v>WA</v>
      </c>
      <c r="D1728" s="182" t="s">
        <v>367</v>
      </c>
      <c r="E1728" s="178">
        <v>5600</v>
      </c>
      <c r="F1728" s="19">
        <v>23</v>
      </c>
      <c r="G1728" s="195">
        <v>46140</v>
      </c>
      <c r="H1728" s="9" t="str">
        <f>VLOOKUP(TablaCosechas[[#This Row],[COD]],DATOS!$E$3:$F$27,2,0)</f>
        <v>WAHOO</v>
      </c>
      <c r="I1728" s="9" t="str">
        <f>RIGHT(TablaCosechas[[#This Row],[SECTOR/PISCINA]],2)</f>
        <v>21</v>
      </c>
      <c r="J1728" s="9" t="str">
        <f>VLOOKUP(TablaCosechas[[#This Row],[COD]],Tabla7[#All],4,0)</f>
        <v>JUNIOR ESQUIVEL</v>
      </c>
      <c r="K1728" s="179">
        <f>(TablaCosechas[[#This Row],[libras planta]]*454)/M1728</f>
        <v>123404.19072615923</v>
      </c>
      <c r="L1728" s="215">
        <v>6213.7</v>
      </c>
      <c r="M1728" s="205">
        <v>22.86</v>
      </c>
      <c r="N1728" s="9" t="str">
        <f>UPPER(TEXT(TablaCosechas[[#This Row],[COSECHA]],"MMMM"))</f>
        <v>ABRIL</v>
      </c>
      <c r="O1728" s="9" t="str">
        <f>IF(A1728="DO 29","BAP",IF(A1728="RO 14","BAP",(VLOOKUP(TablaCosechas[[#This Row],[COD]],Tabla7[[CODIGO]:[CERTIFICACION]],3,0))))</f>
        <v>CONVENCIONAL</v>
      </c>
      <c r="P1728" s="180">
        <f>+L1728-E1728</f>
        <v>613.69999999999982</v>
      </c>
      <c r="Q1728" s="49">
        <f>+M1728-F1728</f>
        <v>-0.14000000000000057</v>
      </c>
      <c r="R1728" s="9"/>
    </row>
    <row r="1729" spans="1:18" x14ac:dyDescent="0.25">
      <c r="A1729" s="9" t="s">
        <v>218</v>
      </c>
      <c r="B1729" s="9">
        <f>ROW() - ROW(TablaCosechas[[#Headers],[ID]]) - 4</f>
        <v>1724</v>
      </c>
      <c r="C1729" s="9" t="str">
        <f>LEFT(A1729,2)</f>
        <v>TU</v>
      </c>
      <c r="D1729" s="182" t="s">
        <v>367</v>
      </c>
      <c r="E1729" s="178">
        <v>6450</v>
      </c>
      <c r="F1729" s="19">
        <v>18.5</v>
      </c>
      <c r="G1729" s="195">
        <v>46140</v>
      </c>
      <c r="H1729" s="9" t="str">
        <f>VLOOKUP(TablaCosechas[[#This Row],[COD]],DATOS!$E$3:$F$27,2,0)</f>
        <v>TUNA</v>
      </c>
      <c r="I1729" s="9" t="str">
        <f>RIGHT(TablaCosechas[[#This Row],[SECTOR/PISCINA]],2)</f>
        <v>06</v>
      </c>
      <c r="J1729" s="9" t="str">
        <f>VLOOKUP(TablaCosechas[[#This Row],[COD]],Tabla7[#All],4,0)</f>
        <v>GUSTAVO CARRASCO</v>
      </c>
      <c r="K1729" s="179">
        <f>(TablaCosechas[[#This Row],[libras planta]]*454)/M1729</f>
        <v>144209.7793764988</v>
      </c>
      <c r="L1729" s="215">
        <v>6622.85</v>
      </c>
      <c r="M1729" s="205">
        <v>20.85</v>
      </c>
      <c r="N1729" s="9" t="str">
        <f>UPPER(TEXT(TablaCosechas[[#This Row],[COSECHA]],"MMMM"))</f>
        <v>ABRIL</v>
      </c>
      <c r="O1729" s="9" t="str">
        <f>IF(A1729="DO 29","BAP",IF(A1729="RO 14","BAP",(VLOOKUP(TablaCosechas[[#This Row],[COD]],Tabla7[[CODIGO]:[CERTIFICACION]],3,0))))</f>
        <v>ASC</v>
      </c>
      <c r="P1729" s="180">
        <f>+L1729-E1729</f>
        <v>172.85000000000036</v>
      </c>
      <c r="Q1729" s="49">
        <f>+M1729-F1729</f>
        <v>2.3500000000000014</v>
      </c>
      <c r="R1729" s="9"/>
    </row>
    <row r="1730" spans="1:18" x14ac:dyDescent="0.25">
      <c r="A1730" s="9" t="s">
        <v>255</v>
      </c>
      <c r="B1730" s="9">
        <f>ROW() - ROW(TablaCosechas[[#Headers],[ID]]) - 4</f>
        <v>1725</v>
      </c>
      <c r="C1730" s="9" t="str">
        <f>LEFT(A1730,2)</f>
        <v>RO</v>
      </c>
      <c r="D1730" s="182" t="s">
        <v>367</v>
      </c>
      <c r="E1730" s="178">
        <v>2000</v>
      </c>
      <c r="F1730" s="19">
        <v>20</v>
      </c>
      <c r="G1730" s="195">
        <v>46140</v>
      </c>
      <c r="H1730" s="9" t="str">
        <f>VLOOKUP(TablaCosechas[[#This Row],[COD]],DATOS!$E$3:$F$27,2,0)</f>
        <v>ROBALO</v>
      </c>
      <c r="I1730" s="9" t="str">
        <f>RIGHT(TablaCosechas[[#This Row],[SECTOR/PISCINA]],2)</f>
        <v>10</v>
      </c>
      <c r="J1730" s="9" t="str">
        <f>VLOOKUP(TablaCosechas[[#This Row],[COD]],Tabla7[#All],4,0)</f>
        <v>VICTOR QUINTANA</v>
      </c>
      <c r="K1730" s="179">
        <f>(TablaCosechas[[#This Row],[libras planta]]*454)/M1730</f>
        <v>48507.89077212807</v>
      </c>
      <c r="L1730" s="215">
        <v>2269.4</v>
      </c>
      <c r="M1730" s="205">
        <v>21.24</v>
      </c>
      <c r="N1730" s="9" t="str">
        <f>UPPER(TEXT(TablaCosechas[[#This Row],[COSECHA]],"MMMM"))</f>
        <v>ABRIL</v>
      </c>
      <c r="O1730" s="9" t="str">
        <f>IF(A1730="DO 29","BAP",IF(A1730="RO 14","BAP",(VLOOKUP(TablaCosechas[[#This Row],[COD]],Tabla7[[CODIGO]:[CERTIFICACION]],3,0))))</f>
        <v>ASC</v>
      </c>
      <c r="P1730" s="180">
        <f>+L1730-E1730</f>
        <v>269.40000000000009</v>
      </c>
      <c r="Q1730" s="49">
        <f>+M1730-F1730</f>
        <v>1.2399999999999984</v>
      </c>
      <c r="R1730" s="9"/>
    </row>
    <row r="1731" spans="1:18" x14ac:dyDescent="0.25">
      <c r="A1731" s="9" t="s">
        <v>175</v>
      </c>
      <c r="B1731" s="9">
        <f>ROW() - ROW(TablaCosechas[[#Headers],[ID]]) - 4</f>
        <v>1726</v>
      </c>
      <c r="C1731" s="9" t="str">
        <f>LEFT(A1731,2)</f>
        <v>PA</v>
      </c>
      <c r="D1731" s="182" t="s">
        <v>367</v>
      </c>
      <c r="E1731" s="178">
        <v>5300</v>
      </c>
      <c r="F1731" s="19">
        <v>31</v>
      </c>
      <c r="G1731" s="195">
        <v>46140</v>
      </c>
      <c r="H1731" s="9" t="str">
        <f>VLOOKUP(TablaCosechas[[#This Row],[COD]],DATOS!$E$3:$F$27,2,0)</f>
        <v>PAMPANO</v>
      </c>
      <c r="I1731" s="9" t="str">
        <f>RIGHT(TablaCosechas[[#This Row],[SECTOR/PISCINA]],2)</f>
        <v>09</v>
      </c>
      <c r="J1731" s="9" t="str">
        <f>VLOOKUP(TablaCosechas[[#This Row],[COD]],Tabla7[#All],4,0)</f>
        <v>GUSTAVO CARRASCO</v>
      </c>
      <c r="K1731" s="179">
        <f>(TablaCosechas[[#This Row],[libras planta]]*454)/M1731</f>
        <v>78444.814745972733</v>
      </c>
      <c r="L1731" s="215">
        <v>5577.53</v>
      </c>
      <c r="M1731" s="205">
        <v>32.28</v>
      </c>
      <c r="N1731" s="9" t="str">
        <f>UPPER(TEXT(TablaCosechas[[#This Row],[COSECHA]],"MMMM"))</f>
        <v>ABRIL</v>
      </c>
      <c r="O1731" s="9" t="str">
        <f>IF(A1731="DO 29","BAP",IF(A1731="RO 14","BAP",(VLOOKUP(TablaCosechas[[#This Row],[COD]],Tabla7[[CODIGO]:[CERTIFICACION]],3,0))))</f>
        <v>ASC</v>
      </c>
      <c r="P1731" s="180">
        <f>+L1731-E1731</f>
        <v>277.52999999999975</v>
      </c>
      <c r="Q1731" s="49">
        <f>+M1731-F1731</f>
        <v>1.2800000000000011</v>
      </c>
      <c r="R1731" s="9"/>
    </row>
    <row r="1732" spans="1:18" x14ac:dyDescent="0.25">
      <c r="A1732" s="9" t="s">
        <v>184</v>
      </c>
      <c r="B1732" s="9">
        <f>ROW() - ROW(TablaCosechas[[#Headers],[ID]]) - 4</f>
        <v>1727</v>
      </c>
      <c r="C1732" s="9" t="str">
        <f>LEFT(A1732,2)</f>
        <v>DO</v>
      </c>
      <c r="D1732" s="182" t="s">
        <v>366</v>
      </c>
      <c r="E1732" s="178">
        <f>4000+1000</f>
        <v>5000</v>
      </c>
      <c r="F1732" s="19">
        <v>38</v>
      </c>
      <c r="G1732" s="195">
        <v>46140</v>
      </c>
      <c r="H1732" s="9" t="str">
        <f>VLOOKUP(TablaCosechas[[#This Row],[COD]],DATOS!$E$3:$F$27,2,0)</f>
        <v>DORADO</v>
      </c>
      <c r="I1732" s="9" t="str">
        <f>RIGHT(TablaCosechas[[#This Row],[SECTOR/PISCINA]],2)</f>
        <v>19</v>
      </c>
      <c r="J1732" s="9" t="str">
        <f>VLOOKUP(TablaCosechas[[#This Row],[COD]],Tabla7[#All],4,0)</f>
        <v>JOSE CEDEÑO</v>
      </c>
      <c r="K1732" s="179">
        <f>(TablaCosechas[[#This Row],[libras planta]]*454)/M1732</f>
        <v>66976.47960848287</v>
      </c>
      <c r="L1732" s="215">
        <v>5425.98</v>
      </c>
      <c r="M1732" s="205">
        <v>36.78</v>
      </c>
      <c r="N1732" s="9" t="str">
        <f>UPPER(TEXT(TablaCosechas[[#This Row],[COSECHA]],"MMMM"))</f>
        <v>ABRIL</v>
      </c>
      <c r="O1732" s="9" t="str">
        <f>IF(A1732="DO 29","BAP",IF(A1732="RO 14","BAP",(VLOOKUP(TablaCosechas[[#This Row],[COD]],Tabla7[[CODIGO]:[CERTIFICACION]],3,0))))</f>
        <v>ASC</v>
      </c>
      <c r="P1732" s="180">
        <f>+L1732-E1732</f>
        <v>425.97999999999956</v>
      </c>
      <c r="Q1732" s="49">
        <f>+M1732-F1732</f>
        <v>-1.2199999999999989</v>
      </c>
      <c r="R1732" s="9"/>
    </row>
    <row r="1733" spans="1:18" x14ac:dyDescent="0.25">
      <c r="A1733" s="9" t="s">
        <v>194</v>
      </c>
      <c r="B1733" s="9">
        <f>ROW() - ROW(TablaCosechas[[#Headers],[ID]]) - 4</f>
        <v>1728</v>
      </c>
      <c r="C1733" s="9" t="str">
        <f>LEFT(A1733,2)</f>
        <v>DE</v>
      </c>
      <c r="D1733" s="182" t="s">
        <v>366</v>
      </c>
      <c r="E1733" s="178">
        <v>10150</v>
      </c>
      <c r="F1733" s="19">
        <v>38</v>
      </c>
      <c r="G1733" s="195">
        <v>46140</v>
      </c>
      <c r="H1733" s="9" t="str">
        <f>VLOOKUP(TablaCosechas[[#This Row],[COD]],DATOS!$E$3:$F$27,2,0)</f>
        <v>DELFIN</v>
      </c>
      <c r="I1733" s="9" t="str">
        <f>RIGHT(TablaCosechas[[#This Row],[SECTOR/PISCINA]],2)</f>
        <v>20</v>
      </c>
      <c r="J1733" s="9" t="str">
        <f>VLOOKUP(TablaCosechas[[#This Row],[COD]],Tabla7[#All],4,0)</f>
        <v>CARLOS FLORES</v>
      </c>
      <c r="K1733" s="179">
        <f>(TablaCosechas[[#This Row],[libras planta]]*454)/M1733</f>
        <v>127597.31286394919</v>
      </c>
      <c r="L1733" s="215">
        <v>10618.12</v>
      </c>
      <c r="M1733" s="205">
        <v>37.78</v>
      </c>
      <c r="N1733" s="9" t="str">
        <f>UPPER(TEXT(TablaCosechas[[#This Row],[COSECHA]],"MMMM"))</f>
        <v>ABRIL</v>
      </c>
      <c r="O1733" s="9" t="str">
        <f>IF(A1733="DO 29","BAP",IF(A1733="RO 14","BAP",(VLOOKUP(TablaCosechas[[#This Row],[COD]],Tabla7[[CODIGO]:[CERTIFICACION]],3,0))))</f>
        <v>CONVENCIONAL</v>
      </c>
      <c r="P1733" s="180">
        <f>+L1733-E1733</f>
        <v>468.1200000000008</v>
      </c>
      <c r="Q1733" s="49">
        <f>+M1733-F1733</f>
        <v>-0.21999999999999886</v>
      </c>
      <c r="R1733" s="9"/>
    </row>
    <row r="1734" spans="1:18" x14ac:dyDescent="0.25">
      <c r="A1734" s="9" t="s">
        <v>17</v>
      </c>
      <c r="B1734" s="9">
        <f>ROW() - ROW(TablaCosechas[[#Headers],[ID]]) - 4</f>
        <v>1729</v>
      </c>
      <c r="C1734" s="9" t="str">
        <f>LEFT(A1734,2)</f>
        <v>CH</v>
      </c>
      <c r="D1734" s="182" t="s">
        <v>367</v>
      </c>
      <c r="E1734" s="178">
        <v>6000</v>
      </c>
      <c r="F1734" s="19">
        <v>21</v>
      </c>
      <c r="G1734" s="195">
        <v>46140</v>
      </c>
      <c r="H1734" s="9" t="str">
        <f>VLOOKUP(TablaCosechas[[#This Row],[COD]],DATOS!$E$3:$F$27,2,0)</f>
        <v>CHERNA</v>
      </c>
      <c r="I1734" s="9" t="str">
        <f>RIGHT(TablaCosechas[[#This Row],[SECTOR/PISCINA]],2)</f>
        <v>11</v>
      </c>
      <c r="J1734" s="9" t="str">
        <f>VLOOKUP(TablaCosechas[[#This Row],[COD]],Tabla7[#All],4,0)</f>
        <v>SANTIAGO OBRIEN</v>
      </c>
      <c r="K1734" s="179">
        <f>(TablaCosechas[[#This Row],[libras planta]]*454)/M1734</f>
        <v>132191.07441860464</v>
      </c>
      <c r="L1734" s="215">
        <v>6260.15</v>
      </c>
      <c r="M1734" s="205">
        <v>21.5</v>
      </c>
      <c r="N1734" s="9" t="str">
        <f>UPPER(TEXT(TablaCosechas[[#This Row],[COSECHA]],"MMMM"))</f>
        <v>ABRIL</v>
      </c>
      <c r="O1734" s="9" t="str">
        <f>IF(A1734="DO 29","BAP",IF(A1734="RO 14","BAP",(VLOOKUP(TablaCosechas[[#This Row],[COD]],Tabla7[[CODIGO]:[CERTIFICACION]],3,0))))</f>
        <v>ASC</v>
      </c>
      <c r="P1734" s="180">
        <f>+L1734-E1734</f>
        <v>260.14999999999964</v>
      </c>
      <c r="Q1734" s="181">
        <f>+M1734-F1734</f>
        <v>0.5</v>
      </c>
      <c r="R1734" s="9"/>
    </row>
    <row r="1735" spans="1:18" x14ac:dyDescent="0.25">
      <c r="A1735" s="9" t="s">
        <v>277</v>
      </c>
      <c r="B1735" s="9">
        <f>ROW() - ROW(TablaCosechas[[#Headers],[ID]]) - 4</f>
        <v>1730</v>
      </c>
      <c r="C1735" s="9" t="str">
        <f>LEFT(A1735,2)</f>
        <v>CA</v>
      </c>
      <c r="D1735" s="182" t="s">
        <v>367</v>
      </c>
      <c r="E1735" s="178">
        <v>7000</v>
      </c>
      <c r="F1735" s="19">
        <v>17</v>
      </c>
      <c r="G1735" s="195">
        <v>46140</v>
      </c>
      <c r="H1735" s="9" t="str">
        <f>VLOOKUP(TablaCosechas[[#This Row],[COD]],DATOS!$E$3:$F$27,2,0)</f>
        <v>CATANUDA</v>
      </c>
      <c r="I1735" s="9" t="str">
        <f>RIGHT(TablaCosechas[[#This Row],[SECTOR/PISCINA]],2)</f>
        <v>05</v>
      </c>
      <c r="J1735" s="9" t="str">
        <f>VLOOKUP(TablaCosechas[[#This Row],[COD]],Tabla7[#All],4,0)</f>
        <v>VICTOR QUINTANA</v>
      </c>
      <c r="K1735" s="179">
        <f>(TablaCosechas[[#This Row],[libras planta]]*454)/M1735</f>
        <v>210141.03428571427</v>
      </c>
      <c r="L1735" s="215">
        <v>8100.15</v>
      </c>
      <c r="M1735" s="205">
        <v>17.5</v>
      </c>
      <c r="N1735" s="9" t="str">
        <f>UPPER(TEXT(TablaCosechas[[#This Row],[COSECHA]],"MMMM"))</f>
        <v>ABRIL</v>
      </c>
      <c r="O1735" s="9" t="str">
        <f>IF(A1735="DO 29","BAP",IF(A1735="RO 14","BAP",(VLOOKUP(TablaCosechas[[#This Row],[COD]],Tabla7[[CODIGO]:[CERTIFICACION]],3,0))))</f>
        <v>ASC</v>
      </c>
      <c r="P1735" s="180">
        <f>+L1735-E1735</f>
        <v>1100.1499999999996</v>
      </c>
      <c r="Q1735" s="49">
        <f>+M1735-F1735</f>
        <v>0.5</v>
      </c>
      <c r="R1735" s="9"/>
    </row>
    <row r="1736" spans="1:18" x14ac:dyDescent="0.25">
      <c r="A1736" s="9" t="s">
        <v>377</v>
      </c>
      <c r="B1736" s="9">
        <f>ROW() - ROW(TablaCosechas[[#Headers],[ID]]) - 4</f>
        <v>1731</v>
      </c>
      <c r="C1736" s="9" t="str">
        <f>LEFT(A1736,2)</f>
        <v>WA</v>
      </c>
      <c r="D1736" s="182" t="s">
        <v>367</v>
      </c>
      <c r="E1736" s="178">
        <v>7200</v>
      </c>
      <c r="F1736" s="19">
        <v>21</v>
      </c>
      <c r="G1736" s="195">
        <v>46141</v>
      </c>
      <c r="H1736" s="9" t="str">
        <f>VLOOKUP(TablaCosechas[[#This Row],[COD]],DATOS!$E$3:$F$27,2,0)</f>
        <v>WAHOO</v>
      </c>
      <c r="I1736" s="9" t="str">
        <f>RIGHT(TablaCosechas[[#This Row],[SECTOR/PISCINA]],2)</f>
        <v>34</v>
      </c>
      <c r="J1736" s="9" t="str">
        <f>VLOOKUP(TablaCosechas[[#This Row],[COD]],Tabla7[#All],4,0)</f>
        <v>JUNIOR ESQUIVEL</v>
      </c>
      <c r="K1736" s="179">
        <f>(TablaCosechas[[#This Row],[libras planta]]*454)/M1736</f>
        <v>168004.84577114429</v>
      </c>
      <c r="L1736" s="215">
        <v>7438.1</v>
      </c>
      <c r="M1736" s="205">
        <v>20.100000000000001</v>
      </c>
      <c r="N1736" s="9" t="str">
        <f>UPPER(TEXT(TablaCosechas[[#This Row],[COSECHA]],"MMMM"))</f>
        <v>ABRIL</v>
      </c>
      <c r="O1736" s="9" t="str">
        <f>IF(A1736="DO 29","BAP",IF(A1736="RO 14","BAP",(VLOOKUP(TablaCosechas[[#This Row],[COD]],Tabla7[[CODIGO]:[CERTIFICACION]],3,0))))</f>
        <v>CONVENCIONAL</v>
      </c>
      <c r="P1736" s="180">
        <f>+L1736-E1736</f>
        <v>238.10000000000036</v>
      </c>
      <c r="Q1736" s="49">
        <f>+M1736-F1736</f>
        <v>-0.89999999999999858</v>
      </c>
      <c r="R1736" s="9"/>
    </row>
    <row r="1737" spans="1:18" x14ac:dyDescent="0.25">
      <c r="A1737" s="9" t="s">
        <v>352</v>
      </c>
      <c r="B1737" s="9">
        <f>ROW() - ROW(TablaCosechas[[#Headers],[ID]]) - 4</f>
        <v>1732</v>
      </c>
      <c r="C1737" s="9" t="str">
        <f>LEFT(A1737,2)</f>
        <v>WA</v>
      </c>
      <c r="D1737" s="182" t="s">
        <v>367</v>
      </c>
      <c r="E1737" s="178">
        <v>16000</v>
      </c>
      <c r="F1737" s="19">
        <v>22</v>
      </c>
      <c r="G1737" s="195">
        <v>46141</v>
      </c>
      <c r="H1737" s="9" t="str">
        <f>VLOOKUP(TablaCosechas[[#This Row],[COD]],DATOS!$E$3:$F$27,2,0)</f>
        <v>WAHOO</v>
      </c>
      <c r="I1737" s="9" t="str">
        <f>RIGHT(TablaCosechas[[#This Row],[SECTOR/PISCINA]],2)</f>
        <v>33</v>
      </c>
      <c r="J1737" s="9" t="str">
        <f>VLOOKUP(TablaCosechas[[#This Row],[COD]],Tabla7[#All],4,0)</f>
        <v>JUNIOR ESQUIVEL</v>
      </c>
      <c r="K1737" s="179">
        <f>(TablaCosechas[[#This Row],[libras planta]]*454)/M1737</f>
        <v>360009.76766784448</v>
      </c>
      <c r="L1737" s="215">
        <v>17952.91</v>
      </c>
      <c r="M1737" s="205">
        <v>22.64</v>
      </c>
      <c r="N1737" s="9" t="str">
        <f>UPPER(TEXT(TablaCosechas[[#This Row],[COSECHA]],"MMMM"))</f>
        <v>ABRIL</v>
      </c>
      <c r="O1737" s="9" t="str">
        <f>IF(A1737="DO 29","BAP",IF(A1737="RO 14","BAP",(VLOOKUP(TablaCosechas[[#This Row],[COD]],Tabla7[[CODIGO]:[CERTIFICACION]],3,0))))</f>
        <v>CONVENCIONAL</v>
      </c>
      <c r="P1737" s="180">
        <f>+L1737-E1737</f>
        <v>1952.9099999999999</v>
      </c>
      <c r="Q1737" s="49">
        <f>+M1737-F1737</f>
        <v>0.64000000000000057</v>
      </c>
      <c r="R1737" s="9"/>
    </row>
    <row r="1738" spans="1:18" x14ac:dyDescent="0.25">
      <c r="A1738" s="9" t="s">
        <v>204</v>
      </c>
      <c r="B1738" s="9">
        <f>ROW() - ROW(TablaCosechas[[#Headers],[ID]]) - 4</f>
        <v>1733</v>
      </c>
      <c r="C1738" s="9" t="str">
        <f>LEFT(A1738,2)</f>
        <v>TA</v>
      </c>
      <c r="D1738" s="182" t="s">
        <v>366</v>
      </c>
      <c r="E1738" s="178">
        <v>9950</v>
      </c>
      <c r="F1738" s="19">
        <v>34.5</v>
      </c>
      <c r="G1738" s="195">
        <v>46141</v>
      </c>
      <c r="H1738" s="9" t="str">
        <f>VLOOKUP(TablaCosechas[[#This Row],[COD]],DATOS!$E$3:$F$27,2,0)</f>
        <v>TAMBULERO</v>
      </c>
      <c r="I1738" s="9" t="str">
        <f>RIGHT(TablaCosechas[[#This Row],[SECTOR/PISCINA]],2)</f>
        <v>17</v>
      </c>
      <c r="J1738" s="9" t="str">
        <f>VLOOKUP(TablaCosechas[[#This Row],[COD]],Tabla7[#All],4,0)</f>
        <v>ALFONSO GRUNAUER</v>
      </c>
      <c r="K1738" s="179">
        <f>(TablaCosechas[[#This Row],[libras planta]]*454)/M1738</f>
        <v>140677.50232828871</v>
      </c>
      <c r="L1738" s="215">
        <v>10646.87</v>
      </c>
      <c r="M1738" s="205">
        <v>34.36</v>
      </c>
      <c r="N1738" s="9" t="str">
        <f>UPPER(TEXT(TablaCosechas[[#This Row],[COSECHA]],"MMMM"))</f>
        <v>ABRIL</v>
      </c>
      <c r="O1738" s="9" t="str">
        <f>IF(A1738="DO 29","BAP",IF(A1738="RO 14","BAP",(VLOOKUP(TablaCosechas[[#This Row],[COD]],Tabla7[[CODIGO]:[CERTIFICACION]],3,0))))</f>
        <v>CONVENCIONAL</v>
      </c>
      <c r="P1738" s="180">
        <f>+L1738-E1738</f>
        <v>696.8700000000008</v>
      </c>
      <c r="Q1738" s="49">
        <f>+M1738-F1738</f>
        <v>-0.14000000000000057</v>
      </c>
      <c r="R1738" s="9"/>
    </row>
    <row r="1739" spans="1:18" x14ac:dyDescent="0.25">
      <c r="A1739" s="9" t="s">
        <v>239</v>
      </c>
      <c r="B1739" s="9">
        <f>ROW() - ROW(TablaCosechas[[#Headers],[ID]]) - 4</f>
        <v>1734</v>
      </c>
      <c r="C1739" s="9" t="str">
        <f>LEFT(A1739,2)</f>
        <v>TA</v>
      </c>
      <c r="D1739" s="182" t="s">
        <v>367</v>
      </c>
      <c r="E1739" s="178">
        <v>15000</v>
      </c>
      <c r="F1739" s="19">
        <v>21</v>
      </c>
      <c r="G1739" s="195">
        <v>46141</v>
      </c>
      <c r="H1739" s="9" t="str">
        <f>VLOOKUP(TablaCosechas[[#This Row],[COD]],DATOS!$E$3:$F$27,2,0)</f>
        <v>TAMBULERO</v>
      </c>
      <c r="I1739" s="9" t="str">
        <f>RIGHT(TablaCosechas[[#This Row],[SECTOR/PISCINA]],2)</f>
        <v>7A</v>
      </c>
      <c r="J1739" s="9" t="str">
        <f>VLOOKUP(TablaCosechas[[#This Row],[COD]],Tabla7[#All],4,0)</f>
        <v>ALFONSO GRUNAUER</v>
      </c>
      <c r="K1739" s="179">
        <f>(TablaCosechas[[#This Row],[libras planta]]*454)/M1739</f>
        <v>283528.2876992235</v>
      </c>
      <c r="L1739" s="215">
        <v>15281.8</v>
      </c>
      <c r="M1739" s="205">
        <v>24.47</v>
      </c>
      <c r="N1739" s="9" t="str">
        <f>UPPER(TEXT(TablaCosechas[[#This Row],[COSECHA]],"MMMM"))</f>
        <v>ABRIL</v>
      </c>
      <c r="O1739" s="9" t="str">
        <f>IF(A1739="DO 29","BAP",IF(A1739="RO 14","BAP",(VLOOKUP(TablaCosechas[[#This Row],[COD]],Tabla7[[CODIGO]:[CERTIFICACION]],3,0))))</f>
        <v>CONVENCIONAL</v>
      </c>
      <c r="P1739" s="180">
        <f>+L1739-E1739</f>
        <v>281.79999999999927</v>
      </c>
      <c r="Q1739" s="49">
        <f>+M1739-F1739</f>
        <v>3.4699999999999989</v>
      </c>
      <c r="R1739" s="9"/>
    </row>
    <row r="1740" spans="1:18" x14ac:dyDescent="0.25">
      <c r="A1740" s="9" t="s">
        <v>183</v>
      </c>
      <c r="B1740" s="9">
        <f>ROW() - ROW(TablaCosechas[[#Headers],[ID]]) - 4</f>
        <v>1735</v>
      </c>
      <c r="C1740" s="9" t="str">
        <f>LEFT(A1740,2)</f>
        <v>DO</v>
      </c>
      <c r="D1740" s="182" t="s">
        <v>366</v>
      </c>
      <c r="E1740" s="178">
        <v>3550</v>
      </c>
      <c r="F1740" s="19">
        <v>38</v>
      </c>
      <c r="G1740" s="195">
        <v>46141</v>
      </c>
      <c r="H1740" s="9" t="str">
        <f>VLOOKUP(TablaCosechas[[#This Row],[COD]],DATOS!$E$3:$F$27,2,0)</f>
        <v>DORADO</v>
      </c>
      <c r="I1740" s="9" t="str">
        <f>RIGHT(TablaCosechas[[#This Row],[SECTOR/PISCINA]],2)</f>
        <v>05</v>
      </c>
      <c r="J1740" s="9" t="str">
        <f>VLOOKUP(TablaCosechas[[#This Row],[COD]],Tabla7[#All],4,0)</f>
        <v>JOSE CEDEÑO</v>
      </c>
      <c r="K1740" s="179">
        <f>(TablaCosechas[[#This Row],[libras planta]]*454)/M1740</f>
        <v>43625.956741573034</v>
      </c>
      <c r="L1740" s="215">
        <v>3420.89</v>
      </c>
      <c r="M1740" s="205">
        <v>35.6</v>
      </c>
      <c r="N1740" s="9" t="str">
        <f>UPPER(TEXT(TablaCosechas[[#This Row],[COSECHA]],"MMMM"))</f>
        <v>ABRIL</v>
      </c>
      <c r="O1740" s="9" t="str">
        <f>IF(A1740="DO 29","BAP",IF(A1740="RO 14","BAP",(VLOOKUP(TablaCosechas[[#This Row],[COD]],Tabla7[[CODIGO]:[CERTIFICACION]],3,0))))</f>
        <v>ASC</v>
      </c>
      <c r="P1740" s="180">
        <f>+L1740-E1740</f>
        <v>-129.11000000000013</v>
      </c>
      <c r="Q1740" s="49">
        <f>+M1740-F1740</f>
        <v>-2.3999999999999986</v>
      </c>
      <c r="R1740" s="9"/>
    </row>
    <row r="1741" spans="1:18" x14ac:dyDescent="0.25">
      <c r="A1741" s="9" t="s">
        <v>283</v>
      </c>
      <c r="B1741" s="9">
        <f>ROW() - ROW(TablaCosechas[[#Headers],[ID]]) - 4</f>
        <v>1736</v>
      </c>
      <c r="C1741" s="9" t="str">
        <f>LEFT(A1741,2)</f>
        <v>DE</v>
      </c>
      <c r="D1741" s="182" t="s">
        <v>367</v>
      </c>
      <c r="E1741" s="178">
        <v>7400</v>
      </c>
      <c r="F1741" s="19">
        <v>17</v>
      </c>
      <c r="G1741" s="195">
        <v>46141</v>
      </c>
      <c r="H1741" s="9" t="str">
        <f>VLOOKUP(TablaCosechas[[#This Row],[COD]],DATOS!$E$3:$F$27,2,0)</f>
        <v>DELFIN</v>
      </c>
      <c r="I1741" s="9" t="str">
        <f>RIGHT(TablaCosechas[[#This Row],[SECTOR/PISCINA]],2)</f>
        <v>10</v>
      </c>
      <c r="J1741" s="9" t="str">
        <f>VLOOKUP(TablaCosechas[[#This Row],[COD]],Tabla7[#All],4,0)</f>
        <v>CARLOS FLORES</v>
      </c>
      <c r="K1741" s="179">
        <f>(TablaCosechas[[#This Row],[libras planta]]*454)/M1741</f>
        <v>176538.24618736384</v>
      </c>
      <c r="L1741" s="215">
        <v>7139.3</v>
      </c>
      <c r="M1741" s="205">
        <v>18.36</v>
      </c>
      <c r="N1741" s="9" t="str">
        <f>UPPER(TEXT(TablaCosechas[[#This Row],[COSECHA]],"MMMM"))</f>
        <v>ABRIL</v>
      </c>
      <c r="O1741" s="9" t="str">
        <f>IF(A1741="DO 29","BAP",IF(A1741="RO 14","BAP",(VLOOKUP(TablaCosechas[[#This Row],[COD]],Tabla7[[CODIGO]:[CERTIFICACION]],3,0))))</f>
        <v>CONVENCIONAL</v>
      </c>
      <c r="P1741" s="180">
        <f>+L1741-E1741</f>
        <v>-260.69999999999982</v>
      </c>
      <c r="Q1741" s="49">
        <f>+M1741-F1741</f>
        <v>1.3599999999999994</v>
      </c>
      <c r="R1741" s="9"/>
    </row>
    <row r="1742" spans="1:18" x14ac:dyDescent="0.25">
      <c r="A1742" s="9" t="s">
        <v>7</v>
      </c>
      <c r="B1742" s="9">
        <f>ROW() - ROW(TablaCosechas[[#Headers],[ID]]) - 4</f>
        <v>1737</v>
      </c>
      <c r="C1742" s="9" t="str">
        <f>LEFT(A1742,2)</f>
        <v>CH</v>
      </c>
      <c r="D1742" s="182" t="s">
        <v>367</v>
      </c>
      <c r="E1742" s="178">
        <v>5000</v>
      </c>
      <c r="F1742" s="19">
        <v>23.5</v>
      </c>
      <c r="G1742" s="195">
        <v>46141</v>
      </c>
      <c r="H1742" s="9" t="str">
        <f>VLOOKUP(TablaCosechas[[#This Row],[COD]],DATOS!$E$3:$F$27,2,0)</f>
        <v>CHERNA</v>
      </c>
      <c r="I1742" s="9" t="str">
        <f>RIGHT(TablaCosechas[[#This Row],[SECTOR/PISCINA]],2)</f>
        <v>01</v>
      </c>
      <c r="J1742" s="9" t="str">
        <f>VLOOKUP(TablaCosechas[[#This Row],[COD]],Tabla7[#All],4,0)</f>
        <v>SANTIAGO OBRIEN</v>
      </c>
      <c r="K1742" s="179">
        <f>(TablaCosechas[[#This Row],[libras planta]]*454)/M1742</f>
        <v>96595.744680851058</v>
      </c>
      <c r="L1742" s="215">
        <v>5000</v>
      </c>
      <c r="M1742" s="205">
        <v>23.5</v>
      </c>
      <c r="N1742" s="9" t="str">
        <f>UPPER(TEXT(TablaCosechas[[#This Row],[COSECHA]],"MMMM"))</f>
        <v>ABRIL</v>
      </c>
      <c r="O1742" s="9" t="str">
        <f>IF(A1742="DO 29","BAP",IF(A1742="RO 14","BAP",(VLOOKUP(TablaCosechas[[#This Row],[COD]],Tabla7[[CODIGO]:[CERTIFICACION]],3,0))))</f>
        <v>ASC</v>
      </c>
      <c r="P1742" s="180">
        <f>+L1742-E1742</f>
        <v>0</v>
      </c>
      <c r="Q1742" s="49">
        <f>+M1742-F1742</f>
        <v>0</v>
      </c>
      <c r="R1742" s="9"/>
    </row>
    <row r="1743" spans="1:18" x14ac:dyDescent="0.25">
      <c r="A1743" s="9" t="s">
        <v>245</v>
      </c>
      <c r="B1743" s="9">
        <f>ROW() - ROW(TablaCosechas[[#Headers],[ID]]) - 4</f>
        <v>1738</v>
      </c>
      <c r="C1743" s="9" t="str">
        <f>LEFT(A1743,2)</f>
        <v>CA</v>
      </c>
      <c r="D1743" s="182" t="s">
        <v>367</v>
      </c>
      <c r="E1743" s="178">
        <v>6300</v>
      </c>
      <c r="F1743" s="19">
        <v>20</v>
      </c>
      <c r="G1743" s="195">
        <v>46141</v>
      </c>
      <c r="H1743" s="9" t="str">
        <f>VLOOKUP(TablaCosechas[[#This Row],[COD]],DATOS!$E$3:$F$27,2,0)</f>
        <v>CATANUDA</v>
      </c>
      <c r="I1743" s="9" t="str">
        <f>RIGHT(TablaCosechas[[#This Row],[SECTOR/PISCINA]],2)</f>
        <v>16</v>
      </c>
      <c r="J1743" s="9" t="str">
        <f>VLOOKUP(TablaCosechas[[#This Row],[COD]],Tabla7[#All],4,0)</f>
        <v>VICTOR QUINTANA</v>
      </c>
      <c r="K1743" s="179">
        <f>(TablaCosechas[[#This Row],[libras planta]]*454)/M1743</f>
        <v>143459.4943289225</v>
      </c>
      <c r="L1743" s="215">
        <v>6686.35</v>
      </c>
      <c r="M1743" s="205">
        <v>21.16</v>
      </c>
      <c r="N1743" s="9" t="str">
        <f>UPPER(TEXT(TablaCosechas[[#This Row],[COSECHA]],"MMMM"))</f>
        <v>ABRIL</v>
      </c>
      <c r="O1743" s="9" t="str">
        <f>IF(A1743="DO 29","BAP",IF(A1743="RO 14","BAP",(VLOOKUP(TablaCosechas[[#This Row],[COD]],Tabla7[[CODIGO]:[CERTIFICACION]],3,0))))</f>
        <v>ASC</v>
      </c>
      <c r="P1743" s="180">
        <f>+L1743-E1743</f>
        <v>386.35000000000036</v>
      </c>
      <c r="Q1743" s="49">
        <f>+M1743-F1743</f>
        <v>1.1600000000000001</v>
      </c>
      <c r="R1743" s="9"/>
    </row>
    <row r="1744" spans="1:18" x14ac:dyDescent="0.25">
      <c r="A1744" s="9" t="s">
        <v>200</v>
      </c>
      <c r="B1744" s="9">
        <f>ROW() - ROW(TablaCosechas[[#Headers],[ID]]) - 4</f>
        <v>1739</v>
      </c>
      <c r="C1744" s="9" t="str">
        <f>LEFT(A1744,2)</f>
        <v>CA</v>
      </c>
      <c r="D1744" s="182" t="s">
        <v>367</v>
      </c>
      <c r="E1744" s="178">
        <v>20800</v>
      </c>
      <c r="F1744" s="19">
        <v>30</v>
      </c>
      <c r="G1744" s="195">
        <v>46141</v>
      </c>
      <c r="H1744" s="9" t="str">
        <f>VLOOKUP(TablaCosechas[[#This Row],[COD]],DATOS!$E$3:$F$27,2,0)</f>
        <v>CATANUDA</v>
      </c>
      <c r="I1744" s="9" t="str">
        <f>RIGHT(TablaCosechas[[#This Row],[SECTOR/PISCINA]],2)</f>
        <v>03</v>
      </c>
      <c r="J1744" s="9" t="str">
        <f>VLOOKUP(TablaCosechas[[#This Row],[COD]],Tabla7[#All],4,0)</f>
        <v>VICTOR QUINTANA</v>
      </c>
      <c r="K1744" s="179">
        <f>(TablaCosechas[[#This Row],[libras planta]]*454)/M1744</f>
        <v>360257.9979137691</v>
      </c>
      <c r="L1744" s="215">
        <v>22821.63</v>
      </c>
      <c r="M1744" s="205">
        <v>28.76</v>
      </c>
      <c r="N1744" s="9" t="str">
        <f>UPPER(TEXT(TablaCosechas[[#This Row],[COSECHA]],"MMMM"))</f>
        <v>ABRIL</v>
      </c>
      <c r="O1744" s="9" t="str">
        <f>IF(A1744="DO 29","BAP",IF(A1744="RO 14","BAP",(VLOOKUP(TablaCosechas[[#This Row],[COD]],Tabla7[[CODIGO]:[CERTIFICACION]],3,0))))</f>
        <v>ASC</v>
      </c>
      <c r="P1744" s="180">
        <f>+L1744-E1744</f>
        <v>2021.630000000001</v>
      </c>
      <c r="Q1744" s="181">
        <f>+M1744-F1744</f>
        <v>-1.2399999999999984</v>
      </c>
      <c r="R1744" s="9"/>
    </row>
    <row r="1745" spans="1:18" x14ac:dyDescent="0.25">
      <c r="A1745" s="9" t="s">
        <v>202</v>
      </c>
      <c r="B1745" s="9">
        <f>ROW() - ROW(TablaCosechas[[#Headers],[ID]]) - 4</f>
        <v>1740</v>
      </c>
      <c r="C1745" s="9" t="str">
        <f>LEFT(A1745,2)</f>
        <v>BA</v>
      </c>
      <c r="D1745" s="182" t="s">
        <v>367</v>
      </c>
      <c r="E1745" s="178">
        <v>10050</v>
      </c>
      <c r="F1745" s="19">
        <v>21</v>
      </c>
      <c r="G1745" s="195">
        <v>46141</v>
      </c>
      <c r="H1745" s="9" t="str">
        <f>VLOOKUP(TablaCosechas[[#This Row],[COD]],DATOS!$E$3:$F$27,2,0)</f>
        <v>BARRACUDA</v>
      </c>
      <c r="I1745" s="9" t="str">
        <f>RIGHT(TablaCosechas[[#This Row],[SECTOR/PISCINA]],2)</f>
        <v>04</v>
      </c>
      <c r="J1745" s="9" t="str">
        <f>VLOOKUP(TablaCosechas[[#This Row],[COD]],Tabla7[#All],4,0)</f>
        <v>GUSTAVO CARRASCO</v>
      </c>
      <c r="K1745" s="179">
        <f>(TablaCosechas[[#This Row],[libras planta]]*454)/M1745</f>
        <v>217341.79245283021</v>
      </c>
      <c r="L1745" s="215">
        <v>10149</v>
      </c>
      <c r="M1745" s="205">
        <v>21.2</v>
      </c>
      <c r="N1745" s="9" t="str">
        <f>UPPER(TEXT(TablaCosechas[[#This Row],[COSECHA]],"MMMM"))</f>
        <v>ABRIL</v>
      </c>
      <c r="O1745" s="9" t="str">
        <f>IF(A1745="DO 29","BAP",IF(A1745="RO 14","BAP",(VLOOKUP(TablaCosechas[[#This Row],[COD]],Tabla7[[CODIGO]:[CERTIFICACION]],3,0))))</f>
        <v>CONVENCIONAL</v>
      </c>
      <c r="P1745" s="180">
        <f>+L1745-E1745</f>
        <v>99</v>
      </c>
      <c r="Q1745" s="49">
        <f>+M1745-F1745</f>
        <v>0.19999999999999929</v>
      </c>
      <c r="R1745" s="9"/>
    </row>
    <row r="1746" spans="1:18" x14ac:dyDescent="0.25">
      <c r="A1746" s="9" t="s">
        <v>351</v>
      </c>
      <c r="B1746" s="9">
        <f>ROW() - ROW(TablaCosechas[[#Headers],[ID]]) - 4</f>
        <v>1741</v>
      </c>
      <c r="C1746" s="9" t="str">
        <f>LEFT(A1746,2)</f>
        <v>WA</v>
      </c>
      <c r="D1746" s="182" t="s">
        <v>367</v>
      </c>
      <c r="E1746" s="178">
        <v>7000</v>
      </c>
      <c r="F1746" s="19">
        <v>21</v>
      </c>
      <c r="G1746" s="195">
        <v>46142</v>
      </c>
      <c r="H1746" s="9" t="str">
        <f>VLOOKUP(TablaCosechas[[#This Row],[COD]],DATOS!$E$3:$F$27,2,0)</f>
        <v>WAHOO</v>
      </c>
      <c r="I1746" s="9" t="str">
        <f>RIGHT(TablaCosechas[[#This Row],[SECTOR/PISCINA]],2)</f>
        <v>31</v>
      </c>
      <c r="J1746" s="9" t="str">
        <f>VLOOKUP(TablaCosechas[[#This Row],[COD]],Tabla7[#All],4,0)</f>
        <v>JUNIOR ESQUIVEL</v>
      </c>
      <c r="K1746" s="179">
        <f>(TablaCosechas[[#This Row],[libras planta]]*454)/M1746</f>
        <v>162608.36405529955</v>
      </c>
      <c r="L1746" s="215">
        <v>7772.25</v>
      </c>
      <c r="M1746" s="205">
        <v>21.7</v>
      </c>
      <c r="N1746" s="9" t="str">
        <f>UPPER(TEXT(TablaCosechas[[#This Row],[COSECHA]],"MMMM"))</f>
        <v>ABRIL</v>
      </c>
      <c r="O1746" s="9" t="str">
        <f>IF(A1746="DO 29","BAP",IF(A1746="RO 14","BAP",(VLOOKUP(TablaCosechas[[#This Row],[COD]],Tabla7[[CODIGO]:[CERTIFICACION]],3,0))))</f>
        <v>CONVENCIONAL</v>
      </c>
      <c r="P1746" s="180">
        <f>+L1746-E1746</f>
        <v>772.25</v>
      </c>
      <c r="Q1746" s="49">
        <f>+M1746-F1746</f>
        <v>0.69999999999999929</v>
      </c>
      <c r="R1746" s="9"/>
    </row>
    <row r="1747" spans="1:18" x14ac:dyDescent="0.25">
      <c r="A1747" s="9" t="s">
        <v>195</v>
      </c>
      <c r="B1747" s="9">
        <f>ROW() - ROW(TablaCosechas[[#Headers],[ID]]) - 4</f>
        <v>1742</v>
      </c>
      <c r="C1747" s="9" t="str">
        <f>LEFT(A1747,2)</f>
        <v>TU</v>
      </c>
      <c r="D1747" s="182" t="s">
        <v>366</v>
      </c>
      <c r="E1747" s="178">
        <v>18500</v>
      </c>
      <c r="F1747" s="19">
        <v>33</v>
      </c>
      <c r="G1747" s="195">
        <v>46142</v>
      </c>
      <c r="H1747" s="9" t="str">
        <f>VLOOKUP(TablaCosechas[[#This Row],[COD]],DATOS!$E$3:$F$27,2,0)</f>
        <v>TUNA</v>
      </c>
      <c r="I1747" s="9" t="str">
        <f>RIGHT(TablaCosechas[[#This Row],[SECTOR/PISCINA]],2)</f>
        <v>01</v>
      </c>
      <c r="J1747" s="9" t="str">
        <f>VLOOKUP(TablaCosechas[[#This Row],[COD]],Tabla7[#All],4,0)</f>
        <v>GUSTAVO CARRASCO</v>
      </c>
      <c r="K1747" s="179">
        <f>(TablaCosechas[[#This Row],[libras planta]]*454)/M1747</f>
        <v>212369.8434430965</v>
      </c>
      <c r="L1747" s="215">
        <v>16194.37</v>
      </c>
      <c r="M1747" s="19">
        <v>34.619999999999997</v>
      </c>
      <c r="N1747" s="9" t="str">
        <f>UPPER(TEXT(TablaCosechas[[#This Row],[COSECHA]],"MMMM"))</f>
        <v>ABRIL</v>
      </c>
      <c r="O1747" s="9" t="str">
        <f>IF(A1747="DO 29","BAP",IF(A1747="RO 14","BAP",(VLOOKUP(TablaCosechas[[#This Row],[COD]],Tabla7[[CODIGO]:[CERTIFICACION]],3,0))))</f>
        <v>ASC</v>
      </c>
      <c r="P1747" s="180">
        <f>+L1747-E1747</f>
        <v>-2305.6299999999992</v>
      </c>
      <c r="Q1747" s="49">
        <f>+M1747-F1747</f>
        <v>1.6199999999999974</v>
      </c>
      <c r="R1747" s="9"/>
    </row>
    <row r="1748" spans="1:18" x14ac:dyDescent="0.25">
      <c r="A1748" s="9" t="s">
        <v>143</v>
      </c>
      <c r="B1748" s="9">
        <f>ROW() - ROW(TablaCosechas[[#Headers],[ID]]) - 4</f>
        <v>1743</v>
      </c>
      <c r="C1748" s="9" t="str">
        <f>LEFT(A1748,2)</f>
        <v>TA</v>
      </c>
      <c r="D1748" s="182" t="s">
        <v>367</v>
      </c>
      <c r="E1748" s="178">
        <v>8400</v>
      </c>
      <c r="F1748" s="19">
        <v>23</v>
      </c>
      <c r="G1748" s="195">
        <v>46142</v>
      </c>
      <c r="H1748" s="9" t="str">
        <f>VLOOKUP(TablaCosechas[[#This Row],[COD]],DATOS!$E$3:$F$27,2,0)</f>
        <v>TAMBULERO</v>
      </c>
      <c r="I1748" s="9" t="str">
        <f>RIGHT(TablaCosechas[[#This Row],[SECTOR/PISCINA]],2)</f>
        <v>08</v>
      </c>
      <c r="J1748" s="9" t="str">
        <f>VLOOKUP(TablaCosechas[[#This Row],[COD]],Tabla7[#All],4,0)</f>
        <v>ALFONSO GRUNAUER</v>
      </c>
      <c r="K1748" s="179">
        <f>(TablaCosechas[[#This Row],[libras planta]]*454)/M1748</f>
        <v>175329.7339055794</v>
      </c>
      <c r="L1748" s="215">
        <v>8998.2000000000007</v>
      </c>
      <c r="M1748" s="205">
        <v>23.3</v>
      </c>
      <c r="N1748" s="9" t="str">
        <f>UPPER(TEXT(TablaCosechas[[#This Row],[COSECHA]],"MMMM"))</f>
        <v>ABRIL</v>
      </c>
      <c r="O1748" s="9" t="str">
        <f>IF(A1748="DO 29","BAP",IF(A1748="RO 14","BAP",(VLOOKUP(TablaCosechas[[#This Row],[COD]],Tabla7[[CODIGO]:[CERTIFICACION]],3,0))))</f>
        <v>CONVENCIONAL</v>
      </c>
      <c r="P1748" s="180">
        <f>+L1748-E1748</f>
        <v>598.20000000000073</v>
      </c>
      <c r="Q1748" s="49">
        <f>+M1748-F1748</f>
        <v>0.30000000000000071</v>
      </c>
      <c r="R1748" s="9"/>
    </row>
    <row r="1749" spans="1:18" x14ac:dyDescent="0.25">
      <c r="A1749" s="9" t="s">
        <v>247</v>
      </c>
      <c r="B1749" s="9">
        <f>ROW() - ROW(TablaCosechas[[#Headers],[ID]]) - 4</f>
        <v>1744</v>
      </c>
      <c r="C1749" s="9" t="str">
        <f>LEFT(A1749,2)</f>
        <v>PA</v>
      </c>
      <c r="D1749" s="182" t="s">
        <v>367</v>
      </c>
      <c r="E1749" s="178">
        <v>20500</v>
      </c>
      <c r="F1749" s="19">
        <v>18</v>
      </c>
      <c r="G1749" s="195">
        <v>46142</v>
      </c>
      <c r="H1749" s="9" t="str">
        <f>VLOOKUP(TablaCosechas[[#This Row],[COD]],DATOS!$E$3:$F$27,2,0)</f>
        <v>PAMPANO</v>
      </c>
      <c r="I1749" s="9" t="str">
        <f>RIGHT(TablaCosechas[[#This Row],[SECTOR/PISCINA]],2)</f>
        <v>18</v>
      </c>
      <c r="J1749" s="9" t="str">
        <f>VLOOKUP(TablaCosechas[[#This Row],[COD]],Tabla7[#All],4,0)</f>
        <v>GUSTAVO CARRASCO</v>
      </c>
      <c r="K1749" s="179">
        <f>(TablaCosechas[[#This Row],[libras planta]]*454)/M1749</f>
        <v>478658.21389793704</v>
      </c>
      <c r="L1749" s="215">
        <v>19420.45</v>
      </c>
      <c r="M1749" s="205">
        <v>18.420000000000002</v>
      </c>
      <c r="N1749" s="9" t="str">
        <f>UPPER(TEXT(TablaCosechas[[#This Row],[COSECHA]],"MMMM"))</f>
        <v>ABRIL</v>
      </c>
      <c r="O1749" s="9" t="str">
        <f>IF(A1749="DO 29","BAP",IF(A1749="RO 14","BAP",(VLOOKUP(TablaCosechas[[#This Row],[COD]],Tabla7[[CODIGO]:[CERTIFICACION]],3,0))))</f>
        <v>ASC</v>
      </c>
      <c r="P1749" s="180">
        <f>+L1749-E1749</f>
        <v>-1079.5499999999993</v>
      </c>
      <c r="Q1749" s="49">
        <f>+M1749-F1749</f>
        <v>0.42000000000000171</v>
      </c>
      <c r="R1749" s="9"/>
    </row>
    <row r="1750" spans="1:18" x14ac:dyDescent="0.25">
      <c r="A1750" s="9" t="s">
        <v>159</v>
      </c>
      <c r="B1750" s="9">
        <f>ROW() - ROW(TablaCosechas[[#Headers],[ID]]) - 4</f>
        <v>1745</v>
      </c>
      <c r="C1750" s="9" t="str">
        <f>LEFT(A1750,2)</f>
        <v>DO</v>
      </c>
      <c r="D1750" s="182" t="s">
        <v>366</v>
      </c>
      <c r="E1750" s="178">
        <v>8400</v>
      </c>
      <c r="F1750" s="19">
        <v>38</v>
      </c>
      <c r="G1750" s="195">
        <v>46142</v>
      </c>
      <c r="H1750" s="9" t="str">
        <f>VLOOKUP(TablaCosechas[[#This Row],[COD]],DATOS!$E$3:$F$27,2,0)</f>
        <v>DORADO</v>
      </c>
      <c r="I1750" s="9" t="str">
        <f>RIGHT(TablaCosechas[[#This Row],[SECTOR/PISCINA]],2)</f>
        <v>23</v>
      </c>
      <c r="J1750" s="9" t="str">
        <f>VLOOKUP(TablaCosechas[[#This Row],[COD]],Tabla7[#All],4,0)</f>
        <v>JOSE CEDEÑO</v>
      </c>
      <c r="K1750" s="179">
        <f>(TablaCosechas[[#This Row],[libras planta]]*454)/M1750</f>
        <v>107398.85358624777</v>
      </c>
      <c r="L1750" s="215">
        <v>7981.58</v>
      </c>
      <c r="M1750" s="205">
        <v>33.74</v>
      </c>
      <c r="N1750" s="9" t="str">
        <f>UPPER(TEXT(TablaCosechas[[#This Row],[COSECHA]],"MMMM"))</f>
        <v>ABRIL</v>
      </c>
      <c r="O1750" s="9" t="str">
        <f>IF(A1750="DO 29","BAP",IF(A1750="RO 14","BAP",(VLOOKUP(TablaCosechas[[#This Row],[COD]],Tabla7[[CODIGO]:[CERTIFICACION]],3,0))))</f>
        <v>ASC</v>
      </c>
      <c r="P1750" s="180">
        <f>+L1750-E1750</f>
        <v>-418.42000000000007</v>
      </c>
      <c r="Q1750" s="181">
        <f>+M1750-F1750</f>
        <v>-4.259999999999998</v>
      </c>
      <c r="R1750" s="9"/>
    </row>
    <row r="1751" spans="1:18" x14ac:dyDescent="0.25">
      <c r="A1751" s="9" t="s">
        <v>200</v>
      </c>
      <c r="B1751" s="9">
        <f>ROW() - ROW(TablaCosechas[[#Headers],[ID]]) - 4</f>
        <v>1746</v>
      </c>
      <c r="C1751" s="9" t="str">
        <f>LEFT(A1751,2)</f>
        <v>CA</v>
      </c>
      <c r="D1751" s="182" t="s">
        <v>366</v>
      </c>
      <c r="E1751" s="178">
        <f>16450</f>
        <v>16450</v>
      </c>
      <c r="F1751" s="19">
        <v>30</v>
      </c>
      <c r="G1751" s="195">
        <v>46142</v>
      </c>
      <c r="H1751" s="9" t="str">
        <f>VLOOKUP(TablaCosechas[[#This Row],[COD]],DATOS!$E$3:$F$27,2,0)</f>
        <v>CATANUDA</v>
      </c>
      <c r="I1751" s="9" t="str">
        <f>RIGHT(TablaCosechas[[#This Row],[SECTOR/PISCINA]],2)</f>
        <v>03</v>
      </c>
      <c r="J1751" s="9" t="str">
        <f>VLOOKUP(TablaCosechas[[#This Row],[COD]],Tabla7[#All],4,0)</f>
        <v>VICTOR QUINTANA</v>
      </c>
      <c r="K1751" s="179">
        <f>(TablaCosechas[[#This Row],[libras planta]]*454)/M1751</f>
        <v>332214.18428372737</v>
      </c>
      <c r="L1751" s="215">
        <v>21045.11</v>
      </c>
      <c r="M1751" s="205">
        <v>28.76</v>
      </c>
      <c r="N1751" s="9" t="str">
        <f>UPPER(TEXT(TablaCosechas[[#This Row],[COSECHA]],"MMMM"))</f>
        <v>ABRIL</v>
      </c>
      <c r="O1751" s="9" t="str">
        <f>IF(A1751="DO 29","BAP",IF(A1751="RO 14","BAP",(VLOOKUP(TablaCosechas[[#This Row],[COD]],Tabla7[[CODIGO]:[CERTIFICACION]],3,0))))</f>
        <v>ASC</v>
      </c>
      <c r="P1751" s="180">
        <f>+L1751-E1751</f>
        <v>4595.1100000000006</v>
      </c>
      <c r="Q1751" s="181">
        <f>+M1751-F1751</f>
        <v>-1.2399999999999984</v>
      </c>
      <c r="R1751" s="9"/>
    </row>
    <row r="1752" spans="1:18" x14ac:dyDescent="0.25">
      <c r="A1752" s="9" t="s">
        <v>349</v>
      </c>
      <c r="B1752" s="9">
        <f>ROW() - ROW(TablaCosechas[[#Headers],[ID]]) - 4</f>
        <v>1747</v>
      </c>
      <c r="C1752" s="9" t="str">
        <f>LEFT(A1752,2)</f>
        <v>WA</v>
      </c>
      <c r="D1752" s="182" t="s">
        <v>367</v>
      </c>
      <c r="E1752" s="178">
        <v>9600</v>
      </c>
      <c r="F1752" s="19">
        <v>20</v>
      </c>
      <c r="G1752" s="195">
        <v>46143</v>
      </c>
      <c r="H1752" s="9" t="str">
        <f>VLOOKUP(TablaCosechas[[#This Row],[COD]],DATOS!$E$3:$F$27,2,0)</f>
        <v>WAHOO</v>
      </c>
      <c r="I1752" s="9" t="str">
        <f>RIGHT(TablaCosechas[[#This Row],[SECTOR/PISCINA]],2)</f>
        <v>28</v>
      </c>
      <c r="J1752" s="9" t="str">
        <f>VLOOKUP(TablaCosechas[[#This Row],[COD]],Tabla7[#All],4,0)</f>
        <v>JUNIOR ESQUIVEL</v>
      </c>
      <c r="K1752" s="179">
        <f>(TablaCosechas[[#This Row],[libras planta]]*454)/M1752</f>
        <v>231854.75885167465</v>
      </c>
      <c r="L1752" s="215">
        <v>10673.49</v>
      </c>
      <c r="M1752" s="205">
        <v>20.9</v>
      </c>
      <c r="N1752" s="9" t="str">
        <f>UPPER(TEXT(TablaCosechas[[#This Row],[COSECHA]],"MMMM"))</f>
        <v>MAYO</v>
      </c>
      <c r="O1752" s="9" t="str">
        <f>IF(A1752="DO 29","BAP",IF(A1752="RO 14","BAP",(VLOOKUP(TablaCosechas[[#This Row],[COD]],Tabla7[[CODIGO]:[CERTIFICACION]],3,0))))</f>
        <v>CONVENCIONAL</v>
      </c>
      <c r="P1752" s="180">
        <f>+L1752-E1752</f>
        <v>1073.4899999999998</v>
      </c>
      <c r="Q1752" s="181">
        <f>+M1752-F1752</f>
        <v>0.89999999999999858</v>
      </c>
      <c r="R1752" s="9"/>
    </row>
    <row r="1753" spans="1:18" x14ac:dyDescent="0.25">
      <c r="A1753" s="9" t="s">
        <v>185</v>
      </c>
      <c r="B1753" s="9">
        <f>ROW() - ROW(TablaCosechas[[#Headers],[ID]]) - 4</f>
        <v>1748</v>
      </c>
      <c r="C1753" s="9" t="str">
        <f>LEFT(A1753,2)</f>
        <v>TU</v>
      </c>
      <c r="D1753" s="182" t="s">
        <v>367</v>
      </c>
      <c r="E1753" s="178">
        <v>11000</v>
      </c>
      <c r="F1753" s="19">
        <v>32</v>
      </c>
      <c r="G1753" s="195">
        <v>46143</v>
      </c>
      <c r="H1753" s="9" t="str">
        <f>VLOOKUP(TablaCosechas[[#This Row],[COD]],DATOS!$E$3:$F$27,2,0)</f>
        <v>TUNA</v>
      </c>
      <c r="I1753" s="9" t="str">
        <f>RIGHT(TablaCosechas[[#This Row],[SECTOR/PISCINA]],2)</f>
        <v>4A</v>
      </c>
      <c r="J1753" s="9" t="str">
        <f>VLOOKUP(TablaCosechas[[#This Row],[COD]],Tabla7[#All],4,0)</f>
        <v>GUSTAVO CARRASCO</v>
      </c>
      <c r="K1753" s="179">
        <f>(TablaCosechas[[#This Row],[libras planta]]*454)/M1753</f>
        <v>147759.86279209107</v>
      </c>
      <c r="L1753" s="215">
        <v>10863.93</v>
      </c>
      <c r="M1753" s="205">
        <v>33.380000000000003</v>
      </c>
      <c r="N1753" s="9" t="str">
        <f>UPPER(TEXT(TablaCosechas[[#This Row],[COSECHA]],"MMMM"))</f>
        <v>MAYO</v>
      </c>
      <c r="O1753" s="9" t="str">
        <f>IF(A1753="DO 29","BAP",IF(A1753="RO 14","BAP",(VLOOKUP(TablaCosechas[[#This Row],[COD]],Tabla7[[CODIGO]:[CERTIFICACION]],3,0))))</f>
        <v>ASC</v>
      </c>
      <c r="P1753" s="180">
        <f>+L1753-E1753</f>
        <v>-136.06999999999971</v>
      </c>
      <c r="Q1753" s="49">
        <f>+M1753-F1753</f>
        <v>1.3800000000000026</v>
      </c>
      <c r="R1753" s="9"/>
    </row>
    <row r="1754" spans="1:18" x14ac:dyDescent="0.25">
      <c r="A1754" s="9" t="s">
        <v>230</v>
      </c>
      <c r="B1754" s="9">
        <f>ROW() - ROW(TablaCosechas[[#Headers],[ID]]) - 4</f>
        <v>1749</v>
      </c>
      <c r="C1754" s="9" t="str">
        <f>LEFT(A1754,2)</f>
        <v>TA</v>
      </c>
      <c r="D1754" s="182" t="s">
        <v>367</v>
      </c>
      <c r="E1754" s="178">
        <v>5000</v>
      </c>
      <c r="F1754" s="19">
        <v>26.3</v>
      </c>
      <c r="G1754" s="195">
        <v>46143</v>
      </c>
      <c r="H1754" s="9" t="str">
        <f>VLOOKUP(TablaCosechas[[#This Row],[COD]],DATOS!$E$3:$F$27,2,0)</f>
        <v>TAMBULERO</v>
      </c>
      <c r="I1754" s="9" t="str">
        <f>RIGHT(TablaCosechas[[#This Row],[SECTOR/PISCINA]],2)</f>
        <v>26</v>
      </c>
      <c r="J1754" s="9" t="str">
        <f>VLOOKUP(TablaCosechas[[#This Row],[COD]],Tabla7[#All],4,0)</f>
        <v>ALFONSO GRUNAUER</v>
      </c>
      <c r="K1754" s="179">
        <f>(TablaCosechas[[#This Row],[libras planta]]*454)/M1754</f>
        <v>78554.257019438432</v>
      </c>
      <c r="L1754" s="215">
        <v>4806.6899999999996</v>
      </c>
      <c r="M1754" s="205">
        <v>27.78</v>
      </c>
      <c r="N1754" s="9" t="str">
        <f>UPPER(TEXT(TablaCosechas[[#This Row],[COSECHA]],"MMMM"))</f>
        <v>MAYO</v>
      </c>
      <c r="O1754" s="9" t="str">
        <f>IF(A1754="DO 29","BAP",IF(A1754="RO 14","BAP",(VLOOKUP(TablaCosechas[[#This Row],[COD]],Tabla7[[CODIGO]:[CERTIFICACION]],3,0))))</f>
        <v>CONVENCIONAL</v>
      </c>
      <c r="P1754" s="180">
        <f>+L1754-E1754</f>
        <v>-193.3100000000004</v>
      </c>
      <c r="Q1754" s="181">
        <f>+M1754-F1754</f>
        <v>1.4800000000000004</v>
      </c>
      <c r="R1754" s="9"/>
    </row>
    <row r="1755" spans="1:18" x14ac:dyDescent="0.25">
      <c r="A1755" s="9" t="s">
        <v>193</v>
      </c>
      <c r="B1755" s="9">
        <f>ROW() - ROW(TablaCosechas[[#Headers],[ID]]) - 4</f>
        <v>1750</v>
      </c>
      <c r="C1755" s="9" t="str">
        <f>LEFT(A1755,2)</f>
        <v>DE</v>
      </c>
      <c r="D1755" s="182" t="s">
        <v>366</v>
      </c>
      <c r="E1755" s="178">
        <v>3200</v>
      </c>
      <c r="F1755" s="19">
        <v>34</v>
      </c>
      <c r="G1755" s="195">
        <v>46143</v>
      </c>
      <c r="H1755" s="9" t="str">
        <f>VLOOKUP(TablaCosechas[[#This Row],[COD]],DATOS!$E$3:$F$27,2,0)</f>
        <v>DELFIN</v>
      </c>
      <c r="I1755" s="9" t="str">
        <f>RIGHT(TablaCosechas[[#This Row],[SECTOR/PISCINA]],2)</f>
        <v>21</v>
      </c>
      <c r="J1755" s="9" t="str">
        <f>VLOOKUP(TablaCosechas[[#This Row],[COD]],Tabla7[#All],4,0)</f>
        <v>CARLOS FLORES</v>
      </c>
      <c r="K1755" s="179">
        <f>(TablaCosechas[[#This Row],[libras planta]]*454)/M1755</f>
        <v>47677.947788697784</v>
      </c>
      <c r="L1755" s="215">
        <v>3419.37</v>
      </c>
      <c r="M1755" s="205">
        <v>32.56</v>
      </c>
      <c r="N1755" s="9" t="str">
        <f>UPPER(TEXT(TablaCosechas[[#This Row],[COSECHA]],"MMMM"))</f>
        <v>MAYO</v>
      </c>
      <c r="O1755" s="9" t="str">
        <f>IF(A1755="DO 29","BAP",IF(A1755="RO 14","BAP",(VLOOKUP(TablaCosechas[[#This Row],[COD]],Tabla7[[CODIGO]:[CERTIFICACION]],3,0))))</f>
        <v>CONVENCIONAL</v>
      </c>
      <c r="P1755" s="180">
        <f>+L1755-E1755</f>
        <v>219.36999999999989</v>
      </c>
      <c r="Q1755" s="181">
        <f>+M1755-F1755</f>
        <v>-1.4399999999999977</v>
      </c>
      <c r="R1755" s="9"/>
    </row>
    <row r="1756" spans="1:18" x14ac:dyDescent="0.25">
      <c r="A1756" s="9" t="s">
        <v>269</v>
      </c>
      <c r="B1756" s="9">
        <f>ROW() - ROW(TablaCosechas[[#Headers],[ID]]) - 4</f>
        <v>1751</v>
      </c>
      <c r="C1756" s="9" t="str">
        <f>LEFT(A1756,2)</f>
        <v>DE</v>
      </c>
      <c r="D1756" s="182" t="s">
        <v>367</v>
      </c>
      <c r="E1756" s="178">
        <v>7200</v>
      </c>
      <c r="F1756" s="19">
        <v>16</v>
      </c>
      <c r="G1756" s="195">
        <v>46143</v>
      </c>
      <c r="H1756" s="9" t="str">
        <f>VLOOKUP(TablaCosechas[[#This Row],[COD]],DATOS!$E$3:$F$27,2,0)</f>
        <v>DELFIN</v>
      </c>
      <c r="I1756" s="9" t="str">
        <f>RIGHT(TablaCosechas[[#This Row],[SECTOR/PISCINA]],2)</f>
        <v>18</v>
      </c>
      <c r="J1756" s="9" t="str">
        <f>VLOOKUP(TablaCosechas[[#This Row],[COD]],Tabla7[#All],4,0)</f>
        <v>CARLOS FLORES</v>
      </c>
      <c r="K1756" s="179">
        <f>(TablaCosechas[[#This Row],[libras planta]]*454)/M1756</f>
        <v>200040.48850574714</v>
      </c>
      <c r="L1756" s="215">
        <v>7666.75</v>
      </c>
      <c r="M1756" s="205">
        <v>17.399999999999999</v>
      </c>
      <c r="N1756" s="9" t="str">
        <f>UPPER(TEXT(TablaCosechas[[#This Row],[COSECHA]],"MMMM"))</f>
        <v>MAYO</v>
      </c>
      <c r="O1756" s="9" t="str">
        <f>IF(A1756="DO 29","BAP",IF(A1756="RO 14","BAP",(VLOOKUP(TablaCosechas[[#This Row],[COD]],Tabla7[[CODIGO]:[CERTIFICACION]],3,0))))</f>
        <v>CONVENCIONAL</v>
      </c>
      <c r="P1756" s="180">
        <f>+L1756-E1756</f>
        <v>466.75</v>
      </c>
      <c r="Q1756" s="181">
        <f>+M1756-F1756</f>
        <v>1.3999999999999986</v>
      </c>
      <c r="R1756" s="9"/>
    </row>
    <row r="1757" spans="1:18" x14ac:dyDescent="0.25">
      <c r="A1757" s="9" t="s">
        <v>236</v>
      </c>
      <c r="B1757" s="9">
        <f>ROW() - ROW(TablaCosechas[[#Headers],[ID]]) - 4</f>
        <v>1752</v>
      </c>
      <c r="C1757" s="9" t="str">
        <f>LEFT(A1757,2)</f>
        <v>WA</v>
      </c>
      <c r="D1757" s="182" t="s">
        <v>367</v>
      </c>
      <c r="E1757" s="178">
        <v>10400</v>
      </c>
      <c r="F1757" s="19">
        <v>22</v>
      </c>
      <c r="G1757" s="195">
        <v>46144</v>
      </c>
      <c r="H1757" s="9" t="str">
        <f>VLOOKUP(TablaCosechas[[#This Row],[COD]],DATOS!$E$3:$F$27,2,0)</f>
        <v>WAHOO</v>
      </c>
      <c r="I1757" s="9" t="str">
        <f>RIGHT(TablaCosechas[[#This Row],[SECTOR/PISCINA]],2)</f>
        <v>32</v>
      </c>
      <c r="J1757" s="9" t="str">
        <f>VLOOKUP(TablaCosechas[[#This Row],[COD]],Tabla7[#All],4,0)</f>
        <v>JUNIOR ESQUIVEL</v>
      </c>
      <c r="K1757" s="179">
        <f>(TablaCosechas[[#This Row],[libras planta]]*454)/M1757</f>
        <v>200162.19885900573</v>
      </c>
      <c r="L1757" s="215">
        <v>10819.34</v>
      </c>
      <c r="M1757" s="205">
        <v>24.54</v>
      </c>
      <c r="N1757" s="9" t="str">
        <f>UPPER(TEXT(TablaCosechas[[#This Row],[COSECHA]],"MMMM"))</f>
        <v>MAYO</v>
      </c>
      <c r="O1757" s="9" t="str">
        <f>IF(A1757="DO 29","BAP",IF(A1757="RO 14","BAP",(VLOOKUP(TablaCosechas[[#This Row],[COD]],Tabla7[[CODIGO]:[CERTIFICACION]],3,0))))</f>
        <v>CONVENCIONAL</v>
      </c>
      <c r="P1757" s="180">
        <f>+L1757-E1757</f>
        <v>419.34000000000015</v>
      </c>
      <c r="Q1757" s="181">
        <f>+M1757-F1757</f>
        <v>2.5399999999999991</v>
      </c>
      <c r="R1757" s="9"/>
    </row>
    <row r="1758" spans="1:18" x14ac:dyDescent="0.25">
      <c r="A1758" s="9" t="s">
        <v>192</v>
      </c>
      <c r="B1758" s="9">
        <f>ROW() - ROW(TablaCosechas[[#Headers],[ID]]) - 4</f>
        <v>1753</v>
      </c>
      <c r="C1758" s="9" t="str">
        <f>LEFT(A1758,2)</f>
        <v>TU</v>
      </c>
      <c r="D1758" s="182" t="s">
        <v>366</v>
      </c>
      <c r="E1758" s="178">
        <v>18300</v>
      </c>
      <c r="F1758" s="19">
        <v>32</v>
      </c>
      <c r="G1758" s="195">
        <v>46144</v>
      </c>
      <c r="H1758" s="9" t="str">
        <f>VLOOKUP(TablaCosechas[[#This Row],[COD]],DATOS!$E$3:$F$27,2,0)</f>
        <v>TUNA</v>
      </c>
      <c r="I1758" s="9" t="str">
        <f>RIGHT(TablaCosechas[[#This Row],[SECTOR/PISCINA]],2)</f>
        <v>02</v>
      </c>
      <c r="J1758" s="9" t="str">
        <f>VLOOKUP(TablaCosechas[[#This Row],[COD]],Tabla7[#All],4,0)</f>
        <v>GUSTAVO CARRASCO</v>
      </c>
      <c r="K1758" s="179">
        <f>(TablaCosechas[[#This Row],[libras planta]]*454)/M1758</f>
        <v>287627.65466297319</v>
      </c>
      <c r="L1758" s="215">
        <v>20583.75</v>
      </c>
      <c r="M1758" s="205">
        <v>32.49</v>
      </c>
      <c r="N1758" s="9" t="str">
        <f>UPPER(TEXT(TablaCosechas[[#This Row],[COSECHA]],"MMMM"))</f>
        <v>MAYO</v>
      </c>
      <c r="O1758" s="9" t="str">
        <f>IF(A1758="DO 29","BAP",IF(A1758="RO 14","BAP",(VLOOKUP(TablaCosechas[[#This Row],[COD]],Tabla7[[CODIGO]:[CERTIFICACION]],3,0))))</f>
        <v>ASC</v>
      </c>
      <c r="P1758" s="180">
        <f>+L1758-E1758</f>
        <v>2283.75</v>
      </c>
      <c r="Q1758" s="181">
        <f>+M1758-F1758</f>
        <v>0.49000000000000199</v>
      </c>
      <c r="R1758" s="9"/>
    </row>
    <row r="1759" spans="1:18" x14ac:dyDescent="0.25">
      <c r="A1759" s="9" t="s">
        <v>254</v>
      </c>
      <c r="B1759" s="9">
        <f>ROW() - ROW(TablaCosechas[[#Headers],[ID]]) - 4</f>
        <v>1754</v>
      </c>
      <c r="C1759" s="9" t="str">
        <f>LEFT(A1759,2)</f>
        <v>DE</v>
      </c>
      <c r="D1759" s="182" t="s">
        <v>366</v>
      </c>
      <c r="E1759" s="178">
        <v>41000</v>
      </c>
      <c r="F1759" s="19">
        <v>31</v>
      </c>
      <c r="G1759" s="195">
        <v>46144</v>
      </c>
      <c r="H1759" s="9" t="str">
        <f>VLOOKUP(TablaCosechas[[#This Row],[COD]],DATOS!$E$3:$F$27,2,0)</f>
        <v>DELFIN</v>
      </c>
      <c r="I1759" s="9" t="str">
        <f>RIGHT(TablaCosechas[[#This Row],[SECTOR/PISCINA]],2)</f>
        <v>12</v>
      </c>
      <c r="J1759" s="9" t="str">
        <f>VLOOKUP(TablaCosechas[[#This Row],[COD]],Tabla7[#All],4,0)</f>
        <v>CARLOS FLORES</v>
      </c>
      <c r="K1759" s="179">
        <f>(TablaCosechas[[#This Row],[libras planta]]*454)/M1759</f>
        <v>542068.65588235285</v>
      </c>
      <c r="L1759" s="215">
        <v>40595.449999999997</v>
      </c>
      <c r="M1759" s="205">
        <v>34</v>
      </c>
      <c r="N1759" s="9" t="str">
        <f>UPPER(TEXT(TablaCosechas[[#This Row],[COSECHA]],"MMMM"))</f>
        <v>MAYO</v>
      </c>
      <c r="O1759" s="9" t="str">
        <f>IF(A1759="DO 29","BAP",IF(A1759="RO 14","BAP",(VLOOKUP(TablaCosechas[[#This Row],[COD]],Tabla7[[CODIGO]:[CERTIFICACION]],3,0))))</f>
        <v>CONVENCIONAL</v>
      </c>
      <c r="P1759" s="180">
        <f>+L1759-E1759</f>
        <v>-404.55000000000291</v>
      </c>
      <c r="Q1759" s="181">
        <f>+M1759-F1759</f>
        <v>3</v>
      </c>
      <c r="R1759" s="9"/>
    </row>
    <row r="1760" spans="1:18" x14ac:dyDescent="0.25">
      <c r="A1760" s="9" t="s">
        <v>177</v>
      </c>
      <c r="B1760" s="9">
        <f>ROW() - ROW(TablaCosechas[[#Headers],[ID]]) - 4</f>
        <v>1755</v>
      </c>
      <c r="C1760" s="9" t="str">
        <f>LEFT(A1760,2)</f>
        <v>DE</v>
      </c>
      <c r="D1760" s="182" t="s">
        <v>366</v>
      </c>
      <c r="E1760" s="178">
        <v>2100</v>
      </c>
      <c r="F1760" s="19">
        <v>31</v>
      </c>
      <c r="G1760" s="195">
        <v>46144</v>
      </c>
      <c r="H1760" s="9" t="str">
        <f>VLOOKUP(TablaCosechas[[#This Row],[COD]],DATOS!$E$3:$F$27,2,0)</f>
        <v>DELFIN</v>
      </c>
      <c r="I1760" s="9" t="str">
        <f>RIGHT(TablaCosechas[[#This Row],[SECTOR/PISCINA]],2)</f>
        <v>09</v>
      </c>
      <c r="J1760" s="9" t="str">
        <f>VLOOKUP(TablaCosechas[[#This Row],[COD]],Tabla7[#All],4,0)</f>
        <v>CARLOS FLORES</v>
      </c>
      <c r="K1760" s="179">
        <f>(TablaCosechas[[#This Row],[libras planta]]*454)/M1760</f>
        <v>24658.634428223839</v>
      </c>
      <c r="L1760" s="215">
        <v>1785.85</v>
      </c>
      <c r="M1760" s="205">
        <v>32.880000000000003</v>
      </c>
      <c r="N1760" s="9" t="str">
        <f>UPPER(TEXT(TablaCosechas[[#This Row],[COSECHA]],"MMMM"))</f>
        <v>MAYO</v>
      </c>
      <c r="O1760" s="9" t="str">
        <f>IF(A1760="DO 29","BAP",IF(A1760="RO 14","BAP",(VLOOKUP(TablaCosechas[[#This Row],[COD]],Tabla7[[CODIGO]:[CERTIFICACION]],3,0))))</f>
        <v>CONVENCIONAL</v>
      </c>
      <c r="P1760" s="180">
        <f>+L1760-E1760</f>
        <v>-314.15000000000009</v>
      </c>
      <c r="Q1760" s="181">
        <f>+M1760-F1760</f>
        <v>1.8800000000000026</v>
      </c>
      <c r="R1760" s="9"/>
    </row>
    <row r="1761" spans="1:18" x14ac:dyDescent="0.25">
      <c r="A1761" s="9" t="s">
        <v>30</v>
      </c>
      <c r="B1761" s="9">
        <f>ROW() - ROW(TablaCosechas[[#Headers],[ID]]) - 4</f>
        <v>1756</v>
      </c>
      <c r="C1761" s="9" t="str">
        <f>LEFT(A1761,2)</f>
        <v>CH</v>
      </c>
      <c r="D1761" s="182" t="s">
        <v>367</v>
      </c>
      <c r="E1761" s="178">
        <v>12100</v>
      </c>
      <c r="F1761" s="19">
        <v>18</v>
      </c>
      <c r="G1761" s="195">
        <v>46144</v>
      </c>
      <c r="H1761" s="9" t="str">
        <f>VLOOKUP(TablaCosechas[[#This Row],[COD]],DATOS!$E$3:$F$27,2,0)</f>
        <v>CHERNA</v>
      </c>
      <c r="I1761" s="9" t="str">
        <f>RIGHT(TablaCosechas[[#This Row],[SECTOR/PISCINA]],2)</f>
        <v>19</v>
      </c>
      <c r="J1761" s="9" t="str">
        <f>VLOOKUP(TablaCosechas[[#This Row],[COD]],Tabla7[#All],4,0)</f>
        <v>SANTIAGO OBRIEN</v>
      </c>
      <c r="K1761" s="179">
        <f>(TablaCosechas[[#This Row],[libras planta]]*454)/M1761</f>
        <v>333724.01220865699</v>
      </c>
      <c r="L1761" s="215">
        <v>13246.05</v>
      </c>
      <c r="M1761" s="205">
        <v>18.02</v>
      </c>
      <c r="N1761" s="9" t="str">
        <f>UPPER(TEXT(TablaCosechas[[#This Row],[COSECHA]],"MMMM"))</f>
        <v>MAYO</v>
      </c>
      <c r="O1761" s="9" t="str">
        <f>IF(A1761="DO 29","BAP",IF(A1761="RO 14","BAP",(VLOOKUP(TablaCosechas[[#This Row],[COD]],Tabla7[[CODIGO]:[CERTIFICACION]],3,0))))</f>
        <v>ASC</v>
      </c>
      <c r="P1761" s="180">
        <f>+L1761-E1761</f>
        <v>1146.0499999999993</v>
      </c>
      <c r="Q1761" s="181">
        <f>+M1761-F1761</f>
        <v>1.9999999999999574E-2</v>
      </c>
      <c r="R1761" s="9"/>
    </row>
    <row r="1762" spans="1:18" x14ac:dyDescent="0.25">
      <c r="A1762" s="9" t="s">
        <v>214</v>
      </c>
      <c r="B1762" s="9">
        <f>ROW() - ROW(TablaCosechas[[#Headers],[ID]]) - 4</f>
        <v>1757</v>
      </c>
      <c r="C1762" s="9" t="str">
        <f>LEFT(A1762,2)</f>
        <v>WA</v>
      </c>
      <c r="D1762" s="182" t="s">
        <v>367</v>
      </c>
      <c r="E1762" s="178">
        <v>15200</v>
      </c>
      <c r="F1762" s="19">
        <v>22</v>
      </c>
      <c r="G1762" s="195">
        <v>46145</v>
      </c>
      <c r="H1762" s="9" t="str">
        <f>VLOOKUP(TablaCosechas[[#This Row],[COD]],DATOS!$E$3:$F$27,2,0)</f>
        <v>WAHOO</v>
      </c>
      <c r="I1762" s="9" t="str">
        <f>RIGHT(TablaCosechas[[#This Row],[SECTOR/PISCINA]],2)</f>
        <v>30</v>
      </c>
      <c r="J1762" s="9" t="str">
        <f>VLOOKUP(TablaCosechas[[#This Row],[COD]],Tabla7[#All],4,0)</f>
        <v>JUNIOR ESQUIVEL</v>
      </c>
      <c r="K1762" s="179">
        <f>(TablaCosechas[[#This Row],[libras planta]]*454)/M1762</f>
        <v>272815.08068269974</v>
      </c>
      <c r="L1762" s="215">
        <v>15491.57</v>
      </c>
      <c r="M1762" s="205">
        <v>25.78</v>
      </c>
      <c r="N1762" s="9" t="str">
        <f>UPPER(TEXT(TablaCosechas[[#This Row],[COSECHA]],"MMMM"))</f>
        <v>MAYO</v>
      </c>
      <c r="O1762" s="9" t="str">
        <f>IF(A1762="DO 29","BAP",IF(A1762="RO 14","BAP",(VLOOKUP(TablaCosechas[[#This Row],[COD]],Tabla7[[CODIGO]:[CERTIFICACION]],3,0))))</f>
        <v>CONVENCIONAL</v>
      </c>
      <c r="P1762" s="180">
        <f>+L1762-E1762</f>
        <v>291.56999999999971</v>
      </c>
      <c r="Q1762" s="181">
        <f>+M1762-F1762</f>
        <v>3.7800000000000011</v>
      </c>
      <c r="R1762" s="9"/>
    </row>
    <row r="1763" spans="1:18" x14ac:dyDescent="0.25">
      <c r="A1763" s="9" t="s">
        <v>195</v>
      </c>
      <c r="B1763" s="9">
        <f>ROW() - ROW(TablaCosechas[[#Headers],[ID]]) - 4</f>
        <v>1758</v>
      </c>
      <c r="C1763" s="9" t="str">
        <f>LEFT(A1763,2)</f>
        <v>TU</v>
      </c>
      <c r="D1763" s="182" t="s">
        <v>366</v>
      </c>
      <c r="E1763" s="178">
        <v>9200</v>
      </c>
      <c r="F1763" s="19">
        <v>33</v>
      </c>
      <c r="G1763" s="195">
        <v>46145</v>
      </c>
      <c r="H1763" s="9" t="str">
        <f>VLOOKUP(TablaCosechas[[#This Row],[COD]],DATOS!$E$3:$F$27,2,0)</f>
        <v>TUNA</v>
      </c>
      <c r="I1763" s="9" t="str">
        <f>RIGHT(TablaCosechas[[#This Row],[SECTOR/PISCINA]],2)</f>
        <v>01</v>
      </c>
      <c r="J1763" s="9" t="str">
        <f>VLOOKUP(TablaCosechas[[#This Row],[COD]],Tabla7[#All],4,0)</f>
        <v>GUSTAVO CARRASCO</v>
      </c>
      <c r="K1763" s="179">
        <f>(TablaCosechas[[#This Row],[libras planta]]*454)/M1763</f>
        <v>122887.49268578117</v>
      </c>
      <c r="L1763" s="215">
        <v>9251.75</v>
      </c>
      <c r="M1763" s="205">
        <v>34.18</v>
      </c>
      <c r="N1763" s="9" t="str">
        <f>UPPER(TEXT(TablaCosechas[[#This Row],[COSECHA]],"MMMM"))</f>
        <v>MAYO</v>
      </c>
      <c r="O1763" s="9" t="str">
        <f>IF(A1763="DO 29","BAP",IF(A1763="RO 14","BAP",(VLOOKUP(TablaCosechas[[#This Row],[COD]],Tabla7[[CODIGO]:[CERTIFICACION]],3,0))))</f>
        <v>ASC</v>
      </c>
      <c r="P1763" s="180">
        <f>+L1763-E1763</f>
        <v>51.75</v>
      </c>
      <c r="Q1763" s="181">
        <f>+M1763-F1763</f>
        <v>1.1799999999999997</v>
      </c>
      <c r="R1763" s="9"/>
    </row>
    <row r="1764" spans="1:18" x14ac:dyDescent="0.25">
      <c r="A1764" s="9" t="s">
        <v>197</v>
      </c>
      <c r="B1764" s="9">
        <f>ROW() - ROW(TablaCosechas[[#Headers],[ID]]) - 4</f>
        <v>1759</v>
      </c>
      <c r="C1764" s="9" t="str">
        <f>LEFT(A1764,2)</f>
        <v>PA</v>
      </c>
      <c r="D1764" s="182" t="s">
        <v>366</v>
      </c>
      <c r="E1764" s="178">
        <v>11100</v>
      </c>
      <c r="F1764" s="19">
        <v>30</v>
      </c>
      <c r="G1764" s="195">
        <v>46145</v>
      </c>
      <c r="H1764" s="9" t="str">
        <f>VLOOKUP(TablaCosechas[[#This Row],[COD]],DATOS!$E$3:$F$27,2,0)</f>
        <v>PAMPANO</v>
      </c>
      <c r="I1764" s="9" t="str">
        <f>RIGHT(TablaCosechas[[#This Row],[SECTOR/PISCINA]],2)</f>
        <v>05</v>
      </c>
      <c r="J1764" s="9" t="str">
        <f>VLOOKUP(TablaCosechas[[#This Row],[COD]],Tabla7[#All],4,0)</f>
        <v>GUSTAVO CARRASCO</v>
      </c>
      <c r="K1764" s="179">
        <f>(TablaCosechas[[#This Row],[libras planta]]*454)/M1764</f>
        <v>166550.84108040202</v>
      </c>
      <c r="L1764" s="215">
        <v>11680.57</v>
      </c>
      <c r="M1764" s="205">
        <v>31.84</v>
      </c>
      <c r="N1764" s="9" t="str">
        <f>UPPER(TEXT(TablaCosechas[[#This Row],[COSECHA]],"MMMM"))</f>
        <v>MAYO</v>
      </c>
      <c r="O1764" s="9" t="str">
        <f>IF(A1764="DO 29","BAP",IF(A1764="RO 14","BAP",(VLOOKUP(TablaCosechas[[#This Row],[COD]],Tabla7[[CODIGO]:[CERTIFICACION]],3,0))))</f>
        <v>ASC</v>
      </c>
      <c r="P1764" s="180">
        <f>+L1764-E1764</f>
        <v>580.56999999999971</v>
      </c>
      <c r="Q1764" s="181">
        <f>+M1764-F1764</f>
        <v>1.8399999999999999</v>
      </c>
      <c r="R1764" s="9"/>
    </row>
    <row r="1765" spans="1:18" x14ac:dyDescent="0.25">
      <c r="A1765" s="9" t="s">
        <v>254</v>
      </c>
      <c r="B1765" s="9">
        <f>ROW() - ROW(TablaCosechas[[#Headers],[ID]]) - 4</f>
        <v>1760</v>
      </c>
      <c r="C1765" s="9" t="str">
        <f>LEFT(A1765,2)</f>
        <v>DE</v>
      </c>
      <c r="D1765" s="182" t="s">
        <v>366</v>
      </c>
      <c r="E1765" s="178">
        <v>3200</v>
      </c>
      <c r="F1765" s="19">
        <v>31</v>
      </c>
      <c r="G1765" s="195">
        <v>46145</v>
      </c>
      <c r="H1765" s="9" t="str">
        <f>VLOOKUP(TablaCosechas[[#This Row],[COD]],DATOS!$E$3:$F$27,2,0)</f>
        <v>DELFIN</v>
      </c>
      <c r="I1765" s="9" t="str">
        <f>RIGHT(TablaCosechas[[#This Row],[SECTOR/PISCINA]],2)</f>
        <v>12</v>
      </c>
      <c r="J1765" s="9" t="str">
        <f>VLOOKUP(TablaCosechas[[#This Row],[COD]],Tabla7[#All],4,0)</f>
        <v>CARLOS FLORES</v>
      </c>
      <c r="K1765" s="179">
        <f>(TablaCosechas[[#This Row],[libras planta]]*454)/M1765</f>
        <v>43139.47525342874</v>
      </c>
      <c r="L1765" s="215">
        <v>3187</v>
      </c>
      <c r="M1765" s="205">
        <v>33.54</v>
      </c>
      <c r="N1765" s="9" t="str">
        <f>UPPER(TEXT(TablaCosechas[[#This Row],[COSECHA]],"MMMM"))</f>
        <v>MAYO</v>
      </c>
      <c r="O1765" s="9" t="str">
        <f>IF(A1765="DO 29","BAP",IF(A1765="RO 14","BAP",(VLOOKUP(TablaCosechas[[#This Row],[COD]],Tabla7[[CODIGO]:[CERTIFICACION]],3,0))))</f>
        <v>CONVENCIONAL</v>
      </c>
      <c r="P1765" s="180">
        <f>+L1765-E1765</f>
        <v>-13</v>
      </c>
      <c r="Q1765" s="181">
        <f>+M1765-F1765</f>
        <v>2.5399999999999991</v>
      </c>
      <c r="R1765" s="9"/>
    </row>
    <row r="1766" spans="1:18" x14ac:dyDescent="0.25">
      <c r="A1766" s="9" t="s">
        <v>19</v>
      </c>
      <c r="B1766" s="9">
        <f>ROW() - ROW(TablaCosechas[[#Headers],[ID]]) - 4</f>
        <v>1761</v>
      </c>
      <c r="C1766" s="9" t="str">
        <f>LEFT(A1766,2)</f>
        <v>CH</v>
      </c>
      <c r="D1766" s="182" t="s">
        <v>367</v>
      </c>
      <c r="E1766" s="178">
        <v>7500</v>
      </c>
      <c r="F1766" s="19">
        <v>25</v>
      </c>
      <c r="G1766" s="195">
        <v>46145</v>
      </c>
      <c r="H1766" s="9" t="str">
        <f>VLOOKUP(TablaCosechas[[#This Row],[COD]],DATOS!$E$3:$F$27,2,0)</f>
        <v>CHERNA</v>
      </c>
      <c r="I1766" s="9" t="str">
        <f>RIGHT(TablaCosechas[[#This Row],[SECTOR/PISCINA]],2)</f>
        <v>13</v>
      </c>
      <c r="J1766" s="9" t="str">
        <f>VLOOKUP(TablaCosechas[[#This Row],[COD]],Tabla7[#All],4,0)</f>
        <v>SANTIAGO OBRIEN</v>
      </c>
      <c r="K1766" s="179">
        <f>(TablaCosechas[[#This Row],[libras planta]]*454)/M1766</f>
        <v>128889.62014388488</v>
      </c>
      <c r="L1766" s="215">
        <v>7892.36</v>
      </c>
      <c r="M1766" s="205">
        <v>27.8</v>
      </c>
      <c r="N1766" s="9" t="str">
        <f>UPPER(TEXT(TablaCosechas[[#This Row],[COSECHA]],"MMMM"))</f>
        <v>MAYO</v>
      </c>
      <c r="O1766" s="9" t="str">
        <f>IF(A1766="DO 29","BAP",IF(A1766="RO 14","BAP",(VLOOKUP(TablaCosechas[[#This Row],[COD]],Tabla7[[CODIGO]:[CERTIFICACION]],3,0))))</f>
        <v>ASC</v>
      </c>
      <c r="P1766" s="180">
        <f>+L1766-E1766</f>
        <v>392.35999999999967</v>
      </c>
      <c r="Q1766" s="181">
        <f>+M1766-F1766</f>
        <v>2.8000000000000007</v>
      </c>
      <c r="R1766" s="9"/>
    </row>
    <row r="1767" spans="1:18" x14ac:dyDescent="0.25">
      <c r="A1767" s="9" t="s">
        <v>189</v>
      </c>
      <c r="B1767" s="9">
        <f>ROW() - ROW(TablaCosechas[[#Headers],[ID]]) - 4</f>
        <v>1762</v>
      </c>
      <c r="C1767" s="9" t="str">
        <f>LEFT(A1767,2)</f>
        <v>TU</v>
      </c>
      <c r="D1767" s="182" t="s">
        <v>366</v>
      </c>
      <c r="E1767" s="178">
        <v>15900</v>
      </c>
      <c r="F1767" s="19">
        <v>30</v>
      </c>
      <c r="G1767" s="195">
        <v>46146</v>
      </c>
      <c r="H1767" s="9" t="str">
        <f>VLOOKUP(TablaCosechas[[#This Row],[COD]],DATOS!$E$3:$F$27,2,0)</f>
        <v>TUNA</v>
      </c>
      <c r="I1767" s="9" t="str">
        <f>RIGHT(TablaCosechas[[#This Row],[SECTOR/PISCINA]],2)</f>
        <v>03</v>
      </c>
      <c r="J1767" s="9" t="str">
        <f>VLOOKUP(TablaCosechas[[#This Row],[COD]],Tabla7[#All],4,0)</f>
        <v>GUSTAVO CARRASCO</v>
      </c>
      <c r="K1767" s="179">
        <f>(TablaCosechas[[#This Row],[libras planta]]*454)/M1767</f>
        <v>251118.40231449966</v>
      </c>
      <c r="L1767" s="215">
        <v>16250.79</v>
      </c>
      <c r="M1767" s="19">
        <v>29.38</v>
      </c>
      <c r="N1767" s="9" t="str">
        <f>UPPER(TEXT(TablaCosechas[[#This Row],[COSECHA]],"MMMM"))</f>
        <v>MAYO</v>
      </c>
      <c r="O1767" s="9" t="str">
        <f>IF(A1767="DO 29","BAP",IF(A1767="RO 14","BAP",(VLOOKUP(TablaCosechas[[#This Row],[COD]],Tabla7[[CODIGO]:[CERTIFICACION]],3,0))))</f>
        <v>ASC</v>
      </c>
      <c r="P1767" s="180">
        <f>+L1767-E1767</f>
        <v>350.79000000000087</v>
      </c>
      <c r="Q1767" s="181">
        <f>+M1767-F1767</f>
        <v>-0.62000000000000099</v>
      </c>
      <c r="R1767" s="9"/>
    </row>
    <row r="1768" spans="1:18" x14ac:dyDescent="0.25">
      <c r="A1768" s="9" t="s">
        <v>289</v>
      </c>
      <c r="B1768" s="9">
        <f>ROW() - ROW(TablaCosechas[[#Headers],[ID]]) - 4</f>
        <v>1763</v>
      </c>
      <c r="C1768" s="9" t="str">
        <f>LEFT(A1768,2)</f>
        <v>TI</v>
      </c>
      <c r="D1768" s="182" t="s">
        <v>367</v>
      </c>
      <c r="E1768" s="178">
        <v>9350</v>
      </c>
      <c r="F1768" s="19">
        <v>19</v>
      </c>
      <c r="G1768" s="195">
        <v>46146</v>
      </c>
      <c r="H1768" s="9" t="str">
        <f>VLOOKUP(TablaCosechas[[#This Row],[COD]],DATOS!$E$3:$F$27,2,0)</f>
        <v>TIBURON</v>
      </c>
      <c r="I1768" s="9" t="str">
        <f>RIGHT(TablaCosechas[[#This Row],[SECTOR/PISCINA]],2)</f>
        <v>04</v>
      </c>
      <c r="J1768" s="9" t="str">
        <f>VLOOKUP(TablaCosechas[[#This Row],[COD]],Tabla7[#All],4,0)</f>
        <v>ALFONSO GRUNAUER</v>
      </c>
      <c r="K1768" s="179">
        <f>(TablaCosechas[[#This Row],[libras planta]]*454)/M1768</f>
        <v>215483.66379310348</v>
      </c>
      <c r="L1768" s="215">
        <v>9910.35</v>
      </c>
      <c r="M1768" s="19">
        <v>20.88</v>
      </c>
      <c r="N1768" s="9" t="str">
        <f>UPPER(TEXT(TablaCosechas[[#This Row],[COSECHA]],"MMMM"))</f>
        <v>MAYO</v>
      </c>
      <c r="O1768" s="9" t="str">
        <f>IF(A1768="DO 29","BAP",IF(A1768="RO 14","BAP",(VLOOKUP(TablaCosechas[[#This Row],[COD]],Tabla7[[CODIGO]:[CERTIFICACION]],3,0))))</f>
        <v>ASC</v>
      </c>
      <c r="P1768" s="180">
        <f>+L1768-E1768</f>
        <v>560.35000000000036</v>
      </c>
      <c r="Q1768" s="181">
        <f>+M1768-F1768</f>
        <v>1.879999999999999</v>
      </c>
      <c r="R1768" s="9"/>
    </row>
    <row r="1769" spans="1:18" x14ac:dyDescent="0.25">
      <c r="A1769" s="9" t="s">
        <v>223</v>
      </c>
      <c r="B1769" s="9">
        <f>ROW() - ROW(TablaCosechas[[#Headers],[ID]]) - 4</f>
        <v>1764</v>
      </c>
      <c r="C1769" s="9" t="str">
        <f>LEFT(A1769,2)</f>
        <v>ME</v>
      </c>
      <c r="D1769" s="182" t="s">
        <v>367</v>
      </c>
      <c r="E1769" s="178">
        <v>3000</v>
      </c>
      <c r="F1769" s="19">
        <v>14</v>
      </c>
      <c r="G1769" s="195">
        <v>46146</v>
      </c>
      <c r="H1769" s="9" t="str">
        <f>VLOOKUP(TablaCosechas[[#This Row],[COD]],DATOS!$E$3:$F$27,2,0)</f>
        <v>MERO</v>
      </c>
      <c r="I1769" s="9" t="str">
        <f>RIGHT(TablaCosechas[[#This Row],[SECTOR/PISCINA]],2)</f>
        <v>17</v>
      </c>
      <c r="J1769" s="9" t="str">
        <f>VLOOKUP(TablaCosechas[[#This Row],[COD]],Tabla7[#All],4,0)</f>
        <v>NESTOR MOGOLLON</v>
      </c>
      <c r="K1769" s="179">
        <f>(TablaCosechas[[#This Row],[libras planta]]*454)/M1769</f>
        <v>85106.187845303866</v>
      </c>
      <c r="L1769" s="215">
        <v>2714.4</v>
      </c>
      <c r="M1769" s="19">
        <v>14.48</v>
      </c>
      <c r="N1769" s="9" t="str">
        <f>UPPER(TEXT(TablaCosechas[[#This Row],[COSECHA]],"MMMM"))</f>
        <v>MAYO</v>
      </c>
      <c r="O1769" s="9" t="str">
        <f>IF(A1769="DO 29","BAP",IF(A1769="RO 14","BAP",(VLOOKUP(TablaCosechas[[#This Row],[COD]],Tabla7[[CODIGO]:[CERTIFICACION]],3,0))))</f>
        <v>CONVENCIONAL</v>
      </c>
      <c r="P1769" s="180">
        <f>+L1769-E1769</f>
        <v>-285.59999999999991</v>
      </c>
      <c r="Q1769" s="181">
        <f>+M1769-F1769</f>
        <v>0.48000000000000043</v>
      </c>
      <c r="R1769" s="9"/>
    </row>
    <row r="1770" spans="1:18" x14ac:dyDescent="0.25">
      <c r="A1770" s="9" t="s">
        <v>290</v>
      </c>
      <c r="B1770" s="9">
        <f>ROW() - ROW(TablaCosechas[[#Headers],[ID]]) - 4</f>
        <v>1765</v>
      </c>
      <c r="C1770" s="9" t="str">
        <f>LEFT(A1770,2)</f>
        <v>ME</v>
      </c>
      <c r="D1770" s="182" t="s">
        <v>367</v>
      </c>
      <c r="E1770" s="178">
        <v>3000</v>
      </c>
      <c r="F1770" s="19">
        <v>21</v>
      </c>
      <c r="G1770" s="195">
        <v>46146</v>
      </c>
      <c r="H1770" s="9" t="str">
        <f>VLOOKUP(TablaCosechas[[#This Row],[COD]],DATOS!$E$3:$F$27,2,0)</f>
        <v>MERO</v>
      </c>
      <c r="I1770" s="9" t="str">
        <f>RIGHT(TablaCosechas[[#This Row],[SECTOR/PISCINA]],2)</f>
        <v>05</v>
      </c>
      <c r="J1770" s="9" t="str">
        <f>VLOOKUP(TablaCosechas[[#This Row],[COD]],Tabla7[#All],4,0)</f>
        <v>NESTOR MOGOLLON</v>
      </c>
      <c r="K1770" s="179">
        <f>(TablaCosechas[[#This Row],[libras planta]]*454)/M1770</f>
        <v>53862.819865319863</v>
      </c>
      <c r="L1770" s="215">
        <v>2818.9</v>
      </c>
      <c r="M1770" s="19">
        <v>23.76</v>
      </c>
      <c r="N1770" s="9" t="str">
        <f>UPPER(TEXT(TablaCosechas[[#This Row],[COSECHA]],"MMMM"))</f>
        <v>MAYO</v>
      </c>
      <c r="O1770" s="9" t="str">
        <f>IF(A1770="DO 29","BAP",IF(A1770="RO 14","BAP",(VLOOKUP(TablaCosechas[[#This Row],[COD]],Tabla7[[CODIGO]:[CERTIFICACION]],3,0))))</f>
        <v>CONVENCIONAL</v>
      </c>
      <c r="P1770" s="180">
        <f>+L1770-E1770</f>
        <v>-181.09999999999991</v>
      </c>
      <c r="Q1770" s="181">
        <f>+M1770-F1770</f>
        <v>2.7600000000000016</v>
      </c>
      <c r="R1770" s="9"/>
    </row>
    <row r="1771" spans="1:18" x14ac:dyDescent="0.25">
      <c r="A1771" s="9" t="s">
        <v>268</v>
      </c>
      <c r="B1771" s="9">
        <f>ROW() - ROW(TablaCosechas[[#Headers],[ID]]) - 4</f>
        <v>1766</v>
      </c>
      <c r="C1771" s="9" t="str">
        <f>LEFT(A1771,2)</f>
        <v>MA</v>
      </c>
      <c r="D1771" s="182" t="s">
        <v>367</v>
      </c>
      <c r="E1771" s="178">
        <v>9000</v>
      </c>
      <c r="F1771" s="19">
        <v>15</v>
      </c>
      <c r="G1771" s="195">
        <v>46146</v>
      </c>
      <c r="H1771" s="9" t="str">
        <f>VLOOKUP(TablaCosechas[[#This Row],[COD]],DATOS!$E$3:$F$27,2,0)</f>
        <v>MANTARRAYA</v>
      </c>
      <c r="I1771" s="9" t="str">
        <f>RIGHT(TablaCosechas[[#This Row],[SECTOR/PISCINA]],2)</f>
        <v>10</v>
      </c>
      <c r="J1771" s="9" t="str">
        <f>VLOOKUP(TablaCosechas[[#This Row],[COD]],Tabla7[#All],4,0)</f>
        <v>GUSTAVO CARRASCO</v>
      </c>
      <c r="K1771" s="179">
        <f>(TablaCosechas[[#This Row],[libras planta]]*454)/M1771</f>
        <v>269621.01918465225</v>
      </c>
      <c r="L1771" s="215">
        <v>9905.9</v>
      </c>
      <c r="M1771" s="19">
        <v>16.68</v>
      </c>
      <c r="N1771" s="9" t="str">
        <f>UPPER(TEXT(TablaCosechas[[#This Row],[COSECHA]],"MMMM"))</f>
        <v>MAYO</v>
      </c>
      <c r="O1771" s="9" t="str">
        <f>IF(A1771="DO 29","BAP",IF(A1771="RO 14","BAP",(VLOOKUP(TablaCosechas[[#This Row],[COD]],Tabla7[[CODIGO]:[CERTIFICACION]],3,0))))</f>
        <v>ASC</v>
      </c>
      <c r="P1771" s="180">
        <f>+L1771-E1771</f>
        <v>905.89999999999964</v>
      </c>
      <c r="Q1771" s="181">
        <f>+M1771-F1771</f>
        <v>1.6799999999999997</v>
      </c>
      <c r="R1771" s="9"/>
    </row>
    <row r="1772" spans="1:18" x14ac:dyDescent="0.25">
      <c r="A1772" s="9" t="s">
        <v>187</v>
      </c>
      <c r="B1772" s="9">
        <f>ROW() - ROW(TablaCosechas[[#Headers],[ID]]) - 4</f>
        <v>1767</v>
      </c>
      <c r="C1772" s="9" t="str">
        <f>LEFT(A1772,2)</f>
        <v>DE</v>
      </c>
      <c r="D1772" s="182" t="s">
        <v>366</v>
      </c>
      <c r="E1772" s="178">
        <v>14100</v>
      </c>
      <c r="F1772" s="19">
        <v>35</v>
      </c>
      <c r="G1772" s="195">
        <v>46146</v>
      </c>
      <c r="H1772" s="9" t="str">
        <f>VLOOKUP(TablaCosechas[[#This Row],[COD]],DATOS!$E$3:$F$27,2,0)</f>
        <v>DELFIN</v>
      </c>
      <c r="I1772" s="9" t="str">
        <f>RIGHT(TablaCosechas[[#This Row],[SECTOR/PISCINA]],2)</f>
        <v>22</v>
      </c>
      <c r="J1772" s="9" t="str">
        <f>VLOOKUP(TablaCosechas[[#This Row],[COD]],Tabla7[#All],4,0)</f>
        <v>CARLOS FLORES</v>
      </c>
      <c r="K1772" s="179">
        <f>(TablaCosechas[[#This Row],[libras planta]]*454)/M1772</f>
        <v>217965.83238095237</v>
      </c>
      <c r="L1772" s="215">
        <v>15123.18</v>
      </c>
      <c r="M1772" s="19">
        <v>31.5</v>
      </c>
      <c r="N1772" s="9" t="str">
        <f>UPPER(TEXT(TablaCosechas[[#This Row],[COSECHA]],"MMMM"))</f>
        <v>MAYO</v>
      </c>
      <c r="O1772" s="9" t="str">
        <f>IF(A1772="DO 29","BAP",IF(A1772="RO 14","BAP",(VLOOKUP(TablaCosechas[[#This Row],[COD]],Tabla7[[CODIGO]:[CERTIFICACION]],3,0))))</f>
        <v>CONVENCIONAL</v>
      </c>
      <c r="P1772" s="180">
        <f>+L1772-E1772</f>
        <v>1023.1800000000003</v>
      </c>
      <c r="Q1772" s="181">
        <f>+M1772-F1772</f>
        <v>-3.5</v>
      </c>
      <c r="R1772" s="9"/>
    </row>
    <row r="1773" spans="1:18" x14ac:dyDescent="0.25">
      <c r="A1773" s="9" t="s">
        <v>174</v>
      </c>
      <c r="B1773" s="9">
        <f>ROW() - ROW(TablaCosechas[[#Headers],[ID]]) - 4</f>
        <v>1768</v>
      </c>
      <c r="C1773" s="9" t="str">
        <f>LEFT(A1773,2)</f>
        <v>DE</v>
      </c>
      <c r="D1773" s="182" t="s">
        <v>366</v>
      </c>
      <c r="E1773" s="178">
        <v>17900</v>
      </c>
      <c r="F1773" s="19">
        <v>31</v>
      </c>
      <c r="G1773" s="195">
        <v>46146</v>
      </c>
      <c r="H1773" s="9" t="str">
        <f>VLOOKUP(TablaCosechas[[#This Row],[COD]],DATOS!$E$3:$F$27,2,0)</f>
        <v>DELFIN</v>
      </c>
      <c r="I1773" s="9" t="str">
        <f>RIGHT(TablaCosechas[[#This Row],[SECTOR/PISCINA]],2)</f>
        <v>07</v>
      </c>
      <c r="J1773" s="9" t="str">
        <f>VLOOKUP(TablaCosechas[[#This Row],[COD]],Tabla7[#All],4,0)</f>
        <v>CARLOS FLORES</v>
      </c>
      <c r="K1773" s="179">
        <f>(TablaCosechas[[#This Row],[libras planta]]*454)/M1773</f>
        <v>261200.27974683544</v>
      </c>
      <c r="L1773" s="215">
        <v>18180.46</v>
      </c>
      <c r="M1773" s="19">
        <v>31.6</v>
      </c>
      <c r="N1773" s="9" t="str">
        <f>UPPER(TEXT(TablaCosechas[[#This Row],[COSECHA]],"MMMM"))</f>
        <v>MAYO</v>
      </c>
      <c r="O1773" s="9" t="str">
        <f>IF(A1773="DO 29","BAP",IF(A1773="RO 14","BAP",(VLOOKUP(TablaCosechas[[#This Row],[COD]],Tabla7[[CODIGO]:[CERTIFICACION]],3,0))))</f>
        <v>CONVENCIONAL</v>
      </c>
      <c r="P1773" s="180">
        <f>+L1773-E1773</f>
        <v>280.45999999999913</v>
      </c>
      <c r="Q1773" s="181">
        <f>+M1773-F1773</f>
        <v>0.60000000000000142</v>
      </c>
      <c r="R1773" s="9"/>
    </row>
    <row r="1774" spans="1:18" x14ac:dyDescent="0.25">
      <c r="A1774" s="9" t="s">
        <v>379</v>
      </c>
      <c r="B1774" s="9">
        <f>ROW() - ROW(TablaCosechas[[#Headers],[ID]]) - 4</f>
        <v>1769</v>
      </c>
      <c r="C1774" s="9" t="str">
        <f>LEFT(A1774,2)</f>
        <v>WA</v>
      </c>
      <c r="D1774" s="182" t="s">
        <v>367</v>
      </c>
      <c r="E1774" s="178">
        <v>7600</v>
      </c>
      <c r="F1774" s="19">
        <v>20</v>
      </c>
      <c r="G1774" s="195">
        <v>46147</v>
      </c>
      <c r="H1774" s="9" t="str">
        <f>VLOOKUP(TablaCosechas[[#This Row],[COD]],DATOS!$E$3:$F$27,2,0)</f>
        <v>WAHOO</v>
      </c>
      <c r="I1774" s="9" t="str">
        <f>RIGHT(TablaCosechas[[#This Row],[SECTOR/PISCINA]],2)</f>
        <v>18</v>
      </c>
      <c r="J1774" s="9" t="str">
        <f>VLOOKUP(TablaCosechas[[#This Row],[COD]],Tabla7[#All],4,0)</f>
        <v>JUNIOR ESQUIVEL</v>
      </c>
      <c r="K1774" s="179">
        <f>(TablaCosechas[[#This Row],[libras planta]]*454)/M1774</f>
        <v>179259.15845410628</v>
      </c>
      <c r="L1774" s="215">
        <v>8173.27</v>
      </c>
      <c r="M1774" s="205">
        <v>20.7</v>
      </c>
      <c r="N1774" s="9" t="str">
        <f>UPPER(TEXT(TablaCosechas[[#This Row],[COSECHA]],"MMMM"))</f>
        <v>MAYO</v>
      </c>
      <c r="O1774" s="9" t="str">
        <f>IF(A1774="DO 29","BAP",IF(A1774="RO 14","BAP",(VLOOKUP(TablaCosechas[[#This Row],[COD]],Tabla7[[CODIGO]:[CERTIFICACION]],3,0))))</f>
        <v>CONVENCIONAL</v>
      </c>
      <c r="P1774" s="180">
        <f>+L1774-E1774</f>
        <v>573.27000000000044</v>
      </c>
      <c r="Q1774" s="181">
        <f>+M1774-F1774</f>
        <v>0.69999999999999929</v>
      </c>
      <c r="R1774" s="9"/>
    </row>
    <row r="1775" spans="1:18" x14ac:dyDescent="0.25">
      <c r="A1775" s="9" t="s">
        <v>185</v>
      </c>
      <c r="B1775" s="9">
        <f>ROW() - ROW(TablaCosechas[[#Headers],[ID]]) - 4</f>
        <v>1770</v>
      </c>
      <c r="C1775" s="9" t="str">
        <f>LEFT(A1775,2)</f>
        <v>TU</v>
      </c>
      <c r="D1775" s="182" t="s">
        <v>366</v>
      </c>
      <c r="E1775" s="178">
        <v>16300</v>
      </c>
      <c r="F1775" s="19">
        <v>33</v>
      </c>
      <c r="G1775" s="195">
        <v>46147</v>
      </c>
      <c r="H1775" s="9" t="str">
        <f>VLOOKUP(TablaCosechas[[#This Row],[COD]],DATOS!$E$3:$F$27,2,0)</f>
        <v>TUNA</v>
      </c>
      <c r="I1775" s="9" t="str">
        <f>RIGHT(TablaCosechas[[#This Row],[SECTOR/PISCINA]],2)</f>
        <v>4A</v>
      </c>
      <c r="J1775" s="9" t="str">
        <f>VLOOKUP(TablaCosechas[[#This Row],[COD]],Tabla7[#All],4,0)</f>
        <v>GUSTAVO CARRASCO</v>
      </c>
      <c r="K1775" s="179">
        <f>(TablaCosechas[[#This Row],[libras planta]]*454)/M1775</f>
        <v>236296.34995573916</v>
      </c>
      <c r="L1775" s="215">
        <v>17638.95</v>
      </c>
      <c r="M1775" s="205">
        <v>33.89</v>
      </c>
      <c r="N1775" s="9" t="str">
        <f>UPPER(TEXT(TablaCosechas[[#This Row],[COSECHA]],"MMMM"))</f>
        <v>MAYO</v>
      </c>
      <c r="O1775" s="9" t="str">
        <f>IF(A1775="DO 29","BAP",IF(A1775="RO 14","BAP",(VLOOKUP(TablaCosechas[[#This Row],[COD]],Tabla7[[CODIGO]:[CERTIFICACION]],3,0))))</f>
        <v>ASC</v>
      </c>
      <c r="P1775" s="180">
        <f>+L1775-E1775</f>
        <v>1338.9500000000007</v>
      </c>
      <c r="Q1775" s="181">
        <f>+M1775-F1775</f>
        <v>0.89000000000000057</v>
      </c>
      <c r="R1775" s="9"/>
    </row>
    <row r="1776" spans="1:18" x14ac:dyDescent="0.25">
      <c r="A1776" s="9" t="s">
        <v>258</v>
      </c>
      <c r="B1776" s="9">
        <f>ROW() - ROW(TablaCosechas[[#Headers],[ID]]) - 4</f>
        <v>1771</v>
      </c>
      <c r="C1776" s="9" t="str">
        <f>LEFT(A1776,2)</f>
        <v>TI</v>
      </c>
      <c r="D1776" s="182" t="s">
        <v>367</v>
      </c>
      <c r="E1776" s="178">
        <v>9200</v>
      </c>
      <c r="F1776" s="19">
        <v>21</v>
      </c>
      <c r="G1776" s="195">
        <v>46147</v>
      </c>
      <c r="H1776" s="9" t="str">
        <f>VLOOKUP(TablaCosechas[[#This Row],[COD]],DATOS!$E$3:$F$27,2,0)</f>
        <v>TIBURON</v>
      </c>
      <c r="I1776" s="9" t="str">
        <f>RIGHT(TablaCosechas[[#This Row],[SECTOR/PISCINA]],2)</f>
        <v>10</v>
      </c>
      <c r="J1776" s="9" t="str">
        <f>VLOOKUP(TablaCosechas[[#This Row],[COD]],Tabla7[#All],4,0)</f>
        <v>ALFONSO GRUNAUER</v>
      </c>
      <c r="K1776" s="179">
        <f>(TablaCosechas[[#This Row],[libras planta]]*454)/M1776</f>
        <v>171396.42491749173</v>
      </c>
      <c r="L1776" s="215">
        <v>9151.2099999999991</v>
      </c>
      <c r="M1776" s="205">
        <v>24.24</v>
      </c>
      <c r="N1776" s="9" t="str">
        <f>UPPER(TEXT(TablaCosechas[[#This Row],[COSECHA]],"MMMM"))</f>
        <v>MAYO</v>
      </c>
      <c r="O1776" s="9" t="str">
        <f>IF(A1776="DO 29","BAP",IF(A1776="RO 14","BAP",(VLOOKUP(TablaCosechas[[#This Row],[COD]],Tabla7[[CODIGO]:[CERTIFICACION]],3,0))))</f>
        <v>ASC</v>
      </c>
      <c r="P1776" s="180">
        <f>+L1776-E1776</f>
        <v>-48.790000000000873</v>
      </c>
      <c r="Q1776" s="181">
        <f>+M1776-F1776</f>
        <v>3.2399999999999984</v>
      </c>
      <c r="R1776" s="9"/>
    </row>
    <row r="1777" spans="1:18" x14ac:dyDescent="0.25">
      <c r="A1777" s="9" t="s">
        <v>199</v>
      </c>
      <c r="B1777" s="9">
        <f>ROW() - ROW(TablaCosechas[[#Headers],[ID]]) - 4</f>
        <v>1772</v>
      </c>
      <c r="C1777" s="9" t="str">
        <f>LEFT(A1777,2)</f>
        <v>RO</v>
      </c>
      <c r="D1777" s="182" t="s">
        <v>366</v>
      </c>
      <c r="E1777" s="178">
        <v>58600</v>
      </c>
      <c r="F1777" s="19">
        <v>30</v>
      </c>
      <c r="G1777" s="195">
        <v>46147</v>
      </c>
      <c r="H1777" s="9" t="str">
        <f>VLOOKUP(TablaCosechas[[#This Row],[COD]],DATOS!$E$3:$F$27,2,0)</f>
        <v>ROBALO</v>
      </c>
      <c r="I1777" s="9" t="str">
        <f>RIGHT(TablaCosechas[[#This Row],[SECTOR/PISCINA]],2)</f>
        <v>08</v>
      </c>
      <c r="J1777" s="9" t="str">
        <f>VLOOKUP(TablaCosechas[[#This Row],[COD]],Tabla7[#All],4,0)</f>
        <v>VICTOR QUINTANA</v>
      </c>
      <c r="K1777" s="179">
        <f>(TablaCosechas[[#This Row],[libras planta]]*454)/M1777</f>
        <v>804350.29317762749</v>
      </c>
      <c r="L1777" s="215">
        <v>57651.01</v>
      </c>
      <c r="M1777" s="205">
        <v>32.54</v>
      </c>
      <c r="N1777" s="9" t="str">
        <f>UPPER(TEXT(TablaCosechas[[#This Row],[COSECHA]],"MMMM"))</f>
        <v>MAYO</v>
      </c>
      <c r="O1777" s="9" t="str">
        <f>IF(A1777="DO 29","BAP",IF(A1777="RO 14","BAP",(VLOOKUP(TablaCosechas[[#This Row],[COD]],Tabla7[[CODIGO]:[CERTIFICACION]],3,0))))</f>
        <v>ASC</v>
      </c>
      <c r="P1777" s="180">
        <f>+L1777-E1777</f>
        <v>-948.98999999999796</v>
      </c>
      <c r="Q1777" s="181">
        <f>+M1777-F1777</f>
        <v>2.5399999999999991</v>
      </c>
      <c r="R1777" s="9"/>
    </row>
    <row r="1778" spans="1:18" x14ac:dyDescent="0.25">
      <c r="A1778" s="9" t="s">
        <v>292</v>
      </c>
      <c r="B1778" s="9">
        <f>ROW() - ROW(TablaCosechas[[#Headers],[ID]]) - 4</f>
        <v>1773</v>
      </c>
      <c r="C1778" s="9" t="str">
        <f>LEFT(A1778,2)</f>
        <v>ME</v>
      </c>
      <c r="D1778" s="182" t="s">
        <v>367</v>
      </c>
      <c r="E1778" s="178">
        <v>4200</v>
      </c>
      <c r="F1778" s="19">
        <v>22</v>
      </c>
      <c r="G1778" s="195">
        <v>46147</v>
      </c>
      <c r="H1778" s="9" t="str">
        <f>VLOOKUP(TablaCosechas[[#This Row],[COD]],DATOS!$E$3:$F$27,2,0)</f>
        <v>MERO</v>
      </c>
      <c r="I1778" s="9" t="str">
        <f>RIGHT(TablaCosechas[[#This Row],[SECTOR/PISCINA]],2)</f>
        <v>07</v>
      </c>
      <c r="J1778" s="9" t="str">
        <f>VLOOKUP(TablaCosechas[[#This Row],[COD]],Tabla7[#All],4,0)</f>
        <v>NESTOR MOGOLLON</v>
      </c>
      <c r="K1778" s="179">
        <f>(TablaCosechas[[#This Row],[libras planta]]*454)/M1778</f>
        <v>78457.657758620684</v>
      </c>
      <c r="L1778" s="215">
        <v>4009.29</v>
      </c>
      <c r="M1778" s="205">
        <v>23.2</v>
      </c>
      <c r="N1778" s="9" t="str">
        <f>UPPER(TEXT(TablaCosechas[[#This Row],[COSECHA]],"MMMM"))</f>
        <v>MAYO</v>
      </c>
      <c r="O1778" s="9" t="str">
        <f>IF(A1778="DO 29","BAP",IF(A1778="RO 14","BAP",(VLOOKUP(TablaCosechas[[#This Row],[COD]],Tabla7[[CODIGO]:[CERTIFICACION]],3,0))))</f>
        <v>CONVENCIONAL</v>
      </c>
      <c r="P1778" s="180">
        <f>+L1778-E1778</f>
        <v>-190.71000000000004</v>
      </c>
      <c r="Q1778" s="181">
        <f>+M1778-F1778</f>
        <v>1.1999999999999993</v>
      </c>
      <c r="R1778" s="9"/>
    </row>
    <row r="1779" spans="1:18" x14ac:dyDescent="0.25">
      <c r="A1779" s="9" t="s">
        <v>274</v>
      </c>
      <c r="B1779" s="9">
        <f>ROW() - ROW(TablaCosechas[[#Headers],[ID]]) - 4</f>
        <v>1774</v>
      </c>
      <c r="C1779" s="9" t="str">
        <f>LEFT(A1779,2)</f>
        <v>ME</v>
      </c>
      <c r="D1779" s="182" t="s">
        <v>367</v>
      </c>
      <c r="E1779" s="178">
        <v>3000</v>
      </c>
      <c r="F1779" s="19">
        <v>15</v>
      </c>
      <c r="G1779" s="195">
        <v>46147</v>
      </c>
      <c r="H1779" s="9" t="str">
        <f>VLOOKUP(TablaCosechas[[#This Row],[COD]],DATOS!$E$3:$F$27,2,0)</f>
        <v>MERO</v>
      </c>
      <c r="I1779" s="9" t="str">
        <f>RIGHT(TablaCosechas[[#This Row],[SECTOR/PISCINA]],2)</f>
        <v>04</v>
      </c>
      <c r="J1779" s="9" t="str">
        <f>VLOOKUP(TablaCosechas[[#This Row],[COD]],Tabla7[#All],4,0)</f>
        <v>NESTOR MOGOLLON</v>
      </c>
      <c r="K1779" s="179">
        <f>(TablaCosechas[[#This Row],[libras planta]]*454)/M1779</f>
        <v>87290.252844500617</v>
      </c>
      <c r="L1779" s="215">
        <v>3041.7</v>
      </c>
      <c r="M1779" s="205">
        <v>15.82</v>
      </c>
      <c r="N1779" s="9" t="str">
        <f>UPPER(TEXT(TablaCosechas[[#This Row],[COSECHA]],"MMMM"))</f>
        <v>MAYO</v>
      </c>
      <c r="O1779" s="9" t="str">
        <f>IF(A1779="DO 29","BAP",IF(A1779="RO 14","BAP",(VLOOKUP(TablaCosechas[[#This Row],[COD]],Tabla7[[CODIGO]:[CERTIFICACION]],3,0))))</f>
        <v>CONVENCIONAL</v>
      </c>
      <c r="P1779" s="180">
        <f>+L1779-E1779</f>
        <v>41.699999999999818</v>
      </c>
      <c r="Q1779" s="181">
        <f>+M1779-F1779</f>
        <v>0.82000000000000028</v>
      </c>
      <c r="R1779" s="9"/>
    </row>
    <row r="1780" spans="1:18" x14ac:dyDescent="0.25">
      <c r="A1780" s="9" t="s">
        <v>278</v>
      </c>
      <c r="B1780" s="9">
        <f>ROW() - ROW(TablaCosechas[[#Headers],[ID]]) - 4</f>
        <v>1775</v>
      </c>
      <c r="C1780" s="9" t="str">
        <f>LEFT(A1780,2)</f>
        <v>ME</v>
      </c>
      <c r="D1780" s="182" t="s">
        <v>367</v>
      </c>
      <c r="E1780" s="178">
        <v>1800</v>
      </c>
      <c r="F1780" s="19">
        <v>18</v>
      </c>
      <c r="G1780" s="195">
        <v>46147</v>
      </c>
      <c r="H1780" s="9" t="str">
        <f>VLOOKUP(TablaCosechas[[#This Row],[COD]],DATOS!$E$3:$F$27,2,0)</f>
        <v>MERO</v>
      </c>
      <c r="I1780" s="9" t="str">
        <f>RIGHT(TablaCosechas[[#This Row],[SECTOR/PISCINA]],2)</f>
        <v>02</v>
      </c>
      <c r="J1780" s="9" t="str">
        <f>VLOOKUP(TablaCosechas[[#This Row],[COD]],Tabla7[#All],4,0)</f>
        <v>NESTOR MOGOLLON</v>
      </c>
      <c r="K1780" s="179">
        <f>(TablaCosechas[[#This Row],[libras planta]]*454)/M1780</f>
        <v>35078.003696857668</v>
      </c>
      <c r="L1780" s="215">
        <v>1672</v>
      </c>
      <c r="M1780" s="205">
        <v>21.64</v>
      </c>
      <c r="N1780" s="9" t="str">
        <f>UPPER(TEXT(TablaCosechas[[#This Row],[COSECHA]],"MMMM"))</f>
        <v>MAYO</v>
      </c>
      <c r="O1780" s="9" t="str">
        <f>IF(A1780="DO 29","BAP",IF(A1780="RO 14","BAP",(VLOOKUP(TablaCosechas[[#This Row],[COD]],Tabla7[[CODIGO]:[CERTIFICACION]],3,0))))</f>
        <v>CONVENCIONAL</v>
      </c>
      <c r="P1780" s="180">
        <f>+L1780-E1780</f>
        <v>-128</v>
      </c>
      <c r="Q1780" s="181">
        <f>+M1780-F1780</f>
        <v>3.6400000000000006</v>
      </c>
      <c r="R1780" s="9"/>
    </row>
    <row r="1781" spans="1:18" x14ac:dyDescent="0.25">
      <c r="A1781" s="9" t="s">
        <v>281</v>
      </c>
      <c r="B1781" s="9">
        <f>ROW() - ROW(TablaCosechas[[#Headers],[ID]]) - 4</f>
        <v>1776</v>
      </c>
      <c r="C1781" s="9" t="str">
        <f>LEFT(A1781,2)</f>
        <v>ME</v>
      </c>
      <c r="D1781" s="182" t="s">
        <v>367</v>
      </c>
      <c r="E1781" s="178">
        <v>1200</v>
      </c>
      <c r="F1781" s="19">
        <v>15</v>
      </c>
      <c r="G1781" s="195">
        <v>46147</v>
      </c>
      <c r="H1781" s="9" t="str">
        <f>VLOOKUP(TablaCosechas[[#This Row],[COD]],DATOS!$E$3:$F$27,2,0)</f>
        <v>MERO</v>
      </c>
      <c r="I1781" s="9" t="str">
        <f>RIGHT(TablaCosechas[[#This Row],[SECTOR/PISCINA]],2)</f>
        <v>01</v>
      </c>
      <c r="J1781" s="9" t="str">
        <f>VLOOKUP(TablaCosechas[[#This Row],[COD]],Tabla7[#All],4,0)</f>
        <v>NESTOR MOGOLLON</v>
      </c>
      <c r="K1781" s="179">
        <f>(TablaCosechas[[#This Row],[libras planta]]*454)/M1781</f>
        <v>38139.211099020671</v>
      </c>
      <c r="L1781" s="215">
        <v>1544.05</v>
      </c>
      <c r="M1781" s="205">
        <v>18.38</v>
      </c>
      <c r="N1781" s="9" t="str">
        <f>UPPER(TEXT(TablaCosechas[[#This Row],[COSECHA]],"MMMM"))</f>
        <v>MAYO</v>
      </c>
      <c r="O1781" s="9" t="str">
        <f>IF(A1781="DO 29","BAP",IF(A1781="RO 14","BAP",(VLOOKUP(TablaCosechas[[#This Row],[COD]],Tabla7[[CODIGO]:[CERTIFICACION]],3,0))))</f>
        <v>CONVENCIONAL</v>
      </c>
      <c r="P1781" s="180">
        <f>+L1781-E1781</f>
        <v>344.04999999999995</v>
      </c>
      <c r="Q1781" s="181">
        <f>+M1781-F1781</f>
        <v>3.379999999999999</v>
      </c>
      <c r="R1781" s="9"/>
    </row>
    <row r="1782" spans="1:18" x14ac:dyDescent="0.25">
      <c r="A1782" s="9" t="s">
        <v>271</v>
      </c>
      <c r="B1782" s="9">
        <f>ROW() - ROW(TablaCosechas[[#Headers],[ID]]) - 4</f>
        <v>1777</v>
      </c>
      <c r="C1782" s="9" t="str">
        <f>LEFT(A1782,2)</f>
        <v>MA</v>
      </c>
      <c r="D1782" s="182" t="s">
        <v>367</v>
      </c>
      <c r="E1782" s="178">
        <v>6800</v>
      </c>
      <c r="F1782" s="19">
        <v>15</v>
      </c>
      <c r="G1782" s="195">
        <v>46147</v>
      </c>
      <c r="H1782" s="9" t="str">
        <f>VLOOKUP(TablaCosechas[[#This Row],[COD]],DATOS!$E$3:$F$27,2,0)</f>
        <v>MANTARRAYA</v>
      </c>
      <c r="I1782" s="9" t="str">
        <f>RIGHT(TablaCosechas[[#This Row],[SECTOR/PISCINA]],2)</f>
        <v>01</v>
      </c>
      <c r="J1782" s="9" t="str">
        <f>VLOOKUP(TablaCosechas[[#This Row],[COD]],Tabla7[#All],4,0)</f>
        <v>GUSTAVO CARRASCO</v>
      </c>
      <c r="K1782" s="179">
        <f>(TablaCosechas[[#This Row],[libras planta]]*454)/M1782</f>
        <v>197882.78042959428</v>
      </c>
      <c r="L1782" s="215">
        <v>7305.1</v>
      </c>
      <c r="M1782" s="205">
        <v>16.760000000000002</v>
      </c>
      <c r="N1782" s="9" t="str">
        <f>UPPER(TEXT(TablaCosechas[[#This Row],[COSECHA]],"MMMM"))</f>
        <v>MAYO</v>
      </c>
      <c r="O1782" s="9" t="str">
        <f>IF(A1782="DO 29","BAP",IF(A1782="RO 14","BAP",(VLOOKUP(TablaCosechas[[#This Row],[COD]],Tabla7[[CODIGO]:[CERTIFICACION]],3,0))))</f>
        <v>ASC</v>
      </c>
      <c r="P1782" s="180">
        <f>+L1782-E1782</f>
        <v>505.10000000000036</v>
      </c>
      <c r="Q1782" s="181">
        <f>+M1782-F1782</f>
        <v>1.7600000000000016</v>
      </c>
      <c r="R1782" s="9"/>
    </row>
    <row r="1783" spans="1:18" x14ac:dyDescent="0.25">
      <c r="A1783" s="9" t="s">
        <v>238</v>
      </c>
      <c r="B1783" s="9">
        <f>ROW() - ROW(TablaCosechas[[#Headers],[ID]]) - 4</f>
        <v>1778</v>
      </c>
      <c r="C1783" s="9" t="str">
        <f>LEFT(A1783,2)</f>
        <v>GT</v>
      </c>
      <c r="D1783" s="182" t="s">
        <v>367</v>
      </c>
      <c r="E1783" s="178">
        <v>10200</v>
      </c>
      <c r="F1783" s="19">
        <v>23</v>
      </c>
      <c r="G1783" s="195">
        <v>46147</v>
      </c>
      <c r="H1783" s="9" t="str">
        <f>VLOOKUP(TablaCosechas[[#This Row],[COD]],DATOS!$E$3:$F$27,2,0)</f>
        <v>GUATO</v>
      </c>
      <c r="I1783" s="9" t="str">
        <f>RIGHT(TablaCosechas[[#This Row],[SECTOR/PISCINA]],2)</f>
        <v>06</v>
      </c>
      <c r="J1783" s="9" t="str">
        <f>VLOOKUP(TablaCosechas[[#This Row],[COD]],Tabla7[#All],4,0)</f>
        <v>JULIO SANTOS</v>
      </c>
      <c r="K1783" s="179">
        <f>(TablaCosechas[[#This Row],[libras planta]]*454)/M1783</f>
        <v>200500.30155038761</v>
      </c>
      <c r="L1783" s="215">
        <v>11394.07</v>
      </c>
      <c r="M1783" s="205">
        <v>25.8</v>
      </c>
      <c r="N1783" s="9" t="str">
        <f>UPPER(TEXT(TablaCosechas[[#This Row],[COSECHA]],"MMMM"))</f>
        <v>MAYO</v>
      </c>
      <c r="O1783" s="9" t="str">
        <f>IF(A1783="DO 29","BAP",IF(A1783="RO 14","BAP",(VLOOKUP(TablaCosechas[[#This Row],[COD]],Tabla7[[CODIGO]:[CERTIFICACION]],3,0))))</f>
        <v>CONVENCIONAL</v>
      </c>
      <c r="P1783" s="180">
        <f>+L1783-E1783</f>
        <v>1194.0699999999997</v>
      </c>
      <c r="Q1783" s="181">
        <f>+M1783-F1783</f>
        <v>2.8000000000000007</v>
      </c>
      <c r="R1783" s="9"/>
    </row>
    <row r="1784" spans="1:18" x14ac:dyDescent="0.25">
      <c r="A1784" s="9" t="s">
        <v>196</v>
      </c>
      <c r="B1784" s="9">
        <f>ROW() - ROW(TablaCosechas[[#Headers],[ID]]) - 4</f>
        <v>1779</v>
      </c>
      <c r="C1784" s="9" t="str">
        <f>LEFT(A1784,2)</f>
        <v>DE</v>
      </c>
      <c r="D1784" s="182" t="s">
        <v>366</v>
      </c>
      <c r="E1784" s="178">
        <v>13300</v>
      </c>
      <c r="F1784" s="19">
        <v>33</v>
      </c>
      <c r="G1784" s="195">
        <v>46147</v>
      </c>
      <c r="H1784" s="9" t="str">
        <f>VLOOKUP(TablaCosechas[[#This Row],[COD]],DATOS!$E$3:$F$27,2,0)</f>
        <v>DELFIN</v>
      </c>
      <c r="I1784" s="9" t="str">
        <f>RIGHT(TablaCosechas[[#This Row],[SECTOR/PISCINA]],2)</f>
        <v>03</v>
      </c>
      <c r="J1784" s="9" t="str">
        <f>VLOOKUP(TablaCosechas[[#This Row],[COD]],Tabla7[#All],4,0)</f>
        <v>CARLOS FLORES</v>
      </c>
      <c r="K1784" s="179">
        <f>(TablaCosechas[[#This Row],[libras planta]]*454)/M1784</f>
        <v>194733.38354577057</v>
      </c>
      <c r="L1784" s="215">
        <v>14806.6</v>
      </c>
      <c r="M1784" s="205">
        <v>34.520000000000003</v>
      </c>
      <c r="N1784" s="9" t="str">
        <f>UPPER(TEXT(TablaCosechas[[#This Row],[COSECHA]],"MMMM"))</f>
        <v>MAYO</v>
      </c>
      <c r="O1784" s="9" t="str">
        <f>IF(A1784="DO 29","BAP",IF(A1784="RO 14","BAP",(VLOOKUP(TablaCosechas[[#This Row],[COD]],Tabla7[[CODIGO]:[CERTIFICACION]],3,0))))</f>
        <v>CONVENCIONAL</v>
      </c>
      <c r="P1784" s="180">
        <f>+L1784-E1784</f>
        <v>1506.6000000000004</v>
      </c>
      <c r="Q1784" s="181">
        <f>+M1784-F1784</f>
        <v>1.5200000000000031</v>
      </c>
      <c r="R1784" s="9"/>
    </row>
    <row r="1785" spans="1:18" x14ac:dyDescent="0.25">
      <c r="A1785" s="9" t="s">
        <v>371</v>
      </c>
      <c r="B1785" s="9">
        <f>ROW() - ROW(TablaCosechas[[#Headers],[ID]]) - 4</f>
        <v>1780</v>
      </c>
      <c r="C1785" s="9" t="str">
        <f>LEFT(A1785,2)</f>
        <v>WA</v>
      </c>
      <c r="D1785" s="182" t="s">
        <v>367</v>
      </c>
      <c r="E1785" s="178">
        <v>8100</v>
      </c>
      <c r="F1785" s="19">
        <v>20</v>
      </c>
      <c r="G1785" s="195">
        <v>46148</v>
      </c>
      <c r="H1785" s="9" t="str">
        <f>VLOOKUP(TablaCosechas[[#This Row],[COD]],DATOS!$E$3:$F$27,2,0)</f>
        <v>WAHOO</v>
      </c>
      <c r="I1785" s="9" t="str">
        <f>RIGHT(TablaCosechas[[#This Row],[SECTOR/PISCINA]],2)</f>
        <v>17</v>
      </c>
      <c r="J1785" s="9" t="str">
        <f>VLOOKUP(TablaCosechas[[#This Row],[COD]],Tabla7[#All],4,0)</f>
        <v>JUNIOR ESQUIVEL</v>
      </c>
      <c r="K1785" s="179">
        <f>(TablaCosechas[[#This Row],[libras planta]]*454)/M1785</f>
        <v>205202.67590618334</v>
      </c>
      <c r="L1785" s="215">
        <v>8479.2999999999993</v>
      </c>
      <c r="M1785" s="205">
        <v>18.760000000000002</v>
      </c>
      <c r="N1785" s="9" t="str">
        <f>UPPER(TEXT(TablaCosechas[[#This Row],[COSECHA]],"MMMM"))</f>
        <v>MAYO</v>
      </c>
      <c r="O1785" s="9" t="str">
        <f>IF(A1785="DO 29","BAP",IF(A1785="RO 14","BAP",(VLOOKUP(TablaCosechas[[#This Row],[COD]],Tabla7[[CODIGO]:[CERTIFICACION]],3,0))))</f>
        <v>CONVENCIONAL</v>
      </c>
      <c r="P1785" s="180">
        <f>+L1785-E1785</f>
        <v>379.29999999999927</v>
      </c>
      <c r="Q1785" s="49">
        <f>+M1785-F1785</f>
        <v>-1.2399999999999984</v>
      </c>
      <c r="R1785" s="9"/>
    </row>
    <row r="1786" spans="1:18" x14ac:dyDescent="0.25">
      <c r="A1786" s="9" t="s">
        <v>178</v>
      </c>
      <c r="B1786" s="9">
        <f>ROW() - ROW(TablaCosechas[[#Headers],[ID]]) - 4</f>
        <v>1781</v>
      </c>
      <c r="C1786" s="9" t="str">
        <f>LEFT(A1786,2)</f>
        <v>PR</v>
      </c>
      <c r="D1786" s="182" t="s">
        <v>366</v>
      </c>
      <c r="E1786" s="178">
        <v>27200</v>
      </c>
      <c r="F1786" s="19">
        <v>30</v>
      </c>
      <c r="G1786" s="195">
        <v>46148</v>
      </c>
      <c r="H1786" s="9" t="str">
        <f>VLOOKUP(TablaCosechas[[#This Row],[COD]],DATOS!$E$3:$F$27,2,0)</f>
        <v>PARGO ROJO</v>
      </c>
      <c r="I1786" s="9" t="str">
        <f>RIGHT(TablaCosechas[[#This Row],[SECTOR/PISCINA]],2)</f>
        <v>09</v>
      </c>
      <c r="J1786" s="9" t="str">
        <f>VLOOKUP(TablaCosechas[[#This Row],[COD]],Tabla7[#All],4,0)</f>
        <v>WILMER TORRES</v>
      </c>
      <c r="K1786" s="179">
        <f>(TablaCosechas[[#This Row],[libras planta]]*454)/M1786</f>
        <v>476833.67935121647</v>
      </c>
      <c r="L1786" s="215">
        <v>33672.44</v>
      </c>
      <c r="M1786" s="205">
        <v>32.06</v>
      </c>
      <c r="N1786" s="9" t="str">
        <f>UPPER(TEXT(TablaCosechas[[#This Row],[COSECHA]],"MMMM"))</f>
        <v>MAYO</v>
      </c>
      <c r="O1786" s="9" t="str">
        <f>IF(A1786="DO 29","BAP",IF(A1786="RO 14","BAP",(VLOOKUP(TablaCosechas[[#This Row],[COD]],Tabla7[[CODIGO]:[CERTIFICACION]],3,0))))</f>
        <v>CONVENCIONAL</v>
      </c>
      <c r="P1786" s="180">
        <f>+L1786-E1786</f>
        <v>6472.4400000000023</v>
      </c>
      <c r="Q1786" s="181">
        <f>+M1786-F1786</f>
        <v>2.0600000000000023</v>
      </c>
      <c r="R1786" s="9"/>
    </row>
    <row r="1787" spans="1:18" x14ac:dyDescent="0.25">
      <c r="A1787" s="9" t="s">
        <v>259</v>
      </c>
      <c r="B1787" s="9">
        <f>ROW() - ROW(TablaCosechas[[#Headers],[ID]]) - 4</f>
        <v>1782</v>
      </c>
      <c r="C1787" s="9" t="str">
        <f>LEFT(A1787,2)</f>
        <v>PA</v>
      </c>
      <c r="D1787" s="182" t="s">
        <v>367</v>
      </c>
      <c r="E1787" s="178">
        <v>2500</v>
      </c>
      <c r="F1787" s="19">
        <v>24</v>
      </c>
      <c r="G1787" s="195">
        <v>46148</v>
      </c>
      <c r="H1787" s="9" t="str">
        <f>VLOOKUP(TablaCosechas[[#This Row],[COD]],DATOS!$E$3:$F$27,2,0)</f>
        <v>PAMPANO</v>
      </c>
      <c r="I1787" s="9" t="str">
        <f>RIGHT(TablaCosechas[[#This Row],[SECTOR/PISCINA]],2)</f>
        <v>19</v>
      </c>
      <c r="J1787" s="9" t="str">
        <f>VLOOKUP(TablaCosechas[[#This Row],[COD]],Tabla7[#All],4,0)</f>
        <v>GUSTAVO CARRASCO</v>
      </c>
      <c r="K1787" s="179">
        <f>(TablaCosechas[[#This Row],[libras planta]]*454)/M1787</f>
        <v>43926.219696969703</v>
      </c>
      <c r="L1787" s="215">
        <v>2554.3000000000002</v>
      </c>
      <c r="M1787" s="205">
        <v>26.4</v>
      </c>
      <c r="N1787" s="9" t="str">
        <f>UPPER(TEXT(TablaCosechas[[#This Row],[COSECHA]],"MMMM"))</f>
        <v>MAYO</v>
      </c>
      <c r="O1787" s="9" t="str">
        <f>IF(A1787="DO 29","BAP",IF(A1787="RO 14","BAP",(VLOOKUP(TablaCosechas[[#This Row],[COD]],Tabla7[[CODIGO]:[CERTIFICACION]],3,0))))</f>
        <v>ASC</v>
      </c>
      <c r="P1787" s="180">
        <f>+L1787-E1787</f>
        <v>54.300000000000182</v>
      </c>
      <c r="Q1787" s="181">
        <f>+M1787-F1787</f>
        <v>2.3999999999999986</v>
      </c>
      <c r="R1787" s="9"/>
    </row>
    <row r="1788" spans="1:18" x14ac:dyDescent="0.25">
      <c r="A1788" s="9" t="s">
        <v>244</v>
      </c>
      <c r="B1788" s="9">
        <f>ROW() - ROW(TablaCosechas[[#Headers],[ID]]) - 4</f>
        <v>1783</v>
      </c>
      <c r="C1788" s="9" t="str">
        <f>LEFT(A1788,2)</f>
        <v>PA</v>
      </c>
      <c r="D1788" s="182" t="s">
        <v>367</v>
      </c>
      <c r="E1788" s="178">
        <v>9400</v>
      </c>
      <c r="F1788" s="19">
        <v>25</v>
      </c>
      <c r="G1788" s="195">
        <v>46148</v>
      </c>
      <c r="H1788" s="9" t="str">
        <f>VLOOKUP(TablaCosechas[[#This Row],[COD]],DATOS!$E$3:$F$27,2,0)</f>
        <v>PAMPANO</v>
      </c>
      <c r="I1788" s="9" t="str">
        <f>RIGHT(TablaCosechas[[#This Row],[SECTOR/PISCINA]],2)</f>
        <v>03</v>
      </c>
      <c r="J1788" s="9" t="str">
        <f>VLOOKUP(TablaCosechas[[#This Row],[COD]],Tabla7[#All],4,0)</f>
        <v>GUSTAVO CARRASCO</v>
      </c>
      <c r="K1788" s="179">
        <f>(TablaCosechas[[#This Row],[libras planta]]*454)/M1788</f>
        <v>161923.3185840708</v>
      </c>
      <c r="L1788" s="174">
        <v>9672.6</v>
      </c>
      <c r="M1788" s="205">
        <v>27.12</v>
      </c>
      <c r="N1788" s="9" t="str">
        <f>UPPER(TEXT(TablaCosechas[[#This Row],[COSECHA]],"MMMM"))</f>
        <v>MAYO</v>
      </c>
      <c r="O1788" s="9" t="str">
        <f>IF(A1788="DO 29","BAP",IF(A1788="RO 14","BAP",(VLOOKUP(TablaCosechas[[#This Row],[COD]],Tabla7[[CODIGO]:[CERTIFICACION]],3,0))))</f>
        <v>ASC</v>
      </c>
      <c r="P1788" s="180">
        <f>+L1788-E1788</f>
        <v>272.60000000000036</v>
      </c>
      <c r="Q1788" s="181">
        <f>+M1788-F1788</f>
        <v>2.120000000000001</v>
      </c>
      <c r="R1788" s="9"/>
    </row>
    <row r="1789" spans="1:18" x14ac:dyDescent="0.25">
      <c r="A1789" s="9" t="s">
        <v>235</v>
      </c>
      <c r="B1789" s="9">
        <f>ROW() - ROW(TablaCosechas[[#Headers],[ID]]) - 4</f>
        <v>1784</v>
      </c>
      <c r="C1789" s="9" t="str">
        <f>LEFT(A1789,2)</f>
        <v>ME</v>
      </c>
      <c r="D1789" s="182" t="s">
        <v>367</v>
      </c>
      <c r="E1789" s="178">
        <v>3250</v>
      </c>
      <c r="F1789" s="19">
        <v>28</v>
      </c>
      <c r="G1789" s="195">
        <v>46148</v>
      </c>
      <c r="H1789" s="9" t="str">
        <f>VLOOKUP(TablaCosechas[[#This Row],[COD]],DATOS!$E$3:$F$27,2,0)</f>
        <v>MERO</v>
      </c>
      <c r="I1789" s="9" t="str">
        <f>RIGHT(TablaCosechas[[#This Row],[SECTOR/PISCINA]],2)</f>
        <v>18</v>
      </c>
      <c r="J1789" s="9" t="str">
        <f>VLOOKUP(TablaCosechas[[#This Row],[COD]],Tabla7[#All],4,0)</f>
        <v>NESTOR MOGOLLON</v>
      </c>
      <c r="K1789" s="179">
        <f>(TablaCosechas[[#This Row],[libras planta]]*454)/M1789</f>
        <v>45111.410852713176</v>
      </c>
      <c r="L1789" s="215">
        <v>3332.68</v>
      </c>
      <c r="M1789" s="205">
        <v>33.54</v>
      </c>
      <c r="N1789" s="9" t="str">
        <f>UPPER(TEXT(TablaCosechas[[#This Row],[COSECHA]],"MMMM"))</f>
        <v>MAYO</v>
      </c>
      <c r="O1789" s="9" t="str">
        <f>IF(A1789="DO 29","BAP",IF(A1789="RO 14","BAP",(VLOOKUP(TablaCosechas[[#This Row],[COD]],Tabla7[[CODIGO]:[CERTIFICACION]],3,0))))</f>
        <v>CONVENCIONAL</v>
      </c>
      <c r="P1789" s="180">
        <f>+L1789-E1789</f>
        <v>82.679999999999836</v>
      </c>
      <c r="Q1789" s="181">
        <f>+M1789-F1789</f>
        <v>5.5399999999999991</v>
      </c>
      <c r="R1789" s="9"/>
    </row>
    <row r="1790" spans="1:18" x14ac:dyDescent="0.25">
      <c r="A1790" s="9" t="s">
        <v>234</v>
      </c>
      <c r="B1790" s="9">
        <f>ROW() - ROW(TablaCosechas[[#Headers],[ID]]) - 4</f>
        <v>1785</v>
      </c>
      <c r="C1790" s="9" t="str">
        <f>LEFT(A1790,2)</f>
        <v>ME</v>
      </c>
      <c r="D1790" s="182" t="s">
        <v>367</v>
      </c>
      <c r="E1790" s="178">
        <v>3000</v>
      </c>
      <c r="F1790" s="19">
        <v>26</v>
      </c>
      <c r="G1790" s="195">
        <v>46148</v>
      </c>
      <c r="H1790" s="9" t="str">
        <f>VLOOKUP(TablaCosechas[[#This Row],[COD]],DATOS!$E$3:$F$27,2,0)</f>
        <v>MERO</v>
      </c>
      <c r="I1790" s="9" t="str">
        <f>RIGHT(TablaCosechas[[#This Row],[SECTOR/PISCINA]],2)</f>
        <v>15</v>
      </c>
      <c r="J1790" s="9" t="str">
        <f>VLOOKUP(TablaCosechas[[#This Row],[COD]],Tabla7[#All],4,0)</f>
        <v>NESTOR MOGOLLON</v>
      </c>
      <c r="K1790" s="179">
        <f>(TablaCosechas[[#This Row],[libras planta]]*454)/M1790</f>
        <v>36668.246712586093</v>
      </c>
      <c r="L1790" s="215">
        <v>2579.6999999999998</v>
      </c>
      <c r="M1790" s="205">
        <v>31.94</v>
      </c>
      <c r="N1790" s="9" t="str">
        <f>UPPER(TEXT(TablaCosechas[[#This Row],[COSECHA]],"MMMM"))</f>
        <v>MAYO</v>
      </c>
      <c r="O1790" s="9" t="str">
        <f>IF(A1790="DO 29","BAP",IF(A1790="RO 14","BAP",(VLOOKUP(TablaCosechas[[#This Row],[COD]],Tabla7[[CODIGO]:[CERTIFICACION]],3,0))))</f>
        <v>CONVENCIONAL</v>
      </c>
      <c r="P1790" s="180">
        <f>+L1790-E1790</f>
        <v>-420.30000000000018</v>
      </c>
      <c r="Q1790" s="181">
        <f>+M1790-F1790</f>
        <v>5.9400000000000013</v>
      </c>
      <c r="R1790" s="9"/>
    </row>
    <row r="1791" spans="1:18" x14ac:dyDescent="0.25">
      <c r="A1791" s="9" t="s">
        <v>228</v>
      </c>
      <c r="B1791" s="9">
        <f>ROW() - ROW(TablaCosechas[[#Headers],[ID]]) - 4</f>
        <v>1786</v>
      </c>
      <c r="C1791" s="9" t="str">
        <f>LEFT(A1791,2)</f>
        <v>ME</v>
      </c>
      <c r="D1791" s="182" t="s">
        <v>367</v>
      </c>
      <c r="E1791" s="178">
        <v>1700</v>
      </c>
      <c r="F1791" s="19">
        <v>26</v>
      </c>
      <c r="G1791" s="195">
        <v>46148</v>
      </c>
      <c r="H1791" s="9" t="str">
        <f>VLOOKUP(TablaCosechas[[#This Row],[COD]],DATOS!$E$3:$F$27,2,0)</f>
        <v>MERO</v>
      </c>
      <c r="I1791" s="9" t="str">
        <f>RIGHT(TablaCosechas[[#This Row],[SECTOR/PISCINA]],2)</f>
        <v>14</v>
      </c>
      <c r="J1791" s="9" t="str">
        <f>VLOOKUP(TablaCosechas[[#This Row],[COD]],Tabla7[#All],4,0)</f>
        <v>NESTOR MOGOLLON</v>
      </c>
      <c r="K1791" s="179">
        <f>(TablaCosechas[[#This Row],[libras planta]]*454)/M1791</f>
        <v>26311.213662790702</v>
      </c>
      <c r="L1791" s="215">
        <v>1594.9</v>
      </c>
      <c r="M1791" s="205">
        <v>27.52</v>
      </c>
      <c r="N1791" s="9" t="str">
        <f>UPPER(TEXT(TablaCosechas[[#This Row],[COSECHA]],"MMMM"))</f>
        <v>MAYO</v>
      </c>
      <c r="O1791" s="9" t="str">
        <f>IF(A1791="DO 29","BAP",IF(A1791="RO 14","BAP",(VLOOKUP(TablaCosechas[[#This Row],[COD]],Tabla7[[CODIGO]:[CERTIFICACION]],3,0))))</f>
        <v>CONVENCIONAL</v>
      </c>
      <c r="P1791" s="180">
        <f>+L1791-E1791</f>
        <v>-105.09999999999991</v>
      </c>
      <c r="Q1791" s="181">
        <f>+M1791-F1791</f>
        <v>1.5199999999999996</v>
      </c>
      <c r="R1791" s="9"/>
    </row>
    <row r="1792" spans="1:18" x14ac:dyDescent="0.25">
      <c r="A1792" s="9" t="s">
        <v>231</v>
      </c>
      <c r="B1792" s="9">
        <f>ROW() - ROW(TablaCosechas[[#Headers],[ID]]) - 4</f>
        <v>1787</v>
      </c>
      <c r="C1792" s="9" t="str">
        <f>LEFT(A1792,2)</f>
        <v>GT</v>
      </c>
      <c r="D1792" s="182" t="s">
        <v>367</v>
      </c>
      <c r="E1792" s="178">
        <v>2550</v>
      </c>
      <c r="F1792" s="19">
        <v>21</v>
      </c>
      <c r="G1792" s="195">
        <v>46148</v>
      </c>
      <c r="H1792" s="9" t="str">
        <f>VLOOKUP(TablaCosechas[[#This Row],[COD]],DATOS!$E$3:$F$27,2,0)</f>
        <v>GUATO</v>
      </c>
      <c r="I1792" s="9" t="str">
        <f>RIGHT(TablaCosechas[[#This Row],[SECTOR/PISCINA]],2)</f>
        <v>16</v>
      </c>
      <c r="J1792" s="9" t="str">
        <f>VLOOKUP(TablaCosechas[[#This Row],[COD]],Tabla7[#All],4,0)</f>
        <v>JULIO SANTOS</v>
      </c>
      <c r="K1792" s="179">
        <f>(TablaCosechas[[#This Row],[libras planta]]*454)/M1792</f>
        <v>70471.927034611785</v>
      </c>
      <c r="L1792" s="215">
        <v>3318.7</v>
      </c>
      <c r="M1792" s="205">
        <v>21.38</v>
      </c>
      <c r="N1792" s="9" t="str">
        <f>UPPER(TEXT(TablaCosechas[[#This Row],[COSECHA]],"MMMM"))</f>
        <v>MAYO</v>
      </c>
      <c r="O1792" s="9" t="str">
        <f>IF(A1792="DO 29","BAP",IF(A1792="RO 14","BAP",(VLOOKUP(TablaCosechas[[#This Row],[COD]],Tabla7[[CODIGO]:[CERTIFICACION]],3,0))))</f>
        <v>CONVENCIONAL</v>
      </c>
      <c r="P1792" s="180">
        <f>+L1792-E1792</f>
        <v>768.69999999999982</v>
      </c>
      <c r="Q1792" s="181">
        <f>+M1792-F1792</f>
        <v>0.37999999999999901</v>
      </c>
      <c r="R1792" s="9"/>
    </row>
    <row r="1793" spans="1:18" x14ac:dyDescent="0.25">
      <c r="A1793" s="9" t="s">
        <v>249</v>
      </c>
      <c r="B1793" s="9">
        <f>ROW() - ROW(TablaCosechas[[#Headers],[ID]]) - 4</f>
        <v>1788</v>
      </c>
      <c r="C1793" s="9" t="str">
        <f>LEFT(A1793,2)</f>
        <v>DO</v>
      </c>
      <c r="D1793" s="182" t="s">
        <v>366</v>
      </c>
      <c r="E1793" s="178">
        <v>21000</v>
      </c>
      <c r="F1793" s="19">
        <v>34</v>
      </c>
      <c r="G1793" s="195">
        <v>46148</v>
      </c>
      <c r="H1793" s="9" t="str">
        <f>VLOOKUP(TablaCosechas[[#This Row],[COD]],DATOS!$E$3:$F$27,2,0)</f>
        <v>DORADO</v>
      </c>
      <c r="I1793" s="9" t="str">
        <f>RIGHT(TablaCosechas[[#This Row],[SECTOR/PISCINA]],2)</f>
        <v>14</v>
      </c>
      <c r="J1793" s="9" t="str">
        <f>VLOOKUP(TablaCosechas[[#This Row],[COD]],Tabla7[#All],4,0)</f>
        <v>JOSE CEDEÑO</v>
      </c>
      <c r="K1793" s="179">
        <f>(TablaCosechas[[#This Row],[libras planta]]*454)/M1793</f>
        <v>263572.91010101011</v>
      </c>
      <c r="L1793" s="215">
        <v>22990.06</v>
      </c>
      <c r="M1793" s="205">
        <v>39.6</v>
      </c>
      <c r="N1793" s="9" t="str">
        <f>UPPER(TEXT(TablaCosechas[[#This Row],[COSECHA]],"MMMM"))</f>
        <v>MAYO</v>
      </c>
      <c r="O1793" s="9" t="str">
        <f>IF(A1793="DO 29","BAP",IF(A1793="RO 14","BAP",(VLOOKUP(TablaCosechas[[#This Row],[COD]],Tabla7[[CODIGO]:[CERTIFICACION]],3,0))))</f>
        <v>ASC</v>
      </c>
      <c r="P1793" s="180">
        <f>+L1793-E1793</f>
        <v>1990.0600000000013</v>
      </c>
      <c r="Q1793" s="181">
        <f>+M1793-F1793</f>
        <v>5.6000000000000014</v>
      </c>
      <c r="R1793" s="9"/>
    </row>
    <row r="1794" spans="1:18" x14ac:dyDescent="0.25">
      <c r="A1794" s="9" t="s">
        <v>220</v>
      </c>
      <c r="B1794" s="9">
        <f>ROW() - ROW(TablaCosechas[[#Headers],[ID]]) - 4</f>
        <v>1789</v>
      </c>
      <c r="C1794" s="9" t="str">
        <f>LEFT(A1794,2)</f>
        <v>DO</v>
      </c>
      <c r="D1794" s="182" t="s">
        <v>366</v>
      </c>
      <c r="E1794" s="178">
        <v>38000</v>
      </c>
      <c r="F1794" s="19">
        <v>33</v>
      </c>
      <c r="G1794" s="195">
        <v>46148</v>
      </c>
      <c r="H1794" s="9" t="str">
        <f>VLOOKUP(TablaCosechas[[#This Row],[COD]],DATOS!$E$3:$F$27,2,0)</f>
        <v>DORADO</v>
      </c>
      <c r="I1794" s="9" t="str">
        <f>RIGHT(TablaCosechas[[#This Row],[SECTOR/PISCINA]],2)</f>
        <v>13</v>
      </c>
      <c r="J1794" s="9" t="str">
        <f>VLOOKUP(TablaCosechas[[#This Row],[COD]],Tabla7[#All],4,0)</f>
        <v>JOSE CEDEÑO</v>
      </c>
      <c r="K1794" s="179">
        <f>(TablaCosechas[[#This Row],[libras planta]]*454)/M1794</f>
        <v>534734.65780927078</v>
      </c>
      <c r="L1794" s="215">
        <v>39893.089999999997</v>
      </c>
      <c r="M1794" s="205">
        <v>33.869999999999997</v>
      </c>
      <c r="N1794" s="9" t="str">
        <f>UPPER(TEXT(TablaCosechas[[#This Row],[COSECHA]],"MMMM"))</f>
        <v>MAYO</v>
      </c>
      <c r="O1794" s="9" t="str">
        <f>IF(A1794="DO 29","BAP",IF(A1794="RO 14","BAP",(VLOOKUP(TablaCosechas[[#This Row],[COD]],Tabla7[[CODIGO]:[CERTIFICACION]],3,0))))</f>
        <v>ASC</v>
      </c>
      <c r="P1794" s="180">
        <f>+L1794-E1794</f>
        <v>1893.0899999999965</v>
      </c>
      <c r="Q1794" s="181">
        <f>+M1794-F1794</f>
        <v>0.86999999999999744</v>
      </c>
      <c r="R1794" s="9"/>
    </row>
    <row r="1795" spans="1:18" x14ac:dyDescent="0.25">
      <c r="A1795" s="9" t="s">
        <v>242</v>
      </c>
      <c r="B1795" s="9">
        <f>ROW() - ROW(TablaCosechas[[#Headers],[ID]]) - 4</f>
        <v>1790</v>
      </c>
      <c r="C1795" s="9" t="str">
        <f>LEFT(A1795,2)</f>
        <v>DE</v>
      </c>
      <c r="D1795" s="182" t="s">
        <v>366</v>
      </c>
      <c r="E1795" s="178">
        <v>20200</v>
      </c>
      <c r="F1795" s="19">
        <v>28</v>
      </c>
      <c r="G1795" s="195">
        <v>46148</v>
      </c>
      <c r="H1795" s="9" t="str">
        <f>VLOOKUP(TablaCosechas[[#This Row],[COD]],DATOS!$E$3:$F$27,2,0)</f>
        <v>DELFIN</v>
      </c>
      <c r="I1795" s="9" t="str">
        <f>RIGHT(TablaCosechas[[#This Row],[SECTOR/PISCINA]],2)</f>
        <v>06</v>
      </c>
      <c r="J1795" s="9" t="str">
        <f>VLOOKUP(TablaCosechas[[#This Row],[COD]],Tabla7[#All],4,0)</f>
        <v>CARLOS FLORES</v>
      </c>
      <c r="K1795" s="179">
        <f>(TablaCosechas[[#This Row],[libras planta]]*454)/M1795</f>
        <v>356575.16433799069</v>
      </c>
      <c r="L1795" s="215">
        <v>23609.360000000001</v>
      </c>
      <c r="M1795" s="205">
        <v>30.06</v>
      </c>
      <c r="N1795" s="9" t="str">
        <f>UPPER(TEXT(TablaCosechas[[#This Row],[COSECHA]],"MMMM"))</f>
        <v>MAYO</v>
      </c>
      <c r="O1795" s="9" t="str">
        <f>IF(A1795="DO 29","BAP",IF(A1795="RO 14","BAP",(VLOOKUP(TablaCosechas[[#This Row],[COD]],Tabla7[[CODIGO]:[CERTIFICACION]],3,0))))</f>
        <v>CONVENCIONAL</v>
      </c>
      <c r="P1795" s="180">
        <f>+L1795-E1795</f>
        <v>3409.3600000000006</v>
      </c>
      <c r="Q1795" s="181">
        <f>+M1795-F1795</f>
        <v>2.0599999999999987</v>
      </c>
      <c r="R1795" s="9"/>
    </row>
    <row r="1796" spans="1:18" x14ac:dyDescent="0.25">
      <c r="A1796" s="9" t="s">
        <v>17</v>
      </c>
      <c r="B1796" s="9">
        <f>ROW() - ROW(TablaCosechas[[#Headers],[ID]]) - 4</f>
        <v>1791</v>
      </c>
      <c r="C1796" s="9" t="str">
        <f>LEFT(A1796,2)</f>
        <v>CH</v>
      </c>
      <c r="D1796" s="182" t="s">
        <v>366</v>
      </c>
      <c r="E1796" s="178">
        <v>26300</v>
      </c>
      <c r="F1796" s="19">
        <v>23</v>
      </c>
      <c r="G1796" s="195">
        <v>46148</v>
      </c>
      <c r="H1796" s="9" t="str">
        <f>VLOOKUP(TablaCosechas[[#This Row],[COD]],DATOS!$E$3:$F$27,2,0)</f>
        <v>CHERNA</v>
      </c>
      <c r="I1796" s="9" t="str">
        <f>RIGHT(TablaCosechas[[#This Row],[SECTOR/PISCINA]],2)</f>
        <v>11</v>
      </c>
      <c r="J1796" s="9" t="str">
        <f>VLOOKUP(TablaCosechas[[#This Row],[COD]],Tabla7[#All],4,0)</f>
        <v>SANTIAGO OBRIEN</v>
      </c>
      <c r="K1796" s="179">
        <f>(TablaCosechas[[#This Row],[libras planta]]*454)/M1796</f>
        <v>526149.13756836345</v>
      </c>
      <c r="L1796" s="215">
        <v>27547.5</v>
      </c>
      <c r="M1796" s="205">
        <v>23.77</v>
      </c>
      <c r="N1796" s="9" t="str">
        <f>UPPER(TEXT(TablaCosechas[[#This Row],[COSECHA]],"MMMM"))</f>
        <v>MAYO</v>
      </c>
      <c r="O1796" s="9" t="str">
        <f>IF(A1796="DO 29","BAP",IF(A1796="RO 14","BAP",(VLOOKUP(TablaCosechas[[#This Row],[COD]],Tabla7[[CODIGO]:[CERTIFICACION]],3,0))))</f>
        <v>ASC</v>
      </c>
      <c r="P1796" s="180">
        <f>+L1796-E1796</f>
        <v>1247.5</v>
      </c>
      <c r="Q1796" s="181">
        <f>+M1796-F1796</f>
        <v>0.76999999999999957</v>
      </c>
      <c r="R1796" s="9"/>
    </row>
    <row r="1797" spans="1:18" x14ac:dyDescent="0.25">
      <c r="A1797" s="9" t="s">
        <v>237</v>
      </c>
      <c r="B1797" s="9">
        <f>ROW() - ROW(TablaCosechas[[#Headers],[ID]]) - 4</f>
        <v>1792</v>
      </c>
      <c r="C1797" s="9" t="str">
        <f>LEFT(A1797,2)</f>
        <v>TI</v>
      </c>
      <c r="D1797" s="182" t="s">
        <v>367</v>
      </c>
      <c r="E1797" s="178">
        <v>12600</v>
      </c>
      <c r="F1797" s="19">
        <v>33</v>
      </c>
      <c r="G1797" s="195">
        <v>46149</v>
      </c>
      <c r="H1797" s="9" t="str">
        <f>VLOOKUP(TablaCosechas[[#This Row],[COD]],DATOS!$E$3:$F$27,2,0)</f>
        <v>TIBURON</v>
      </c>
      <c r="I1797" s="9" t="str">
        <f>RIGHT(TablaCosechas[[#This Row],[SECTOR/PISCINA]],2)</f>
        <v>08</v>
      </c>
      <c r="J1797" s="9" t="str">
        <f>VLOOKUP(TablaCosechas[[#This Row],[COD]],Tabla7[#All],4,0)</f>
        <v>ALFONSO GRUNAUER</v>
      </c>
      <c r="K1797" s="179">
        <f>(TablaCosechas[[#This Row],[libras planta]]*454)/M1797</f>
        <v>141958.90801354402</v>
      </c>
      <c r="L1797" s="178">
        <v>11081.55</v>
      </c>
      <c r="M1797" s="19">
        <v>35.44</v>
      </c>
      <c r="N1797" s="9" t="str">
        <f>UPPER(TEXT(TablaCosechas[[#This Row],[COSECHA]],"MMMM"))</f>
        <v>MAYO</v>
      </c>
      <c r="O1797" s="9" t="str">
        <f>IF(A1797="DO 29","BAP",IF(A1797="RO 14","BAP",(VLOOKUP(TablaCosechas[[#This Row],[COD]],Tabla7[[CODIGO]:[CERTIFICACION]],3,0))))</f>
        <v>ASC</v>
      </c>
      <c r="P1797" s="180">
        <f>+L1797-E1797</f>
        <v>-1518.4500000000007</v>
      </c>
      <c r="Q1797" s="49">
        <f>+M1797-F1797</f>
        <v>2.4399999999999977</v>
      </c>
      <c r="R1797" s="9"/>
    </row>
    <row r="1798" spans="1:18" x14ac:dyDescent="0.25">
      <c r="A1798" s="9" t="s">
        <v>264</v>
      </c>
      <c r="B1798" s="9">
        <f>ROW() - ROW(TablaCosechas[[#Headers],[ID]]) - 4</f>
        <v>1793</v>
      </c>
      <c r="C1798" s="9" t="str">
        <f>LEFT(A1798,2)</f>
        <v>RO</v>
      </c>
      <c r="D1798" s="182" t="s">
        <v>367</v>
      </c>
      <c r="E1798" s="178">
        <v>15900</v>
      </c>
      <c r="F1798" s="19">
        <v>20</v>
      </c>
      <c r="G1798" s="195">
        <v>46149</v>
      </c>
      <c r="H1798" s="9" t="str">
        <f>VLOOKUP(TablaCosechas[[#This Row],[COD]],DATOS!$E$3:$F$27,2,0)</f>
        <v>ROBALO</v>
      </c>
      <c r="I1798" s="9" t="str">
        <f>RIGHT(TablaCosechas[[#This Row],[SECTOR/PISCINA]],2)</f>
        <v>04</v>
      </c>
      <c r="J1798" s="9" t="str">
        <f>VLOOKUP(TablaCosechas[[#This Row],[COD]],Tabla7[#All],4,0)</f>
        <v>VICTOR QUINTANA</v>
      </c>
      <c r="K1798" s="179">
        <f>(TablaCosechas[[#This Row],[libras planta]]*454)/M1798</f>
        <v>381058.75653082546</v>
      </c>
      <c r="L1798" s="178">
        <v>16064.9</v>
      </c>
      <c r="M1798" s="19">
        <v>19.14</v>
      </c>
      <c r="N1798" s="9" t="str">
        <f>UPPER(TEXT(TablaCosechas[[#This Row],[COSECHA]],"MMMM"))</f>
        <v>MAYO</v>
      </c>
      <c r="O1798" s="9" t="str">
        <f>IF(A1798="DO 29","BAP",IF(A1798="RO 14","BAP",(VLOOKUP(TablaCosechas[[#This Row],[COD]],Tabla7[[CODIGO]:[CERTIFICACION]],3,0))))</f>
        <v>ASC</v>
      </c>
      <c r="P1798" s="180">
        <f>+L1798-E1798</f>
        <v>164.89999999999964</v>
      </c>
      <c r="Q1798" s="49">
        <f>+M1798-F1798</f>
        <v>-0.85999999999999943</v>
      </c>
      <c r="R1798" s="9"/>
    </row>
    <row r="1799" spans="1:18" x14ac:dyDescent="0.25">
      <c r="A1799" s="9" t="s">
        <v>217</v>
      </c>
      <c r="B1799" s="9">
        <f>ROW() - ROW(TablaCosechas[[#Headers],[ID]]) - 4</f>
        <v>1794</v>
      </c>
      <c r="C1799" s="9" t="str">
        <f>LEFT(A1799,2)</f>
        <v>PR</v>
      </c>
      <c r="D1799" s="182" t="s">
        <v>366</v>
      </c>
      <c r="E1799" s="178">
        <v>29900</v>
      </c>
      <c r="F1799" s="19">
        <v>30</v>
      </c>
      <c r="G1799" s="195">
        <v>46149</v>
      </c>
      <c r="H1799" s="9" t="str">
        <f>VLOOKUP(TablaCosechas[[#This Row],[COD]],DATOS!$E$3:$F$27,2,0)</f>
        <v>PARGO ROJO</v>
      </c>
      <c r="I1799" s="9" t="str">
        <f>RIGHT(TablaCosechas[[#This Row],[SECTOR/PISCINA]],2)</f>
        <v>06</v>
      </c>
      <c r="J1799" s="9" t="str">
        <f>VLOOKUP(TablaCosechas[[#This Row],[COD]],Tabla7[#All],4,0)</f>
        <v>WILMER TORRES</v>
      </c>
      <c r="K1799" s="179">
        <f>(TablaCosechas[[#This Row],[libras planta]]*454)/M1799</f>
        <v>464295.53439490445</v>
      </c>
      <c r="L1799" s="178">
        <v>32112.07</v>
      </c>
      <c r="M1799" s="19">
        <v>31.4</v>
      </c>
      <c r="N1799" s="9" t="str">
        <f>UPPER(TEXT(TablaCosechas[[#This Row],[COSECHA]],"MMMM"))</f>
        <v>MAYO</v>
      </c>
      <c r="O1799" s="9" t="str">
        <f>IF(A1799="DO 29","BAP",IF(A1799="RO 14","BAP",(VLOOKUP(TablaCosechas[[#This Row],[COD]],Tabla7[[CODIGO]:[CERTIFICACION]],3,0))))</f>
        <v>CONVENCIONAL</v>
      </c>
      <c r="P1799" s="180">
        <f>+L1799-E1799</f>
        <v>2212.0699999999997</v>
      </c>
      <c r="Q1799" s="49">
        <f>+M1799-F1799</f>
        <v>1.3999999999999986</v>
      </c>
      <c r="R1799" s="9"/>
    </row>
    <row r="1800" spans="1:18" x14ac:dyDescent="0.25">
      <c r="A1800" s="9" t="s">
        <v>243</v>
      </c>
      <c r="B1800" s="9">
        <f>ROW() - ROW(TablaCosechas[[#Headers],[ID]]) - 4</f>
        <v>1795</v>
      </c>
      <c r="C1800" s="9" t="str">
        <f>LEFT(A1800,2)</f>
        <v>GT</v>
      </c>
      <c r="D1800" s="182" t="s">
        <v>367</v>
      </c>
      <c r="E1800" s="178">
        <v>2800</v>
      </c>
      <c r="F1800" s="19">
        <v>20</v>
      </c>
      <c r="G1800" s="195">
        <v>46149</v>
      </c>
      <c r="H1800" s="9" t="str">
        <f>VLOOKUP(TablaCosechas[[#This Row],[COD]],DATOS!$E$3:$F$27,2,0)</f>
        <v>GUATO</v>
      </c>
      <c r="I1800" s="9" t="str">
        <f>RIGHT(TablaCosechas[[#This Row],[SECTOR/PISCINA]],2)</f>
        <v>20</v>
      </c>
      <c r="J1800" s="9" t="str">
        <f>VLOOKUP(TablaCosechas[[#This Row],[COD]],Tabla7[#All],4,0)</f>
        <v>JULIO SANTOS</v>
      </c>
      <c r="K1800" s="179">
        <f>(TablaCosechas[[#This Row],[libras planta]]*454)/M1800</f>
        <v>70071.373786407756</v>
      </c>
      <c r="L1800" s="178">
        <v>3179.45</v>
      </c>
      <c r="M1800" s="19">
        <v>20.6</v>
      </c>
      <c r="N1800" s="9" t="str">
        <f>UPPER(TEXT(TablaCosechas[[#This Row],[COSECHA]],"MMMM"))</f>
        <v>MAYO</v>
      </c>
      <c r="O1800" s="9" t="str">
        <f>IF(A1800="DO 29","BAP",IF(A1800="RO 14","BAP",(VLOOKUP(TablaCosechas[[#This Row],[COD]],Tabla7[[CODIGO]:[CERTIFICACION]],3,0))))</f>
        <v>CONVENCIONAL</v>
      </c>
      <c r="P1800" s="180">
        <f>+L1800-E1800</f>
        <v>379.44999999999982</v>
      </c>
      <c r="Q1800" s="49">
        <f>+M1800-F1800</f>
        <v>0.60000000000000142</v>
      </c>
      <c r="R1800" s="9"/>
    </row>
    <row r="1801" spans="1:18" x14ac:dyDescent="0.25">
      <c r="A1801" s="9" t="s">
        <v>233</v>
      </c>
      <c r="B1801" s="9">
        <f>ROW() - ROW(TablaCosechas[[#Headers],[ID]]) - 4</f>
        <v>1796</v>
      </c>
      <c r="C1801" s="9" t="str">
        <f>LEFT(A1801,2)</f>
        <v>GT</v>
      </c>
      <c r="D1801" s="182" t="s">
        <v>367</v>
      </c>
      <c r="E1801" s="178">
        <v>6300</v>
      </c>
      <c r="F1801" s="19">
        <v>24</v>
      </c>
      <c r="G1801" s="195">
        <v>46149</v>
      </c>
      <c r="H1801" s="9" t="str">
        <f>VLOOKUP(TablaCosechas[[#This Row],[COD]],DATOS!$E$3:$F$27,2,0)</f>
        <v>GUATO</v>
      </c>
      <c r="I1801" s="9" t="str">
        <f>RIGHT(TablaCosechas[[#This Row],[SECTOR/PISCINA]],2)</f>
        <v>14</v>
      </c>
      <c r="J1801" s="9" t="str">
        <f>VLOOKUP(TablaCosechas[[#This Row],[COD]],Tabla7[#All],4,0)</f>
        <v>JULIO SANTOS</v>
      </c>
      <c r="K1801" s="179">
        <f>(TablaCosechas[[#This Row],[libras planta]]*454)/M1801</f>
        <v>104097.97674418605</v>
      </c>
      <c r="L1801" s="178">
        <v>5718.51</v>
      </c>
      <c r="M1801" s="19">
        <v>24.94</v>
      </c>
      <c r="N1801" s="9" t="str">
        <f>UPPER(TEXT(TablaCosechas[[#This Row],[COSECHA]],"MMMM"))</f>
        <v>MAYO</v>
      </c>
      <c r="O1801" s="9" t="str">
        <f>IF(A1801="DO 29","BAP",IF(A1801="RO 14","BAP",(VLOOKUP(TablaCosechas[[#This Row],[COD]],Tabla7[[CODIGO]:[CERTIFICACION]],3,0))))</f>
        <v>CONVENCIONAL</v>
      </c>
      <c r="P1801" s="180">
        <f>+L1801-E1801</f>
        <v>-581.48999999999978</v>
      </c>
      <c r="Q1801" s="49">
        <f>+M1801-F1801</f>
        <v>0.94000000000000128</v>
      </c>
      <c r="R1801" s="9"/>
    </row>
    <row r="1802" spans="1:18" x14ac:dyDescent="0.25">
      <c r="A1802" s="9" t="s">
        <v>253</v>
      </c>
      <c r="B1802" s="9">
        <f>ROW() - ROW(TablaCosechas[[#Headers],[ID]]) - 4</f>
        <v>1797</v>
      </c>
      <c r="C1802" s="9" t="str">
        <f>LEFT(A1802,2)</f>
        <v>DO</v>
      </c>
      <c r="D1802" s="182" t="s">
        <v>366</v>
      </c>
      <c r="E1802" s="178">
        <v>19500</v>
      </c>
      <c r="F1802" s="19">
        <v>34</v>
      </c>
      <c r="G1802" s="195">
        <v>46149</v>
      </c>
      <c r="H1802" s="9" t="str">
        <f>VLOOKUP(TablaCosechas[[#This Row],[COD]],DATOS!$E$3:$F$27,2,0)</f>
        <v>DORADO</v>
      </c>
      <c r="I1802" s="9" t="str">
        <f>RIGHT(TablaCosechas[[#This Row],[SECTOR/PISCINA]],2)</f>
        <v>16</v>
      </c>
      <c r="J1802" s="9" t="str">
        <f>VLOOKUP(TablaCosechas[[#This Row],[COD]],Tabla7[#All],4,0)</f>
        <v>JOSE CEDEÑO</v>
      </c>
      <c r="K1802" s="179">
        <f>(TablaCosechas[[#This Row],[libras planta]]*454)/M1802</f>
        <v>300581.69639584603</v>
      </c>
      <c r="L1802" s="178">
        <v>21676.31</v>
      </c>
      <c r="M1802" s="19">
        <v>32.74</v>
      </c>
      <c r="N1802" s="9" t="str">
        <f>UPPER(TEXT(TablaCosechas[[#This Row],[COSECHA]],"MMMM"))</f>
        <v>MAYO</v>
      </c>
      <c r="O1802" s="9" t="str">
        <f>IF(A1802="DO 29","BAP",IF(A1802="RO 14","BAP",(VLOOKUP(TablaCosechas[[#This Row],[COD]],Tabla7[[CODIGO]:[CERTIFICACION]],3,0))))</f>
        <v>ASC</v>
      </c>
      <c r="P1802" s="180">
        <f>+L1802-E1802</f>
        <v>2176.3100000000013</v>
      </c>
      <c r="Q1802" s="49">
        <f>+M1802-F1802</f>
        <v>-1.259999999999998</v>
      </c>
      <c r="R1802" s="9"/>
    </row>
    <row r="1803" spans="1:18" x14ac:dyDescent="0.25">
      <c r="A1803" s="9" t="s">
        <v>250</v>
      </c>
      <c r="B1803" s="9">
        <f>ROW() - ROW(TablaCosechas[[#Headers],[ID]]) - 4</f>
        <v>1798</v>
      </c>
      <c r="C1803" s="9" t="str">
        <f>LEFT(A1803,2)</f>
        <v>DO</v>
      </c>
      <c r="D1803" s="182" t="s">
        <v>367</v>
      </c>
      <c r="E1803" s="178">
        <v>6300</v>
      </c>
      <c r="F1803" s="19">
        <v>27</v>
      </c>
      <c r="G1803" s="195">
        <v>46149</v>
      </c>
      <c r="H1803" s="9" t="str">
        <f>VLOOKUP(TablaCosechas[[#This Row],[COD]],DATOS!$E$3:$F$27,2,0)</f>
        <v>DORADO</v>
      </c>
      <c r="I1803" s="9" t="str">
        <f>RIGHT(TablaCosechas[[#This Row],[SECTOR/PISCINA]],2)</f>
        <v>10</v>
      </c>
      <c r="J1803" s="9" t="str">
        <f>VLOOKUP(TablaCosechas[[#This Row],[COD]],Tabla7[#All],4,0)</f>
        <v>JOSE CEDEÑO</v>
      </c>
      <c r="K1803" s="179">
        <f>(TablaCosechas[[#This Row],[libras planta]]*454)/M1803</f>
        <v>112792.24507512522</v>
      </c>
      <c r="L1803" s="178">
        <v>7440.81</v>
      </c>
      <c r="M1803" s="19">
        <v>29.95</v>
      </c>
      <c r="N1803" s="9" t="str">
        <f>UPPER(TEXT(TablaCosechas[[#This Row],[COSECHA]],"MMMM"))</f>
        <v>MAYO</v>
      </c>
      <c r="O1803" s="9" t="str">
        <f>IF(A1803="DO 29","BAP",IF(A1803="RO 14","BAP",(VLOOKUP(TablaCosechas[[#This Row],[COD]],Tabla7[[CODIGO]:[CERTIFICACION]],3,0))))</f>
        <v>ASC</v>
      </c>
      <c r="P1803" s="180">
        <f>+L1803-E1803</f>
        <v>1140.8100000000004</v>
      </c>
      <c r="Q1803" s="49">
        <f>+M1803-F1803</f>
        <v>2.9499999999999993</v>
      </c>
      <c r="R1803" s="9"/>
    </row>
    <row r="1804" spans="1:18" x14ac:dyDescent="0.25">
      <c r="A1804" s="9" t="s">
        <v>15</v>
      </c>
      <c r="B1804" s="9">
        <f>ROW() - ROW(TablaCosechas[[#Headers],[ID]]) - 4</f>
        <v>1799</v>
      </c>
      <c r="C1804" s="9" t="str">
        <f>LEFT(A1804,2)</f>
        <v>CH</v>
      </c>
      <c r="D1804" s="182" t="s">
        <v>366</v>
      </c>
      <c r="E1804" s="178">
        <v>43600</v>
      </c>
      <c r="F1804" s="19">
        <v>25</v>
      </c>
      <c r="G1804" s="195">
        <v>46149</v>
      </c>
      <c r="H1804" s="9" t="str">
        <f>VLOOKUP(TablaCosechas[[#This Row],[COD]],DATOS!$E$3:$F$27,2,0)</f>
        <v>CHERNA</v>
      </c>
      <c r="I1804" s="9" t="str">
        <f>RIGHT(TablaCosechas[[#This Row],[SECTOR/PISCINA]],2)</f>
        <v>09</v>
      </c>
      <c r="J1804" s="9" t="str">
        <f>VLOOKUP(TablaCosechas[[#This Row],[COD]],Tabla7[#All],4,0)</f>
        <v>SANTIAGO OBRIEN</v>
      </c>
      <c r="K1804" s="179">
        <f>(TablaCosechas[[#This Row],[libras planta]]*454)/M1804</f>
        <v>809948.10907643312</v>
      </c>
      <c r="L1804" s="178">
        <v>44814.75</v>
      </c>
      <c r="M1804" s="19">
        <v>25.12</v>
      </c>
      <c r="N1804" s="9" t="str">
        <f>UPPER(TEXT(TablaCosechas[[#This Row],[COSECHA]],"MMMM"))</f>
        <v>MAYO</v>
      </c>
      <c r="O1804" s="9" t="str">
        <f>IF(A1804="DO 29","BAP",IF(A1804="RO 14","BAP",(VLOOKUP(TablaCosechas[[#This Row],[COD]],Tabla7[[CODIGO]:[CERTIFICACION]],3,0))))</f>
        <v>ASC</v>
      </c>
      <c r="P1804" s="180">
        <f>+L1804-E1804</f>
        <v>1214.75</v>
      </c>
      <c r="Q1804" s="49">
        <f>+M1804-F1804</f>
        <v>0.12000000000000099</v>
      </c>
      <c r="R1804" s="9"/>
    </row>
    <row r="1805" spans="1:18" x14ac:dyDescent="0.25">
      <c r="A1805" s="9" t="s">
        <v>205</v>
      </c>
      <c r="B1805" s="9">
        <f>ROW() - ROW(TablaCosechas[[#Headers],[ID]]) - 4</f>
        <v>1800</v>
      </c>
      <c r="C1805" s="9" t="str">
        <f>LEFT(A1805,2)</f>
        <v>BA</v>
      </c>
      <c r="D1805" s="182" t="s">
        <v>366</v>
      </c>
      <c r="E1805" s="178">
        <v>11700</v>
      </c>
      <c r="F1805" s="19">
        <v>26</v>
      </c>
      <c r="G1805" s="195">
        <v>46149</v>
      </c>
      <c r="H1805" s="9" t="str">
        <f>VLOOKUP(TablaCosechas[[#This Row],[COD]],DATOS!$E$3:$F$27,2,0)</f>
        <v>BARRACUDA</v>
      </c>
      <c r="I1805" s="9" t="str">
        <f>RIGHT(TablaCosechas[[#This Row],[SECTOR/PISCINA]],2)</f>
        <v>03</v>
      </c>
      <c r="J1805" s="9" t="str">
        <f>VLOOKUP(TablaCosechas[[#This Row],[COD]],Tabla7[#All],4,0)</f>
        <v>GUSTAVO CARRASCO</v>
      </c>
      <c r="K1805" s="179">
        <f>(TablaCosechas[[#This Row],[libras planta]]*454)/M1805</f>
        <v>189489.48705722071</v>
      </c>
      <c r="L1805" s="178">
        <v>12254.21</v>
      </c>
      <c r="M1805" s="19">
        <v>29.36</v>
      </c>
      <c r="N1805" s="9" t="str">
        <f>UPPER(TEXT(TablaCosechas[[#This Row],[COSECHA]],"MMMM"))</f>
        <v>MAYO</v>
      </c>
      <c r="O1805" s="9" t="str">
        <f>IF(A1805="DO 29","BAP",IF(A1805="RO 14","BAP",(VLOOKUP(TablaCosechas[[#This Row],[COD]],Tabla7[[CODIGO]:[CERTIFICACION]],3,0))))</f>
        <v>CONVENCIONAL</v>
      </c>
      <c r="P1805" s="180">
        <f>+L1805-E1805</f>
        <v>554.20999999999913</v>
      </c>
      <c r="Q1805" s="49">
        <f>+M1805-F1805</f>
        <v>3.3599999999999994</v>
      </c>
      <c r="R1805" s="9"/>
    </row>
    <row r="1806" spans="1:18" x14ac:dyDescent="0.25">
      <c r="A1806" s="9" t="s">
        <v>207</v>
      </c>
      <c r="B1806" s="9">
        <f>ROW() - ROW(TablaCosechas[[#Headers],[ID]]) - 4</f>
        <v>1801</v>
      </c>
      <c r="C1806" s="9" t="str">
        <f>LEFT(A1806,2)</f>
        <v>BA</v>
      </c>
      <c r="D1806" s="182" t="s">
        <v>366</v>
      </c>
      <c r="E1806" s="178">
        <v>16750</v>
      </c>
      <c r="F1806" s="19">
        <v>29</v>
      </c>
      <c r="G1806" s="195">
        <v>46149</v>
      </c>
      <c r="H1806" s="9" t="str">
        <f>VLOOKUP(TablaCosechas[[#This Row],[COD]],DATOS!$E$3:$F$27,2,0)</f>
        <v>BARRACUDA</v>
      </c>
      <c r="I1806" s="9" t="str">
        <f>RIGHT(TablaCosechas[[#This Row],[SECTOR/PISCINA]],2)</f>
        <v>02</v>
      </c>
      <c r="J1806" s="9" t="str">
        <f>VLOOKUP(TablaCosechas[[#This Row],[COD]],Tabla7[#All],4,0)</f>
        <v>GUSTAVO CARRASCO</v>
      </c>
      <c r="K1806" s="179">
        <f>(TablaCosechas[[#This Row],[libras planta]]*454)/M1806</f>
        <v>281714.53434111073</v>
      </c>
      <c r="L1806" s="178">
        <v>18882.32</v>
      </c>
      <c r="M1806" s="19">
        <v>30.43</v>
      </c>
      <c r="N1806" s="9" t="str">
        <f>UPPER(TEXT(TablaCosechas[[#This Row],[COSECHA]],"MMMM"))</f>
        <v>MAYO</v>
      </c>
      <c r="O1806" s="9" t="str">
        <f>IF(A1806="DO 29","BAP",IF(A1806="RO 14","BAP",(VLOOKUP(TablaCosechas[[#This Row],[COD]],Tabla7[[CODIGO]:[CERTIFICACION]],3,0))))</f>
        <v>CONVENCIONAL</v>
      </c>
      <c r="P1806" s="180">
        <f>+L1806-E1806</f>
        <v>2132.3199999999997</v>
      </c>
      <c r="Q1806" s="181">
        <f>+M1806-F1806</f>
        <v>1.4299999999999997</v>
      </c>
      <c r="R1806" s="9"/>
    </row>
    <row r="1807" spans="1:18" x14ac:dyDescent="0.25">
      <c r="A1807" s="9" t="s">
        <v>163</v>
      </c>
      <c r="B1807" s="9">
        <f>ROW() - ROW(TablaCosechas[[#Headers],[ID]]) - 4</f>
        <v>1802</v>
      </c>
      <c r="C1807" s="9" t="str">
        <f>LEFT(A1807,2)</f>
        <v>WA</v>
      </c>
      <c r="D1807" s="182" t="s">
        <v>367</v>
      </c>
      <c r="E1807" s="178">
        <v>13350</v>
      </c>
      <c r="F1807" s="19">
        <v>26</v>
      </c>
      <c r="G1807" s="195">
        <v>46150</v>
      </c>
      <c r="H1807" s="9" t="str">
        <f>VLOOKUP(TablaCosechas[[#This Row],[COD]],DATOS!$E$3:$F$27,2,0)</f>
        <v>WAHOO</v>
      </c>
      <c r="I1807" s="9" t="str">
        <f>RIGHT(TablaCosechas[[#This Row],[SECTOR/PISCINA]],2)</f>
        <v>37</v>
      </c>
      <c r="J1807" s="9" t="str">
        <f>VLOOKUP(TablaCosechas[[#This Row],[COD]],Tabla7[#All],4,0)</f>
        <v>JUNIOR ESQUIVEL</v>
      </c>
      <c r="K1807" s="179">
        <f>(TablaCosechas[[#This Row],[libras planta]]*454)/M1807</f>
        <v>261845.78814627999</v>
      </c>
      <c r="L1807" s="178">
        <v>13720.95</v>
      </c>
      <c r="M1807" s="19">
        <v>23.79</v>
      </c>
      <c r="N1807" s="9" t="str">
        <f>UPPER(TEXT(TablaCosechas[[#This Row],[COSECHA]],"MMMM"))</f>
        <v>MAYO</v>
      </c>
      <c r="O1807" s="9" t="str">
        <f>IF(A1807="DO 29","BAP",IF(A1807="RO 14","BAP",(VLOOKUP(TablaCosechas[[#This Row],[COD]],Tabla7[[CODIGO]:[CERTIFICACION]],3,0))))</f>
        <v>CONVENCIONAL</v>
      </c>
      <c r="P1807" s="180">
        <f>+L1807-E1807</f>
        <v>370.95000000000073</v>
      </c>
      <c r="Q1807" s="181">
        <f>+M1807-F1807</f>
        <v>-2.2100000000000009</v>
      </c>
      <c r="R1807" s="9"/>
    </row>
    <row r="1808" spans="1:18" x14ac:dyDescent="0.25">
      <c r="A1808" s="9" t="s">
        <v>275</v>
      </c>
      <c r="B1808" s="9">
        <f>ROW() - ROW(TablaCosechas[[#Headers],[ID]]) - 4</f>
        <v>1803</v>
      </c>
      <c r="C1808" s="9" t="str">
        <f>LEFT(A1808,2)</f>
        <v>PR</v>
      </c>
      <c r="D1808" s="182" t="s">
        <v>367</v>
      </c>
      <c r="E1808" s="178">
        <v>3800</v>
      </c>
      <c r="F1808" s="19">
        <v>13</v>
      </c>
      <c r="G1808" s="195">
        <v>46150</v>
      </c>
      <c r="H1808" s="9" t="str">
        <f>VLOOKUP(TablaCosechas[[#This Row],[COD]],DATOS!$E$3:$F$27,2,0)</f>
        <v>PARGO ROJO</v>
      </c>
      <c r="I1808" s="9" t="str">
        <f>RIGHT(TablaCosechas[[#This Row],[SECTOR/PISCINA]],2)</f>
        <v>20</v>
      </c>
      <c r="J1808" s="9" t="str">
        <f>VLOOKUP(TablaCosechas[[#This Row],[COD]],Tabla7[#All],4,0)</f>
        <v>WILMER TORRES</v>
      </c>
      <c r="K1808" s="179">
        <f>(TablaCosechas[[#This Row],[libras planta]]*454)/M1808</f>
        <v>112881.04666666668</v>
      </c>
      <c r="L1808" s="178">
        <v>3729.55</v>
      </c>
      <c r="M1808" s="19">
        <v>15</v>
      </c>
      <c r="N1808" s="9" t="str">
        <f>UPPER(TEXT(TablaCosechas[[#This Row],[COSECHA]],"MMMM"))</f>
        <v>MAYO</v>
      </c>
      <c r="O1808" s="9" t="str">
        <f>IF(A1808="DO 29","BAP",IF(A1808="RO 14","BAP",(VLOOKUP(TablaCosechas[[#This Row],[COD]],Tabla7[[CODIGO]:[CERTIFICACION]],3,0))))</f>
        <v>CONVENCIONAL</v>
      </c>
      <c r="P1808" s="180">
        <f>+L1808-E1808</f>
        <v>-70.449999999999818</v>
      </c>
      <c r="Q1808" s="49">
        <f>+M1808-F1808</f>
        <v>2</v>
      </c>
      <c r="R1808" s="9"/>
    </row>
    <row r="1809" spans="1:18" x14ac:dyDescent="0.25">
      <c r="A1809" s="9" t="s">
        <v>284</v>
      </c>
      <c r="B1809" s="9">
        <f>ROW() - ROW(TablaCosechas[[#Headers],[ID]]) - 4</f>
        <v>1804</v>
      </c>
      <c r="C1809" s="9" t="str">
        <f>LEFT(A1809,2)</f>
        <v>PR</v>
      </c>
      <c r="D1809" s="182" t="s">
        <v>367</v>
      </c>
      <c r="E1809" s="178">
        <v>2800</v>
      </c>
      <c r="F1809" s="19">
        <v>16</v>
      </c>
      <c r="G1809" s="195">
        <v>46150</v>
      </c>
      <c r="H1809" s="9" t="str">
        <f>VLOOKUP(TablaCosechas[[#This Row],[COD]],DATOS!$E$3:$F$27,2,0)</f>
        <v>PARGO ROJO</v>
      </c>
      <c r="I1809" s="9" t="str">
        <f>RIGHT(TablaCosechas[[#This Row],[SECTOR/PISCINA]],2)</f>
        <v>18</v>
      </c>
      <c r="J1809" s="9" t="str">
        <f>VLOOKUP(TablaCosechas[[#This Row],[COD]],Tabla7[#All],4,0)</f>
        <v>WILMER TORRES</v>
      </c>
      <c r="K1809" s="179">
        <f>(TablaCosechas[[#This Row],[libras planta]]*454)/M1809</f>
        <v>74573.442928039687</v>
      </c>
      <c r="L1809" s="178">
        <v>2647.85</v>
      </c>
      <c r="M1809" s="19">
        <v>16.12</v>
      </c>
      <c r="N1809" s="9" t="str">
        <f>UPPER(TEXT(TablaCosechas[[#This Row],[COSECHA]],"MMMM"))</f>
        <v>MAYO</v>
      </c>
      <c r="O1809" s="9" t="str">
        <f>IF(A1809="DO 29","BAP",IF(A1809="RO 14","BAP",(VLOOKUP(TablaCosechas[[#This Row],[COD]],Tabla7[[CODIGO]:[CERTIFICACION]],3,0))))</f>
        <v>CONVENCIONAL</v>
      </c>
      <c r="P1809" s="180">
        <f>+L1809-E1809</f>
        <v>-152.15000000000009</v>
      </c>
      <c r="Q1809" s="49">
        <f>+M1809-F1809</f>
        <v>0.12000000000000099</v>
      </c>
      <c r="R1809" s="9"/>
    </row>
    <row r="1810" spans="1:18" x14ac:dyDescent="0.25">
      <c r="A1810" s="9" t="s">
        <v>272</v>
      </c>
      <c r="B1810" s="9">
        <f>ROW() - ROW(TablaCosechas[[#Headers],[ID]]) - 4</f>
        <v>1805</v>
      </c>
      <c r="C1810" s="9" t="str">
        <f>LEFT(A1810,2)</f>
        <v>PR</v>
      </c>
      <c r="D1810" s="182" t="s">
        <v>367</v>
      </c>
      <c r="E1810" s="178">
        <v>3800</v>
      </c>
      <c r="F1810" s="19">
        <v>13</v>
      </c>
      <c r="G1810" s="195">
        <v>46150</v>
      </c>
      <c r="H1810" s="9" t="str">
        <f>VLOOKUP(TablaCosechas[[#This Row],[COD]],DATOS!$E$3:$F$27,2,0)</f>
        <v>PARGO ROJO</v>
      </c>
      <c r="I1810" s="9" t="str">
        <f>RIGHT(TablaCosechas[[#This Row],[SECTOR/PISCINA]],2)</f>
        <v>07</v>
      </c>
      <c r="J1810" s="9" t="str">
        <f>VLOOKUP(TablaCosechas[[#This Row],[COD]],Tabla7[#All],4,0)</f>
        <v>WILMER TORRES</v>
      </c>
      <c r="K1810" s="179">
        <f>(TablaCosechas[[#This Row],[libras planta]]*454)/M1810</f>
        <v>117539.26470588233</v>
      </c>
      <c r="L1810" s="178">
        <v>3873.1</v>
      </c>
      <c r="M1810" s="19">
        <v>14.96</v>
      </c>
      <c r="N1810" s="9" t="str">
        <f>UPPER(TEXT(TablaCosechas[[#This Row],[COSECHA]],"MMMM"))</f>
        <v>MAYO</v>
      </c>
      <c r="O1810" s="9" t="str">
        <f>IF(A1810="DO 29","BAP",IF(A1810="RO 14","BAP",(VLOOKUP(TablaCosechas[[#This Row],[COD]],Tabla7[[CODIGO]:[CERTIFICACION]],3,0))))</f>
        <v>CONVENCIONAL</v>
      </c>
      <c r="P1810" s="180">
        <f>+L1810-E1810</f>
        <v>73.099999999999909</v>
      </c>
      <c r="Q1810" s="49">
        <f>+M1810-F1810</f>
        <v>1.9600000000000009</v>
      </c>
      <c r="R1810" s="9"/>
    </row>
    <row r="1811" spans="1:18" x14ac:dyDescent="0.25">
      <c r="A1811" s="9" t="s">
        <v>213</v>
      </c>
      <c r="B1811" s="9">
        <f>ROW() - ROW(TablaCosechas[[#Headers],[ID]]) - 4</f>
        <v>1806</v>
      </c>
      <c r="C1811" s="9" t="str">
        <f>LEFT(A1811,2)</f>
        <v>CA</v>
      </c>
      <c r="D1811" s="182" t="s">
        <v>366</v>
      </c>
      <c r="E1811" s="178">
        <v>37000</v>
      </c>
      <c r="F1811" s="19">
        <v>30</v>
      </c>
      <c r="G1811" s="195">
        <v>46150</v>
      </c>
      <c r="H1811" s="9" t="str">
        <f>VLOOKUP(TablaCosechas[[#This Row],[COD]],DATOS!$E$3:$F$27,2,0)</f>
        <v>CATANUDA</v>
      </c>
      <c r="I1811" s="9" t="str">
        <f>RIGHT(TablaCosechas[[#This Row],[SECTOR/PISCINA]],2)</f>
        <v>07</v>
      </c>
      <c r="J1811" s="9" t="str">
        <f>VLOOKUP(TablaCosechas[[#This Row],[COD]],Tabla7[#All],4,0)</f>
        <v>VICTOR QUINTANA</v>
      </c>
      <c r="K1811" s="179">
        <f>(TablaCosechas[[#This Row],[libras planta]]*454)/M1811</f>
        <v>602415.77079365088</v>
      </c>
      <c r="L1811" s="178">
        <v>41797.57</v>
      </c>
      <c r="M1811" s="19">
        <v>31.5</v>
      </c>
      <c r="N1811" s="9" t="str">
        <f>UPPER(TEXT(TablaCosechas[[#This Row],[COSECHA]],"MMMM"))</f>
        <v>MAYO</v>
      </c>
      <c r="O1811" s="9" t="str">
        <f>IF(A1811="DO 29","BAP",IF(A1811="RO 14","BAP",(VLOOKUP(TablaCosechas[[#This Row],[COD]],Tabla7[[CODIGO]:[CERTIFICACION]],3,0))))</f>
        <v>ASC</v>
      </c>
      <c r="P1811" s="180">
        <f>+L1811-E1811</f>
        <v>4797.57</v>
      </c>
      <c r="Q1811" s="49">
        <f>+M1811-F1811</f>
        <v>1.5</v>
      </c>
      <c r="R1811" s="9"/>
    </row>
    <row r="1812" spans="1:18" x14ac:dyDescent="0.25">
      <c r="A1812" s="9" t="s">
        <v>209</v>
      </c>
      <c r="B1812" s="9">
        <f>ROW() - ROW(TablaCosechas[[#Headers],[ID]]) - 4</f>
        <v>1807</v>
      </c>
      <c r="C1812" s="9" t="str">
        <f>LEFT(A1812,2)</f>
        <v>BA</v>
      </c>
      <c r="D1812" s="182" t="s">
        <v>366</v>
      </c>
      <c r="E1812" s="178">
        <f>18800+300</f>
        <v>19100</v>
      </c>
      <c r="F1812" s="19">
        <v>28</v>
      </c>
      <c r="G1812" s="195">
        <v>46150</v>
      </c>
      <c r="H1812" s="9" t="str">
        <f>VLOOKUP(TablaCosechas[[#This Row],[COD]],DATOS!$E$3:$F$27,2,0)</f>
        <v>BARRACUDA</v>
      </c>
      <c r="I1812" s="9" t="str">
        <f>RIGHT(TablaCosechas[[#This Row],[SECTOR/PISCINA]],2)</f>
        <v>05</v>
      </c>
      <c r="J1812" s="9" t="str">
        <f>VLOOKUP(TablaCosechas[[#This Row],[COD]],Tabla7[#All],4,0)</f>
        <v>GUSTAVO CARRASCO</v>
      </c>
      <c r="K1812" s="179">
        <f>(TablaCosechas[[#This Row],[libras planta]]*454)/M1812</f>
        <v>314317.68435852369</v>
      </c>
      <c r="L1812" s="178">
        <v>19696.78</v>
      </c>
      <c r="M1812" s="19">
        <v>28.45</v>
      </c>
      <c r="N1812" s="9" t="str">
        <f>UPPER(TEXT(TablaCosechas[[#This Row],[COSECHA]],"MMMM"))</f>
        <v>MAYO</v>
      </c>
      <c r="O1812" s="9" t="str">
        <f>IF(A1812="DO 29","BAP",IF(A1812="RO 14","BAP",(VLOOKUP(TablaCosechas[[#This Row],[COD]],Tabla7[[CODIGO]:[CERTIFICACION]],3,0))))</f>
        <v>CONVENCIONAL</v>
      </c>
      <c r="P1812" s="180">
        <f>+L1812-E1812</f>
        <v>596.77999999999884</v>
      </c>
      <c r="Q1812" s="49">
        <f>+M1812-F1812</f>
        <v>0.44999999999999929</v>
      </c>
      <c r="R1812" s="9"/>
    </row>
    <row r="1813" spans="1:18" x14ac:dyDescent="0.25">
      <c r="A1813" s="9" t="s">
        <v>218</v>
      </c>
      <c r="B1813" s="9">
        <f>ROW() - ROW(TablaCosechas[[#Headers],[ID]]) - 4</f>
        <v>1808</v>
      </c>
      <c r="C1813" s="9" t="str">
        <f>LEFT(A1813,2)</f>
        <v>TU</v>
      </c>
      <c r="D1813" s="182" t="s">
        <v>367</v>
      </c>
      <c r="E1813" s="178">
        <v>8000</v>
      </c>
      <c r="F1813" s="19">
        <v>24</v>
      </c>
      <c r="G1813" s="195">
        <v>46153</v>
      </c>
      <c r="H1813" s="9" t="str">
        <f>VLOOKUP(TablaCosechas[[#This Row],[COD]],DATOS!$E$3:$F$27,2,0)</f>
        <v>TUNA</v>
      </c>
      <c r="I1813" s="9" t="str">
        <f>RIGHT(TablaCosechas[[#This Row],[SECTOR/PISCINA]],2)</f>
        <v>06</v>
      </c>
      <c r="J1813" s="9" t="str">
        <f>VLOOKUP(TablaCosechas[[#This Row],[COD]],Tabla7[#All],4,0)</f>
        <v>GUSTAVO CARRASCO</v>
      </c>
      <c r="K1813" s="179">
        <f>(TablaCosechas[[#This Row],[libras planta]]*454)/M1813</f>
        <v>131657.45990302126</v>
      </c>
      <c r="L1813" s="215">
        <v>7774.75</v>
      </c>
      <c r="M1813" s="205">
        <v>26.81</v>
      </c>
      <c r="N1813" s="9" t="str">
        <f>UPPER(TEXT(TablaCosechas[[#This Row],[COSECHA]],"MMMM"))</f>
        <v>MAYO</v>
      </c>
      <c r="O1813" s="9" t="str">
        <f>IF(A1813="DO 29","BAP",IF(A1813="RO 14","BAP",(VLOOKUP(TablaCosechas[[#This Row],[COD]],Tabla7[[CODIGO]:[CERTIFICACION]],3,0))))</f>
        <v>ASC</v>
      </c>
      <c r="P1813" s="180">
        <f>+L1813-E1813</f>
        <v>-225.25</v>
      </c>
      <c r="Q1813" s="49">
        <f>+M1813-F1813</f>
        <v>2.8099999999999987</v>
      </c>
      <c r="R1813" s="9"/>
    </row>
    <row r="1814" spans="1:18" x14ac:dyDescent="0.25">
      <c r="A1814" s="9" t="s">
        <v>300</v>
      </c>
      <c r="B1814" s="9">
        <f>ROW() - ROW(TablaCosechas[[#Headers],[ID]]) - 4</f>
        <v>1809</v>
      </c>
      <c r="C1814" s="9" t="str">
        <f>LEFT(A1814,2)</f>
        <v>TI</v>
      </c>
      <c r="D1814" s="182" t="s">
        <v>367</v>
      </c>
      <c r="E1814" s="178">
        <v>11200</v>
      </c>
      <c r="F1814" s="19">
        <v>19</v>
      </c>
      <c r="G1814" s="195">
        <v>46153</v>
      </c>
      <c r="H1814" s="9" t="str">
        <f>VLOOKUP(TablaCosechas[[#This Row],[COD]],DATOS!$E$3:$F$27,2,0)</f>
        <v>TIBURON</v>
      </c>
      <c r="I1814" s="9" t="str">
        <f>RIGHT(TablaCosechas[[#This Row],[SECTOR/PISCINA]],2)</f>
        <v>15</v>
      </c>
      <c r="J1814" s="9" t="str">
        <f>VLOOKUP(TablaCosechas[[#This Row],[COD]],Tabla7[#All],4,0)</f>
        <v>ALFONSO GRUNAUER</v>
      </c>
      <c r="K1814" s="179">
        <f>(TablaCosechas[[#This Row],[libras planta]]*454)/M1814</f>
        <v>279202.15695952612</v>
      </c>
      <c r="L1814" s="215">
        <v>12459.55</v>
      </c>
      <c r="M1814" s="205">
        <v>20.260000000000002</v>
      </c>
      <c r="N1814" s="9" t="str">
        <f>UPPER(TEXT(TablaCosechas[[#This Row],[COSECHA]],"MMMM"))</f>
        <v>MAYO</v>
      </c>
      <c r="O1814" s="9" t="str">
        <f>IF(A1814="DO 29","BAP",IF(A1814="RO 14","BAP",(VLOOKUP(TablaCosechas[[#This Row],[COD]],Tabla7[[CODIGO]:[CERTIFICACION]],3,0))))</f>
        <v>ASC</v>
      </c>
      <c r="P1814" s="180">
        <f>+L1814-E1814</f>
        <v>1259.5499999999993</v>
      </c>
      <c r="Q1814" s="49">
        <f>+M1814-F1814</f>
        <v>1.2600000000000016</v>
      </c>
      <c r="R1814" s="9"/>
    </row>
    <row r="1815" spans="1:18" x14ac:dyDescent="0.25">
      <c r="A1815" s="9" t="s">
        <v>237</v>
      </c>
      <c r="B1815" s="9">
        <f>ROW() - ROW(TablaCosechas[[#Headers],[ID]]) - 4</f>
        <v>1810</v>
      </c>
      <c r="C1815" s="9" t="str">
        <f>LEFT(A1815,2)</f>
        <v>TI</v>
      </c>
      <c r="D1815" s="182" t="s">
        <v>366</v>
      </c>
      <c r="E1815" s="178">
        <v>13700</v>
      </c>
      <c r="F1815" s="19">
        <v>35</v>
      </c>
      <c r="G1815" s="195">
        <v>46153</v>
      </c>
      <c r="H1815" s="9" t="str">
        <f>VLOOKUP(TablaCosechas[[#This Row],[COD]],DATOS!$E$3:$F$27,2,0)</f>
        <v>TIBURON</v>
      </c>
      <c r="I1815" s="9" t="str">
        <f>RIGHT(TablaCosechas[[#This Row],[SECTOR/PISCINA]],2)</f>
        <v>08</v>
      </c>
      <c r="J1815" s="9" t="str">
        <f>VLOOKUP(TablaCosechas[[#This Row],[COD]],Tabla7[#All],4,0)</f>
        <v>ALFONSO GRUNAUER</v>
      </c>
      <c r="K1815" s="179">
        <f>(TablaCosechas[[#This Row],[libras planta]]*454)/M1815</f>
        <v>195559.46275270006</v>
      </c>
      <c r="L1815" s="215">
        <v>15554.3</v>
      </c>
      <c r="M1815" s="205">
        <v>36.11</v>
      </c>
      <c r="N1815" s="9" t="str">
        <f>UPPER(TEXT(TablaCosechas[[#This Row],[COSECHA]],"MMMM"))</f>
        <v>MAYO</v>
      </c>
      <c r="O1815" s="9" t="str">
        <f>IF(A1815="DO 29","BAP",IF(A1815="RO 14","BAP",(VLOOKUP(TablaCosechas[[#This Row],[COD]],Tabla7[[CODIGO]:[CERTIFICACION]],3,0))))</f>
        <v>ASC</v>
      </c>
      <c r="P1815" s="180">
        <f>+L1815-E1815</f>
        <v>1854.2999999999993</v>
      </c>
      <c r="Q1815" s="49">
        <f>+M1815-F1815</f>
        <v>1.1099999999999994</v>
      </c>
      <c r="R1815" s="9"/>
    </row>
    <row r="1816" spans="1:18" x14ac:dyDescent="0.25">
      <c r="A1816" s="9" t="s">
        <v>246</v>
      </c>
      <c r="B1816" s="9">
        <f>ROW() - ROW(TablaCosechas[[#Headers],[ID]]) - 4</f>
        <v>1811</v>
      </c>
      <c r="C1816" s="9" t="str">
        <f>LEFT(A1816,2)</f>
        <v>MA</v>
      </c>
      <c r="D1816" s="182" t="s">
        <v>367</v>
      </c>
      <c r="E1816" s="178">
        <v>6650</v>
      </c>
      <c r="F1816" s="19">
        <v>22</v>
      </c>
      <c r="G1816" s="195">
        <v>46153</v>
      </c>
      <c r="H1816" s="9" t="str">
        <f>VLOOKUP(TablaCosechas[[#This Row],[COD]],DATOS!$E$3:$F$27,2,0)</f>
        <v>MANTARRAYA</v>
      </c>
      <c r="I1816" s="9" t="str">
        <f>RIGHT(TablaCosechas[[#This Row],[SECTOR/PISCINA]],2)</f>
        <v>09</v>
      </c>
      <c r="J1816" s="9" t="str">
        <f>VLOOKUP(TablaCosechas[[#This Row],[COD]],Tabla7[#All],4,0)</f>
        <v>GUSTAVO CARRASCO</v>
      </c>
      <c r="K1816" s="179">
        <f>(TablaCosechas[[#This Row],[libras planta]]*454)/M1816</f>
        <v>139808.48198198198</v>
      </c>
      <c r="L1816" s="215">
        <v>6836.45</v>
      </c>
      <c r="M1816" s="205">
        <v>22.2</v>
      </c>
      <c r="N1816" s="9" t="str">
        <f>UPPER(TEXT(TablaCosechas[[#This Row],[COSECHA]],"MMMM"))</f>
        <v>MAYO</v>
      </c>
      <c r="O1816" s="9" t="str">
        <f>IF(A1816="DO 29","BAP",IF(A1816="RO 14","BAP",(VLOOKUP(TablaCosechas[[#This Row],[COD]],Tabla7[[CODIGO]:[CERTIFICACION]],3,0))))</f>
        <v>ASC</v>
      </c>
      <c r="P1816" s="180">
        <f>+L1816-E1816</f>
        <v>186.44999999999982</v>
      </c>
      <c r="Q1816" s="49">
        <f>+M1816-F1816</f>
        <v>0.19999999999999929</v>
      </c>
      <c r="R1816" s="9"/>
    </row>
    <row r="1817" spans="1:18" x14ac:dyDescent="0.25">
      <c r="A1817" s="9" t="s">
        <v>297</v>
      </c>
      <c r="B1817" s="9">
        <f>ROW() - ROW(TablaCosechas[[#Headers],[ID]]) - 4</f>
        <v>1812</v>
      </c>
      <c r="C1817" s="9" t="str">
        <f>LEFT(A1817,2)</f>
        <v>DO</v>
      </c>
      <c r="D1817" s="182" t="s">
        <v>367</v>
      </c>
      <c r="E1817" s="178">
        <v>12600</v>
      </c>
      <c r="F1817" s="19">
        <v>21</v>
      </c>
      <c r="G1817" s="195">
        <v>46153</v>
      </c>
      <c r="H1817" s="9" t="str">
        <f>VLOOKUP(TablaCosechas[[#This Row],[COD]],DATOS!$E$3:$F$27,2,0)</f>
        <v>DORADO</v>
      </c>
      <c r="I1817" s="9" t="str">
        <f>RIGHT(TablaCosechas[[#This Row],[SECTOR/PISCINA]],2)</f>
        <v>18</v>
      </c>
      <c r="J1817" s="9" t="str">
        <f>VLOOKUP(TablaCosechas[[#This Row],[COD]],Tabla7[#All],4,0)</f>
        <v>JOSE CEDEÑO</v>
      </c>
      <c r="K1817" s="179">
        <f>(TablaCosechas[[#This Row],[libras planta]]*454)/M1817</f>
        <v>259737.88550323175</v>
      </c>
      <c r="L1817" s="215">
        <v>12391.9</v>
      </c>
      <c r="M1817" s="205">
        <v>21.66</v>
      </c>
      <c r="N1817" s="9" t="str">
        <f>UPPER(TEXT(TablaCosechas[[#This Row],[COSECHA]],"MMMM"))</f>
        <v>MAYO</v>
      </c>
      <c r="O1817" s="9" t="str">
        <f>IF(A1817="DO 29","BAP",IF(A1817="RO 14","BAP",(VLOOKUP(TablaCosechas[[#This Row],[COD]],Tabla7[[CODIGO]:[CERTIFICACION]],3,0))))</f>
        <v>ASC</v>
      </c>
      <c r="P1817" s="180">
        <f>+L1817-E1817</f>
        <v>-208.10000000000036</v>
      </c>
      <c r="Q1817" s="49">
        <f>+M1817-F1817</f>
        <v>0.66000000000000014</v>
      </c>
      <c r="R1817" s="9"/>
    </row>
    <row r="1818" spans="1:18" x14ac:dyDescent="0.25">
      <c r="A1818" s="9" t="s">
        <v>267</v>
      </c>
      <c r="B1818" s="9">
        <f>ROW() - ROW(TablaCosechas[[#Headers],[ID]]) - 4</f>
        <v>1813</v>
      </c>
      <c r="C1818" s="9" t="str">
        <f>LEFT(A1818,2)</f>
        <v>DO</v>
      </c>
      <c r="D1818" s="182" t="s">
        <v>366</v>
      </c>
      <c r="E1818" s="178">
        <v>18250</v>
      </c>
      <c r="F1818" s="19">
        <v>30</v>
      </c>
      <c r="G1818" s="195">
        <v>46153</v>
      </c>
      <c r="H1818" s="9" t="str">
        <f>VLOOKUP(TablaCosechas[[#This Row],[COD]],DATOS!$E$3:$F$27,2,0)</f>
        <v>DORADO</v>
      </c>
      <c r="I1818" s="9" t="str">
        <f>RIGHT(TablaCosechas[[#This Row],[SECTOR/PISCINA]],2)</f>
        <v>17</v>
      </c>
      <c r="J1818" s="9" t="str">
        <f>VLOOKUP(TablaCosechas[[#This Row],[COD]],Tabla7[#All],4,0)</f>
        <v>JOSE CEDEÑO</v>
      </c>
      <c r="K1818" s="179">
        <f>(TablaCosechas[[#This Row],[libras planta]]*454)/M1818</f>
        <v>315986.61982348945</v>
      </c>
      <c r="L1818" s="215">
        <v>20504.330000000002</v>
      </c>
      <c r="M1818" s="205">
        <v>29.46</v>
      </c>
      <c r="N1818" s="9" t="str">
        <f>UPPER(TEXT(TablaCosechas[[#This Row],[COSECHA]],"MMMM"))</f>
        <v>MAYO</v>
      </c>
      <c r="O1818" s="9" t="str">
        <f>IF(A1818="DO 29","BAP",IF(A1818="RO 14","BAP",(VLOOKUP(TablaCosechas[[#This Row],[COD]],Tabla7[[CODIGO]:[CERTIFICACION]],3,0))))</f>
        <v>ASC</v>
      </c>
      <c r="P1818" s="180">
        <f>+L1818-E1818</f>
        <v>2254.3300000000017</v>
      </c>
      <c r="Q1818" s="49">
        <f>+M1818-F1818</f>
        <v>-0.53999999999999915</v>
      </c>
      <c r="R1818" s="9"/>
    </row>
    <row r="1819" spans="1:18" x14ac:dyDescent="0.25">
      <c r="A1819" s="9" t="s">
        <v>276</v>
      </c>
      <c r="B1819" s="9">
        <f>ROW() - ROW(TablaCosechas[[#Headers],[ID]]) - 4</f>
        <v>1814</v>
      </c>
      <c r="C1819" s="9" t="str">
        <f>LEFT(A1819,2)</f>
        <v>DE</v>
      </c>
      <c r="D1819" s="182" t="s">
        <v>367</v>
      </c>
      <c r="E1819" s="178">
        <v>7240</v>
      </c>
      <c r="F1819" s="19">
        <v>18</v>
      </c>
      <c r="G1819" s="195">
        <v>46153</v>
      </c>
      <c r="H1819" s="9" t="str">
        <f>VLOOKUP(TablaCosechas[[#This Row],[COD]],DATOS!$E$3:$F$27,2,0)</f>
        <v>DELFIN</v>
      </c>
      <c r="I1819" s="9" t="str">
        <f>RIGHT(TablaCosechas[[#This Row],[SECTOR/PISCINA]],2)</f>
        <v>08</v>
      </c>
      <c r="J1819" s="9" t="str">
        <f>VLOOKUP(TablaCosechas[[#This Row],[COD]],Tabla7[#All],4,0)</f>
        <v>CARLOS FLORES</v>
      </c>
      <c r="K1819" s="179">
        <f>(TablaCosechas[[#This Row],[libras planta]]*454)/M1819</f>
        <v>162924.8602050326</v>
      </c>
      <c r="L1819" s="215">
        <v>7701.25</v>
      </c>
      <c r="M1819" s="205">
        <v>21.46</v>
      </c>
      <c r="N1819" s="9" t="str">
        <f>UPPER(TEXT(TablaCosechas[[#This Row],[COSECHA]],"MMMM"))</f>
        <v>MAYO</v>
      </c>
      <c r="O1819" s="9" t="str">
        <f>IF(A1819="DO 29","BAP",IF(A1819="RO 14","BAP",(VLOOKUP(TablaCosechas[[#This Row],[COD]],Tabla7[[CODIGO]:[CERTIFICACION]],3,0))))</f>
        <v>CONVENCIONAL</v>
      </c>
      <c r="P1819" s="180">
        <f>+L1819-E1819</f>
        <v>461.25</v>
      </c>
      <c r="Q1819" s="49">
        <f>+M1819-F1819</f>
        <v>3.4600000000000009</v>
      </c>
      <c r="R1819" s="9"/>
    </row>
    <row r="1820" spans="1:18" x14ac:dyDescent="0.25">
      <c r="A1820" s="9" t="s">
        <v>13</v>
      </c>
      <c r="B1820" s="9">
        <f>ROW() - ROW(TablaCosechas[[#Headers],[ID]]) - 4</f>
        <v>1815</v>
      </c>
      <c r="C1820" s="9" t="str">
        <f>LEFT(A1820,2)</f>
        <v>CH</v>
      </c>
      <c r="D1820" s="182" t="s">
        <v>367</v>
      </c>
      <c r="E1820" s="178">
        <v>3500</v>
      </c>
      <c r="F1820" s="19">
        <v>21</v>
      </c>
      <c r="G1820" s="195">
        <v>46153</v>
      </c>
      <c r="H1820" s="9" t="str">
        <f>VLOOKUP(TablaCosechas[[#This Row],[COD]],DATOS!$E$3:$F$27,2,0)</f>
        <v>CHERNA</v>
      </c>
      <c r="I1820" s="9" t="str">
        <f>RIGHT(TablaCosechas[[#This Row],[SECTOR/PISCINA]],2)</f>
        <v>07</v>
      </c>
      <c r="J1820" s="9" t="str">
        <f>VLOOKUP(TablaCosechas[[#This Row],[COD]],Tabla7[#All],4,0)</f>
        <v>SANTIAGO OBRIEN</v>
      </c>
      <c r="K1820" s="179">
        <f>(TablaCosechas[[#This Row],[libras planta]]*454)/M1820</f>
        <v>84354.431321084863</v>
      </c>
      <c r="L1820" s="215">
        <v>4247.45</v>
      </c>
      <c r="M1820" s="205">
        <v>22.86</v>
      </c>
      <c r="N1820" s="9" t="str">
        <f>UPPER(TEXT(TablaCosechas[[#This Row],[COSECHA]],"MMMM"))</f>
        <v>MAYO</v>
      </c>
      <c r="O1820" s="9" t="str">
        <f>IF(A1820="DO 29","BAP",IF(A1820="RO 14","BAP",(VLOOKUP(TablaCosechas[[#This Row],[COD]],Tabla7[[CODIGO]:[CERTIFICACION]],3,0))))</f>
        <v>ASC</v>
      </c>
      <c r="P1820" s="180">
        <f>+L1820-E1820</f>
        <v>747.44999999999982</v>
      </c>
      <c r="Q1820" s="181">
        <f>+M1820-F1820</f>
        <v>1.8599999999999994</v>
      </c>
      <c r="R1820" s="9"/>
    </row>
    <row r="1821" spans="1:18" x14ac:dyDescent="0.25">
      <c r="A1821" s="9" t="s">
        <v>224</v>
      </c>
      <c r="B1821" s="9">
        <f>ROW() - ROW(TablaCosechas[[#Headers],[ID]]) - 4</f>
        <v>1816</v>
      </c>
      <c r="C1821" s="9" t="str">
        <f>LEFT(A1821,2)</f>
        <v>TI</v>
      </c>
      <c r="D1821" s="182" t="s">
        <v>366</v>
      </c>
      <c r="E1821" s="178">
        <v>37500</v>
      </c>
      <c r="F1821" s="19">
        <v>32</v>
      </c>
      <c r="G1821" s="195">
        <v>46154</v>
      </c>
      <c r="H1821" s="9" t="str">
        <f>VLOOKUP(TablaCosechas[[#This Row],[COD]],DATOS!$E$3:$F$27,2,0)</f>
        <v>TIBURON</v>
      </c>
      <c r="I1821" s="9" t="str">
        <f>RIGHT(TablaCosechas[[#This Row],[SECTOR/PISCINA]],2)</f>
        <v>02</v>
      </c>
      <c r="J1821" s="9" t="str">
        <f>VLOOKUP(TablaCosechas[[#This Row],[COD]],Tabla7[#All],4,0)</f>
        <v>ALFONSO GRUNAUER</v>
      </c>
      <c r="K1821" s="179">
        <f>(TablaCosechas[[#This Row],[libras planta]]*454)/M1821</f>
        <v>574834.92004920053</v>
      </c>
      <c r="L1821" s="215">
        <v>41175.4</v>
      </c>
      <c r="M1821" s="205">
        <v>32.520000000000003</v>
      </c>
      <c r="N1821" s="9" t="str">
        <f>UPPER(TEXT(TablaCosechas[[#This Row],[COSECHA]],"MMMM"))</f>
        <v>MAYO</v>
      </c>
      <c r="O1821" s="9" t="str">
        <f>IF(A1821="DO 29","BAP",IF(A1821="RO 14","BAP",(VLOOKUP(TablaCosechas[[#This Row],[COD]],Tabla7[[CODIGO]:[CERTIFICACION]],3,0))))</f>
        <v>ASC</v>
      </c>
      <c r="P1821" s="180">
        <f>+L1821-E1821</f>
        <v>3675.4000000000015</v>
      </c>
      <c r="Q1821" s="49">
        <f>+M1821-F1821</f>
        <v>0.52000000000000313</v>
      </c>
      <c r="R1821" s="9"/>
    </row>
    <row r="1822" spans="1:18" x14ac:dyDescent="0.25">
      <c r="A1822" s="9" t="s">
        <v>228</v>
      </c>
      <c r="B1822" s="9">
        <f>ROW() - ROW(TablaCosechas[[#Headers],[ID]]) - 4</f>
        <v>1817</v>
      </c>
      <c r="C1822" s="9" t="str">
        <f>LEFT(A1822,2)</f>
        <v>ME</v>
      </c>
      <c r="D1822" s="182" t="s">
        <v>366</v>
      </c>
      <c r="E1822" s="178">
        <v>6200</v>
      </c>
      <c r="F1822" s="19">
        <v>28.5</v>
      </c>
      <c r="G1822" s="195">
        <v>46154</v>
      </c>
      <c r="H1822" s="9" t="str">
        <f>VLOOKUP(TablaCosechas[[#This Row],[COD]],DATOS!$E$3:$F$27,2,0)</f>
        <v>MERO</v>
      </c>
      <c r="I1822" s="9" t="str">
        <f>RIGHT(TablaCosechas[[#This Row],[SECTOR/PISCINA]],2)</f>
        <v>14</v>
      </c>
      <c r="J1822" s="9" t="str">
        <f>VLOOKUP(TablaCosechas[[#This Row],[COD]],Tabla7[#All],4,0)</f>
        <v>NESTOR MOGOLLON</v>
      </c>
      <c r="K1822" s="179">
        <f>(TablaCosechas[[#This Row],[libras planta]]*454)/M1822</f>
        <v>89906.664469347408</v>
      </c>
      <c r="L1822" s="215">
        <v>6008.3</v>
      </c>
      <c r="M1822" s="205">
        <v>30.34</v>
      </c>
      <c r="N1822" s="9" t="str">
        <f>UPPER(TEXT(TablaCosechas[[#This Row],[COSECHA]],"MMMM"))</f>
        <v>MAYO</v>
      </c>
      <c r="O1822" s="9" t="str">
        <f>IF(A1822="DO 29","BAP",IF(A1822="RO 14","BAP",(VLOOKUP(TablaCosechas[[#This Row],[COD]],Tabla7[[CODIGO]:[CERTIFICACION]],3,0))))</f>
        <v>CONVENCIONAL</v>
      </c>
      <c r="P1822" s="180">
        <f>+L1822-E1822</f>
        <v>-191.69999999999982</v>
      </c>
      <c r="Q1822" s="49">
        <f>+M1822-F1822</f>
        <v>1.8399999999999999</v>
      </c>
      <c r="R1822" s="9"/>
    </row>
    <row r="1823" spans="1:18" x14ac:dyDescent="0.25">
      <c r="A1823" s="9" t="s">
        <v>268</v>
      </c>
      <c r="B1823" s="9">
        <f>ROW() - ROW(TablaCosechas[[#Headers],[ID]]) - 4</f>
        <v>1818</v>
      </c>
      <c r="C1823" s="9" t="str">
        <f>LEFT(A1823,2)</f>
        <v>MA</v>
      </c>
      <c r="D1823" s="182" t="s">
        <v>367</v>
      </c>
      <c r="E1823" s="178">
        <v>14300</v>
      </c>
      <c r="F1823" s="19">
        <v>18</v>
      </c>
      <c r="G1823" s="195">
        <v>46154</v>
      </c>
      <c r="H1823" s="9" t="str">
        <f>VLOOKUP(TablaCosechas[[#This Row],[COD]],DATOS!$E$3:$F$27,2,0)</f>
        <v>MANTARRAYA</v>
      </c>
      <c r="I1823" s="9" t="str">
        <f>RIGHT(TablaCosechas[[#This Row],[SECTOR/PISCINA]],2)</f>
        <v>10</v>
      </c>
      <c r="J1823" s="9" t="str">
        <f>VLOOKUP(TablaCosechas[[#This Row],[COD]],Tabla7[#All],4,0)</f>
        <v>GUSTAVO CARRASCO</v>
      </c>
      <c r="K1823" s="179">
        <f>(TablaCosechas[[#This Row],[libras planta]]*454)/M1823</f>
        <v>333908.02963776077</v>
      </c>
      <c r="L1823" s="215">
        <v>13400.45</v>
      </c>
      <c r="M1823" s="205">
        <v>18.22</v>
      </c>
      <c r="N1823" s="9" t="str">
        <f>UPPER(TEXT(TablaCosechas[[#This Row],[COSECHA]],"MMMM"))</f>
        <v>MAYO</v>
      </c>
      <c r="O1823" s="9" t="str">
        <f>IF(A1823="DO 29","BAP",IF(A1823="RO 14","BAP",(VLOOKUP(TablaCosechas[[#This Row],[COD]],Tabla7[[CODIGO]:[CERTIFICACION]],3,0))))</f>
        <v>ASC</v>
      </c>
      <c r="P1823" s="180">
        <f>+L1823-E1823</f>
        <v>-899.54999999999927</v>
      </c>
      <c r="Q1823" s="49">
        <f>+M1823-F1823</f>
        <v>0.21999999999999886</v>
      </c>
      <c r="R1823" s="9"/>
    </row>
    <row r="1824" spans="1:18" x14ac:dyDescent="0.25">
      <c r="A1824" s="9" t="s">
        <v>222</v>
      </c>
      <c r="B1824" s="9">
        <f>ROW() - ROW(TablaCosechas[[#Headers],[ID]]) - 4</f>
        <v>1819</v>
      </c>
      <c r="C1824" s="9" t="str">
        <f>LEFT(A1824,2)</f>
        <v>GT</v>
      </c>
      <c r="D1824" s="182" t="s">
        <v>367</v>
      </c>
      <c r="E1824" s="178">
        <v>6400</v>
      </c>
      <c r="F1824" s="19">
        <v>25</v>
      </c>
      <c r="G1824" s="195">
        <v>46154</v>
      </c>
      <c r="H1824" s="9" t="str">
        <f>VLOOKUP(TablaCosechas[[#This Row],[COD]],DATOS!$E$3:$F$27,2,0)</f>
        <v>GUATO</v>
      </c>
      <c r="I1824" s="9" t="str">
        <f>RIGHT(TablaCosechas[[#This Row],[SECTOR/PISCINA]],2)</f>
        <v>17</v>
      </c>
      <c r="J1824" s="9" t="str">
        <f>VLOOKUP(TablaCosechas[[#This Row],[COD]],Tabla7[#All],4,0)</f>
        <v>JULIO SANTOS</v>
      </c>
      <c r="K1824" s="179">
        <f>(TablaCosechas[[#This Row],[libras planta]]*454)/M1824</f>
        <v>119919.99759036145</v>
      </c>
      <c r="L1824" s="215">
        <v>6577.11</v>
      </c>
      <c r="M1824" s="205">
        <v>24.9</v>
      </c>
      <c r="N1824" s="9" t="str">
        <f>UPPER(TEXT(TablaCosechas[[#This Row],[COSECHA]],"MMMM"))</f>
        <v>MAYO</v>
      </c>
      <c r="O1824" s="9" t="str">
        <f>IF(A1824="DO 29","BAP",IF(A1824="RO 14","BAP",(VLOOKUP(TablaCosechas[[#This Row],[COD]],Tabla7[[CODIGO]:[CERTIFICACION]],3,0))))</f>
        <v>CONVENCIONAL</v>
      </c>
      <c r="P1824" s="180">
        <f>+L1824-E1824</f>
        <v>177.10999999999967</v>
      </c>
      <c r="Q1824" s="49">
        <f>+M1824-F1824</f>
        <v>-0.10000000000000142</v>
      </c>
      <c r="R1824" s="9"/>
    </row>
    <row r="1825" spans="1:18" x14ac:dyDescent="0.25">
      <c r="A1825" s="9" t="s">
        <v>286</v>
      </c>
      <c r="B1825" s="9">
        <f>ROW() - ROW(TablaCosechas[[#Headers],[ID]]) - 4</f>
        <v>1820</v>
      </c>
      <c r="C1825" s="9" t="str">
        <f>LEFT(A1825,2)</f>
        <v>DO</v>
      </c>
      <c r="D1825" s="182" t="s">
        <v>367</v>
      </c>
      <c r="E1825" s="178">
        <v>8200</v>
      </c>
      <c r="F1825" s="19">
        <v>19</v>
      </c>
      <c r="G1825" s="195">
        <v>46154</v>
      </c>
      <c r="H1825" s="9" t="str">
        <f>VLOOKUP(TablaCosechas[[#This Row],[COD]],DATOS!$E$3:$F$27,2,0)</f>
        <v>DORADO</v>
      </c>
      <c r="I1825" s="9" t="str">
        <f>RIGHT(TablaCosechas[[#This Row],[SECTOR/PISCINA]],2)</f>
        <v>29</v>
      </c>
      <c r="J1825" s="9" t="str">
        <f>VLOOKUP(TablaCosechas[[#This Row],[COD]],Tabla7[#All],4,0)</f>
        <v>JOSE CEDEÑO</v>
      </c>
      <c r="K1825" s="179">
        <f>(TablaCosechas[[#This Row],[libras planta]]*454)/M1825</f>
        <v>175648.59054415699</v>
      </c>
      <c r="L1825" s="215">
        <v>8674.1</v>
      </c>
      <c r="M1825" s="205">
        <v>22.42</v>
      </c>
      <c r="N1825" s="9" t="str">
        <f>UPPER(TEXT(TablaCosechas[[#This Row],[COSECHA]],"MMMM"))</f>
        <v>MAYO</v>
      </c>
      <c r="O1825" s="9" t="str">
        <f>IF(A1825="DO 29","BAP",IF(A1825="RO 14","BAP",(VLOOKUP(TablaCosechas[[#This Row],[COD]],Tabla7[[CODIGO]:[CERTIFICACION]],3,0))))</f>
        <v>BAP</v>
      </c>
      <c r="P1825" s="180">
        <f>+L1825-E1825</f>
        <v>474.10000000000036</v>
      </c>
      <c r="Q1825" s="49">
        <f>+M1825-F1825</f>
        <v>3.4200000000000017</v>
      </c>
      <c r="R1825" s="9"/>
    </row>
    <row r="1826" spans="1:18" x14ac:dyDescent="0.25">
      <c r="A1826" s="9" t="s">
        <v>219</v>
      </c>
      <c r="B1826" s="9">
        <f>ROW() - ROW(TablaCosechas[[#Headers],[ID]]) - 4</f>
        <v>1821</v>
      </c>
      <c r="C1826" s="9" t="str">
        <f>LEFT(A1826,2)</f>
        <v>DO</v>
      </c>
      <c r="D1826" s="182" t="s">
        <v>367</v>
      </c>
      <c r="E1826" s="178">
        <v>18700</v>
      </c>
      <c r="F1826" s="19">
        <v>30</v>
      </c>
      <c r="G1826" s="195">
        <v>46154</v>
      </c>
      <c r="H1826" s="9" t="str">
        <f>VLOOKUP(TablaCosechas[[#This Row],[COD]],DATOS!$E$3:$F$27,2,0)</f>
        <v>DORADO</v>
      </c>
      <c r="I1826" s="9" t="str">
        <f>RIGHT(TablaCosechas[[#This Row],[SECTOR/PISCINA]],2)</f>
        <v>11</v>
      </c>
      <c r="J1826" s="9" t="str">
        <f>VLOOKUP(TablaCosechas[[#This Row],[COD]],Tabla7[#All],4,0)</f>
        <v>JOSE CEDEÑO</v>
      </c>
      <c r="K1826" s="179">
        <f>(TablaCosechas[[#This Row],[libras planta]]*454)/M1826</f>
        <v>233286.27761370351</v>
      </c>
      <c r="L1826" s="178">
        <v>17398.84</v>
      </c>
      <c r="M1826" s="19">
        <v>33.86</v>
      </c>
      <c r="N1826" s="9" t="str">
        <f>UPPER(TEXT(TablaCosechas[[#This Row],[COSECHA]],"MMMM"))</f>
        <v>MAYO</v>
      </c>
      <c r="O1826" s="9" t="str">
        <f>IF(A1826="DO 29","BAP",IF(A1826="RO 14","BAP",(VLOOKUP(TablaCosechas[[#This Row],[COD]],Tabla7[[CODIGO]:[CERTIFICACION]],3,0))))</f>
        <v>ASC</v>
      </c>
      <c r="P1826" s="180">
        <f>+L1826-E1826</f>
        <v>-1301.1599999999999</v>
      </c>
      <c r="Q1826" s="49">
        <f>+M1826-F1826</f>
        <v>3.8599999999999994</v>
      </c>
      <c r="R1826" s="9"/>
    </row>
    <row r="1827" spans="1:18" x14ac:dyDescent="0.25">
      <c r="A1827" s="9" t="s">
        <v>125</v>
      </c>
      <c r="B1827" s="9">
        <f>ROW() - ROW(TablaCosechas[[#Headers],[ID]]) - 4</f>
        <v>1822</v>
      </c>
      <c r="C1827" s="9" t="str">
        <f>LEFT(A1827,2)</f>
        <v>DE</v>
      </c>
      <c r="D1827" s="182" t="s">
        <v>367</v>
      </c>
      <c r="E1827" s="178">
        <v>9800</v>
      </c>
      <c r="F1827" s="19">
        <v>30</v>
      </c>
      <c r="G1827" s="195">
        <v>46154</v>
      </c>
      <c r="H1827" s="9" t="str">
        <f>VLOOKUP(TablaCosechas[[#This Row],[COD]],DATOS!$E$3:$F$27,2,0)</f>
        <v>DELFIN</v>
      </c>
      <c r="I1827" s="9" t="str">
        <f>RIGHT(TablaCosechas[[#This Row],[SECTOR/PISCINA]],2)</f>
        <v>15</v>
      </c>
      <c r="J1827" s="9" t="str">
        <f>VLOOKUP(TablaCosechas[[#This Row],[COD]],Tabla7[#All],4,0)</f>
        <v>CARLOS FLORES</v>
      </c>
      <c r="K1827" s="179">
        <f>(TablaCosechas[[#This Row],[libras planta]]*454)/M1827</f>
        <v>142129.50618892509</v>
      </c>
      <c r="L1827" s="215">
        <v>9610.9599999999991</v>
      </c>
      <c r="M1827" s="205">
        <v>30.7</v>
      </c>
      <c r="N1827" s="9" t="str">
        <f>UPPER(TEXT(TablaCosechas[[#This Row],[COSECHA]],"MMMM"))</f>
        <v>MAYO</v>
      </c>
      <c r="O1827" s="9" t="str">
        <f>IF(A1827="DO 29","BAP",IF(A1827="RO 14","BAP",(VLOOKUP(TablaCosechas[[#This Row],[COD]],Tabla7[[CODIGO]:[CERTIFICACION]],3,0))))</f>
        <v>CONVENCIONAL</v>
      </c>
      <c r="P1827" s="180">
        <f>+L1827-E1827</f>
        <v>-189.04000000000087</v>
      </c>
      <c r="Q1827" s="49">
        <f>+M1827-F1827</f>
        <v>0.69999999999999929</v>
      </c>
      <c r="R1827" s="9"/>
    </row>
    <row r="1828" spans="1:18" x14ac:dyDescent="0.25">
      <c r="A1828" s="9" t="s">
        <v>265</v>
      </c>
      <c r="B1828" s="9">
        <f>ROW() - ROW(TablaCosechas[[#Headers],[ID]]) - 4</f>
        <v>1823</v>
      </c>
      <c r="C1828" s="9" t="str">
        <f>LEFT(A1828,2)</f>
        <v>DE</v>
      </c>
      <c r="D1828" s="182" t="s">
        <v>367</v>
      </c>
      <c r="E1828" s="178">
        <v>7000</v>
      </c>
      <c r="F1828" s="19">
        <v>24</v>
      </c>
      <c r="G1828" s="195">
        <v>46154</v>
      </c>
      <c r="H1828" s="9" t="str">
        <f>VLOOKUP(TablaCosechas[[#This Row],[COD]],DATOS!$E$3:$F$27,2,0)</f>
        <v>DELFIN</v>
      </c>
      <c r="I1828" s="9" t="str">
        <f>RIGHT(TablaCosechas[[#This Row],[SECTOR/PISCINA]],2)</f>
        <v>04</v>
      </c>
      <c r="J1828" s="9" t="str">
        <f>VLOOKUP(TablaCosechas[[#This Row],[COD]],Tabla7[#All],4,0)</f>
        <v>CARLOS FLORES</v>
      </c>
      <c r="K1828" s="179">
        <f>(TablaCosechas[[#This Row],[libras planta]]*454)/M1828</f>
        <v>140888.44631765751</v>
      </c>
      <c r="L1828" s="215">
        <v>6994.77</v>
      </c>
      <c r="M1828" s="205">
        <v>22.54</v>
      </c>
      <c r="N1828" s="9" t="str">
        <f>UPPER(TEXT(TablaCosechas[[#This Row],[COSECHA]],"MMMM"))</f>
        <v>MAYO</v>
      </c>
      <c r="O1828" s="9" t="str">
        <f>IF(A1828="DO 29","BAP",IF(A1828="RO 14","BAP",(VLOOKUP(TablaCosechas[[#This Row],[COD]],Tabla7[[CODIGO]:[CERTIFICACION]],3,0))))</f>
        <v>CONVENCIONAL</v>
      </c>
      <c r="P1828" s="180">
        <f>+L1828-E1828</f>
        <v>-5.2299999999995634</v>
      </c>
      <c r="Q1828" s="181">
        <f>+M1828-F1828</f>
        <v>-1.4600000000000009</v>
      </c>
      <c r="R1828" s="9"/>
    </row>
    <row r="1829" spans="1:18" x14ac:dyDescent="0.25">
      <c r="A1829" s="9" t="s">
        <v>7</v>
      </c>
      <c r="B1829" s="9">
        <f>ROW() - ROW(TablaCosechas[[#Headers],[ID]]) - 4</f>
        <v>1824</v>
      </c>
      <c r="C1829" s="9" t="str">
        <f>LEFT(A1829,2)</f>
        <v>CH</v>
      </c>
      <c r="D1829" s="182" t="s">
        <v>366</v>
      </c>
      <c r="E1829" s="178">
        <v>28500</v>
      </c>
      <c r="F1829" s="19">
        <v>26</v>
      </c>
      <c r="G1829" s="195">
        <v>46154</v>
      </c>
      <c r="H1829" s="9" t="str">
        <f>VLOOKUP(TablaCosechas[[#This Row],[COD]],DATOS!$E$3:$F$27,2,0)</f>
        <v>CHERNA</v>
      </c>
      <c r="I1829" s="9" t="str">
        <f>RIGHT(TablaCosechas[[#This Row],[SECTOR/PISCINA]],2)</f>
        <v>01</v>
      </c>
      <c r="J1829" s="9" t="str">
        <f>VLOOKUP(TablaCosechas[[#This Row],[COD]],Tabla7[#All],4,0)</f>
        <v>SANTIAGO OBRIEN</v>
      </c>
      <c r="K1829" s="179">
        <f>(TablaCosechas[[#This Row],[libras planta]]*454)/M1829</f>
        <v>546204.50668764755</v>
      </c>
      <c r="L1829" s="215">
        <v>30582.639999999999</v>
      </c>
      <c r="M1829" s="205">
        <v>25.42</v>
      </c>
      <c r="N1829" s="9" t="str">
        <f>UPPER(TEXT(TablaCosechas[[#This Row],[COSECHA]],"MMMM"))</f>
        <v>MAYO</v>
      </c>
      <c r="O1829" s="9" t="str">
        <f>IF(A1829="DO 29","BAP",IF(A1829="RO 14","BAP",(VLOOKUP(TablaCosechas[[#This Row],[COD]],Tabla7[[CODIGO]:[CERTIFICACION]],3,0))))</f>
        <v>ASC</v>
      </c>
      <c r="P1829" s="180">
        <f>+L1829-E1829</f>
        <v>2082.6399999999994</v>
      </c>
      <c r="Q1829" s="49">
        <f>+M1829-F1829</f>
        <v>-0.57999999999999829</v>
      </c>
      <c r="R1829" s="9"/>
    </row>
    <row r="1830" spans="1:18" x14ac:dyDescent="0.25">
      <c r="A1830" s="9" t="s">
        <v>212</v>
      </c>
      <c r="B1830" s="9">
        <f>ROW() - ROW(TablaCosechas[[#Headers],[ID]]) - 4</f>
        <v>1825</v>
      </c>
      <c r="C1830" s="9" t="str">
        <f>LEFT(A1830,2)</f>
        <v>CA</v>
      </c>
      <c r="D1830" s="182" t="s">
        <v>366</v>
      </c>
      <c r="E1830" s="178">
        <v>36300</v>
      </c>
      <c r="F1830" s="19">
        <v>30</v>
      </c>
      <c r="G1830" s="195">
        <v>46154</v>
      </c>
      <c r="H1830" s="9" t="str">
        <f>VLOOKUP(TablaCosechas[[#This Row],[COD]],DATOS!$E$3:$F$27,2,0)</f>
        <v>CATANUDA</v>
      </c>
      <c r="I1830" s="9" t="str">
        <f>RIGHT(TablaCosechas[[#This Row],[SECTOR/PISCINA]],2)</f>
        <v>09</v>
      </c>
      <c r="J1830" s="9" t="str">
        <f>VLOOKUP(TablaCosechas[[#This Row],[COD]],Tabla7[#All],4,0)</f>
        <v>VICTOR QUINTANA</v>
      </c>
      <c r="K1830" s="179">
        <f>(TablaCosechas[[#This Row],[libras planta]]*454)/M1830</f>
        <v>518698.10781517398</v>
      </c>
      <c r="L1830" s="215">
        <v>40056.29</v>
      </c>
      <c r="M1830" s="205">
        <v>35.06</v>
      </c>
      <c r="N1830" s="9" t="str">
        <f>UPPER(TEXT(TablaCosechas[[#This Row],[COSECHA]],"MMMM"))</f>
        <v>MAYO</v>
      </c>
      <c r="O1830" s="9" t="str">
        <f>IF(A1830="DO 29","BAP",IF(A1830="RO 14","BAP",(VLOOKUP(TablaCosechas[[#This Row],[COD]],Tabla7[[CODIGO]:[CERTIFICACION]],3,0))))</f>
        <v>ASC</v>
      </c>
      <c r="P1830" s="180">
        <f>+L1830-E1830</f>
        <v>3756.2900000000009</v>
      </c>
      <c r="Q1830" s="49">
        <f>+M1830-F1830</f>
        <v>5.0600000000000023</v>
      </c>
      <c r="R1830" s="9"/>
    </row>
    <row r="1831" spans="1:18" x14ac:dyDescent="0.25">
      <c r="A1831" s="9" t="s">
        <v>277</v>
      </c>
      <c r="B1831" s="9">
        <f>ROW() - ROW(TablaCosechas[[#Headers],[ID]]) - 4</f>
        <v>1826</v>
      </c>
      <c r="C1831" s="9" t="str">
        <f>LEFT(A1831,2)</f>
        <v>CA</v>
      </c>
      <c r="D1831" s="182" t="s">
        <v>367</v>
      </c>
      <c r="E1831" s="178">
        <v>7800</v>
      </c>
      <c r="F1831" s="19">
        <v>22</v>
      </c>
      <c r="G1831" s="195">
        <v>46154</v>
      </c>
      <c r="H1831" s="9" t="str">
        <f>VLOOKUP(TablaCosechas[[#This Row],[COD]],DATOS!$E$3:$F$27,2,0)</f>
        <v>CATANUDA</v>
      </c>
      <c r="I1831" s="9" t="str">
        <f>RIGHT(TablaCosechas[[#This Row],[SECTOR/PISCINA]],2)</f>
        <v>05</v>
      </c>
      <c r="J1831" s="9" t="str">
        <f>VLOOKUP(TablaCosechas[[#This Row],[COD]],Tabla7[#All],4,0)</f>
        <v>VICTOR QUINTANA</v>
      </c>
      <c r="K1831" s="179">
        <f>(TablaCosechas[[#This Row],[libras planta]]*454)/M1831</f>
        <v>132740.34510433389</v>
      </c>
      <c r="L1831" s="215">
        <v>7286.1</v>
      </c>
      <c r="M1831" s="205">
        <v>24.92</v>
      </c>
      <c r="N1831" s="9" t="str">
        <f>UPPER(TEXT(TablaCosechas[[#This Row],[COSECHA]],"MMMM"))</f>
        <v>MAYO</v>
      </c>
      <c r="O1831" s="9" t="str">
        <f>IF(A1831="DO 29","BAP",IF(A1831="RO 14","BAP",(VLOOKUP(TablaCosechas[[#This Row],[COD]],Tabla7[[CODIGO]:[CERTIFICACION]],3,0))))</f>
        <v>ASC</v>
      </c>
      <c r="P1831" s="180">
        <f>+L1831-E1831</f>
        <v>-513.89999999999964</v>
      </c>
      <c r="Q1831" s="49">
        <f>+M1831-F1831</f>
        <v>2.9200000000000017</v>
      </c>
      <c r="R1831" s="9"/>
    </row>
    <row r="1832" spans="1:18" x14ac:dyDescent="0.25">
      <c r="A1832" s="9" t="s">
        <v>202</v>
      </c>
      <c r="B1832" s="9">
        <f>ROW() - ROW(TablaCosechas[[#Headers],[ID]]) - 4</f>
        <v>1827</v>
      </c>
      <c r="C1832" s="9" t="str">
        <f>LEFT(A1832,2)</f>
        <v>BA</v>
      </c>
      <c r="D1832" s="182" t="s">
        <v>366</v>
      </c>
      <c r="E1832" s="178">
        <v>39800</v>
      </c>
      <c r="F1832" s="19">
        <v>28</v>
      </c>
      <c r="G1832" s="195">
        <v>46154</v>
      </c>
      <c r="H1832" s="9" t="str">
        <f>VLOOKUP(TablaCosechas[[#This Row],[COD]],DATOS!$E$3:$F$27,2,0)</f>
        <v>BARRACUDA</v>
      </c>
      <c r="I1832" s="9" t="str">
        <f>RIGHT(TablaCosechas[[#This Row],[SECTOR/PISCINA]],2)</f>
        <v>04</v>
      </c>
      <c r="J1832" s="9" t="str">
        <f>VLOOKUP(TablaCosechas[[#This Row],[COD]],Tabla7[#All],4,0)</f>
        <v>GUSTAVO CARRASCO</v>
      </c>
      <c r="K1832" s="179">
        <f>(TablaCosechas[[#This Row],[libras planta]]*454)/M1832</f>
        <v>727160.73841554555</v>
      </c>
      <c r="L1832" s="215">
        <v>42860.84</v>
      </c>
      <c r="M1832" s="205">
        <v>26.76</v>
      </c>
      <c r="N1832" s="9" t="str">
        <f>UPPER(TEXT(TablaCosechas[[#This Row],[COSECHA]],"MMMM"))</f>
        <v>MAYO</v>
      </c>
      <c r="O1832" s="9" t="str">
        <f>IF(A1832="DO 29","BAP",IF(A1832="RO 14","BAP",(VLOOKUP(TablaCosechas[[#This Row],[COD]],Tabla7[[CODIGO]:[CERTIFICACION]],3,0))))</f>
        <v>CONVENCIONAL</v>
      </c>
      <c r="P1832" s="180">
        <f>+L1832-E1832</f>
        <v>3060.8399999999965</v>
      </c>
      <c r="Q1832" s="49">
        <f>+M1832-F1832</f>
        <v>-1.2399999999999984</v>
      </c>
      <c r="R1832" s="9"/>
    </row>
    <row r="1833" spans="1:18" x14ac:dyDescent="0.25">
      <c r="A1833" s="9" t="s">
        <v>348</v>
      </c>
      <c r="B1833" s="9">
        <f>ROW() - ROW(TablaCosechas[[#Headers],[ID]]) - 4</f>
        <v>1828</v>
      </c>
      <c r="C1833" s="9" t="str">
        <f>LEFT(A1833,2)</f>
        <v>WA</v>
      </c>
      <c r="D1833" s="182" t="s">
        <v>366</v>
      </c>
      <c r="E1833" s="178">
        <v>10200</v>
      </c>
      <c r="F1833" s="19">
        <v>31</v>
      </c>
      <c r="G1833" s="195">
        <v>46155</v>
      </c>
      <c r="H1833" s="9" t="str">
        <f>VLOOKUP(TablaCosechas[[#This Row],[COD]],DATOS!$E$3:$F$27,2,0)</f>
        <v>WAHOO</v>
      </c>
      <c r="I1833" s="9" t="str">
        <f>RIGHT(TablaCosechas[[#This Row],[SECTOR/PISCINA]],2)</f>
        <v>10</v>
      </c>
      <c r="J1833" s="9" t="str">
        <f>VLOOKUP(TablaCosechas[[#This Row],[COD]],Tabla7[#All],4,0)</f>
        <v>JUNIOR ESQUIVEL</v>
      </c>
      <c r="K1833" s="179">
        <f>(TablaCosechas[[#This Row],[libras planta]]*454)/M1833</f>
        <v>159557.70301475303</v>
      </c>
      <c r="L1833" s="178">
        <v>10958.17</v>
      </c>
      <c r="M1833" s="19">
        <v>31.18</v>
      </c>
      <c r="N1833" s="9" t="str">
        <f>UPPER(TEXT(TablaCosechas[[#This Row],[COSECHA]],"MMMM"))</f>
        <v>MAYO</v>
      </c>
      <c r="O1833" s="9" t="str">
        <f>IF(A1833="DO 29","BAP",IF(A1833="RO 14","BAP",(VLOOKUP(TablaCosechas[[#This Row],[COD]],Tabla7[[CODIGO]:[CERTIFICACION]],3,0))))</f>
        <v>CONVENCIONAL</v>
      </c>
      <c r="P1833" s="180">
        <f>+L1833-E1833</f>
        <v>758.17000000000007</v>
      </c>
      <c r="Q1833" s="49">
        <f>+M1833-F1833</f>
        <v>0.17999999999999972</v>
      </c>
      <c r="R1833" s="9"/>
    </row>
    <row r="1834" spans="1:18" x14ac:dyDescent="0.25">
      <c r="A1834" s="9" t="s">
        <v>303</v>
      </c>
      <c r="B1834" s="9">
        <f>ROW() - ROW(TablaCosechas[[#Headers],[ID]]) - 4</f>
        <v>1829</v>
      </c>
      <c r="C1834" s="9" t="str">
        <f>LEFT(A1834,2)</f>
        <v>TI</v>
      </c>
      <c r="D1834" s="182" t="s">
        <v>367</v>
      </c>
      <c r="E1834" s="178">
        <v>14250</v>
      </c>
      <c r="F1834" s="19">
        <v>19</v>
      </c>
      <c r="G1834" s="195">
        <v>46155</v>
      </c>
      <c r="H1834" s="9" t="str">
        <f>VLOOKUP(TablaCosechas[[#This Row],[COD]],DATOS!$E$3:$F$27,2,0)</f>
        <v>TIBURON</v>
      </c>
      <c r="I1834" s="9" t="str">
        <f>RIGHT(TablaCosechas[[#This Row],[SECTOR/PISCINA]],2)</f>
        <v>16</v>
      </c>
      <c r="J1834" s="9" t="str">
        <f>VLOOKUP(TablaCosechas[[#This Row],[COD]],Tabla7[#All],4,0)</f>
        <v>ALFONSO GRUNAUER</v>
      </c>
      <c r="K1834" s="179">
        <f>(TablaCosechas[[#This Row],[libras planta]]*454)/M1834</f>
        <v>371982.71065989853</v>
      </c>
      <c r="L1834" s="178">
        <v>16141.1</v>
      </c>
      <c r="M1834" s="19">
        <v>19.7</v>
      </c>
      <c r="N1834" s="9" t="str">
        <f>UPPER(TEXT(TablaCosechas[[#This Row],[COSECHA]],"MMMM"))</f>
        <v>MAYO</v>
      </c>
      <c r="O1834" s="9" t="str">
        <f>IF(A1834="DO 29","BAP",IF(A1834="RO 14","BAP",(VLOOKUP(TablaCosechas[[#This Row],[COD]],Tabla7[[CODIGO]:[CERTIFICACION]],3,0))))</f>
        <v>ASC</v>
      </c>
      <c r="P1834" s="180">
        <f>+L1834-E1834</f>
        <v>1891.1000000000004</v>
      </c>
      <c r="Q1834" s="49">
        <f>+M1834-F1834</f>
        <v>0.69999999999999929</v>
      </c>
      <c r="R1834" s="9"/>
    </row>
    <row r="1835" spans="1:18" x14ac:dyDescent="0.25">
      <c r="A1835" s="9" t="s">
        <v>232</v>
      </c>
      <c r="B1835" s="9">
        <f>ROW() - ROW(TablaCosechas[[#Headers],[ID]]) - 4</f>
        <v>1830</v>
      </c>
      <c r="C1835" s="9" t="str">
        <f>LEFT(A1835,2)</f>
        <v>TI</v>
      </c>
      <c r="D1835" s="182" t="s">
        <v>366</v>
      </c>
      <c r="E1835" s="178">
        <v>36550</v>
      </c>
      <c r="F1835" s="19">
        <v>33</v>
      </c>
      <c r="G1835" s="195">
        <v>46155</v>
      </c>
      <c r="H1835" s="9" t="str">
        <f>VLOOKUP(TablaCosechas[[#This Row],[COD]],DATOS!$E$3:$F$27,2,0)</f>
        <v>TIBURON</v>
      </c>
      <c r="I1835" s="9" t="str">
        <f>RIGHT(TablaCosechas[[#This Row],[SECTOR/PISCINA]],2)</f>
        <v>09</v>
      </c>
      <c r="J1835" s="9" t="str">
        <f>VLOOKUP(TablaCosechas[[#This Row],[COD]],Tabla7[#All],4,0)</f>
        <v>ALFONSO GRUNAUER</v>
      </c>
      <c r="K1835" s="179">
        <f>(TablaCosechas[[#This Row],[libras planta]]*454)/M1835</f>
        <v>551674.97316636855</v>
      </c>
      <c r="L1835" s="178">
        <v>40755.9</v>
      </c>
      <c r="M1835" s="19">
        <v>33.54</v>
      </c>
      <c r="N1835" s="9" t="str">
        <f>UPPER(TEXT(TablaCosechas[[#This Row],[COSECHA]],"MMMM"))</f>
        <v>MAYO</v>
      </c>
      <c r="O1835" s="9" t="str">
        <f>IF(A1835="DO 29","BAP",IF(A1835="RO 14","BAP",(VLOOKUP(TablaCosechas[[#This Row],[COD]],Tabla7[[CODIGO]:[CERTIFICACION]],3,0))))</f>
        <v>ASC</v>
      </c>
      <c r="P1835" s="180">
        <f>+L1835-E1835</f>
        <v>4205.9000000000015</v>
      </c>
      <c r="Q1835" s="49">
        <f>+M1835-F1835</f>
        <v>0.53999999999999915</v>
      </c>
      <c r="R1835" s="9"/>
    </row>
    <row r="1836" spans="1:18" x14ac:dyDescent="0.25">
      <c r="A1836" s="9" t="s">
        <v>294</v>
      </c>
      <c r="B1836" s="9">
        <f>ROW() - ROW(TablaCosechas[[#Headers],[ID]]) - 4</f>
        <v>1831</v>
      </c>
      <c r="C1836" s="9" t="str">
        <f>LEFT(A1836,2)</f>
        <v>RO</v>
      </c>
      <c r="D1836" s="182" t="s">
        <v>367</v>
      </c>
      <c r="E1836" s="178">
        <v>14000</v>
      </c>
      <c r="F1836" s="19">
        <v>20</v>
      </c>
      <c r="G1836" s="195">
        <v>46155</v>
      </c>
      <c r="H1836" s="9" t="str">
        <f>VLOOKUP(TablaCosechas[[#This Row],[COD]],DATOS!$E$3:$F$27,2,0)</f>
        <v>ROBALO</v>
      </c>
      <c r="I1836" s="9" t="str">
        <f>RIGHT(TablaCosechas[[#This Row],[SECTOR/PISCINA]],2)</f>
        <v>15</v>
      </c>
      <c r="J1836" s="9" t="str">
        <f>VLOOKUP(TablaCosechas[[#This Row],[COD]],Tabla7[#All],4,0)</f>
        <v>VICTOR QUINTANA</v>
      </c>
      <c r="K1836" s="179">
        <f>(TablaCosechas[[#This Row],[libras planta]]*454)/M1836</f>
        <v>333445.48918156157</v>
      </c>
      <c r="L1836" s="178">
        <v>15614.65</v>
      </c>
      <c r="M1836" s="19">
        <v>21.26</v>
      </c>
      <c r="N1836" s="9" t="str">
        <f>UPPER(TEXT(TablaCosechas[[#This Row],[COSECHA]],"MMMM"))</f>
        <v>MAYO</v>
      </c>
      <c r="O1836" s="9" t="str">
        <f>IF(A1836="DO 29","BAP",IF(A1836="RO 14","BAP",(VLOOKUP(TablaCosechas[[#This Row],[COD]],Tabla7[[CODIGO]:[CERTIFICACION]],3,0))))</f>
        <v>ASC</v>
      </c>
      <c r="P1836" s="180">
        <f>+L1836-E1836</f>
        <v>1614.6499999999996</v>
      </c>
      <c r="Q1836" s="49">
        <f>+M1836-F1836</f>
        <v>1.2600000000000016</v>
      </c>
      <c r="R1836" s="9"/>
    </row>
    <row r="1837" spans="1:18" x14ac:dyDescent="0.25">
      <c r="A1837" s="9" t="s">
        <v>259</v>
      </c>
      <c r="B1837" s="9">
        <f>ROW() - ROW(TablaCosechas[[#Headers],[ID]]) - 4</f>
        <v>1832</v>
      </c>
      <c r="C1837" s="9" t="str">
        <f>LEFT(A1837,2)</f>
        <v>PA</v>
      </c>
      <c r="D1837" s="182" t="s">
        <v>366</v>
      </c>
      <c r="E1837" s="178">
        <v>11800</v>
      </c>
      <c r="F1837" s="19">
        <v>29.5</v>
      </c>
      <c r="G1837" s="195">
        <v>46155</v>
      </c>
      <c r="H1837" s="9" t="str">
        <f>VLOOKUP(TablaCosechas[[#This Row],[COD]],DATOS!$E$3:$F$27,2,0)</f>
        <v>PAMPANO</v>
      </c>
      <c r="I1837" s="9" t="str">
        <f>RIGHT(TablaCosechas[[#This Row],[SECTOR/PISCINA]],2)</f>
        <v>19</v>
      </c>
      <c r="J1837" s="9" t="str">
        <f>VLOOKUP(TablaCosechas[[#This Row],[COD]],Tabla7[#All],4,0)</f>
        <v>GUSTAVO CARRASCO</v>
      </c>
      <c r="K1837" s="179">
        <f>(TablaCosechas[[#This Row],[libras planta]]*454)/M1837</f>
        <v>177584.41577698695</v>
      </c>
      <c r="L1837" s="178">
        <v>13189.75</v>
      </c>
      <c r="M1837" s="19">
        <v>33.72</v>
      </c>
      <c r="N1837" s="9" t="str">
        <f>UPPER(TEXT(TablaCosechas[[#This Row],[COSECHA]],"MMMM"))</f>
        <v>MAYO</v>
      </c>
      <c r="O1837" s="9" t="str">
        <f>IF(A1837="DO 29","BAP",IF(A1837="RO 14","BAP",(VLOOKUP(TablaCosechas[[#This Row],[COD]],Tabla7[[CODIGO]:[CERTIFICACION]],3,0))))</f>
        <v>ASC</v>
      </c>
      <c r="P1837" s="180">
        <f>+L1837-E1837</f>
        <v>1389.75</v>
      </c>
      <c r="Q1837" s="49">
        <f>+M1837-F1837</f>
        <v>4.2199999999999989</v>
      </c>
      <c r="R1837" s="9"/>
    </row>
    <row r="1838" spans="1:18" x14ac:dyDescent="0.25">
      <c r="A1838" s="9" t="s">
        <v>263</v>
      </c>
      <c r="B1838" s="9">
        <f>ROW() - ROW(TablaCosechas[[#Headers],[ID]]) - 4</f>
        <v>1833</v>
      </c>
      <c r="C1838" s="9" t="str">
        <f>LEFT(A1838,2)</f>
        <v>PA</v>
      </c>
      <c r="D1838" s="182" t="s">
        <v>367</v>
      </c>
      <c r="E1838" s="178">
        <v>3600</v>
      </c>
      <c r="F1838" s="19">
        <v>23</v>
      </c>
      <c r="G1838" s="195">
        <v>46155</v>
      </c>
      <c r="H1838" s="9" t="str">
        <f>VLOOKUP(TablaCosechas[[#This Row],[COD]],DATOS!$E$3:$F$27,2,0)</f>
        <v>PAMPANO</v>
      </c>
      <c r="I1838" s="9" t="str">
        <f>RIGHT(TablaCosechas[[#This Row],[SECTOR/PISCINA]],2)</f>
        <v>02</v>
      </c>
      <c r="J1838" s="9" t="str">
        <f>VLOOKUP(TablaCosechas[[#This Row],[COD]],Tabla7[#All],4,0)</f>
        <v>GUSTAVO CARRASCO</v>
      </c>
      <c r="K1838" s="179">
        <f>(TablaCosechas[[#This Row],[libras planta]]*454)/M1838</f>
        <v>56191.792397660814</v>
      </c>
      <c r="L1838" s="178">
        <v>3386.36</v>
      </c>
      <c r="M1838" s="19">
        <v>27.36</v>
      </c>
      <c r="N1838" s="9" t="str">
        <f>UPPER(TEXT(TablaCosechas[[#This Row],[COSECHA]],"MMMM"))</f>
        <v>MAYO</v>
      </c>
      <c r="O1838" s="9" t="str">
        <f>IF(A1838="DO 29","BAP",IF(A1838="RO 14","BAP",(VLOOKUP(TablaCosechas[[#This Row],[COD]],Tabla7[[CODIGO]:[CERTIFICACION]],3,0))))</f>
        <v>ASC</v>
      </c>
      <c r="P1838" s="180">
        <f>+L1838-E1838</f>
        <v>-213.63999999999987</v>
      </c>
      <c r="Q1838" s="49">
        <f>+M1838-F1838</f>
        <v>4.3599999999999994</v>
      </c>
      <c r="R1838" s="9"/>
    </row>
    <row r="1839" spans="1:18" x14ac:dyDescent="0.25">
      <c r="A1839" s="9" t="s">
        <v>235</v>
      </c>
      <c r="B1839" s="9">
        <f>ROW() - ROW(TablaCosechas[[#Headers],[ID]]) - 4</f>
        <v>1834</v>
      </c>
      <c r="C1839" s="9" t="str">
        <f>LEFT(A1839,2)</f>
        <v>ME</v>
      </c>
      <c r="D1839" s="182" t="s">
        <v>366</v>
      </c>
      <c r="E1839" s="178">
        <v>10200</v>
      </c>
      <c r="F1839" s="19">
        <v>30.8</v>
      </c>
      <c r="G1839" s="195">
        <v>46155</v>
      </c>
      <c r="H1839" s="9" t="str">
        <f>VLOOKUP(TablaCosechas[[#This Row],[COD]],DATOS!$E$3:$F$27,2,0)</f>
        <v>MERO</v>
      </c>
      <c r="I1839" s="9" t="str">
        <f>RIGHT(TablaCosechas[[#This Row],[SECTOR/PISCINA]],2)</f>
        <v>18</v>
      </c>
      <c r="J1839" s="9" t="str">
        <f>VLOOKUP(TablaCosechas[[#This Row],[COD]],Tabla7[#All],4,0)</f>
        <v>NESTOR MOGOLLON</v>
      </c>
      <c r="K1839" s="179">
        <f>(TablaCosechas[[#This Row],[libras planta]]*454)/M1839</f>
        <v>125975.74245810058</v>
      </c>
      <c r="L1839" s="178">
        <v>9933.77</v>
      </c>
      <c r="M1839" s="19">
        <v>35.799999999999997</v>
      </c>
      <c r="N1839" s="9" t="str">
        <f>UPPER(TEXT(TablaCosechas[[#This Row],[COSECHA]],"MMMM"))</f>
        <v>MAYO</v>
      </c>
      <c r="O1839" s="9" t="str">
        <f>IF(A1839="DO 29","BAP",IF(A1839="RO 14","BAP",(VLOOKUP(TablaCosechas[[#This Row],[COD]],Tabla7[[CODIGO]:[CERTIFICACION]],3,0))))</f>
        <v>CONVENCIONAL</v>
      </c>
      <c r="P1839" s="180">
        <f>+L1839-E1839</f>
        <v>-266.22999999999956</v>
      </c>
      <c r="Q1839" s="49">
        <f>+M1839-F1839</f>
        <v>4.9999999999999964</v>
      </c>
      <c r="R1839" s="9"/>
    </row>
    <row r="1840" spans="1:18" x14ac:dyDescent="0.25">
      <c r="A1840" s="9" t="s">
        <v>234</v>
      </c>
      <c r="B1840" s="9">
        <f>ROW() - ROW(TablaCosechas[[#Headers],[ID]]) - 4</f>
        <v>1835</v>
      </c>
      <c r="C1840" s="9" t="str">
        <f>LEFT(A1840,2)</f>
        <v>ME</v>
      </c>
      <c r="D1840" s="182" t="s">
        <v>366</v>
      </c>
      <c r="E1840" s="178">
        <v>10000</v>
      </c>
      <c r="F1840" s="19">
        <v>30.5</v>
      </c>
      <c r="G1840" s="195">
        <v>46155</v>
      </c>
      <c r="H1840" s="9" t="str">
        <f>VLOOKUP(TablaCosechas[[#This Row],[COD]],DATOS!$E$3:$F$27,2,0)</f>
        <v>MERO</v>
      </c>
      <c r="I1840" s="9" t="str">
        <f>RIGHT(TablaCosechas[[#This Row],[SECTOR/PISCINA]],2)</f>
        <v>15</v>
      </c>
      <c r="J1840" s="9" t="str">
        <f>VLOOKUP(TablaCosechas[[#This Row],[COD]],Tabla7[#All],4,0)</f>
        <v>NESTOR MOGOLLON</v>
      </c>
      <c r="K1840" s="179">
        <f>(TablaCosechas[[#This Row],[libras planta]]*454)/M1840</f>
        <v>130399.74069834003</v>
      </c>
      <c r="L1840" s="178">
        <v>10035.61</v>
      </c>
      <c r="M1840" s="19">
        <v>34.94</v>
      </c>
      <c r="N1840" s="9" t="str">
        <f>UPPER(TEXT(TablaCosechas[[#This Row],[COSECHA]],"MMMM"))</f>
        <v>MAYO</v>
      </c>
      <c r="O1840" s="9" t="str">
        <f>IF(A1840="DO 29","BAP",IF(A1840="RO 14","BAP",(VLOOKUP(TablaCosechas[[#This Row],[COD]],Tabla7[[CODIGO]:[CERTIFICACION]],3,0))))</f>
        <v>CONVENCIONAL</v>
      </c>
      <c r="P1840" s="180">
        <f>+L1840-E1840</f>
        <v>35.610000000000582</v>
      </c>
      <c r="Q1840" s="49">
        <f>+M1840-F1840</f>
        <v>4.4399999999999977</v>
      </c>
      <c r="R1840" s="9"/>
    </row>
    <row r="1841" spans="1:18" x14ac:dyDescent="0.25">
      <c r="A1841" s="9" t="s">
        <v>219</v>
      </c>
      <c r="B1841" s="9">
        <f>ROW() - ROW(TablaCosechas[[#Headers],[ID]]) - 4</f>
        <v>1836</v>
      </c>
      <c r="C1841" s="9" t="str">
        <f>LEFT(A1841,2)</f>
        <v>DO</v>
      </c>
      <c r="D1841" s="182" t="s">
        <v>366</v>
      </c>
      <c r="E1841" s="178">
        <v>31300</v>
      </c>
      <c r="F1841" s="19">
        <v>30</v>
      </c>
      <c r="G1841" s="195">
        <v>46155</v>
      </c>
      <c r="H1841" s="9" t="str">
        <f>VLOOKUP(TablaCosechas[[#This Row],[COD]],DATOS!$E$3:$F$27,2,0)</f>
        <v>DORADO</v>
      </c>
      <c r="I1841" s="9" t="str">
        <f>RIGHT(TablaCosechas[[#This Row],[SECTOR/PISCINA]],2)</f>
        <v>11</v>
      </c>
      <c r="J1841" s="9" t="str">
        <f>VLOOKUP(TablaCosechas[[#This Row],[COD]],Tabla7[#All],4,0)</f>
        <v>JOSE CEDEÑO</v>
      </c>
      <c r="K1841" s="179">
        <f>(TablaCosechas[[#This Row],[libras planta]]*454)/M1841</f>
        <v>424407.06271576526</v>
      </c>
      <c r="L1841" s="178">
        <v>32494.25</v>
      </c>
      <c r="M1841" s="19">
        <v>34.76</v>
      </c>
      <c r="N1841" s="9" t="str">
        <f>UPPER(TEXT(TablaCosechas[[#This Row],[COSECHA]],"MMMM"))</f>
        <v>MAYO</v>
      </c>
      <c r="O1841" s="9" t="str">
        <f>IF(A1841="DO 29","BAP",IF(A1841="RO 14","BAP",(VLOOKUP(TablaCosechas[[#This Row],[COD]],Tabla7[[CODIGO]:[CERTIFICACION]],3,0))))</f>
        <v>ASC</v>
      </c>
      <c r="P1841" s="180">
        <f>+L1841-E1841</f>
        <v>1194.25</v>
      </c>
      <c r="Q1841" s="49">
        <f>+M1841-F1841</f>
        <v>4.759999999999998</v>
      </c>
      <c r="R1841" s="9"/>
    </row>
    <row r="1842" spans="1:18" x14ac:dyDescent="0.25">
      <c r="A1842" s="9" t="s">
        <v>19</v>
      </c>
      <c r="B1842" s="9">
        <f>ROW() - ROW(TablaCosechas[[#Headers],[ID]]) - 4</f>
        <v>1837</v>
      </c>
      <c r="C1842" s="9" t="str">
        <f>LEFT(A1842,2)</f>
        <v>CH</v>
      </c>
      <c r="D1842" s="182" t="s">
        <v>366</v>
      </c>
      <c r="E1842" s="178">
        <v>14900</v>
      </c>
      <c r="F1842" s="19">
        <v>30</v>
      </c>
      <c r="G1842" s="195">
        <v>46155</v>
      </c>
      <c r="H1842" s="9" t="str">
        <f>VLOOKUP(TablaCosechas[[#This Row],[COD]],DATOS!$E$3:$F$27,2,0)</f>
        <v>CHERNA</v>
      </c>
      <c r="I1842" s="9" t="str">
        <f>RIGHT(TablaCosechas[[#This Row],[SECTOR/PISCINA]],2)</f>
        <v>13</v>
      </c>
      <c r="J1842" s="9" t="str">
        <f>VLOOKUP(TablaCosechas[[#This Row],[COD]],Tabla7[#All],4,0)</f>
        <v>SANTIAGO OBRIEN</v>
      </c>
      <c r="K1842" s="179">
        <f>(TablaCosechas[[#This Row],[libras planta]]*454)/M1842</f>
        <v>227697.78373382622</v>
      </c>
      <c r="L1842" s="178">
        <v>16279.89</v>
      </c>
      <c r="M1842" s="19">
        <v>32.46</v>
      </c>
      <c r="N1842" s="9" t="str">
        <f>UPPER(TEXT(TablaCosechas[[#This Row],[COSECHA]],"MMMM"))</f>
        <v>MAYO</v>
      </c>
      <c r="O1842" s="9" t="str">
        <f>IF(A1842="DO 29","BAP",IF(A1842="RO 14","BAP",(VLOOKUP(TablaCosechas[[#This Row],[COD]],Tabla7[[CODIGO]:[CERTIFICACION]],3,0))))</f>
        <v>ASC</v>
      </c>
      <c r="P1842" s="180">
        <f>+L1842-E1842</f>
        <v>1379.8899999999994</v>
      </c>
      <c r="Q1842" s="181">
        <f>+M1842-F1842</f>
        <v>2.4600000000000009</v>
      </c>
      <c r="R1842" s="9"/>
    </row>
    <row r="1843" spans="1:18" x14ac:dyDescent="0.25">
      <c r="A1843" s="9" t="s">
        <v>163</v>
      </c>
      <c r="B1843" s="9">
        <f>ROW() - ROW(TablaCosechas[[#Headers],[ID]]) - 4</f>
        <v>1838</v>
      </c>
      <c r="C1843" s="9" t="str">
        <f>LEFT(A1843,2)</f>
        <v>WA</v>
      </c>
      <c r="D1843" s="182" t="s">
        <v>366</v>
      </c>
      <c r="E1843" s="178">
        <v>24000</v>
      </c>
      <c r="F1843" s="19">
        <v>30</v>
      </c>
      <c r="G1843" s="195">
        <v>46156</v>
      </c>
      <c r="H1843" s="9" t="str">
        <f>VLOOKUP(TablaCosechas[[#This Row],[COD]],DATOS!$E$3:$F$27,2,0)</f>
        <v>WAHOO</v>
      </c>
      <c r="I1843" s="9" t="str">
        <f>RIGHT(TablaCosechas[[#This Row],[SECTOR/PISCINA]],2)</f>
        <v>37</v>
      </c>
      <c r="J1843" s="9" t="str">
        <f>VLOOKUP(TablaCosechas[[#This Row],[COD]],Tabla7[#All],4,0)</f>
        <v>JUNIOR ESQUIVEL</v>
      </c>
      <c r="K1843" s="179">
        <f>(TablaCosechas[[#This Row],[libras planta]]*454)/M1843</f>
        <v>449325.45260989008</v>
      </c>
      <c r="L1843" s="178">
        <v>28820.17</v>
      </c>
      <c r="M1843" s="205">
        <v>29.12</v>
      </c>
      <c r="N1843" s="9" t="str">
        <f>UPPER(TEXT(TablaCosechas[[#This Row],[COSECHA]],"MMMM"))</f>
        <v>MAYO</v>
      </c>
      <c r="O1843" s="9" t="str">
        <f>IF(A1843="DO 29","BAP",IF(A1843="RO 14","BAP",(VLOOKUP(TablaCosechas[[#This Row],[COD]],Tabla7[[CODIGO]:[CERTIFICACION]],3,0))))</f>
        <v>CONVENCIONAL</v>
      </c>
      <c r="P1843" s="180">
        <f>+L1843-E1843</f>
        <v>4820.1699999999983</v>
      </c>
      <c r="Q1843" s="181">
        <f>+M1843-F1843</f>
        <v>-0.87999999999999901</v>
      </c>
      <c r="R1843" s="9"/>
    </row>
    <row r="1844" spans="1:18" x14ac:dyDescent="0.25">
      <c r="A1844" s="9" t="s">
        <v>257</v>
      </c>
      <c r="B1844" s="9">
        <f>ROW() - ROW(TablaCosechas[[#Headers],[ID]]) - 4</f>
        <v>1839</v>
      </c>
      <c r="C1844" s="9" t="str">
        <f>LEFT(A1844,2)</f>
        <v>WA</v>
      </c>
      <c r="D1844" s="182" t="s">
        <v>366</v>
      </c>
      <c r="E1844" s="178">
        <v>11500</v>
      </c>
      <c r="F1844" s="19">
        <v>31</v>
      </c>
      <c r="G1844" s="195">
        <v>46156</v>
      </c>
      <c r="H1844" s="9" t="str">
        <f>VLOOKUP(TablaCosechas[[#This Row],[COD]],DATOS!$E$3:$F$27,2,0)</f>
        <v>WAHOO</v>
      </c>
      <c r="I1844" s="9" t="str">
        <f>RIGHT(TablaCosechas[[#This Row],[SECTOR/PISCINA]],2)</f>
        <v>21</v>
      </c>
      <c r="J1844" s="9" t="str">
        <f>VLOOKUP(TablaCosechas[[#This Row],[COD]],Tabla7[#All],4,0)</f>
        <v>JUNIOR ESQUIVEL</v>
      </c>
      <c r="K1844" s="179">
        <f>(TablaCosechas[[#This Row],[libras planta]]*454)/M1844</f>
        <v>163740.50887198988</v>
      </c>
      <c r="L1844" s="178">
        <v>11382.49</v>
      </c>
      <c r="M1844" s="205">
        <v>31.56</v>
      </c>
      <c r="N1844" s="9" t="str">
        <f>UPPER(TEXT(TablaCosechas[[#This Row],[COSECHA]],"MMMM"))</f>
        <v>MAYO</v>
      </c>
      <c r="O1844" s="9" t="str">
        <f>IF(A1844="DO 29","BAP",IF(A1844="RO 14","BAP",(VLOOKUP(TablaCosechas[[#This Row],[COD]],Tabla7[[CODIGO]:[CERTIFICACION]],3,0))))</f>
        <v>CONVENCIONAL</v>
      </c>
      <c r="P1844" s="180">
        <f>+L1844-E1844</f>
        <v>-117.51000000000022</v>
      </c>
      <c r="Q1844" s="181">
        <f>+M1844-F1844</f>
        <v>0.55999999999999872</v>
      </c>
      <c r="R1844" s="9"/>
    </row>
    <row r="1845" spans="1:18" x14ac:dyDescent="0.25">
      <c r="A1845" s="9" t="s">
        <v>239</v>
      </c>
      <c r="B1845" s="9">
        <f>ROW() - ROW(TablaCosechas[[#Headers],[ID]]) - 4</f>
        <v>1840</v>
      </c>
      <c r="C1845" s="9" t="str">
        <f>LEFT(A1845,2)</f>
        <v>TA</v>
      </c>
      <c r="D1845" s="182" t="s">
        <v>366</v>
      </c>
      <c r="E1845" s="178">
        <v>56900</v>
      </c>
      <c r="F1845" s="19">
        <v>30</v>
      </c>
      <c r="G1845" s="195">
        <v>46156</v>
      </c>
      <c r="H1845" s="9" t="str">
        <f>VLOOKUP(TablaCosechas[[#This Row],[COD]],DATOS!$E$3:$F$27,2,0)</f>
        <v>TAMBULERO</v>
      </c>
      <c r="I1845" s="9" t="str">
        <f>RIGHT(TablaCosechas[[#This Row],[SECTOR/PISCINA]],2)</f>
        <v>7A</v>
      </c>
      <c r="J1845" s="9" t="str">
        <f>VLOOKUP(TablaCosechas[[#This Row],[COD]],Tabla7[#All],4,0)</f>
        <v>ALFONSO GRUNAUER</v>
      </c>
      <c r="K1845" s="179">
        <f>(TablaCosechas[[#This Row],[libras planta]]*454)/M1845</f>
        <v>919967.54922443803</v>
      </c>
      <c r="L1845" s="178">
        <v>64012.72</v>
      </c>
      <c r="M1845" s="205">
        <v>31.59</v>
      </c>
      <c r="N1845" s="9" t="str">
        <f>UPPER(TEXT(TablaCosechas[[#This Row],[COSECHA]],"MMMM"))</f>
        <v>MAYO</v>
      </c>
      <c r="O1845" s="9" t="str">
        <f>IF(A1845="DO 29","BAP",IF(A1845="RO 14","BAP",(VLOOKUP(TablaCosechas[[#This Row],[COD]],Tabla7[[CODIGO]:[CERTIFICACION]],3,0))))</f>
        <v>CONVENCIONAL</v>
      </c>
      <c r="P1845" s="180">
        <f>+L1845-E1845</f>
        <v>7112.7200000000012</v>
      </c>
      <c r="Q1845" s="181">
        <f>+M1845-F1845</f>
        <v>1.5899999999999999</v>
      </c>
      <c r="R1845" s="9"/>
    </row>
    <row r="1846" spans="1:18" x14ac:dyDescent="0.25">
      <c r="A1846" s="9" t="s">
        <v>230</v>
      </c>
      <c r="B1846" s="9">
        <f>ROW() - ROW(TablaCosechas[[#Headers],[ID]]) - 4</f>
        <v>1841</v>
      </c>
      <c r="C1846" s="9" t="str">
        <f>LEFT(A1846,2)</f>
        <v>TA</v>
      </c>
      <c r="D1846" s="182" t="s">
        <v>366</v>
      </c>
      <c r="E1846" s="178">
        <v>15450</v>
      </c>
      <c r="F1846" s="19">
        <v>31</v>
      </c>
      <c r="G1846" s="195">
        <v>46156</v>
      </c>
      <c r="H1846" s="9" t="str">
        <f>VLOOKUP(TablaCosechas[[#This Row],[COD]],DATOS!$E$3:$F$27,2,0)</f>
        <v>TAMBULERO</v>
      </c>
      <c r="I1846" s="9" t="str">
        <f>RIGHT(TablaCosechas[[#This Row],[SECTOR/PISCINA]],2)</f>
        <v>26</v>
      </c>
      <c r="J1846" s="9" t="str">
        <f>VLOOKUP(TablaCosechas[[#This Row],[COD]],Tabla7[#All],4,0)</f>
        <v>ALFONSO GRUNAUER</v>
      </c>
      <c r="K1846" s="179">
        <f>(TablaCosechas[[#This Row],[libras planta]]*454)/M1846</f>
        <v>222473.59039715471</v>
      </c>
      <c r="L1846" s="178">
        <v>16533.61</v>
      </c>
      <c r="M1846" s="205">
        <v>33.74</v>
      </c>
      <c r="N1846" s="9" t="str">
        <f>UPPER(TEXT(TablaCosechas[[#This Row],[COSECHA]],"MMMM"))</f>
        <v>MAYO</v>
      </c>
      <c r="O1846" s="9" t="str">
        <f>IF(A1846="DO 29","BAP",IF(A1846="RO 14","BAP",(VLOOKUP(TablaCosechas[[#This Row],[COD]],Tabla7[[CODIGO]:[CERTIFICACION]],3,0))))</f>
        <v>CONVENCIONAL</v>
      </c>
      <c r="P1846" s="180">
        <f>+L1846-E1846</f>
        <v>1083.6100000000006</v>
      </c>
      <c r="Q1846" s="181">
        <f>+M1846-F1846</f>
        <v>2.740000000000002</v>
      </c>
      <c r="R1846" s="9"/>
    </row>
    <row r="1847" spans="1:18" x14ac:dyDescent="0.25">
      <c r="A1847" s="9" t="s">
        <v>285</v>
      </c>
      <c r="B1847" s="9">
        <f>ROW() - ROW(TablaCosechas[[#Headers],[ID]]) - 4</f>
        <v>1842</v>
      </c>
      <c r="C1847" s="9" t="str">
        <f>LEFT(A1847,2)</f>
        <v>RO</v>
      </c>
      <c r="D1847" s="182" t="s">
        <v>367</v>
      </c>
      <c r="E1847" s="178">
        <v>17200</v>
      </c>
      <c r="F1847" s="19">
        <v>21</v>
      </c>
      <c r="G1847" s="195">
        <v>46156</v>
      </c>
      <c r="H1847" s="9" t="str">
        <f>VLOOKUP(TablaCosechas[[#This Row],[COD]],DATOS!$E$3:$F$27,2,0)</f>
        <v>ROBALO</v>
      </c>
      <c r="I1847" s="9" t="str">
        <f>RIGHT(TablaCosechas[[#This Row],[SECTOR/PISCINA]],2)</f>
        <v>05</v>
      </c>
      <c r="J1847" s="9" t="str">
        <f>VLOOKUP(TablaCosechas[[#This Row],[COD]],Tabla7[#All],4,0)</f>
        <v>VICTOR QUINTANA</v>
      </c>
      <c r="K1847" s="179">
        <f>(TablaCosechas[[#This Row],[libras planta]]*454)/M1847</f>
        <v>348325.99220103986</v>
      </c>
      <c r="L1847" s="178">
        <v>17707.849999999999</v>
      </c>
      <c r="M1847" s="205">
        <v>23.08</v>
      </c>
      <c r="N1847" s="9" t="str">
        <f>UPPER(TEXT(TablaCosechas[[#This Row],[COSECHA]],"MMMM"))</f>
        <v>MAYO</v>
      </c>
      <c r="O1847" s="9" t="str">
        <f>IF(A1847="DO 29","BAP",IF(A1847="RO 14","BAP",(VLOOKUP(TablaCosechas[[#This Row],[COD]],Tabla7[[CODIGO]:[CERTIFICACION]],3,0))))</f>
        <v>ASC</v>
      </c>
      <c r="P1847" s="180">
        <f>+L1847-E1847</f>
        <v>507.84999999999854</v>
      </c>
      <c r="Q1847" s="181">
        <f>+M1847-F1847</f>
        <v>2.0799999999999983</v>
      </c>
      <c r="R1847" s="9"/>
    </row>
    <row r="1848" spans="1:18" x14ac:dyDescent="0.25">
      <c r="A1848" s="9" t="s">
        <v>381</v>
      </c>
      <c r="B1848" s="9">
        <f>ROW() - ROW(TablaCosechas[[#Headers],[ID]]) - 4</f>
        <v>1843</v>
      </c>
      <c r="C1848" s="9" t="str">
        <f>LEFT(A1848,2)</f>
        <v>PI</v>
      </c>
      <c r="D1848" s="182" t="s">
        <v>367</v>
      </c>
      <c r="E1848" s="178">
        <v>10450</v>
      </c>
      <c r="F1848" s="19">
        <v>20.5</v>
      </c>
      <c r="G1848" s="195">
        <v>46156</v>
      </c>
      <c r="H1848" s="9" t="str">
        <f>VLOOKUP(TablaCosechas[[#This Row],[COD]],DATOS!$E$3:$F$27,2,0)</f>
        <v>PICUDO</v>
      </c>
      <c r="I1848" s="9" t="str">
        <f>RIGHT(TablaCosechas[[#This Row],[SECTOR/PISCINA]],2)</f>
        <v>06</v>
      </c>
      <c r="J1848" s="9" t="str">
        <f>VLOOKUP(TablaCosechas[[#This Row],[COD]],Tabla7[#All],4,0)</f>
        <v>NESTOR MOGOLLON</v>
      </c>
      <c r="K1848" s="179">
        <f>(TablaCosechas[[#This Row],[libras planta]]*454)/M1848</f>
        <v>197628.89860139857</v>
      </c>
      <c r="L1848" s="178">
        <v>9959.7999999999993</v>
      </c>
      <c r="M1848" s="205">
        <v>22.88</v>
      </c>
      <c r="N1848" s="9" t="str">
        <f>UPPER(TEXT(TablaCosechas[[#This Row],[COSECHA]],"MMMM"))</f>
        <v>MAYO</v>
      </c>
      <c r="O1848" s="9" t="str">
        <f>IF(A1848="DO 29","BAP",IF(A1848="RO 14","BAP",(VLOOKUP(TablaCosechas[[#This Row],[COD]],Tabla7[[CODIGO]:[CERTIFICACION]],3,0))))</f>
        <v>CONVENCIONAL</v>
      </c>
      <c r="P1848" s="180">
        <f>+L1848-E1848</f>
        <v>-490.20000000000073</v>
      </c>
      <c r="Q1848" s="181">
        <f>+M1848-F1848</f>
        <v>2.379999999999999</v>
      </c>
      <c r="R1848" s="9"/>
    </row>
    <row r="1849" spans="1:18" x14ac:dyDescent="0.25">
      <c r="A1849" s="9" t="s">
        <v>244</v>
      </c>
      <c r="B1849" s="9">
        <f>ROW() - ROW(TablaCosechas[[#Headers],[ID]]) - 4</f>
        <v>1844</v>
      </c>
      <c r="C1849" s="9" t="str">
        <f>LEFT(A1849,2)</f>
        <v>PA</v>
      </c>
      <c r="D1849" s="182" t="s">
        <v>366</v>
      </c>
      <c r="E1849" s="178">
        <v>23150</v>
      </c>
      <c r="F1849" s="19">
        <v>28</v>
      </c>
      <c r="G1849" s="195">
        <v>46156</v>
      </c>
      <c r="H1849" s="9" t="str">
        <f>VLOOKUP(TablaCosechas[[#This Row],[COD]],DATOS!$E$3:$F$27,2,0)</f>
        <v>PAMPANO</v>
      </c>
      <c r="I1849" s="9" t="str">
        <f>RIGHT(TablaCosechas[[#This Row],[SECTOR/PISCINA]],2)</f>
        <v>03</v>
      </c>
      <c r="J1849" s="9" t="str">
        <f>VLOOKUP(TablaCosechas[[#This Row],[COD]],Tabla7[#All],4,0)</f>
        <v>GUSTAVO CARRASCO</v>
      </c>
      <c r="K1849" s="179">
        <f>(TablaCosechas[[#This Row],[libras planta]]*454)/M1849</f>
        <v>335895.52746566792</v>
      </c>
      <c r="L1849" s="178">
        <v>23705.05</v>
      </c>
      <c r="M1849" s="205">
        <v>32.04</v>
      </c>
      <c r="N1849" s="9" t="str">
        <f>UPPER(TEXT(TablaCosechas[[#This Row],[COSECHA]],"MMMM"))</f>
        <v>MAYO</v>
      </c>
      <c r="O1849" s="9" t="str">
        <f>IF(A1849="DO 29","BAP",IF(A1849="RO 14","BAP",(VLOOKUP(TablaCosechas[[#This Row],[COD]],Tabla7[[CODIGO]:[CERTIFICACION]],3,0))))</f>
        <v>ASC</v>
      </c>
      <c r="P1849" s="180">
        <f>+L1849-E1849</f>
        <v>555.04999999999927</v>
      </c>
      <c r="Q1849" s="181">
        <f>+M1849-F1849</f>
        <v>4.0399999999999991</v>
      </c>
      <c r="R1849" s="9"/>
    </row>
    <row r="1850" spans="1:18" x14ac:dyDescent="0.25">
      <c r="A1850" s="9" t="s">
        <v>273</v>
      </c>
      <c r="B1850" s="9">
        <f>ROW() - ROW(TablaCosechas[[#Headers],[ID]]) - 4</f>
        <v>1845</v>
      </c>
      <c r="C1850" s="9" t="str">
        <f>LEFT(A1850,2)</f>
        <v>DE</v>
      </c>
      <c r="D1850" s="182" t="s">
        <v>367</v>
      </c>
      <c r="E1850" s="178">
        <v>8250</v>
      </c>
      <c r="F1850" s="19">
        <v>24</v>
      </c>
      <c r="G1850" s="195">
        <v>46156</v>
      </c>
      <c r="H1850" s="9" t="str">
        <f>VLOOKUP(TablaCosechas[[#This Row],[COD]],DATOS!$E$3:$F$27,2,0)</f>
        <v>DELFIN</v>
      </c>
      <c r="I1850" s="9" t="str">
        <f>RIGHT(TablaCosechas[[#This Row],[SECTOR/PISCINA]],2)</f>
        <v>16</v>
      </c>
      <c r="J1850" s="9" t="str">
        <f>VLOOKUP(TablaCosechas[[#This Row],[COD]],Tabla7[#All],4,0)</f>
        <v>CARLOS FLORES</v>
      </c>
      <c r="K1850" s="179">
        <f>(TablaCosechas[[#This Row],[libras planta]]*454)/M1850</f>
        <v>141224.00672143392</v>
      </c>
      <c r="L1850" s="178">
        <v>8330.35</v>
      </c>
      <c r="M1850" s="205">
        <v>26.78</v>
      </c>
      <c r="N1850" s="9" t="str">
        <f>UPPER(TEXT(TablaCosechas[[#This Row],[COSECHA]],"MMMM"))</f>
        <v>MAYO</v>
      </c>
      <c r="O1850" s="9" t="str">
        <f>IF(A1850="DO 29","BAP",IF(A1850="RO 14","BAP",(VLOOKUP(TablaCosechas[[#This Row],[COD]],Tabla7[[CODIGO]:[CERTIFICACION]],3,0))))</f>
        <v>CONVENCIONAL</v>
      </c>
      <c r="P1850" s="180">
        <f>+L1850-E1850</f>
        <v>80.350000000000364</v>
      </c>
      <c r="Q1850" s="181">
        <f>+M1850-F1850</f>
        <v>2.7800000000000011</v>
      </c>
      <c r="R1850" s="9"/>
    </row>
    <row r="1851" spans="1:18" x14ac:dyDescent="0.25">
      <c r="A1851" s="9" t="s">
        <v>29</v>
      </c>
      <c r="B1851" s="9">
        <f>ROW() - ROW(TablaCosechas[[#Headers],[ID]]) - 4</f>
        <v>1846</v>
      </c>
      <c r="C1851" s="9" t="str">
        <f>LEFT(A1851,2)</f>
        <v>CH</v>
      </c>
      <c r="D1851" s="182" t="s">
        <v>366</v>
      </c>
      <c r="E1851" s="178">
        <v>8500</v>
      </c>
      <c r="F1851" s="19">
        <v>33</v>
      </c>
      <c r="G1851" s="195">
        <v>46156</v>
      </c>
      <c r="H1851" s="9" t="str">
        <f>VLOOKUP(TablaCosechas[[#This Row],[COD]],DATOS!$E$3:$F$27,2,0)</f>
        <v>CHERNA</v>
      </c>
      <c r="I1851" s="9" t="str">
        <f>RIGHT(TablaCosechas[[#This Row],[SECTOR/PISCINA]],2)</f>
        <v>25</v>
      </c>
      <c r="J1851" s="9" t="str">
        <f>VLOOKUP(TablaCosechas[[#This Row],[COD]],Tabla7[#All],4,0)</f>
        <v>SANTIAGO OBRIEN</v>
      </c>
      <c r="K1851" s="179">
        <f>(TablaCosechas[[#This Row],[libras planta]]*454)/M1851</f>
        <v>120792.53788748563</v>
      </c>
      <c r="L1851" s="178">
        <v>9269.6299999999992</v>
      </c>
      <c r="M1851" s="205">
        <v>34.840000000000003</v>
      </c>
      <c r="N1851" s="9" t="str">
        <f>UPPER(TEXT(TablaCosechas[[#This Row],[COSECHA]],"MMMM"))</f>
        <v>MAYO</v>
      </c>
      <c r="O1851" s="9" t="str">
        <f>IF(A1851="DO 29","BAP",IF(A1851="RO 14","BAP",(VLOOKUP(TablaCosechas[[#This Row],[COD]],Tabla7[[CODIGO]:[CERTIFICACION]],3,0))))</f>
        <v>ASC</v>
      </c>
      <c r="P1851" s="180">
        <f>+L1851-E1851</f>
        <v>769.6299999999992</v>
      </c>
      <c r="Q1851" s="181">
        <f>+M1851-F1851</f>
        <v>1.8400000000000034</v>
      </c>
      <c r="R1851" s="9"/>
    </row>
    <row r="1852" spans="1:18" x14ac:dyDescent="0.25">
      <c r="A1852" s="9" t="s">
        <v>248</v>
      </c>
      <c r="B1852" s="9">
        <f>ROW() - ROW(TablaCosechas[[#Headers],[ID]]) - 4</f>
        <v>1847</v>
      </c>
      <c r="C1852" s="9" t="str">
        <f>LEFT(A1852,2)</f>
        <v>TA</v>
      </c>
      <c r="D1852" s="182" t="s">
        <v>366</v>
      </c>
      <c r="E1852" s="178">
        <v>43000</v>
      </c>
      <c r="F1852" s="19">
        <v>33</v>
      </c>
      <c r="G1852" s="195">
        <v>46157</v>
      </c>
      <c r="H1852" s="9" t="str">
        <f>VLOOKUP(TablaCosechas[[#This Row],[COD]],DATOS!$E$3:$F$27,2,0)</f>
        <v>TAMBULERO</v>
      </c>
      <c r="I1852" s="9" t="str">
        <f>RIGHT(TablaCosechas[[#This Row],[SECTOR/PISCINA]],2)</f>
        <v>16</v>
      </c>
      <c r="J1852" s="9" t="str">
        <f>VLOOKUP(TablaCosechas[[#This Row],[COD]],Tabla7[#All],4,0)</f>
        <v>ALFONSO GRUNAUER</v>
      </c>
      <c r="K1852" s="179">
        <f>(TablaCosechas[[#This Row],[libras planta]]*454)/M1852</f>
        <v>603471.65676756133</v>
      </c>
      <c r="L1852" s="215">
        <v>46549.73</v>
      </c>
      <c r="M1852" s="205">
        <v>35.020000000000003</v>
      </c>
      <c r="N1852" s="9" t="str">
        <f>UPPER(TEXT(TablaCosechas[[#This Row],[COSECHA]],"MMMM"))</f>
        <v>MAYO</v>
      </c>
      <c r="O1852" s="9" t="str">
        <f>IF(A1852="DO 29","BAP",IF(A1852="RO 14","BAP",(VLOOKUP(TablaCosechas[[#This Row],[COD]],Tabla7[[CODIGO]:[CERTIFICACION]],3,0))))</f>
        <v>CONVENCIONAL</v>
      </c>
      <c r="P1852" s="180">
        <f>+L1852-E1852</f>
        <v>3549.7300000000032</v>
      </c>
      <c r="Q1852" s="181">
        <f>+M1852-F1852</f>
        <v>2.0200000000000031</v>
      </c>
      <c r="R1852" s="9"/>
    </row>
    <row r="1853" spans="1:18" x14ac:dyDescent="0.25">
      <c r="A1853" s="9" t="s">
        <v>264</v>
      </c>
      <c r="B1853" s="9">
        <f>ROW() - ROW(TablaCosechas[[#Headers],[ID]]) - 4</f>
        <v>1848</v>
      </c>
      <c r="C1853" s="9" t="str">
        <f>LEFT(A1853,2)</f>
        <v>RO</v>
      </c>
      <c r="D1853" s="182" t="s">
        <v>367</v>
      </c>
      <c r="E1853" s="178">
        <v>21900</v>
      </c>
      <c r="F1853" s="19">
        <v>23</v>
      </c>
      <c r="G1853" s="195">
        <v>46157</v>
      </c>
      <c r="H1853" s="9" t="str">
        <f>VLOOKUP(TablaCosechas[[#This Row],[COD]],DATOS!$E$3:$F$27,2,0)</f>
        <v>ROBALO</v>
      </c>
      <c r="I1853" s="9" t="str">
        <f>RIGHT(TablaCosechas[[#This Row],[SECTOR/PISCINA]],2)</f>
        <v>04</v>
      </c>
      <c r="J1853" s="9" t="str">
        <f>VLOOKUP(TablaCosechas[[#This Row],[COD]],Tabla7[#All],4,0)</f>
        <v>VICTOR QUINTANA</v>
      </c>
      <c r="K1853" s="179">
        <f>(TablaCosechas[[#This Row],[libras planta]]*454)/M1853</f>
        <v>406971.40590853902</v>
      </c>
      <c r="L1853" s="178">
        <v>22150.36</v>
      </c>
      <c r="M1853" s="205">
        <v>24.71</v>
      </c>
      <c r="N1853" s="9" t="str">
        <f>UPPER(TEXT(TablaCosechas[[#This Row],[COSECHA]],"MMMM"))</f>
        <v>MAYO</v>
      </c>
      <c r="O1853" s="9" t="str">
        <f>IF(A1853="DO 29","BAP",IF(A1853="RO 14","BAP",(VLOOKUP(TablaCosechas[[#This Row],[COD]],Tabla7[[CODIGO]:[CERTIFICACION]],3,0))))</f>
        <v>ASC</v>
      </c>
      <c r="P1853" s="180">
        <f>+L1853-E1853</f>
        <v>250.36000000000058</v>
      </c>
      <c r="Q1853" s="181">
        <f>+M1853-F1853</f>
        <v>1.7100000000000009</v>
      </c>
      <c r="R1853" s="9"/>
    </row>
    <row r="1854" spans="1:18" x14ac:dyDescent="0.25">
      <c r="A1854" s="9" t="s">
        <v>382</v>
      </c>
      <c r="B1854" s="9">
        <f>ROW() - ROW(TablaCosechas[[#Headers],[ID]]) - 4</f>
        <v>1849</v>
      </c>
      <c r="C1854" s="9" t="str">
        <f>LEFT(A1854,2)</f>
        <v>PI</v>
      </c>
      <c r="D1854" s="182" t="s">
        <v>367</v>
      </c>
      <c r="E1854" s="178">
        <v>6000</v>
      </c>
      <c r="F1854" s="19">
        <v>16</v>
      </c>
      <c r="G1854" s="195">
        <v>46157</v>
      </c>
      <c r="H1854" s="9" t="str">
        <f>VLOOKUP(TablaCosechas[[#This Row],[COD]],DATOS!$E$3:$F$27,2,0)</f>
        <v>PICUDO</v>
      </c>
      <c r="I1854" s="9" t="str">
        <f>RIGHT(TablaCosechas[[#This Row],[SECTOR/PISCINA]],2)</f>
        <v>05</v>
      </c>
      <c r="J1854" s="9" t="str">
        <f>VLOOKUP(TablaCosechas[[#This Row],[COD]],Tabla7[#All],4,0)</f>
        <v>NESTOR MOGOLLON</v>
      </c>
      <c r="K1854" s="179">
        <f>(TablaCosechas[[#This Row],[libras planta]]*454)/M1854</f>
        <v>146151.68000000002</v>
      </c>
      <c r="L1854" s="178">
        <v>5633.6</v>
      </c>
      <c r="M1854" s="205">
        <v>17.5</v>
      </c>
      <c r="N1854" s="9" t="str">
        <f>UPPER(TEXT(TablaCosechas[[#This Row],[COSECHA]],"MMMM"))</f>
        <v>MAYO</v>
      </c>
      <c r="O1854" s="9" t="str">
        <f>IF(A1854="DO 29","BAP",IF(A1854="RO 14","BAP",(VLOOKUP(TablaCosechas[[#This Row],[COD]],Tabla7[[CODIGO]:[CERTIFICACION]],3,0))))</f>
        <v>CONVENCIONAL</v>
      </c>
      <c r="P1854" s="180">
        <f>+L1854-E1854</f>
        <v>-366.39999999999964</v>
      </c>
      <c r="Q1854" s="181">
        <f>+M1854-F1854</f>
        <v>1.5</v>
      </c>
      <c r="R1854" s="9"/>
    </row>
    <row r="1855" spans="1:18" x14ac:dyDescent="0.25">
      <c r="A1855" s="9" t="s">
        <v>175</v>
      </c>
      <c r="B1855" s="9">
        <f>ROW() - ROW(TablaCosechas[[#Headers],[ID]]) - 4</f>
        <v>1850</v>
      </c>
      <c r="C1855" s="9" t="str">
        <f>LEFT(A1855,2)</f>
        <v>PA</v>
      </c>
      <c r="D1855" s="182" t="s">
        <v>366</v>
      </c>
      <c r="E1855" s="178">
        <v>14500</v>
      </c>
      <c r="F1855" s="19">
        <v>37</v>
      </c>
      <c r="G1855" s="195">
        <v>46157</v>
      </c>
      <c r="H1855" s="9" t="str">
        <f>VLOOKUP(TablaCosechas[[#This Row],[COD]],DATOS!$E$3:$F$27,2,0)</f>
        <v>PAMPANO</v>
      </c>
      <c r="I1855" s="9" t="str">
        <f>RIGHT(TablaCosechas[[#This Row],[SECTOR/PISCINA]],2)</f>
        <v>09</v>
      </c>
      <c r="J1855" s="9" t="str">
        <f>VLOOKUP(TablaCosechas[[#This Row],[COD]],Tabla7[#All],4,0)</f>
        <v>GUSTAVO CARRASCO</v>
      </c>
      <c r="K1855" s="179">
        <f>(TablaCosechas[[#This Row],[libras planta]]*454)/M1855</f>
        <v>181004.3387892959</v>
      </c>
      <c r="L1855" s="178">
        <v>15345.5</v>
      </c>
      <c r="M1855" s="205">
        <v>38.49</v>
      </c>
      <c r="N1855" s="9" t="str">
        <f>UPPER(TEXT(TablaCosechas[[#This Row],[COSECHA]],"MMMM"))</f>
        <v>MAYO</v>
      </c>
      <c r="O1855" s="9" t="str">
        <f>IF(A1855="DO 29","BAP",IF(A1855="RO 14","BAP",(VLOOKUP(TablaCosechas[[#This Row],[COD]],Tabla7[[CODIGO]:[CERTIFICACION]],3,0))))</f>
        <v>ASC</v>
      </c>
      <c r="P1855" s="180">
        <f>+L1855-E1855</f>
        <v>845.5</v>
      </c>
      <c r="Q1855" s="181">
        <f>+M1855-F1855</f>
        <v>1.490000000000002</v>
      </c>
      <c r="R1855" s="9"/>
    </row>
    <row r="1856" spans="1:18" x14ac:dyDescent="0.25">
      <c r="A1856" s="9" t="s">
        <v>304</v>
      </c>
      <c r="B1856" s="9">
        <f>ROW() - ROW(TablaCosechas[[#Headers],[ID]]) - 4</f>
        <v>1851</v>
      </c>
      <c r="C1856" s="9" t="str">
        <f>LEFT(A1856,2)</f>
        <v>PA</v>
      </c>
      <c r="D1856" s="182" t="s">
        <v>367</v>
      </c>
      <c r="E1856" s="178">
        <v>7000</v>
      </c>
      <c r="F1856" s="19">
        <v>15</v>
      </c>
      <c r="G1856" s="195">
        <v>46157</v>
      </c>
      <c r="H1856" s="9" t="str">
        <f>VLOOKUP(TablaCosechas[[#This Row],[COD]],DATOS!$E$3:$F$27,2,0)</f>
        <v>PAMPANO</v>
      </c>
      <c r="I1856" s="9" t="str">
        <f>RIGHT(TablaCosechas[[#This Row],[SECTOR/PISCINA]],2)</f>
        <v>06</v>
      </c>
      <c r="J1856" s="9" t="str">
        <f>VLOOKUP(TablaCosechas[[#This Row],[COD]],Tabla7[#All],4,0)</f>
        <v>GUSTAVO CARRASCO</v>
      </c>
      <c r="K1856" s="179">
        <f>(TablaCosechas[[#This Row],[libras planta]]*454)/M1856</f>
        <v>177034.99710144929</v>
      </c>
      <c r="L1856" s="178">
        <v>6726.55</v>
      </c>
      <c r="M1856" s="205">
        <v>17.25</v>
      </c>
      <c r="N1856" s="9" t="str">
        <f>UPPER(TEXT(TablaCosechas[[#This Row],[COSECHA]],"MMMM"))</f>
        <v>MAYO</v>
      </c>
      <c r="O1856" s="9" t="str">
        <f>IF(A1856="DO 29","BAP",IF(A1856="RO 14","BAP",(VLOOKUP(TablaCosechas[[#This Row],[COD]],Tabla7[[CODIGO]:[CERTIFICACION]],3,0))))</f>
        <v>ASC</v>
      </c>
      <c r="P1856" s="180">
        <f>+L1856-E1856</f>
        <v>-273.44999999999982</v>
      </c>
      <c r="Q1856" s="181">
        <f>+M1856-F1856</f>
        <v>2.25</v>
      </c>
      <c r="R1856" s="9"/>
    </row>
    <row r="1857" spans="1:18" x14ac:dyDescent="0.25">
      <c r="A1857" s="9" t="s">
        <v>12</v>
      </c>
      <c r="B1857" s="9">
        <f>ROW() - ROW(TablaCosechas[[#Headers],[ID]]) - 4</f>
        <v>1852</v>
      </c>
      <c r="C1857" s="9" t="str">
        <f>LEFT(A1857,2)</f>
        <v>CH</v>
      </c>
      <c r="D1857" s="182" t="s">
        <v>367</v>
      </c>
      <c r="E1857" s="178">
        <v>4400</v>
      </c>
      <c r="F1857" s="19">
        <v>21</v>
      </c>
      <c r="G1857" s="195">
        <v>46157</v>
      </c>
      <c r="H1857" s="9" t="str">
        <f>VLOOKUP(TablaCosechas[[#This Row],[COD]],DATOS!$E$3:$F$27,2,0)</f>
        <v>CHERNA</v>
      </c>
      <c r="I1857" s="9" t="str">
        <f>RIGHT(TablaCosechas[[#This Row],[SECTOR/PISCINA]],2)</f>
        <v>06</v>
      </c>
      <c r="J1857" s="9" t="str">
        <f>VLOOKUP(TablaCosechas[[#This Row],[COD]],Tabla7[#All],4,0)</f>
        <v>SANTIAGO OBRIEN</v>
      </c>
      <c r="K1857" s="179">
        <f>(TablaCosechas[[#This Row],[libras planta]]*454)/M1857</f>
        <v>106206.76007866273</v>
      </c>
      <c r="L1857" s="178">
        <v>4758.25</v>
      </c>
      <c r="M1857" s="205">
        <v>20.34</v>
      </c>
      <c r="N1857" s="9" t="str">
        <f>UPPER(TEXT(TablaCosechas[[#This Row],[COSECHA]],"MMMM"))</f>
        <v>MAYO</v>
      </c>
      <c r="O1857" s="9" t="str">
        <f>IF(A1857="DO 29","BAP",IF(A1857="RO 14","BAP",(VLOOKUP(TablaCosechas[[#This Row],[COD]],Tabla7[[CODIGO]:[CERTIFICACION]],3,0))))</f>
        <v>ASC</v>
      </c>
      <c r="P1857" s="180">
        <f>+L1857-E1857</f>
        <v>358.25</v>
      </c>
      <c r="Q1857" s="181">
        <f>+M1857-F1857</f>
        <v>-0.66000000000000014</v>
      </c>
      <c r="R1857" s="9"/>
    </row>
    <row r="1858" spans="1:18" x14ac:dyDescent="0.25">
      <c r="A1858" s="9" t="s">
        <v>349</v>
      </c>
      <c r="B1858" s="9">
        <f>ROW() - ROW(TablaCosechas[[#Headers],[ID]]) - 4</f>
        <v>1853</v>
      </c>
      <c r="C1858" s="9" t="str">
        <f>LEFT(A1858,2)</f>
        <v>WA</v>
      </c>
      <c r="D1858" s="182" t="s">
        <v>366</v>
      </c>
      <c r="E1858" s="178">
        <v>20650</v>
      </c>
      <c r="F1858" s="19">
        <v>28</v>
      </c>
      <c r="G1858" s="195">
        <v>46158</v>
      </c>
      <c r="H1858" s="9" t="str">
        <f>VLOOKUP(TablaCosechas[[#This Row],[COD]],DATOS!$E$3:$F$27,2,0)</f>
        <v>WAHOO</v>
      </c>
      <c r="I1858" s="9" t="str">
        <f>RIGHT(TablaCosechas[[#This Row],[SECTOR/PISCINA]],2)</f>
        <v>28</v>
      </c>
      <c r="J1858" s="9" t="str">
        <f>VLOOKUP(TablaCosechas[[#This Row],[COD]],Tabla7[#All],4,0)</f>
        <v>JUNIOR ESQUIVEL</v>
      </c>
      <c r="K1858" s="179">
        <f>(TablaCosechas[[#This Row],[libras planta]]*454)/M1858</f>
        <v>343285.08586883033</v>
      </c>
      <c r="L1858" s="178">
        <v>22366.46</v>
      </c>
      <c r="M1858" s="19">
        <v>29.58</v>
      </c>
      <c r="N1858" s="9" t="str">
        <f>UPPER(TEXT(TablaCosechas[[#This Row],[COSECHA]],"MMMM"))</f>
        <v>MAYO</v>
      </c>
      <c r="O1858" s="9" t="str">
        <f>IF(A1858="DO 29","BAP",IF(A1858="RO 14","BAP",(VLOOKUP(TablaCosechas[[#This Row],[COD]],Tabla7[[CODIGO]:[CERTIFICACION]],3,0))))</f>
        <v>CONVENCIONAL</v>
      </c>
      <c r="P1858" s="180">
        <f>+L1858-E1858</f>
        <v>1716.4599999999991</v>
      </c>
      <c r="Q1858" s="181">
        <f>+M1858-F1858</f>
        <v>1.5799999999999983</v>
      </c>
      <c r="R1858" s="9"/>
    </row>
    <row r="1859" spans="1:18" x14ac:dyDescent="0.25">
      <c r="A1859" s="9" t="s">
        <v>109</v>
      </c>
      <c r="B1859" s="9">
        <f>ROW() - ROW(TablaCosechas[[#Headers],[ID]]) - 4</f>
        <v>1854</v>
      </c>
      <c r="C1859" s="9" t="str">
        <f>LEFT(A1859,2)</f>
        <v>TI</v>
      </c>
      <c r="D1859" s="182" t="s">
        <v>367</v>
      </c>
      <c r="E1859" s="178">
        <v>3900</v>
      </c>
      <c r="F1859" s="19">
        <v>27</v>
      </c>
      <c r="G1859" s="195">
        <v>46158</v>
      </c>
      <c r="H1859" s="9" t="str">
        <f>VLOOKUP(TablaCosechas[[#This Row],[COD]],DATOS!$E$3:$F$27,2,0)</f>
        <v>TIBURON</v>
      </c>
      <c r="I1859" s="9" t="str">
        <f>RIGHT(TablaCosechas[[#This Row],[SECTOR/PISCINA]],2)</f>
        <v>19</v>
      </c>
      <c r="J1859" s="9" t="str">
        <f>VLOOKUP(TablaCosechas[[#This Row],[COD]],Tabla7[#All],4,0)</f>
        <v>ALFONSO GRUNAUER</v>
      </c>
      <c r="K1859" s="179">
        <f>(TablaCosechas[[#This Row],[libras planta]]*454)/M1859</f>
        <v>75582.202768166098</v>
      </c>
      <c r="L1859" s="178">
        <v>4811.29</v>
      </c>
      <c r="M1859" s="19">
        <v>28.9</v>
      </c>
      <c r="N1859" s="9" t="str">
        <f>UPPER(TEXT(TablaCosechas[[#This Row],[COSECHA]],"MMMM"))</f>
        <v>MAYO</v>
      </c>
      <c r="O1859" s="9" t="str">
        <f>IF(A1859="DO 29","BAP",IF(A1859="RO 14","BAP",(VLOOKUP(TablaCosechas[[#This Row],[COD]],Tabla7[[CODIGO]:[CERTIFICACION]],3,0))))</f>
        <v>ASC</v>
      </c>
      <c r="P1859" s="180">
        <f>+L1859-E1859</f>
        <v>911.29</v>
      </c>
      <c r="Q1859" s="181">
        <f>+M1859-F1859</f>
        <v>1.8999999999999986</v>
      </c>
      <c r="R1859" s="9"/>
    </row>
    <row r="1860" spans="1:18" x14ac:dyDescent="0.25">
      <c r="A1860" s="9" t="s">
        <v>255</v>
      </c>
      <c r="B1860" s="9">
        <f>ROW() - ROW(TablaCosechas[[#Headers],[ID]]) - 4</f>
        <v>1855</v>
      </c>
      <c r="C1860" s="9" t="str">
        <f>LEFT(A1860,2)</f>
        <v>RO</v>
      </c>
      <c r="D1860" s="182" t="s">
        <v>366</v>
      </c>
      <c r="E1860" s="178">
        <v>15450</v>
      </c>
      <c r="F1860" s="19">
        <v>32</v>
      </c>
      <c r="G1860" s="195">
        <v>46158</v>
      </c>
      <c r="H1860" s="9" t="str">
        <f>VLOOKUP(TablaCosechas[[#This Row],[COD]],DATOS!$E$3:$F$27,2,0)</f>
        <v>ROBALO</v>
      </c>
      <c r="I1860" s="9" t="str">
        <f>RIGHT(TablaCosechas[[#This Row],[SECTOR/PISCINA]],2)</f>
        <v>10</v>
      </c>
      <c r="J1860" s="9" t="str">
        <f>VLOOKUP(TablaCosechas[[#This Row],[COD]],Tabla7[#All],4,0)</f>
        <v>VICTOR QUINTANA</v>
      </c>
      <c r="K1860" s="179">
        <f>(TablaCosechas[[#This Row],[libras planta]]*454)/M1860</f>
        <v>207670.47377622378</v>
      </c>
      <c r="L1860" s="178">
        <v>15698.79</v>
      </c>
      <c r="M1860" s="19">
        <v>34.32</v>
      </c>
      <c r="N1860" s="9" t="str">
        <f>UPPER(TEXT(TablaCosechas[[#This Row],[COSECHA]],"MMMM"))</f>
        <v>MAYO</v>
      </c>
      <c r="O1860" s="9" t="str">
        <f>IF(A1860="DO 29","BAP",IF(A1860="RO 14","BAP",(VLOOKUP(TablaCosechas[[#This Row],[COD]],Tabla7[[CODIGO]:[CERTIFICACION]],3,0))))</f>
        <v>ASC</v>
      </c>
      <c r="P1860" s="180">
        <f>+L1860-E1860</f>
        <v>248.79000000000087</v>
      </c>
      <c r="Q1860" s="181">
        <f>+M1860-F1860</f>
        <v>2.3200000000000003</v>
      </c>
      <c r="R1860" s="9"/>
    </row>
    <row r="1861" spans="1:18" x14ac:dyDescent="0.25">
      <c r="A1861" s="9" t="s">
        <v>271</v>
      </c>
      <c r="B1861" s="9">
        <f>ROW() - ROW(TablaCosechas[[#Headers],[ID]]) - 4</f>
        <v>1856</v>
      </c>
      <c r="C1861" s="9" t="str">
        <f>LEFT(A1861,2)</f>
        <v>MA</v>
      </c>
      <c r="D1861" s="182" t="s">
        <v>367</v>
      </c>
      <c r="E1861" s="178">
        <v>7500</v>
      </c>
      <c r="F1861" s="19">
        <v>18.5</v>
      </c>
      <c r="G1861" s="195">
        <v>46158</v>
      </c>
      <c r="H1861" s="9" t="str">
        <f>VLOOKUP(TablaCosechas[[#This Row],[COD]],DATOS!$E$3:$F$27,2,0)</f>
        <v>MANTARRAYA</v>
      </c>
      <c r="I1861" s="9" t="str">
        <f>RIGHT(TablaCosechas[[#This Row],[SECTOR/PISCINA]],2)</f>
        <v>01</v>
      </c>
      <c r="J1861" s="9" t="str">
        <f>VLOOKUP(TablaCosechas[[#This Row],[COD]],Tabla7[#All],4,0)</f>
        <v>GUSTAVO CARRASCO</v>
      </c>
      <c r="K1861" s="179">
        <f>(TablaCosechas[[#This Row],[libras planta]]*454)/M1861</f>
        <v>167323.69274809159</v>
      </c>
      <c r="L1861" s="178">
        <v>7724.9</v>
      </c>
      <c r="M1861" s="19">
        <v>20.96</v>
      </c>
      <c r="N1861" s="9" t="str">
        <f>UPPER(TEXT(TablaCosechas[[#This Row],[COSECHA]],"MMMM"))</f>
        <v>MAYO</v>
      </c>
      <c r="O1861" s="9" t="str">
        <f>IF(A1861="DO 29","BAP",IF(A1861="RO 14","BAP",(VLOOKUP(TablaCosechas[[#This Row],[COD]],Tabla7[[CODIGO]:[CERTIFICACION]],3,0))))</f>
        <v>ASC</v>
      </c>
      <c r="P1861" s="180">
        <f>+L1861-E1861</f>
        <v>224.89999999999964</v>
      </c>
      <c r="Q1861" s="181">
        <f>+M1861-F1861</f>
        <v>2.4600000000000009</v>
      </c>
      <c r="R1861" s="9"/>
    </row>
    <row r="1862" spans="1:18" x14ac:dyDescent="0.25">
      <c r="A1862" s="9" t="s">
        <v>307</v>
      </c>
      <c r="B1862" s="9">
        <f>ROW() - ROW(TablaCosechas[[#Headers],[ID]]) - 4</f>
        <v>1857</v>
      </c>
      <c r="C1862" s="9" t="str">
        <f>LEFT(A1862,2)</f>
        <v>DO</v>
      </c>
      <c r="D1862" s="182" t="s">
        <v>367</v>
      </c>
      <c r="E1862" s="178">
        <v>17000</v>
      </c>
      <c r="F1862" s="19">
        <v>18</v>
      </c>
      <c r="G1862" s="195">
        <v>46158</v>
      </c>
      <c r="H1862" s="9" t="str">
        <f>VLOOKUP(TablaCosechas[[#This Row],[COD]],DATOS!$E$3:$F$27,2,0)</f>
        <v>DORADO</v>
      </c>
      <c r="I1862" s="9" t="str">
        <f>RIGHT(TablaCosechas[[#This Row],[SECTOR/PISCINA]],2)</f>
        <v>24</v>
      </c>
      <c r="J1862" s="9" t="str">
        <f>VLOOKUP(TablaCosechas[[#This Row],[COD]],Tabla7[#All],4,0)</f>
        <v>JOSE CEDEÑO</v>
      </c>
      <c r="K1862" s="179">
        <f>(TablaCosechas[[#This Row],[libras planta]]*454)/M1862</f>
        <v>441536.28125000012</v>
      </c>
      <c r="L1862" s="178">
        <v>18672.900000000001</v>
      </c>
      <c r="M1862" s="19">
        <v>19.2</v>
      </c>
      <c r="N1862" s="9" t="str">
        <f>UPPER(TEXT(TablaCosechas[[#This Row],[COSECHA]],"MMMM"))</f>
        <v>MAYO</v>
      </c>
      <c r="O1862" s="9" t="str">
        <f>IF(A1862="DO 29","BAP",IF(A1862="RO 14","BAP",(VLOOKUP(TablaCosechas[[#This Row],[COD]],Tabla7[[CODIGO]:[CERTIFICACION]],3,0))))</f>
        <v>ASC</v>
      </c>
      <c r="P1862" s="180">
        <f>+L1862-E1862</f>
        <v>1672.9000000000015</v>
      </c>
      <c r="Q1862" s="181">
        <f>+M1862-F1862</f>
        <v>1.1999999999999993</v>
      </c>
      <c r="R1862" s="9"/>
    </row>
    <row r="1863" spans="1:18" x14ac:dyDescent="0.25">
      <c r="A1863" s="9" t="s">
        <v>216</v>
      </c>
      <c r="B1863" s="9">
        <f>ROW() - ROW(TablaCosechas[[#Headers],[ID]]) - 4</f>
        <v>1858</v>
      </c>
      <c r="C1863" s="9" t="str">
        <f>LEFT(A1863,2)</f>
        <v>DO</v>
      </c>
      <c r="D1863" s="182" t="s">
        <v>366</v>
      </c>
      <c r="E1863" s="178">
        <v>21500</v>
      </c>
      <c r="F1863" s="19">
        <v>35</v>
      </c>
      <c r="G1863" s="195">
        <v>46158</v>
      </c>
      <c r="H1863" s="9" t="str">
        <f>VLOOKUP(TablaCosechas[[#This Row],[COD]],DATOS!$E$3:$F$27,2,0)</f>
        <v>DORADO</v>
      </c>
      <c r="I1863" s="9" t="str">
        <f>RIGHT(TablaCosechas[[#This Row],[SECTOR/PISCINA]],2)</f>
        <v>21</v>
      </c>
      <c r="J1863" s="9" t="str">
        <f>VLOOKUP(TablaCosechas[[#This Row],[COD]],Tabla7[#All],4,0)</f>
        <v>JOSE CEDEÑO</v>
      </c>
      <c r="K1863" s="179">
        <f>(TablaCosechas[[#This Row],[libras planta]]*454)/M1863</f>
        <v>277071.34279475984</v>
      </c>
      <c r="L1863" s="178">
        <v>22361</v>
      </c>
      <c r="M1863" s="19">
        <v>36.64</v>
      </c>
      <c r="N1863" s="9" t="str">
        <f>UPPER(TEXT(TablaCosechas[[#This Row],[COSECHA]],"MMMM"))</f>
        <v>MAYO</v>
      </c>
      <c r="O1863" s="9" t="str">
        <f>IF(A1863="DO 29","BAP",IF(A1863="RO 14","BAP",(VLOOKUP(TablaCosechas[[#This Row],[COD]],Tabla7[[CODIGO]:[CERTIFICACION]],3,0))))</f>
        <v>ASC</v>
      </c>
      <c r="P1863" s="180">
        <f>+L1863-E1863</f>
        <v>861</v>
      </c>
      <c r="Q1863" s="181">
        <f>+M1863-F1863</f>
        <v>1.6400000000000006</v>
      </c>
      <c r="R1863" s="9"/>
    </row>
    <row r="1864" spans="1:18" x14ac:dyDescent="0.25">
      <c r="A1864" s="9" t="s">
        <v>19</v>
      </c>
      <c r="B1864" s="9">
        <f>ROW() - ROW(TablaCosechas[[#Headers],[ID]]) - 4</f>
        <v>1859</v>
      </c>
      <c r="C1864" s="9" t="str">
        <f>LEFT(A1864,2)</f>
        <v>CH</v>
      </c>
      <c r="D1864" s="182" t="s">
        <v>366</v>
      </c>
      <c r="E1864" s="178">
        <v>15100</v>
      </c>
      <c r="F1864" s="19">
        <v>32</v>
      </c>
      <c r="G1864" s="195">
        <v>46158</v>
      </c>
      <c r="H1864" s="9" t="str">
        <f>VLOOKUP(TablaCosechas[[#This Row],[COD]],DATOS!$E$3:$F$27,2,0)</f>
        <v>CHERNA</v>
      </c>
      <c r="I1864" s="9" t="str">
        <f>RIGHT(TablaCosechas[[#This Row],[SECTOR/PISCINA]],2)</f>
        <v>13</v>
      </c>
      <c r="J1864" s="9" t="str">
        <f>VLOOKUP(TablaCosechas[[#This Row],[COD]],Tabla7[#All],4,0)</f>
        <v>SANTIAGO OBRIEN</v>
      </c>
      <c r="K1864" s="179">
        <f>(TablaCosechas[[#This Row],[libras planta]]*454)/M1864</f>
        <v>216292.33101361577</v>
      </c>
      <c r="L1864" s="178">
        <v>15745.51</v>
      </c>
      <c r="M1864" s="19">
        <v>33.049999999999997</v>
      </c>
      <c r="N1864" s="9" t="str">
        <f>UPPER(TEXT(TablaCosechas[[#This Row],[COSECHA]],"MMMM"))</f>
        <v>MAYO</v>
      </c>
      <c r="O1864" s="9" t="str">
        <f>IF(A1864="DO 29","BAP",IF(A1864="RO 14","BAP",(VLOOKUP(TablaCosechas[[#This Row],[COD]],Tabla7[[CODIGO]:[CERTIFICACION]],3,0))))</f>
        <v>ASC</v>
      </c>
      <c r="P1864" s="180">
        <f>+L1864-E1864</f>
        <v>645.51000000000022</v>
      </c>
      <c r="Q1864" s="181">
        <f>+M1864-F1864</f>
        <v>1.0499999999999972</v>
      </c>
      <c r="R1864" s="9"/>
    </row>
    <row r="1865" spans="1:18" x14ac:dyDescent="0.25">
      <c r="A1865" s="9" t="s">
        <v>110</v>
      </c>
      <c r="B1865" s="9">
        <f>ROW() - ROW(TablaCosechas[[#Headers],[ID]]) - 4</f>
        <v>1860</v>
      </c>
      <c r="C1865" s="9" t="str">
        <f>LEFT(A1865,2)</f>
        <v>CA</v>
      </c>
      <c r="D1865" s="182" t="s">
        <v>367</v>
      </c>
      <c r="E1865" s="178">
        <v>6400</v>
      </c>
      <c r="F1865" s="19">
        <v>17</v>
      </c>
      <c r="G1865" s="195">
        <v>46158</v>
      </c>
      <c r="H1865" s="9" t="str">
        <f>VLOOKUP(TablaCosechas[[#This Row],[COD]],DATOS!$E$3:$F$27,2,0)</f>
        <v>CATANUDA</v>
      </c>
      <c r="I1865" s="9" t="str">
        <f>RIGHT(TablaCosechas[[#This Row],[SECTOR/PISCINA]],2)</f>
        <v>17</v>
      </c>
      <c r="J1865" s="9" t="str">
        <f>VLOOKUP(TablaCosechas[[#This Row],[COD]],Tabla7[#All],4,0)</f>
        <v>VICTOR QUINTANA</v>
      </c>
      <c r="K1865" s="179">
        <f>(TablaCosechas[[#This Row],[libras planta]]*454)/M1865</f>
        <v>186239.83796296298</v>
      </c>
      <c r="L1865" s="178">
        <v>7088.6</v>
      </c>
      <c r="M1865" s="19">
        <v>17.28</v>
      </c>
      <c r="N1865" s="9" t="str">
        <f>UPPER(TEXT(TablaCosechas[[#This Row],[COSECHA]],"MMMM"))</f>
        <v>MAYO</v>
      </c>
      <c r="O1865" s="9" t="str">
        <f>IF(A1865="DO 29","BAP",IF(A1865="RO 14","BAP",(VLOOKUP(TablaCosechas[[#This Row],[COD]],Tabla7[[CODIGO]:[CERTIFICACION]],3,0))))</f>
        <v>ASC</v>
      </c>
      <c r="P1865" s="180">
        <f>+L1865-E1865</f>
        <v>688.60000000000036</v>
      </c>
      <c r="Q1865" s="181">
        <f>+M1865-F1865</f>
        <v>0.28000000000000114</v>
      </c>
      <c r="R1865" s="9"/>
    </row>
    <row r="1866" spans="1:18" x14ac:dyDescent="0.25">
      <c r="A1866" s="9" t="s">
        <v>226</v>
      </c>
      <c r="B1866" s="9">
        <f>ROW() - ROW(TablaCosechas[[#Headers],[ID]]) - 4</f>
        <v>1861</v>
      </c>
      <c r="C1866" s="9" t="str">
        <f>LEFT(A1866,2)</f>
        <v>BA</v>
      </c>
      <c r="D1866" s="182" t="s">
        <v>366</v>
      </c>
      <c r="E1866" s="178">
        <v>19500</v>
      </c>
      <c r="F1866" s="19">
        <v>35</v>
      </c>
      <c r="G1866" s="195">
        <v>46158</v>
      </c>
      <c r="H1866" s="9" t="str">
        <f>VLOOKUP(TablaCosechas[[#This Row],[COD]],DATOS!$E$3:$F$27,2,0)</f>
        <v>BARRACUDA</v>
      </c>
      <c r="I1866" s="9" t="str">
        <f>RIGHT(TablaCosechas[[#This Row],[SECTOR/PISCINA]],2)</f>
        <v>01</v>
      </c>
      <c r="J1866" s="9" t="str">
        <f>VLOOKUP(TablaCosechas[[#This Row],[COD]],Tabla7[#All],4,0)</f>
        <v>GUSTAVO CARRASCO</v>
      </c>
      <c r="K1866" s="179">
        <f>(TablaCosechas[[#This Row],[libras planta]]*454)/M1866</f>
        <v>281748.54332953249</v>
      </c>
      <c r="L1866" s="178">
        <v>21770.35</v>
      </c>
      <c r="M1866" s="19">
        <v>35.08</v>
      </c>
      <c r="N1866" s="9" t="str">
        <f>UPPER(TEXT(TablaCosechas[[#This Row],[COSECHA]],"MMMM"))</f>
        <v>MAYO</v>
      </c>
      <c r="O1866" s="9" t="str">
        <f>IF(A1866="DO 29","BAP",IF(A1866="RO 14","BAP",(VLOOKUP(TablaCosechas[[#This Row],[COD]],Tabla7[[CODIGO]:[CERTIFICACION]],3,0))))</f>
        <v>CONVENCIONAL</v>
      </c>
      <c r="P1866" s="180">
        <f>+L1866-E1866</f>
        <v>2270.3499999999985</v>
      </c>
      <c r="Q1866" s="181">
        <f>+M1866-F1866</f>
        <v>7.9999999999998295E-2</v>
      </c>
      <c r="R1866" s="9"/>
    </row>
    <row r="1867" spans="1:18" x14ac:dyDescent="0.25">
      <c r="A1867" s="9" t="s">
        <v>211</v>
      </c>
      <c r="B1867" s="9">
        <f>ROW() - ROW(TablaCosechas[[#Headers],[ID]]) - 4</f>
        <v>1862</v>
      </c>
      <c r="C1867" s="9" t="str">
        <f>LEFT(A1867,2)</f>
        <v>WA</v>
      </c>
      <c r="D1867" s="182" t="s">
        <v>366</v>
      </c>
      <c r="E1867" s="178">
        <v>26200</v>
      </c>
      <c r="F1867" s="19">
        <v>30</v>
      </c>
      <c r="G1867" s="195">
        <v>46159</v>
      </c>
      <c r="H1867" s="9" t="str">
        <f>VLOOKUP(TablaCosechas[[#This Row],[COD]],DATOS!$E$3:$F$27,2,0)</f>
        <v>WAHOO</v>
      </c>
      <c r="I1867" s="9" t="str">
        <f>RIGHT(TablaCosechas[[#This Row],[SECTOR/PISCINA]],2)</f>
        <v>13</v>
      </c>
      <c r="J1867" s="9" t="str">
        <f>VLOOKUP(TablaCosechas[[#This Row],[COD]],Tabla7[#All],4,0)</f>
        <v>JUNIOR ESQUIVEL</v>
      </c>
      <c r="K1867" s="179">
        <f>(TablaCosechas[[#This Row],[libras planta]]*454)/M1867</f>
        <v>396493.33333333331</v>
      </c>
      <c r="L1867" s="178">
        <v>26200</v>
      </c>
      <c r="M1867" s="205">
        <v>30</v>
      </c>
      <c r="N1867" s="9" t="str">
        <f>UPPER(TEXT(TablaCosechas[[#This Row],[COSECHA]],"MMMM"))</f>
        <v>MAYO</v>
      </c>
      <c r="O1867" s="9" t="str">
        <f>IF(A1867="DO 29","BAP",IF(A1867="RO 14","BAP",(VLOOKUP(TablaCosechas[[#This Row],[COD]],Tabla7[[CODIGO]:[CERTIFICACION]],3,0))))</f>
        <v>CONVENCIONAL</v>
      </c>
      <c r="P1867" s="180">
        <f>+L1867-E1867</f>
        <v>0</v>
      </c>
      <c r="Q1867" s="181">
        <f>+M1867-F1867</f>
        <v>0</v>
      </c>
      <c r="R1867" s="9"/>
    </row>
    <row r="1868" spans="1:18" x14ac:dyDescent="0.25">
      <c r="A1868" s="9" t="s">
        <v>383</v>
      </c>
      <c r="B1868" s="9">
        <f>ROW() - ROW(TablaCosechas[[#Headers],[ID]]) - 4</f>
        <v>1863</v>
      </c>
      <c r="C1868" s="9" t="str">
        <f>LEFT(A1868,2)</f>
        <v>PI</v>
      </c>
      <c r="D1868" s="182" t="s">
        <v>367</v>
      </c>
      <c r="E1868" s="178">
        <v>6400</v>
      </c>
      <c r="F1868" s="19">
        <v>15</v>
      </c>
      <c r="G1868" s="195">
        <v>46159</v>
      </c>
      <c r="H1868" s="9" t="str">
        <f>VLOOKUP(TablaCosechas[[#This Row],[COD]],DATOS!$E$3:$F$27,2,0)</f>
        <v>PICUDO</v>
      </c>
      <c r="I1868" s="9" t="str">
        <f>RIGHT(TablaCosechas[[#This Row],[SECTOR/PISCINA]],2)</f>
        <v>02</v>
      </c>
      <c r="J1868" s="9" t="str">
        <f>VLOOKUP(TablaCosechas[[#This Row],[COD]],Tabla7[#All],4,0)</f>
        <v>NESTOR MOGOLLON</v>
      </c>
      <c r="K1868" s="179">
        <f>(TablaCosechas[[#This Row],[libras planta]]*454)/M1868</f>
        <v>198041.77581863981</v>
      </c>
      <c r="L1868" s="178">
        <v>6927.1</v>
      </c>
      <c r="M1868" s="205">
        <v>15.88</v>
      </c>
      <c r="N1868" s="9" t="str">
        <f>UPPER(TEXT(TablaCosechas[[#This Row],[COSECHA]],"MMMM"))</f>
        <v>MAYO</v>
      </c>
      <c r="O1868" s="9" t="str">
        <f>IF(A1868="DO 29","BAP",IF(A1868="RO 14","BAP",(VLOOKUP(TablaCosechas[[#This Row],[COD]],Tabla7[[CODIGO]:[CERTIFICACION]],3,0))))</f>
        <v>CONVENCIONAL</v>
      </c>
      <c r="P1868" s="180">
        <f>+L1868-E1868</f>
        <v>527.10000000000036</v>
      </c>
      <c r="Q1868" s="181">
        <f>+M1868-F1868</f>
        <v>0.88000000000000078</v>
      </c>
      <c r="R1868" s="9"/>
    </row>
    <row r="1869" spans="1:18" x14ac:dyDescent="0.25">
      <c r="A1869" s="9" t="s">
        <v>384</v>
      </c>
      <c r="B1869" s="9">
        <f>ROW() - ROW(TablaCosechas[[#Headers],[ID]]) - 4</f>
        <v>1864</v>
      </c>
      <c r="C1869" s="9" t="str">
        <f>LEFT(A1869,2)</f>
        <v>PI</v>
      </c>
      <c r="D1869" s="182" t="s">
        <v>367</v>
      </c>
      <c r="E1869" s="178">
        <v>5300</v>
      </c>
      <c r="F1869" s="19">
        <v>20</v>
      </c>
      <c r="G1869" s="195">
        <v>46159</v>
      </c>
      <c r="H1869" s="9" t="str">
        <f>VLOOKUP(TablaCosechas[[#This Row],[COD]],DATOS!$E$3:$F$27,2,0)</f>
        <v>PICUDO</v>
      </c>
      <c r="I1869" s="9" t="str">
        <f>RIGHT(TablaCosechas[[#This Row],[SECTOR/PISCINA]],2)</f>
        <v>01</v>
      </c>
      <c r="J1869" s="9" t="str">
        <f>VLOOKUP(TablaCosechas[[#This Row],[COD]],Tabla7[#All],4,0)</f>
        <v>NESTOR MOGOLLON</v>
      </c>
      <c r="K1869" s="179">
        <f>(TablaCosechas[[#This Row],[libras planta]]*454)/M1869</f>
        <v>125029.32999999999</v>
      </c>
      <c r="L1869" s="178">
        <v>5507.9</v>
      </c>
      <c r="M1869" s="205">
        <v>20</v>
      </c>
      <c r="N1869" s="9" t="str">
        <f>UPPER(TEXT(TablaCosechas[[#This Row],[COSECHA]],"MMMM"))</f>
        <v>MAYO</v>
      </c>
      <c r="O1869" s="9" t="str">
        <f>IF(A1869="DO 29","BAP",IF(A1869="RO 14","BAP",(VLOOKUP(TablaCosechas[[#This Row],[COD]],Tabla7[[CODIGO]:[CERTIFICACION]],3,0))))</f>
        <v>CONVENCIONAL</v>
      </c>
      <c r="P1869" s="180">
        <f>+L1869-E1869</f>
        <v>207.89999999999964</v>
      </c>
      <c r="Q1869" s="181">
        <f>+M1869-F1869</f>
        <v>0</v>
      </c>
      <c r="R1869" s="9"/>
    </row>
    <row r="1870" spans="1:18" x14ac:dyDescent="0.25">
      <c r="A1870" s="9" t="s">
        <v>247</v>
      </c>
      <c r="B1870" s="9">
        <f>ROW() - ROW(TablaCosechas[[#Headers],[ID]]) - 4</f>
        <v>1865</v>
      </c>
      <c r="C1870" s="9" t="str">
        <f>LEFT(A1870,2)</f>
        <v>PA</v>
      </c>
      <c r="D1870" s="182" t="s">
        <v>367</v>
      </c>
      <c r="E1870" s="178">
        <v>19200</v>
      </c>
      <c r="F1870" s="19">
        <v>24</v>
      </c>
      <c r="G1870" s="195">
        <v>46159</v>
      </c>
      <c r="H1870" s="9" t="str">
        <f>VLOOKUP(TablaCosechas[[#This Row],[COD]],DATOS!$E$3:$F$27,2,0)</f>
        <v>PAMPANO</v>
      </c>
      <c r="I1870" s="9" t="str">
        <f>RIGHT(TablaCosechas[[#This Row],[SECTOR/PISCINA]],2)</f>
        <v>18</v>
      </c>
      <c r="J1870" s="9" t="str">
        <f>VLOOKUP(TablaCosechas[[#This Row],[COD]],Tabla7[#All],4,0)</f>
        <v>GUSTAVO CARRASCO</v>
      </c>
      <c r="K1870" s="179">
        <f>(TablaCosechas[[#This Row],[libras planta]]*454)/M1870</f>
        <v>395664.87876322219</v>
      </c>
      <c r="L1870" s="178">
        <v>21421.68</v>
      </c>
      <c r="M1870" s="205">
        <v>24.58</v>
      </c>
      <c r="N1870" s="9" t="str">
        <f>UPPER(TEXT(TablaCosechas[[#This Row],[COSECHA]],"MMMM"))</f>
        <v>MAYO</v>
      </c>
      <c r="O1870" s="9" t="str">
        <f>IF(A1870="DO 29","BAP",IF(A1870="RO 14","BAP",(VLOOKUP(TablaCosechas[[#This Row],[COD]],Tabla7[[CODIGO]:[CERTIFICACION]],3,0))))</f>
        <v>ASC</v>
      </c>
      <c r="P1870" s="180">
        <f>+L1870-E1870</f>
        <v>2221.6800000000003</v>
      </c>
      <c r="Q1870" s="181">
        <f>+M1870-F1870</f>
        <v>0.57999999999999829</v>
      </c>
      <c r="R1870" s="9"/>
    </row>
    <row r="1871" spans="1:18" x14ac:dyDescent="0.25">
      <c r="A1871" s="9" t="s">
        <v>221</v>
      </c>
      <c r="B1871" s="9">
        <f>ROW() - ROW(TablaCosechas[[#Headers],[ID]]) - 4</f>
        <v>1866</v>
      </c>
      <c r="C1871" s="9" t="str">
        <f>LEFT(A1871,2)</f>
        <v>MA</v>
      </c>
      <c r="D1871" s="182" t="s">
        <v>366</v>
      </c>
      <c r="E1871" s="178">
        <v>20200</v>
      </c>
      <c r="F1871" s="19">
        <v>28</v>
      </c>
      <c r="G1871" s="195">
        <v>46159</v>
      </c>
      <c r="H1871" s="9" t="str">
        <f>VLOOKUP(TablaCosechas[[#This Row],[COD]],DATOS!$E$3:$F$27,2,0)</f>
        <v>MANTARRAYA</v>
      </c>
      <c r="I1871" s="9" t="str">
        <f>RIGHT(TablaCosechas[[#This Row],[SECTOR/PISCINA]],2)</f>
        <v>11</v>
      </c>
      <c r="J1871" s="9" t="str">
        <f>VLOOKUP(TablaCosechas[[#This Row],[COD]],Tabla7[#All],4,0)</f>
        <v>GUSTAVO CARRASCO</v>
      </c>
      <c r="K1871" s="179">
        <f>(TablaCosechas[[#This Row],[libras planta]]*454)/M1871</f>
        <v>327528.57142857142</v>
      </c>
      <c r="L1871" s="178">
        <v>20200</v>
      </c>
      <c r="M1871" s="205">
        <v>28</v>
      </c>
      <c r="N1871" s="9" t="str">
        <f>UPPER(TEXT(TablaCosechas[[#This Row],[COSECHA]],"MMMM"))</f>
        <v>MAYO</v>
      </c>
      <c r="O1871" s="9" t="str">
        <f>IF(A1871="DO 29","BAP",IF(A1871="RO 14","BAP",(VLOOKUP(TablaCosechas[[#This Row],[COD]],Tabla7[[CODIGO]:[CERTIFICACION]],3,0))))</f>
        <v>ASC</v>
      </c>
      <c r="P1871" s="180">
        <f>+L1871-E1871</f>
        <v>0</v>
      </c>
      <c r="Q1871" s="181">
        <f>+M1871-F1871</f>
        <v>0</v>
      </c>
      <c r="R1871" s="9"/>
    </row>
    <row r="1872" spans="1:18" x14ac:dyDescent="0.25">
      <c r="A1872" s="9" t="s">
        <v>240</v>
      </c>
      <c r="B1872" s="9">
        <f>ROW() - ROW(TablaCosechas[[#Headers],[ID]]) - 4</f>
        <v>1867</v>
      </c>
      <c r="C1872" s="9" t="str">
        <f>LEFT(A1872,2)</f>
        <v>GT</v>
      </c>
      <c r="D1872" s="182" t="s">
        <v>367</v>
      </c>
      <c r="E1872" s="178">
        <v>4300</v>
      </c>
      <c r="F1872" s="19">
        <v>26</v>
      </c>
      <c r="G1872" s="195">
        <v>46159</v>
      </c>
      <c r="H1872" s="9" t="str">
        <f>VLOOKUP(TablaCosechas[[#This Row],[COD]],DATOS!$E$3:$F$27,2,0)</f>
        <v>GUATO</v>
      </c>
      <c r="I1872" s="9" t="str">
        <f>RIGHT(TablaCosechas[[#This Row],[SECTOR/PISCINA]],2)</f>
        <v>19</v>
      </c>
      <c r="J1872" s="9" t="str">
        <f>VLOOKUP(TablaCosechas[[#This Row],[COD]],Tabla7[#All],4,0)</f>
        <v>JULIO SANTOS</v>
      </c>
      <c r="K1872" s="179">
        <f>(TablaCosechas[[#This Row],[libras planta]]*454)/M1872</f>
        <v>84271.519650655013</v>
      </c>
      <c r="L1872" s="178">
        <v>5100.84</v>
      </c>
      <c r="M1872" s="205">
        <v>27.48</v>
      </c>
      <c r="N1872" s="9" t="str">
        <f>UPPER(TEXT(TablaCosechas[[#This Row],[COSECHA]],"MMMM"))</f>
        <v>MAYO</v>
      </c>
      <c r="O1872" s="9" t="str">
        <f>IF(A1872="DO 29","BAP",IF(A1872="RO 14","BAP",(VLOOKUP(TablaCosechas[[#This Row],[COD]],Tabla7[[CODIGO]:[CERTIFICACION]],3,0))))</f>
        <v>CONVENCIONAL</v>
      </c>
      <c r="P1872" s="180">
        <f>+L1872-E1872</f>
        <v>800.84000000000015</v>
      </c>
      <c r="Q1872" s="181">
        <f>+M1872-F1872</f>
        <v>1.4800000000000004</v>
      </c>
      <c r="R1872" s="9"/>
    </row>
    <row r="1873" spans="1:18" x14ac:dyDescent="0.25">
      <c r="A1873" s="9" t="s">
        <v>231</v>
      </c>
      <c r="B1873" s="9">
        <f>ROW() - ROW(TablaCosechas[[#Headers],[ID]]) - 4</f>
        <v>1868</v>
      </c>
      <c r="C1873" s="9" t="str">
        <f>LEFT(A1873,2)</f>
        <v>GT</v>
      </c>
      <c r="D1873" s="182" t="s">
        <v>367</v>
      </c>
      <c r="E1873" s="178">
        <v>2400</v>
      </c>
      <c r="F1873" s="19">
        <v>27</v>
      </c>
      <c r="G1873" s="195">
        <v>46159</v>
      </c>
      <c r="H1873" s="9" t="str">
        <f>VLOOKUP(TablaCosechas[[#This Row],[COD]],DATOS!$E$3:$F$27,2,0)</f>
        <v>GUATO</v>
      </c>
      <c r="I1873" s="9" t="str">
        <f>RIGHT(TablaCosechas[[#This Row],[SECTOR/PISCINA]],2)</f>
        <v>16</v>
      </c>
      <c r="J1873" s="9" t="str">
        <f>VLOOKUP(TablaCosechas[[#This Row],[COD]],Tabla7[#All],4,0)</f>
        <v>JULIO SANTOS</v>
      </c>
      <c r="K1873" s="179">
        <f>(TablaCosechas[[#This Row],[libras planta]]*454)/M1873</f>
        <v>40355.555555555555</v>
      </c>
      <c r="L1873" s="178">
        <v>2400</v>
      </c>
      <c r="M1873" s="205">
        <v>27</v>
      </c>
      <c r="N1873" s="9" t="str">
        <f>UPPER(TEXT(TablaCosechas[[#This Row],[COSECHA]],"MMMM"))</f>
        <v>MAYO</v>
      </c>
      <c r="O1873" s="9" t="str">
        <f>IF(A1873="DO 29","BAP",IF(A1873="RO 14","BAP",(VLOOKUP(TablaCosechas[[#This Row],[COD]],Tabla7[[CODIGO]:[CERTIFICACION]],3,0))))</f>
        <v>CONVENCIONAL</v>
      </c>
      <c r="P1873" s="180">
        <f>+L1873-E1873</f>
        <v>0</v>
      </c>
      <c r="Q1873" s="181">
        <f>+M1873-F1873</f>
        <v>0</v>
      </c>
      <c r="R1873" s="9"/>
    </row>
    <row r="1874" spans="1:18" x14ac:dyDescent="0.25">
      <c r="A1874" s="9" t="s">
        <v>18</v>
      </c>
      <c r="B1874" s="9">
        <f>ROW() - ROW(TablaCosechas[[#Headers],[ID]]) - 4</f>
        <v>1869</v>
      </c>
      <c r="C1874" s="9" t="str">
        <f>LEFT(A1874,2)</f>
        <v>CH</v>
      </c>
      <c r="D1874" s="182" t="s">
        <v>366</v>
      </c>
      <c r="E1874" s="178">
        <v>28700</v>
      </c>
      <c r="F1874" s="19">
        <v>30</v>
      </c>
      <c r="G1874" s="195">
        <v>46159</v>
      </c>
      <c r="H1874" s="9" t="str">
        <f>VLOOKUP(TablaCosechas[[#This Row],[COD]],DATOS!$E$3:$F$27,2,0)</f>
        <v>CHERNA</v>
      </c>
      <c r="I1874" s="9" t="str">
        <f>RIGHT(TablaCosechas[[#This Row],[SECTOR/PISCINA]],2)</f>
        <v>12</v>
      </c>
      <c r="J1874" s="9" t="str">
        <f>VLOOKUP(TablaCosechas[[#This Row],[COD]],Tabla7[#All],4,0)</f>
        <v>SANTIAGO OBRIEN</v>
      </c>
      <c r="K1874" s="179">
        <f>(TablaCosechas[[#This Row],[libras planta]]*454)/M1874</f>
        <v>434326.66666666669</v>
      </c>
      <c r="L1874" s="178">
        <v>28700</v>
      </c>
      <c r="M1874" s="205">
        <v>30</v>
      </c>
      <c r="N1874" s="9" t="str">
        <f>UPPER(TEXT(TablaCosechas[[#This Row],[COSECHA]],"MMMM"))</f>
        <v>MAYO</v>
      </c>
      <c r="O1874" s="9" t="str">
        <f>IF(A1874="DO 29","BAP",IF(A1874="RO 14","BAP",(VLOOKUP(TablaCosechas[[#This Row],[COD]],Tabla7[[CODIGO]:[CERTIFICACION]],3,0))))</f>
        <v>ASC</v>
      </c>
      <c r="P1874" s="180">
        <f>+L1874-E1874</f>
        <v>0</v>
      </c>
      <c r="Q1874" s="181">
        <f>+M1874-F1874</f>
        <v>0</v>
      </c>
      <c r="R1874" s="9"/>
    </row>
    <row r="1875" spans="1:18" x14ac:dyDescent="0.25">
      <c r="A1875" s="9" t="s">
        <v>245</v>
      </c>
      <c r="B1875" s="9">
        <f>ROW() - ROW(TablaCosechas[[#Headers],[ID]]) - 4</f>
        <v>1870</v>
      </c>
      <c r="C1875" s="9" t="str">
        <f>LEFT(A1875,2)</f>
        <v>CA</v>
      </c>
      <c r="D1875" s="182" t="s">
        <v>366</v>
      </c>
      <c r="E1875" s="178">
        <v>16000</v>
      </c>
      <c r="F1875" s="19">
        <v>32</v>
      </c>
      <c r="G1875" s="195">
        <v>46159</v>
      </c>
      <c r="H1875" s="9" t="str">
        <f>VLOOKUP(TablaCosechas[[#This Row],[COD]],DATOS!$E$3:$F$27,2,0)</f>
        <v>CATANUDA</v>
      </c>
      <c r="I1875" s="9" t="str">
        <f>RIGHT(TablaCosechas[[#This Row],[SECTOR/PISCINA]],2)</f>
        <v>16</v>
      </c>
      <c r="J1875" s="9" t="str">
        <f>VLOOKUP(TablaCosechas[[#This Row],[COD]],Tabla7[#All],4,0)</f>
        <v>VICTOR QUINTANA</v>
      </c>
      <c r="K1875" s="179">
        <f>(TablaCosechas[[#This Row],[libras planta]]*454)/M1875</f>
        <v>227000</v>
      </c>
      <c r="L1875" s="178">
        <v>16000</v>
      </c>
      <c r="M1875" s="205">
        <v>32</v>
      </c>
      <c r="N1875" s="9" t="str">
        <f>UPPER(TEXT(TablaCosechas[[#This Row],[COSECHA]],"MMMM"))</f>
        <v>MAYO</v>
      </c>
      <c r="O1875" s="9" t="str">
        <f>IF(A1875="DO 29","BAP",IF(A1875="RO 14","BAP",(VLOOKUP(TablaCosechas[[#This Row],[COD]],Tabla7[[CODIGO]:[CERTIFICACION]],3,0))))</f>
        <v>ASC</v>
      </c>
      <c r="P1875" s="180">
        <f>+L1875-E1875</f>
        <v>0</v>
      </c>
      <c r="Q1875" s="181">
        <f>+M1875-F1875</f>
        <v>0</v>
      </c>
      <c r="R1875" s="9"/>
    </row>
    <row r="1876" spans="1:18" x14ac:dyDescent="0.25">
      <c r="A1876" s="9" t="s">
        <v>289</v>
      </c>
      <c r="B1876" s="9">
        <f>ROW() - ROW(TablaCosechas[[#Headers],[ID]]) - 4</f>
        <v>1871</v>
      </c>
      <c r="C1876" s="9" t="str">
        <f>LEFT(A1876,2)</f>
        <v>TI</v>
      </c>
      <c r="D1876" s="182" t="s">
        <v>367</v>
      </c>
      <c r="E1876" s="178">
        <v>10500</v>
      </c>
      <c r="F1876" s="19">
        <v>25</v>
      </c>
      <c r="G1876" s="195">
        <v>46160</v>
      </c>
      <c r="H1876" s="9" t="str">
        <f>VLOOKUP(TablaCosechas[[#This Row],[COD]],DATOS!$E$3:$F$27,2,0)</f>
        <v>TIBURON</v>
      </c>
      <c r="I1876" s="9" t="str">
        <f>RIGHT(TablaCosechas[[#This Row],[SECTOR/PISCINA]],2)</f>
        <v>04</v>
      </c>
      <c r="J1876" s="9" t="str">
        <f>VLOOKUP(TablaCosechas[[#This Row],[COD]],Tabla7[#All],4,0)</f>
        <v>ALFONSO GRUNAUER</v>
      </c>
      <c r="K1876" s="179">
        <f>(TablaCosechas[[#This Row],[libras planta]]*454)/M1876</f>
        <v>190680</v>
      </c>
      <c r="L1876" s="178">
        <v>10500</v>
      </c>
      <c r="M1876" s="205">
        <v>25</v>
      </c>
      <c r="N1876" s="9" t="str">
        <f>UPPER(TEXT(TablaCosechas[[#This Row],[COSECHA]],"MMMM"))</f>
        <v>MAYO</v>
      </c>
      <c r="O1876" s="9" t="str">
        <f>IF(A1876="DO 29","BAP",IF(A1876="RO 14","BAP",(VLOOKUP(TablaCosechas[[#This Row],[COD]],Tabla7[[CODIGO]:[CERTIFICACION]],3,0))))</f>
        <v>ASC</v>
      </c>
      <c r="P1876" s="180">
        <f>+L1876-E1876</f>
        <v>0</v>
      </c>
      <c r="Q1876" s="181">
        <f>+M1876-F1876</f>
        <v>0</v>
      </c>
      <c r="R1876" s="9"/>
    </row>
    <row r="1877" spans="1:18" x14ac:dyDescent="0.25">
      <c r="A1877" s="9" t="s">
        <v>279</v>
      </c>
      <c r="B1877" s="9">
        <f>ROW() - ROW(TablaCosechas[[#Headers],[ID]]) - 4</f>
        <v>1872</v>
      </c>
      <c r="C1877" s="9" t="str">
        <f>LEFT(A1877,2)</f>
        <v>PR</v>
      </c>
      <c r="D1877" s="182" t="s">
        <v>367</v>
      </c>
      <c r="E1877" s="178">
        <v>4500</v>
      </c>
      <c r="F1877" s="19">
        <v>14</v>
      </c>
      <c r="G1877" s="195">
        <v>46160</v>
      </c>
      <c r="H1877" s="9" t="str">
        <f>VLOOKUP(TablaCosechas[[#This Row],[COD]],DATOS!$E$3:$F$27,2,0)</f>
        <v>PARGO ROJO</v>
      </c>
      <c r="I1877" s="9" t="str">
        <f>RIGHT(TablaCosechas[[#This Row],[SECTOR/PISCINA]],2)</f>
        <v>30</v>
      </c>
      <c r="J1877" s="9" t="str">
        <f>VLOOKUP(TablaCosechas[[#This Row],[COD]],Tabla7[#All],4,0)</f>
        <v>WILMER TORRES</v>
      </c>
      <c r="K1877" s="179">
        <f>(TablaCosechas[[#This Row],[libras planta]]*454)/M1877</f>
        <v>145928.57142857142</v>
      </c>
      <c r="L1877" s="178">
        <v>4500</v>
      </c>
      <c r="M1877" s="205">
        <v>14</v>
      </c>
      <c r="N1877" s="9" t="str">
        <f>UPPER(TEXT(TablaCosechas[[#This Row],[COSECHA]],"MMMM"))</f>
        <v>MAYO</v>
      </c>
      <c r="O1877" s="9" t="str">
        <f>IF(A1877="DO 29","BAP",IF(A1877="RO 14","BAP",(VLOOKUP(TablaCosechas[[#This Row],[COD]],Tabla7[[CODIGO]:[CERTIFICACION]],3,0))))</f>
        <v>CONVENCIONAL</v>
      </c>
      <c r="P1877" s="180">
        <f>+L1877-E1877</f>
        <v>0</v>
      </c>
      <c r="Q1877" s="181">
        <f>+M1877-F1877</f>
        <v>0</v>
      </c>
      <c r="R1877" s="9"/>
    </row>
    <row r="1878" spans="1:18" x14ac:dyDescent="0.25">
      <c r="A1878" s="9" t="s">
        <v>106</v>
      </c>
      <c r="B1878" s="9">
        <f>ROW() - ROW(TablaCosechas[[#Headers],[ID]]) - 4</f>
        <v>1873</v>
      </c>
      <c r="C1878" s="9" t="str">
        <f>LEFT(A1878,2)</f>
        <v>PR</v>
      </c>
      <c r="D1878" s="182" t="s">
        <v>367</v>
      </c>
      <c r="E1878" s="178">
        <v>4600</v>
      </c>
      <c r="F1878" s="19">
        <v>13</v>
      </c>
      <c r="G1878" s="195">
        <v>46160</v>
      </c>
      <c r="H1878" s="9" t="str">
        <f>VLOOKUP(TablaCosechas[[#This Row],[COD]],DATOS!$E$3:$F$27,2,0)</f>
        <v>PARGO ROJO</v>
      </c>
      <c r="I1878" s="9" t="str">
        <f>RIGHT(TablaCosechas[[#This Row],[SECTOR/PISCINA]],2)</f>
        <v>28</v>
      </c>
      <c r="J1878" s="9" t="str">
        <f>VLOOKUP(TablaCosechas[[#This Row],[COD]],Tabla7[#All],4,0)</f>
        <v>WILMER TORRES</v>
      </c>
      <c r="K1878" s="179">
        <f>(TablaCosechas[[#This Row],[libras planta]]*454)/M1878</f>
        <v>155538.90401146127</v>
      </c>
      <c r="L1878" s="178">
        <v>4782.6499999999996</v>
      </c>
      <c r="M1878" s="205">
        <v>13.96</v>
      </c>
      <c r="N1878" s="9" t="str">
        <f>UPPER(TEXT(TablaCosechas[[#This Row],[COSECHA]],"MMMM"))</f>
        <v>MAYO</v>
      </c>
      <c r="O1878" s="9" t="str">
        <f>IF(A1878="DO 29","BAP",IF(A1878="RO 14","BAP",(VLOOKUP(TablaCosechas[[#This Row],[COD]],Tabla7[[CODIGO]:[CERTIFICACION]],3,0))))</f>
        <v>CONVENCIONAL</v>
      </c>
      <c r="P1878" s="180">
        <f>+L1878-E1878</f>
        <v>182.64999999999964</v>
      </c>
      <c r="Q1878" s="181">
        <f>+M1878-F1878</f>
        <v>0.96000000000000085</v>
      </c>
      <c r="R1878" s="9"/>
    </row>
    <row r="1879" spans="1:18" x14ac:dyDescent="0.25">
      <c r="A1879" s="9" t="s">
        <v>223</v>
      </c>
      <c r="B1879" s="9">
        <f>ROW() - ROW(TablaCosechas[[#Headers],[ID]]) - 4</f>
        <v>1874</v>
      </c>
      <c r="C1879" s="9" t="str">
        <f>LEFT(A1879,2)</f>
        <v>ME</v>
      </c>
      <c r="D1879" s="182" t="s">
        <v>367</v>
      </c>
      <c r="E1879" s="178">
        <v>5600</v>
      </c>
      <c r="F1879" s="19">
        <v>19</v>
      </c>
      <c r="G1879" s="195">
        <v>46160</v>
      </c>
      <c r="H1879" s="9" t="str">
        <f>VLOOKUP(TablaCosechas[[#This Row],[COD]],DATOS!$E$3:$F$27,2,0)</f>
        <v>MERO</v>
      </c>
      <c r="I1879" s="9" t="str">
        <f>RIGHT(TablaCosechas[[#This Row],[SECTOR/PISCINA]],2)</f>
        <v>17</v>
      </c>
      <c r="J1879" s="9" t="str">
        <f>VLOOKUP(TablaCosechas[[#This Row],[COD]],Tabla7[#All],4,0)</f>
        <v>NESTOR MOGOLLON</v>
      </c>
      <c r="K1879" s="179">
        <f>(TablaCosechas[[#This Row],[libras planta]]*454)/M1879</f>
        <v>133810.52631578947</v>
      </c>
      <c r="L1879" s="178">
        <v>5600</v>
      </c>
      <c r="M1879" s="205">
        <v>19</v>
      </c>
      <c r="N1879" s="9" t="str">
        <f>UPPER(TEXT(TablaCosechas[[#This Row],[COSECHA]],"MMMM"))</f>
        <v>MAYO</v>
      </c>
      <c r="O1879" s="9" t="str">
        <f>IF(A1879="DO 29","BAP",IF(A1879="RO 14","BAP",(VLOOKUP(TablaCosechas[[#This Row],[COD]],Tabla7[[CODIGO]:[CERTIFICACION]],3,0))))</f>
        <v>CONVENCIONAL</v>
      </c>
      <c r="P1879" s="180">
        <f>+L1879-E1879</f>
        <v>0</v>
      </c>
      <c r="Q1879" s="181">
        <f>+M1879-F1879</f>
        <v>0</v>
      </c>
      <c r="R1879" s="9"/>
    </row>
    <row r="1880" spans="1:18" x14ac:dyDescent="0.25">
      <c r="A1880" s="9" t="s">
        <v>266</v>
      </c>
      <c r="B1880" s="9">
        <f>ROW() - ROW(TablaCosechas[[#Headers],[ID]]) - 4</f>
        <v>1875</v>
      </c>
      <c r="C1880" s="9" t="str">
        <f>LEFT(A1880,2)</f>
        <v>ME</v>
      </c>
      <c r="D1880" s="182" t="s">
        <v>367</v>
      </c>
      <c r="E1880" s="178">
        <v>2250</v>
      </c>
      <c r="F1880" s="19">
        <v>15</v>
      </c>
      <c r="G1880" s="195">
        <v>46160</v>
      </c>
      <c r="H1880" s="9" t="str">
        <f>VLOOKUP(TablaCosechas[[#This Row],[COD]],DATOS!$E$3:$F$27,2,0)</f>
        <v>MERO</v>
      </c>
      <c r="I1880" s="9" t="str">
        <f>RIGHT(TablaCosechas[[#This Row],[SECTOR/PISCINA]],2)</f>
        <v>11</v>
      </c>
      <c r="J1880" s="9" t="str">
        <f>VLOOKUP(TablaCosechas[[#This Row],[COD]],Tabla7[#All],4,0)</f>
        <v>NESTOR MOGOLLON</v>
      </c>
      <c r="K1880" s="179">
        <f>(TablaCosechas[[#This Row],[libras planta]]*454)/M1880</f>
        <v>57271.173469387759</v>
      </c>
      <c r="L1880" s="178">
        <v>1978</v>
      </c>
      <c r="M1880" s="205">
        <v>15.68</v>
      </c>
      <c r="N1880" s="9" t="str">
        <f>UPPER(TEXT(TablaCosechas[[#This Row],[COSECHA]],"MMMM"))</f>
        <v>MAYO</v>
      </c>
      <c r="O1880" s="9" t="str">
        <f>IF(A1880="DO 29","BAP",IF(A1880="RO 14","BAP",(VLOOKUP(TablaCosechas[[#This Row],[COD]],Tabla7[[CODIGO]:[CERTIFICACION]],3,0))))</f>
        <v>CONVENCIONAL</v>
      </c>
      <c r="P1880" s="180">
        <f>+L1880-E1880</f>
        <v>-272</v>
      </c>
      <c r="Q1880" s="181">
        <f>+M1880-F1880</f>
        <v>0.67999999999999972</v>
      </c>
      <c r="R1880" s="9"/>
    </row>
    <row r="1881" spans="1:18" x14ac:dyDescent="0.25">
      <c r="A1881" s="9" t="s">
        <v>238</v>
      </c>
      <c r="B1881" s="9">
        <f>ROW() - ROW(TablaCosechas[[#Headers],[ID]]) - 4</f>
        <v>1876</v>
      </c>
      <c r="C1881" s="9" t="str">
        <f>LEFT(A1881,2)</f>
        <v>GT</v>
      </c>
      <c r="D1881" s="182" t="s">
        <v>367</v>
      </c>
      <c r="E1881" s="178">
        <v>10500</v>
      </c>
      <c r="F1881" s="19">
        <v>28</v>
      </c>
      <c r="G1881" s="195">
        <v>46160</v>
      </c>
      <c r="H1881" s="9" t="str">
        <f>VLOOKUP(TablaCosechas[[#This Row],[COD]],DATOS!$E$3:$F$27,2,0)</f>
        <v>GUATO</v>
      </c>
      <c r="I1881" s="9" t="str">
        <f>RIGHT(TablaCosechas[[#This Row],[SECTOR/PISCINA]],2)</f>
        <v>06</v>
      </c>
      <c r="J1881" s="9" t="str">
        <f>VLOOKUP(TablaCosechas[[#This Row],[COD]],Tabla7[#All],4,0)</f>
        <v>JULIO SANTOS</v>
      </c>
      <c r="K1881" s="179">
        <f>(TablaCosechas[[#This Row],[libras planta]]*454)/M1881</f>
        <v>170250</v>
      </c>
      <c r="L1881" s="178">
        <v>10500</v>
      </c>
      <c r="M1881" s="205">
        <v>28</v>
      </c>
      <c r="N1881" s="9" t="str">
        <f>UPPER(TEXT(TablaCosechas[[#This Row],[COSECHA]],"MMMM"))</f>
        <v>MAYO</v>
      </c>
      <c r="O1881" s="9" t="str">
        <f>IF(A1881="DO 29","BAP",IF(A1881="RO 14","BAP",(VLOOKUP(TablaCosechas[[#This Row],[COD]],Tabla7[[CODIGO]:[CERTIFICACION]],3,0))))</f>
        <v>CONVENCIONAL</v>
      </c>
      <c r="P1881" s="180">
        <f>+L1881-E1881</f>
        <v>0</v>
      </c>
      <c r="Q1881" s="181">
        <f>+M1881-F1881</f>
        <v>0</v>
      </c>
      <c r="R1881" s="9"/>
    </row>
    <row r="1882" spans="1:18" x14ac:dyDescent="0.25">
      <c r="A1882" s="9" t="s">
        <v>30</v>
      </c>
      <c r="B1882" s="9">
        <f>ROW() - ROW(TablaCosechas[[#Headers],[ID]]) - 4</f>
        <v>1877</v>
      </c>
      <c r="C1882" s="9" t="str">
        <f>LEFT(A1882,2)</f>
        <v>CH</v>
      </c>
      <c r="D1882" s="182" t="s">
        <v>367</v>
      </c>
      <c r="E1882" s="178">
        <v>10500</v>
      </c>
      <c r="F1882" s="19">
        <v>25</v>
      </c>
      <c r="G1882" s="195">
        <v>46160</v>
      </c>
      <c r="H1882" s="9" t="str">
        <f>VLOOKUP(TablaCosechas[[#This Row],[COD]],DATOS!$E$3:$F$27,2,0)</f>
        <v>CHERNA</v>
      </c>
      <c r="I1882" s="9" t="str">
        <f>RIGHT(TablaCosechas[[#This Row],[SECTOR/PISCINA]],2)</f>
        <v>19</v>
      </c>
      <c r="J1882" s="9" t="str">
        <f>VLOOKUP(TablaCosechas[[#This Row],[COD]],Tabla7[#All],4,0)</f>
        <v>SANTIAGO OBRIEN</v>
      </c>
      <c r="K1882" s="179">
        <f>(TablaCosechas[[#This Row],[libras planta]]*454)/M1882</f>
        <v>190680</v>
      </c>
      <c r="L1882" s="178">
        <v>10500</v>
      </c>
      <c r="M1882" s="205">
        <v>25</v>
      </c>
      <c r="N1882" s="9" t="str">
        <f>UPPER(TEXT(TablaCosechas[[#This Row],[COSECHA]],"MMMM"))</f>
        <v>MAYO</v>
      </c>
      <c r="O1882" s="9" t="str">
        <f>IF(A1882="DO 29","BAP",IF(A1882="RO 14","BAP",(VLOOKUP(TablaCosechas[[#This Row],[COD]],Tabla7[[CODIGO]:[CERTIFICACION]],3,0))))</f>
        <v>ASC</v>
      </c>
      <c r="P1882" s="180">
        <f>+L1882-E1882</f>
        <v>0</v>
      </c>
      <c r="Q1882" s="181">
        <f>+M1882-F1882</f>
        <v>0</v>
      </c>
      <c r="R1882" s="9"/>
    </row>
    <row r="1883" spans="1:18" x14ac:dyDescent="0.25">
      <c r="A1883" s="9" t="s">
        <v>351</v>
      </c>
      <c r="B1883" s="9">
        <f>ROW() - ROW(TablaCosechas[[#Headers],[ID]]) - 4</f>
        <v>1878</v>
      </c>
      <c r="C1883" s="9" t="str">
        <f>LEFT(A1883,2)</f>
        <v>WA</v>
      </c>
      <c r="D1883" s="182" t="s">
        <v>366</v>
      </c>
      <c r="E1883" s="178">
        <v>16900</v>
      </c>
      <c r="F1883" s="19">
        <v>31</v>
      </c>
      <c r="G1883" s="195">
        <v>46161</v>
      </c>
      <c r="H1883" s="9" t="str">
        <f>VLOOKUP(TablaCosechas[[#This Row],[COD]],DATOS!$E$3:$F$27,2,0)</f>
        <v>WAHOO</v>
      </c>
      <c r="I1883" s="9" t="str">
        <f>RIGHT(TablaCosechas[[#This Row],[SECTOR/PISCINA]],2)</f>
        <v>31</v>
      </c>
      <c r="J1883" s="9" t="str">
        <f>VLOOKUP(TablaCosechas[[#This Row],[COD]],Tabla7[#All],4,0)</f>
        <v>JUNIOR ESQUIVEL</v>
      </c>
      <c r="K1883" s="179">
        <f>(TablaCosechas[[#This Row],[libras planta]]*454)/M1883</f>
        <v>247503.22580645161</v>
      </c>
      <c r="L1883" s="178">
        <v>16900</v>
      </c>
      <c r="M1883" s="205">
        <v>31</v>
      </c>
      <c r="N1883" s="9" t="str">
        <f>UPPER(TEXT(TablaCosechas[[#This Row],[COSECHA]],"MMMM"))</f>
        <v>MAYO</v>
      </c>
      <c r="O1883" s="9" t="str">
        <f>IF(A1883="DO 29","BAP",IF(A1883="RO 14","BAP",(VLOOKUP(TablaCosechas[[#This Row],[COD]],Tabla7[[CODIGO]:[CERTIFICACION]],3,0))))</f>
        <v>CONVENCIONAL</v>
      </c>
      <c r="P1883" s="180">
        <f>+L1883-E1883</f>
        <v>0</v>
      </c>
      <c r="Q1883" s="181">
        <f>+M1883-F1883</f>
        <v>0</v>
      </c>
      <c r="R1883" s="9"/>
    </row>
    <row r="1884" spans="1:18" x14ac:dyDescent="0.25">
      <c r="A1884" s="9" t="s">
        <v>211</v>
      </c>
      <c r="B1884" s="9">
        <f>ROW() - ROW(TablaCosechas[[#Headers],[ID]]) - 4</f>
        <v>1879</v>
      </c>
      <c r="C1884" s="9" t="str">
        <f>LEFT(A1884,2)</f>
        <v>WA</v>
      </c>
      <c r="D1884" s="182" t="s">
        <v>366</v>
      </c>
      <c r="E1884" s="178">
        <v>800</v>
      </c>
      <c r="F1884" s="19">
        <v>30</v>
      </c>
      <c r="G1884" s="195">
        <v>46161</v>
      </c>
      <c r="H1884" s="9" t="str">
        <f>VLOOKUP(TablaCosechas[[#This Row],[COD]],DATOS!$E$3:$F$27,2,0)</f>
        <v>WAHOO</v>
      </c>
      <c r="I1884" s="9" t="str">
        <f>RIGHT(TablaCosechas[[#This Row],[SECTOR/PISCINA]],2)</f>
        <v>13</v>
      </c>
      <c r="J1884" s="9" t="str">
        <f>VLOOKUP(TablaCosechas[[#This Row],[COD]],Tabla7[#All],4,0)</f>
        <v>JUNIOR ESQUIVEL</v>
      </c>
      <c r="K1884" s="179">
        <f>(TablaCosechas[[#This Row],[libras planta]]*454)/M1884</f>
        <v>12106.666666666666</v>
      </c>
      <c r="L1884" s="178">
        <v>800</v>
      </c>
      <c r="M1884" s="205">
        <v>30</v>
      </c>
      <c r="N1884" s="9" t="str">
        <f>UPPER(TEXT(TablaCosechas[[#This Row],[COSECHA]],"MMMM"))</f>
        <v>MAYO</v>
      </c>
      <c r="O1884" s="9" t="str">
        <f>IF(A1884="DO 29","BAP",IF(A1884="RO 14","BAP",(VLOOKUP(TablaCosechas[[#This Row],[COD]],Tabla7[[CODIGO]:[CERTIFICACION]],3,0))))</f>
        <v>CONVENCIONAL</v>
      </c>
      <c r="P1884" s="180">
        <f>+L1884-E1884</f>
        <v>0</v>
      </c>
      <c r="Q1884" s="181">
        <f>+M1884-F1884</f>
        <v>0</v>
      </c>
      <c r="R1884" s="9"/>
    </row>
    <row r="1885" spans="1:18" x14ac:dyDescent="0.25">
      <c r="A1885" s="9" t="s">
        <v>218</v>
      </c>
      <c r="B1885" s="9">
        <f>ROW() - ROW(TablaCosechas[[#Headers],[ID]]) - 4</f>
        <v>1880</v>
      </c>
      <c r="C1885" s="9" t="str">
        <f>LEFT(A1885,2)</f>
        <v>TU</v>
      </c>
      <c r="D1885" s="182" t="s">
        <v>366</v>
      </c>
      <c r="E1885" s="178">
        <v>20500</v>
      </c>
      <c r="F1885" s="19">
        <v>29.5</v>
      </c>
      <c r="G1885" s="195">
        <v>46161</v>
      </c>
      <c r="H1885" s="9" t="str">
        <f>VLOOKUP(TablaCosechas[[#This Row],[COD]],DATOS!$E$3:$F$27,2,0)</f>
        <v>TUNA</v>
      </c>
      <c r="I1885" s="9" t="str">
        <f>RIGHT(TablaCosechas[[#This Row],[SECTOR/PISCINA]],2)</f>
        <v>06</v>
      </c>
      <c r="J1885" s="9" t="str">
        <f>VLOOKUP(TablaCosechas[[#This Row],[COD]],Tabla7[#All],4,0)</f>
        <v>GUSTAVO CARRASCO</v>
      </c>
      <c r="K1885" s="179">
        <f>(TablaCosechas[[#This Row],[libras planta]]*454)/M1885</f>
        <v>315491.5254237288</v>
      </c>
      <c r="L1885" s="178">
        <v>20500</v>
      </c>
      <c r="M1885" s="205">
        <v>29.5</v>
      </c>
      <c r="N1885" s="9" t="str">
        <f>UPPER(TEXT(TablaCosechas[[#This Row],[COSECHA]],"MMMM"))</f>
        <v>MAYO</v>
      </c>
      <c r="O1885" s="9" t="str">
        <f>IF(A1885="DO 29","BAP",IF(A1885="RO 14","BAP",(VLOOKUP(TablaCosechas[[#This Row],[COD]],Tabla7[[CODIGO]:[CERTIFICACION]],3,0))))</f>
        <v>ASC</v>
      </c>
      <c r="P1885" s="180">
        <f>+L1885-E1885</f>
        <v>0</v>
      </c>
      <c r="Q1885" s="181">
        <f>+M1885-F1885</f>
        <v>0</v>
      </c>
      <c r="R1885" s="9"/>
    </row>
    <row r="1886" spans="1:18" x14ac:dyDescent="0.25">
      <c r="A1886" s="9" t="s">
        <v>300</v>
      </c>
      <c r="B1886" s="9">
        <f>ROW() - ROW(TablaCosechas[[#Headers],[ID]]) - 4</f>
        <v>1881</v>
      </c>
      <c r="C1886" s="9" t="str">
        <f>LEFT(A1886,2)</f>
        <v>TI</v>
      </c>
      <c r="D1886" s="182" t="s">
        <v>367</v>
      </c>
      <c r="E1886" s="178">
        <v>12000</v>
      </c>
      <c r="F1886" s="19">
        <v>23.5</v>
      </c>
      <c r="G1886" s="195">
        <v>46161</v>
      </c>
      <c r="H1886" s="9" t="str">
        <f>VLOOKUP(TablaCosechas[[#This Row],[COD]],DATOS!$E$3:$F$27,2,0)</f>
        <v>TIBURON</v>
      </c>
      <c r="I1886" s="9" t="str">
        <f>RIGHT(TablaCosechas[[#This Row],[SECTOR/PISCINA]],2)</f>
        <v>15</v>
      </c>
      <c r="J1886" s="9" t="str">
        <f>VLOOKUP(TablaCosechas[[#This Row],[COD]],Tabla7[#All],4,0)</f>
        <v>ALFONSO GRUNAUER</v>
      </c>
      <c r="K1886" s="179">
        <f>(TablaCosechas[[#This Row],[libras planta]]*454)/M1886</f>
        <v>231829.78723404257</v>
      </c>
      <c r="L1886" s="178">
        <v>12000</v>
      </c>
      <c r="M1886" s="205">
        <v>23.5</v>
      </c>
      <c r="N1886" s="9" t="str">
        <f>UPPER(TEXT(TablaCosechas[[#This Row],[COSECHA]],"MMMM"))</f>
        <v>MAYO</v>
      </c>
      <c r="O1886" s="9" t="str">
        <f>IF(A1886="DO 29","BAP",IF(A1886="RO 14","BAP",(VLOOKUP(TablaCosechas[[#This Row],[COD]],Tabla7[[CODIGO]:[CERTIFICACION]],3,0))))</f>
        <v>ASC</v>
      </c>
      <c r="P1886" s="180">
        <f>+L1886-E1886</f>
        <v>0</v>
      </c>
      <c r="Q1886" s="181">
        <f>+M1886-F1886</f>
        <v>0</v>
      </c>
      <c r="R1886" s="9"/>
    </row>
    <row r="1887" spans="1:18" x14ac:dyDescent="0.25">
      <c r="A1887" s="9" t="s">
        <v>299</v>
      </c>
      <c r="B1887" s="9">
        <f>ROW() - ROW(TablaCosechas[[#Headers],[ID]]) - 4</f>
        <v>1882</v>
      </c>
      <c r="C1887" s="9" t="str">
        <f>LEFT(A1887,2)</f>
        <v>PR</v>
      </c>
      <c r="D1887" s="182" t="s">
        <v>367</v>
      </c>
      <c r="E1887" s="178">
        <v>6600</v>
      </c>
      <c r="F1887" s="19">
        <v>14</v>
      </c>
      <c r="G1887" s="195">
        <v>46161</v>
      </c>
      <c r="H1887" s="9" t="str">
        <f>VLOOKUP(TablaCosechas[[#This Row],[COD]],DATOS!$E$3:$F$27,2,0)</f>
        <v>PARGO ROJO</v>
      </c>
      <c r="I1887" s="9" t="str">
        <f>RIGHT(TablaCosechas[[#This Row],[SECTOR/PISCINA]],2)</f>
        <v>13</v>
      </c>
      <c r="J1887" s="9" t="str">
        <f>VLOOKUP(TablaCosechas[[#This Row],[COD]],Tabla7[#All],4,0)</f>
        <v>WILMER TORRES</v>
      </c>
      <c r="K1887" s="179">
        <f>(TablaCosechas[[#This Row],[libras planta]]*454)/M1887</f>
        <v>214028.57142857142</v>
      </c>
      <c r="L1887" s="178">
        <v>6600</v>
      </c>
      <c r="M1887" s="205">
        <v>14</v>
      </c>
      <c r="N1887" s="9" t="str">
        <f>UPPER(TEXT(TablaCosechas[[#This Row],[COSECHA]],"MMMM"))</f>
        <v>MAYO</v>
      </c>
      <c r="O1887" s="9" t="str">
        <f>IF(A1887="DO 29","BAP",IF(A1887="RO 14","BAP",(VLOOKUP(TablaCosechas[[#This Row],[COD]],Tabla7[[CODIGO]:[CERTIFICACION]],3,0))))</f>
        <v>CONVENCIONAL</v>
      </c>
      <c r="P1887" s="180">
        <f>+L1887-E1887</f>
        <v>0</v>
      </c>
      <c r="Q1887" s="181">
        <f>+M1887-F1887</f>
        <v>0</v>
      </c>
      <c r="R1887" s="9"/>
    </row>
    <row r="1888" spans="1:18" x14ac:dyDescent="0.25">
      <c r="A1888" s="9" t="s">
        <v>288</v>
      </c>
      <c r="B1888" s="9">
        <f>ROW() - ROW(TablaCosechas[[#Headers],[ID]]) - 4</f>
        <v>1883</v>
      </c>
      <c r="C1888" s="9" t="str">
        <f>LEFT(A1888,2)</f>
        <v>PR</v>
      </c>
      <c r="D1888" s="182" t="s">
        <v>367</v>
      </c>
      <c r="E1888" s="178">
        <v>7000</v>
      </c>
      <c r="F1888" s="19">
        <v>14</v>
      </c>
      <c r="G1888" s="195">
        <v>46161</v>
      </c>
      <c r="H1888" s="9" t="str">
        <f>VLOOKUP(TablaCosechas[[#This Row],[COD]],DATOS!$E$3:$F$27,2,0)</f>
        <v>PARGO ROJO</v>
      </c>
      <c r="I1888" s="9" t="str">
        <f>RIGHT(TablaCosechas[[#This Row],[SECTOR/PISCINA]],2)</f>
        <v>10</v>
      </c>
      <c r="J1888" s="9" t="str">
        <f>VLOOKUP(TablaCosechas[[#This Row],[COD]],Tabla7[#All],4,0)</f>
        <v>WILMER TORRES</v>
      </c>
      <c r="K1888" s="179">
        <f>(TablaCosechas[[#This Row],[libras planta]]*454)/M1888</f>
        <v>227000</v>
      </c>
      <c r="L1888" s="178">
        <v>7000</v>
      </c>
      <c r="M1888" s="205">
        <v>14</v>
      </c>
      <c r="N1888" s="9" t="str">
        <f>UPPER(TEXT(TablaCosechas[[#This Row],[COSECHA]],"MMMM"))</f>
        <v>MAYO</v>
      </c>
      <c r="O1888" s="9" t="str">
        <f>IF(A1888="DO 29","BAP",IF(A1888="RO 14","BAP",(VLOOKUP(TablaCosechas[[#This Row],[COD]],Tabla7[[CODIGO]:[CERTIFICACION]],3,0))))</f>
        <v>CONVENCIONAL</v>
      </c>
      <c r="P1888" s="180">
        <f>+L1888-E1888</f>
        <v>0</v>
      </c>
      <c r="Q1888" s="181">
        <f>+M1888-F1888</f>
        <v>0</v>
      </c>
      <c r="R1888" s="9"/>
    </row>
    <row r="1889" spans="1:18" x14ac:dyDescent="0.25">
      <c r="A1889" s="9" t="s">
        <v>290</v>
      </c>
      <c r="B1889" s="9">
        <f>ROW() - ROW(TablaCosechas[[#Headers],[ID]]) - 4</f>
        <v>1884</v>
      </c>
      <c r="C1889" s="9" t="str">
        <f>LEFT(A1889,2)</f>
        <v>ME</v>
      </c>
      <c r="D1889" s="182" t="s">
        <v>366</v>
      </c>
      <c r="E1889" s="178">
        <v>14650</v>
      </c>
      <c r="F1889" s="19">
        <v>31</v>
      </c>
      <c r="G1889" s="195">
        <v>46161</v>
      </c>
      <c r="H1889" s="9" t="str">
        <f>VLOOKUP(TablaCosechas[[#This Row],[COD]],DATOS!$E$3:$F$27,2,0)</f>
        <v>MERO</v>
      </c>
      <c r="I1889" s="9" t="str">
        <f>RIGHT(TablaCosechas[[#This Row],[SECTOR/PISCINA]],2)</f>
        <v>05</v>
      </c>
      <c r="J1889" s="9" t="str">
        <f>VLOOKUP(TablaCosechas[[#This Row],[COD]],Tabla7[#All],4,0)</f>
        <v>NESTOR MOGOLLON</v>
      </c>
      <c r="K1889" s="179">
        <f>(TablaCosechas[[#This Row],[libras planta]]*454)/M1889</f>
        <v>214551.61290322582</v>
      </c>
      <c r="L1889" s="178">
        <v>14650</v>
      </c>
      <c r="M1889" s="205">
        <v>31</v>
      </c>
      <c r="N1889" s="9" t="str">
        <f>UPPER(TEXT(TablaCosechas[[#This Row],[COSECHA]],"MMMM"))</f>
        <v>MAYO</v>
      </c>
      <c r="O1889" s="9" t="str">
        <f>IF(A1889="DO 29","BAP",IF(A1889="RO 14","BAP",(VLOOKUP(TablaCosechas[[#This Row],[COD]],Tabla7[[CODIGO]:[CERTIFICACION]],3,0))))</f>
        <v>CONVENCIONAL</v>
      </c>
      <c r="P1889" s="180">
        <f>+L1889-E1889</f>
        <v>0</v>
      </c>
      <c r="Q1889" s="181">
        <f>+M1889-F1889</f>
        <v>0</v>
      </c>
      <c r="R1889" s="9"/>
    </row>
    <row r="1890" spans="1:18" x14ac:dyDescent="0.25">
      <c r="A1890" s="9" t="s">
        <v>243</v>
      </c>
      <c r="B1890" s="9">
        <f>ROW() - ROW(TablaCosechas[[#Headers],[ID]]) - 4</f>
        <v>1885</v>
      </c>
      <c r="C1890" s="9" t="str">
        <f>LEFT(A1890,2)</f>
        <v>GT</v>
      </c>
      <c r="D1890" s="182" t="s">
        <v>367</v>
      </c>
      <c r="E1890" s="178">
        <v>2400</v>
      </c>
      <c r="F1890" s="19">
        <v>25</v>
      </c>
      <c r="G1890" s="195">
        <v>46161</v>
      </c>
      <c r="H1890" s="9" t="str">
        <f>VLOOKUP(TablaCosechas[[#This Row],[COD]],DATOS!$E$3:$F$27,2,0)</f>
        <v>GUATO</v>
      </c>
      <c r="I1890" s="9" t="str">
        <f>RIGHT(TablaCosechas[[#This Row],[SECTOR/PISCINA]],2)</f>
        <v>20</v>
      </c>
      <c r="J1890" s="9" t="str">
        <f>VLOOKUP(TablaCosechas[[#This Row],[COD]],Tabla7[#All],4,0)</f>
        <v>JULIO SANTOS</v>
      </c>
      <c r="K1890" s="179">
        <f>(TablaCosechas[[#This Row],[libras planta]]*454)/M1890</f>
        <v>43584</v>
      </c>
      <c r="L1890" s="178">
        <v>2400</v>
      </c>
      <c r="M1890" s="205">
        <v>25</v>
      </c>
      <c r="N1890" s="9" t="str">
        <f>UPPER(TEXT(TablaCosechas[[#This Row],[COSECHA]],"MMMM"))</f>
        <v>MAYO</v>
      </c>
      <c r="O1890" s="9" t="str">
        <f>IF(A1890="DO 29","BAP",IF(A1890="RO 14","BAP",(VLOOKUP(TablaCosechas[[#This Row],[COD]],Tabla7[[CODIGO]:[CERTIFICACION]],3,0))))</f>
        <v>CONVENCIONAL</v>
      </c>
      <c r="P1890" s="180">
        <f>+L1890-E1890</f>
        <v>0</v>
      </c>
      <c r="Q1890" s="181">
        <f>+M1890-F1890</f>
        <v>0</v>
      </c>
      <c r="R1890" s="9"/>
    </row>
    <row r="1891" spans="1:18" x14ac:dyDescent="0.25">
      <c r="A1891" s="9" t="s">
        <v>216</v>
      </c>
      <c r="B1891" s="9">
        <f>ROW() - ROW(TablaCosechas[[#Headers],[ID]]) - 4</f>
        <v>1886</v>
      </c>
      <c r="C1891" s="9" t="str">
        <f>LEFT(A1891,2)</f>
        <v>DO</v>
      </c>
      <c r="D1891" s="182" t="s">
        <v>366</v>
      </c>
      <c r="E1891" s="178">
        <v>14300</v>
      </c>
      <c r="F1891" s="19">
        <v>35</v>
      </c>
      <c r="G1891" s="195">
        <v>46161</v>
      </c>
      <c r="H1891" s="9" t="str">
        <f>VLOOKUP(TablaCosechas[[#This Row],[COD]],DATOS!$E$3:$F$27,2,0)</f>
        <v>DORADO</v>
      </c>
      <c r="I1891" s="9" t="str">
        <f>RIGHT(TablaCosechas[[#This Row],[SECTOR/PISCINA]],2)</f>
        <v>21</v>
      </c>
      <c r="J1891" s="9" t="str">
        <f>VLOOKUP(TablaCosechas[[#This Row],[COD]],Tabla7[#All],4,0)</f>
        <v>JOSE CEDEÑO</v>
      </c>
      <c r="K1891" s="179">
        <f>(TablaCosechas[[#This Row],[libras planta]]*454)/M1891</f>
        <v>185491.42857142858</v>
      </c>
      <c r="L1891" s="178">
        <v>14300</v>
      </c>
      <c r="M1891" s="205">
        <v>35</v>
      </c>
      <c r="N1891" s="9" t="str">
        <f>UPPER(TEXT(TablaCosechas[[#This Row],[COSECHA]],"MMMM"))</f>
        <v>MAYO</v>
      </c>
      <c r="O1891" s="9" t="str">
        <f>IF(A1891="DO 29","BAP",IF(A1891="RO 14","BAP",(VLOOKUP(TablaCosechas[[#This Row],[COD]],Tabla7[[CODIGO]:[CERTIFICACION]],3,0))))</f>
        <v>ASC</v>
      </c>
      <c r="P1891" s="180">
        <f>+L1891-E1891</f>
        <v>0</v>
      </c>
      <c r="Q1891" s="181">
        <f>+M1891-F1891</f>
        <v>0</v>
      </c>
      <c r="R1891" s="9"/>
    </row>
    <row r="1892" spans="1:18" x14ac:dyDescent="0.25">
      <c r="A1892" s="9" t="s">
        <v>350</v>
      </c>
      <c r="B1892" s="9">
        <f>ROW() - ROW(TablaCosechas[[#Headers],[ID]]) - 4</f>
        <v>1887</v>
      </c>
      <c r="C1892" s="9" t="str">
        <f>LEFT(A1892,2)</f>
        <v>DO</v>
      </c>
      <c r="D1892" s="182" t="s">
        <v>366</v>
      </c>
      <c r="E1892" s="178">
        <v>17900</v>
      </c>
      <c r="F1892" s="19">
        <v>38</v>
      </c>
      <c r="G1892" s="195">
        <v>46161</v>
      </c>
      <c r="H1892" s="9" t="str">
        <f>VLOOKUP(TablaCosechas[[#This Row],[COD]],DATOS!$E$3:$F$27,2,0)</f>
        <v>DORADO</v>
      </c>
      <c r="I1892" s="9" t="str">
        <f>RIGHT(TablaCosechas[[#This Row],[SECTOR/PISCINA]],2)</f>
        <v>02</v>
      </c>
      <c r="J1892" s="9" t="str">
        <f>VLOOKUP(TablaCosechas[[#This Row],[COD]],Tabla7[#All],4,0)</f>
        <v>JOSE CEDEÑO</v>
      </c>
      <c r="K1892" s="179">
        <f>(TablaCosechas[[#This Row],[libras planta]]*454)/M1892</f>
        <v>213857.89473684211</v>
      </c>
      <c r="L1892" s="178">
        <v>17900</v>
      </c>
      <c r="M1892" s="205">
        <v>38</v>
      </c>
      <c r="N1892" s="9" t="str">
        <f>UPPER(TEXT(TablaCosechas[[#This Row],[COSECHA]],"MMMM"))</f>
        <v>MAYO</v>
      </c>
      <c r="O1892" s="9" t="str">
        <f>IF(A1892="DO 29","BAP",IF(A1892="RO 14","BAP",(VLOOKUP(TablaCosechas[[#This Row],[COD]],Tabla7[[CODIGO]:[CERTIFICACION]],3,0))))</f>
        <v>ASC</v>
      </c>
      <c r="P1892" s="180">
        <f>+L1892-E1892</f>
        <v>0</v>
      </c>
      <c r="Q1892" s="181">
        <f>+M1892-F1892</f>
        <v>0</v>
      </c>
      <c r="R1892" s="9"/>
    </row>
    <row r="1893" spans="1:18" x14ac:dyDescent="0.25">
      <c r="A1893" s="9" t="s">
        <v>245</v>
      </c>
      <c r="B1893" s="9">
        <f>ROW() - ROW(TablaCosechas[[#Headers],[ID]]) - 4</f>
        <v>1888</v>
      </c>
      <c r="C1893" s="9" t="str">
        <f>LEFT(A1893,2)</f>
        <v>CA</v>
      </c>
      <c r="D1893" s="182" t="s">
        <v>366</v>
      </c>
      <c r="E1893" s="178">
        <v>10600</v>
      </c>
      <c r="F1893" s="19">
        <v>32</v>
      </c>
      <c r="G1893" s="195">
        <v>46161</v>
      </c>
      <c r="H1893" s="9" t="str">
        <f>VLOOKUP(TablaCosechas[[#This Row],[COD]],DATOS!$E$3:$F$27,2,0)</f>
        <v>CATANUDA</v>
      </c>
      <c r="I1893" s="9" t="str">
        <f>RIGHT(TablaCosechas[[#This Row],[SECTOR/PISCINA]],2)</f>
        <v>16</v>
      </c>
      <c r="J1893" s="9" t="str">
        <f>VLOOKUP(TablaCosechas[[#This Row],[COD]],Tabla7[#All],4,0)</f>
        <v>VICTOR QUINTANA</v>
      </c>
      <c r="K1893" s="179">
        <f>(TablaCosechas[[#This Row],[libras planta]]*454)/M1893</f>
        <v>150387.5</v>
      </c>
      <c r="L1893" s="178">
        <v>10600</v>
      </c>
      <c r="M1893" s="205">
        <v>32</v>
      </c>
      <c r="N1893" s="9" t="str">
        <f>UPPER(TEXT(TablaCosechas[[#This Row],[COSECHA]],"MMMM"))</f>
        <v>MAYO</v>
      </c>
      <c r="O1893" s="9" t="str">
        <f>IF(A1893="DO 29","BAP",IF(A1893="RO 14","BAP",(VLOOKUP(TablaCosechas[[#This Row],[COD]],Tabla7[[CODIGO]:[CERTIFICACION]],3,0))))</f>
        <v>ASC</v>
      </c>
      <c r="P1893" s="180">
        <f>+L1893-E1893</f>
        <v>0</v>
      </c>
      <c r="Q1893" s="181">
        <f>+M1893-F1893</f>
        <v>0</v>
      </c>
      <c r="R1893" s="9"/>
    </row>
    <row r="1894" spans="1:18" x14ac:dyDescent="0.25">
      <c r="A1894" s="9" t="s">
        <v>157</v>
      </c>
      <c r="B1894" s="9">
        <f>ROW() - ROW(TablaCosechas[[#Headers],[ID]]) - 4</f>
        <v>1889</v>
      </c>
      <c r="C1894" s="9" t="str">
        <f>LEFT(A1894,2)</f>
        <v>WA</v>
      </c>
      <c r="D1894" s="182" t="s">
        <v>366</v>
      </c>
      <c r="E1894" s="178">
        <v>24900</v>
      </c>
      <c r="F1894" s="19">
        <v>35</v>
      </c>
      <c r="G1894" s="195">
        <v>46162</v>
      </c>
      <c r="H1894" s="9" t="str">
        <f>VLOOKUP(TablaCosechas[[#This Row],[COD]],DATOS!$E$3:$F$27,2,0)</f>
        <v>WAHOO</v>
      </c>
      <c r="I1894" s="9" t="str">
        <f>RIGHT(TablaCosechas[[#This Row],[SECTOR/PISCINA]],2)</f>
        <v>04</v>
      </c>
      <c r="J1894" s="9" t="str">
        <f>VLOOKUP(TablaCosechas[[#This Row],[COD]],Tabla7[#All],4,0)</f>
        <v>JUNIOR ESQUIVEL</v>
      </c>
      <c r="K1894" s="179">
        <f>(TablaCosechas[[#This Row],[libras planta]]*454)/M1894</f>
        <v>322988.57142857142</v>
      </c>
      <c r="L1894" s="178">
        <v>24900</v>
      </c>
      <c r="M1894" s="205">
        <v>35</v>
      </c>
      <c r="N1894" s="9" t="str">
        <f>UPPER(TEXT(TablaCosechas[[#This Row],[COSECHA]],"MMMM"))</f>
        <v>MAYO</v>
      </c>
      <c r="O1894" s="9" t="str">
        <f>IF(A1894="DO 29","BAP",IF(A1894="RO 14","BAP",(VLOOKUP(TablaCosechas[[#This Row],[COD]],Tabla7[[CODIGO]:[CERTIFICACION]],3,0))))</f>
        <v>CONVENCIONAL</v>
      </c>
      <c r="P1894" s="180">
        <f>+L1894-E1894</f>
        <v>0</v>
      </c>
      <c r="Q1894" s="181">
        <f>+M1894-F1894</f>
        <v>0</v>
      </c>
      <c r="R1894" s="9"/>
    </row>
    <row r="1895" spans="1:18" x14ac:dyDescent="0.25">
      <c r="A1895" s="9" t="s">
        <v>313</v>
      </c>
      <c r="B1895" s="9">
        <f>ROW() - ROW(TablaCosechas[[#Headers],[ID]]) - 4</f>
        <v>1890</v>
      </c>
      <c r="C1895" s="9" t="str">
        <f>LEFT(A1895,2)</f>
        <v>TI</v>
      </c>
      <c r="D1895" s="182" t="s">
        <v>367</v>
      </c>
      <c r="E1895" s="178">
        <v>4000</v>
      </c>
      <c r="F1895" s="19">
        <v>20</v>
      </c>
      <c r="G1895" s="195">
        <v>46162</v>
      </c>
      <c r="H1895" s="9" t="str">
        <f>VLOOKUP(TablaCosechas[[#This Row],[COD]],DATOS!$E$3:$F$27,2,0)</f>
        <v>TIBURON</v>
      </c>
      <c r="I1895" s="9" t="str">
        <f>RIGHT(TablaCosechas[[#This Row],[SECTOR/PISCINA]],2)</f>
        <v>20</v>
      </c>
      <c r="J1895" s="9" t="str">
        <f>VLOOKUP(TablaCosechas[[#This Row],[COD]],Tabla7[#All],4,0)</f>
        <v>ALFONSO GRUNAUER</v>
      </c>
      <c r="K1895" s="179">
        <f>(TablaCosechas[[#This Row],[libras planta]]*454)/M1895</f>
        <v>90800</v>
      </c>
      <c r="L1895" s="178">
        <v>4000</v>
      </c>
      <c r="M1895" s="205">
        <v>20</v>
      </c>
      <c r="N1895" s="9" t="str">
        <f>UPPER(TEXT(TablaCosechas[[#This Row],[COSECHA]],"MMMM"))</f>
        <v>MAYO</v>
      </c>
      <c r="O1895" s="9" t="str">
        <f>IF(A1895="DO 29","BAP",IF(A1895="RO 14","BAP",(VLOOKUP(TablaCosechas[[#This Row],[COD]],Tabla7[[CODIGO]:[CERTIFICACION]],3,0))))</f>
        <v>ASC</v>
      </c>
      <c r="P1895" s="180">
        <f>+L1895-E1895</f>
        <v>0</v>
      </c>
      <c r="Q1895" s="181">
        <f>+M1895-F1895</f>
        <v>0</v>
      </c>
      <c r="R1895" s="9"/>
    </row>
    <row r="1896" spans="1:18" x14ac:dyDescent="0.25">
      <c r="A1896" s="9" t="s">
        <v>322</v>
      </c>
      <c r="B1896" s="9">
        <f>ROW() - ROW(TablaCosechas[[#Headers],[ID]]) - 4</f>
        <v>1891</v>
      </c>
      <c r="C1896" s="9" t="str">
        <f>LEFT(A1896,2)</f>
        <v>TI</v>
      </c>
      <c r="D1896" s="182" t="s">
        <v>367</v>
      </c>
      <c r="E1896" s="178">
        <v>5200</v>
      </c>
      <c r="F1896" s="19">
        <v>21.5</v>
      </c>
      <c r="G1896" s="195">
        <v>46162</v>
      </c>
      <c r="H1896" s="9" t="str">
        <f>VLOOKUP(TablaCosechas[[#This Row],[COD]],DATOS!$E$3:$F$27,2,0)</f>
        <v>TIBURON</v>
      </c>
      <c r="I1896" s="9" t="str">
        <f>RIGHT(TablaCosechas[[#This Row],[SECTOR/PISCINA]],2)</f>
        <v>12</v>
      </c>
      <c r="J1896" s="9" t="str">
        <f>VLOOKUP(TablaCosechas[[#This Row],[COD]],Tabla7[#All],4,0)</f>
        <v>ALFONSO GRUNAUER</v>
      </c>
      <c r="K1896" s="179">
        <f>(TablaCosechas[[#This Row],[libras planta]]*454)/M1896</f>
        <v>109804.6511627907</v>
      </c>
      <c r="L1896" s="178">
        <v>5200</v>
      </c>
      <c r="M1896" s="205">
        <v>21.5</v>
      </c>
      <c r="N1896" s="9" t="str">
        <f>UPPER(TEXT(TablaCosechas[[#This Row],[COSECHA]],"MMMM"))</f>
        <v>MAYO</v>
      </c>
      <c r="O1896" s="9" t="str">
        <f>IF(A1896="DO 29","BAP",IF(A1896="RO 14","BAP",(VLOOKUP(TablaCosechas[[#This Row],[COD]],Tabla7[[CODIGO]:[CERTIFICACION]],3,0))))</f>
        <v>ASC</v>
      </c>
      <c r="P1896" s="180">
        <f>+L1896-E1896</f>
        <v>0</v>
      </c>
      <c r="Q1896" s="181">
        <f>+M1896-F1896</f>
        <v>0</v>
      </c>
      <c r="R1896" s="9"/>
    </row>
    <row r="1897" spans="1:18" x14ac:dyDescent="0.25">
      <c r="A1897" s="9" t="s">
        <v>292</v>
      </c>
      <c r="B1897" s="9">
        <f>ROW() - ROW(TablaCosechas[[#Headers],[ID]]) - 4</f>
        <v>1892</v>
      </c>
      <c r="C1897" s="9" t="str">
        <f>LEFT(A1897,2)</f>
        <v>ME</v>
      </c>
      <c r="D1897" s="182" t="s">
        <v>366</v>
      </c>
      <c r="E1897" s="178">
        <v>16000</v>
      </c>
      <c r="F1897" s="19">
        <v>31</v>
      </c>
      <c r="G1897" s="195">
        <v>46162</v>
      </c>
      <c r="H1897" s="9" t="str">
        <f>VLOOKUP(TablaCosechas[[#This Row],[COD]],DATOS!$E$3:$F$27,2,0)</f>
        <v>MERO</v>
      </c>
      <c r="I1897" s="9" t="str">
        <f>RIGHT(TablaCosechas[[#This Row],[SECTOR/PISCINA]],2)</f>
        <v>07</v>
      </c>
      <c r="J1897" s="9" t="str">
        <f>VLOOKUP(TablaCosechas[[#This Row],[COD]],Tabla7[#All],4,0)</f>
        <v>NESTOR MOGOLLON</v>
      </c>
      <c r="K1897" s="179">
        <f>(TablaCosechas[[#This Row],[libras planta]]*454)/M1897</f>
        <v>234322.5806451613</v>
      </c>
      <c r="L1897" s="178">
        <v>16000</v>
      </c>
      <c r="M1897" s="205">
        <v>31</v>
      </c>
      <c r="N1897" s="9" t="str">
        <f>UPPER(TEXT(TablaCosechas[[#This Row],[COSECHA]],"MMMM"))</f>
        <v>MAYO</v>
      </c>
      <c r="O1897" s="9" t="str">
        <f>IF(A1897="DO 29","BAP",IF(A1897="RO 14","BAP",(VLOOKUP(TablaCosechas[[#This Row],[COD]],Tabla7[[CODIGO]:[CERTIFICACION]],3,0))))</f>
        <v>CONVENCIONAL</v>
      </c>
      <c r="P1897" s="180">
        <f>+L1897-E1897</f>
        <v>0</v>
      </c>
      <c r="Q1897" s="181">
        <f>+M1897-F1897</f>
        <v>0</v>
      </c>
      <c r="R1897" s="9"/>
    </row>
    <row r="1898" spans="1:18" x14ac:dyDescent="0.25">
      <c r="A1898" s="9" t="s">
        <v>246</v>
      </c>
      <c r="B1898" s="9">
        <f>ROW() - ROW(TablaCosechas[[#Headers],[ID]]) - 4</f>
        <v>1893</v>
      </c>
      <c r="C1898" s="9" t="str">
        <f>LEFT(A1898,2)</f>
        <v>MA</v>
      </c>
      <c r="D1898" s="182" t="s">
        <v>366</v>
      </c>
      <c r="E1898" s="178">
        <v>14400</v>
      </c>
      <c r="F1898" s="19">
        <v>27</v>
      </c>
      <c r="G1898" s="195">
        <v>46162</v>
      </c>
      <c r="H1898" s="9" t="str">
        <f>VLOOKUP(TablaCosechas[[#This Row],[COD]],DATOS!$E$3:$F$27,2,0)</f>
        <v>MANTARRAYA</v>
      </c>
      <c r="I1898" s="9" t="str">
        <f>RIGHT(TablaCosechas[[#This Row],[SECTOR/PISCINA]],2)</f>
        <v>09</v>
      </c>
      <c r="J1898" s="9" t="str">
        <f>VLOOKUP(TablaCosechas[[#This Row],[COD]],Tabla7[#All],4,0)</f>
        <v>GUSTAVO CARRASCO</v>
      </c>
      <c r="K1898" s="179">
        <f>(TablaCosechas[[#This Row],[libras planta]]*454)/M1898</f>
        <v>242133.33333333334</v>
      </c>
      <c r="L1898" s="178">
        <v>14400</v>
      </c>
      <c r="M1898" s="205">
        <v>27</v>
      </c>
      <c r="N1898" s="9" t="str">
        <f>UPPER(TEXT(TablaCosechas[[#This Row],[COSECHA]],"MMMM"))</f>
        <v>MAYO</v>
      </c>
      <c r="O1898" s="9" t="str">
        <f>IF(A1898="DO 29","BAP",IF(A1898="RO 14","BAP",(VLOOKUP(TablaCosechas[[#This Row],[COD]],Tabla7[[CODIGO]:[CERTIFICACION]],3,0))))</f>
        <v>ASC</v>
      </c>
      <c r="P1898" s="180">
        <f>+L1898-E1898</f>
        <v>0</v>
      </c>
      <c r="Q1898" s="181">
        <f>+M1898-F1898</f>
        <v>0</v>
      </c>
      <c r="R1898" s="9"/>
    </row>
    <row r="1899" spans="1:18" x14ac:dyDescent="0.25">
      <c r="A1899" s="9" t="s">
        <v>222</v>
      </c>
      <c r="B1899" s="9">
        <f>ROW() - ROW(TablaCosechas[[#Headers],[ID]]) - 4</f>
        <v>1894</v>
      </c>
      <c r="C1899" s="9" t="str">
        <f>LEFT(A1899,2)</f>
        <v>GT</v>
      </c>
      <c r="D1899" s="182" t="s">
        <v>366</v>
      </c>
      <c r="E1899" s="178">
        <v>22200</v>
      </c>
      <c r="F1899" s="19">
        <v>30</v>
      </c>
      <c r="G1899" s="195">
        <v>46162</v>
      </c>
      <c r="H1899" s="9" t="str">
        <f>VLOOKUP(TablaCosechas[[#This Row],[COD]],DATOS!$E$3:$F$27,2,0)</f>
        <v>GUATO</v>
      </c>
      <c r="I1899" s="9" t="str">
        <f>RIGHT(TablaCosechas[[#This Row],[SECTOR/PISCINA]],2)</f>
        <v>17</v>
      </c>
      <c r="J1899" s="9" t="str">
        <f>VLOOKUP(TablaCosechas[[#This Row],[COD]],Tabla7[#All],4,0)</f>
        <v>JULIO SANTOS</v>
      </c>
      <c r="K1899" s="179">
        <f>(TablaCosechas[[#This Row],[libras planta]]*454)/M1899</f>
        <v>335960</v>
      </c>
      <c r="L1899" s="178">
        <v>22200</v>
      </c>
      <c r="M1899" s="205">
        <v>30</v>
      </c>
      <c r="N1899" s="9" t="str">
        <f>UPPER(TEXT(TablaCosechas[[#This Row],[COSECHA]],"MMMM"))</f>
        <v>MAYO</v>
      </c>
      <c r="O1899" s="9" t="str">
        <f>IF(A1899="DO 29","BAP",IF(A1899="RO 14","BAP",(VLOOKUP(TablaCosechas[[#This Row],[COD]],Tabla7[[CODIGO]:[CERTIFICACION]],3,0))))</f>
        <v>CONVENCIONAL</v>
      </c>
      <c r="P1899" s="180">
        <f>+L1899-E1899</f>
        <v>0</v>
      </c>
      <c r="Q1899" s="181">
        <f>+M1899-F1899</f>
        <v>0</v>
      </c>
      <c r="R1899" s="9"/>
    </row>
    <row r="1900" spans="1:18" x14ac:dyDescent="0.25">
      <c r="A1900" s="9" t="s">
        <v>206</v>
      </c>
      <c r="B1900" s="9">
        <f>ROW() - ROW(TablaCosechas[[#Headers],[ID]]) - 4</f>
        <v>1895</v>
      </c>
      <c r="C1900" s="9" t="str">
        <f>LEFT(A1900,2)</f>
        <v>DO</v>
      </c>
      <c r="D1900" s="182" t="s">
        <v>367</v>
      </c>
      <c r="E1900" s="178">
        <v>8000</v>
      </c>
      <c r="F1900" s="19">
        <v>18</v>
      </c>
      <c r="G1900" s="195">
        <v>46162</v>
      </c>
      <c r="H1900" s="9" t="str">
        <f>VLOOKUP(TablaCosechas[[#This Row],[COD]],DATOS!$E$3:$F$27,2,0)</f>
        <v>DORADO</v>
      </c>
      <c r="I1900" s="9" t="str">
        <f>RIGHT(TablaCosechas[[#This Row],[SECTOR/PISCINA]],2)</f>
        <v>27</v>
      </c>
      <c r="J1900" s="9" t="str">
        <f>VLOOKUP(TablaCosechas[[#This Row],[COD]],Tabla7[#All],4,0)</f>
        <v>JOSE CEDEÑO</v>
      </c>
      <c r="K1900" s="179">
        <f>(TablaCosechas[[#This Row],[libras planta]]*454)/M1900</f>
        <v>201777.77777777778</v>
      </c>
      <c r="L1900" s="178">
        <v>8000</v>
      </c>
      <c r="M1900" s="205">
        <v>18</v>
      </c>
      <c r="N1900" s="9" t="str">
        <f>UPPER(TEXT(TablaCosechas[[#This Row],[COSECHA]],"MMMM"))</f>
        <v>MAYO</v>
      </c>
      <c r="O1900" s="9" t="str">
        <f>IF(A1900="DO 29","BAP",IF(A1900="RO 14","BAP",(VLOOKUP(TablaCosechas[[#This Row],[COD]],Tabla7[[CODIGO]:[CERTIFICACION]],3,0))))</f>
        <v>ASC</v>
      </c>
      <c r="P1900" s="180">
        <f>+L1900-E1900</f>
        <v>0</v>
      </c>
      <c r="Q1900" s="181">
        <f>+M1900-F1900</f>
        <v>0</v>
      </c>
      <c r="R1900" s="9"/>
    </row>
    <row r="1901" spans="1:18" x14ac:dyDescent="0.25">
      <c r="A1901" s="9" t="s">
        <v>260</v>
      </c>
      <c r="B1901" s="9">
        <f>ROW() - ROW(TablaCosechas[[#Headers],[ID]]) - 4</f>
        <v>1896</v>
      </c>
      <c r="C1901" s="9" t="str">
        <f>LEFT(A1901,2)</f>
        <v>DO</v>
      </c>
      <c r="D1901" s="182" t="s">
        <v>366</v>
      </c>
      <c r="E1901" s="178">
        <v>17850</v>
      </c>
      <c r="F1901" s="19">
        <v>38</v>
      </c>
      <c r="G1901" s="195">
        <v>46162</v>
      </c>
      <c r="H1901" s="9" t="str">
        <f>VLOOKUP(TablaCosechas[[#This Row],[COD]],DATOS!$E$3:$F$27,2,0)</f>
        <v>DORADO</v>
      </c>
      <c r="I1901" s="9" t="str">
        <f>RIGHT(TablaCosechas[[#This Row],[SECTOR/PISCINA]],2)</f>
        <v>03</v>
      </c>
      <c r="J1901" s="9" t="str">
        <f>VLOOKUP(TablaCosechas[[#This Row],[COD]],Tabla7[#All],4,0)</f>
        <v>JOSE CEDEÑO</v>
      </c>
      <c r="K1901" s="179">
        <f>(TablaCosechas[[#This Row],[libras planta]]*454)/M1901</f>
        <v>213260.52631578947</v>
      </c>
      <c r="L1901" s="178">
        <v>17850</v>
      </c>
      <c r="M1901" s="205">
        <v>38</v>
      </c>
      <c r="N1901" s="9" t="str">
        <f>UPPER(TEXT(TablaCosechas[[#This Row],[COSECHA]],"MMMM"))</f>
        <v>MAYO</v>
      </c>
      <c r="O1901" s="9" t="str">
        <f>IF(A1901="DO 29","BAP",IF(A1901="RO 14","BAP",(VLOOKUP(TablaCosechas[[#This Row],[COD]],Tabla7[[CODIGO]:[CERTIFICACION]],3,0))))</f>
        <v>ASC</v>
      </c>
      <c r="P1901" s="180">
        <f>+L1901-E1901</f>
        <v>0</v>
      </c>
      <c r="Q1901" s="181">
        <f>+M1901-F1901</f>
        <v>0</v>
      </c>
      <c r="R1901" s="9"/>
    </row>
    <row r="1902" spans="1:18" x14ac:dyDescent="0.25">
      <c r="A1902" s="9" t="s">
        <v>269</v>
      </c>
      <c r="B1902" s="9">
        <f>ROW() - ROW(TablaCosechas[[#Headers],[ID]]) - 4</f>
        <v>1897</v>
      </c>
      <c r="C1902" s="9" t="str">
        <f>LEFT(A1902,2)</f>
        <v>DE</v>
      </c>
      <c r="D1902" s="182" t="s">
        <v>367</v>
      </c>
      <c r="E1902" s="178">
        <v>10200</v>
      </c>
      <c r="F1902" s="19">
        <v>28</v>
      </c>
      <c r="G1902" s="195">
        <v>46162</v>
      </c>
      <c r="H1902" s="9" t="str">
        <f>VLOOKUP(TablaCosechas[[#This Row],[COD]],DATOS!$E$3:$F$27,2,0)</f>
        <v>DELFIN</v>
      </c>
      <c r="I1902" s="9" t="str">
        <f>RIGHT(TablaCosechas[[#This Row],[SECTOR/PISCINA]],2)</f>
        <v>18</v>
      </c>
      <c r="J1902" s="9" t="str">
        <f>VLOOKUP(TablaCosechas[[#This Row],[COD]],Tabla7[#All],4,0)</f>
        <v>CARLOS FLORES</v>
      </c>
      <c r="K1902" s="179">
        <f>(TablaCosechas[[#This Row],[libras planta]]*454)/M1902</f>
        <v>165385.71428571429</v>
      </c>
      <c r="L1902" s="178">
        <v>10200</v>
      </c>
      <c r="M1902" s="205">
        <v>28</v>
      </c>
      <c r="N1902" s="9" t="str">
        <f>UPPER(TEXT(TablaCosechas[[#This Row],[COSECHA]],"MMMM"))</f>
        <v>MAYO</v>
      </c>
      <c r="O1902" s="9" t="str">
        <f>IF(A1902="DO 29","BAP",IF(A1902="RO 14","BAP",(VLOOKUP(TablaCosechas[[#This Row],[COD]],Tabla7[[CODIGO]:[CERTIFICACION]],3,0))))</f>
        <v>CONVENCIONAL</v>
      </c>
      <c r="P1902" s="180">
        <f>+L1902-E1902</f>
        <v>0</v>
      </c>
      <c r="Q1902" s="181">
        <f>+M1902-F1902</f>
        <v>0</v>
      </c>
      <c r="R1902" s="9"/>
    </row>
    <row r="1903" spans="1:18" x14ac:dyDescent="0.25">
      <c r="A1903" s="9" t="s">
        <v>28</v>
      </c>
      <c r="B1903" s="9">
        <f>ROW() - ROW(TablaCosechas[[#Headers],[ID]]) - 4</f>
        <v>1898</v>
      </c>
      <c r="C1903" s="9" t="str">
        <f>LEFT(A1903,2)</f>
        <v>CH</v>
      </c>
      <c r="D1903" s="182" t="s">
        <v>366</v>
      </c>
      <c r="E1903" s="178">
        <v>19250</v>
      </c>
      <c r="F1903" s="19">
        <v>28.5</v>
      </c>
      <c r="G1903" s="195">
        <v>46162</v>
      </c>
      <c r="H1903" s="9" t="str">
        <f>VLOOKUP(TablaCosechas[[#This Row],[COD]],DATOS!$E$3:$F$27,2,0)</f>
        <v>CHERNA</v>
      </c>
      <c r="I1903" s="9" t="str">
        <f>RIGHT(TablaCosechas[[#This Row],[SECTOR/PISCINA]],2)</f>
        <v>22</v>
      </c>
      <c r="J1903" s="9" t="str">
        <f>VLOOKUP(TablaCosechas[[#This Row],[COD]],Tabla7[#All],4,0)</f>
        <v>SANTIAGO OBRIEN</v>
      </c>
      <c r="K1903" s="179">
        <f>(TablaCosechas[[#This Row],[libras planta]]*454)/M1903</f>
        <v>306649.12280701753</v>
      </c>
      <c r="L1903" s="178">
        <v>19250</v>
      </c>
      <c r="M1903" s="205">
        <v>28.5</v>
      </c>
      <c r="N1903" s="9" t="str">
        <f>UPPER(TEXT(TablaCosechas[[#This Row],[COSECHA]],"MMMM"))</f>
        <v>MAYO</v>
      </c>
      <c r="O1903" s="9" t="str">
        <f>IF(A1903="DO 29","BAP",IF(A1903="RO 14","BAP",(VLOOKUP(TablaCosechas[[#This Row],[COD]],Tabla7[[CODIGO]:[CERTIFICACION]],3,0))))</f>
        <v>ASC</v>
      </c>
      <c r="P1903" s="180">
        <f>+L1903-E1903</f>
        <v>0</v>
      </c>
      <c r="Q1903" s="181">
        <f>+M1903-F1903</f>
        <v>0</v>
      </c>
      <c r="R1903" s="9"/>
    </row>
    <row r="1904" spans="1:18" x14ac:dyDescent="0.25">
      <c r="A1904" s="9" t="s">
        <v>114</v>
      </c>
      <c r="B1904" s="9">
        <f>ROW() - ROW(TablaCosechas[[#Headers],[ID]]) - 4</f>
        <v>1899</v>
      </c>
      <c r="C1904" s="9" t="str">
        <f>LEFT(A1904,2)</f>
        <v>CA</v>
      </c>
      <c r="D1904" s="182" t="s">
        <v>367</v>
      </c>
      <c r="E1904" s="178">
        <v>5600</v>
      </c>
      <c r="F1904" s="19">
        <v>17</v>
      </c>
      <c r="G1904" s="195">
        <v>46162</v>
      </c>
      <c r="H1904" s="9" t="str">
        <f>VLOOKUP(TablaCosechas[[#This Row],[COD]],DATOS!$E$3:$F$27,2,0)</f>
        <v>CATANUDA</v>
      </c>
      <c r="I1904" s="9" t="str">
        <f>RIGHT(TablaCosechas[[#This Row],[SECTOR/PISCINA]],2)</f>
        <v>18</v>
      </c>
      <c r="J1904" s="9" t="str">
        <f>VLOOKUP(TablaCosechas[[#This Row],[COD]],Tabla7[#All],4,0)</f>
        <v>VICTOR QUINTANA</v>
      </c>
      <c r="K1904" s="179">
        <f>(TablaCosechas[[#This Row],[libras planta]]*454)/M1904</f>
        <v>149552.9411764706</v>
      </c>
      <c r="L1904" s="178">
        <v>5600</v>
      </c>
      <c r="M1904" s="205">
        <v>17</v>
      </c>
      <c r="N1904" s="9" t="str">
        <f>UPPER(TEXT(TablaCosechas[[#This Row],[COSECHA]],"MMMM"))</f>
        <v>MAYO</v>
      </c>
      <c r="O1904" s="9" t="str">
        <f>IF(A1904="DO 29","BAP",IF(A1904="RO 14","BAP",(VLOOKUP(TablaCosechas[[#This Row],[COD]],Tabla7[[CODIGO]:[CERTIFICACION]],3,0))))</f>
        <v>ASC</v>
      </c>
      <c r="P1904" s="180">
        <f>+L1904-E1904</f>
        <v>0</v>
      </c>
      <c r="Q1904" s="181">
        <f>+M1904-F1904</f>
        <v>0</v>
      </c>
      <c r="R1904" s="9"/>
    </row>
    <row r="1905" spans="1:18" x14ac:dyDescent="0.25">
      <c r="A1905" s="9" t="s">
        <v>316</v>
      </c>
      <c r="B1905" s="9">
        <f>ROW() - ROW(TablaCosechas[[#Headers],[ID]]) - 4</f>
        <v>1900</v>
      </c>
      <c r="C1905" s="9" t="str">
        <f>LEFT(A1905,2)</f>
        <v>CA</v>
      </c>
      <c r="D1905" s="182" t="s">
        <v>367</v>
      </c>
      <c r="E1905" s="178">
        <v>800</v>
      </c>
      <c r="F1905" s="19">
        <v>15</v>
      </c>
      <c r="G1905" s="195">
        <v>46162</v>
      </c>
      <c r="H1905" s="9" t="str">
        <f>VLOOKUP(TablaCosechas[[#This Row],[COD]],DATOS!$E$3:$F$27,2,0)</f>
        <v>CATANUDA</v>
      </c>
      <c r="I1905" s="9" t="str">
        <f>RIGHT(TablaCosechas[[#This Row],[SECTOR/PISCINA]],2)</f>
        <v>12</v>
      </c>
      <c r="J1905" s="9" t="str">
        <f>VLOOKUP(TablaCosechas[[#This Row],[COD]],Tabla7[#All],4,0)</f>
        <v>VICTOR QUINTANA</v>
      </c>
      <c r="K1905" s="179">
        <f>(TablaCosechas[[#This Row],[libras planta]]*454)/M1905</f>
        <v>24213.333333333332</v>
      </c>
      <c r="L1905" s="178">
        <v>800</v>
      </c>
      <c r="M1905" s="205">
        <v>15</v>
      </c>
      <c r="N1905" s="9" t="str">
        <f>UPPER(TEXT(TablaCosechas[[#This Row],[COSECHA]],"MMMM"))</f>
        <v>MAYO</v>
      </c>
      <c r="O1905" s="9" t="str">
        <f>IF(A1905="DO 29","BAP",IF(A1905="RO 14","BAP",(VLOOKUP(TablaCosechas[[#This Row],[COD]],Tabla7[[CODIGO]:[CERTIFICACION]],3,0))))</f>
        <v>ASC</v>
      </c>
      <c r="P1905" s="180">
        <f>+L1905-E1905</f>
        <v>0</v>
      </c>
      <c r="Q1905" s="181">
        <f>+M1905-F1905</f>
        <v>0</v>
      </c>
      <c r="R1905" s="9"/>
    </row>
    <row r="1906" spans="1:18" x14ac:dyDescent="0.25">
      <c r="A1906" s="9" t="s">
        <v>352</v>
      </c>
      <c r="B1906" s="9">
        <f>ROW() - ROW(TablaCosechas[[#Headers],[ID]]) - 4</f>
        <v>1901</v>
      </c>
      <c r="C1906" s="9" t="str">
        <f>LEFT(A1906,2)</f>
        <v>WA</v>
      </c>
      <c r="D1906" s="182" t="s">
        <v>366</v>
      </c>
      <c r="E1906" s="178">
        <v>30100</v>
      </c>
      <c r="F1906" s="19">
        <v>30</v>
      </c>
      <c r="G1906" s="195">
        <v>46163</v>
      </c>
      <c r="H1906" s="9" t="str">
        <f>VLOOKUP(TablaCosechas[[#This Row],[COD]],DATOS!$E$3:$F$27,2,0)</f>
        <v>WAHOO</v>
      </c>
      <c r="I1906" s="9" t="str">
        <f>RIGHT(TablaCosechas[[#This Row],[SECTOR/PISCINA]],2)</f>
        <v>33</v>
      </c>
      <c r="J1906" s="9" t="str">
        <f>VLOOKUP(TablaCosechas[[#This Row],[COD]],Tabla7[#All],4,0)</f>
        <v>JUNIOR ESQUIVEL</v>
      </c>
      <c r="K1906" s="179">
        <f>(TablaCosechas[[#This Row],[libras planta]]*454)/M1906</f>
        <v>455513.33333333331</v>
      </c>
      <c r="L1906" s="178">
        <v>30100</v>
      </c>
      <c r="M1906" s="19">
        <v>30</v>
      </c>
      <c r="N1906" s="9" t="str">
        <f>UPPER(TEXT(TablaCosechas[[#This Row],[COSECHA]],"MMMM"))</f>
        <v>MAYO</v>
      </c>
      <c r="O1906" s="9" t="str">
        <f>IF(A1906="DO 29","BAP",IF(A1906="RO 14","BAP",(VLOOKUP(TablaCosechas[[#This Row],[COD]],Tabla7[[CODIGO]:[CERTIFICACION]],3,0))))</f>
        <v>CONVENCIONAL</v>
      </c>
      <c r="P1906" s="180">
        <f>+L1906-E1906</f>
        <v>0</v>
      </c>
      <c r="Q1906" s="49">
        <f>+M1906-F1906</f>
        <v>0</v>
      </c>
      <c r="R1906" s="9"/>
    </row>
    <row r="1907" spans="1:18" x14ac:dyDescent="0.25">
      <c r="A1907" s="9" t="s">
        <v>293</v>
      </c>
      <c r="B1907" s="9">
        <f>ROW() - ROW(TablaCosechas[[#Headers],[ID]]) - 4</f>
        <v>1902</v>
      </c>
      <c r="C1907" s="9" t="str">
        <f>LEFT(A1907,2)</f>
        <v>TA</v>
      </c>
      <c r="D1907" s="182" t="s">
        <v>367</v>
      </c>
      <c r="E1907" s="178">
        <v>10500</v>
      </c>
      <c r="F1907" s="19">
        <v>22</v>
      </c>
      <c r="G1907" s="195">
        <v>46163</v>
      </c>
      <c r="H1907" s="9" t="str">
        <f>VLOOKUP(TablaCosechas[[#This Row],[COD]],DATOS!$E$3:$F$27,2,0)</f>
        <v>TAMBULERO</v>
      </c>
      <c r="I1907" s="9" t="str">
        <f>RIGHT(TablaCosechas[[#This Row],[SECTOR/PISCINA]],2)</f>
        <v>12</v>
      </c>
      <c r="J1907" s="9" t="str">
        <f>VLOOKUP(TablaCosechas[[#This Row],[COD]],Tabla7[#All],4,0)</f>
        <v>ALFONSO GRUNAUER</v>
      </c>
      <c r="K1907" s="179">
        <f>(TablaCosechas[[#This Row],[libras planta]]*454)/M1907</f>
        <v>216681.81818181818</v>
      </c>
      <c r="L1907" s="178">
        <v>10500</v>
      </c>
      <c r="M1907" s="19">
        <v>22</v>
      </c>
      <c r="N1907" s="9" t="str">
        <f>UPPER(TEXT(TablaCosechas[[#This Row],[COSECHA]],"MMMM"))</f>
        <v>MAYO</v>
      </c>
      <c r="O1907" s="9" t="str">
        <f>IF(A1907="DO 29","BAP",IF(A1907="RO 14","BAP",(VLOOKUP(TablaCosechas[[#This Row],[COD]],Tabla7[[CODIGO]:[CERTIFICACION]],3,0))))</f>
        <v>CONVENCIONAL</v>
      </c>
      <c r="P1907" s="180">
        <f>+L1907-E1907</f>
        <v>0</v>
      </c>
      <c r="Q1907" s="49">
        <f>+M1907-F1907</f>
        <v>0</v>
      </c>
      <c r="R1907" s="9"/>
    </row>
    <row r="1908" spans="1:18" x14ac:dyDescent="0.25">
      <c r="A1908" s="9" t="s">
        <v>143</v>
      </c>
      <c r="B1908" s="9">
        <f>ROW() - ROW(TablaCosechas[[#Headers],[ID]]) - 4</f>
        <v>1903</v>
      </c>
      <c r="C1908" s="9" t="str">
        <f>LEFT(A1908,2)</f>
        <v>TA</v>
      </c>
      <c r="D1908" s="182" t="s">
        <v>367</v>
      </c>
      <c r="E1908" s="178">
        <v>12600</v>
      </c>
      <c r="F1908" s="19">
        <v>35</v>
      </c>
      <c r="G1908" s="195">
        <v>46163</v>
      </c>
      <c r="H1908" s="9" t="str">
        <f>VLOOKUP(TablaCosechas[[#This Row],[COD]],DATOS!$E$3:$F$27,2,0)</f>
        <v>TAMBULERO</v>
      </c>
      <c r="I1908" s="9" t="str">
        <f>RIGHT(TablaCosechas[[#This Row],[SECTOR/PISCINA]],2)</f>
        <v>08</v>
      </c>
      <c r="J1908" s="9" t="str">
        <f>VLOOKUP(TablaCosechas[[#This Row],[COD]],Tabla7[#All],4,0)</f>
        <v>ALFONSO GRUNAUER</v>
      </c>
      <c r="K1908" s="179">
        <f>(TablaCosechas[[#This Row],[libras planta]]*454)/M1908</f>
        <v>163440</v>
      </c>
      <c r="L1908" s="178">
        <v>12600</v>
      </c>
      <c r="M1908" s="19">
        <v>35</v>
      </c>
      <c r="N1908" s="9" t="str">
        <f>UPPER(TEXT(TablaCosechas[[#This Row],[COSECHA]],"MMMM"))</f>
        <v>MAYO</v>
      </c>
      <c r="O1908" s="9" t="str">
        <f>IF(A1908="DO 29","BAP",IF(A1908="RO 14","BAP",(VLOOKUP(TablaCosechas[[#This Row],[COD]],Tabla7[[CODIGO]:[CERTIFICACION]],3,0))))</f>
        <v>CONVENCIONAL</v>
      </c>
      <c r="P1908" s="180">
        <f>+L1908-E1908</f>
        <v>0</v>
      </c>
      <c r="Q1908" s="49">
        <f>+M1908-F1908</f>
        <v>0</v>
      </c>
      <c r="R1908" s="9"/>
    </row>
    <row r="1909" spans="1:18" x14ac:dyDescent="0.25">
      <c r="A1909" s="9" t="s">
        <v>247</v>
      </c>
      <c r="B1909" s="9">
        <f>ROW() - ROW(TablaCosechas[[#Headers],[ID]]) - 4</f>
        <v>1904</v>
      </c>
      <c r="C1909" s="9" t="str">
        <f>LEFT(A1909,2)</f>
        <v>PA</v>
      </c>
      <c r="D1909" s="182" t="s">
        <v>367</v>
      </c>
      <c r="E1909" s="178">
        <v>12000</v>
      </c>
      <c r="F1909" s="19">
        <v>27</v>
      </c>
      <c r="G1909" s="195">
        <v>46163</v>
      </c>
      <c r="H1909" s="9" t="str">
        <f>VLOOKUP(TablaCosechas[[#This Row],[COD]],DATOS!$E$3:$F$27,2,0)</f>
        <v>PAMPANO</v>
      </c>
      <c r="I1909" s="9" t="str">
        <f>RIGHT(TablaCosechas[[#This Row],[SECTOR/PISCINA]],2)</f>
        <v>18</v>
      </c>
      <c r="J1909" s="9" t="str">
        <f>VLOOKUP(TablaCosechas[[#This Row],[COD]],Tabla7[#All],4,0)</f>
        <v>GUSTAVO CARRASCO</v>
      </c>
      <c r="K1909" s="179">
        <f>(TablaCosechas[[#This Row],[libras planta]]*454)/M1909</f>
        <v>201777.77777777778</v>
      </c>
      <c r="L1909" s="178">
        <v>12000</v>
      </c>
      <c r="M1909" s="19">
        <v>27</v>
      </c>
      <c r="N1909" s="9" t="str">
        <f>UPPER(TEXT(TablaCosechas[[#This Row],[COSECHA]],"MMMM"))</f>
        <v>MAYO</v>
      </c>
      <c r="O1909" s="9" t="str">
        <f>IF(A1909="DO 29","BAP",IF(A1909="RO 14","BAP",(VLOOKUP(TablaCosechas[[#This Row],[COD]],Tabla7[[CODIGO]:[CERTIFICACION]],3,0))))</f>
        <v>ASC</v>
      </c>
      <c r="P1909" s="180">
        <f>+L1909-E1909</f>
        <v>0</v>
      </c>
      <c r="Q1909" s="49">
        <f>+M1909-F1909</f>
        <v>0</v>
      </c>
      <c r="R1909" s="9"/>
    </row>
    <row r="1910" spans="1:18" x14ac:dyDescent="0.25">
      <c r="A1910" s="9" t="s">
        <v>282</v>
      </c>
      <c r="B1910" s="9">
        <f>ROW() - ROW(TablaCosechas[[#Headers],[ID]]) - 4</f>
        <v>1905</v>
      </c>
      <c r="C1910" s="9" t="str">
        <f>LEFT(A1910,2)</f>
        <v>ME</v>
      </c>
      <c r="D1910" s="182" t="s">
        <v>367</v>
      </c>
      <c r="E1910" s="178">
        <v>8000</v>
      </c>
      <c r="F1910" s="19">
        <v>17</v>
      </c>
      <c r="G1910" s="195">
        <v>46163</v>
      </c>
      <c r="H1910" s="9" t="str">
        <f>VLOOKUP(TablaCosechas[[#This Row],[COD]],DATOS!$E$3:$F$27,2,0)</f>
        <v>MERO</v>
      </c>
      <c r="I1910" s="9" t="str">
        <f>RIGHT(TablaCosechas[[#This Row],[SECTOR/PISCINA]],2)</f>
        <v>10</v>
      </c>
      <c r="J1910" s="9" t="str">
        <f>VLOOKUP(TablaCosechas[[#This Row],[COD]],Tabla7[#All],4,0)</f>
        <v>NESTOR MOGOLLON</v>
      </c>
      <c r="K1910" s="179">
        <f>(TablaCosechas[[#This Row],[libras planta]]*454)/M1910</f>
        <v>213647.0588235294</v>
      </c>
      <c r="L1910" s="178">
        <v>8000</v>
      </c>
      <c r="M1910" s="19">
        <v>17</v>
      </c>
      <c r="N1910" s="9" t="str">
        <f>UPPER(TEXT(TablaCosechas[[#This Row],[COSECHA]],"MMMM"))</f>
        <v>MAYO</v>
      </c>
      <c r="O1910" s="9" t="str">
        <f>IF(A1910="DO 29","BAP",IF(A1910="RO 14","BAP",(VLOOKUP(TablaCosechas[[#This Row],[COD]],Tabla7[[CODIGO]:[CERTIFICACION]],3,0))))</f>
        <v>CONVENCIONAL</v>
      </c>
      <c r="P1910" s="180">
        <f>+L1910-E1910</f>
        <v>0</v>
      </c>
      <c r="Q1910" s="49">
        <f>+M1910-F1910</f>
        <v>0</v>
      </c>
      <c r="R1910" s="9"/>
    </row>
    <row r="1911" spans="1:18" x14ac:dyDescent="0.25">
      <c r="A1911" s="9" t="s">
        <v>233</v>
      </c>
      <c r="B1911" s="9">
        <f>ROW() - ROW(TablaCosechas[[#Headers],[ID]]) - 4</f>
        <v>1906</v>
      </c>
      <c r="C1911" s="9" t="str">
        <f>LEFT(A1911,2)</f>
        <v>GT</v>
      </c>
      <c r="D1911" s="182" t="s">
        <v>366</v>
      </c>
      <c r="E1911" s="178">
        <v>19900</v>
      </c>
      <c r="F1911" s="19">
        <v>30</v>
      </c>
      <c r="G1911" s="195">
        <v>46163</v>
      </c>
      <c r="H1911" s="9" t="str">
        <f>VLOOKUP(TablaCosechas[[#This Row],[COD]],DATOS!$E$3:$F$27,2,0)</f>
        <v>GUATO</v>
      </c>
      <c r="I1911" s="9" t="str">
        <f>RIGHT(TablaCosechas[[#This Row],[SECTOR/PISCINA]],2)</f>
        <v>14</v>
      </c>
      <c r="J1911" s="9" t="str">
        <f>VLOOKUP(TablaCosechas[[#This Row],[COD]],Tabla7[#All],4,0)</f>
        <v>JULIO SANTOS</v>
      </c>
      <c r="K1911" s="179">
        <f>(TablaCosechas[[#This Row],[libras planta]]*454)/M1911</f>
        <v>301153.33333333331</v>
      </c>
      <c r="L1911" s="178">
        <v>19900</v>
      </c>
      <c r="M1911" s="19">
        <v>30</v>
      </c>
      <c r="N1911" s="9" t="str">
        <f>UPPER(TEXT(TablaCosechas[[#This Row],[COSECHA]],"MMMM"))</f>
        <v>MAYO</v>
      </c>
      <c r="O1911" s="9" t="str">
        <f>IF(A1911="DO 29","BAP",IF(A1911="RO 14","BAP",(VLOOKUP(TablaCosechas[[#This Row],[COD]],Tabla7[[CODIGO]:[CERTIFICACION]],3,0))))</f>
        <v>CONVENCIONAL</v>
      </c>
      <c r="P1911" s="180">
        <f>+L1911-E1911</f>
        <v>0</v>
      </c>
      <c r="Q1911" s="49">
        <f>+M1911-F1911</f>
        <v>0</v>
      </c>
      <c r="R1911" s="9"/>
    </row>
    <row r="1912" spans="1:18" x14ac:dyDescent="0.25">
      <c r="A1912" s="9" t="s">
        <v>250</v>
      </c>
      <c r="B1912" s="9">
        <f>ROW() - ROW(TablaCosechas[[#Headers],[ID]]) - 4</f>
        <v>1907</v>
      </c>
      <c r="C1912" s="9" t="str">
        <f>LEFT(A1912,2)</f>
        <v>DO</v>
      </c>
      <c r="D1912" s="182" t="s">
        <v>367</v>
      </c>
      <c r="E1912" s="178">
        <v>12600</v>
      </c>
      <c r="F1912" s="19">
        <v>36</v>
      </c>
      <c r="G1912" s="195">
        <v>46163</v>
      </c>
      <c r="H1912" s="9" t="str">
        <f>VLOOKUP(TablaCosechas[[#This Row],[COD]],DATOS!$E$3:$F$27,2,0)</f>
        <v>DORADO</v>
      </c>
      <c r="I1912" s="9" t="str">
        <f>RIGHT(TablaCosechas[[#This Row],[SECTOR/PISCINA]],2)</f>
        <v>10</v>
      </c>
      <c r="J1912" s="9" t="str">
        <f>VLOOKUP(TablaCosechas[[#This Row],[COD]],Tabla7[#All],4,0)</f>
        <v>JOSE CEDEÑO</v>
      </c>
      <c r="K1912" s="179">
        <f>(TablaCosechas[[#This Row],[libras planta]]*454)/M1912</f>
        <v>158900</v>
      </c>
      <c r="L1912" s="178">
        <v>12600</v>
      </c>
      <c r="M1912" s="19">
        <v>36</v>
      </c>
      <c r="N1912" s="9" t="str">
        <f>UPPER(TEXT(TablaCosechas[[#This Row],[COSECHA]],"MMMM"))</f>
        <v>MAYO</v>
      </c>
      <c r="O1912" s="9" t="str">
        <f>IF(A1912="DO 29","BAP",IF(A1912="RO 14","BAP",(VLOOKUP(TablaCosechas[[#This Row],[COD]],Tabla7[[CODIGO]:[CERTIFICACION]],3,0))))</f>
        <v>ASC</v>
      </c>
      <c r="P1912" s="180">
        <f>+L1912-E1912</f>
        <v>0</v>
      </c>
      <c r="Q1912" s="49">
        <f>+M1912-F1912</f>
        <v>0</v>
      </c>
      <c r="R1912" s="9"/>
    </row>
    <row r="1913" spans="1:18" x14ac:dyDescent="0.25">
      <c r="A1913" s="9" t="s">
        <v>296</v>
      </c>
      <c r="B1913" s="9">
        <f>ROW() - ROW(TablaCosechas[[#Headers],[ID]]) - 4</f>
        <v>1908</v>
      </c>
      <c r="C1913" s="9" t="str">
        <f>LEFT(A1913,2)</f>
        <v>DE</v>
      </c>
      <c r="D1913" s="182" t="s">
        <v>367</v>
      </c>
      <c r="E1913" s="178">
        <v>11550</v>
      </c>
      <c r="F1913" s="19">
        <v>20</v>
      </c>
      <c r="G1913" s="195">
        <v>46163</v>
      </c>
      <c r="H1913" s="9" t="str">
        <f>VLOOKUP(TablaCosechas[[#This Row],[COD]],DATOS!$E$3:$F$27,2,0)</f>
        <v>DELFIN</v>
      </c>
      <c r="I1913" s="9" t="str">
        <f>RIGHT(TablaCosechas[[#This Row],[SECTOR/PISCINA]],2)</f>
        <v>01</v>
      </c>
      <c r="J1913" s="9" t="str">
        <f>VLOOKUP(TablaCosechas[[#This Row],[COD]],Tabla7[#All],4,0)</f>
        <v>CARLOS FLORES</v>
      </c>
      <c r="K1913" s="179">
        <f>(TablaCosechas[[#This Row],[libras planta]]*454)/M1913</f>
        <v>262185</v>
      </c>
      <c r="L1913" s="178">
        <v>11550</v>
      </c>
      <c r="M1913" s="19">
        <v>20</v>
      </c>
      <c r="N1913" s="9" t="str">
        <f>UPPER(TEXT(TablaCosechas[[#This Row],[COSECHA]],"MMMM"))</f>
        <v>MAYO</v>
      </c>
      <c r="O1913" s="9" t="str">
        <f>IF(A1913="DO 29","BAP",IF(A1913="RO 14","BAP",(VLOOKUP(TablaCosechas[[#This Row],[COD]],Tabla7[[CODIGO]:[CERTIFICACION]],3,0))))</f>
        <v>CONVENCIONAL</v>
      </c>
      <c r="P1913" s="180">
        <f>+L1913-E1913</f>
        <v>0</v>
      </c>
      <c r="Q1913" s="49">
        <f>+M1913-F1913</f>
        <v>0</v>
      </c>
      <c r="R1913" s="9"/>
    </row>
    <row r="1914" spans="1:18" x14ac:dyDescent="0.25">
      <c r="A1914" s="9" t="s">
        <v>320</v>
      </c>
      <c r="B1914" s="9">
        <f>ROW() - ROW(TablaCosechas[[#Headers],[ID]]) - 4</f>
        <v>1909</v>
      </c>
      <c r="C1914" s="9" t="str">
        <f>LEFT(A1914,2)</f>
        <v>CA</v>
      </c>
      <c r="D1914" s="182" t="s">
        <v>367</v>
      </c>
      <c r="E1914" s="178">
        <v>4400</v>
      </c>
      <c r="F1914" s="19">
        <v>13</v>
      </c>
      <c r="G1914" s="195">
        <v>46163</v>
      </c>
      <c r="H1914" s="9" t="str">
        <f>VLOOKUP(TablaCosechas[[#This Row],[COD]],DATOS!$E$3:$F$27,2,0)</f>
        <v>CATANUDA</v>
      </c>
      <c r="I1914" s="9" t="str">
        <f>RIGHT(TablaCosechas[[#This Row],[SECTOR/PISCINA]],2)</f>
        <v>21</v>
      </c>
      <c r="J1914" s="9" t="str">
        <f>VLOOKUP(TablaCosechas[[#This Row],[COD]],Tabla7[#All],4,0)</f>
        <v>VICTOR QUINTANA</v>
      </c>
      <c r="K1914" s="179">
        <f>(TablaCosechas[[#This Row],[libras planta]]*454)/M1914</f>
        <v>153661.53846153847</v>
      </c>
      <c r="L1914" s="178">
        <v>4400</v>
      </c>
      <c r="M1914" s="19">
        <v>13</v>
      </c>
      <c r="N1914" s="9" t="str">
        <f>UPPER(TEXT(TablaCosechas[[#This Row],[COSECHA]],"MMMM"))</f>
        <v>MAYO</v>
      </c>
      <c r="O1914" s="9" t="str">
        <f>IF(A1914="DO 29","BAP",IF(A1914="RO 14","BAP",(VLOOKUP(TablaCosechas[[#This Row],[COD]],Tabla7[[CODIGO]:[CERTIFICACION]],3,0))))</f>
        <v>ASC</v>
      </c>
      <c r="P1914" s="180">
        <f>+L1914-E1914</f>
        <v>0</v>
      </c>
      <c r="Q1914" s="49">
        <f>+M1914-F1914</f>
        <v>0</v>
      </c>
      <c r="R1914" s="9"/>
    </row>
    <row r="1915" spans="1:18" x14ac:dyDescent="0.25">
      <c r="A1915" s="9" t="s">
        <v>136</v>
      </c>
      <c r="B1915" s="9">
        <f>ROW() - ROW(TablaCosechas[[#Headers],[ID]]) - 4</f>
        <v>1910</v>
      </c>
      <c r="C1915" s="9" t="str">
        <f>LEFT(A1915,2)</f>
        <v>CA</v>
      </c>
      <c r="D1915" s="182" t="s">
        <v>367</v>
      </c>
      <c r="E1915" s="178">
        <v>2000</v>
      </c>
      <c r="F1915" s="19">
        <v>13</v>
      </c>
      <c r="G1915" s="195">
        <v>46163</v>
      </c>
      <c r="H1915" s="9" t="str">
        <f>VLOOKUP(TablaCosechas[[#This Row],[COD]],DATOS!$E$3:$F$27,2,0)</f>
        <v>CATANUDA</v>
      </c>
      <c r="I1915" s="9" t="str">
        <f>RIGHT(TablaCosechas[[#This Row],[SECTOR/PISCINA]],2)</f>
        <v>10</v>
      </c>
      <c r="J1915" s="9" t="str">
        <f>VLOOKUP(TablaCosechas[[#This Row],[COD]],Tabla7[#All],4,0)</f>
        <v>VICTOR QUINTANA</v>
      </c>
      <c r="K1915" s="179">
        <f>(TablaCosechas[[#This Row],[libras planta]]*454)/M1915</f>
        <v>69846.153846153844</v>
      </c>
      <c r="L1915" s="178">
        <v>2000</v>
      </c>
      <c r="M1915" s="19">
        <v>13</v>
      </c>
      <c r="N1915" s="9" t="str">
        <f>UPPER(TEXT(TablaCosechas[[#This Row],[COSECHA]],"MMMM"))</f>
        <v>MAYO</v>
      </c>
      <c r="O1915" s="9" t="str">
        <f>IF(A1915="DO 29","BAP",IF(A1915="RO 14","BAP",(VLOOKUP(TablaCosechas[[#This Row],[COD]],Tabla7[[CODIGO]:[CERTIFICACION]],3,0))))</f>
        <v>ASC</v>
      </c>
      <c r="P1915" s="180">
        <f>+L1915-E1915</f>
        <v>0</v>
      </c>
      <c r="Q1915" s="181">
        <f>+M1915-F1915</f>
        <v>0</v>
      </c>
      <c r="R1915" s="9"/>
    </row>
    <row r="1916" spans="1:18" x14ac:dyDescent="0.25">
      <c r="A1916" s="271" t="s">
        <v>250</v>
      </c>
      <c r="B1916" s="271">
        <f>ROW() - ROW(TablaCosechas[[#Headers],[ID]]) - 4</f>
        <v>1911</v>
      </c>
      <c r="C1916" s="271" t="str">
        <f>LEFT(A1916,2)</f>
        <v>DO</v>
      </c>
      <c r="D1916" s="272" t="s">
        <v>366</v>
      </c>
      <c r="E1916" s="273">
        <v>3750</v>
      </c>
      <c r="F1916" s="274">
        <v>36</v>
      </c>
      <c r="G1916" s="195">
        <v>46163</v>
      </c>
      <c r="H1916" s="9" t="str">
        <f>VLOOKUP(TablaCosechas[[#This Row],[COD]],DATOS!$E$3:$F$27,2,0)</f>
        <v>DORADO</v>
      </c>
      <c r="I1916" s="9" t="str">
        <f>RIGHT(TablaCosechas[[#This Row],[SECTOR/PISCINA]],2)</f>
        <v>10</v>
      </c>
      <c r="J1916" s="271" t="str">
        <f>VLOOKUP(TablaCosechas[[#This Row],[COD]],Tabla7[#All],4,0)</f>
        <v>JOSE CEDEÑO</v>
      </c>
      <c r="K1916" s="276">
        <f>(TablaCosechas[[#This Row],[libras planta]]*454)/M1916</f>
        <v>47291.666666666664</v>
      </c>
      <c r="L1916" s="174">
        <v>3750</v>
      </c>
      <c r="M1916" s="205">
        <v>36</v>
      </c>
      <c r="N1916" s="271" t="str">
        <f>UPPER(TEXT(TablaCosechas[[#This Row],[COSECHA]],"MMMM"))</f>
        <v>MAYO</v>
      </c>
      <c r="O1916" s="271" t="str">
        <f>IF(A1916="DO 29","BAP",IF(A1916="RO 14","BAP",(VLOOKUP(TablaCosechas[[#This Row],[COD]],Tabla7[[CODIGO]:[CERTIFICACION]],3,0))))</f>
        <v>ASC</v>
      </c>
      <c r="P1916" s="277">
        <f>+L1916-E1916</f>
        <v>0</v>
      </c>
      <c r="Q1916" s="270">
        <f>+M1916-F1916</f>
        <v>0</v>
      </c>
      <c r="R1916" s="279"/>
    </row>
    <row r="1917" spans="1:18" x14ac:dyDescent="0.25">
      <c r="A1917" s="271" t="s">
        <v>238</v>
      </c>
      <c r="B1917" s="271">
        <f>ROW() - ROW(TablaCosechas[[#Headers],[ID]]) - 4</f>
        <v>1912</v>
      </c>
      <c r="C1917" s="271" t="str">
        <f>LEFT(A1917,2)</f>
        <v>GT</v>
      </c>
      <c r="D1917" s="272" t="s">
        <v>366</v>
      </c>
      <c r="E1917" s="273">
        <v>32700</v>
      </c>
      <c r="F1917" s="274">
        <v>31</v>
      </c>
      <c r="G1917" s="275">
        <v>46164</v>
      </c>
      <c r="H1917" s="9" t="str">
        <f>VLOOKUP(TablaCosechas[[#This Row],[COD]],DATOS!$E$3:$F$27,2,0)</f>
        <v>GUATO</v>
      </c>
      <c r="I1917" s="9" t="str">
        <f>RIGHT(TablaCosechas[[#This Row],[SECTOR/PISCINA]],2)</f>
        <v>06</v>
      </c>
      <c r="J1917" s="271" t="str">
        <f>VLOOKUP(TablaCosechas[[#This Row],[COD]],Tabla7[#All],4,0)</f>
        <v>JULIO SANTOS</v>
      </c>
      <c r="K1917" s="276">
        <f>(TablaCosechas[[#This Row],[libras planta]]*454)/M1917</f>
        <v>478896.77419354836</v>
      </c>
      <c r="L1917" s="273">
        <v>32700</v>
      </c>
      <c r="M1917" s="274">
        <v>31</v>
      </c>
      <c r="N1917" s="271" t="str">
        <f>UPPER(TEXT(TablaCosechas[[#This Row],[COSECHA]],"MMMM"))</f>
        <v>MAYO</v>
      </c>
      <c r="O1917" s="271" t="str">
        <f>IF(A1917="DO 29","BAP",IF(A1917="RO 14","BAP",(VLOOKUP(TablaCosechas[[#This Row],[COD]],Tabla7[[CODIGO]:[CERTIFICACION]],3,0))))</f>
        <v>CONVENCIONAL</v>
      </c>
      <c r="P1917" s="277">
        <f>+L1917-E1917</f>
        <v>0</v>
      </c>
      <c r="Q1917" s="270">
        <f>+M1917-F1917</f>
        <v>0</v>
      </c>
      <c r="R1917" s="279"/>
    </row>
    <row r="1918" spans="1:18" x14ac:dyDescent="0.25">
      <c r="A1918" s="271" t="s">
        <v>377</v>
      </c>
      <c r="B1918" s="271">
        <f>ROW() - ROW(TablaCosechas[[#Headers],[ID]]) - 4</f>
        <v>1913</v>
      </c>
      <c r="C1918" s="271" t="str">
        <f>LEFT(A1918,2)</f>
        <v>WA</v>
      </c>
      <c r="D1918" s="272" t="s">
        <v>366</v>
      </c>
      <c r="E1918" s="273">
        <f>11707+15300</f>
        <v>27007</v>
      </c>
      <c r="F1918" s="274">
        <v>32</v>
      </c>
      <c r="G1918" s="275">
        <v>46164</v>
      </c>
      <c r="H1918" s="9" t="str">
        <f>VLOOKUP(TablaCosechas[[#This Row],[COD]],DATOS!$E$3:$F$27,2,0)</f>
        <v>WAHOO</v>
      </c>
      <c r="I1918" s="9" t="str">
        <f>RIGHT(TablaCosechas[[#This Row],[SECTOR/PISCINA]],2)</f>
        <v>34</v>
      </c>
      <c r="J1918" s="271" t="str">
        <f>VLOOKUP(TablaCosechas[[#This Row],[COD]],Tabla7[#All],4,0)</f>
        <v>JUNIOR ESQUIVEL</v>
      </c>
      <c r="K1918" s="276">
        <f>(TablaCosechas[[#This Row],[libras planta]]*454)/M1918</f>
        <v>383161.8125</v>
      </c>
      <c r="L1918" s="273">
        <v>27007</v>
      </c>
      <c r="M1918" s="274">
        <v>32</v>
      </c>
      <c r="N1918" s="271" t="str">
        <f>UPPER(TEXT(TablaCosechas[[#This Row],[COSECHA]],"MMMM"))</f>
        <v>MAYO</v>
      </c>
      <c r="O1918" s="271" t="str">
        <f>IF(A1918="DO 29","BAP",IF(A1918="RO 14","BAP",(VLOOKUP(TablaCosechas[[#This Row],[COD]],Tabla7[[CODIGO]:[CERTIFICACION]],3,0))))</f>
        <v>CONVENCIONAL</v>
      </c>
      <c r="P1918" s="277">
        <f>+L1918-E1918</f>
        <v>0</v>
      </c>
      <c r="Q1918" s="270">
        <f>+M1918-F1918</f>
        <v>0</v>
      </c>
      <c r="R1918" s="279"/>
    </row>
    <row r="1919" spans="1:18" x14ac:dyDescent="0.25">
      <c r="A1919" s="271" t="s">
        <v>143</v>
      </c>
      <c r="B1919" s="271">
        <f>ROW() - ROW(TablaCosechas[[#Headers],[ID]]) - 4</f>
        <v>1914</v>
      </c>
      <c r="C1919" s="271" t="str">
        <f>LEFT(A1919,2)</f>
        <v>TA</v>
      </c>
      <c r="D1919" s="272" t="s">
        <v>366</v>
      </c>
      <c r="E1919" s="273">
        <v>18100</v>
      </c>
      <c r="F1919" s="274">
        <v>35</v>
      </c>
      <c r="G1919" s="275">
        <v>46164</v>
      </c>
      <c r="H1919" s="9" t="str">
        <f>VLOOKUP(TablaCosechas[[#This Row],[COD]],DATOS!$E$3:$F$27,2,0)</f>
        <v>TAMBULERO</v>
      </c>
      <c r="I1919" s="9" t="str">
        <f>RIGHT(TablaCosechas[[#This Row],[SECTOR/PISCINA]],2)</f>
        <v>08</v>
      </c>
      <c r="J1919" s="271" t="str">
        <f>VLOOKUP(TablaCosechas[[#This Row],[COD]],Tabla7[#All],4,0)</f>
        <v>ALFONSO GRUNAUER</v>
      </c>
      <c r="K1919" s="276">
        <f>(TablaCosechas[[#This Row],[libras planta]]*454)/M1919</f>
        <v>234782.85714285713</v>
      </c>
      <c r="L1919" s="273">
        <v>18100</v>
      </c>
      <c r="M1919" s="274">
        <v>35</v>
      </c>
      <c r="N1919" s="271" t="str">
        <f>UPPER(TEXT(TablaCosechas[[#This Row],[COSECHA]],"MMMM"))</f>
        <v>MAYO</v>
      </c>
      <c r="O1919" s="271" t="str">
        <f>IF(A1919="DO 29","BAP",IF(A1919="RO 14","BAP",(VLOOKUP(TablaCosechas[[#This Row],[COD]],Tabla7[[CODIGO]:[CERTIFICACION]],3,0))))</f>
        <v>CONVENCIONAL</v>
      </c>
      <c r="P1919" s="277">
        <f>+L1919-E1919</f>
        <v>0</v>
      </c>
      <c r="Q1919" s="270">
        <f>+M1919-F1919</f>
        <v>0</v>
      </c>
      <c r="R1919" s="279"/>
    </row>
    <row r="1920" spans="1:18" x14ac:dyDescent="0.25">
      <c r="A1920" s="271" t="s">
        <v>317</v>
      </c>
      <c r="B1920" s="271">
        <f>ROW() - ROW(TablaCosechas[[#Headers],[ID]]) - 4</f>
        <v>1915</v>
      </c>
      <c r="C1920" s="271" t="str">
        <f>LEFT(A1920,2)</f>
        <v>CA</v>
      </c>
      <c r="D1920" s="272" t="s">
        <v>367</v>
      </c>
      <c r="E1920" s="273">
        <v>950</v>
      </c>
      <c r="F1920" s="274">
        <v>14</v>
      </c>
      <c r="G1920" s="275">
        <v>46164</v>
      </c>
      <c r="H1920" s="9" t="str">
        <f>VLOOKUP(TablaCosechas[[#This Row],[COD]],DATOS!$E$3:$F$27,2,0)</f>
        <v>CATANUDA</v>
      </c>
      <c r="I1920" s="9" t="str">
        <f>RIGHT(TablaCosechas[[#This Row],[SECTOR/PISCINA]],2)</f>
        <v>13</v>
      </c>
      <c r="J1920" s="271" t="str">
        <f>VLOOKUP(TablaCosechas[[#This Row],[COD]],Tabla7[#All],4,0)</f>
        <v>VICTOR QUINTANA</v>
      </c>
      <c r="K1920" s="276">
        <f>(TablaCosechas[[#This Row],[libras planta]]*454)/M1920</f>
        <v>30807.142857142859</v>
      </c>
      <c r="L1920" s="273">
        <v>950</v>
      </c>
      <c r="M1920" s="274">
        <v>14</v>
      </c>
      <c r="N1920" s="271" t="str">
        <f>UPPER(TEXT(TablaCosechas[[#This Row],[COSECHA]],"MMMM"))</f>
        <v>MAYO</v>
      </c>
      <c r="O1920" s="271" t="str">
        <f>IF(A1920="DO 29","BAP",IF(A1920="RO 14","BAP",(VLOOKUP(TablaCosechas[[#This Row],[COD]],Tabla7[[CODIGO]:[CERTIFICACION]],3,0))))</f>
        <v>ASC</v>
      </c>
      <c r="P1920" s="277">
        <f>+L1920-E1920</f>
        <v>0</v>
      </c>
      <c r="Q1920" s="270">
        <f>+M1920-F1920</f>
        <v>0</v>
      </c>
      <c r="R1920" s="279"/>
    </row>
    <row r="1921" spans="1:18" x14ac:dyDescent="0.25">
      <c r="A1921" s="271" t="s">
        <v>129</v>
      </c>
      <c r="B1921" s="271">
        <f>ROW() - ROW(TablaCosechas[[#Headers],[ID]]) - 4</f>
        <v>1916</v>
      </c>
      <c r="C1921" s="271" t="str">
        <f>LEFT(A1921,2)</f>
        <v>RO</v>
      </c>
      <c r="D1921" s="272" t="s">
        <v>367</v>
      </c>
      <c r="E1921" s="273">
        <v>2350</v>
      </c>
      <c r="F1921" s="274">
        <v>14</v>
      </c>
      <c r="G1921" s="275">
        <v>46164</v>
      </c>
      <c r="H1921" s="9" t="str">
        <f>VLOOKUP(TablaCosechas[[#This Row],[COD]],DATOS!$E$3:$F$27,2,0)</f>
        <v>ROBALO</v>
      </c>
      <c r="I1921" s="9" t="str">
        <f>RIGHT(TablaCosechas[[#This Row],[SECTOR/PISCINA]],2)</f>
        <v>11</v>
      </c>
      <c r="J1921" s="271" t="str">
        <f>VLOOKUP(TablaCosechas[[#This Row],[COD]],Tabla7[#All],4,0)</f>
        <v>VICTOR QUINTANA</v>
      </c>
      <c r="K1921" s="276">
        <f>(TablaCosechas[[#This Row],[libras planta]]*454)/M1921</f>
        <v>76207.142857142855</v>
      </c>
      <c r="L1921" s="273">
        <v>2350</v>
      </c>
      <c r="M1921" s="274">
        <v>14</v>
      </c>
      <c r="N1921" s="271" t="str">
        <f>UPPER(TEXT(TablaCosechas[[#This Row],[COSECHA]],"MMMM"))</f>
        <v>MAYO</v>
      </c>
      <c r="O1921" s="271" t="str">
        <f>IF(A1921="DO 29","BAP",IF(A1921="RO 14","BAP",(VLOOKUP(TablaCosechas[[#This Row],[COD]],Tabla7[[CODIGO]:[CERTIFICACION]],3,0))))</f>
        <v>ASC</v>
      </c>
      <c r="P1921" s="277">
        <f>+L1921-E1921</f>
        <v>0</v>
      </c>
      <c r="Q1921" s="270">
        <f>+M1921-F1921</f>
        <v>0</v>
      </c>
      <c r="R1921" s="279"/>
    </row>
    <row r="1922" spans="1:18" x14ac:dyDescent="0.25">
      <c r="A1922" s="271" t="s">
        <v>258</v>
      </c>
      <c r="B1922" s="271">
        <f>ROW() - ROW(TablaCosechas[[#Headers],[ID]]) - 4</f>
        <v>1917</v>
      </c>
      <c r="C1922" s="271" t="str">
        <f>LEFT(A1922,2)</f>
        <v>TI</v>
      </c>
      <c r="D1922" s="272" t="s">
        <v>367</v>
      </c>
      <c r="E1922" s="273">
        <v>12600</v>
      </c>
      <c r="F1922" s="274">
        <v>30</v>
      </c>
      <c r="G1922" s="275">
        <v>46164</v>
      </c>
      <c r="H1922" s="9" t="str">
        <f>VLOOKUP(TablaCosechas[[#This Row],[COD]],DATOS!$E$3:$F$27,2,0)</f>
        <v>TIBURON</v>
      </c>
      <c r="I1922" s="9" t="str">
        <f>RIGHT(TablaCosechas[[#This Row],[SECTOR/PISCINA]],2)</f>
        <v>10</v>
      </c>
      <c r="J1922" s="271" t="str">
        <f>VLOOKUP(TablaCosechas[[#This Row],[COD]],Tabla7[#All],4,0)</f>
        <v>ALFONSO GRUNAUER</v>
      </c>
      <c r="K1922" s="276">
        <f>(TablaCosechas[[#This Row],[libras planta]]*454)/M1922</f>
        <v>190680</v>
      </c>
      <c r="L1922" s="273">
        <v>12600</v>
      </c>
      <c r="M1922" s="274">
        <v>30</v>
      </c>
      <c r="N1922" s="271" t="str">
        <f>UPPER(TEXT(TablaCosechas[[#This Row],[COSECHA]],"MMMM"))</f>
        <v>MAYO</v>
      </c>
      <c r="O1922" s="271" t="str">
        <f>IF(A1922="DO 29","BAP",IF(A1922="RO 14","BAP",(VLOOKUP(TablaCosechas[[#This Row],[COD]],Tabla7[[CODIGO]:[CERTIFICACION]],3,0))))</f>
        <v>ASC</v>
      </c>
      <c r="P1922" s="277">
        <f>+L1922-E1922</f>
        <v>0</v>
      </c>
      <c r="Q1922" s="270">
        <f>+M1922-F1922</f>
        <v>0</v>
      </c>
      <c r="R1922" s="279"/>
    </row>
    <row r="1923" spans="1:18" x14ac:dyDescent="0.25">
      <c r="A1923" s="271" t="s">
        <v>315</v>
      </c>
      <c r="B1923" s="271">
        <f>ROW() - ROW(TablaCosechas[[#Headers],[ID]]) - 4</f>
        <v>1918</v>
      </c>
      <c r="C1923" s="271" t="str">
        <f>LEFT(A1923,2)</f>
        <v>TI</v>
      </c>
      <c r="D1923" s="272" t="s">
        <v>367</v>
      </c>
      <c r="E1923" s="273">
        <v>12100</v>
      </c>
      <c r="F1923" s="274">
        <v>19</v>
      </c>
      <c r="G1923" s="275">
        <v>46164</v>
      </c>
      <c r="H1923" s="9" t="str">
        <f>VLOOKUP(TablaCosechas[[#This Row],[COD]],DATOS!$E$3:$F$27,2,0)</f>
        <v>TIBURON</v>
      </c>
      <c r="I1923" s="9" t="str">
        <f>RIGHT(TablaCosechas[[#This Row],[SECTOR/PISCINA]],2)</f>
        <v>05</v>
      </c>
      <c r="J1923" s="271" t="str">
        <f>VLOOKUP(TablaCosechas[[#This Row],[COD]],Tabla7[#All],4,0)</f>
        <v>ALFONSO GRUNAUER</v>
      </c>
      <c r="K1923" s="276">
        <f>(TablaCosechas[[#This Row],[libras planta]]*454)/M1923</f>
        <v>289126.31578947371</v>
      </c>
      <c r="L1923" s="273">
        <v>12100</v>
      </c>
      <c r="M1923" s="274">
        <v>19</v>
      </c>
      <c r="N1923" s="271" t="str">
        <f>UPPER(TEXT(TablaCosechas[[#This Row],[COSECHA]],"MMMM"))</f>
        <v>MAYO</v>
      </c>
      <c r="O1923" s="271" t="str">
        <f>IF(A1923="DO 29","BAP",IF(A1923="RO 14","BAP",(VLOOKUP(TablaCosechas[[#This Row],[COD]],Tabla7[[CODIGO]:[CERTIFICACION]],3,0))))</f>
        <v>ASC</v>
      </c>
      <c r="P1923" s="277">
        <f>+L1923-E1923</f>
        <v>0</v>
      </c>
      <c r="Q1923" s="270">
        <f>+M1923-F1923</f>
        <v>0</v>
      </c>
      <c r="R1923" s="279"/>
    </row>
    <row r="1924" spans="1:18" x14ac:dyDescent="0.25">
      <c r="A1924" s="271" t="s">
        <v>281</v>
      </c>
      <c r="B1924" s="271">
        <f>ROW() - ROW(TablaCosechas[[#Headers],[ID]]) - 4</f>
        <v>1919</v>
      </c>
      <c r="C1924" s="271" t="str">
        <f>LEFT(A1924,2)</f>
        <v>ME</v>
      </c>
      <c r="D1924" s="272" t="s">
        <v>367</v>
      </c>
      <c r="E1924" s="273">
        <v>1700</v>
      </c>
      <c r="F1924" s="274">
        <v>23</v>
      </c>
      <c r="G1924" s="275">
        <v>46164</v>
      </c>
      <c r="H1924" s="9" t="str">
        <f>VLOOKUP(TablaCosechas[[#This Row],[COD]],DATOS!$E$3:$F$27,2,0)</f>
        <v>MERO</v>
      </c>
      <c r="I1924" s="9" t="str">
        <f>RIGHT(TablaCosechas[[#This Row],[SECTOR/PISCINA]],2)</f>
        <v>01</v>
      </c>
      <c r="J1924" s="271" t="str">
        <f>VLOOKUP(TablaCosechas[[#This Row],[COD]],Tabla7[#All],4,0)</f>
        <v>NESTOR MOGOLLON</v>
      </c>
      <c r="K1924" s="276">
        <f>(TablaCosechas[[#This Row],[libras planta]]*454)/M1924</f>
        <v>33556.521739130432</v>
      </c>
      <c r="L1924" s="273">
        <v>1700</v>
      </c>
      <c r="M1924" s="274">
        <v>23</v>
      </c>
      <c r="N1924" s="271" t="str">
        <f>UPPER(TEXT(TablaCosechas[[#This Row],[COSECHA]],"MMMM"))</f>
        <v>MAYO</v>
      </c>
      <c r="O1924" s="271" t="str">
        <f>IF(A1924="DO 29","BAP",IF(A1924="RO 14","BAP",(VLOOKUP(TablaCosechas[[#This Row],[COD]],Tabla7[[CODIGO]:[CERTIFICACION]],3,0))))</f>
        <v>CONVENCIONAL</v>
      </c>
      <c r="P1924" s="277">
        <f>+L1924-E1924</f>
        <v>0</v>
      </c>
      <c r="Q1924" s="278">
        <f>+M1924-F1924</f>
        <v>0</v>
      </c>
      <c r="R1924" s="279"/>
    </row>
    <row r="1925" spans="1:18" x14ac:dyDescent="0.25">
      <c r="A1925" s="271" t="s">
        <v>274</v>
      </c>
      <c r="B1925" s="271">
        <f>ROW() - ROW(TablaCosechas[[#Headers],[ID]]) - 4</f>
        <v>1920</v>
      </c>
      <c r="C1925" s="271" t="str">
        <f>LEFT(A1925,2)</f>
        <v>ME</v>
      </c>
      <c r="D1925" s="272" t="s">
        <v>367</v>
      </c>
      <c r="E1925" s="273">
        <v>4300</v>
      </c>
      <c r="F1925" s="274">
        <v>20</v>
      </c>
      <c r="G1925" s="275">
        <v>46164</v>
      </c>
      <c r="H1925" s="9" t="str">
        <f>VLOOKUP(TablaCosechas[[#This Row],[COD]],DATOS!$E$3:$F$27,2,0)</f>
        <v>MERO</v>
      </c>
      <c r="I1925" s="9" t="str">
        <f>RIGHT(TablaCosechas[[#This Row],[SECTOR/PISCINA]],2)</f>
        <v>04</v>
      </c>
      <c r="J1925" s="271" t="str">
        <f>VLOOKUP(TablaCosechas[[#This Row],[COD]],Tabla7[#All],4,0)</f>
        <v>NESTOR MOGOLLON</v>
      </c>
      <c r="K1925" s="276">
        <f>(TablaCosechas[[#This Row],[libras planta]]*454)/M1925</f>
        <v>97610</v>
      </c>
      <c r="L1925" s="273">
        <v>4300</v>
      </c>
      <c r="M1925" s="274">
        <v>20</v>
      </c>
      <c r="N1925" s="271" t="str">
        <f>UPPER(TEXT(TablaCosechas[[#This Row],[COSECHA]],"MMMM"))</f>
        <v>MAYO</v>
      </c>
      <c r="O1925" s="271" t="str">
        <f>IF(A1925="DO 29","BAP",IF(A1925="RO 14","BAP",(VLOOKUP(TablaCosechas[[#This Row],[COD]],Tabla7[[CODIGO]:[CERTIFICACION]],3,0))))</f>
        <v>CONVENCIONAL</v>
      </c>
      <c r="P1925" s="277">
        <f>+L1925-E1925</f>
        <v>0</v>
      </c>
      <c r="Q1925" s="270">
        <f>+M1925-F1925</f>
        <v>0</v>
      </c>
      <c r="R1925" s="279"/>
    </row>
    <row r="1926" spans="1:18" x14ac:dyDescent="0.25">
      <c r="A1926" s="271" t="s">
        <v>231</v>
      </c>
      <c r="B1926" s="271">
        <f>ROW() - ROW(TablaCosechas[[#Headers],[ID]]) - 4</f>
        <v>1921</v>
      </c>
      <c r="C1926" s="271" t="str">
        <f>LEFT(A1926,2)</f>
        <v>GT</v>
      </c>
      <c r="D1926" s="272" t="s">
        <v>366</v>
      </c>
      <c r="E1926" s="273">
        <v>7400</v>
      </c>
      <c r="F1926" s="274">
        <v>29</v>
      </c>
      <c r="G1926" s="275">
        <v>46165</v>
      </c>
      <c r="H1926" s="9" t="str">
        <f>VLOOKUP(TablaCosechas[[#This Row],[COD]],DATOS!$E$3:$F$27,2,0)</f>
        <v>GUATO</v>
      </c>
      <c r="I1926" s="9" t="str">
        <f>RIGHT(TablaCosechas[[#This Row],[SECTOR/PISCINA]],2)</f>
        <v>16</v>
      </c>
      <c r="J1926" s="271" t="str">
        <f>VLOOKUP(TablaCosechas[[#This Row],[COD]],Tabla7[#All],4,0)</f>
        <v>JULIO SANTOS</v>
      </c>
      <c r="K1926" s="276">
        <f>(TablaCosechas[[#This Row],[libras planta]]*454)/M1926</f>
        <v>115848.27586206897</v>
      </c>
      <c r="L1926" s="273">
        <v>7400</v>
      </c>
      <c r="M1926" s="274">
        <v>29</v>
      </c>
      <c r="N1926" s="271" t="str">
        <f>UPPER(TEXT(TablaCosechas[[#This Row],[COSECHA]],"MMMM"))</f>
        <v>MAYO</v>
      </c>
      <c r="O1926" s="271" t="str">
        <f>IF(A1926="DO 29","BAP",IF(A1926="RO 14","BAP",(VLOOKUP(TablaCosechas[[#This Row],[COD]],Tabla7[[CODIGO]:[CERTIFICACION]],3,0))))</f>
        <v>CONVENCIONAL</v>
      </c>
      <c r="P1926" s="277">
        <f>+L1926-E1926</f>
        <v>0</v>
      </c>
      <c r="Q1926" s="270">
        <f>+M1926-F1926</f>
        <v>0</v>
      </c>
      <c r="R1926" s="279"/>
    </row>
    <row r="1927" spans="1:18" x14ac:dyDescent="0.25">
      <c r="A1927" s="271" t="s">
        <v>306</v>
      </c>
      <c r="B1927" s="271">
        <f>ROW() - ROW(TablaCosechas[[#Headers],[ID]]) - 4</f>
        <v>1922</v>
      </c>
      <c r="C1927" s="271" t="str">
        <f>LEFT(A1927,2)</f>
        <v>PA</v>
      </c>
      <c r="D1927" s="272" t="s">
        <v>367</v>
      </c>
      <c r="E1927" s="273">
        <v>6200</v>
      </c>
      <c r="F1927" s="274">
        <v>15</v>
      </c>
      <c r="G1927" s="275">
        <v>46165</v>
      </c>
      <c r="H1927" s="9" t="str">
        <f>VLOOKUP(TablaCosechas[[#This Row],[COD]],DATOS!$E$3:$F$27,2,0)</f>
        <v>PAMPANO</v>
      </c>
      <c r="I1927" s="9" t="str">
        <f>RIGHT(TablaCosechas[[#This Row],[SECTOR/PISCINA]],2)</f>
        <v>17</v>
      </c>
      <c r="J1927" s="271" t="str">
        <f>VLOOKUP(TablaCosechas[[#This Row],[COD]],Tabla7[#All],4,0)</f>
        <v>GUSTAVO CARRASCO</v>
      </c>
      <c r="K1927" s="276">
        <f>(TablaCosechas[[#This Row],[libras planta]]*454)/M1927</f>
        <v>187653.33333333334</v>
      </c>
      <c r="L1927" s="273">
        <v>6200</v>
      </c>
      <c r="M1927" s="274">
        <v>15</v>
      </c>
      <c r="N1927" s="271" t="str">
        <f>UPPER(TEXT(TablaCosechas[[#This Row],[COSECHA]],"MMMM"))</f>
        <v>MAYO</v>
      </c>
      <c r="O1927" s="271" t="str">
        <f>IF(A1927="DO 29","BAP",IF(A1927="RO 14","BAP",(VLOOKUP(TablaCosechas[[#This Row],[COD]],Tabla7[[CODIGO]:[CERTIFICACION]],3,0))))</f>
        <v>ASC</v>
      </c>
      <c r="P1927" s="277">
        <f>+L1927-E1927</f>
        <v>0</v>
      </c>
      <c r="Q1927" s="270">
        <f>+M1927-F1927</f>
        <v>0</v>
      </c>
      <c r="R1927" s="279"/>
    </row>
    <row r="1928" spans="1:18" x14ac:dyDescent="0.25">
      <c r="A1928" s="271" t="s">
        <v>303</v>
      </c>
      <c r="B1928" s="271">
        <f>ROW() - ROW(TablaCosechas[[#Headers],[ID]]) - 4</f>
        <v>1923</v>
      </c>
      <c r="C1928" s="271" t="str">
        <f>LEFT(A1928,2)</f>
        <v>TI</v>
      </c>
      <c r="D1928" s="272" t="s">
        <v>367</v>
      </c>
      <c r="E1928" s="273">
        <v>17000</v>
      </c>
      <c r="F1928" s="274">
        <v>24.5</v>
      </c>
      <c r="G1928" s="275">
        <v>46165</v>
      </c>
      <c r="H1928" s="9" t="str">
        <f>VLOOKUP(TablaCosechas[[#This Row],[COD]],DATOS!$E$3:$F$27,2,0)</f>
        <v>TIBURON</v>
      </c>
      <c r="I1928" s="9" t="str">
        <f>RIGHT(TablaCosechas[[#This Row],[SECTOR/PISCINA]],2)</f>
        <v>16</v>
      </c>
      <c r="J1928" s="271" t="str">
        <f>VLOOKUP(TablaCosechas[[#This Row],[COD]],Tabla7[#All],4,0)</f>
        <v>ALFONSO GRUNAUER</v>
      </c>
      <c r="K1928" s="276">
        <f>(TablaCosechas[[#This Row],[libras planta]]*454)/M1928</f>
        <v>315020.40816326533</v>
      </c>
      <c r="L1928" s="273">
        <v>17000</v>
      </c>
      <c r="M1928" s="274">
        <v>24.5</v>
      </c>
      <c r="N1928" s="271" t="str">
        <f>UPPER(TEXT(TablaCosechas[[#This Row],[COSECHA]],"MMMM"))</f>
        <v>MAYO</v>
      </c>
      <c r="O1928" s="271" t="str">
        <f>IF(A1928="DO 29","BAP",IF(A1928="RO 14","BAP",(VLOOKUP(TablaCosechas[[#This Row],[COD]],Tabla7[[CODIGO]:[CERTIFICACION]],3,0))))</f>
        <v>ASC</v>
      </c>
      <c r="P1928" s="277">
        <f>+L1928-E1928</f>
        <v>0</v>
      </c>
      <c r="Q1928" s="270">
        <f>+M1928-F1928</f>
        <v>0</v>
      </c>
      <c r="R1928" s="279"/>
    </row>
    <row r="1929" spans="1:18" x14ac:dyDescent="0.25">
      <c r="A1929" s="271" t="s">
        <v>286</v>
      </c>
      <c r="B1929" s="271">
        <f>ROW() - ROW(TablaCosechas[[#Headers],[ID]]) - 4</f>
        <v>1924</v>
      </c>
      <c r="C1929" s="271" t="str">
        <f>LEFT(A1929,2)</f>
        <v>DO</v>
      </c>
      <c r="D1929" s="272" t="s">
        <v>367</v>
      </c>
      <c r="E1929" s="273">
        <v>10400</v>
      </c>
      <c r="F1929" s="274">
        <v>25</v>
      </c>
      <c r="G1929" s="275">
        <v>46165</v>
      </c>
      <c r="H1929" s="9" t="str">
        <f>VLOOKUP(TablaCosechas[[#This Row],[COD]],DATOS!$E$3:$F$27,2,0)</f>
        <v>DORADO</v>
      </c>
      <c r="I1929" s="9" t="str">
        <f>RIGHT(TablaCosechas[[#This Row],[SECTOR/PISCINA]],2)</f>
        <v>29</v>
      </c>
      <c r="J1929" s="271" t="str">
        <f>VLOOKUP(TablaCosechas[[#This Row],[COD]],Tabla7[#All],4,0)</f>
        <v>JOSE CEDEÑO</v>
      </c>
      <c r="K1929" s="276">
        <f>(TablaCosechas[[#This Row],[libras planta]]*454)/M1929</f>
        <v>188864</v>
      </c>
      <c r="L1929" s="273">
        <v>10400</v>
      </c>
      <c r="M1929" s="274">
        <v>25</v>
      </c>
      <c r="N1929" s="271" t="str">
        <f>UPPER(TEXT(TablaCosechas[[#This Row],[COSECHA]],"MMMM"))</f>
        <v>MAYO</v>
      </c>
      <c r="O1929" s="271" t="str">
        <f>IF(A1929="DO 29","BAP",IF(A1929="RO 14","BAP",(VLOOKUP(TablaCosechas[[#This Row],[COD]],Tabla7[[CODIGO]:[CERTIFICACION]],3,0))))</f>
        <v>BAP</v>
      </c>
      <c r="P1929" s="277">
        <f>+L1929-E1929</f>
        <v>0</v>
      </c>
      <c r="Q1929" s="278">
        <f>+M1929-F1929</f>
        <v>0</v>
      </c>
      <c r="R1929" s="279"/>
    </row>
    <row r="1930" spans="1:18" x14ac:dyDescent="0.25">
      <c r="A1930" s="271" t="s">
        <v>240</v>
      </c>
      <c r="B1930" s="271">
        <f>ROW() - ROW(TablaCosechas[[#Headers],[ID]]) - 4</f>
        <v>1925</v>
      </c>
      <c r="C1930" s="271" t="str">
        <f>LEFT(A1930,2)</f>
        <v>GT</v>
      </c>
      <c r="D1930" s="272" t="s">
        <v>366</v>
      </c>
      <c r="E1930" s="273">
        <v>12500</v>
      </c>
      <c r="F1930" s="274">
        <v>30</v>
      </c>
      <c r="G1930" s="275">
        <v>46166</v>
      </c>
      <c r="H1930" s="9" t="str">
        <f>VLOOKUP(TablaCosechas[[#This Row],[COD]],DATOS!$E$3:$F$27,2,0)</f>
        <v>GUATO</v>
      </c>
      <c r="I1930" s="9" t="str">
        <f>RIGHT(TablaCosechas[[#This Row],[SECTOR/PISCINA]],2)</f>
        <v>19</v>
      </c>
      <c r="J1930" s="271" t="str">
        <f>VLOOKUP(TablaCosechas[[#This Row],[COD]],Tabla7[#All],4,0)</f>
        <v>JULIO SANTOS</v>
      </c>
      <c r="K1930" s="276">
        <f>(TablaCosechas[[#This Row],[libras planta]]*454)/M1930</f>
        <v>189166.66666666666</v>
      </c>
      <c r="L1930" s="215">
        <v>12500</v>
      </c>
      <c r="M1930" s="205">
        <v>30</v>
      </c>
      <c r="N1930" s="271" t="str">
        <f>UPPER(TEXT(TablaCosechas[[#This Row],[COSECHA]],"MMMM"))</f>
        <v>MAYO</v>
      </c>
      <c r="O1930" s="271" t="str">
        <f>IF(A1930="DO 29","BAP",IF(A1930="RO 14","BAP",(VLOOKUP(TablaCosechas[[#This Row],[COD]],Tabla7[[CODIGO]:[CERTIFICACION]],3,0))))</f>
        <v>CONVENCIONAL</v>
      </c>
      <c r="P1930" s="277">
        <f>+L1930-E1930</f>
        <v>0</v>
      </c>
      <c r="Q1930" s="270">
        <f>+M1930-F1930</f>
        <v>0</v>
      </c>
      <c r="R1930" s="279"/>
    </row>
    <row r="1931" spans="1:18" x14ac:dyDescent="0.25">
      <c r="A1931" s="271" t="s">
        <v>251</v>
      </c>
      <c r="B1931" s="271">
        <f>ROW() - ROW(TablaCosechas[[#Headers],[ID]]) - 4</f>
        <v>1926</v>
      </c>
      <c r="C1931" s="271" t="str">
        <f>LEFT(A1931,2)</f>
        <v>PR</v>
      </c>
      <c r="D1931" s="272" t="s">
        <v>366</v>
      </c>
      <c r="E1931" s="273">
        <v>15300</v>
      </c>
      <c r="F1931" s="274">
        <v>28</v>
      </c>
      <c r="G1931" s="275">
        <v>46166</v>
      </c>
      <c r="H1931" s="9" t="str">
        <f>VLOOKUP(TablaCosechas[[#This Row],[COD]],DATOS!$E$3:$F$27,2,0)</f>
        <v>PARGO ROJO</v>
      </c>
      <c r="I1931" s="9" t="str">
        <f>RIGHT(TablaCosechas[[#This Row],[SECTOR/PISCINA]],2)</f>
        <v>01</v>
      </c>
      <c r="J1931" s="271" t="str">
        <f>VLOOKUP(TablaCosechas[[#This Row],[COD]],Tabla7[#All],4,0)</f>
        <v>WILMER TORRES</v>
      </c>
      <c r="K1931" s="276">
        <f>(TablaCosechas[[#This Row],[libras planta]]*454)/M1931</f>
        <v>248078.57142857142</v>
      </c>
      <c r="L1931" s="215">
        <v>15300</v>
      </c>
      <c r="M1931" s="205">
        <v>28</v>
      </c>
      <c r="N1931" s="271" t="str">
        <f>UPPER(TEXT(TablaCosechas[[#This Row],[COSECHA]],"MMMM"))</f>
        <v>MAYO</v>
      </c>
      <c r="O1931" s="271" t="str">
        <f>IF(A1931="DO 29","BAP",IF(A1931="RO 14","BAP",(VLOOKUP(TablaCosechas[[#This Row],[COD]],Tabla7[[CODIGO]:[CERTIFICACION]],3,0))))</f>
        <v>CONVENCIONAL</v>
      </c>
      <c r="P1931" s="277">
        <f>+L1931-E1931</f>
        <v>0</v>
      </c>
      <c r="Q1931" s="270">
        <f>+M1931-F1931</f>
        <v>0</v>
      </c>
      <c r="R1931" s="279"/>
    </row>
    <row r="1932" spans="1:18" x14ac:dyDescent="0.25">
      <c r="A1932" s="271" t="s">
        <v>236</v>
      </c>
      <c r="B1932" s="271">
        <f>ROW() - ROW(TablaCosechas[[#Headers],[ID]]) - 4</f>
        <v>1927</v>
      </c>
      <c r="C1932" s="271" t="str">
        <f>LEFT(A1932,2)</f>
        <v>WA</v>
      </c>
      <c r="D1932" s="272" t="s">
        <v>366</v>
      </c>
      <c r="E1932" s="273">
        <f>28450+3200</f>
        <v>31650</v>
      </c>
      <c r="F1932" s="274">
        <v>33</v>
      </c>
      <c r="G1932" s="275">
        <v>46166</v>
      </c>
      <c r="H1932" s="9" t="str">
        <f>VLOOKUP(TablaCosechas[[#This Row],[COD]],DATOS!$E$3:$F$27,2,0)</f>
        <v>WAHOO</v>
      </c>
      <c r="I1932" s="9" t="str">
        <f>RIGHT(TablaCosechas[[#This Row],[SECTOR/PISCINA]],2)</f>
        <v>32</v>
      </c>
      <c r="J1932" s="271" t="str">
        <f>VLOOKUP(TablaCosechas[[#This Row],[COD]],Tabla7[#All],4,0)</f>
        <v>JUNIOR ESQUIVEL</v>
      </c>
      <c r="K1932" s="276">
        <f>(TablaCosechas[[#This Row],[libras planta]]*454)/M1932</f>
        <v>435427.27272727271</v>
      </c>
      <c r="L1932" s="215">
        <v>31650</v>
      </c>
      <c r="M1932" s="205">
        <v>33</v>
      </c>
      <c r="N1932" s="271" t="str">
        <f>UPPER(TEXT(TablaCosechas[[#This Row],[COSECHA]],"MMMM"))</f>
        <v>MAYO</v>
      </c>
      <c r="O1932" s="271" t="str">
        <f>IF(A1932="DO 29","BAP",IF(A1932="RO 14","BAP",(VLOOKUP(TablaCosechas[[#This Row],[COD]],Tabla7[[CODIGO]:[CERTIFICACION]],3,0))))</f>
        <v>CONVENCIONAL</v>
      </c>
      <c r="P1932" s="277">
        <f>+L1932-E1932</f>
        <v>0</v>
      </c>
      <c r="Q1932" s="270">
        <f>+M1932-F1932</f>
        <v>0</v>
      </c>
      <c r="R1932" s="279"/>
    </row>
    <row r="1933" spans="1:18" x14ac:dyDescent="0.25">
      <c r="A1933" s="271" t="s">
        <v>265</v>
      </c>
      <c r="B1933" s="271">
        <f>ROW() - ROW(TablaCosechas[[#Headers],[ID]]) - 4</f>
        <v>1928</v>
      </c>
      <c r="C1933" s="271" t="str">
        <f>LEFT(A1933,2)</f>
        <v>DE</v>
      </c>
      <c r="D1933" s="272" t="s">
        <v>367</v>
      </c>
      <c r="E1933" s="273">
        <v>10200</v>
      </c>
      <c r="F1933" s="274">
        <v>28</v>
      </c>
      <c r="G1933" s="275">
        <v>46166</v>
      </c>
      <c r="H1933" s="9" t="str">
        <f>VLOOKUP(TablaCosechas[[#This Row],[COD]],DATOS!$E$3:$F$27,2,0)</f>
        <v>DELFIN</v>
      </c>
      <c r="I1933" s="9" t="str">
        <f>RIGHT(TablaCosechas[[#This Row],[SECTOR/PISCINA]],2)</f>
        <v>04</v>
      </c>
      <c r="J1933" s="271" t="str">
        <f>VLOOKUP(TablaCosechas[[#This Row],[COD]],Tabla7[#All],4,0)</f>
        <v>CARLOS FLORES</v>
      </c>
      <c r="K1933" s="276">
        <f>(TablaCosechas[[#This Row],[libras planta]]*454)/M1933</f>
        <v>165385.71428571429</v>
      </c>
      <c r="L1933" s="215">
        <v>10200</v>
      </c>
      <c r="M1933" s="205">
        <v>28</v>
      </c>
      <c r="N1933" s="271" t="str">
        <f>UPPER(TEXT(TablaCosechas[[#This Row],[COSECHA]],"MMMM"))</f>
        <v>MAYO</v>
      </c>
      <c r="O1933" s="271" t="str">
        <f>IF(A1933="DO 29","BAP",IF(A1933="RO 14","BAP",(VLOOKUP(TablaCosechas[[#This Row],[COD]],Tabla7[[CODIGO]:[CERTIFICACION]],3,0))))</f>
        <v>CONVENCIONAL</v>
      </c>
      <c r="P1933" s="277">
        <f>+L1933-E1933</f>
        <v>0</v>
      </c>
      <c r="Q1933" s="270">
        <f>+M1933-F1933</f>
        <v>0</v>
      </c>
      <c r="R1933" s="279"/>
    </row>
    <row r="1934" spans="1:18" x14ac:dyDescent="0.25">
      <c r="A1934" s="271" t="s">
        <v>181</v>
      </c>
      <c r="B1934" s="271">
        <f>ROW() - ROW(TablaCosechas[[#Headers],[ID]]) - 4</f>
        <v>1929</v>
      </c>
      <c r="C1934" s="271" t="str">
        <f>LEFT(A1934,2)</f>
        <v>TA</v>
      </c>
      <c r="D1934" s="272" t="s">
        <v>367</v>
      </c>
      <c r="E1934" s="273">
        <v>10200</v>
      </c>
      <c r="F1934" s="274">
        <v>20.5</v>
      </c>
      <c r="G1934" s="275">
        <v>46166</v>
      </c>
      <c r="H1934" s="9" t="str">
        <f>VLOOKUP(TablaCosechas[[#This Row],[COD]],DATOS!$E$3:$F$27,2,0)</f>
        <v>TAMBULERO</v>
      </c>
      <c r="I1934" s="9" t="str">
        <f>RIGHT(TablaCosechas[[#This Row],[SECTOR/PISCINA]],2)</f>
        <v>10</v>
      </c>
      <c r="J1934" s="271" t="str">
        <f>VLOOKUP(TablaCosechas[[#This Row],[COD]],Tabla7[#All],4,0)</f>
        <v>ALFONSO GRUNAUER</v>
      </c>
      <c r="K1934" s="276">
        <f>(TablaCosechas[[#This Row],[libras planta]]*454)/M1934</f>
        <v>225892.68292682926</v>
      </c>
      <c r="L1934" s="215">
        <v>10200</v>
      </c>
      <c r="M1934" s="205">
        <v>20.5</v>
      </c>
      <c r="N1934" s="271" t="str">
        <f>UPPER(TEXT(TablaCosechas[[#This Row],[COSECHA]],"MMMM"))</f>
        <v>MAYO</v>
      </c>
      <c r="O1934" s="271" t="str">
        <f>IF(A1934="DO 29","BAP",IF(A1934="RO 14","BAP",(VLOOKUP(TablaCosechas[[#This Row],[COD]],Tabla7[[CODIGO]:[CERTIFICACION]],3,0))))</f>
        <v>CONVENCIONAL</v>
      </c>
      <c r="P1934" s="277">
        <f>+L1934-E1934</f>
        <v>0</v>
      </c>
      <c r="Q1934" s="270">
        <f>+M1934-F1934</f>
        <v>0</v>
      </c>
      <c r="R1934" s="279"/>
    </row>
    <row r="1935" spans="1:18" x14ac:dyDescent="0.25">
      <c r="A1935" s="271" t="s">
        <v>243</v>
      </c>
      <c r="B1935" s="271">
        <f>ROW() - ROW(TablaCosechas[[#Headers],[ID]]) - 4</f>
        <v>1930</v>
      </c>
      <c r="C1935" s="271" t="str">
        <f>LEFT(A1935,2)</f>
        <v>GT</v>
      </c>
      <c r="D1935" s="272" t="s">
        <v>366</v>
      </c>
      <c r="E1935" s="273">
        <v>7200</v>
      </c>
      <c r="F1935" s="274">
        <v>29</v>
      </c>
      <c r="G1935" s="275">
        <v>46167</v>
      </c>
      <c r="H1935" s="9" t="str">
        <f>VLOOKUP(TablaCosechas[[#This Row],[COD]],DATOS!$E$3:$F$27,2,0)</f>
        <v>GUATO</v>
      </c>
      <c r="I1935" s="9" t="str">
        <f>RIGHT(TablaCosechas[[#This Row],[SECTOR/PISCINA]],2)</f>
        <v>20</v>
      </c>
      <c r="J1935" s="271" t="str">
        <f>VLOOKUP(TablaCosechas[[#This Row],[COD]],Tabla7[#All],4,0)</f>
        <v>JULIO SANTOS</v>
      </c>
      <c r="K1935" s="276">
        <f>(TablaCosechas[[#This Row],[libras planta]]*454)/M1935</f>
        <v>112717.24137931035</v>
      </c>
      <c r="L1935" s="174">
        <v>7200</v>
      </c>
      <c r="M1935" s="205">
        <v>29</v>
      </c>
      <c r="N1935" s="271" t="str">
        <f>UPPER(TEXT(TablaCosechas[[#This Row],[COSECHA]],"MMMM"))</f>
        <v>MAYO</v>
      </c>
      <c r="O1935" s="271" t="str">
        <f>IF(A1935="DO 29","BAP",IF(A1935="RO 14","BAP",(VLOOKUP(TablaCosechas[[#This Row],[COD]],Tabla7[[CODIGO]:[CERTIFICACION]],3,0))))</f>
        <v>CONVENCIONAL</v>
      </c>
      <c r="P1935" s="277">
        <f>+L1935-E1935</f>
        <v>0</v>
      </c>
      <c r="Q1935" s="270">
        <f>+M1935-F1935</f>
        <v>0</v>
      </c>
      <c r="R1935" s="279"/>
    </row>
    <row r="1936" spans="1:18" x14ac:dyDescent="0.25">
      <c r="A1936" s="271" t="s">
        <v>229</v>
      </c>
      <c r="B1936" s="271">
        <f>ROW() - ROW(TablaCosechas[[#Headers],[ID]]) - 4</f>
        <v>1931</v>
      </c>
      <c r="C1936" s="271" t="str">
        <f>LEFT(A1936,2)</f>
        <v>PR</v>
      </c>
      <c r="D1936" s="272" t="s">
        <v>366</v>
      </c>
      <c r="E1936" s="273">
        <v>28700</v>
      </c>
      <c r="F1936" s="274">
        <v>29</v>
      </c>
      <c r="G1936" s="275">
        <v>46167</v>
      </c>
      <c r="H1936" s="9" t="str">
        <f>VLOOKUP(TablaCosechas[[#This Row],[COD]],DATOS!$E$3:$F$27,2,0)</f>
        <v>PARGO ROJO</v>
      </c>
      <c r="I1936" s="9" t="str">
        <f>RIGHT(TablaCosechas[[#This Row],[SECTOR/PISCINA]],2)</f>
        <v>11</v>
      </c>
      <c r="J1936" s="271" t="str">
        <f>VLOOKUP(TablaCosechas[[#This Row],[COD]],Tabla7[#All],4,0)</f>
        <v>WILMER TORRES</v>
      </c>
      <c r="K1936" s="276">
        <f>(TablaCosechas[[#This Row],[libras planta]]*454)/M1936</f>
        <v>449303.44827586209</v>
      </c>
      <c r="L1936" s="174">
        <v>28700</v>
      </c>
      <c r="M1936" s="205">
        <v>29</v>
      </c>
      <c r="N1936" s="271" t="str">
        <f>UPPER(TEXT(TablaCosechas[[#This Row],[COSECHA]],"MMMM"))</f>
        <v>MAYO</v>
      </c>
      <c r="O1936" s="271" t="str">
        <f>IF(A1936="DO 29","BAP",IF(A1936="RO 14","BAP",(VLOOKUP(TablaCosechas[[#This Row],[COD]],Tabla7[[CODIGO]:[CERTIFICACION]],3,0))))</f>
        <v>CONVENCIONAL</v>
      </c>
      <c r="P1936" s="277">
        <f>+L1936-E1936</f>
        <v>0</v>
      </c>
      <c r="Q1936" s="270">
        <f>+M1936-F1936</f>
        <v>0</v>
      </c>
      <c r="R1936" s="279"/>
    </row>
    <row r="1937" spans="1:18" x14ac:dyDescent="0.25">
      <c r="A1937" s="271" t="s">
        <v>295</v>
      </c>
      <c r="B1937" s="271">
        <f>ROW() - ROW(TablaCosechas[[#Headers],[ID]]) - 4</f>
        <v>1932</v>
      </c>
      <c r="C1937" s="271" t="str">
        <f>LEFT(A1937,2)</f>
        <v>CA</v>
      </c>
      <c r="D1937" s="272" t="s">
        <v>367</v>
      </c>
      <c r="E1937" s="273">
        <v>5250</v>
      </c>
      <c r="F1937" s="274">
        <v>14</v>
      </c>
      <c r="G1937" s="275">
        <v>46167</v>
      </c>
      <c r="H1937" s="9" t="str">
        <f>VLOOKUP(TablaCosechas[[#This Row],[COD]],DATOS!$E$3:$F$27,2,0)</f>
        <v>CATANUDA</v>
      </c>
      <c r="I1937" s="9" t="str">
        <f>RIGHT(TablaCosechas[[#This Row],[SECTOR/PISCINA]],2)</f>
        <v>14</v>
      </c>
      <c r="J1937" s="271" t="str">
        <f>VLOOKUP(TablaCosechas[[#This Row],[COD]],Tabla7[#All],4,0)</f>
        <v>VICTOR QUINTANA</v>
      </c>
      <c r="K1937" s="276">
        <f>(TablaCosechas[[#This Row],[libras planta]]*454)/M1937</f>
        <v>170250</v>
      </c>
      <c r="L1937" s="174">
        <v>5250</v>
      </c>
      <c r="M1937" s="205">
        <v>14</v>
      </c>
      <c r="N1937" s="271" t="str">
        <f>UPPER(TEXT(TablaCosechas[[#This Row],[COSECHA]],"MMMM"))</f>
        <v>MAYO</v>
      </c>
      <c r="O1937" s="271" t="str">
        <f>IF(A1937="DO 29","BAP",IF(A1937="RO 14","BAP",(VLOOKUP(TablaCosechas[[#This Row],[COD]],Tabla7[[CODIGO]:[CERTIFICACION]],3,0))))</f>
        <v>ASC</v>
      </c>
      <c r="P1937" s="277">
        <f>+L1937-E1937</f>
        <v>0</v>
      </c>
      <c r="Q1937" s="270">
        <f>+M1937-F1937</f>
        <v>0</v>
      </c>
      <c r="R1937" s="279"/>
    </row>
    <row r="1938" spans="1:18" x14ac:dyDescent="0.25">
      <c r="A1938" s="271" t="s">
        <v>301</v>
      </c>
      <c r="B1938" s="271">
        <f>ROW() - ROW(TablaCosechas[[#Headers],[ID]]) - 4</f>
        <v>1933</v>
      </c>
      <c r="C1938" s="271" t="str">
        <f>LEFT(A1938,2)</f>
        <v>DE</v>
      </c>
      <c r="D1938" s="272" t="s">
        <v>367</v>
      </c>
      <c r="E1938" s="273">
        <v>11200</v>
      </c>
      <c r="F1938" s="274">
        <v>22</v>
      </c>
      <c r="G1938" s="275">
        <v>46167</v>
      </c>
      <c r="H1938" s="9" t="str">
        <f>VLOOKUP(TablaCosechas[[#This Row],[COD]],DATOS!$E$3:$F$27,2,0)</f>
        <v>DELFIN</v>
      </c>
      <c r="I1938" s="9" t="str">
        <f>RIGHT(TablaCosechas[[#This Row],[SECTOR/PISCINA]],2)</f>
        <v>02</v>
      </c>
      <c r="J1938" s="271" t="str">
        <f>VLOOKUP(TablaCosechas[[#This Row],[COD]],Tabla7[#All],4,0)</f>
        <v>CARLOS FLORES</v>
      </c>
      <c r="K1938" s="276">
        <f>(TablaCosechas[[#This Row],[libras planta]]*454)/M1938</f>
        <v>231127.27272727274</v>
      </c>
      <c r="L1938" s="174">
        <v>11200</v>
      </c>
      <c r="M1938" s="205">
        <v>22</v>
      </c>
      <c r="N1938" s="271" t="str">
        <f>UPPER(TEXT(TablaCosechas[[#This Row],[COSECHA]],"MMMM"))</f>
        <v>MAYO</v>
      </c>
      <c r="O1938" s="271" t="str">
        <f>IF(A1938="DO 29","BAP",IF(A1938="RO 14","BAP",(VLOOKUP(TablaCosechas[[#This Row],[COD]],Tabla7[[CODIGO]:[CERTIFICACION]],3,0))))</f>
        <v>CONVENCIONAL</v>
      </c>
      <c r="P1938" s="277">
        <f>+L1938-E1938</f>
        <v>0</v>
      </c>
      <c r="Q1938" s="270">
        <f>+M1938-F1938</f>
        <v>0</v>
      </c>
      <c r="R1938" s="279"/>
    </row>
    <row r="1939" spans="1:18" x14ac:dyDescent="0.25">
      <c r="A1939" s="271" t="s">
        <v>305</v>
      </c>
      <c r="B1939" s="271">
        <f>ROW() - ROW(TablaCosechas[[#Headers],[ID]]) - 4</f>
        <v>1934</v>
      </c>
      <c r="C1939" s="271" t="str">
        <f>LEFT(A1939,2)</f>
        <v>TA</v>
      </c>
      <c r="D1939" s="272" t="s">
        <v>367</v>
      </c>
      <c r="E1939" s="273">
        <v>17500</v>
      </c>
      <c r="F1939" s="274">
        <v>25</v>
      </c>
      <c r="G1939" s="275">
        <v>46167</v>
      </c>
      <c r="H1939" s="9" t="str">
        <f>VLOOKUP(TablaCosechas[[#This Row],[COD]],DATOS!$E$3:$F$27,2,0)</f>
        <v>TAMBULERO</v>
      </c>
      <c r="I1939" s="9" t="str">
        <f>RIGHT(TablaCosechas[[#This Row],[SECTOR/PISCINA]],2)</f>
        <v>18</v>
      </c>
      <c r="J1939" s="271" t="str">
        <f>VLOOKUP(TablaCosechas[[#This Row],[COD]],Tabla7[#All],4,0)</f>
        <v>ALFONSO GRUNAUER</v>
      </c>
      <c r="K1939" s="276">
        <f>(TablaCosechas[[#This Row],[libras planta]]*454)/M1939</f>
        <v>317800</v>
      </c>
      <c r="L1939" s="174">
        <v>17500</v>
      </c>
      <c r="M1939" s="205">
        <v>25</v>
      </c>
      <c r="N1939" s="271" t="str">
        <f>UPPER(TEXT(TablaCosechas[[#This Row],[COSECHA]],"MMMM"))</f>
        <v>MAYO</v>
      </c>
      <c r="O1939" s="271" t="str">
        <f>IF(A1939="DO 29","BAP",IF(A1939="RO 14","BAP",(VLOOKUP(TablaCosechas[[#This Row],[COD]],Tabla7[[CODIGO]:[CERTIFICACION]],3,0))))</f>
        <v>CONVENCIONAL</v>
      </c>
      <c r="P1939" s="277">
        <f>+L1939-E1939</f>
        <v>0</v>
      </c>
      <c r="Q1939" s="270">
        <f>+M1939-F1939</f>
        <v>0</v>
      </c>
      <c r="R1939" s="279"/>
    </row>
    <row r="1940" spans="1:18" x14ac:dyDescent="0.25">
      <c r="A1940" s="271" t="s">
        <v>312</v>
      </c>
      <c r="B1940" s="271">
        <f>ROW() - ROW(TablaCosechas[[#Headers],[ID]]) - 4</f>
        <v>1935</v>
      </c>
      <c r="C1940" s="271" t="str">
        <f>LEFT(A1940,2)</f>
        <v>GT</v>
      </c>
      <c r="D1940" s="272" t="s">
        <v>367</v>
      </c>
      <c r="E1940" s="273">
        <v>12600</v>
      </c>
      <c r="F1940" s="274">
        <v>20</v>
      </c>
      <c r="G1940" s="275">
        <v>46167</v>
      </c>
      <c r="H1940" s="9" t="str">
        <f>VLOOKUP(TablaCosechas[[#This Row],[COD]],DATOS!$E$3:$F$27,2,0)</f>
        <v>GUATO</v>
      </c>
      <c r="I1940" s="9" t="str">
        <f>RIGHT(TablaCosechas[[#This Row],[SECTOR/PISCINA]],2)</f>
        <v>12</v>
      </c>
      <c r="J1940" s="271" t="str">
        <f>VLOOKUP(TablaCosechas[[#This Row],[COD]],Tabla7[#All],4,0)</f>
        <v>JULIO SANTOS</v>
      </c>
      <c r="K1940" s="276">
        <f>(TablaCosechas[[#This Row],[libras planta]]*454)/M1940</f>
        <v>286020</v>
      </c>
      <c r="L1940" s="174">
        <v>12600</v>
      </c>
      <c r="M1940" s="205">
        <v>20</v>
      </c>
      <c r="N1940" s="271" t="str">
        <f>UPPER(TEXT(TablaCosechas[[#This Row],[COSECHA]],"MMMM"))</f>
        <v>MAYO</v>
      </c>
      <c r="O1940" s="271" t="str">
        <f>IF(A1940="DO 29","BAP",IF(A1940="RO 14","BAP",(VLOOKUP(TablaCosechas[[#This Row],[COD]],Tabla7[[CODIGO]:[CERTIFICACION]],3,0))))</f>
        <v>CONVENCIONAL</v>
      </c>
      <c r="P1940" s="277">
        <f>+L1940-E1940</f>
        <v>0</v>
      </c>
      <c r="Q1940" s="270">
        <f>+M1940-F1940</f>
        <v>0</v>
      </c>
      <c r="R1940" s="279"/>
    </row>
    <row r="1941" spans="1:18" x14ac:dyDescent="0.25">
      <c r="A1941" s="271" t="s">
        <v>214</v>
      </c>
      <c r="B1941" s="271">
        <f>ROW() - ROW(TablaCosechas[[#Headers],[ID]]) - 4</f>
        <v>1936</v>
      </c>
      <c r="C1941" s="271" t="str">
        <f>LEFT(A1941,2)</f>
        <v>WA</v>
      </c>
      <c r="D1941" s="272" t="s">
        <v>367</v>
      </c>
      <c r="E1941" s="273">
        <v>17000</v>
      </c>
      <c r="F1941" s="274">
        <v>34</v>
      </c>
      <c r="G1941" s="275">
        <v>46167</v>
      </c>
      <c r="H1941" s="9" t="str">
        <f>VLOOKUP(TablaCosechas[[#This Row],[COD]],DATOS!$E$3:$F$27,2,0)</f>
        <v>WAHOO</v>
      </c>
      <c r="I1941" s="9" t="str">
        <f>RIGHT(TablaCosechas[[#This Row],[SECTOR/PISCINA]],2)</f>
        <v>30</v>
      </c>
      <c r="J1941" s="271" t="str">
        <f>VLOOKUP(TablaCosechas[[#This Row],[COD]],Tabla7[#All],4,0)</f>
        <v>JUNIOR ESQUIVEL</v>
      </c>
      <c r="K1941" s="276">
        <f>(TablaCosechas[[#This Row],[libras planta]]*454)/M1941</f>
        <v>227000</v>
      </c>
      <c r="L1941" s="174">
        <v>17000</v>
      </c>
      <c r="M1941" s="205">
        <v>34</v>
      </c>
      <c r="N1941" s="271" t="str">
        <f>UPPER(TEXT(TablaCosechas[[#This Row],[COSECHA]],"MMMM"))</f>
        <v>MAYO</v>
      </c>
      <c r="O1941" s="271" t="str">
        <f>IF(A1941="DO 29","BAP",IF(A1941="RO 14","BAP",(VLOOKUP(TablaCosechas[[#This Row],[COD]],Tabla7[[CODIGO]:[CERTIFICACION]],3,0))))</f>
        <v>CONVENCIONAL</v>
      </c>
      <c r="P1941" s="277">
        <f>+L1941-E1941</f>
        <v>0</v>
      </c>
      <c r="Q1941" s="278">
        <f>+M1941-F1941</f>
        <v>0</v>
      </c>
      <c r="R1941" s="279"/>
    </row>
    <row r="1942" spans="1:18" x14ac:dyDescent="0.25">
      <c r="A1942" s="271" t="s">
        <v>323</v>
      </c>
      <c r="B1942" s="271">
        <f>ROW() - ROW(TablaCosechas[[#Headers],[ID]]) - 4</f>
        <v>1937</v>
      </c>
      <c r="C1942" s="271" t="str">
        <f>LEFT(A1942,2)</f>
        <v>DO</v>
      </c>
      <c r="D1942" s="272" t="s">
        <v>367</v>
      </c>
      <c r="E1942" s="273">
        <v>10300</v>
      </c>
      <c r="F1942" s="274">
        <v>17.5</v>
      </c>
      <c r="G1942" s="275">
        <v>46167</v>
      </c>
      <c r="H1942" s="9" t="str">
        <f>VLOOKUP(TablaCosechas[[#This Row],[COD]],DATOS!$E$3:$F$27,2,0)</f>
        <v>DORADO</v>
      </c>
      <c r="I1942" s="9" t="str">
        <f>RIGHT(TablaCosechas[[#This Row],[SECTOR/PISCINA]],2)</f>
        <v>22</v>
      </c>
      <c r="J1942" s="271" t="str">
        <f>VLOOKUP(TablaCosechas[[#This Row],[COD]],Tabla7[#All],4,0)</f>
        <v>JOSE CEDEÑO</v>
      </c>
      <c r="K1942" s="276">
        <f>(TablaCosechas[[#This Row],[libras planta]]*454)/M1942</f>
        <v>267211.42857142858</v>
      </c>
      <c r="L1942" s="174">
        <v>10300</v>
      </c>
      <c r="M1942" s="205">
        <v>17.5</v>
      </c>
      <c r="N1942" s="271" t="str">
        <f>UPPER(TEXT(TablaCosechas[[#This Row],[COSECHA]],"MMMM"))</f>
        <v>MAYO</v>
      </c>
      <c r="O1942" s="271" t="str">
        <f>IF(A1942="DO 29","BAP",IF(A1942="RO 14","BAP",(VLOOKUP(TablaCosechas[[#This Row],[COD]],Tabla7[[CODIGO]:[CERTIFICACION]],3,0))))</f>
        <v>ASC</v>
      </c>
      <c r="P1942" s="277">
        <f>+L1942-E1942</f>
        <v>0</v>
      </c>
      <c r="Q1942" s="270">
        <f>+M1942-F1942</f>
        <v>0</v>
      </c>
      <c r="R1942" s="279"/>
    </row>
    <row r="1943" spans="1:18" x14ac:dyDescent="0.25">
      <c r="A1943" s="271" t="s">
        <v>9</v>
      </c>
      <c r="B1943" s="271">
        <f>ROW() - ROW(TablaCosechas[[#Headers],[ID]]) - 4</f>
        <v>1938</v>
      </c>
      <c r="C1943" s="271" t="str">
        <f>LEFT(A1943,2)</f>
        <v>CH</v>
      </c>
      <c r="D1943" s="272" t="s">
        <v>366</v>
      </c>
      <c r="E1943" s="273">
        <v>29300</v>
      </c>
      <c r="F1943" s="274">
        <v>29</v>
      </c>
      <c r="G1943" s="275">
        <v>46168</v>
      </c>
      <c r="H1943" s="9" t="str">
        <f>VLOOKUP(TablaCosechas[[#This Row],[COD]],DATOS!$E$3:$F$27,2,0)</f>
        <v>CHERNA</v>
      </c>
      <c r="I1943" s="9" t="str">
        <f>RIGHT(TablaCosechas[[#This Row],[SECTOR/PISCINA]],2)</f>
        <v>03</v>
      </c>
      <c r="J1943" s="271" t="str">
        <f>VLOOKUP(TablaCosechas[[#This Row],[COD]],Tabla7[#All],4,0)</f>
        <v>SANTIAGO OBRIEN</v>
      </c>
      <c r="K1943" s="276">
        <f>(TablaCosechas[[#This Row],[libras planta]]*454)/M1943</f>
        <v>458696.55172413791</v>
      </c>
      <c r="L1943" s="174">
        <v>29300</v>
      </c>
      <c r="M1943" s="205">
        <v>29</v>
      </c>
      <c r="N1943" s="271" t="str">
        <f>UPPER(TEXT(TablaCosechas[[#This Row],[COSECHA]],"MMMM"))</f>
        <v>MAYO</v>
      </c>
      <c r="O1943" s="271" t="str">
        <f>IF(A1943="DO 29","BAP",IF(A1943="RO 14","BAP",(VLOOKUP(TablaCosechas[[#This Row],[COD]],Tabla7[[CODIGO]:[CERTIFICACION]],3,0))))</f>
        <v>ASC</v>
      </c>
      <c r="P1943" s="277">
        <f>+L1943-E1943</f>
        <v>0</v>
      </c>
      <c r="Q1943" s="270">
        <f>+M1943-F1943</f>
        <v>0</v>
      </c>
      <c r="R1943" s="279"/>
    </row>
    <row r="1944" spans="1:18" x14ac:dyDescent="0.25">
      <c r="A1944" s="271" t="s">
        <v>125</v>
      </c>
      <c r="B1944" s="271">
        <f>ROW() - ROW(TablaCosechas[[#Headers],[ID]]) - 4</f>
        <v>1939</v>
      </c>
      <c r="C1944" s="271" t="str">
        <f>LEFT(A1944,2)</f>
        <v>DE</v>
      </c>
      <c r="D1944" s="272" t="s">
        <v>366</v>
      </c>
      <c r="E1944" s="273">
        <v>30400</v>
      </c>
      <c r="F1944" s="274">
        <v>38</v>
      </c>
      <c r="G1944" s="275">
        <v>46168</v>
      </c>
      <c r="H1944" s="9" t="str">
        <f>VLOOKUP(TablaCosechas[[#This Row],[COD]],DATOS!$E$3:$F$27,2,0)</f>
        <v>DELFIN</v>
      </c>
      <c r="I1944" s="9" t="str">
        <f>RIGHT(TablaCosechas[[#This Row],[SECTOR/PISCINA]],2)</f>
        <v>15</v>
      </c>
      <c r="J1944" s="271" t="str">
        <f>VLOOKUP(TablaCosechas[[#This Row],[COD]],Tabla7[#All],4,0)</f>
        <v>CARLOS FLORES</v>
      </c>
      <c r="K1944" s="276">
        <f>(TablaCosechas[[#This Row],[libras planta]]*454)/M1944</f>
        <v>363200</v>
      </c>
      <c r="L1944" s="174">
        <v>30400</v>
      </c>
      <c r="M1944" s="205">
        <v>38</v>
      </c>
      <c r="N1944" s="271" t="str">
        <f>UPPER(TEXT(TablaCosechas[[#This Row],[COSECHA]],"MMMM"))</f>
        <v>MAYO</v>
      </c>
      <c r="O1944" s="271" t="str">
        <f>IF(A1944="DO 29","BAP",IF(A1944="RO 14","BAP",(VLOOKUP(TablaCosechas[[#This Row],[COD]],Tabla7[[CODIGO]:[CERTIFICACION]],3,0))))</f>
        <v>CONVENCIONAL</v>
      </c>
      <c r="P1944" s="277">
        <f>+L1944-E1944</f>
        <v>0</v>
      </c>
      <c r="Q1944" s="270">
        <f>+M1944-F1944</f>
        <v>0</v>
      </c>
      <c r="R1944" s="279"/>
    </row>
    <row r="1945" spans="1:18" x14ac:dyDescent="0.25">
      <c r="A1945" s="271" t="s">
        <v>280</v>
      </c>
      <c r="B1945" s="271">
        <f>ROW() - ROW(TablaCosechas[[#Headers],[ID]]) - 4</f>
        <v>1940</v>
      </c>
      <c r="C1945" s="271" t="str">
        <f>LEFT(A1945,2)</f>
        <v>GT</v>
      </c>
      <c r="D1945" s="272" t="s">
        <v>366</v>
      </c>
      <c r="E1945" s="273">
        <v>20550</v>
      </c>
      <c r="F1945" s="274">
        <v>27</v>
      </c>
      <c r="G1945" s="275">
        <v>46168</v>
      </c>
      <c r="H1945" s="9" t="str">
        <f>VLOOKUP(TablaCosechas[[#This Row],[COD]],DATOS!$E$3:$F$27,2,0)</f>
        <v>GUATO</v>
      </c>
      <c r="I1945" s="9" t="str">
        <f>RIGHT(TablaCosechas[[#This Row],[SECTOR/PISCINA]],2)</f>
        <v>01</v>
      </c>
      <c r="J1945" s="271" t="str">
        <f>VLOOKUP(TablaCosechas[[#This Row],[COD]],Tabla7[#All],4,0)</f>
        <v>JULIO SANTOS</v>
      </c>
      <c r="K1945" s="276">
        <f>(TablaCosechas[[#This Row],[libras planta]]*454)/M1945</f>
        <v>345544.44444444444</v>
      </c>
      <c r="L1945" s="174">
        <v>20550</v>
      </c>
      <c r="M1945" s="205">
        <v>27</v>
      </c>
      <c r="N1945" s="271" t="str">
        <f>UPPER(TEXT(TablaCosechas[[#This Row],[COSECHA]],"MMMM"))</f>
        <v>MAYO</v>
      </c>
      <c r="O1945" s="271" t="str">
        <f>IF(A1945="DO 29","BAP",IF(A1945="RO 14","BAP",(VLOOKUP(TablaCosechas[[#This Row],[COD]],Tabla7[[CODIGO]:[CERTIFICACION]],3,0))))</f>
        <v>CONVENCIONAL</v>
      </c>
      <c r="P1945" s="277">
        <f>+L1945-E1945</f>
        <v>0</v>
      </c>
      <c r="Q1945" s="270">
        <f>+M1945-F1945</f>
        <v>0</v>
      </c>
      <c r="R1945" s="279"/>
    </row>
    <row r="1946" spans="1:18" x14ac:dyDescent="0.25">
      <c r="A1946" s="271" t="s">
        <v>261</v>
      </c>
      <c r="B1946" s="271">
        <f>ROW() - ROW(TablaCosechas[[#Headers],[ID]]) - 4</f>
        <v>1941</v>
      </c>
      <c r="C1946" s="271" t="str">
        <f>LEFT(A1946,2)</f>
        <v>PR</v>
      </c>
      <c r="D1946" s="272" t="s">
        <v>366</v>
      </c>
      <c r="E1946" s="273">
        <v>8250</v>
      </c>
      <c r="F1946" s="274">
        <v>31</v>
      </c>
      <c r="G1946" s="275">
        <v>46168</v>
      </c>
      <c r="H1946" s="9" t="str">
        <f>VLOOKUP(TablaCosechas[[#This Row],[COD]],DATOS!$E$3:$F$27,2,0)</f>
        <v>PARGO ROJO</v>
      </c>
      <c r="I1946" s="9" t="str">
        <f>RIGHT(TablaCosechas[[#This Row],[SECTOR/PISCINA]],2)</f>
        <v>12</v>
      </c>
      <c r="J1946" s="271" t="str">
        <f>VLOOKUP(TablaCosechas[[#This Row],[COD]],Tabla7[#All],4,0)</f>
        <v>WILMER TORRES</v>
      </c>
      <c r="K1946" s="276">
        <f>(TablaCosechas[[#This Row],[libras planta]]*454)/M1946</f>
        <v>120822.58064516129</v>
      </c>
      <c r="L1946" s="174">
        <v>8250</v>
      </c>
      <c r="M1946" s="205">
        <v>31</v>
      </c>
      <c r="N1946" s="271" t="str">
        <f>UPPER(TEXT(TablaCosechas[[#This Row],[COSECHA]],"MMMM"))</f>
        <v>MAYO</v>
      </c>
      <c r="O1946" s="271" t="str">
        <f>IF(A1946="DO 29","BAP",IF(A1946="RO 14","BAP",(VLOOKUP(TablaCosechas[[#This Row],[COD]],Tabla7[[CODIGO]:[CERTIFICACION]],3,0))))</f>
        <v>CONVENCIONAL</v>
      </c>
      <c r="P1946" s="277">
        <f>+L1946-E1946</f>
        <v>0</v>
      </c>
      <c r="Q1946" s="270">
        <f>+M1946-F1946</f>
        <v>0</v>
      </c>
      <c r="R1946" s="279"/>
    </row>
    <row r="1947" spans="1:18" x14ac:dyDescent="0.25">
      <c r="A1947" s="271" t="s">
        <v>258</v>
      </c>
      <c r="B1947" s="271">
        <f>ROW() - ROW(TablaCosechas[[#Headers],[ID]]) - 4</f>
        <v>1942</v>
      </c>
      <c r="C1947" s="271" t="str">
        <f>LEFT(A1947,2)</f>
        <v>TI</v>
      </c>
      <c r="D1947" s="272" t="s">
        <v>366</v>
      </c>
      <c r="E1947" s="273">
        <v>20700</v>
      </c>
      <c r="F1947" s="274">
        <v>32</v>
      </c>
      <c r="G1947" s="275">
        <v>46168</v>
      </c>
      <c r="H1947" s="9" t="str">
        <f>VLOOKUP(TablaCosechas[[#This Row],[COD]],DATOS!$E$3:$F$27,2,0)</f>
        <v>TIBURON</v>
      </c>
      <c r="I1947" s="9" t="str">
        <f>RIGHT(TablaCosechas[[#This Row],[SECTOR/PISCINA]],2)</f>
        <v>10</v>
      </c>
      <c r="J1947" s="271" t="str">
        <f>VLOOKUP(TablaCosechas[[#This Row],[COD]],Tabla7[#All],4,0)</f>
        <v>ALFONSO GRUNAUER</v>
      </c>
      <c r="K1947" s="276">
        <f>(TablaCosechas[[#This Row],[libras planta]]*454)/M1947</f>
        <v>293681.25</v>
      </c>
      <c r="L1947" s="174">
        <v>20700</v>
      </c>
      <c r="M1947" s="205">
        <v>32</v>
      </c>
      <c r="N1947" s="271" t="str">
        <f>UPPER(TEXT(TablaCosechas[[#This Row],[COSECHA]],"MMMM"))</f>
        <v>MAYO</v>
      </c>
      <c r="O1947" s="271" t="str">
        <f>IF(A1947="DO 29","BAP",IF(A1947="RO 14","BAP",(VLOOKUP(TablaCosechas[[#This Row],[COD]],Tabla7[[CODIGO]:[CERTIFICACION]],3,0))))</f>
        <v>ASC</v>
      </c>
      <c r="P1947" s="277">
        <f>+L1947-E1947</f>
        <v>0</v>
      </c>
      <c r="Q1947" s="270">
        <f>+M1947-F1947</f>
        <v>0</v>
      </c>
      <c r="R1947" s="279"/>
    </row>
    <row r="1948" spans="1:18" x14ac:dyDescent="0.25">
      <c r="A1948" s="271" t="s">
        <v>214</v>
      </c>
      <c r="B1948" s="271">
        <f>ROW() - ROW(TablaCosechas[[#Headers],[ID]]) - 4</f>
        <v>1943</v>
      </c>
      <c r="C1948" s="271" t="str">
        <f>LEFT(A1948,2)</f>
        <v>WA</v>
      </c>
      <c r="D1948" s="272" t="s">
        <v>366</v>
      </c>
      <c r="E1948" s="273">
        <v>25950</v>
      </c>
      <c r="F1948" s="274">
        <v>34</v>
      </c>
      <c r="G1948" s="275">
        <v>46168</v>
      </c>
      <c r="H1948" s="9" t="str">
        <f>VLOOKUP(TablaCosechas[[#This Row],[COD]],DATOS!$E$3:$F$27,2,0)</f>
        <v>WAHOO</v>
      </c>
      <c r="I1948" s="9" t="str">
        <f>RIGHT(TablaCosechas[[#This Row],[SECTOR/PISCINA]],2)</f>
        <v>30</v>
      </c>
      <c r="J1948" s="271" t="str">
        <f>VLOOKUP(TablaCosechas[[#This Row],[COD]],Tabla7[#All],4,0)</f>
        <v>JUNIOR ESQUIVEL</v>
      </c>
      <c r="K1948" s="276">
        <f>(TablaCosechas[[#This Row],[libras planta]]*454)/M1948</f>
        <v>346508.82352941175</v>
      </c>
      <c r="L1948" s="174">
        <v>25950</v>
      </c>
      <c r="M1948" s="205">
        <v>34</v>
      </c>
      <c r="N1948" s="271" t="str">
        <f>UPPER(TEXT(TablaCosechas[[#This Row],[COSECHA]],"MMMM"))</f>
        <v>MAYO</v>
      </c>
      <c r="O1948" s="271" t="str">
        <f>IF(A1948="DO 29","BAP",IF(A1948="RO 14","BAP",(VLOOKUP(TablaCosechas[[#This Row],[COD]],Tabla7[[CODIGO]:[CERTIFICACION]],3,0))))</f>
        <v>CONVENCIONAL</v>
      </c>
      <c r="P1948" s="277">
        <f>+L1948-E1948</f>
        <v>0</v>
      </c>
      <c r="Q1948" s="278">
        <f>+M1948-F1948</f>
        <v>0</v>
      </c>
      <c r="R1948" s="279"/>
    </row>
    <row r="1949" spans="1:18" x14ac:dyDescent="0.25">
      <c r="A1949" s="271" t="s">
        <v>263</v>
      </c>
      <c r="B1949" s="271">
        <f>ROW() - ROW(TablaCosechas[[#Headers],[ID]]) - 4</f>
        <v>1944</v>
      </c>
      <c r="C1949" s="271" t="str">
        <f>LEFT(A1949,2)</f>
        <v>PA</v>
      </c>
      <c r="D1949" s="272" t="s">
        <v>366</v>
      </c>
      <c r="E1949" s="273">
        <v>4100</v>
      </c>
      <c r="F1949" s="274">
        <v>29</v>
      </c>
      <c r="G1949" s="275">
        <v>46168</v>
      </c>
      <c r="H1949" s="9" t="str">
        <f>VLOOKUP(TablaCosechas[[#This Row],[COD]],DATOS!$E$3:$F$27,2,0)</f>
        <v>PAMPANO</v>
      </c>
      <c r="I1949" s="9" t="str">
        <f>RIGHT(TablaCosechas[[#This Row],[SECTOR/PISCINA]],2)</f>
        <v>02</v>
      </c>
      <c r="J1949" s="271" t="str">
        <f>VLOOKUP(TablaCosechas[[#This Row],[COD]],Tabla7[#All],4,0)</f>
        <v>GUSTAVO CARRASCO</v>
      </c>
      <c r="K1949" s="276">
        <f>(TablaCosechas[[#This Row],[libras planta]]*454)/M1949</f>
        <v>64186.206896551725</v>
      </c>
      <c r="L1949" s="174">
        <v>4100</v>
      </c>
      <c r="M1949" s="205">
        <v>29</v>
      </c>
      <c r="N1949" s="271" t="str">
        <f>UPPER(TEXT(TablaCosechas[[#This Row],[COSECHA]],"MMMM"))</f>
        <v>MAYO</v>
      </c>
      <c r="O1949" s="271" t="str">
        <f>IF(A1949="DO 29","BAP",IF(A1949="RO 14","BAP",(VLOOKUP(TablaCosechas[[#This Row],[COD]],Tabla7[[CODIGO]:[CERTIFICACION]],3,0))))</f>
        <v>ASC</v>
      </c>
      <c r="P1949" s="277">
        <f>+L1949-E1949</f>
        <v>0</v>
      </c>
      <c r="Q1949" s="278">
        <f>+M1949-F1949</f>
        <v>0</v>
      </c>
      <c r="R1949" s="279"/>
    </row>
    <row r="1950" spans="1:18" x14ac:dyDescent="0.25">
      <c r="A1950" s="271" t="s">
        <v>383</v>
      </c>
      <c r="B1950" s="271">
        <f>ROW() - ROW(TablaCosechas[[#Headers],[ID]]) - 4</f>
        <v>1945</v>
      </c>
      <c r="C1950" s="271" t="str">
        <f>LEFT(A1950,2)</f>
        <v>PI</v>
      </c>
      <c r="D1950" s="272" t="s">
        <v>367</v>
      </c>
      <c r="E1950" s="273">
        <v>11300</v>
      </c>
      <c r="F1950" s="274">
        <v>20</v>
      </c>
      <c r="G1950" s="275">
        <v>46168</v>
      </c>
      <c r="H1950" s="9" t="str">
        <f>VLOOKUP(TablaCosechas[[#This Row],[COD]],DATOS!$E$3:$F$27,2,0)</f>
        <v>PICUDO</v>
      </c>
      <c r="I1950" s="9" t="str">
        <f>RIGHT(TablaCosechas[[#This Row],[SECTOR/PISCINA]],2)</f>
        <v>02</v>
      </c>
      <c r="J1950" s="271" t="str">
        <f>VLOOKUP(TablaCosechas[[#This Row],[COD]],Tabla7[#All],4,0)</f>
        <v>NESTOR MOGOLLON</v>
      </c>
      <c r="K1950" s="276">
        <f>(TablaCosechas[[#This Row],[libras planta]]*454)/M1950</f>
        <v>256510</v>
      </c>
      <c r="L1950" s="174">
        <v>11300</v>
      </c>
      <c r="M1950" s="205">
        <v>20</v>
      </c>
      <c r="N1950" s="271" t="str">
        <f>UPPER(TEXT(TablaCosechas[[#This Row],[COSECHA]],"MMMM"))</f>
        <v>MAYO</v>
      </c>
      <c r="O1950" s="271" t="str">
        <f>IF(A1950="DO 29","BAP",IF(A1950="RO 14","BAP",(VLOOKUP(TablaCosechas[[#This Row],[COD]],Tabla7[[CODIGO]:[CERTIFICACION]],3,0))))</f>
        <v>CONVENCIONAL</v>
      </c>
      <c r="P1950" s="277">
        <f>+L1950-E1950</f>
        <v>0</v>
      </c>
      <c r="Q1950" s="278">
        <f>+M1950-F1950</f>
        <v>0</v>
      </c>
      <c r="R1950" s="279"/>
    </row>
    <row r="1951" spans="1:18" x14ac:dyDescent="0.25">
      <c r="A1951" s="271" t="s">
        <v>263</v>
      </c>
      <c r="B1951" s="271">
        <f>ROW() - ROW(TablaCosechas[[#Headers],[ID]]) - 4</f>
        <v>1946</v>
      </c>
      <c r="C1951" s="271" t="str">
        <f>LEFT(A1951,2)</f>
        <v>PA</v>
      </c>
      <c r="D1951" s="272" t="s">
        <v>367</v>
      </c>
      <c r="E1951" s="273">
        <v>6300</v>
      </c>
      <c r="F1951" s="274">
        <v>29</v>
      </c>
      <c r="G1951" s="275">
        <v>46168</v>
      </c>
      <c r="H1951" s="9" t="str">
        <f>VLOOKUP(TablaCosechas[[#This Row],[COD]],DATOS!$E$3:$F$27,2,0)</f>
        <v>PAMPANO</v>
      </c>
      <c r="I1951" s="9" t="str">
        <f>RIGHT(TablaCosechas[[#This Row],[SECTOR/PISCINA]],2)</f>
        <v>02</v>
      </c>
      <c r="J1951" s="271" t="str">
        <f>VLOOKUP(TablaCosechas[[#This Row],[COD]],Tabla7[#All],4,0)</f>
        <v>GUSTAVO CARRASCO</v>
      </c>
      <c r="K1951" s="276">
        <f>(TablaCosechas[[#This Row],[libras planta]]*454)/M1951</f>
        <v>98627.586206896551</v>
      </c>
      <c r="L1951" s="174">
        <v>6300</v>
      </c>
      <c r="M1951" s="205">
        <v>29</v>
      </c>
      <c r="N1951" s="271" t="str">
        <f>UPPER(TEXT(TablaCosechas[[#This Row],[COSECHA]],"MMMM"))</f>
        <v>MAYO</v>
      </c>
      <c r="O1951" s="271" t="str">
        <f>IF(A1951="DO 29","BAP",IF(A1951="RO 14","BAP",(VLOOKUP(TablaCosechas[[#This Row],[COD]],Tabla7[[CODIGO]:[CERTIFICACION]],3,0))))</f>
        <v>ASC</v>
      </c>
      <c r="P1951" s="277">
        <f>+L1951-E1951</f>
        <v>0</v>
      </c>
      <c r="Q1951" s="278">
        <f>+M1951-F1951</f>
        <v>0</v>
      </c>
      <c r="R1951" s="279"/>
    </row>
    <row r="1952" spans="1:18" x14ac:dyDescent="0.25">
      <c r="A1952" s="271" t="s">
        <v>236</v>
      </c>
      <c r="B1952" s="271">
        <f>ROW() - ROW(TablaCosechas[[#Headers],[ID]]) - 4</f>
        <v>1947</v>
      </c>
      <c r="C1952" s="271" t="str">
        <f>LEFT(A1952,2)</f>
        <v>WA</v>
      </c>
      <c r="D1952" s="272" t="s">
        <v>1092</v>
      </c>
      <c r="E1952" s="273">
        <v>3200</v>
      </c>
      <c r="F1952" s="274">
        <v>33</v>
      </c>
      <c r="G1952" s="275">
        <v>46168</v>
      </c>
      <c r="H1952" s="9" t="str">
        <f>VLOOKUP(TablaCosechas[[#This Row],[COD]],DATOS!$E$3:$F$27,2,0)</f>
        <v>WAHOO</v>
      </c>
      <c r="I1952" s="9" t="str">
        <f>RIGHT(TablaCosechas[[#This Row],[SECTOR/PISCINA]],2)</f>
        <v>32</v>
      </c>
      <c r="J1952" s="271" t="str">
        <f>VLOOKUP(TablaCosechas[[#This Row],[COD]],Tabla7[#All],4,0)</f>
        <v>JUNIOR ESQUIVEL</v>
      </c>
      <c r="K1952" s="276">
        <f>(TablaCosechas[[#This Row],[libras planta]]*454)/M1952</f>
        <v>44024.242424242424</v>
      </c>
      <c r="L1952" s="174">
        <v>3200</v>
      </c>
      <c r="M1952" s="205">
        <v>33</v>
      </c>
      <c r="N1952" s="271" t="str">
        <f>UPPER(TEXT(TablaCosechas[[#This Row],[COSECHA]],"MMMM"))</f>
        <v>MAYO</v>
      </c>
      <c r="O1952" s="271" t="str">
        <f>IF(A1952="DO 29","BAP",IF(A1952="RO 14","BAP",(VLOOKUP(TablaCosechas[[#This Row],[COD]],Tabla7[[CODIGO]:[CERTIFICACION]],3,0))))</f>
        <v>CONVENCIONAL</v>
      </c>
      <c r="P1952" s="277">
        <f>+L1952-E1952</f>
        <v>0</v>
      </c>
      <c r="Q1952" s="278">
        <f>+M1952-F1952</f>
        <v>0</v>
      </c>
      <c r="R1952" s="279"/>
    </row>
    <row r="1953" spans="1:18" x14ac:dyDescent="0.25">
      <c r="A1953" s="271"/>
      <c r="B1953" s="271"/>
      <c r="C1953" s="271"/>
      <c r="D1953" s="272"/>
      <c r="E1953" s="273"/>
      <c r="F1953" s="274"/>
      <c r="G1953" s="275"/>
      <c r="H1953" s="271"/>
      <c r="I1953" s="271"/>
      <c r="J1953" s="271"/>
      <c r="K1953" s="276"/>
      <c r="L1953" s="174"/>
      <c r="M1953" s="205"/>
      <c r="N1953" s="271"/>
      <c r="O1953" s="271"/>
      <c r="P1953" s="277"/>
      <c r="Q1953" s="280"/>
      <c r="R1953" s="279"/>
    </row>
    <row r="1954" spans="1:18" x14ac:dyDescent="0.25">
      <c r="A1954" s="271"/>
      <c r="B1954" s="271"/>
      <c r="C1954" s="271"/>
      <c r="D1954" s="272"/>
      <c r="E1954" s="273"/>
      <c r="F1954" s="274"/>
      <c r="G1954" s="275"/>
      <c r="H1954" s="271"/>
      <c r="I1954" s="271"/>
      <c r="J1954" s="271"/>
      <c r="K1954" s="276"/>
      <c r="L1954" s="174"/>
      <c r="M1954" s="205"/>
      <c r="N1954" s="271"/>
      <c r="O1954" s="271"/>
      <c r="P1954" s="277"/>
      <c r="Q1954" s="280"/>
      <c r="R1954" s="279"/>
    </row>
    <row r="1955" spans="1:18" x14ac:dyDescent="0.25">
      <c r="A1955" s="271"/>
      <c r="B1955" s="271"/>
      <c r="C1955" s="271"/>
      <c r="D1955" s="272"/>
      <c r="E1955" s="273"/>
      <c r="F1955" s="274"/>
      <c r="G1955" s="275"/>
      <c r="H1955" s="271"/>
      <c r="I1955" s="271"/>
      <c r="J1955" s="271"/>
      <c r="K1955" s="276"/>
      <c r="L1955" s="174"/>
      <c r="M1955" s="205"/>
      <c r="N1955" s="271"/>
      <c r="O1955" s="271"/>
      <c r="P1955" s="277"/>
      <c r="Q1955" s="280"/>
      <c r="R1955" s="279"/>
    </row>
    <row r="1956" spans="1:18" x14ac:dyDescent="0.25">
      <c r="A1956" s="271"/>
      <c r="B1956" s="271"/>
      <c r="C1956" s="271"/>
      <c r="D1956" s="272"/>
      <c r="E1956" s="273"/>
      <c r="F1956" s="274"/>
      <c r="G1956" s="275"/>
      <c r="H1956" s="271"/>
      <c r="I1956" s="271"/>
      <c r="J1956" s="271"/>
      <c r="K1956" s="276"/>
      <c r="L1956" s="174"/>
      <c r="M1956" s="205"/>
      <c r="N1956" s="271"/>
      <c r="O1956" s="271"/>
      <c r="P1956" s="277"/>
      <c r="Q1956" s="280"/>
      <c r="R1956" s="279"/>
    </row>
    <row r="1957" spans="1:18" x14ac:dyDescent="0.25">
      <c r="A1957" s="271"/>
      <c r="B1957" s="271"/>
      <c r="C1957" s="271"/>
      <c r="D1957" s="272"/>
      <c r="E1957" s="273"/>
      <c r="F1957" s="274"/>
      <c r="G1957" s="275"/>
      <c r="H1957" s="271"/>
      <c r="I1957" s="271"/>
      <c r="J1957" s="271"/>
      <c r="K1957" s="276"/>
      <c r="L1957" s="174"/>
      <c r="M1957" s="205"/>
      <c r="N1957" s="271"/>
      <c r="O1957" s="271"/>
      <c r="P1957" s="277"/>
      <c r="Q1957" s="280"/>
      <c r="R1957" s="279"/>
    </row>
    <row r="1958" spans="1:18" x14ac:dyDescent="0.25">
      <c r="A1958" s="271"/>
      <c r="B1958" s="271"/>
      <c r="C1958" s="271"/>
      <c r="D1958" s="272"/>
      <c r="E1958" s="273"/>
      <c r="F1958" s="274"/>
      <c r="G1958" s="275"/>
      <c r="H1958" s="271"/>
      <c r="I1958" s="271"/>
      <c r="J1958" s="271"/>
      <c r="K1958" s="276"/>
      <c r="L1958" s="174"/>
      <c r="M1958" s="205"/>
      <c r="N1958" s="271"/>
      <c r="O1958" s="271"/>
      <c r="P1958" s="277"/>
      <c r="Q1958" s="280"/>
      <c r="R1958" s="279"/>
    </row>
    <row r="1959" spans="1:18" x14ac:dyDescent="0.25">
      <c r="A1959" s="271"/>
      <c r="B1959" s="271"/>
      <c r="C1959" s="271"/>
      <c r="D1959" s="272"/>
      <c r="E1959" s="273"/>
      <c r="F1959" s="274"/>
      <c r="G1959" s="275"/>
      <c r="H1959" s="271"/>
      <c r="I1959" s="271"/>
      <c r="J1959" s="271"/>
      <c r="K1959" s="276"/>
      <c r="L1959" s="174"/>
      <c r="M1959" s="205"/>
      <c r="N1959" s="271"/>
      <c r="O1959" s="271"/>
      <c r="P1959" s="277"/>
      <c r="Q1959" s="280"/>
      <c r="R1959" s="279"/>
    </row>
    <row r="1960" spans="1:18" x14ac:dyDescent="0.25">
      <c r="A1960" s="271"/>
      <c r="B1960" s="271"/>
      <c r="C1960" s="271"/>
      <c r="D1960" s="272"/>
      <c r="E1960" s="273"/>
      <c r="F1960" s="274"/>
      <c r="G1960" s="275"/>
      <c r="H1960" s="271"/>
      <c r="I1960" s="271"/>
      <c r="J1960" s="271"/>
      <c r="K1960" s="276"/>
      <c r="L1960" s="174"/>
      <c r="M1960" s="205"/>
      <c r="N1960" s="271"/>
      <c r="O1960" s="271"/>
      <c r="P1960" s="277"/>
      <c r="Q1960" s="280"/>
      <c r="R1960" s="279"/>
    </row>
    <row r="1961" spans="1:18" x14ac:dyDescent="0.25">
      <c r="A1961" s="271"/>
      <c r="B1961" s="271"/>
      <c r="C1961" s="271"/>
      <c r="D1961" s="272"/>
      <c r="E1961" s="273"/>
      <c r="F1961" s="274"/>
      <c r="G1961" s="275"/>
      <c r="H1961" s="271"/>
      <c r="I1961" s="271"/>
      <c r="J1961" s="271"/>
      <c r="K1961" s="276"/>
      <c r="L1961" s="174"/>
      <c r="M1961" s="205"/>
      <c r="N1961" s="271"/>
      <c r="O1961" s="271"/>
      <c r="P1961" s="277"/>
      <c r="Q1961" s="280"/>
      <c r="R1961" s="279"/>
    </row>
    <row r="1962" spans="1:18" x14ac:dyDescent="0.25">
      <c r="A1962" s="9"/>
      <c r="B1962" s="9"/>
      <c r="C1962" s="9"/>
      <c r="D1962" s="182"/>
      <c r="E1962" s="178"/>
      <c r="F1962" s="19"/>
      <c r="G1962" s="195"/>
      <c r="H1962" s="9"/>
      <c r="I1962" s="9"/>
      <c r="J1962" s="9"/>
      <c r="K1962" s="179"/>
      <c r="L1962" s="215"/>
      <c r="M1962" s="205"/>
      <c r="N1962" s="9"/>
      <c r="O1962" s="9"/>
      <c r="P1962" s="180"/>
      <c r="Q1962" s="208"/>
      <c r="R1962" s="9"/>
    </row>
    <row r="1963" spans="1:18" x14ac:dyDescent="0.25">
      <c r="A1963" s="9"/>
      <c r="B1963" s="9"/>
      <c r="C1963" s="9"/>
      <c r="D1963" s="182"/>
      <c r="E1963" s="178"/>
      <c r="F1963" s="19"/>
      <c r="G1963" s="195"/>
      <c r="H1963" s="9"/>
      <c r="I1963" s="9"/>
      <c r="J1963" s="9"/>
      <c r="K1963" s="179"/>
      <c r="L1963" s="215"/>
      <c r="M1963" s="205"/>
      <c r="N1963" s="9"/>
      <c r="O1963" s="9"/>
      <c r="P1963" s="180"/>
      <c r="Q1963" s="208"/>
      <c r="R1963" s="9"/>
    </row>
    <row r="1964" spans="1:18" x14ac:dyDescent="0.25">
      <c r="A1964" s="9"/>
      <c r="B1964" s="9"/>
      <c r="C1964" s="9"/>
      <c r="D1964" s="182"/>
      <c r="E1964" s="178"/>
      <c r="F1964" s="19"/>
      <c r="G1964" s="195"/>
      <c r="H1964" s="9"/>
      <c r="I1964" s="9"/>
      <c r="J1964" s="9"/>
      <c r="K1964" s="179"/>
      <c r="L1964" s="215"/>
      <c r="M1964" s="205"/>
      <c r="N1964" s="9"/>
      <c r="O1964" s="9"/>
      <c r="P1964" s="180"/>
      <c r="Q1964" s="208"/>
      <c r="R1964" s="9"/>
    </row>
    <row r="1965" spans="1:18" x14ac:dyDescent="0.25">
      <c r="A1965" s="9"/>
      <c r="B1965" s="9"/>
      <c r="C1965" s="9"/>
      <c r="D1965" s="182"/>
      <c r="E1965" s="178"/>
      <c r="F1965" s="19"/>
      <c r="G1965" s="195"/>
      <c r="H1965" s="9"/>
      <c r="I1965" s="9"/>
      <c r="J1965" s="9"/>
      <c r="K1965" s="179"/>
      <c r="L1965" s="215"/>
      <c r="M1965" s="205"/>
      <c r="N1965" s="9"/>
      <c r="O1965" s="9"/>
      <c r="P1965" s="180"/>
      <c r="Q1965" s="208"/>
      <c r="R1965" s="9"/>
    </row>
    <row r="1966" spans="1:18" x14ac:dyDescent="0.25">
      <c r="A1966" s="9"/>
      <c r="B1966" s="9"/>
      <c r="C1966" s="9"/>
      <c r="D1966" s="182"/>
      <c r="E1966" s="178"/>
      <c r="F1966" s="19"/>
      <c r="G1966" s="195"/>
      <c r="H1966" s="9"/>
      <c r="I1966" s="9"/>
      <c r="J1966" s="9"/>
      <c r="K1966" s="179"/>
      <c r="L1966" s="215"/>
      <c r="M1966" s="205"/>
      <c r="N1966" s="9"/>
      <c r="O1966" s="9"/>
      <c r="P1966" s="180"/>
      <c r="Q1966" s="208"/>
      <c r="R1966" s="9"/>
    </row>
    <row r="1967" spans="1:18" x14ac:dyDescent="0.25">
      <c r="A1967" s="9"/>
      <c r="B1967" s="9"/>
      <c r="C1967" s="9"/>
      <c r="D1967" s="182"/>
      <c r="E1967" s="178"/>
      <c r="F1967" s="19"/>
      <c r="G1967" s="195"/>
      <c r="H1967" s="9"/>
      <c r="I1967" s="9"/>
      <c r="J1967" s="9"/>
      <c r="K1967" s="179"/>
      <c r="L1967" s="215"/>
      <c r="M1967" s="205"/>
      <c r="N1967" s="9"/>
      <c r="O1967" s="9"/>
      <c r="P1967" s="180"/>
      <c r="Q1967" s="208"/>
      <c r="R1967" s="9"/>
    </row>
    <row r="1968" spans="1:18" x14ac:dyDescent="0.25">
      <c r="A1968" s="9"/>
      <c r="B1968" s="9"/>
      <c r="C1968" s="9"/>
      <c r="D1968" s="182"/>
      <c r="E1968" s="178"/>
      <c r="F1968" s="19"/>
      <c r="G1968" s="195"/>
      <c r="H1968" s="9"/>
      <c r="I1968" s="9"/>
      <c r="J1968" s="9"/>
      <c r="K1968" s="179"/>
      <c r="L1968" s="215"/>
      <c r="M1968" s="205"/>
      <c r="N1968" s="9"/>
      <c r="O1968" s="9"/>
      <c r="P1968" s="180"/>
      <c r="Q1968" s="208"/>
      <c r="R1968" s="9"/>
    </row>
    <row r="1969" spans="1:18" x14ac:dyDescent="0.25">
      <c r="A1969" s="9"/>
      <c r="B1969" s="9"/>
      <c r="C1969" s="9"/>
      <c r="D1969" s="182"/>
      <c r="E1969" s="178"/>
      <c r="F1969" s="19"/>
      <c r="G1969" s="195"/>
      <c r="H1969" s="9"/>
      <c r="I1969" s="9"/>
      <c r="J1969" s="9"/>
      <c r="K1969" s="179"/>
      <c r="L1969" s="174"/>
      <c r="M1969" s="205"/>
      <c r="N1969" s="9"/>
      <c r="O1969" s="9"/>
      <c r="P1969" s="180"/>
      <c r="Q1969" s="208"/>
      <c r="R1969" s="9"/>
    </row>
    <row r="1970" spans="1:18" x14ac:dyDescent="0.25">
      <c r="A1970" s="314" t="s">
        <v>392</v>
      </c>
      <c r="B1970" s="314"/>
      <c r="C1970" s="314"/>
      <c r="D1970" s="314"/>
      <c r="E1970" s="314"/>
      <c r="F1970" s="314"/>
      <c r="G1970" s="314"/>
      <c r="H1970" s="193"/>
    </row>
    <row r="1971" spans="1:18" x14ac:dyDescent="0.25">
      <c r="C1971" s="313" t="s">
        <v>393</v>
      </c>
      <c r="D1971" s="313"/>
      <c r="E1971" s="8" t="s">
        <v>50</v>
      </c>
      <c r="F1971" s="21"/>
      <c r="G1971" s="234" t="s">
        <v>394</v>
      </c>
      <c r="H1971" s="30"/>
      <c r="I1971" t="s">
        <v>394</v>
      </c>
      <c r="J1971" t="s">
        <v>395</v>
      </c>
      <c r="K1971" t="s">
        <v>396</v>
      </c>
      <c r="L1971" s="169" t="s">
        <v>397</v>
      </c>
      <c r="M1971" s="169" t="s">
        <v>398</v>
      </c>
      <c r="N1971" t="s">
        <v>399</v>
      </c>
      <c r="O1971" t="s">
        <v>400</v>
      </c>
    </row>
    <row r="1972" spans="1:18" x14ac:dyDescent="0.25">
      <c r="C1972" s="1"/>
      <c r="D1972" s="1"/>
      <c r="F1972" s="21"/>
      <c r="G1972" s="234"/>
      <c r="H1972" s="30"/>
      <c r="L1972" s="169"/>
    </row>
    <row r="1973" spans="1:18" x14ac:dyDescent="0.25">
      <c r="A1973" s="22" t="s">
        <v>401</v>
      </c>
      <c r="B1973" s="22"/>
      <c r="C1973" s="22">
        <v>32</v>
      </c>
      <c r="D1973" s="31">
        <v>33</v>
      </c>
      <c r="E1973" s="8">
        <v>31.5</v>
      </c>
      <c r="F1973" s="23">
        <v>33.4</v>
      </c>
      <c r="G1973" s="235">
        <v>100000</v>
      </c>
      <c r="H1973" s="32"/>
      <c r="I1973" s="33">
        <f>SUMIFS(TablaCosechas[[#All],[libras]],TablaCosechas[[#All],[MES]],$I$1971,TablaCosechas[[#All],[CERTIFICADO]],"="&amp;$A$1975,TablaCosechas[[#All],[w]],"&gt;="&amp;$E$1975,TablaCosechas[[#All],[w]],"&lt;="&amp;F$1975)</f>
        <v>93550</v>
      </c>
      <c r="J1973" s="33">
        <f>SUMIFS(TablaCosechas[[#All],[libras]],TablaCosechas[[#All],[MES]],#REF!,TablaCosechas[[#All],[w]],"&gt;="&amp;$E$1975)</f>
        <v>0</v>
      </c>
      <c r="K1973" s="33">
        <f>SUMIFS(TablaCosechas[[#All],[libras]],TablaCosechas[[#All],[MES]],#REF!,TablaCosechas[[#All],[w]],"&gt;="&amp;$E$1975)</f>
        <v>0</v>
      </c>
      <c r="L1973" s="169">
        <f>SUMIFS(TablaCosechas[[#All],[libras]],TablaCosechas[[#All],[MES]],#REF!,TablaCosechas[[#All],[w]],"&gt;="&amp;$E$1975)</f>
        <v>0</v>
      </c>
      <c r="M1973" s="169">
        <f>SUMIFS(TablaCosechas[[#All],[libras]],TablaCosechas[[#All],[MES]],#REF!,TablaCosechas[[#All],[w]],"&gt;="&amp;$E$1975)</f>
        <v>0</v>
      </c>
      <c r="N1973" s="97">
        <f>SUMIFS(TablaCosechas[[#All],[libras]],TablaCosechas[[#All],[MES]],#REF!,TablaCosechas[[#All],[w]],"&gt;="&amp;$E$1975)</f>
        <v>0</v>
      </c>
      <c r="O1973" s="97">
        <f>SUMIFS(TablaCosechas[[#All],[libras]],TablaCosechas[[#All],[MES]],#REF!,TablaCosechas[[#All],[w]],"&gt;="&amp;$E$1975)</f>
        <v>0</v>
      </c>
    </row>
    <row r="1974" spans="1:18" x14ac:dyDescent="0.25">
      <c r="A1974" s="22" t="s">
        <v>401</v>
      </c>
      <c r="B1974" s="22"/>
      <c r="C1974" s="22">
        <v>32</v>
      </c>
      <c r="D1974" s="31">
        <v>33</v>
      </c>
      <c r="E1974" s="8">
        <v>31.5</v>
      </c>
      <c r="F1974" s="23">
        <v>33.4</v>
      </c>
      <c r="G1974" s="235">
        <v>100000</v>
      </c>
      <c r="H1974" s="32"/>
      <c r="I1974" s="33">
        <f>SUMIFS(TablaCosechas[[#All],[libras]],TablaCosechas[[#All],[MES]],$I$1971,TablaCosechas[[#All],[CERTIFICADO]],"="&amp;$A$1975,TablaCosechas[[#All],[w]],"&gt;="&amp;$E$1975,TablaCosechas[[#All],[w]],"&lt;="&amp;F$1975)</f>
        <v>93550</v>
      </c>
      <c r="J1974" s="33">
        <f>SUMIFS(TablaCosechas[[#All],[libras]],TablaCosechas[[#All],[MES]],J1970,TablaCosechas[[#All],[w]],"&gt;="&amp;$E$1975)</f>
        <v>0</v>
      </c>
      <c r="K1974" s="33">
        <f>SUMIFS(TablaCosechas[[#All],[libras]],TablaCosechas[[#All],[MES]],K1970,TablaCosechas[[#All],[w]],"&gt;="&amp;$E$1975)</f>
        <v>0</v>
      </c>
      <c r="L1974" s="169">
        <f>SUMIFS(TablaCosechas[[#All],[libras]],TablaCosechas[[#All],[MES]],L1970,TablaCosechas[[#All],[w]],"&gt;="&amp;$E$1975)</f>
        <v>0</v>
      </c>
      <c r="M1974" s="169">
        <f>SUMIFS(TablaCosechas[[#All],[libras]],TablaCosechas[[#All],[MES]],M1970,TablaCosechas[[#All],[w]],"&gt;="&amp;$E$1975)</f>
        <v>0</v>
      </c>
      <c r="N1974" s="97">
        <f>SUMIFS(TablaCosechas[[#All],[libras]],TablaCosechas[[#All],[MES]],N1970,TablaCosechas[[#All],[w]],"&gt;="&amp;$E$1975)</f>
        <v>0</v>
      </c>
      <c r="O1974" s="97">
        <f>SUMIFS(TablaCosechas[[#All],[libras]],TablaCosechas[[#All],[MES]],O1970,TablaCosechas[[#All],[w]],"&gt;="&amp;$E$1975)</f>
        <v>0</v>
      </c>
    </row>
    <row r="1975" spans="1:18" x14ac:dyDescent="0.25">
      <c r="A1975" s="22" t="s">
        <v>401</v>
      </c>
      <c r="B1975" s="22"/>
      <c r="C1975" s="22">
        <v>32</v>
      </c>
      <c r="D1975" s="31">
        <v>33</v>
      </c>
      <c r="E1975" s="8">
        <v>31.5</v>
      </c>
      <c r="F1975" s="23">
        <v>33.4</v>
      </c>
      <c r="G1975" s="235">
        <v>100000</v>
      </c>
      <c r="H1975" s="32"/>
      <c r="I1975" s="33">
        <f>SUMIFS(TablaCosechas[[#All],[libras]],TablaCosechas[[#All],[MES]],$I$1971,TablaCosechas[[#All],[CERTIFICADO]],"="&amp;$A$1975,TablaCosechas[[#All],[w]],"&gt;="&amp;$E$1975,TablaCosechas[[#All],[w]],"&lt;="&amp;F$1975)</f>
        <v>93550</v>
      </c>
      <c r="J1975" s="33">
        <f>SUMIFS(TablaCosechas[[#All],[libras]],TablaCosechas[[#All],[MES]],J1971,TablaCosechas[[#All],[w]],"&gt;="&amp;$E$1975)</f>
        <v>1402170</v>
      </c>
      <c r="K1975" s="33">
        <f>SUMIFS(TablaCosechas[[#All],[libras]],TablaCosechas[[#All],[MES]],K1971,TablaCosechas[[#All],[w]],"&gt;="&amp;$E$1975)</f>
        <v>1672950</v>
      </c>
      <c r="L1975" s="169">
        <f>SUMIFS(TablaCosechas[[#All],[libras]],TablaCosechas[[#All],[MES]],L1971,TablaCosechas[[#All],[w]],"&gt;="&amp;$E$1975)</f>
        <v>1495600</v>
      </c>
      <c r="M1975" s="169">
        <f>SUMIFS(TablaCosechas[[#All],[libras]],TablaCosechas[[#All],[MES]],M1971,TablaCosechas[[#All],[w]],"&gt;="&amp;$E$1975)</f>
        <v>751307</v>
      </c>
      <c r="N1975" s="97">
        <f>SUMIFS(TablaCosechas[[#All],[libras]],TablaCosechas[[#All],[MES]],N1971,TablaCosechas[[#All],[w]],"&gt;="&amp;$E$1975)</f>
        <v>0</v>
      </c>
      <c r="O1975" s="97">
        <f>SUMIFS(TablaCosechas[[#All],[libras]],TablaCosechas[[#All],[MES]],O1971,TablaCosechas[[#All],[w]],"&gt;="&amp;$E$1975)</f>
        <v>0</v>
      </c>
    </row>
    <row r="1976" spans="1:18" x14ac:dyDescent="0.25">
      <c r="A1976" s="24" t="s">
        <v>401</v>
      </c>
      <c r="B1976" s="24"/>
      <c r="C1976" s="24">
        <v>30</v>
      </c>
      <c r="D1976" s="35">
        <v>31</v>
      </c>
      <c r="E1976" s="8">
        <v>29.5</v>
      </c>
      <c r="F1976" s="25">
        <v>31.4</v>
      </c>
      <c r="G1976" s="236">
        <v>100000</v>
      </c>
      <c r="H1976" s="36"/>
      <c r="I1976" s="33">
        <f>SUMIFS(TablaCosechas[[#All],[libras]],TablaCosechas[[#All],[MES]],$I$1971,TablaCosechas[[#All],[CERTIFICADO]],"="&amp;$A$1976,TablaCosechas[[#All],[w]],"&gt;="&amp;$E$1976,TablaCosechas[[#All],[w]],"&lt;="&amp;F$1976)</f>
        <v>112500</v>
      </c>
      <c r="J1976" s="33">
        <f>SUMIFS(TablaCosechas[[#All],[libras]],TablaCosechas[[#All],[MES]],J1971,TablaCosechas[[#All],[w]],"&gt;="&amp;$E$1976,TablaCosechas[[#All],[w]],"&lt;="&amp;$F$1976)</f>
        <v>254900</v>
      </c>
      <c r="K1976" s="33">
        <f>SUMIFS(TablaCosechas[[#All],[libras]],TablaCosechas[[#All],[MES]],K1971,TablaCosechas[[#All],[w]],"&gt;="&amp;$E$1976,TablaCosechas[[#All],[w]],"&lt;="&amp;$F$1976)</f>
        <v>363800</v>
      </c>
      <c r="L1976" s="169">
        <f>SUMIFS(TablaCosechas[[#All],[libras]],TablaCosechas[[#All],[MES]],L1971,TablaCosechas[[#All],[w]],"&gt;="&amp;$E$1976,TablaCosechas[[#All],[w]],"&lt;="&amp;$F$1976)</f>
        <v>607721</v>
      </c>
      <c r="M1976" s="169">
        <f>SUMIFS(TablaCosechas[[#All],[libras]],TablaCosechas[[#All],[MES]],M1971,TablaCosechas[[#All],[w]],"&gt;="&amp;$E$1976,TablaCosechas[[#All],[w]],"&lt;="&amp;$F$1976)</f>
        <v>785200</v>
      </c>
      <c r="N1976" s="97">
        <f>SUMIFS(TablaCosechas[[#All],[libras]],TablaCosechas[[#All],[MES]],N1971,TablaCosechas[[#All],[w]],"&gt;="&amp;$E$1976,TablaCosechas[[#All],[w]],"&lt;="&amp;$F$1976)</f>
        <v>0</v>
      </c>
      <c r="O1976" s="97">
        <f>SUMIFS(TablaCosechas[[#All],[libras]],TablaCosechas[[#All],[MES]],O1971,TablaCosechas[[#All],[w]],"&gt;="&amp;$E$1976,TablaCosechas[[#All],[w]],"&lt;="&amp;$F$1976)</f>
        <v>0</v>
      </c>
    </row>
    <row r="1977" spans="1:18" x14ac:dyDescent="0.25">
      <c r="A1977" s="26" t="s">
        <v>401</v>
      </c>
      <c r="B1977" s="26"/>
      <c r="C1977" s="26">
        <v>27</v>
      </c>
      <c r="D1977" s="37">
        <v>28</v>
      </c>
      <c r="E1977" s="8">
        <v>26.5</v>
      </c>
      <c r="F1977" s="27">
        <v>28.4</v>
      </c>
      <c r="G1977" s="237">
        <v>900000</v>
      </c>
      <c r="H1977" s="38"/>
      <c r="I1977" s="33">
        <f>SUMIFS(TablaCosechas[[#All],[libras]],TablaCosechas[[#All],[MES]],$I$1971,TablaCosechas[[#All],[CERTIFICADO]],"="&amp;$A$1977,TablaCosechas[[#All],[w]],"&gt;="&amp;$E$1977,TablaCosechas[[#All],[w]],"&lt;="&amp;F$1977)</f>
        <v>166250</v>
      </c>
      <c r="J1977" s="33">
        <f>SUMIFS(TablaCosechas[[#All],[libras]],TablaCosechas[[#All],[MES]],J1971,TablaCosechas[[#All],[w]],"&gt;="&amp;$E$1977,TablaCosechas[[#All],[w]],"&lt;="&amp;$F$1977)</f>
        <v>254550</v>
      </c>
      <c r="K1977" s="33">
        <f>SUMIFS(TablaCosechas[[#All],[libras]],TablaCosechas[[#All],[MES]],K1971,TablaCosechas[[#All],[w]],"&gt;="&amp;$E$1977,TablaCosechas[[#All],[w]],"&lt;="&amp;$F$1977)</f>
        <v>213850</v>
      </c>
      <c r="L1977" s="169">
        <f>SUMIFS(TablaCosechas[[#All],[libras]],TablaCosechas[[#All],[MES]],L1971,TablaCosechas[[#All],[w]],"&gt;="&amp;$E$1977,TablaCosechas[[#All],[w]],"&lt;="&amp;$F$1977)</f>
        <v>213800</v>
      </c>
      <c r="M1977" s="169">
        <f>SUMIFS(TablaCosechas[[#All],[libras]],TablaCosechas[[#All],[MES]],M1971,TablaCosechas[[#All],[w]],"&gt;="&amp;$E$1977,TablaCosechas[[#All],[w]],"&lt;="&amp;$F$1977)</f>
        <v>252100</v>
      </c>
      <c r="N1977" s="97">
        <f>SUMIFS(TablaCosechas[[#All],[libras]],TablaCosechas[[#All],[MES]],N1971,TablaCosechas[[#All],[w]],"&gt;="&amp;$E$1977,TablaCosechas[[#All],[w]],"&lt;="&amp;$F$1977)</f>
        <v>0</v>
      </c>
      <c r="O1977" s="97">
        <f>SUMIFS(TablaCosechas[[#All],[libras]],TablaCosechas[[#All],[MES]],O1971,TablaCosechas[[#All],[w]],"&gt;="&amp;$E$1977,TablaCosechas[[#All],[w]],"&lt;="&amp;$F$1977)</f>
        <v>0</v>
      </c>
    </row>
    <row r="1978" spans="1:18" x14ac:dyDescent="0.25">
      <c r="A1978" s="4" t="s">
        <v>401</v>
      </c>
      <c r="B1978" s="4"/>
      <c r="C1978" s="4">
        <v>25</v>
      </c>
      <c r="D1978" s="39">
        <v>26</v>
      </c>
      <c r="E1978" s="8">
        <v>24.46</v>
      </c>
      <c r="F1978" s="19">
        <v>26.4</v>
      </c>
      <c r="G1978" s="238">
        <v>200000</v>
      </c>
      <c r="H1978" s="40"/>
      <c r="I1978" s="33">
        <f>SUMIFS(TablaCosechas[[#All],[libras]],TablaCosechas[[#All],[MES]],$I$1971,TablaCosechas[[#All],[CERTIFICADO]],"="&amp;$A$1978,TablaCosechas[[#All],[w]],"&gt;="&amp;$E$1978,TablaCosechas[[#All],[w]],"&lt;="&amp;F$1978)</f>
        <v>31900</v>
      </c>
      <c r="J1978" s="33">
        <f>SUMIFS(TablaCosechas[[#All],[libras]],TablaCosechas[[#All],[MES]],#REF!,TablaCosechas[[#All],[w]],"&gt;="&amp;$E$1978,TablaCosechas[[#All],[w]],"&lt;="&amp;$F$1978)</f>
        <v>0</v>
      </c>
      <c r="K1978" s="33">
        <f>SUMIFS(TablaCosechas[[#All],[libras]],TablaCosechas[[#All],[MES]],#REF!,TablaCosechas[[#All],[w]],"&gt;="&amp;$E$1978,TablaCosechas[[#All],[w]],"&lt;="&amp;$F$1978)</f>
        <v>0</v>
      </c>
      <c r="L1978" s="169">
        <f>SUMIFS(TablaCosechas[[#All],[libras]],TablaCosechas[[#All],[MES]],#REF!,TablaCosechas[[#All],[w]],"&gt;="&amp;$E$1978,TablaCosechas[[#All],[w]],"&lt;="&amp;$F$1978)</f>
        <v>0</v>
      </c>
      <c r="M1978" s="169">
        <f>SUMIFS(TablaCosechas[[#All],[libras]],TablaCosechas[[#All],[MES]],#REF!,TablaCosechas[[#All],[w]],"&gt;="&amp;$E$1978,TablaCosechas[[#All],[w]],"&lt;="&amp;$F$1978)</f>
        <v>0</v>
      </c>
      <c r="N1978" s="97">
        <f>SUMIFS(TablaCosechas[[#All],[libras]],TablaCosechas[[#All],[MES]],#REF!,TablaCosechas[[#All],[w]],"&gt;="&amp;$E$1978,TablaCosechas[[#All],[w]],"&lt;="&amp;$F$1978)</f>
        <v>0</v>
      </c>
      <c r="O1978" s="97">
        <f>SUMIFS(TablaCosechas[[#All],[libras]],TablaCosechas[[#All],[MES]],#REF!,TablaCosechas[[#All],[w]],"&gt;="&amp;$E$1978,TablaCosechas[[#All],[w]],"&lt;="&amp;$F$1978)</f>
        <v>0</v>
      </c>
    </row>
    <row r="1979" spans="1:18" x14ac:dyDescent="0.25">
      <c r="A1979" s="4" t="s">
        <v>401</v>
      </c>
      <c r="B1979" s="4"/>
      <c r="C1979" s="4">
        <v>23</v>
      </c>
      <c r="D1979" s="39">
        <v>24</v>
      </c>
      <c r="E1979" s="8">
        <v>22.5</v>
      </c>
      <c r="F1979" s="19">
        <v>24.4</v>
      </c>
      <c r="G1979" s="238">
        <v>200000</v>
      </c>
      <c r="H1979" s="40"/>
      <c r="I1979" s="33">
        <f>SUMIFS(TablaCosechas[[#All],[libras]],TablaCosechas[[#All],[MES]],$I$1971,TablaCosechas[[#All],[CERTIFICADO]],"="&amp;$A$1979,TablaCosechas[[#All],[w]],"&gt;="&amp;$E$1979,TablaCosechas[[#All],[w]],"&lt;="&amp;F$1979)</f>
        <v>76950</v>
      </c>
      <c r="J1979" s="33">
        <f>SUMIFS(TablaCosechas[[#All],[libras]],TablaCosechas[[#All],[MES]],J1971,TablaCosechas[[#All],[w]],"&gt;="&amp;$E$1979,TablaCosechas[[#All],[w]],"&lt;="&amp;$F$1979)</f>
        <v>154350</v>
      </c>
      <c r="K1979" s="33">
        <f>SUMIFS(TablaCosechas[[#All],[libras]],TablaCosechas[[#All],[MES]],K1971,TablaCosechas[[#All],[w]],"&gt;="&amp;$E$1979,TablaCosechas[[#All],[w]],"&lt;="&amp;$F$1979)</f>
        <v>162600</v>
      </c>
      <c r="L1979" s="169">
        <f>SUMIFS(TablaCosechas[[#All],[libras]],TablaCosechas[[#All],[MES]],L1971,TablaCosechas[[#All],[w]],"&gt;="&amp;$E$1979,TablaCosechas[[#All],[w]],"&lt;="&amp;$F$1979)</f>
        <v>222850</v>
      </c>
      <c r="M1979" s="169">
        <f>SUMIFS(TablaCosechas[[#All],[libras]],TablaCosechas[[#All],[MES]],M1971,TablaCosechas[[#All],[w]],"&gt;="&amp;$E$1979,TablaCosechas[[#All],[w]],"&lt;="&amp;$F$1979)</f>
        <v>126950</v>
      </c>
      <c r="N1979" s="97">
        <f>SUMIFS(TablaCosechas[[#All],[libras]],TablaCosechas[[#All],[MES]],N1971,TablaCosechas[[#All],[w]],"&gt;="&amp;$E$1979,TablaCosechas[[#All],[w]],"&lt;="&amp;$F$1979)</f>
        <v>0</v>
      </c>
      <c r="O1979" s="97">
        <f>SUMIFS(TablaCosechas[[#All],[libras]],TablaCosechas[[#All],[MES]],O1971,TablaCosechas[[#All],[w]],"&gt;="&amp;$E$1979,TablaCosechas[[#All],[w]],"&lt;="&amp;$F$1979)</f>
        <v>0</v>
      </c>
    </row>
    <row r="1980" spans="1:18" x14ac:dyDescent="0.25">
      <c r="A1980" s="4" t="s">
        <v>401</v>
      </c>
      <c r="B1980" s="4"/>
      <c r="C1980" s="4">
        <v>21</v>
      </c>
      <c r="D1980" s="39">
        <v>22</v>
      </c>
      <c r="E1980" s="8">
        <v>20.5</v>
      </c>
      <c r="F1980" s="19">
        <v>22.4</v>
      </c>
      <c r="G1980" s="238">
        <v>200000</v>
      </c>
      <c r="H1980" s="40"/>
      <c r="I1980" s="33">
        <f>SUMIFS(TablaCosechas[[#All],[libras]],TablaCosechas[[#All],[MES]],$I$1971,TablaCosechas[[#All],[CERTIFICADO]],"="&amp;$A$1980,TablaCosechas[[#All],[w]],"&gt;="&amp;$E$1980,TablaCosechas[[#All],[w]],"&lt;="&amp;F$1980)</f>
        <v>170300</v>
      </c>
      <c r="J1980" s="34">
        <f>SUMIFS(TablaCosechas[[#All],[libras]],TablaCosechas[[#All],[MES]],J1971,TablaCosechas[[#All],[w]],"&gt;="&amp;$E$1980,TablaCosechas[[#All],[w]],"&lt;="&amp;$F$1980)</f>
        <v>211550</v>
      </c>
      <c r="K1980" s="34">
        <f>SUMIFS(TablaCosechas[[#All],[libras]],TablaCosechas[[#All],[MES]],K1971,TablaCosechas[[#All],[w]],"&gt;="&amp;$E$1980,TablaCosechas[[#All],[w]],"&lt;="&amp;$F$1980)</f>
        <v>240850</v>
      </c>
      <c r="L1980" s="169">
        <f>SUMIFS(TablaCosechas[[#All],[libras]],TablaCosechas[[#All],[MES]],L1971,TablaCosechas[[#All],[w]],"&gt;="&amp;$E$1980,TablaCosechas[[#All],[w]],"&lt;="&amp;$F$1980)</f>
        <v>264900</v>
      </c>
      <c r="M1980" s="169">
        <f>SUMIFS(TablaCosechas[[#All],[libras]],TablaCosechas[[#All],[MES]],M1971,TablaCosechas[[#All],[w]],"&gt;="&amp;$E$1980,TablaCosechas[[#All],[w]],"&lt;="&amp;$F$1980)</f>
        <v>144250</v>
      </c>
      <c r="N1980" s="97">
        <f>SUMIFS(TablaCosechas[[#All],[libras]],TablaCosechas[[#All],[MES]],N1971,TablaCosechas[[#All],[w]],"&gt;="&amp;$E$1980,TablaCosechas[[#All],[w]],"&lt;="&amp;$F$1980)</f>
        <v>0</v>
      </c>
      <c r="O1980" s="97">
        <f>SUMIFS(TablaCosechas[[#All],[libras]],TablaCosechas[[#All],[MES]],O1971,TablaCosechas[[#All],[w]],"&gt;="&amp;$E$1980,TablaCosechas[[#All],[w]],"&lt;="&amp;$F$1980)</f>
        <v>0</v>
      </c>
    </row>
    <row r="1981" spans="1:18" x14ac:dyDescent="0.25">
      <c r="A1981" s="4" t="s">
        <v>401</v>
      </c>
      <c r="B1981" s="4"/>
      <c r="C1981" s="4">
        <v>19</v>
      </c>
      <c r="D1981" s="39">
        <v>20</v>
      </c>
      <c r="E1981" s="8">
        <v>18.5</v>
      </c>
      <c r="F1981" s="19">
        <v>20.399999999999999</v>
      </c>
      <c r="G1981" s="238">
        <v>200000</v>
      </c>
      <c r="H1981" s="40"/>
      <c r="I1981" s="33">
        <f>SUMIFS(TablaCosechas[[#All],[libras]],TablaCosechas[[#All],[MES]],$I$1971,TablaCosechas[[#All],[CERTIFICADO]],"="&amp;$A$1981,TablaCosechas[[#All],[w]],"&gt;="&amp;$E$1981,TablaCosechas[[#All],[w]],"&lt;="&amp;F$1981)</f>
        <v>141750</v>
      </c>
      <c r="J1981" s="34">
        <f>SUMIFS(TablaCosechas[[#All],[libras]],TablaCosechas[[#All],[MES]],J1971,TablaCosechas[[#All],[w]],"&gt;="&amp;$E$1981,TablaCosechas[[#All],[w]],"&lt;="&amp;$F$1981)</f>
        <v>197900</v>
      </c>
      <c r="K1981" s="34">
        <f>SUMIFS(TablaCosechas[[#All],[libras]],TablaCosechas[[#All],[MES]],K1971,TablaCosechas[[#All],[w]],"&gt;="&amp;$E$1981,TablaCosechas[[#All],[w]],"&lt;="&amp;$F$1981)</f>
        <v>285800</v>
      </c>
      <c r="L1981" s="169">
        <f>SUMIFS(TablaCosechas[[#All],[libras]],TablaCosechas[[#All],[MES]],L1971,TablaCosechas[[#All],[w]],"&gt;="&amp;$E$1981,TablaCosechas[[#All],[w]],"&lt;="&amp;$F$1981)</f>
        <v>135250</v>
      </c>
      <c r="M1981" s="169">
        <f>SUMIFS(TablaCosechas[[#All],[libras]],TablaCosechas[[#All],[MES]],M1971,TablaCosechas[[#All],[w]],"&gt;="&amp;$E$1981,TablaCosechas[[#All],[w]],"&lt;="&amp;$F$1981)</f>
        <v>175250</v>
      </c>
      <c r="N1981" s="97">
        <f>SUMIFS(TablaCosechas[[#All],[libras]],TablaCosechas[[#All],[MES]],N1971,TablaCosechas[[#All],[w]],"&gt;="&amp;$E$1981,TablaCosechas[[#All],[w]],"&lt;="&amp;$F$1981)</f>
        <v>0</v>
      </c>
      <c r="O1981" s="97">
        <f>SUMIFS(TablaCosechas[[#All],[libras]],TablaCosechas[[#All],[MES]],O1971,TablaCosechas[[#All],[w]],"&gt;="&amp;$E$1981,TablaCosechas[[#All],[w]],"&lt;="&amp;$F$1981)</f>
        <v>0</v>
      </c>
    </row>
    <row r="1982" spans="1:18" x14ac:dyDescent="0.25">
      <c r="A1982" s="28" t="s">
        <v>1</v>
      </c>
      <c r="B1982" s="28"/>
      <c r="C1982" s="28">
        <v>17</v>
      </c>
      <c r="D1982" s="41">
        <v>18</v>
      </c>
      <c r="E1982" s="8">
        <v>16.5</v>
      </c>
      <c r="F1982" s="29">
        <v>18.399999999999999</v>
      </c>
      <c r="G1982" s="239">
        <v>200000</v>
      </c>
      <c r="H1982" s="42"/>
      <c r="I1982" s="34">
        <f>SUMIFS(TablaCosechas[[#All],[libras]],TablaCosechas[[#All],[MES]],$I$1971,TablaCosechas[[#All],[CERTIFICADO]],"="&amp;$A$1982,TablaCosechas[[#All],[w]],"&gt;="&amp;$E$1982,TablaCosechas[[#All],[w]],"&lt;="&amp;F$1982)</f>
        <v>93200</v>
      </c>
      <c r="J1982" s="34">
        <f>SUMIFS(TablaCosechas[[#All],[libras]],TablaCosechas[[#All],[MES]],J1971,TablaCosechas[[#All],[CERTIFICADO]],"="&amp;$A$1982,TablaCosechas[[#All],[w]],"&gt;="&amp;$E$1982,TablaCosechas[[#All],[w]],"&lt;="&amp;G$1982)</f>
        <v>1794420</v>
      </c>
      <c r="K1982" s="34">
        <f>SUMIFS(TablaCosechas[[#All],[libras]],TablaCosechas[[#All],[MES]],K1971,TablaCosechas[[#All],[CERTIFICADO]],"="&amp;$A$1982,TablaCosechas[[#All],[w]],"&gt;="&amp;$E$1982,TablaCosechas[[#All],[w]],"&lt;="&amp;H$1982)</f>
        <v>0</v>
      </c>
      <c r="L1982" s="169">
        <f>SUMIFS(TablaCosechas[[#All],[libras]],TablaCosechas[[#All],[MES]],L1971,TablaCosechas[[#All],[CERTIFICADO]],"="&amp;$A$1982,TablaCosechas[[#All],[w]],"&gt;="&amp;$E$1982,TablaCosechas[[#All],[w]],"&lt;="&amp;I$1982)</f>
        <v>2029900</v>
      </c>
      <c r="M1982" s="169">
        <f>SUMIFS(TablaCosechas[[#All],[libras]],TablaCosechas[[#All],[MES]],M1971,TablaCosechas[[#All],[CERTIFICADO]],"="&amp;$A$1982,TablaCosechas[[#All],[w]],"&gt;="&amp;$E$1982,TablaCosechas[[#All],[w]],"&lt;="&amp;J$1982)</f>
        <v>1371000</v>
      </c>
      <c r="N1982" s="97">
        <f>SUMIFS(TablaCosechas[[#All],[libras]],TablaCosechas[[#All],[MES]],N1971,TablaCosechas[[#All],[CERTIFICADO]],"="&amp;$A$1982,TablaCosechas[[#All],[w]],"&gt;="&amp;$E$1982,TablaCosechas[[#All],[w]],"&lt;="&amp;K$1982)</f>
        <v>0</v>
      </c>
      <c r="O1982" s="97">
        <f>SUMIFS(TablaCosechas[[#All],[libras]],TablaCosechas[[#All],[MES]],O1971,TablaCosechas[[#All],[CERTIFICADO]],"="&amp;$A$1982,TablaCosechas[[#All],[w]],"&gt;="&amp;$E$1982,TablaCosechas[[#All],[w]],"&lt;="&amp;L$1982)</f>
        <v>0</v>
      </c>
    </row>
    <row r="1983" spans="1:18" x14ac:dyDescent="0.25">
      <c r="A1983" s="28" t="s">
        <v>1</v>
      </c>
      <c r="B1983" s="28"/>
      <c r="C1983" s="28">
        <v>15</v>
      </c>
      <c r="D1983" s="41">
        <v>16</v>
      </c>
      <c r="E1983" s="8">
        <v>14.5</v>
      </c>
      <c r="F1983" s="29">
        <v>16.399999999999999</v>
      </c>
      <c r="G1983" s="239">
        <v>200000</v>
      </c>
      <c r="H1983" s="42"/>
      <c r="I1983" s="34">
        <f>SUMIFS(TablaCosechas[[#All],[libras]],TablaCosechas[[#All],[MES]],$I$1971,TablaCosechas[[#All],[CERTIFICADO]],"="&amp;$A$1983,TablaCosechas[[#All],[w]],"&gt;="&amp;$E$1983,TablaCosechas[[#All],[w]],"&lt;="&amp;$F$1983)</f>
        <v>20700</v>
      </c>
      <c r="J1983" s="34">
        <f>SUMIFS(TablaCosechas[[#All],[libras]],TablaCosechas[[#All],[MES]],J1971,TablaCosechas[[#All],[CERTIFICADO]],"="&amp;$A$1983,TablaCosechas[[#All],[w]],"&gt;="&amp;$E$1983,TablaCosechas[[#All],[w]],"&lt;="&amp;$F$1983)</f>
        <v>5600</v>
      </c>
      <c r="K1983" s="34">
        <f>SUMIFS(TablaCosechas[[#All],[libras]],TablaCosechas[[#All],[MES]],K1971,TablaCosechas[[#All],[CERTIFICADO]],"="&amp;$A$1983,TablaCosechas[[#All],[w]],"&gt;="&amp;$E$1983,TablaCosechas[[#All],[w]],"&lt;="&amp;$F$1983)</f>
        <v>16500</v>
      </c>
      <c r="L1983" s="169">
        <f>SUMIFS(TablaCosechas[[#All],[libras]],TablaCosechas[[#All],[MES]],L1971,TablaCosechas[[#All],[CERTIFICADO]],"="&amp;$A$1983,TablaCosechas[[#All],[w]],"&gt;="&amp;$E$1983,TablaCosechas[[#All],[w]],"&lt;="&amp;$F$1983)</f>
        <v>42050</v>
      </c>
      <c r="M1983" s="169">
        <f>SUMIFS(TablaCosechas[[#All],[libras]],TablaCosechas[[#All],[MES]],M1971,TablaCosechas[[#All],[CERTIFICADO]],"="&amp;$A$1983,TablaCosechas[[#All],[w]],"&gt;="&amp;$E$1983,TablaCosechas[[#All],[w]],"&lt;="&amp;$F$1983)</f>
        <v>29800</v>
      </c>
      <c r="N1983" s="97">
        <f>SUMIFS(TablaCosechas[[#All],[libras]],TablaCosechas[[#All],[MES]],N1971,TablaCosechas[[#All],[CERTIFICADO]],"="&amp;$A$1983,TablaCosechas[[#All],[w]],"&gt;="&amp;$E$1983,TablaCosechas[[#All],[w]],"&lt;="&amp;$F$1983)</f>
        <v>0</v>
      </c>
      <c r="O1983" s="97">
        <f>SUMIFS(TablaCosechas[[#All],[libras]],TablaCosechas[[#All],[MES]],O1971,TablaCosechas[[#All],[CERTIFICADO]],"="&amp;$A$1983,TablaCosechas[[#All],[w]],"&gt;="&amp;$E$1983,TablaCosechas[[#All],[w]],"&lt;="&amp;$F$1983)</f>
        <v>0</v>
      </c>
    </row>
    <row r="1984" spans="1:18" x14ac:dyDescent="0.25">
      <c r="A1984" s="28" t="s">
        <v>1</v>
      </c>
      <c r="B1984" s="28"/>
      <c r="C1984" s="28">
        <v>13</v>
      </c>
      <c r="D1984" s="41">
        <v>14</v>
      </c>
      <c r="E1984" s="8">
        <v>12.5</v>
      </c>
      <c r="F1984" s="29">
        <v>14.4</v>
      </c>
      <c r="G1984" s="239">
        <v>300000</v>
      </c>
      <c r="H1984" s="42"/>
      <c r="I1984" s="34">
        <f>SUMIFS(TablaCosechas[[#All],[libras]],TablaCosechas[[#All],[MES]],$I$1971,TablaCosechas[[#All],[CERTIFICADO]],"="&amp;$A$1984,TablaCosechas[[#All],[w]],"&gt;="&amp;$E$1984,TablaCosechas[[#All],[w]],"&lt;="&amp;F$1984)</f>
        <v>0</v>
      </c>
      <c r="J1984" s="34">
        <f>SUMIFS(TablaCosechas[[#All],[libras]],TablaCosechas[[#All],[MES]],J1971,TablaCosechas[[#All],[CERTIFICADO]],"="&amp;$A$1984,TablaCosechas[[#All],[w]],"&gt;="&amp;$E$1984,TablaCosechas[[#All],[w]],"&lt;="&amp;G$1984)</f>
        <v>1800020</v>
      </c>
      <c r="K1984" s="34">
        <f>SUMIFS(TablaCosechas[[#All],[libras]],TablaCosechas[[#All],[MES]],K1971,TablaCosechas[[#All],[CERTIFICADO]],"="&amp;$A$1984,TablaCosechas[[#All],[w]],"&gt;="&amp;$E$1984,TablaCosechas[[#All],[w]],"&lt;="&amp;H$1984)</f>
        <v>0</v>
      </c>
      <c r="L1984" s="169">
        <f>SUMIFS(TablaCosechas[[#All],[libras]],TablaCosechas[[#All],[MES]],L1971,TablaCosechas[[#All],[CERTIFICADO]],"="&amp;$A$1984,TablaCosechas[[#All],[w]],"&gt;="&amp;$E$1984,TablaCosechas[[#All],[w]],"&lt;="&amp;I$1984)</f>
        <v>0</v>
      </c>
      <c r="M1984" s="169">
        <f>SUMIFS(TablaCosechas[[#All],[libras]],TablaCosechas[[#All],[MES]],M1971,TablaCosechas[[#All],[CERTIFICADO]],"="&amp;$A$1984,TablaCosechas[[#All],[w]],"&gt;="&amp;$E$1984,TablaCosechas[[#All],[w]],"&lt;="&amp;J$1984)</f>
        <v>1415750</v>
      </c>
      <c r="N1984" s="97">
        <f>SUMIFS(TablaCosechas[[#All],[libras]],TablaCosechas[[#All],[MES]],N1971,TablaCosechas[[#All],[CERTIFICADO]],"="&amp;$A$1984,TablaCosechas[[#All],[w]],"&gt;="&amp;$E$1984,TablaCosechas[[#All],[w]],"&lt;="&amp;K$1984)</f>
        <v>0</v>
      </c>
      <c r="O1984" s="97">
        <f>SUMIFS(TablaCosechas[[#All],[libras]],TablaCosechas[[#All],[MES]],O1971,TablaCosechas[[#All],[CERTIFICADO]],"="&amp;$A$1984,TablaCosechas[[#All],[w]],"&gt;="&amp;$E$1984,TablaCosechas[[#All],[w]],"&lt;="&amp;L$1984)</f>
        <v>0</v>
      </c>
      <c r="Q1984"/>
    </row>
    <row r="1985" spans="1:17" x14ac:dyDescent="0.25">
      <c r="A1985" s="28" t="s">
        <v>1</v>
      </c>
      <c r="B1985" s="28"/>
      <c r="C1985" s="28">
        <v>11</v>
      </c>
      <c r="D1985" s="41">
        <v>12</v>
      </c>
      <c r="E1985" s="8">
        <v>11.5</v>
      </c>
      <c r="F1985" s="29">
        <v>12.4</v>
      </c>
      <c r="G1985" s="239">
        <v>200000</v>
      </c>
      <c r="H1985" s="42"/>
      <c r="I1985" s="34">
        <f>SUMIFS(TablaCosechas[[#All],[libras]],TablaCosechas[[#All],[MES]],$I$1971,TablaCosechas[[#All],[CERTIFICADO]],"="&amp;$A$1985,TablaCosechas[[#All],[w]],"&gt;="&amp;$E$1985,TablaCosechas[[#All],[w]],"&lt;="&amp;$F$1985)</f>
        <v>0</v>
      </c>
      <c r="J1985" s="34">
        <f>SUMIFS(TablaCosechas[[#All],[libras]],TablaCosechas[[#All],[MES]],J1971,TablaCosechas[[#All],[CERTIFICADO]],"="&amp;$A$1985,TablaCosechas[[#All],[w]],"&gt;="&amp;$E$1985,TablaCosechas[[#All],[w]],"&lt;="&amp;$F$1985)</f>
        <v>0</v>
      </c>
      <c r="K1985" s="34">
        <f>SUMIFS(TablaCosechas[[#All],[libras]],TablaCosechas[[#All],[MES]],K1971,TablaCosechas[[#All],[CERTIFICADO]],"="&amp;$A$1985,TablaCosechas[[#All],[w]],"&gt;="&amp;$E$1985,TablaCosechas[[#All],[w]],"&lt;="&amp;$F$1985)</f>
        <v>0</v>
      </c>
      <c r="L1985" s="169">
        <f>SUMIFS(TablaCosechas[[#All],[libras]],TablaCosechas[[#All],[MES]],L1971,TablaCosechas[[#All],[CERTIFICADO]],"="&amp;$A$1985,TablaCosechas[[#All],[w]],"&gt;="&amp;$E$1985,TablaCosechas[[#All],[w]],"&lt;="&amp;$F$1985)</f>
        <v>0</v>
      </c>
      <c r="M1985" s="169">
        <f>SUMIFS(TablaCosechas[[#All],[libras]],TablaCosechas[[#All],[MES]],M1971,TablaCosechas[[#All],[CERTIFICADO]],"="&amp;$A$1985,TablaCosechas[[#All],[w]],"&gt;="&amp;$E$1985,TablaCosechas[[#All],[w]],"&lt;="&amp;$F$1985)</f>
        <v>0</v>
      </c>
      <c r="N1985" s="97">
        <f>SUMIFS(TablaCosechas[[#All],[libras]],TablaCosechas[[#All],[MES]],N1971,TablaCosechas[[#All],[CERTIFICADO]],"="&amp;$A$1985,TablaCosechas[[#All],[w]],"&gt;="&amp;$E$1985,TablaCosechas[[#All],[w]],"&lt;="&amp;$F$1985)</f>
        <v>0</v>
      </c>
      <c r="O1985" s="97">
        <f>SUMIFS(TablaCosechas[[#All],[libras]],TablaCosechas[[#All],[MES]],O1971,TablaCosechas[[#All],[CERTIFICADO]],"="&amp;$A$1985,TablaCosechas[[#All],[w]],"&gt;="&amp;$E$1985,TablaCosechas[[#All],[w]],"&lt;="&amp;$F$1985)</f>
        <v>0</v>
      </c>
      <c r="Q1985"/>
    </row>
    <row r="1986" spans="1:17" x14ac:dyDescent="0.25">
      <c r="A1986" s="24" t="s">
        <v>401</v>
      </c>
      <c r="B1986" s="24"/>
      <c r="C1986" s="24">
        <v>11</v>
      </c>
      <c r="D1986" s="35">
        <v>12</v>
      </c>
      <c r="E1986" s="8">
        <v>10.5</v>
      </c>
      <c r="F1986" s="25">
        <v>12.4</v>
      </c>
      <c r="G1986" s="236">
        <v>50000</v>
      </c>
      <c r="H1986" s="36"/>
      <c r="I1986" s="34">
        <f>SUMIFS(TablaCosechas[[#All],[libras]],TablaCosechas[[#All],[MES]],$I$1971,TablaCosechas[[#All],[CERTIFICADO]],"="&amp;$A$1986,TablaCosechas[[#All],[w]],"&gt;="&amp;$E$1986,TablaCosechas[[#All],[w]],"&lt;="&amp;$F$1986)</f>
        <v>0</v>
      </c>
      <c r="J1986" s="34">
        <f>SUMIFS(TablaCosechas[[#All],[libras]],TablaCosechas[[#All],[MES]],J1971,TablaCosechas[[#All],[CERTIFICADO]],"="&amp;$A$1986,TablaCosechas[[#All],[w]],"&gt;="&amp;$E$1986,TablaCosechas[[#All],[w]],"&lt;="&amp;$F$1986)</f>
        <v>0</v>
      </c>
      <c r="K1986" s="34">
        <f>SUMIFS(TablaCosechas[[#All],[libras]],TablaCosechas[[#All],[MES]],K1971,TablaCosechas[[#All],[CERTIFICADO]],"="&amp;$A$1986,TablaCosechas[[#All],[w]],"&gt;="&amp;$E$1986,TablaCosechas[[#All],[w]],"&lt;="&amp;$F$1986)</f>
        <v>0</v>
      </c>
      <c r="L1986" s="169">
        <f>SUMIFS(TablaCosechas[[#All],[libras]],TablaCosechas[[#All],[MES]],L1971,TablaCosechas[[#All],[CERTIFICADO]],"="&amp;$A$1986,TablaCosechas[[#All],[w]],"&gt;="&amp;$E$1986,TablaCosechas[[#All],[w]],"&lt;="&amp;$F$1986)</f>
        <v>0</v>
      </c>
      <c r="M1986" s="169">
        <f>SUMIFS(TablaCosechas[[#All],[libras]],TablaCosechas[[#All],[MES]],M1971,TablaCosechas[[#All],[CERTIFICADO]],"="&amp;$A$1986,TablaCosechas[[#All],[w]],"&gt;="&amp;$E$1986,TablaCosechas[[#All],[w]],"&lt;="&amp;$F$1986)</f>
        <v>0</v>
      </c>
      <c r="N1986" s="97">
        <f>SUMIFS(TablaCosechas[[#All],[libras]],TablaCosechas[[#All],[MES]],N1971,TablaCosechas[[#All],[CERTIFICADO]],"="&amp;$A$1986,TablaCosechas[[#All],[w]],"&gt;="&amp;$E$1986,TablaCosechas[[#All],[w]],"&lt;="&amp;$F$1986)</f>
        <v>0</v>
      </c>
      <c r="O1986" s="97">
        <f>SUMIFS(TablaCosechas[[#All],[libras]],TablaCosechas[[#All],[MES]],O1971,TablaCosechas[[#All],[CERTIFICADO]],"="&amp;$A$1986,TablaCosechas[[#All],[w]],"&gt;="&amp;$E$1986,TablaCosechas[[#All],[w]],"&lt;="&amp;$F$1986)</f>
        <v>0</v>
      </c>
      <c r="Q1986"/>
    </row>
    <row r="1987" spans="1:17" x14ac:dyDescent="0.25">
      <c r="A1987" s="28" t="s">
        <v>1</v>
      </c>
      <c r="B1987" s="28"/>
      <c r="C1987" s="28">
        <v>9</v>
      </c>
      <c r="D1987" s="41">
        <v>10</v>
      </c>
      <c r="E1987" s="8">
        <v>9</v>
      </c>
      <c r="F1987" s="29">
        <v>10.4</v>
      </c>
      <c r="G1987" s="239">
        <v>50000</v>
      </c>
      <c r="H1987" s="42"/>
      <c r="I1987" s="33">
        <f>SUMIFS(TablaCosechas[[#All],[libras]],TablaCosechas[[#All],[MES]],$I$1971,TablaCosechas[[#All],[CERTIFICADO]],"="&amp;$A$1987,TablaCosechas[[#All],[w]],"&gt;="&amp;$E$1987,TablaCosechas[[#All],[w]],"&lt;="&amp;$F$1987)</f>
        <v>0</v>
      </c>
      <c r="J1987" s="33">
        <f>SUMIFS(TablaCosechas[[#All],[libras]],TablaCosechas[[#All],[MES]],J1971,TablaCosechas[[#All],[CERTIFICADO]],"="&amp;$A$1987,TablaCosechas[[#All],[w]],"&gt;="&amp;$E$1987,TablaCosechas[[#All],[w]],"&lt;="&amp;$F$1987)</f>
        <v>0</v>
      </c>
      <c r="K1987" s="33">
        <f>SUMIFS(TablaCosechas[[#All],[libras]],TablaCosechas[[#All],[MES]],K1971,TablaCosechas[[#All],[CERTIFICADO]],"="&amp;$A$1987,TablaCosechas[[#All],[w]],"&gt;="&amp;$E$1987,TablaCosechas[[#All],[w]],"&lt;="&amp;$F$1987)</f>
        <v>0</v>
      </c>
      <c r="L1987" s="169">
        <f>SUMIFS(TablaCosechas[[#All],[libras]],TablaCosechas[[#All],[MES]],L1971,TablaCosechas[[#All],[CERTIFICADO]],"="&amp;$A$1987,TablaCosechas[[#All],[w]],"&gt;="&amp;$E$1987,TablaCosechas[[#All],[w]],"&lt;="&amp;$F$1987)</f>
        <v>0</v>
      </c>
      <c r="M1987" s="169">
        <f>SUMIFS(TablaCosechas[[#All],[libras]],TablaCosechas[[#All],[MES]],M1971,TablaCosechas[[#All],[CERTIFICADO]],"="&amp;$A$1987,TablaCosechas[[#All],[w]],"&gt;="&amp;$E$1987,TablaCosechas[[#All],[w]],"&lt;="&amp;$F$1987)</f>
        <v>0</v>
      </c>
      <c r="N1987" s="97">
        <f>SUMIFS(TablaCosechas[[#All],[libras]],TablaCosechas[[#All],[MES]],N1971,TablaCosechas[[#All],[CERTIFICADO]],"="&amp;$A$1987,TablaCosechas[[#All],[w]],"&gt;="&amp;$E$1987,TablaCosechas[[#All],[w]],"&lt;="&amp;$F$1987)</f>
        <v>0</v>
      </c>
      <c r="O1987" s="97">
        <f>SUMIFS(TablaCosechas[[#All],[libras]],TablaCosechas[[#All],[MES]],O1971,TablaCosechas[[#All],[CERTIFICADO]],"="&amp;$A$1987,TablaCosechas[[#All],[w]],"&gt;="&amp;$E$1987,TablaCosechas[[#All],[w]],"&lt;="&amp;$F$1987)</f>
        <v>0</v>
      </c>
      <c r="Q1987"/>
    </row>
    <row r="1988" spans="1:17" x14ac:dyDescent="0.25">
      <c r="G1988" s="240">
        <f>SUM(G1975:G1987)</f>
        <v>2900000</v>
      </c>
      <c r="H1988" s="43"/>
      <c r="I1988" s="44">
        <f t="shared" ref="I1988:O1988" si="0">SUM(I1975:I1987)</f>
        <v>907100</v>
      </c>
      <c r="J1988" s="44">
        <f t="shared" si="0"/>
        <v>6075460</v>
      </c>
      <c r="K1988" s="44">
        <f t="shared" si="0"/>
        <v>2956350</v>
      </c>
      <c r="L1988" s="169">
        <f t="shared" si="0"/>
        <v>5012071</v>
      </c>
      <c r="M1988" s="169">
        <f t="shared" si="0"/>
        <v>5051607</v>
      </c>
      <c r="N1988" s="44">
        <f t="shared" si="0"/>
        <v>0</v>
      </c>
      <c r="O1988" s="44">
        <f t="shared" si="0"/>
        <v>0</v>
      </c>
      <c r="Q1988"/>
    </row>
  </sheetData>
  <mergeCells count="2">
    <mergeCell ref="C1971:D1971"/>
    <mergeCell ref="A1970:G1970"/>
  </mergeCells>
  <conditionalFormatting sqref="M1239:M1338 M1379:M1385 M1457:M1466 E1239:F1483 F1653 M1666:M1694 M1345:M1367 M1699:M1708 M1720:M1744 E3:F1189 E1654:F1768 F1535:F1545 F1769 E1546:F1652 M1618:M1630 L1906:M1928 E1770:F1969">
    <cfRule type="expression" dxfId="453" priority="1737">
      <formula>E3=L3</formula>
    </cfRule>
  </conditionalFormatting>
  <conditionalFormatting sqref="E1970:F2010 L3:L560 L1969:L1970 L1989:L100103">
    <cfRule type="expression" dxfId="452" priority="1188">
      <formula>E3=#REF!</formula>
    </cfRule>
  </conditionalFormatting>
  <conditionalFormatting sqref="E2011:F2012">
    <cfRule type="expression" dxfId="451" priority="3471">
      <formula>E2011=#REF!</formula>
    </cfRule>
  </conditionalFormatting>
  <conditionalFormatting sqref="E2013:F2014">
    <cfRule type="expression" dxfId="450" priority="5573">
      <formula>E2013=L1970</formula>
    </cfRule>
  </conditionalFormatting>
  <conditionalFormatting sqref="E2015:F2049 E2090:F100143">
    <cfRule type="expression" dxfId="449" priority="2991">
      <formula>E2015=L1975</formula>
    </cfRule>
  </conditionalFormatting>
  <conditionalFormatting sqref="I1976:I1981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{AC878A10-2B28-45C2-B2B4-A04AD8A995EF}</x14:id>
        </ext>
      </extLst>
    </cfRule>
  </conditionalFormatting>
  <conditionalFormatting sqref="I1982:K1987 J1978:K1981">
    <cfRule type="dataBar" priority="5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{4FF7A170-754A-4653-9324-A04B24A0D8B3}</x14:id>
        </ext>
      </extLst>
    </cfRule>
    <cfRule type="dataBar" priority="5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{9380E3F9-30D3-4BDF-90E6-82EF100CA02E}</x14:id>
        </ext>
      </extLst>
    </cfRule>
  </conditionalFormatting>
  <conditionalFormatting sqref="I1973:O1974">
    <cfRule type="dataBar" priority="1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{E9B6E34A-5BC0-49CD-A066-ED75DC3F9CD7}</x14:id>
        </ext>
      </extLst>
    </cfRule>
  </conditionalFormatting>
  <conditionalFormatting sqref="I1975:O1975">
    <cfRule type="dataBar" priority="5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{40527325-B1CD-48AA-A4AD-7BD0115F05E6}</x14:id>
        </ext>
      </extLst>
    </cfRule>
  </conditionalFormatting>
  <conditionalFormatting sqref="I1988:O1988">
    <cfRule type="colorScale" priority="5521">
      <colorScale>
        <cfvo type="min"/>
        <cfvo type="max"/>
        <color rgb="FFF8696B"/>
        <color rgb="FFFCFCFF"/>
      </colorScale>
    </cfRule>
    <cfRule type="colorScale" priority="5522">
      <colorScale>
        <cfvo type="min"/>
        <cfvo type="max"/>
        <color rgb="FFFCFCFF"/>
        <color rgb="FF63BE7B"/>
      </colorScale>
    </cfRule>
  </conditionalFormatting>
  <conditionalFormatting sqref="J1976:O1976">
    <cfRule type="dataBar" priority="55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{348DDE3C-FCC6-4D8F-B3FC-C6A050A7DA2D}</x14:id>
        </ext>
      </extLst>
    </cfRule>
  </conditionalFormatting>
  <conditionalFormatting sqref="J1977:O1977">
    <cfRule type="dataBar" priority="5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{A73E4797-9A24-48F7-B12E-BC76A85E71E0}</x14:id>
        </ext>
      </extLst>
    </cfRule>
  </conditionalFormatting>
  <conditionalFormatting sqref="L1978:L1987">
    <cfRule type="dataBar" priority="1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{ADDD0A01-ADBE-41EB-A540-1C88613298C9}</x14:id>
        </ext>
      </extLst>
    </cfRule>
    <cfRule type="dataBar" priority="14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{8F7866ED-EC2F-4870-A613-504D07D6FAE4}</x14:id>
        </ext>
      </extLst>
    </cfRule>
  </conditionalFormatting>
  <conditionalFormatting sqref="M1978:M1987">
    <cfRule type="dataBar" priority="1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{BBEB856D-0D8C-4CCA-90EA-CC6E18825F0F}</x14:id>
        </ext>
      </extLst>
    </cfRule>
    <cfRule type="dataBar" priority="1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{A34565B1-49B6-45B9-83C8-5A08968DCC6C}</x14:id>
        </ext>
      </extLst>
    </cfRule>
  </conditionalFormatting>
  <conditionalFormatting sqref="N1978:N1987">
    <cfRule type="dataBar" priority="1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{3FBB0335-F9A3-4E62-A85E-0DA062936E75}</x14:id>
        </ext>
      </extLst>
    </cfRule>
    <cfRule type="dataBar" priority="14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{CD921AF5-8835-47A0-A07A-A7382E8A1279}</x14:id>
        </ext>
      </extLst>
    </cfRule>
  </conditionalFormatting>
  <conditionalFormatting sqref="O1978:O1987">
    <cfRule type="dataBar" priority="1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{51486BBE-EDAF-43BE-ADE1-6EF0F1B441E6}</x14:id>
        </ext>
      </extLst>
    </cfRule>
    <cfRule type="dataBar" priority="14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{B35D92E4-9592-400C-98AA-115E5780C572}</x14:id>
        </ext>
      </extLst>
    </cfRule>
  </conditionalFormatting>
  <conditionalFormatting sqref="P1239:R1243 M1239:M1243 N1431:R1431 I1513:I1514 J1513:K1520 R1513:R1514 N1513:Q1520 M1377:R1430 N1376:R1376 M1432:R1483 D1511:D1515 C1511:C1514 K1529:K1534 C1484:D1510 N1484:R1512 D1521:D1594 K1521:K1527 M1244:R1375 K2:K1315 B5:B1603 J3:J1238 P3:R1189 N3:O1243 A5:A1514 L1754:L1783 L1377:L1745 L1813:L1831 G1484:G1527 I1239:K1512 C646:G1173 I646:I1173 L3:M560 L1929:L1964 C1239:G1483 D1604:D1802 D1913:D1969 C5:I645 H646:H1846 H1849 H1851:H1852 H1855 H1858 H1860 H1863:H1864 H1866:H1867 H1871 H1874:H1875 H1883:H1885 H1889 H1891:H1894 H1897:H1899 H1901 H1903 H1906:H1952">
    <cfRule type="expression" dxfId="448" priority="593">
      <formula>ROW()=CELL("FILA")</formula>
    </cfRule>
  </conditionalFormatting>
  <conditionalFormatting sqref="M1239:M1242">
    <cfRule type="expression" dxfId="447" priority="7584">
      <formula>M1239=T226</formula>
    </cfRule>
  </conditionalFormatting>
  <conditionalFormatting sqref="M1265:M1280">
    <cfRule type="expression" dxfId="446" priority="7951">
      <formula>M1265=T215</formula>
    </cfRule>
  </conditionalFormatting>
  <conditionalFormatting sqref="M1258:M1260">
    <cfRule type="expression" dxfId="445" priority="7955">
      <formula>M1258=T215</formula>
    </cfRule>
  </conditionalFormatting>
  <conditionalFormatting sqref="M1243:M1257">
    <cfRule type="expression" dxfId="444" priority="7959">
      <formula>M1243=T215</formula>
    </cfRule>
  </conditionalFormatting>
  <conditionalFormatting sqref="M1054:M1077 M1185:M1189 E1192:F1209 M1198:M1201 M1141:M1150 E1211:F1238">
    <cfRule type="expression" dxfId="443" priority="380">
      <formula>E1054=L1054</formula>
    </cfRule>
  </conditionalFormatting>
  <conditionalFormatting sqref="E2:F2">
    <cfRule type="expression" dxfId="442" priority="378">
      <formula>E2=L2</formula>
    </cfRule>
  </conditionalFormatting>
  <conditionalFormatting sqref="L2">
    <cfRule type="expression" dxfId="441" priority="377">
      <formula>L2=#REF!</formula>
    </cfRule>
  </conditionalFormatting>
  <conditionalFormatting sqref="M1185:M1189 R1190 G1191 A2:J2 M1191:M1210 L2:R2 A4:I4 P1191:R1238 M1212:M1213 M1217:M1219 M1221 M1223 M1225:M1227 M561:M1150 C1174:G1189 C1192:G1209 C1191:D1191 C1211:G1238 C1210:D1210 G1210 A3:G3 I3 I1174:I1238">
    <cfRule type="expression" dxfId="440" priority="376">
      <formula>ROW()=CELL("FILA")</formula>
    </cfRule>
  </conditionalFormatting>
  <conditionalFormatting sqref="M1082:M1094">
    <cfRule type="expression" dxfId="439" priority="382">
      <formula>M1082=T212</formula>
    </cfRule>
  </conditionalFormatting>
  <conditionalFormatting sqref="M1079:M1080">
    <cfRule type="expression" dxfId="438" priority="383">
      <formula>M1079=T216</formula>
    </cfRule>
  </conditionalFormatting>
  <conditionalFormatting sqref="M997:M1005">
    <cfRule type="expression" dxfId="437" priority="384">
      <formula>M997=T220</formula>
    </cfRule>
  </conditionalFormatting>
  <conditionalFormatting sqref="M995:M996">
    <cfRule type="expression" dxfId="436" priority="385">
      <formula>M995=T222</formula>
    </cfRule>
  </conditionalFormatting>
  <conditionalFormatting sqref="M993:M994 L1825:L1831">
    <cfRule type="expression" dxfId="435" priority="386">
      <formula>L993=S224</formula>
    </cfRule>
  </conditionalFormatting>
  <conditionalFormatting sqref="M991:M992">
    <cfRule type="expression" dxfId="434" priority="387">
      <formula>M991=T226</formula>
    </cfRule>
  </conditionalFormatting>
  <conditionalFormatting sqref="M989:M990">
    <cfRule type="expression" dxfId="433" priority="388">
      <formula>M989=T228</formula>
    </cfRule>
  </conditionalFormatting>
  <conditionalFormatting sqref="M987:M988">
    <cfRule type="expression" dxfId="432" priority="389">
      <formula>M987=T230</formula>
    </cfRule>
  </conditionalFormatting>
  <conditionalFormatting sqref="M985:M986">
    <cfRule type="expression" dxfId="431" priority="390">
      <formula>M985=T232</formula>
    </cfRule>
  </conditionalFormatting>
  <conditionalFormatting sqref="M561:M982 L1776 L1786:L1796 L1676:L1752 L831:L1375 L1434:L1629">
    <cfRule type="expression" dxfId="430" priority="391">
      <formula>L561=S1048392</formula>
    </cfRule>
  </conditionalFormatting>
  <conditionalFormatting sqref="M983:M984">
    <cfRule type="expression" dxfId="429" priority="392">
      <formula>M983=T234</formula>
    </cfRule>
  </conditionalFormatting>
  <conditionalFormatting sqref="M981:M989">
    <cfRule type="expression" dxfId="428" priority="374">
      <formula>M981=T981</formula>
    </cfRule>
  </conditionalFormatting>
  <conditionalFormatting sqref="M990:M996">
    <cfRule type="expression" dxfId="427" priority="373">
      <formula>M990=T990</formula>
    </cfRule>
  </conditionalFormatting>
  <conditionalFormatting sqref="M1077">
    <cfRule type="expression" dxfId="426" priority="393">
      <formula>M1077=T221</formula>
    </cfRule>
  </conditionalFormatting>
  <conditionalFormatting sqref="M1070:M1073">
    <cfRule type="expression" dxfId="425" priority="394">
      <formula>M1070=T221</formula>
    </cfRule>
  </conditionalFormatting>
  <conditionalFormatting sqref="M1062:M1069">
    <cfRule type="expression" dxfId="424" priority="395">
      <formula>M1062=T221</formula>
    </cfRule>
  </conditionalFormatting>
  <conditionalFormatting sqref="M1054:M1061">
    <cfRule type="expression" dxfId="423" priority="396">
      <formula>M1054=T221</formula>
    </cfRule>
  </conditionalFormatting>
  <conditionalFormatting sqref="M1046:M1053">
    <cfRule type="expression" dxfId="422" priority="397">
      <formula>M1046=T221</formula>
    </cfRule>
  </conditionalFormatting>
  <conditionalFormatting sqref="M1038:M1045">
    <cfRule type="expression" dxfId="421" priority="398">
      <formula>M1038=T221</formula>
    </cfRule>
  </conditionalFormatting>
  <conditionalFormatting sqref="M1030:M1037">
    <cfRule type="expression" dxfId="420" priority="399">
      <formula>M1030=T221</formula>
    </cfRule>
  </conditionalFormatting>
  <conditionalFormatting sqref="M1022:M1029">
    <cfRule type="expression" dxfId="419" priority="400">
      <formula>M1022=T221</formula>
    </cfRule>
  </conditionalFormatting>
  <conditionalFormatting sqref="M1014:M1021">
    <cfRule type="expression" dxfId="418" priority="401">
      <formula>M1014=T221</formula>
    </cfRule>
  </conditionalFormatting>
  <conditionalFormatting sqref="M1006:M1013">
    <cfRule type="expression" dxfId="417" priority="402">
      <formula>M1006=T221</formula>
    </cfRule>
  </conditionalFormatting>
  <conditionalFormatting sqref="M1015:M1023">
    <cfRule type="expression" dxfId="416" priority="371">
      <formula>M1015=T1015</formula>
    </cfRule>
  </conditionalFormatting>
  <conditionalFormatting sqref="M1024:M1039">
    <cfRule type="expression" dxfId="415" priority="370">
      <formula>M1024=T1024</formula>
    </cfRule>
  </conditionalFormatting>
  <conditionalFormatting sqref="M1062:M1063">
    <cfRule type="expression" dxfId="414" priority="366">
      <formula>M1062=T1062</formula>
    </cfRule>
  </conditionalFormatting>
  <conditionalFormatting sqref="M1055:M1057">
    <cfRule type="expression" dxfId="413" priority="368">
      <formula>M1055=T1055</formula>
    </cfRule>
  </conditionalFormatting>
  <conditionalFormatting sqref="M1058">
    <cfRule type="expression" dxfId="412" priority="367">
      <formula>M1058=T1058</formula>
    </cfRule>
  </conditionalFormatting>
  <conditionalFormatting sqref="M1059:M1061">
    <cfRule type="expression" dxfId="411" priority="365">
      <formula>M1059=T1059</formula>
    </cfRule>
  </conditionalFormatting>
  <conditionalFormatting sqref="M1078">
    <cfRule type="expression" dxfId="410" priority="403">
      <formula>M1078=T219</formula>
    </cfRule>
  </conditionalFormatting>
  <conditionalFormatting sqref="M1074:M1076">
    <cfRule type="expression" dxfId="409" priority="404">
      <formula>M1074=T226</formula>
    </cfRule>
  </conditionalFormatting>
  <conditionalFormatting sqref="M1061">
    <cfRule type="expression" dxfId="408" priority="363">
      <formula>M1061=T316</formula>
    </cfRule>
  </conditionalFormatting>
  <conditionalFormatting sqref="M1227">
    <cfRule type="expression" dxfId="407" priority="405">
      <formula>M1227=T214</formula>
    </cfRule>
  </conditionalFormatting>
  <conditionalFormatting sqref="M1226">
    <cfRule type="expression" dxfId="406" priority="406">
      <formula>M1226=T214</formula>
    </cfRule>
  </conditionalFormatting>
  <conditionalFormatting sqref="M1149:M1150">
    <cfRule type="expression" dxfId="405" priority="407">
      <formula>M1149=T214</formula>
    </cfRule>
  </conditionalFormatting>
  <conditionalFormatting sqref="M1139:M1143">
    <cfRule type="expression" dxfId="404" priority="408">
      <formula>M1139=T214</formula>
    </cfRule>
  </conditionalFormatting>
  <conditionalFormatting sqref="M1128:M1138">
    <cfRule type="expression" dxfId="403" priority="409">
      <formula>M1128=T214</formula>
    </cfRule>
  </conditionalFormatting>
  <conditionalFormatting sqref="M1117:M1127">
    <cfRule type="expression" dxfId="402" priority="410">
      <formula>M1117=T214</formula>
    </cfRule>
  </conditionalFormatting>
  <conditionalFormatting sqref="M1106:M1116">
    <cfRule type="expression" dxfId="401" priority="411">
      <formula>M1106=T214</formula>
    </cfRule>
  </conditionalFormatting>
  <conditionalFormatting sqref="M1095:M1105">
    <cfRule type="expression" dxfId="400" priority="412">
      <formula>M1095=T214</formula>
    </cfRule>
  </conditionalFormatting>
  <conditionalFormatting sqref="M1081">
    <cfRule type="expression" dxfId="399" priority="413">
      <formula>M1081=T215</formula>
    </cfRule>
  </conditionalFormatting>
  <conditionalFormatting sqref="M1078:M1083">
    <cfRule type="expression" dxfId="398" priority="362">
      <formula>M1078=T1078</formula>
    </cfRule>
  </conditionalFormatting>
  <conditionalFormatting sqref="M1084:M1090">
    <cfRule type="expression" dxfId="397" priority="361">
      <formula>M1084=T1084</formula>
    </cfRule>
  </conditionalFormatting>
  <conditionalFormatting sqref="M1085">
    <cfRule type="expression" dxfId="396" priority="353">
      <formula>M1085=T1085</formula>
    </cfRule>
  </conditionalFormatting>
  <conditionalFormatting sqref="M1034">
    <cfRule type="expression" dxfId="395" priority="355">
      <formula>M1034=T289</formula>
    </cfRule>
  </conditionalFormatting>
  <conditionalFormatting sqref="M1091:M1098">
    <cfRule type="expression" dxfId="394" priority="352">
      <formula>M1091=T1091</formula>
    </cfRule>
  </conditionalFormatting>
  <conditionalFormatting sqref="M1099">
    <cfRule type="expression" dxfId="393" priority="351">
      <formula>M1099=T1099</formula>
    </cfRule>
  </conditionalFormatting>
  <conditionalFormatting sqref="M1100:M1103">
    <cfRule type="expression" dxfId="392" priority="350">
      <formula>M1100=T1100</formula>
    </cfRule>
  </conditionalFormatting>
  <conditionalFormatting sqref="M1103">
    <cfRule type="expression" dxfId="391" priority="349">
      <formula>M1103=T1103</formula>
    </cfRule>
  </conditionalFormatting>
  <conditionalFormatting sqref="M1104:M1109">
    <cfRule type="expression" dxfId="390" priority="348">
      <formula>M1104=T1104</formula>
    </cfRule>
  </conditionalFormatting>
  <conditionalFormatting sqref="M1113:M1116">
    <cfRule type="expression" dxfId="389" priority="344">
      <formula>M1113=T1113</formula>
    </cfRule>
  </conditionalFormatting>
  <conditionalFormatting sqref="M1112">
    <cfRule type="expression" dxfId="388" priority="343">
      <formula>M1112=T1112</formula>
    </cfRule>
  </conditionalFormatting>
  <conditionalFormatting sqref="M1110:M1111">
    <cfRule type="expression" dxfId="387" priority="345">
      <formula>M1110=T1110</formula>
    </cfRule>
  </conditionalFormatting>
  <conditionalFormatting sqref="M1117:M1121">
    <cfRule type="expression" dxfId="386" priority="342">
      <formula>M1117=T1117</formula>
    </cfRule>
  </conditionalFormatting>
  <conditionalFormatting sqref="M1130:M1140">
    <cfRule type="expression" dxfId="385" priority="341">
      <formula>M1130=T1130</formula>
    </cfRule>
  </conditionalFormatting>
  <conditionalFormatting sqref="M1196:M1201">
    <cfRule type="expression" dxfId="384" priority="414">
      <formula>M1196=T218</formula>
    </cfRule>
  </conditionalFormatting>
  <conditionalFormatting sqref="M1151:M1184">
    <cfRule type="expression" dxfId="383" priority="333">
      <formula>M1151=T1151</formula>
    </cfRule>
  </conditionalFormatting>
  <conditionalFormatting sqref="M1191:M1195">
    <cfRule type="expression" dxfId="382" priority="415">
      <formula>M1191=T216</formula>
    </cfRule>
  </conditionalFormatting>
  <conditionalFormatting sqref="M1185:M1187">
    <cfRule type="expression" dxfId="381" priority="416">
      <formula>M1185=T219</formula>
    </cfRule>
  </conditionalFormatting>
  <conditionalFormatting sqref="M1221 M1223 M1225">
    <cfRule type="expression" dxfId="380" priority="417">
      <formula>M1221=T219</formula>
    </cfRule>
  </conditionalFormatting>
  <conditionalFormatting sqref="M1217:M1219">
    <cfRule type="expression" dxfId="379" priority="418">
      <formula>M1217=T220</formula>
    </cfRule>
  </conditionalFormatting>
  <conditionalFormatting sqref="M1212:M1213">
    <cfRule type="expression" dxfId="378" priority="419">
      <formula>M1212=T220</formula>
    </cfRule>
  </conditionalFormatting>
  <conditionalFormatting sqref="M1206:M1210">
    <cfRule type="expression" dxfId="377" priority="420">
      <formula>M1206=T219</formula>
    </cfRule>
  </conditionalFormatting>
  <conditionalFormatting sqref="M1151:M1184">
    <cfRule type="expression" dxfId="376" priority="332">
      <formula>ROW()=CELL("FILA")</formula>
    </cfRule>
  </conditionalFormatting>
  <conditionalFormatting sqref="M1188:M1189">
    <cfRule type="expression" dxfId="375" priority="421">
      <formula>M1188=T223</formula>
    </cfRule>
  </conditionalFormatting>
  <conditionalFormatting sqref="M1190">
    <cfRule type="expression" dxfId="374" priority="328">
      <formula>M1190=T1190</formula>
    </cfRule>
  </conditionalFormatting>
  <conditionalFormatting sqref="C1190:D1190 M1190 G1190 P1190:Q1190">
    <cfRule type="expression" dxfId="373" priority="327">
      <formula>ROW()=CELL("FILA")</formula>
    </cfRule>
  </conditionalFormatting>
  <conditionalFormatting sqref="M1190">
    <cfRule type="expression" dxfId="372" priority="329">
      <formula>M1190=T225</formula>
    </cfRule>
  </conditionalFormatting>
  <conditionalFormatting sqref="E1190:F1191">
    <cfRule type="expression" dxfId="371" priority="326">
      <formula>E1190=L1190</formula>
    </cfRule>
  </conditionalFormatting>
  <conditionalFormatting sqref="E1190:F1191">
    <cfRule type="expression" dxfId="370" priority="325">
      <formula>ROW()=CELL("FILA")</formula>
    </cfRule>
  </conditionalFormatting>
  <conditionalFormatting sqref="M1202:M1208">
    <cfRule type="expression" dxfId="369" priority="321">
      <formula>M1202=T1202</formula>
    </cfRule>
  </conditionalFormatting>
  <conditionalFormatting sqref="M1143">
    <cfRule type="expression" dxfId="368" priority="323">
      <formula>M1143=T1143</formula>
    </cfRule>
  </conditionalFormatting>
  <conditionalFormatting sqref="M1193:M1197">
    <cfRule type="expression" dxfId="367" priority="322">
      <formula>M1193=T1193</formula>
    </cfRule>
  </conditionalFormatting>
  <conditionalFormatting sqref="M1209:M1210 M1212:M1213">
    <cfRule type="expression" dxfId="366" priority="320">
      <formula>M1209=T1209</formula>
    </cfRule>
  </conditionalFormatting>
  <conditionalFormatting sqref="M1212">
    <cfRule type="expression" dxfId="365" priority="319">
      <formula>M1212=T1212</formula>
    </cfRule>
  </conditionalFormatting>
  <conditionalFormatting sqref="M1202:M1205">
    <cfRule type="expression" dxfId="364" priority="422">
      <formula>M1202=T220</formula>
    </cfRule>
  </conditionalFormatting>
  <conditionalFormatting sqref="M1217:M1219 M1221">
    <cfRule type="expression" dxfId="363" priority="318">
      <formula>M1217=T1217</formula>
    </cfRule>
  </conditionalFormatting>
  <conditionalFormatting sqref="M1223 M1225:M1227">
    <cfRule type="expression" dxfId="362" priority="316">
      <formula>M1223=T1223</formula>
    </cfRule>
  </conditionalFormatting>
  <conditionalFormatting sqref="M1144:M1148">
    <cfRule type="expression" dxfId="361" priority="423">
      <formula>M1144=T220</formula>
    </cfRule>
  </conditionalFormatting>
  <conditionalFormatting sqref="M1239:M1243">
    <cfRule type="expression" dxfId="360" priority="266">
      <formula>M1239=T1239</formula>
    </cfRule>
  </conditionalFormatting>
  <conditionalFormatting sqref="M1211">
    <cfRule type="expression" dxfId="359" priority="265">
      <formula>M1211=T1211</formula>
    </cfRule>
  </conditionalFormatting>
  <conditionalFormatting sqref="M1211">
    <cfRule type="expression" dxfId="358" priority="264">
      <formula>ROW()=CELL("FILA")</formula>
    </cfRule>
  </conditionalFormatting>
  <conditionalFormatting sqref="M1214:M1216">
    <cfRule type="expression" dxfId="357" priority="263">
      <formula>M1214=T1214</formula>
    </cfRule>
  </conditionalFormatting>
  <conditionalFormatting sqref="M1214:M1216">
    <cfRule type="expression" dxfId="356" priority="262">
      <formula>ROW()=CELL("FILA")</formula>
    </cfRule>
  </conditionalFormatting>
  <conditionalFormatting sqref="M1220">
    <cfRule type="expression" dxfId="355" priority="261">
      <formula>M1220=T1220</formula>
    </cfRule>
  </conditionalFormatting>
  <conditionalFormatting sqref="M1220">
    <cfRule type="expression" dxfId="354" priority="260">
      <formula>ROW()=CELL("FILA")</formula>
    </cfRule>
  </conditionalFormatting>
  <conditionalFormatting sqref="M1222">
    <cfRule type="expression" dxfId="353" priority="259">
      <formula>M1222=T1222</formula>
    </cfRule>
  </conditionalFormatting>
  <conditionalFormatting sqref="M1222">
    <cfRule type="expression" dxfId="352" priority="258">
      <formula>ROW()=CELL("FILA")</formula>
    </cfRule>
  </conditionalFormatting>
  <conditionalFormatting sqref="M1228:M1238">
    <cfRule type="expression" dxfId="351" priority="255">
      <formula>M1228=T1228</formula>
    </cfRule>
  </conditionalFormatting>
  <conditionalFormatting sqref="M1228:M1238">
    <cfRule type="expression" dxfId="350" priority="254">
      <formula>ROW()=CELL("FILA")</formula>
    </cfRule>
  </conditionalFormatting>
  <conditionalFormatting sqref="M1224">
    <cfRule type="expression" dxfId="349" priority="253">
      <formula>M1224=T1224</formula>
    </cfRule>
  </conditionalFormatting>
  <conditionalFormatting sqref="M1224">
    <cfRule type="expression" dxfId="348" priority="252">
      <formula>ROW()=CELL("FILA")</formula>
    </cfRule>
  </conditionalFormatting>
  <conditionalFormatting sqref="M1244:M1250">
    <cfRule type="expression" dxfId="347" priority="248">
      <formula>M1244=T1244</formula>
    </cfRule>
  </conditionalFormatting>
  <conditionalFormatting sqref="M1251:M1257">
    <cfRule type="expression" dxfId="346" priority="246">
      <formula>M1251=T1251</formula>
    </cfRule>
  </conditionalFormatting>
  <conditionalFormatting sqref="M1437:M1453">
    <cfRule type="expression" dxfId="345" priority="8086">
      <formula>M1437=T217</formula>
    </cfRule>
  </conditionalFormatting>
  <conditionalFormatting sqref="M1309:M1311">
    <cfRule type="expression" dxfId="344" priority="8090">
      <formula>M1309=T217</formula>
    </cfRule>
  </conditionalFormatting>
  <conditionalFormatting sqref="M1295:M1308">
    <cfRule type="expression" dxfId="343" priority="8094">
      <formula>M1295=T217</formula>
    </cfRule>
  </conditionalFormatting>
  <conditionalFormatting sqref="M1281:M1294">
    <cfRule type="expression" dxfId="342" priority="8098">
      <formula>M1281=T217</formula>
    </cfRule>
  </conditionalFormatting>
  <conditionalFormatting sqref="M1267:M1274">
    <cfRule type="expression" dxfId="341" priority="243">
      <formula>M1267=T1267</formula>
    </cfRule>
  </conditionalFormatting>
  <conditionalFormatting sqref="M1261:M1264">
    <cfRule type="expression" dxfId="340" priority="8110">
      <formula>M1261=T219</formula>
    </cfRule>
  </conditionalFormatting>
  <conditionalFormatting sqref="M1365:M1375">
    <cfRule type="expression" dxfId="339" priority="8305">
      <formula>M1365=T219</formula>
    </cfRule>
  </conditionalFormatting>
  <conditionalFormatting sqref="M1348:M1355">
    <cfRule type="expression" dxfId="338" priority="8309">
      <formula>M1348=T219</formula>
    </cfRule>
  </conditionalFormatting>
  <conditionalFormatting sqref="M1322:M1334">
    <cfRule type="expression" dxfId="337" priority="8313">
      <formula>M1322=T219</formula>
    </cfRule>
  </conditionalFormatting>
  <conditionalFormatting sqref="M1321 M1335:M1337">
    <cfRule type="expression" dxfId="336" priority="8317">
      <formula>M1321=T219</formula>
    </cfRule>
  </conditionalFormatting>
  <conditionalFormatting sqref="M1320">
    <cfRule type="expression" dxfId="335" priority="8321">
      <formula>M1320=T219</formula>
    </cfRule>
  </conditionalFormatting>
  <conditionalFormatting sqref="M1319">
    <cfRule type="expression" dxfId="334" priority="8325">
      <formula>M1319=T219</formula>
    </cfRule>
  </conditionalFormatting>
  <conditionalFormatting sqref="M1318">
    <cfRule type="expression" dxfId="333" priority="8329">
      <formula>M1318=T219</formula>
    </cfRule>
  </conditionalFormatting>
  <conditionalFormatting sqref="M1317">
    <cfRule type="expression" dxfId="332" priority="8333">
      <formula>M1317=T219</formula>
    </cfRule>
  </conditionalFormatting>
  <conditionalFormatting sqref="M1316">
    <cfRule type="expression" dxfId="331" priority="8337">
      <formula>M1316=T219</formula>
    </cfRule>
  </conditionalFormatting>
  <conditionalFormatting sqref="M1315">
    <cfRule type="expression" dxfId="330" priority="8345">
      <formula>M1315=T219</formula>
    </cfRule>
  </conditionalFormatting>
  <conditionalFormatting sqref="M1314">
    <cfRule type="expression" dxfId="329" priority="8349">
      <formula>M1314=T219</formula>
    </cfRule>
  </conditionalFormatting>
  <conditionalFormatting sqref="M1313">
    <cfRule type="expression" dxfId="328" priority="8353">
      <formula>M1313=T219</formula>
    </cfRule>
  </conditionalFormatting>
  <conditionalFormatting sqref="M1312">
    <cfRule type="expression" dxfId="327" priority="8357">
      <formula>M1312=T219</formula>
    </cfRule>
  </conditionalFormatting>
  <conditionalFormatting sqref="M1342:M1355 M1407:M1415 M1393:M1399 M1423:M1430 M1369:M1375 M1384">
    <cfRule type="expression" dxfId="326" priority="8361">
      <formula>M1342=T1335</formula>
    </cfRule>
  </conditionalFormatting>
  <conditionalFormatting sqref="M1338:M1347">
    <cfRule type="expression" dxfId="325" priority="8369">
      <formula>M1338=T229</formula>
    </cfRule>
  </conditionalFormatting>
  <conditionalFormatting sqref="M1338:M1340 M1391 M1362:M1367">
    <cfRule type="expression" dxfId="324" priority="8384">
      <formula>M1338=T1332</formula>
    </cfRule>
  </conditionalFormatting>
  <conditionalFormatting sqref="M1341">
    <cfRule type="expression" dxfId="323" priority="8386">
      <formula>M1341=#REF!</formula>
    </cfRule>
  </conditionalFormatting>
  <conditionalFormatting sqref="L561:L563 L1377:L1433 L565:L830">
    <cfRule type="expression" dxfId="322" priority="240">
      <formula>L561=#REF!</formula>
    </cfRule>
  </conditionalFormatting>
  <conditionalFormatting sqref="L561:L563 L565:L830">
    <cfRule type="expression" dxfId="321" priority="239">
      <formula>ROW()=CELL("FILA")</formula>
    </cfRule>
  </conditionalFormatting>
  <conditionalFormatting sqref="L565:L830">
    <cfRule type="expression" dxfId="320" priority="241">
      <formula>L565=S1048396</formula>
    </cfRule>
  </conditionalFormatting>
  <conditionalFormatting sqref="M1339:M1344">
    <cfRule type="expression" dxfId="319" priority="238">
      <formula>M1339=T1339</formula>
    </cfRule>
  </conditionalFormatting>
  <conditionalFormatting sqref="M1432:M1436">
    <cfRule type="expression" dxfId="318" priority="8566">
      <formula>M1432=T222</formula>
    </cfRule>
  </conditionalFormatting>
  <conditionalFormatting sqref="M1447:M1453">
    <cfRule type="expression" dxfId="317" priority="8568">
      <formula>M1447=T1377</formula>
    </cfRule>
  </conditionalFormatting>
  <conditionalFormatting sqref="M1416:M1430">
    <cfRule type="expression" dxfId="316" priority="8572">
      <formula>M1416=T222</formula>
    </cfRule>
  </conditionalFormatting>
  <conditionalFormatting sqref="M1417:M1422">
    <cfRule type="expression" dxfId="315" priority="8574">
      <formula>M1417=T1362</formula>
    </cfRule>
  </conditionalFormatting>
  <conditionalFormatting sqref="M1400:M1415">
    <cfRule type="expression" dxfId="314" priority="8578">
      <formula>M1400=T222</formula>
    </cfRule>
  </conditionalFormatting>
  <conditionalFormatting sqref="M1401:M1406 E2050:F2088">
    <cfRule type="expression" dxfId="313" priority="8580">
      <formula>E1401=L1362</formula>
    </cfRule>
  </conditionalFormatting>
  <conditionalFormatting sqref="M1385">
    <cfRule type="expression" dxfId="312" priority="8584">
      <formula>M1385=T222</formula>
    </cfRule>
  </conditionalFormatting>
  <conditionalFormatting sqref="M1356:M1361">
    <cfRule type="expression" dxfId="311" priority="8593">
      <formula>M1356=T229</formula>
    </cfRule>
  </conditionalFormatting>
  <conditionalFormatting sqref="M1356:M1361">
    <cfRule type="expression" dxfId="310" priority="8725">
      <formula>M1356=T1351</formula>
    </cfRule>
  </conditionalFormatting>
  <conditionalFormatting sqref="M1368">
    <cfRule type="expression" dxfId="309" priority="8736">
      <formula>M1368=#REF!</formula>
    </cfRule>
  </conditionalFormatting>
  <conditionalFormatting sqref="M1432">
    <cfRule type="expression" dxfId="308" priority="8737">
      <formula>M1432=#REF!</formula>
    </cfRule>
  </conditionalFormatting>
  <conditionalFormatting sqref="M1416">
    <cfRule type="expression" dxfId="307" priority="8739">
      <formula>M1416=#REF!</formula>
    </cfRule>
  </conditionalFormatting>
  <conditionalFormatting sqref="M1400">
    <cfRule type="expression" dxfId="306" priority="8741">
      <formula>M1400=#REF!</formula>
    </cfRule>
  </conditionalFormatting>
  <conditionalFormatting sqref="M1385">
    <cfRule type="expression" dxfId="305" priority="8743">
      <formula>M1385=#REF!</formula>
    </cfRule>
  </conditionalFormatting>
  <conditionalFormatting sqref="M1362:M1364">
    <cfRule type="expression" dxfId="304" priority="8746">
      <formula>M1362=T236</formula>
    </cfRule>
  </conditionalFormatting>
  <conditionalFormatting sqref="M1392">
    <cfRule type="expression" dxfId="303" priority="8875">
      <formula>M1392=#REF!</formula>
    </cfRule>
  </conditionalFormatting>
  <conditionalFormatting sqref="M1386:M1399">
    <cfRule type="expression" dxfId="302" priority="8877">
      <formula>M1386=T224</formula>
    </cfRule>
  </conditionalFormatting>
  <conditionalFormatting sqref="M1386:M1390">
    <cfRule type="expression" dxfId="301" priority="8878">
      <formula>M1386=T1363</formula>
    </cfRule>
  </conditionalFormatting>
  <conditionalFormatting sqref="M1386:M1395">
    <cfRule type="expression" dxfId="300" priority="222">
      <formula>M1386=T1386</formula>
    </cfRule>
  </conditionalFormatting>
  <conditionalFormatting sqref="M1396">
    <cfRule type="expression" dxfId="299" priority="221">
      <formula>M1396=T1396</formula>
    </cfRule>
  </conditionalFormatting>
  <conditionalFormatting sqref="M1368">
    <cfRule type="expression" dxfId="298" priority="220">
      <formula>M1368=T1368</formula>
    </cfRule>
  </conditionalFormatting>
  <conditionalFormatting sqref="M1397:M1404">
    <cfRule type="expression" dxfId="297" priority="219">
      <formula>M1397=T1397</formula>
    </cfRule>
  </conditionalFormatting>
  <conditionalFormatting sqref="M1406:M1412">
    <cfRule type="expression" dxfId="296" priority="218">
      <formula>M1406=T1406</formula>
    </cfRule>
  </conditionalFormatting>
  <conditionalFormatting sqref="M1405">
    <cfRule type="expression" dxfId="295" priority="217">
      <formula>M1405=T1405</formula>
    </cfRule>
  </conditionalFormatting>
  <conditionalFormatting sqref="M1413:M1419">
    <cfRule type="expression" dxfId="294" priority="216">
      <formula>M1413=T1413</formula>
    </cfRule>
  </conditionalFormatting>
  <conditionalFormatting sqref="M1420">
    <cfRule type="expression" dxfId="293" priority="215">
      <formula>M1420=T1420</formula>
    </cfRule>
  </conditionalFormatting>
  <conditionalFormatting sqref="M1421:M1429">
    <cfRule type="expression" dxfId="292" priority="214">
      <formula>M1421=T1421</formula>
    </cfRule>
  </conditionalFormatting>
  <conditionalFormatting sqref="M1430 M1432:M1437">
    <cfRule type="expression" dxfId="291" priority="213">
      <formula>M1430=T1430</formula>
    </cfRule>
  </conditionalFormatting>
  <conditionalFormatting sqref="M1482:M1483">
    <cfRule type="expression" dxfId="290" priority="8900">
      <formula>M1482=T219</formula>
    </cfRule>
  </conditionalFormatting>
  <conditionalFormatting sqref="M1467:M1481">
    <cfRule type="expression" dxfId="289" priority="8909">
      <formula>M1467=T219</formula>
    </cfRule>
  </conditionalFormatting>
  <conditionalFormatting sqref="M1475:M1481">
    <cfRule type="expression" dxfId="288" priority="8911">
      <formula>M1475=T1377</formula>
    </cfRule>
  </conditionalFormatting>
  <conditionalFormatting sqref="M1482:M1483">
    <cfRule type="expression" dxfId="287" priority="8913">
      <formula>M1482=T1432</formula>
    </cfRule>
  </conditionalFormatting>
  <conditionalFormatting sqref="M1454:M1459">
    <cfRule type="expression" dxfId="286" priority="8917">
      <formula>M1454=T219</formula>
    </cfRule>
  </conditionalFormatting>
  <conditionalFormatting sqref="M1454:M1459">
    <cfRule type="expression" dxfId="285" priority="8919">
      <formula>M1454=T1368</formula>
    </cfRule>
  </conditionalFormatting>
  <conditionalFormatting sqref="M1431">
    <cfRule type="expression" dxfId="284" priority="192">
      <formula>ROW()=CELL("FILA")</formula>
    </cfRule>
  </conditionalFormatting>
  <conditionalFormatting sqref="M1431">
    <cfRule type="expression" dxfId="283" priority="193">
      <formula>M1431=T1431</formula>
    </cfRule>
  </conditionalFormatting>
  <conditionalFormatting sqref="M1449:M1456">
    <cfRule type="expression" dxfId="282" priority="191">
      <formula>M1449=T1449</formula>
    </cfRule>
  </conditionalFormatting>
  <conditionalFormatting sqref="M1460:M1464">
    <cfRule type="expression" dxfId="281" priority="8934">
      <formula>M1460=T226</formula>
    </cfRule>
  </conditionalFormatting>
  <conditionalFormatting sqref="M1461:M1464">
    <cfRule type="expression" dxfId="280" priority="8936">
      <formula>M1461=T1377</formula>
    </cfRule>
  </conditionalFormatting>
  <conditionalFormatting sqref="M1465:M1466">
    <cfRule type="expression" dxfId="279" priority="8948">
      <formula>M1465=T232</formula>
    </cfRule>
  </conditionalFormatting>
  <conditionalFormatting sqref="M1465:M1466">
    <cfRule type="expression" dxfId="278" priority="8950">
      <formula>M1465=T1382</formula>
    </cfRule>
  </conditionalFormatting>
  <conditionalFormatting sqref="M1467:M1475">
    <cfRule type="expression" dxfId="277" priority="185">
      <formula>M1467=T1467</formula>
    </cfRule>
  </conditionalFormatting>
  <conditionalFormatting sqref="M1474">
    <cfRule type="expression" dxfId="276" priority="183">
      <formula>M1474=T1474</formula>
    </cfRule>
  </conditionalFormatting>
  <conditionalFormatting sqref="M1476:M1483">
    <cfRule type="expression" dxfId="275" priority="182">
      <formula>M1476=T1476</formula>
    </cfRule>
  </conditionalFormatting>
  <conditionalFormatting sqref="L831:L1375">
    <cfRule type="expression" dxfId="274" priority="157">
      <formula>ROW()=CELL("FILA")</formula>
    </cfRule>
  </conditionalFormatting>
  <conditionalFormatting sqref="L1754:L1783 L1813:L1831 L831:L1375 L1434:L1745 L1929:L1964">
    <cfRule type="expression" dxfId="273" priority="158">
      <formula>L831=#REF!</formula>
    </cfRule>
  </conditionalFormatting>
  <conditionalFormatting sqref="M1377:M1384">
    <cfRule type="expression" dxfId="272" priority="9031">
      <formula>M1377=T230</formula>
    </cfRule>
  </conditionalFormatting>
  <conditionalFormatting sqref="M1377:M1383">
    <cfRule type="expression" dxfId="271" priority="9033">
      <formula>M1377=T1369</formula>
    </cfRule>
  </conditionalFormatting>
  <conditionalFormatting sqref="M1433:M1446">
    <cfRule type="expression" dxfId="270" priority="9035">
      <formula>M1433=T1362</formula>
    </cfRule>
  </conditionalFormatting>
  <conditionalFormatting sqref="M1467:M1474">
    <cfRule type="expression" dxfId="269" priority="9037">
      <formula>M1467=T1368</formula>
    </cfRule>
  </conditionalFormatting>
  <conditionalFormatting sqref="M1460">
    <cfRule type="expression" dxfId="268" priority="9039">
      <formula>M1460=T1375</formula>
    </cfRule>
  </conditionalFormatting>
  <conditionalFormatting sqref="L1376:M1376">
    <cfRule type="expression" dxfId="267" priority="156">
      <formula>L1376=S1376</formula>
    </cfRule>
  </conditionalFormatting>
  <conditionalFormatting sqref="L1376:M1376">
    <cfRule type="expression" dxfId="266" priority="155">
      <formula>ROW()=CELL("FILA")</formula>
    </cfRule>
  </conditionalFormatting>
  <conditionalFormatting sqref="L1377:L1433">
    <cfRule type="expression" dxfId="265" priority="9048">
      <formula>L1377=S631</formula>
    </cfRule>
  </conditionalFormatting>
  <conditionalFormatting sqref="D1516:D1520">
    <cfRule type="expression" dxfId="264" priority="146">
      <formula>ROW()=CELL("FILA")</formula>
    </cfRule>
  </conditionalFormatting>
  <conditionalFormatting sqref="G1528:G1534">
    <cfRule type="expression" dxfId="263" priority="143">
      <formula>ROW()=CELL("FILA")</formula>
    </cfRule>
  </conditionalFormatting>
  <conditionalFormatting sqref="E1484:E1514">
    <cfRule type="expression" dxfId="262" priority="121">
      <formula>ROW()=CELL("FILA")</formula>
    </cfRule>
  </conditionalFormatting>
  <conditionalFormatting sqref="E1210:F1210">
    <cfRule type="expression" dxfId="261" priority="124">
      <formula>E1210=L1210</formula>
    </cfRule>
  </conditionalFormatting>
  <conditionalFormatting sqref="E1210:F1210">
    <cfRule type="expression" dxfId="260" priority="123">
      <formula>ROW()=CELL("FILA")</formula>
    </cfRule>
  </conditionalFormatting>
  <conditionalFormatting sqref="E1484:E1534">
    <cfRule type="expression" dxfId="259" priority="122">
      <formula>E1484=L1484</formula>
    </cfRule>
  </conditionalFormatting>
  <conditionalFormatting sqref="F1484:F1534">
    <cfRule type="expression" dxfId="258" priority="120">
      <formula>F1484=M1484</formula>
    </cfRule>
  </conditionalFormatting>
  <conditionalFormatting sqref="F1484:F1514">
    <cfRule type="expression" dxfId="257" priority="119">
      <formula>ROW()=CELL("FILA")</formula>
    </cfRule>
  </conditionalFormatting>
  <conditionalFormatting sqref="M1484:M1534">
    <cfRule type="expression" dxfId="256" priority="118">
      <formula>M1484=T1484</formula>
    </cfRule>
  </conditionalFormatting>
  <conditionalFormatting sqref="M1484:M1514">
    <cfRule type="expression" dxfId="255" priority="117">
      <formula>ROW()=CELL("FILA")</formula>
    </cfRule>
  </conditionalFormatting>
  <conditionalFormatting sqref="L149:M560">
    <cfRule type="expression" dxfId="254" priority="9051">
      <formula>L149=S1048173</formula>
    </cfRule>
  </conditionalFormatting>
  <conditionalFormatting sqref="M1542:M1549">
    <cfRule type="expression" dxfId="253" priority="99">
      <formula>M1542=T1542</formula>
    </cfRule>
  </conditionalFormatting>
  <conditionalFormatting sqref="M1550:M1561">
    <cfRule type="expression" dxfId="252" priority="97">
      <formula>M1550=T1550</formula>
    </cfRule>
  </conditionalFormatting>
  <conditionalFormatting sqref="M1562:M1569">
    <cfRule type="expression" dxfId="251" priority="95">
      <formula>M1562=T1562</formula>
    </cfRule>
  </conditionalFormatting>
  <conditionalFormatting sqref="D1595:D1603">
    <cfRule type="expression" dxfId="250" priority="91">
      <formula>ROW()=CELL("FILA")</formula>
    </cfRule>
  </conditionalFormatting>
  <conditionalFormatting sqref="M1605">
    <cfRule type="expression" dxfId="249" priority="89">
      <formula>M1605=T1605</formula>
    </cfRule>
  </conditionalFormatting>
  <conditionalFormatting sqref="M1640">
    <cfRule type="expression" dxfId="248" priority="79">
      <formula>M1640=T1640</formula>
    </cfRule>
  </conditionalFormatting>
  <conditionalFormatting sqref="M1631:M1639">
    <cfRule type="expression" dxfId="247" priority="80">
      <formula>M1631=T1631</formula>
    </cfRule>
  </conditionalFormatting>
  <conditionalFormatting sqref="M1646">
    <cfRule type="expression" dxfId="246" priority="75">
      <formula>M1646=T1646</formula>
    </cfRule>
  </conditionalFormatting>
  <conditionalFormatting sqref="M1647:M1651 M1641:M1645">
    <cfRule type="expression" dxfId="245" priority="77">
      <formula>M1641=T1641</formula>
    </cfRule>
  </conditionalFormatting>
  <conditionalFormatting sqref="M1653">
    <cfRule type="expression" dxfId="244" priority="71">
      <formula>M1653=T1653</formula>
    </cfRule>
  </conditionalFormatting>
  <conditionalFormatting sqref="M1652 M1654:M1656 M1658">
    <cfRule type="expression" dxfId="243" priority="72">
      <formula>M1652=T1652</formula>
    </cfRule>
  </conditionalFormatting>
  <conditionalFormatting sqref="M1657">
    <cfRule type="expression" dxfId="242" priority="70">
      <formula>M1657=T1657</formula>
    </cfRule>
  </conditionalFormatting>
  <conditionalFormatting sqref="E1653">
    <cfRule type="expression" dxfId="241" priority="67">
      <formula>E1653=L1653</formula>
    </cfRule>
  </conditionalFormatting>
  <conditionalFormatting sqref="M1354">
    <cfRule type="expression" dxfId="240" priority="62">
      <formula>M1354=T326</formula>
    </cfRule>
  </conditionalFormatting>
  <conditionalFormatting sqref="M1354">
    <cfRule type="expression" dxfId="239" priority="61">
      <formula>M1354=T1354</formula>
    </cfRule>
  </conditionalFormatting>
  <conditionalFormatting sqref="L3:M148">
    <cfRule type="expression" dxfId="238" priority="9351">
      <formula>L3=S1048230</formula>
    </cfRule>
  </conditionalFormatting>
  <conditionalFormatting sqref="M1746">
    <cfRule type="expression" dxfId="237" priority="55">
      <formula>M1746=T1746</formula>
    </cfRule>
  </conditionalFormatting>
  <conditionalFormatting sqref="L1965:L1968">
    <cfRule type="expression" dxfId="236" priority="49">
      <formula>ROW()=CELL("FILA")</formula>
    </cfRule>
  </conditionalFormatting>
  <conditionalFormatting sqref="L1965:L1968">
    <cfRule type="expression" dxfId="235" priority="50">
      <formula>L1965=#REF!</formula>
    </cfRule>
  </conditionalFormatting>
  <conditionalFormatting sqref="E1535:E1545">
    <cfRule type="expression" dxfId="234" priority="45">
      <formula>E1535=L1535</formula>
    </cfRule>
  </conditionalFormatting>
  <conditionalFormatting sqref="L2:M2">
    <cfRule type="expression" dxfId="233" priority="9416">
      <formula>L2=#REF!</formula>
    </cfRule>
  </conditionalFormatting>
  <conditionalFormatting sqref="L1746:L1752">
    <cfRule type="expression" dxfId="232" priority="41">
      <formula>ROW()=CELL("FILA")</formula>
    </cfRule>
  </conditionalFormatting>
  <conditionalFormatting sqref="L1746:L1752">
    <cfRule type="expression" dxfId="231" priority="42">
      <formula>L1746=#REF!</formula>
    </cfRule>
  </conditionalFormatting>
  <conditionalFormatting sqref="M1767:M1773">
    <cfRule type="expression" dxfId="230" priority="40">
      <formula>M1767=T1767</formula>
    </cfRule>
  </conditionalFormatting>
  <conditionalFormatting sqref="E1769">
    <cfRule type="expression" dxfId="229" priority="37">
      <formula>ROW()=CELL("FILA")</formula>
    </cfRule>
  </conditionalFormatting>
  <conditionalFormatting sqref="E1769">
    <cfRule type="expression" dxfId="228" priority="38">
      <formula>E1769=L1769</formula>
    </cfRule>
  </conditionalFormatting>
  <conditionalFormatting sqref="L1965:L1966">
    <cfRule type="expression" dxfId="227" priority="9420">
      <formula>L1965=S1022</formula>
    </cfRule>
  </conditionalFormatting>
  <conditionalFormatting sqref="L1754:L1775">
    <cfRule type="expression" dxfId="226" priority="9436">
      <formula>L1754=S1008</formula>
    </cfRule>
  </conditionalFormatting>
  <conditionalFormatting sqref="M1753">
    <cfRule type="expression" dxfId="225" priority="33">
      <formula>M1753=T1753</formula>
    </cfRule>
  </conditionalFormatting>
  <conditionalFormatting sqref="L1753 L1630:L1675 L1777:L1785">
    <cfRule type="expression" dxfId="224" priority="32">
      <formula>L1630=S886</formula>
    </cfRule>
  </conditionalFormatting>
  <conditionalFormatting sqref="L1753">
    <cfRule type="expression" dxfId="223" priority="30">
      <formula>ROW()=CELL("FILA")</formula>
    </cfRule>
  </conditionalFormatting>
  <conditionalFormatting sqref="L1753">
    <cfRule type="expression" dxfId="222" priority="31">
      <formula>L1753=#REF!</formula>
    </cfRule>
  </conditionalFormatting>
  <conditionalFormatting sqref="L1783:L1796">
    <cfRule type="expression" dxfId="221" priority="26">
      <formula>ROW()=CELL("FILA")</formula>
    </cfRule>
  </conditionalFormatting>
  <conditionalFormatting sqref="L1783:L1796">
    <cfRule type="expression" dxfId="220" priority="27">
      <formula>L1783=#REF!</formula>
    </cfRule>
  </conditionalFormatting>
  <conditionalFormatting sqref="L1968">
    <cfRule type="expression" dxfId="219" priority="9638">
      <formula>L1968=S1023</formula>
    </cfRule>
  </conditionalFormatting>
  <conditionalFormatting sqref="L1967">
    <cfRule type="expression" dxfId="218" priority="9641">
      <formula>L1967=S1023</formula>
    </cfRule>
  </conditionalFormatting>
  <conditionalFormatting sqref="L1962:L1964">
    <cfRule type="expression" dxfId="217" priority="9643">
      <formula>L1962=S1042</formula>
    </cfRule>
  </conditionalFormatting>
  <conditionalFormatting sqref="L1793:L1796">
    <cfRule type="expression" dxfId="216" priority="9647">
      <formula>L1793=S1042</formula>
    </cfRule>
  </conditionalFormatting>
  <conditionalFormatting sqref="L1822:L1824">
    <cfRule type="expression" dxfId="215" priority="9697">
      <formula>L1822=S1052</formula>
    </cfRule>
  </conditionalFormatting>
  <conditionalFormatting sqref="L1822:L1824">
    <cfRule type="expression" dxfId="214" priority="9700">
      <formula>L1822=S1046</formula>
    </cfRule>
  </conditionalFormatting>
  <conditionalFormatting sqref="M1797:M1806">
    <cfRule type="expression" dxfId="213" priority="25">
      <formula>M1797=T1797</formula>
    </cfRule>
  </conditionalFormatting>
  <conditionalFormatting sqref="L1797:L1806">
    <cfRule type="expression" dxfId="212" priority="24">
      <formula>L1797=S1797</formula>
    </cfRule>
  </conditionalFormatting>
  <conditionalFormatting sqref="L1813:L1831">
    <cfRule type="expression" dxfId="211" priority="9778">
      <formula>L1813=S1053</formula>
    </cfRule>
  </conditionalFormatting>
  <conditionalFormatting sqref="L1813:L1831">
    <cfRule type="expression" dxfId="210" priority="9780">
      <formula>L1813=S1047</formula>
    </cfRule>
  </conditionalFormatting>
  <conditionalFormatting sqref="L1807:M1812">
    <cfRule type="expression" dxfId="209" priority="23">
      <formula>L1807=S1807</formula>
    </cfRule>
  </conditionalFormatting>
  <conditionalFormatting sqref="L1825:L1831">
    <cfRule type="expression" dxfId="208" priority="9808">
      <formula>L1825=S1050</formula>
    </cfRule>
  </conditionalFormatting>
  <conditionalFormatting sqref="L1832:M1832">
    <cfRule type="expression" dxfId="207" priority="22">
      <formula>L1832=S1832</formula>
    </cfRule>
  </conditionalFormatting>
  <conditionalFormatting sqref="L1833:M1842">
    <cfRule type="expression" dxfId="206" priority="21">
      <formula>L1833=S1833</formula>
    </cfRule>
  </conditionalFormatting>
  <conditionalFormatting sqref="H3">
    <cfRule type="expression" dxfId="205" priority="19">
      <formula>ROW()=CELL("FILA")</formula>
    </cfRule>
  </conditionalFormatting>
  <conditionalFormatting sqref="L1843:L1852 L1854:L1857">
    <cfRule type="expression" dxfId="204" priority="18">
      <formula>L1843=S1843</formula>
    </cfRule>
  </conditionalFormatting>
  <conditionalFormatting sqref="L1858:M1866">
    <cfRule type="expression" dxfId="203" priority="17">
      <formula>L1858=S1858</formula>
    </cfRule>
  </conditionalFormatting>
  <conditionalFormatting sqref="L442 L405 L561:L564">
    <cfRule type="expression" dxfId="202" priority="16">
      <formula>L405=S1048266</formula>
    </cfRule>
  </conditionalFormatting>
  <conditionalFormatting sqref="L564 L442 L405">
    <cfRule type="expression" dxfId="201" priority="15">
      <formula>L405=#REF!</formula>
    </cfRule>
  </conditionalFormatting>
  <conditionalFormatting sqref="L564">
    <cfRule type="expression" dxfId="200" priority="14">
      <formula>ROW()=CELL("FILA")</formula>
    </cfRule>
  </conditionalFormatting>
  <conditionalFormatting sqref="L1853 L1664 L1579">
    <cfRule type="expression" dxfId="199" priority="13">
      <formula>ROW()=CELL("FILA")</formula>
    </cfRule>
  </conditionalFormatting>
  <conditionalFormatting sqref="L1853 L1664">
    <cfRule type="expression" dxfId="198" priority="12">
      <formula>L1664=S919</formula>
    </cfRule>
  </conditionalFormatting>
  <conditionalFormatting sqref="L1853">
    <cfRule type="expression" dxfId="197" priority="11">
      <formula>L1853=#REF!</formula>
    </cfRule>
  </conditionalFormatting>
  <conditionalFormatting sqref="L1869:L1870 L1872:L1897 L1899:L1905">
    <cfRule type="expression" dxfId="196" priority="10">
      <formula>L1869=S1869</formula>
    </cfRule>
  </conditionalFormatting>
  <conditionalFormatting sqref="L1867">
    <cfRule type="expression" dxfId="195" priority="9">
      <formula>L1867=S1867</formula>
    </cfRule>
  </conditionalFormatting>
  <conditionalFormatting sqref="L1871">
    <cfRule type="expression" dxfId="194" priority="8">
      <formula>L1871=S1871</formula>
    </cfRule>
  </conditionalFormatting>
  <conditionalFormatting sqref="L1868">
    <cfRule type="expression" dxfId="193" priority="7">
      <formula>L1868=S1868</formula>
    </cfRule>
  </conditionalFormatting>
  <conditionalFormatting sqref="E2089:F2089">
    <cfRule type="expression" dxfId="192" priority="10179">
      <formula>E2089=#REF!</formula>
    </cfRule>
  </conditionalFormatting>
  <conditionalFormatting sqref="L1898">
    <cfRule type="expression" dxfId="191" priority="6">
      <formula>L1898=S1898</formula>
    </cfRule>
  </conditionalFormatting>
  <conditionalFormatting sqref="L1955:L1961">
    <cfRule type="expression" dxfId="190" priority="10375">
      <formula>L1955=S1048</formula>
    </cfRule>
  </conditionalFormatting>
  <conditionalFormatting sqref="L1941:L1954">
    <cfRule type="expression" dxfId="189" priority="10379">
      <formula>L1941=S1048</formula>
    </cfRule>
  </conditionalFormatting>
  <conditionalFormatting sqref="L1929:L1933">
    <cfRule type="expression" dxfId="188" priority="10388">
      <formula>L1929=S1054</formula>
    </cfRule>
  </conditionalFormatting>
  <conditionalFormatting sqref="D1803:D1912">
    <cfRule type="expression" dxfId="187" priority="1">
      <formula>ROW()=CELL("FILA")</formula>
    </cfRule>
  </conditionalFormatting>
  <conditionalFormatting sqref="L1934:L1940">
    <cfRule type="expression" dxfId="186" priority="10395">
      <formula>L1934=S1055</formula>
    </cfRule>
  </conditionalFormatting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878A10-2B28-45C2-B2B4-A04AD8A995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I1976:I1981</xm:sqref>
        </x14:conditionalFormatting>
        <x14:conditionalFormatting xmlns:xm="http://schemas.microsoft.com/office/excel/2006/main">
          <x14:cfRule type="dataBar" id="{4FF7A170-754A-4653-9324-A04B24A0D8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380E3F9-30D3-4BDF-90E6-82EF100CA0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I1982:K1987 J1978:K1981</xm:sqref>
        </x14:conditionalFormatting>
        <x14:conditionalFormatting xmlns:xm="http://schemas.microsoft.com/office/excel/2006/main">
          <x14:cfRule type="dataBar" id="{E9B6E34A-5BC0-49CD-A066-ED75DC3F9C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I1973:O1974</xm:sqref>
        </x14:conditionalFormatting>
        <x14:conditionalFormatting xmlns:xm="http://schemas.microsoft.com/office/excel/2006/main">
          <x14:cfRule type="dataBar" id="{40527325-B1CD-48AA-A4AD-7BD0115F05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I1975:O1975</xm:sqref>
        </x14:conditionalFormatting>
        <x14:conditionalFormatting xmlns:xm="http://schemas.microsoft.com/office/excel/2006/main">
          <x14:cfRule type="dataBar" id="{348DDE3C-FCC6-4D8F-B3FC-C6A050A7DA2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J1976:O1976</xm:sqref>
        </x14:conditionalFormatting>
        <x14:conditionalFormatting xmlns:xm="http://schemas.microsoft.com/office/excel/2006/main">
          <x14:cfRule type="dataBar" id="{A73E4797-9A24-48F7-B12E-BC76A85E7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J1977:O1977</xm:sqref>
        </x14:conditionalFormatting>
        <x14:conditionalFormatting xmlns:xm="http://schemas.microsoft.com/office/excel/2006/main">
          <x14:cfRule type="dataBar" id="{ADDD0A01-ADBE-41EB-A540-1C8861329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8F7866ED-EC2F-4870-A613-504D07D6FA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L1978:L1987</xm:sqref>
        </x14:conditionalFormatting>
        <x14:conditionalFormatting xmlns:xm="http://schemas.microsoft.com/office/excel/2006/main">
          <x14:cfRule type="dataBar" id="{BBEB856D-0D8C-4CCA-90EA-CC6E18825F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34565B1-49B6-45B9-83C8-5A08968DCC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M1978:M1987</xm:sqref>
        </x14:conditionalFormatting>
        <x14:conditionalFormatting xmlns:xm="http://schemas.microsoft.com/office/excel/2006/main">
          <x14:cfRule type="dataBar" id="{3FBB0335-F9A3-4E62-A85E-0DA062936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D921AF5-8835-47A0-A07A-A7382E8A1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N1978:N1987</xm:sqref>
        </x14:conditionalFormatting>
        <x14:conditionalFormatting xmlns:xm="http://schemas.microsoft.com/office/excel/2006/main">
          <x14:cfRule type="dataBar" id="{51486BBE-EDAF-43BE-ADE1-6EF0F1B44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35D92E4-9592-400C-98AA-115E5780C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O1978:O1987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8BED-3782-4B38-BB8D-3CF7AD2AB2B1}">
  <sheetPr codeName="Hoja7"/>
  <dimension ref="A1:Z2274"/>
  <sheetViews>
    <sheetView topLeftCell="B1" zoomScale="90" zoomScaleNormal="90" workbookViewId="0">
      <pane ySplit="1" topLeftCell="A2" activePane="bottomLeft" state="frozen"/>
      <selection pane="bottomLeft" activeCell="Q498" sqref="Q498"/>
    </sheetView>
  </sheetViews>
  <sheetFormatPr baseColWidth="10" defaultColWidth="11.42578125" defaultRowHeight="15" x14ac:dyDescent="0.25"/>
  <cols>
    <col min="1" max="1" width="17.42578125" style="94" hidden="1" customWidth="1"/>
    <col min="2" max="2" width="10.42578125" style="94" customWidth="1"/>
    <col min="3" max="3" width="12.42578125" style="94" bestFit="1" customWidth="1"/>
    <col min="4" max="4" width="15" style="94" customWidth="1"/>
    <col min="5" max="5" width="18.7109375" style="94" customWidth="1"/>
    <col min="6" max="6" width="13.5703125" style="94" customWidth="1"/>
    <col min="7" max="7" width="32.7109375" style="94" bestFit="1" customWidth="1"/>
    <col min="8" max="8" width="34.7109375" style="94" bestFit="1" customWidth="1" collapsed="1"/>
    <col min="9" max="9" width="23.140625" style="167" customWidth="1"/>
    <col min="10" max="10" width="15.5703125" style="94" customWidth="1"/>
    <col min="11" max="11" width="13.42578125" style="94" customWidth="1"/>
    <col min="12" max="12" width="11.5703125" style="94" customWidth="1"/>
    <col min="13" max="13" width="11" style="113" customWidth="1"/>
    <col min="14" max="14" width="7.7109375" style="94" customWidth="1"/>
    <col min="15" max="15" width="20.7109375" style="94" bestFit="1" customWidth="1"/>
    <col min="16" max="16" width="11.7109375" style="94" bestFit="1" customWidth="1"/>
    <col min="17" max="17" width="10.42578125" style="94" bestFit="1" customWidth="1"/>
    <col min="18" max="18" width="12.140625" style="94" bestFit="1" customWidth="1" collapsed="1"/>
    <col min="19" max="19" width="11.42578125" style="94" bestFit="1" customWidth="1"/>
    <col min="20" max="16384" width="11.42578125" style="94"/>
  </cols>
  <sheetData>
    <row r="1" spans="1:25" x14ac:dyDescent="0.25">
      <c r="A1" s="105" t="s">
        <v>402</v>
      </c>
      <c r="B1" s="105" t="s">
        <v>61</v>
      </c>
      <c r="C1" s="105" t="s">
        <v>403</v>
      </c>
      <c r="D1" s="106" t="s">
        <v>404</v>
      </c>
      <c r="E1" s="107" t="s">
        <v>405</v>
      </c>
      <c r="F1" s="105" t="s">
        <v>406</v>
      </c>
      <c r="G1" s="108" t="s">
        <v>407</v>
      </c>
      <c r="H1" s="109" t="s">
        <v>71</v>
      </c>
      <c r="I1" s="165" t="s">
        <v>408</v>
      </c>
      <c r="J1" s="110" t="s">
        <v>409</v>
      </c>
      <c r="K1" s="111" t="s">
        <v>410</v>
      </c>
      <c r="L1" s="106" t="s">
        <v>411</v>
      </c>
      <c r="M1" s="109" t="s">
        <v>412</v>
      </c>
      <c r="N1" s="105" t="s">
        <v>357</v>
      </c>
      <c r="O1" s="105" t="s">
        <v>413</v>
      </c>
      <c r="P1" s="105" t="s">
        <v>414</v>
      </c>
      <c r="Q1" s="105" t="s">
        <v>415</v>
      </c>
      <c r="R1" s="105" t="s">
        <v>416</v>
      </c>
      <c r="S1" s="259"/>
      <c r="T1" s="249"/>
      <c r="U1" s="249"/>
      <c r="V1" s="249"/>
      <c r="W1" s="249"/>
      <c r="X1" s="249"/>
      <c r="Y1" s="249"/>
    </row>
    <row r="2" spans="1:25" s="152" customFormat="1" x14ac:dyDescent="0.25">
      <c r="A2" s="112" t="str">
        <f>+Tabla4[[#This Row],[PISCINA]]&amp;Tabla4[[#This Row],[AGUAJE]]</f>
        <v>PA 02AGUAJE 24</v>
      </c>
      <c r="B2" s="112" t="s">
        <v>263</v>
      </c>
      <c r="C2" t="str">
        <f t="shared" ref="C2:C33" si="0">+MID(A2,1,2)</f>
        <v>PA</v>
      </c>
      <c r="D2" s="194">
        <v>45917</v>
      </c>
      <c r="E2" s="172">
        <v>400000</v>
      </c>
      <c r="F2" s="249" t="s">
        <v>417</v>
      </c>
      <c r="G2" s="190" t="s">
        <v>418</v>
      </c>
      <c r="H2" s="189" t="s">
        <v>419</v>
      </c>
      <c r="I2" s="166" t="str">
        <f>IFERROR(VLOOKUP(H2,DATOS!$E$117:$F$168,2,0),"")</f>
        <v>H10603</v>
      </c>
      <c r="J2" s="191">
        <v>0.8</v>
      </c>
      <c r="K2" s="192">
        <f t="shared" ref="K2:K65" si="1">+D2-L2</f>
        <v>23</v>
      </c>
      <c r="L2" s="194">
        <v>45894</v>
      </c>
      <c r="M2" s="189">
        <f t="shared" ref="M2:M65" si="2">+D2-L2</f>
        <v>23</v>
      </c>
      <c r="N2" s="176">
        <v>0.95</v>
      </c>
      <c r="O2" s="112" t="s">
        <v>420</v>
      </c>
      <c r="P2" t="str">
        <f>+UPPER(TEXT(Tabla4[[#This Row],[transferencia]],"mmmm"))</f>
        <v>SEPTIEMBRE</v>
      </c>
      <c r="Q2" t="s">
        <v>421</v>
      </c>
      <c r="R2"/>
      <c r="S2" s="249"/>
      <c r="T2" s="249"/>
      <c r="U2" s="249"/>
      <c r="V2" s="249"/>
      <c r="W2" s="249"/>
      <c r="X2" s="249"/>
      <c r="Y2" s="249"/>
    </row>
    <row r="3" spans="1:25" s="152" customFormat="1" hidden="1" x14ac:dyDescent="0.25">
      <c r="A3" s="112" t="str">
        <f>+Tabla4[[#This Row],[PISCINA]]&amp;Tabla4[[#This Row],[AGUAJE]]</f>
        <v>DE 19AGUAJE 1</v>
      </c>
      <c r="B3" s="112" t="s">
        <v>115</v>
      </c>
      <c r="C3" t="str">
        <f t="shared" si="0"/>
        <v>DE</v>
      </c>
      <c r="D3" s="194">
        <v>45933</v>
      </c>
      <c r="E3" s="172">
        <v>800000</v>
      </c>
      <c r="F3" s="249" t="s">
        <v>417</v>
      </c>
      <c r="G3" s="190" t="s">
        <v>422</v>
      </c>
      <c r="H3" s="189" t="s">
        <v>423</v>
      </c>
      <c r="I3" s="166" t="str">
        <f>IFERROR(VLOOKUP(H3,DATOS!$E$117:$F$168,2,0),"")</f>
        <v>H10611</v>
      </c>
      <c r="J3" s="191">
        <v>0.74670000000000003</v>
      </c>
      <c r="K3" s="192">
        <f t="shared" si="1"/>
        <v>24</v>
      </c>
      <c r="L3" s="194">
        <v>45909</v>
      </c>
      <c r="M3" s="189">
        <f t="shared" si="2"/>
        <v>24</v>
      </c>
      <c r="N3" s="176">
        <v>0.9</v>
      </c>
      <c r="O3" s="112" t="s">
        <v>424</v>
      </c>
      <c r="P3" t="str">
        <f>+UPPER(TEXT(Tabla4[[#This Row],[transferencia]],"mmmm"))</f>
        <v>OCTUBRE</v>
      </c>
      <c r="Q3" t="s">
        <v>103</v>
      </c>
      <c r="R3"/>
      <c r="S3" s="249"/>
      <c r="T3" s="249"/>
      <c r="U3" s="249"/>
      <c r="V3" s="249"/>
      <c r="W3" s="249"/>
      <c r="X3" s="249"/>
      <c r="Y3" s="249"/>
    </row>
    <row r="4" spans="1:25" s="152" customFormat="1" hidden="1" x14ac:dyDescent="0.25">
      <c r="A4" s="112" t="str">
        <f>+Tabla4[[#This Row],[PISCINA]]&amp;Tabla4[[#This Row],[AGUAJE]]</f>
        <v>TI 06AGUAJE 1</v>
      </c>
      <c r="B4" s="112" t="s">
        <v>118</v>
      </c>
      <c r="C4" s="249" t="str">
        <f t="shared" si="0"/>
        <v>TI</v>
      </c>
      <c r="D4" s="194">
        <v>45935</v>
      </c>
      <c r="E4" s="172">
        <v>1033600</v>
      </c>
      <c r="F4" s="249" t="s">
        <v>417</v>
      </c>
      <c r="G4" s="190" t="s">
        <v>422</v>
      </c>
      <c r="H4" s="189" t="s">
        <v>425</v>
      </c>
      <c r="I4" s="166" t="str">
        <f>IFERROR(VLOOKUP(H4,DATOS!$E$117:$F$168,2,0),"")</f>
        <v/>
      </c>
      <c r="J4" s="191">
        <v>0.71350000000000002</v>
      </c>
      <c r="K4" s="192">
        <f t="shared" si="1"/>
        <v>23</v>
      </c>
      <c r="L4" s="194">
        <v>45912</v>
      </c>
      <c r="M4" s="189">
        <f t="shared" si="2"/>
        <v>23</v>
      </c>
      <c r="N4" s="176">
        <v>0.54</v>
      </c>
      <c r="O4" s="112" t="s">
        <v>426</v>
      </c>
      <c r="P4" s="249" t="str">
        <f>+UPPER(TEXT(Tabla4[[#This Row],[transferencia]],"mmmm"))</f>
        <v>OCTUBRE</v>
      </c>
      <c r="Q4" t="s">
        <v>103</v>
      </c>
      <c r="R4"/>
      <c r="S4" s="249"/>
      <c r="T4" s="249"/>
      <c r="U4" s="249"/>
      <c r="V4" s="249"/>
      <c r="W4" s="249"/>
      <c r="X4" s="249"/>
      <c r="Y4" s="249"/>
    </row>
    <row r="5" spans="1:25" s="152" customFormat="1" hidden="1" x14ac:dyDescent="0.25">
      <c r="A5" s="112" t="str">
        <f>+Tabla4[[#This Row],[PISCINA]]&amp;Tabla4[[#This Row],[AGUAJE]]</f>
        <v>TI 07AGUAJE 1</v>
      </c>
      <c r="B5" s="112" t="s">
        <v>122</v>
      </c>
      <c r="C5" s="249" t="str">
        <f t="shared" si="0"/>
        <v>TI</v>
      </c>
      <c r="D5" s="194">
        <v>45935</v>
      </c>
      <c r="E5" s="172">
        <v>462400</v>
      </c>
      <c r="F5" s="249" t="s">
        <v>417</v>
      </c>
      <c r="G5" s="190" t="s">
        <v>422</v>
      </c>
      <c r="H5" s="189" t="s">
        <v>425</v>
      </c>
      <c r="I5" s="166" t="str">
        <f>IFERROR(VLOOKUP(H5,DATOS!$E$117:$F$168,2,0),"")</f>
        <v/>
      </c>
      <c r="J5" s="191">
        <v>0.71</v>
      </c>
      <c r="K5" s="192">
        <f t="shared" si="1"/>
        <v>23</v>
      </c>
      <c r="L5" s="194">
        <v>45912</v>
      </c>
      <c r="M5" s="189">
        <f t="shared" si="2"/>
        <v>23</v>
      </c>
      <c r="N5" s="176">
        <v>0.57999999999999996</v>
      </c>
      <c r="O5" s="112" t="s">
        <v>427</v>
      </c>
      <c r="P5" s="249" t="str">
        <f>+UPPER(TEXT(Tabla4[[#This Row],[transferencia]],"mmmm"))</f>
        <v>OCTUBRE</v>
      </c>
      <c r="Q5" t="s">
        <v>103</v>
      </c>
      <c r="R5"/>
      <c r="S5" s="249"/>
      <c r="T5" s="249"/>
      <c r="U5" s="249"/>
      <c r="V5" s="249"/>
      <c r="W5" s="249"/>
      <c r="X5" s="249"/>
      <c r="Y5" s="249"/>
    </row>
    <row r="6" spans="1:25" s="152" customFormat="1" hidden="1" x14ac:dyDescent="0.25">
      <c r="A6" s="112" t="str">
        <f>+Tabla4[[#This Row],[PISCINA]]&amp;Tabla4[[#This Row],[AGUAJE]]</f>
        <v>ME 13AGUAJE 1</v>
      </c>
      <c r="B6" s="112" t="s">
        <v>119</v>
      </c>
      <c r="C6" t="str">
        <f t="shared" si="0"/>
        <v>ME</v>
      </c>
      <c r="D6" s="194">
        <v>45936</v>
      </c>
      <c r="E6" s="172">
        <v>256000</v>
      </c>
      <c r="F6" s="249" t="s">
        <v>417</v>
      </c>
      <c r="G6" s="190" t="s">
        <v>428</v>
      </c>
      <c r="H6" s="189" t="s">
        <v>419</v>
      </c>
      <c r="I6" s="166" t="str">
        <f>IFERROR(VLOOKUP(H6,DATOS!$E$117:$F$168,2,0),"")</f>
        <v>H10603</v>
      </c>
      <c r="J6" s="191">
        <v>0.91080000000000005</v>
      </c>
      <c r="K6" s="192">
        <f t="shared" si="1"/>
        <v>22</v>
      </c>
      <c r="L6" s="194">
        <v>45914</v>
      </c>
      <c r="M6" s="189">
        <f t="shared" si="2"/>
        <v>22</v>
      </c>
      <c r="N6" s="176">
        <v>0.55000000000000004</v>
      </c>
      <c r="O6" s="112" t="s">
        <v>429</v>
      </c>
      <c r="P6" t="str">
        <f>+UPPER(TEXT(Tabla4[[#This Row],[transferencia]],"mmmm"))</f>
        <v>OCTUBRE</v>
      </c>
      <c r="Q6" t="s">
        <v>103</v>
      </c>
      <c r="R6"/>
      <c r="S6" s="249"/>
      <c r="T6" s="249"/>
      <c r="U6" s="249"/>
      <c r="V6" s="249"/>
      <c r="W6" s="249"/>
      <c r="X6" s="249"/>
      <c r="Y6" s="249"/>
    </row>
    <row r="7" spans="1:25" s="152" customFormat="1" hidden="1" x14ac:dyDescent="0.25">
      <c r="A7" s="112" t="str">
        <f>+Tabla4[[#This Row],[PISCINA]]&amp;Tabla4[[#This Row],[AGUAJE]]</f>
        <v>ME 19AGUAJE 1</v>
      </c>
      <c r="B7" s="112" t="s">
        <v>120</v>
      </c>
      <c r="C7" t="str">
        <f t="shared" si="0"/>
        <v>ME</v>
      </c>
      <c r="D7" s="194">
        <v>45936</v>
      </c>
      <c r="E7" s="172">
        <v>360000</v>
      </c>
      <c r="F7" s="249" t="s">
        <v>417</v>
      </c>
      <c r="G7" s="190" t="s">
        <v>428</v>
      </c>
      <c r="H7" s="189" t="s">
        <v>419</v>
      </c>
      <c r="I7" s="166" t="str">
        <f>IFERROR(VLOOKUP(H7,DATOS!$E$117:$F$168,2,0),"")</f>
        <v>H10603</v>
      </c>
      <c r="J7" s="191">
        <v>0.91080000000000005</v>
      </c>
      <c r="K7" s="192">
        <f t="shared" si="1"/>
        <v>22</v>
      </c>
      <c r="L7" s="194">
        <v>45914</v>
      </c>
      <c r="M7" s="189">
        <f t="shared" si="2"/>
        <v>22</v>
      </c>
      <c r="N7" s="176">
        <v>0.55000000000000004</v>
      </c>
      <c r="O7" s="112" t="s">
        <v>429</v>
      </c>
      <c r="P7" t="str">
        <f>+UPPER(TEXT(Tabla4[[#This Row],[transferencia]],"mmmm"))</f>
        <v>OCTUBRE</v>
      </c>
      <c r="Q7" t="s">
        <v>103</v>
      </c>
      <c r="R7"/>
      <c r="S7" s="249"/>
      <c r="T7" s="249"/>
      <c r="U7" s="249"/>
      <c r="V7" s="249"/>
      <c r="W7" s="249"/>
      <c r="X7" s="249"/>
      <c r="Y7" s="249"/>
    </row>
    <row r="8" spans="1:25" s="152" customFormat="1" hidden="1" x14ac:dyDescent="0.25">
      <c r="A8" s="112" t="str">
        <f>+Tabla4[[#This Row],[PISCINA]]&amp;Tabla4[[#This Row],[AGUAJE]]</f>
        <v>CA 18AGUAJE 1</v>
      </c>
      <c r="B8" s="112" t="s">
        <v>114</v>
      </c>
      <c r="C8" s="249" t="str">
        <f t="shared" si="0"/>
        <v>CA</v>
      </c>
      <c r="D8" s="194">
        <v>45937</v>
      </c>
      <c r="E8" s="172">
        <v>962500</v>
      </c>
      <c r="F8" s="249" t="s">
        <v>417</v>
      </c>
      <c r="G8" s="190" t="s">
        <v>422</v>
      </c>
      <c r="H8" s="189" t="s">
        <v>425</v>
      </c>
      <c r="I8" s="166" t="str">
        <f>IFERROR(VLOOKUP(H8,DATOS!$E$117:$F$168,2,0),"")</f>
        <v/>
      </c>
      <c r="J8" s="191">
        <v>0.77749999999999997</v>
      </c>
      <c r="K8" s="192">
        <f t="shared" si="1"/>
        <v>25</v>
      </c>
      <c r="L8" s="194">
        <v>45912</v>
      </c>
      <c r="M8" s="189">
        <f t="shared" si="2"/>
        <v>25</v>
      </c>
      <c r="N8" s="176">
        <v>0.55000000000000004</v>
      </c>
      <c r="O8" s="112" t="s">
        <v>430</v>
      </c>
      <c r="P8" s="249" t="str">
        <f>+UPPER(TEXT(Tabla4[[#This Row],[transferencia]],"mmmm"))</f>
        <v>OCTUBRE</v>
      </c>
      <c r="Q8" t="s">
        <v>103</v>
      </c>
      <c r="R8"/>
      <c r="S8" s="249"/>
      <c r="T8" s="249"/>
      <c r="U8" s="249"/>
      <c r="V8" s="249"/>
      <c r="W8" s="249"/>
      <c r="X8" s="249"/>
      <c r="Y8" s="249"/>
    </row>
    <row r="9" spans="1:25" s="152" customFormat="1" hidden="1" x14ac:dyDescent="0.25">
      <c r="A9" s="112" t="str">
        <f>+Tabla4[[#This Row],[PISCINA]]&amp;Tabla4[[#This Row],[AGUAJE]]</f>
        <v>DO 28AGUAJE 1</v>
      </c>
      <c r="B9" s="112" t="s">
        <v>132</v>
      </c>
      <c r="C9" t="str">
        <f t="shared" si="0"/>
        <v>DO</v>
      </c>
      <c r="D9" s="194">
        <v>45937</v>
      </c>
      <c r="E9" s="172">
        <v>1393192</v>
      </c>
      <c r="F9" s="249" t="s">
        <v>417</v>
      </c>
      <c r="G9" s="190" t="s">
        <v>422</v>
      </c>
      <c r="H9" s="189" t="s">
        <v>431</v>
      </c>
      <c r="I9" s="166" t="str">
        <f>IFERROR(VLOOKUP(H9,DATOS!$E$117:$F$168,2,0),"")</f>
        <v>H10534B</v>
      </c>
      <c r="J9" s="191">
        <v>0.77400000000000002</v>
      </c>
      <c r="K9" s="192">
        <f t="shared" si="1"/>
        <v>19</v>
      </c>
      <c r="L9" s="194">
        <v>45918</v>
      </c>
      <c r="M9" s="189">
        <f t="shared" si="2"/>
        <v>19</v>
      </c>
      <c r="N9" s="176">
        <v>0.52</v>
      </c>
      <c r="O9" s="112" t="s">
        <v>432</v>
      </c>
      <c r="P9" t="str">
        <f>+UPPER(TEXT(Tabla4[[#This Row],[transferencia]],"mmmm"))</f>
        <v>OCTUBRE</v>
      </c>
      <c r="Q9" t="s">
        <v>103</v>
      </c>
      <c r="R9"/>
      <c r="S9" s="249"/>
      <c r="T9" s="249"/>
      <c r="U9" s="249"/>
      <c r="V9" s="249"/>
      <c r="W9" s="249"/>
      <c r="X9" s="249"/>
      <c r="Y9" s="249"/>
    </row>
    <row r="10" spans="1:25" s="152" customFormat="1" hidden="1" x14ac:dyDescent="0.25">
      <c r="A10" s="112" t="str">
        <f>+Tabla4[[#This Row],[PISCINA]]&amp;Tabla4[[#This Row],[AGUAJE]]</f>
        <v>DE 27AGUAJE 1</v>
      </c>
      <c r="B10" s="112" t="s">
        <v>130</v>
      </c>
      <c r="C10" t="str">
        <f t="shared" si="0"/>
        <v>DE</v>
      </c>
      <c r="D10" s="194">
        <v>45938</v>
      </c>
      <c r="E10" s="172">
        <v>2160000</v>
      </c>
      <c r="F10" s="249" t="s">
        <v>417</v>
      </c>
      <c r="G10" s="190" t="s">
        <v>422</v>
      </c>
      <c r="H10" s="189" t="s">
        <v>433</v>
      </c>
      <c r="I10" s="166" t="str">
        <f>IFERROR(VLOOKUP(H10,DATOS!$E$117:$F$168,2,0),"")</f>
        <v>H10586</v>
      </c>
      <c r="J10" s="191">
        <v>0.8</v>
      </c>
      <c r="K10" s="192">
        <f t="shared" si="1"/>
        <v>22</v>
      </c>
      <c r="L10" s="194">
        <v>45916</v>
      </c>
      <c r="M10" s="189">
        <f t="shared" si="2"/>
        <v>22</v>
      </c>
      <c r="N10" s="176">
        <v>0.65</v>
      </c>
      <c r="O10" s="112" t="s">
        <v>434</v>
      </c>
      <c r="P10" t="str">
        <f>+UPPER(TEXT(Tabla4[[#This Row],[transferencia]],"mmmm"))</f>
        <v>OCTUBRE</v>
      </c>
      <c r="Q10" t="s">
        <v>103</v>
      </c>
      <c r="R10"/>
      <c r="S10" s="249"/>
      <c r="T10" s="249"/>
      <c r="U10" s="249"/>
      <c r="V10" s="249"/>
      <c r="W10" s="249"/>
      <c r="X10" s="249"/>
      <c r="Y10" s="249"/>
    </row>
    <row r="11" spans="1:25" s="152" customFormat="1" hidden="1" x14ac:dyDescent="0.25">
      <c r="A11" s="112" t="str">
        <f>+Tabla4[[#This Row],[PISCINA]]&amp;Tabla4[[#This Row],[AGUAJE]]</f>
        <v>WA 14AGUAJE 1</v>
      </c>
      <c r="B11" s="112" t="s">
        <v>124</v>
      </c>
      <c r="C11" t="str">
        <f t="shared" si="0"/>
        <v>WA</v>
      </c>
      <c r="D11" s="194">
        <v>45938</v>
      </c>
      <c r="E11" s="172">
        <v>873000</v>
      </c>
      <c r="F11" s="249" t="s">
        <v>417</v>
      </c>
      <c r="G11" s="190" t="s">
        <v>422</v>
      </c>
      <c r="H11" s="189" t="s">
        <v>433</v>
      </c>
      <c r="I11" s="166" t="str">
        <f>IFERROR(VLOOKUP(H11,DATOS!$E$117:$F$168,2,0),"")</f>
        <v>H10586</v>
      </c>
      <c r="J11" s="191">
        <v>0.6</v>
      </c>
      <c r="K11" s="192">
        <f t="shared" si="1"/>
        <v>22</v>
      </c>
      <c r="L11" s="194">
        <v>45916</v>
      </c>
      <c r="M11" s="189">
        <f t="shared" si="2"/>
        <v>22</v>
      </c>
      <c r="N11" s="176">
        <v>0.3</v>
      </c>
      <c r="O11" s="112" t="s">
        <v>435</v>
      </c>
      <c r="P11" t="str">
        <f>+UPPER(TEXT(Tabla4[[#This Row],[transferencia]],"mmmm"))</f>
        <v>OCTUBRE</v>
      </c>
      <c r="Q11" t="s">
        <v>103</v>
      </c>
      <c r="R11"/>
      <c r="S11" s="249"/>
      <c r="T11" s="249"/>
      <c r="U11" s="249"/>
      <c r="V11" s="249"/>
      <c r="W11" s="249"/>
      <c r="X11" s="249"/>
      <c r="Y11" s="249"/>
    </row>
    <row r="12" spans="1:25" s="152" customFormat="1" hidden="1" x14ac:dyDescent="0.25">
      <c r="A12" s="112" t="str">
        <f>+Tabla4[[#This Row],[PISCINA]]&amp;Tabla4[[#This Row],[AGUAJE]]</f>
        <v>CH 18AGUAJE 1</v>
      </c>
      <c r="B12" s="112" t="s">
        <v>23</v>
      </c>
      <c r="C12" t="str">
        <f t="shared" si="0"/>
        <v>CH</v>
      </c>
      <c r="D12" s="194">
        <v>45939</v>
      </c>
      <c r="E12" s="172">
        <v>1378000</v>
      </c>
      <c r="F12" s="249" t="s">
        <v>417</v>
      </c>
      <c r="G12" s="190" t="s">
        <v>422</v>
      </c>
      <c r="H12" s="189" t="s">
        <v>431</v>
      </c>
      <c r="I12" s="166" t="str">
        <f>IFERROR(VLOOKUP(H12,DATOS!$E$117:$F$168,2,0),"")</f>
        <v>H10534B</v>
      </c>
      <c r="J12" s="191">
        <v>0.74680000000000002</v>
      </c>
      <c r="K12" s="192">
        <f t="shared" si="1"/>
        <v>21</v>
      </c>
      <c r="L12" s="194">
        <v>45918</v>
      </c>
      <c r="M12" s="189">
        <f t="shared" si="2"/>
        <v>21</v>
      </c>
      <c r="N12" s="176">
        <v>0.32</v>
      </c>
      <c r="O12" s="112" t="s">
        <v>436</v>
      </c>
      <c r="P12" t="str">
        <f>+UPPER(TEXT(Tabla4[[#This Row],[transferencia]],"mmmm"))</f>
        <v>OCTUBRE</v>
      </c>
      <c r="Q12" t="s">
        <v>103</v>
      </c>
      <c r="R12"/>
      <c r="S12" s="249"/>
      <c r="T12" s="249"/>
      <c r="U12" s="249"/>
      <c r="V12" s="249"/>
      <c r="W12" s="249"/>
      <c r="X12" s="249"/>
      <c r="Y12" s="249"/>
    </row>
    <row r="13" spans="1:25" s="152" customFormat="1" hidden="1" x14ac:dyDescent="0.25">
      <c r="A13" s="112" t="str">
        <f>+Tabla4[[#This Row],[PISCINA]]&amp;Tabla4[[#This Row],[AGUAJE]]</f>
        <v>CH 20AGUAJE 1</v>
      </c>
      <c r="B13" s="112" t="s">
        <v>24</v>
      </c>
      <c r="C13" t="str">
        <f t="shared" si="0"/>
        <v>CH</v>
      </c>
      <c r="D13" s="194">
        <v>45939</v>
      </c>
      <c r="E13" s="172">
        <v>1161000</v>
      </c>
      <c r="F13" s="249" t="s">
        <v>417</v>
      </c>
      <c r="G13" s="190" t="s">
        <v>422</v>
      </c>
      <c r="H13" s="189" t="s">
        <v>431</v>
      </c>
      <c r="I13" s="166" t="str">
        <f>IFERROR(VLOOKUP(H13,DATOS!$E$117:$F$168,2,0),"")</f>
        <v>H10534B</v>
      </c>
      <c r="J13" s="191">
        <v>0.74680000000000002</v>
      </c>
      <c r="K13" s="192">
        <f t="shared" si="1"/>
        <v>21</v>
      </c>
      <c r="L13" s="194">
        <v>45918</v>
      </c>
      <c r="M13" s="189">
        <f t="shared" si="2"/>
        <v>21</v>
      </c>
      <c r="N13" s="176">
        <v>0.32</v>
      </c>
      <c r="O13" s="112" t="s">
        <v>436</v>
      </c>
      <c r="P13" t="str">
        <f>+UPPER(TEXT(Tabla4[[#This Row],[transferencia]],"mmmm"))</f>
        <v>OCTUBRE</v>
      </c>
      <c r="Q13" t="s">
        <v>103</v>
      </c>
      <c r="R13"/>
      <c r="S13" s="249"/>
      <c r="T13" s="249"/>
      <c r="U13" s="249"/>
      <c r="V13" s="249"/>
      <c r="W13" s="249"/>
      <c r="X13" s="249"/>
      <c r="Y13" s="249"/>
    </row>
    <row r="14" spans="1:25" s="152" customFormat="1" hidden="1" x14ac:dyDescent="0.25">
      <c r="A14" s="112" t="str">
        <f>+Tabla4[[#This Row],[PISCINA]]&amp;Tabla4[[#This Row],[AGUAJE]]</f>
        <v>CA 17AGUAJE 1</v>
      </c>
      <c r="B14" s="112" t="s">
        <v>110</v>
      </c>
      <c r="C14" s="249" t="str">
        <f t="shared" si="0"/>
        <v>CA</v>
      </c>
      <c r="D14" s="194">
        <v>45940</v>
      </c>
      <c r="E14" s="172">
        <v>1304200</v>
      </c>
      <c r="F14" s="249" t="s">
        <v>417</v>
      </c>
      <c r="G14" s="190" t="s">
        <v>422</v>
      </c>
      <c r="H14" s="189" t="s">
        <v>437</v>
      </c>
      <c r="I14" s="166" t="str">
        <f>IFERROR(VLOOKUP(H14,DATOS!$E$117:$F$168,2,0),"")</f>
        <v/>
      </c>
      <c r="J14" s="191">
        <v>0.43680000000000002</v>
      </c>
      <c r="K14" s="192">
        <f t="shared" si="1"/>
        <v>24</v>
      </c>
      <c r="L14" s="194">
        <v>45916</v>
      </c>
      <c r="M14" s="189">
        <f t="shared" si="2"/>
        <v>24</v>
      </c>
      <c r="N14" s="176">
        <v>0.51</v>
      </c>
      <c r="O14" s="112" t="s">
        <v>438</v>
      </c>
      <c r="P14" s="249" t="str">
        <f>+UPPER(TEXT(Tabla4[[#This Row],[transferencia]],"mmmm"))</f>
        <v>OCTUBRE</v>
      </c>
      <c r="Q14" t="s">
        <v>103</v>
      </c>
      <c r="R14"/>
      <c r="S14" s="249"/>
      <c r="T14" s="249"/>
      <c r="U14" s="249"/>
      <c r="V14" s="249"/>
      <c r="W14" s="249"/>
      <c r="X14" s="249"/>
      <c r="Y14" s="249"/>
    </row>
    <row r="15" spans="1:25" s="152" customFormat="1" hidden="1" x14ac:dyDescent="0.25">
      <c r="A15" s="112" t="str">
        <f>+Tabla4[[#This Row],[PISCINA]]&amp;Tabla4[[#This Row],[AGUAJE]]</f>
        <v>DO 07AGUAJE 1</v>
      </c>
      <c r="B15" s="112" t="s">
        <v>127</v>
      </c>
      <c r="C15" t="str">
        <f t="shared" si="0"/>
        <v>DO</v>
      </c>
      <c r="D15" s="194">
        <v>45940</v>
      </c>
      <c r="E15" s="172">
        <v>1135800</v>
      </c>
      <c r="F15" s="249" t="s">
        <v>417</v>
      </c>
      <c r="G15" s="190" t="s">
        <v>422</v>
      </c>
      <c r="H15" s="189" t="s">
        <v>425</v>
      </c>
      <c r="I15" s="166" t="str">
        <f>IFERROR(VLOOKUP(H15,DATOS!$E$117:$F$168,2,0),"")</f>
        <v/>
      </c>
      <c r="J15" s="191">
        <v>0.75</v>
      </c>
      <c r="K15" s="192">
        <f t="shared" si="1"/>
        <v>28</v>
      </c>
      <c r="L15" s="194">
        <v>45912</v>
      </c>
      <c r="M15" s="189">
        <f t="shared" si="2"/>
        <v>28</v>
      </c>
      <c r="N15" s="176">
        <v>0.66</v>
      </c>
      <c r="O15" s="112" t="s">
        <v>439</v>
      </c>
      <c r="P15" t="str">
        <f>+UPPER(TEXT(Tabla4[[#This Row],[transferencia]],"mmmm"))</f>
        <v>OCTUBRE</v>
      </c>
      <c r="Q15" t="s">
        <v>103</v>
      </c>
      <c r="R15"/>
      <c r="S15" s="249"/>
      <c r="T15" s="249"/>
      <c r="U15" s="249"/>
      <c r="V15" s="249"/>
      <c r="W15" s="249"/>
      <c r="X15" s="249"/>
      <c r="Y15" s="249"/>
    </row>
    <row r="16" spans="1:25" s="152" customFormat="1" hidden="1" x14ac:dyDescent="0.25">
      <c r="A16" s="112" t="str">
        <f>+Tabla4[[#This Row],[PISCINA]]&amp;Tabla4[[#This Row],[AGUAJE]]</f>
        <v>RO 11AGUAJE 1</v>
      </c>
      <c r="B16" s="112" t="s">
        <v>129</v>
      </c>
      <c r="C16" s="249" t="str">
        <f t="shared" si="0"/>
        <v>RO</v>
      </c>
      <c r="D16" s="194">
        <v>45941</v>
      </c>
      <c r="E16" s="172">
        <v>380000</v>
      </c>
      <c r="F16" s="249" t="s">
        <v>417</v>
      </c>
      <c r="G16" s="190" t="s">
        <v>422</v>
      </c>
      <c r="H16" s="189" t="s">
        <v>433</v>
      </c>
      <c r="I16" s="166" t="str">
        <f>IFERROR(VLOOKUP(H16,DATOS!$E$117:$F$168,2,0),"")</f>
        <v>H10586</v>
      </c>
      <c r="J16" s="191">
        <v>0.72670000000000001</v>
      </c>
      <c r="K16" s="192">
        <f t="shared" si="1"/>
        <v>25</v>
      </c>
      <c r="L16" s="194">
        <v>45916</v>
      </c>
      <c r="M16" s="189">
        <f t="shared" si="2"/>
        <v>25</v>
      </c>
      <c r="N16" s="176">
        <v>0.55000000000000004</v>
      </c>
      <c r="O16" s="112" t="s">
        <v>440</v>
      </c>
      <c r="P16" s="249" t="str">
        <f>+UPPER(TEXT(Tabla4[[#This Row],[transferencia]],"mmmm"))</f>
        <v>OCTUBRE</v>
      </c>
      <c r="Q16" t="s">
        <v>103</v>
      </c>
      <c r="R16"/>
      <c r="S16" s="249"/>
      <c r="T16" s="249"/>
      <c r="U16" s="249"/>
      <c r="V16" s="249"/>
      <c r="W16" s="249"/>
      <c r="X16" s="249"/>
      <c r="Y16" s="249"/>
    </row>
    <row r="17" spans="1:18" s="152" customFormat="1" hidden="1" x14ac:dyDescent="0.25">
      <c r="A17" s="112" t="str">
        <f>+Tabla4[[#This Row],[PISCINA]]&amp;Tabla4[[#This Row],[AGUAJE]]</f>
        <v>RO 12AGUAJE 1</v>
      </c>
      <c r="B17" s="112" t="s">
        <v>135</v>
      </c>
      <c r="C17" s="249" t="str">
        <f t="shared" si="0"/>
        <v>RO</v>
      </c>
      <c r="D17" s="194">
        <v>45941</v>
      </c>
      <c r="E17" s="172">
        <v>936000</v>
      </c>
      <c r="F17" s="249" t="s">
        <v>417</v>
      </c>
      <c r="G17" s="190" t="s">
        <v>422</v>
      </c>
      <c r="H17" s="189" t="s">
        <v>433</v>
      </c>
      <c r="I17" s="166" t="str">
        <f>IFERROR(VLOOKUP(H17,DATOS!$E$117:$F$168,2,0),"")</f>
        <v>H10586</v>
      </c>
      <c r="J17" s="191">
        <v>0.72670000000000001</v>
      </c>
      <c r="K17" s="192">
        <f t="shared" si="1"/>
        <v>25</v>
      </c>
      <c r="L17" s="194">
        <v>45916</v>
      </c>
      <c r="M17" s="189">
        <f t="shared" si="2"/>
        <v>25</v>
      </c>
      <c r="N17" s="176">
        <v>0.55000000000000004</v>
      </c>
      <c r="O17" s="112" t="s">
        <v>440</v>
      </c>
      <c r="P17" s="249" t="str">
        <f>+UPPER(TEXT(Tabla4[[#This Row],[transferencia]],"mmmm"))</f>
        <v>OCTUBRE</v>
      </c>
      <c r="Q17" t="s">
        <v>103</v>
      </c>
      <c r="R17"/>
    </row>
    <row r="18" spans="1:18" s="152" customFormat="1" hidden="1" x14ac:dyDescent="0.25">
      <c r="A18" s="112" t="str">
        <f>+Tabla4[[#This Row],[PISCINA]]&amp;Tabla4[[#This Row],[AGUAJE]]</f>
        <v>RO 13AGUAJE 1</v>
      </c>
      <c r="B18" s="112" t="s">
        <v>131</v>
      </c>
      <c r="C18" s="249" t="str">
        <f t="shared" si="0"/>
        <v>RO</v>
      </c>
      <c r="D18" s="194">
        <v>45941</v>
      </c>
      <c r="E18" s="172">
        <v>864000</v>
      </c>
      <c r="F18" s="249" t="s">
        <v>417</v>
      </c>
      <c r="G18" s="190" t="s">
        <v>422</v>
      </c>
      <c r="H18" s="189" t="s">
        <v>433</v>
      </c>
      <c r="I18" s="166" t="str">
        <f>IFERROR(VLOOKUP(H18,DATOS!$E$117:$F$168,2,0),"")</f>
        <v>H10586</v>
      </c>
      <c r="J18" s="191">
        <v>0.72670000000000001</v>
      </c>
      <c r="K18" s="192">
        <f t="shared" si="1"/>
        <v>25</v>
      </c>
      <c r="L18" s="194">
        <v>45916</v>
      </c>
      <c r="M18" s="189">
        <f t="shared" si="2"/>
        <v>25</v>
      </c>
      <c r="N18" s="176">
        <v>0.55000000000000004</v>
      </c>
      <c r="O18" s="112" t="s">
        <v>440</v>
      </c>
      <c r="P18" s="249" t="str">
        <f>+UPPER(TEXT(Tabla4[[#This Row],[transferencia]],"mmmm"))</f>
        <v>OCTUBRE</v>
      </c>
      <c r="Q18" t="s">
        <v>103</v>
      </c>
      <c r="R18"/>
    </row>
    <row r="19" spans="1:18" s="152" customFormat="1" hidden="1" x14ac:dyDescent="0.25">
      <c r="A19" s="112" t="str">
        <f>+Tabla4[[#This Row],[PISCINA]]&amp;Tabla4[[#This Row],[AGUAJE]]</f>
        <v>DO 30AGUAJE 2</v>
      </c>
      <c r="B19" s="112" t="s">
        <v>152</v>
      </c>
      <c r="C19" t="str">
        <f t="shared" si="0"/>
        <v>DO</v>
      </c>
      <c r="D19" s="194">
        <v>45943</v>
      </c>
      <c r="E19" s="172">
        <v>1500000</v>
      </c>
      <c r="F19" s="249" t="s">
        <v>417</v>
      </c>
      <c r="G19" s="190" t="s">
        <v>422</v>
      </c>
      <c r="H19" s="189" t="s">
        <v>431</v>
      </c>
      <c r="I19" s="166" t="str">
        <f>IFERROR(VLOOKUP(H19,DATOS!$E$117:$F$168,2,0),"")</f>
        <v>H10534B</v>
      </c>
      <c r="J19" s="191">
        <v>0.75</v>
      </c>
      <c r="K19" s="192">
        <f t="shared" si="1"/>
        <v>25</v>
      </c>
      <c r="L19" s="194">
        <v>45918</v>
      </c>
      <c r="M19" s="189">
        <f t="shared" si="2"/>
        <v>25</v>
      </c>
      <c r="N19" s="176">
        <v>0.75</v>
      </c>
      <c r="O19" s="112" t="s">
        <v>441</v>
      </c>
      <c r="P19" t="str">
        <f>+UPPER(TEXT(Tabla4[[#This Row],[transferencia]],"mmmm"))</f>
        <v>OCTUBRE</v>
      </c>
      <c r="Q19" t="s">
        <v>151</v>
      </c>
      <c r="R19"/>
    </row>
    <row r="20" spans="1:18" s="152" customFormat="1" hidden="1" x14ac:dyDescent="0.25">
      <c r="A20" s="112" t="str">
        <f>+Tabla4[[#This Row],[PISCINA]]&amp;Tabla4[[#This Row],[AGUAJE]]</f>
        <v>DO 23AGUAJE 2</v>
      </c>
      <c r="B20" s="112" t="s">
        <v>159</v>
      </c>
      <c r="C20" t="str">
        <f t="shared" si="0"/>
        <v>DO</v>
      </c>
      <c r="D20" s="194">
        <v>45944</v>
      </c>
      <c r="E20" s="172">
        <v>2324705</v>
      </c>
      <c r="F20" s="249" t="s">
        <v>417</v>
      </c>
      <c r="G20" s="190" t="s">
        <v>418</v>
      </c>
      <c r="H20" s="189" t="s">
        <v>418</v>
      </c>
      <c r="I20" s="166" t="str">
        <f>IFERROR(VLOOKUP(H20,DATOS!$E$117:$F$168,2,0),"")</f>
        <v>H10234</v>
      </c>
      <c r="J20" s="191">
        <v>0.72650000000000003</v>
      </c>
      <c r="K20" s="192">
        <f t="shared" si="1"/>
        <v>25</v>
      </c>
      <c r="L20" s="194">
        <v>45919</v>
      </c>
      <c r="M20" s="189">
        <f t="shared" si="2"/>
        <v>25</v>
      </c>
      <c r="N20" s="176">
        <v>0.51</v>
      </c>
      <c r="O20" s="112" t="s">
        <v>442</v>
      </c>
      <c r="P20" t="str">
        <f>+UPPER(TEXT(Tabla4[[#This Row],[transferencia]],"mmmm"))</f>
        <v>OCTUBRE</v>
      </c>
      <c r="Q20" t="s">
        <v>151</v>
      </c>
      <c r="R20"/>
    </row>
    <row r="21" spans="1:18" s="152" customFormat="1" hidden="1" x14ac:dyDescent="0.25">
      <c r="A21" s="112" t="str">
        <f>+Tabla4[[#This Row],[PISCINA]]&amp;Tabla4[[#This Row],[AGUAJE]]</f>
        <v>DO 06AGUAJE 1</v>
      </c>
      <c r="B21" s="112" t="s">
        <v>126</v>
      </c>
      <c r="C21" t="str">
        <f t="shared" si="0"/>
        <v>DO</v>
      </c>
      <c r="D21" s="194">
        <v>45945</v>
      </c>
      <c r="E21" s="172">
        <v>889091</v>
      </c>
      <c r="F21" s="249" t="s">
        <v>417</v>
      </c>
      <c r="G21" s="190" t="s">
        <v>422</v>
      </c>
      <c r="H21" s="189" t="s">
        <v>425</v>
      </c>
      <c r="I21" s="166" t="str">
        <f>IFERROR(VLOOKUP(H21,DATOS!$E$117:$F$168,2,0),"")</f>
        <v/>
      </c>
      <c r="J21" s="191">
        <v>0.75</v>
      </c>
      <c r="K21" s="192">
        <f t="shared" si="1"/>
        <v>33</v>
      </c>
      <c r="L21" s="194">
        <v>45912</v>
      </c>
      <c r="M21" s="189">
        <f t="shared" si="2"/>
        <v>33</v>
      </c>
      <c r="N21" s="176">
        <v>0.66</v>
      </c>
      <c r="O21" s="112" t="s">
        <v>439</v>
      </c>
      <c r="P21" t="str">
        <f>+UPPER(TEXT(Tabla4[[#This Row],[transferencia]],"mmmm"))</f>
        <v>OCTUBRE</v>
      </c>
      <c r="Q21" t="s">
        <v>103</v>
      </c>
      <c r="R21"/>
    </row>
    <row r="22" spans="1:18" s="152" customFormat="1" hidden="1" x14ac:dyDescent="0.25">
      <c r="A22" s="112" t="str">
        <f>+Tabla4[[#This Row],[PISCINA]]&amp;Tabla4[[#This Row],[AGUAJE]]</f>
        <v>DO 08AGUAJE 1</v>
      </c>
      <c r="B22" s="112" t="s">
        <v>147</v>
      </c>
      <c r="C22" t="str">
        <f t="shared" si="0"/>
        <v>DO</v>
      </c>
      <c r="D22" s="194">
        <v>45945</v>
      </c>
      <c r="E22" s="172">
        <v>1351500</v>
      </c>
      <c r="F22" s="249" t="s">
        <v>417</v>
      </c>
      <c r="G22" s="190" t="s">
        <v>418</v>
      </c>
      <c r="H22" s="189" t="s">
        <v>418</v>
      </c>
      <c r="I22" s="166" t="str">
        <f>IFERROR(VLOOKUP(H22,DATOS!$E$117:$F$168,2,0),"")</f>
        <v>H10234</v>
      </c>
      <c r="J22" s="191">
        <v>0.71130000000000004</v>
      </c>
      <c r="K22" s="192">
        <f t="shared" si="1"/>
        <v>26</v>
      </c>
      <c r="L22" s="194">
        <v>45919</v>
      </c>
      <c r="M22" s="189">
        <f t="shared" si="2"/>
        <v>26</v>
      </c>
      <c r="N22" s="176">
        <v>0.7</v>
      </c>
      <c r="O22" s="112" t="s">
        <v>443</v>
      </c>
      <c r="P22" t="str">
        <f>+UPPER(TEXT(Tabla4[[#This Row],[transferencia]],"mmmm"))</f>
        <v>OCTUBRE</v>
      </c>
      <c r="Q22" t="s">
        <v>103</v>
      </c>
      <c r="R22"/>
    </row>
    <row r="23" spans="1:18" s="152" customFormat="1" hidden="1" x14ac:dyDescent="0.25">
      <c r="A23" s="112" t="str">
        <f>+Tabla4[[#This Row],[PISCINA]]&amp;Tabla4[[#This Row],[AGUAJE]]</f>
        <v>GT 07AGUAJE 1</v>
      </c>
      <c r="B23" s="112" t="s">
        <v>148</v>
      </c>
      <c r="C23" t="str">
        <f t="shared" si="0"/>
        <v>GT</v>
      </c>
      <c r="D23" s="194">
        <v>45945</v>
      </c>
      <c r="E23" s="172">
        <v>707200</v>
      </c>
      <c r="F23" s="249" t="s">
        <v>417</v>
      </c>
      <c r="G23" s="190" t="s">
        <v>422</v>
      </c>
      <c r="H23" s="189" t="s">
        <v>444</v>
      </c>
      <c r="I23" s="166" t="str">
        <f>IFERROR(VLOOKUP(H23,DATOS!$E$117:$F$168,2,0),"")</f>
        <v>H10598B</v>
      </c>
      <c r="J23" s="191">
        <v>0.78580000000000005</v>
      </c>
      <c r="K23" s="192">
        <f t="shared" si="1"/>
        <v>24</v>
      </c>
      <c r="L23" s="194">
        <v>45921</v>
      </c>
      <c r="M23" s="189">
        <f t="shared" si="2"/>
        <v>24</v>
      </c>
      <c r="N23" s="176">
        <v>0.63</v>
      </c>
      <c r="O23" s="112" t="s">
        <v>445</v>
      </c>
      <c r="P23" t="str">
        <f>+UPPER(TEXT(Tabla4[[#This Row],[transferencia]],"mmmm"))</f>
        <v>OCTUBRE</v>
      </c>
      <c r="Q23" t="s">
        <v>103</v>
      </c>
      <c r="R23"/>
    </row>
    <row r="24" spans="1:18" s="152" customFormat="1" hidden="1" x14ac:dyDescent="0.25">
      <c r="A24" s="112" t="str">
        <f>+Tabla4[[#This Row],[PISCINA]]&amp;Tabla4[[#This Row],[AGUAJE]]</f>
        <v>CA 10AGUAJE 1</v>
      </c>
      <c r="B24" s="112" t="s">
        <v>136</v>
      </c>
      <c r="C24" s="249" t="str">
        <f t="shared" si="0"/>
        <v>CA</v>
      </c>
      <c r="D24" s="194">
        <v>45946</v>
      </c>
      <c r="E24" s="172">
        <v>377600</v>
      </c>
      <c r="F24" s="249" t="s">
        <v>417</v>
      </c>
      <c r="G24" s="190" t="s">
        <v>422</v>
      </c>
      <c r="H24" s="189" t="s">
        <v>433</v>
      </c>
      <c r="I24" s="166" t="str">
        <f>IFERROR(VLOOKUP(H24,DATOS!$E$117:$F$168,2,0),"")</f>
        <v>H10586</v>
      </c>
      <c r="J24" s="191">
        <v>0.73070000000000002</v>
      </c>
      <c r="K24" s="192">
        <f t="shared" si="1"/>
        <v>22</v>
      </c>
      <c r="L24" s="194">
        <v>45924</v>
      </c>
      <c r="M24" s="189">
        <f t="shared" si="2"/>
        <v>22</v>
      </c>
      <c r="N24" s="176">
        <v>0.4</v>
      </c>
      <c r="O24" s="112" t="s">
        <v>446</v>
      </c>
      <c r="P24" s="249" t="str">
        <f>+UPPER(TEXT(Tabla4[[#This Row],[transferencia]],"mmmm"))</f>
        <v>OCTUBRE</v>
      </c>
      <c r="Q24" t="s">
        <v>103</v>
      </c>
      <c r="R24"/>
    </row>
    <row r="25" spans="1:18" s="152" customFormat="1" hidden="1" x14ac:dyDescent="0.25">
      <c r="A25" s="112" t="str">
        <f>+Tabla4[[#This Row],[PISCINA]]&amp;Tabla4[[#This Row],[AGUAJE]]</f>
        <v>RO 07AGUAJE 1</v>
      </c>
      <c r="B25" s="112" t="s">
        <v>150</v>
      </c>
      <c r="C25" s="249" t="str">
        <f t="shared" si="0"/>
        <v>RO</v>
      </c>
      <c r="D25" s="194">
        <v>45947</v>
      </c>
      <c r="E25" s="172">
        <v>1518100</v>
      </c>
      <c r="F25" s="249" t="s">
        <v>417</v>
      </c>
      <c r="G25" s="190" t="s">
        <v>422</v>
      </c>
      <c r="H25" s="189" t="s">
        <v>447</v>
      </c>
      <c r="I25" s="166">
        <f>IFERROR(VLOOKUP(H25,DATOS!$E$117:$F$168,2,0),"")</f>
        <v>0</v>
      </c>
      <c r="J25" s="191">
        <v>0.76</v>
      </c>
      <c r="K25" s="192">
        <f t="shared" si="1"/>
        <v>22</v>
      </c>
      <c r="L25" s="194">
        <v>45925</v>
      </c>
      <c r="M25" s="189">
        <f t="shared" si="2"/>
        <v>22</v>
      </c>
      <c r="N25" s="176">
        <v>0.32</v>
      </c>
      <c r="O25" s="112" t="s">
        <v>448</v>
      </c>
      <c r="P25" s="249" t="str">
        <f>+UPPER(TEXT(Tabla4[[#This Row],[transferencia]],"mmmm"))</f>
        <v>OCTUBRE</v>
      </c>
      <c r="Q25" t="s">
        <v>103</v>
      </c>
      <c r="R25"/>
    </row>
    <row r="26" spans="1:18" s="152" customFormat="1" hidden="1" x14ac:dyDescent="0.25">
      <c r="A26" s="112" t="str">
        <f>+Tabla4[[#This Row],[PISCINA]]&amp;Tabla4[[#This Row],[AGUAJE]]</f>
        <v>DO 09AGUAJE 1</v>
      </c>
      <c r="B26" s="112" t="s">
        <v>144</v>
      </c>
      <c r="C26" t="str">
        <f t="shared" si="0"/>
        <v>DO</v>
      </c>
      <c r="D26" s="194">
        <v>45948</v>
      </c>
      <c r="E26" s="172">
        <v>1429041</v>
      </c>
      <c r="F26" s="249" t="s">
        <v>417</v>
      </c>
      <c r="G26" s="190" t="s">
        <v>418</v>
      </c>
      <c r="H26" s="189" t="s">
        <v>419</v>
      </c>
      <c r="I26" s="166" t="str">
        <f>IFERROR(VLOOKUP(H26,DATOS!$E$117:$F$168,2,0),"")</f>
        <v>H10603</v>
      </c>
      <c r="J26" s="191">
        <v>0.76602000000000003</v>
      </c>
      <c r="K26" s="192">
        <f t="shared" si="1"/>
        <v>22</v>
      </c>
      <c r="L26" s="194">
        <v>45926</v>
      </c>
      <c r="M26" s="189">
        <f t="shared" si="2"/>
        <v>22</v>
      </c>
      <c r="N26" s="176">
        <v>0.73</v>
      </c>
      <c r="O26" s="112" t="s">
        <v>449</v>
      </c>
      <c r="P26" t="str">
        <f>+UPPER(TEXT(Tabla4[[#This Row],[transferencia]],"mmmm"))</f>
        <v>OCTUBRE</v>
      </c>
      <c r="Q26" t="s">
        <v>103</v>
      </c>
      <c r="R26"/>
    </row>
    <row r="27" spans="1:18" s="152" customFormat="1" hidden="1" x14ac:dyDescent="0.25">
      <c r="A27" s="112" t="str">
        <f>+Tabla4[[#This Row],[PISCINA]]&amp;Tabla4[[#This Row],[AGUAJE]]</f>
        <v>PR 28AGUAJE 1</v>
      </c>
      <c r="B27" s="112" t="s">
        <v>106</v>
      </c>
      <c r="C27" t="str">
        <f t="shared" si="0"/>
        <v>PR</v>
      </c>
      <c r="D27" s="194">
        <v>45948</v>
      </c>
      <c r="E27" s="172">
        <v>1058500</v>
      </c>
      <c r="F27" s="249" t="s">
        <v>417</v>
      </c>
      <c r="G27" s="190" t="s">
        <v>422</v>
      </c>
      <c r="H27" s="189" t="s">
        <v>450</v>
      </c>
      <c r="I27" s="166">
        <f>IFERROR(VLOOKUP(H27,DATOS!$E$117:$F$168,2,0),"")</f>
        <v>0</v>
      </c>
      <c r="J27" s="191">
        <v>0.71050000000000002</v>
      </c>
      <c r="K27" s="192">
        <f t="shared" si="1"/>
        <v>19</v>
      </c>
      <c r="L27" s="194">
        <v>45929</v>
      </c>
      <c r="M27" s="189">
        <f t="shared" si="2"/>
        <v>19</v>
      </c>
      <c r="N27" s="176">
        <v>0.3</v>
      </c>
      <c r="O27" s="112" t="s">
        <v>451</v>
      </c>
      <c r="P27" t="str">
        <f>+UPPER(TEXT(Tabla4[[#This Row],[transferencia]],"mmmm"))</f>
        <v>OCTUBRE</v>
      </c>
      <c r="Q27" t="s">
        <v>103</v>
      </c>
      <c r="R27"/>
    </row>
    <row r="28" spans="1:18" s="152" customFormat="1" hidden="1" x14ac:dyDescent="0.25">
      <c r="A28" s="112" t="str">
        <f>+Tabla4[[#This Row],[PISCINA]]&amp;Tabla4[[#This Row],[AGUAJE]]</f>
        <v>DO 12AGUAJE 2</v>
      </c>
      <c r="B28" s="112" t="s">
        <v>169</v>
      </c>
      <c r="C28" t="str">
        <f t="shared" si="0"/>
        <v>DO</v>
      </c>
      <c r="D28" s="194">
        <v>45949</v>
      </c>
      <c r="E28" s="172">
        <v>1405233</v>
      </c>
      <c r="F28" s="249" t="s">
        <v>417</v>
      </c>
      <c r="G28" s="190" t="s">
        <v>418</v>
      </c>
      <c r="H28" s="189" t="s">
        <v>419</v>
      </c>
      <c r="I28" s="166" t="str">
        <f>IFERROR(VLOOKUP(H28,DATOS!$E$117:$F$168,2,0),"")</f>
        <v>H10603</v>
      </c>
      <c r="J28" s="191">
        <v>0.76600000000000001</v>
      </c>
      <c r="K28" s="192">
        <f t="shared" si="1"/>
        <v>23</v>
      </c>
      <c r="L28" s="194">
        <v>45926</v>
      </c>
      <c r="M28" s="189">
        <f t="shared" si="2"/>
        <v>23</v>
      </c>
      <c r="N28" s="176">
        <v>0.6</v>
      </c>
      <c r="O28" s="112" t="s">
        <v>449</v>
      </c>
      <c r="P28" t="str">
        <f>+UPPER(TEXT(Tabla4[[#This Row],[transferencia]],"mmmm"))</f>
        <v>OCTUBRE</v>
      </c>
      <c r="Q28" t="s">
        <v>151</v>
      </c>
      <c r="R28"/>
    </row>
    <row r="29" spans="1:18" s="152" customFormat="1" hidden="1" x14ac:dyDescent="0.25">
      <c r="A29" s="112" t="str">
        <f>+Tabla4[[#This Row],[PISCINA]]&amp;Tabla4[[#This Row],[AGUAJE]]</f>
        <v>DO 20AGUAJE 1</v>
      </c>
      <c r="B29" s="112" t="s">
        <v>137</v>
      </c>
      <c r="C29" t="str">
        <f t="shared" si="0"/>
        <v>DO</v>
      </c>
      <c r="D29" s="194">
        <v>45949</v>
      </c>
      <c r="E29" s="172">
        <v>1562418</v>
      </c>
      <c r="F29" s="249" t="s">
        <v>417</v>
      </c>
      <c r="G29" s="190" t="s">
        <v>418</v>
      </c>
      <c r="H29" s="189" t="s">
        <v>418</v>
      </c>
      <c r="I29" s="166" t="str">
        <f>IFERROR(VLOOKUP(H29,DATOS!$E$117:$F$168,2,0),"")</f>
        <v>H10234</v>
      </c>
      <c r="J29" s="191">
        <v>0.71020000000000005</v>
      </c>
      <c r="K29" s="192">
        <f t="shared" si="1"/>
        <v>23</v>
      </c>
      <c r="L29" s="194">
        <v>45926</v>
      </c>
      <c r="M29" s="189">
        <f t="shared" si="2"/>
        <v>23</v>
      </c>
      <c r="N29" s="176">
        <v>0.55000000000000004</v>
      </c>
      <c r="O29" s="112" t="s">
        <v>452</v>
      </c>
      <c r="P29" t="str">
        <f>+UPPER(TEXT(Tabla4[[#This Row],[transferencia]],"mmmm"))</f>
        <v>OCTUBRE</v>
      </c>
      <c r="Q29" t="s">
        <v>103</v>
      </c>
      <c r="R29"/>
    </row>
    <row r="30" spans="1:18" s="152" customFormat="1" hidden="1" x14ac:dyDescent="0.25">
      <c r="A30" s="112" t="str">
        <f>+Tabla4[[#This Row],[PISCINA]]&amp;Tabla4[[#This Row],[AGUAJE]]</f>
        <v>TI 17AGUAJE 1</v>
      </c>
      <c r="B30" s="112" t="s">
        <v>112</v>
      </c>
      <c r="C30" s="249" t="str">
        <f t="shared" si="0"/>
        <v>TI</v>
      </c>
      <c r="D30" s="194">
        <v>45949</v>
      </c>
      <c r="E30" s="172">
        <v>541500</v>
      </c>
      <c r="F30" s="249" t="s">
        <v>417</v>
      </c>
      <c r="G30" s="190" t="s">
        <v>422</v>
      </c>
      <c r="H30" s="189" t="s">
        <v>433</v>
      </c>
      <c r="I30" s="166" t="str">
        <f>IFERROR(VLOOKUP(H30,DATOS!$E$117:$F$168,2,0),"")</f>
        <v>H10586</v>
      </c>
      <c r="J30" s="191">
        <v>0.71530000000000005</v>
      </c>
      <c r="K30" s="192">
        <f t="shared" si="1"/>
        <v>25</v>
      </c>
      <c r="L30" s="194">
        <v>45924</v>
      </c>
      <c r="M30" s="189">
        <f t="shared" si="2"/>
        <v>25</v>
      </c>
      <c r="N30" s="176">
        <v>0.8</v>
      </c>
      <c r="O30" s="112" t="s">
        <v>453</v>
      </c>
      <c r="P30" s="249" t="str">
        <f>+UPPER(TEXT(Tabla4[[#This Row],[transferencia]],"mmmm"))</f>
        <v>OCTUBRE</v>
      </c>
      <c r="Q30" t="s">
        <v>103</v>
      </c>
      <c r="R30"/>
    </row>
    <row r="31" spans="1:18" s="152" customFormat="1" hidden="1" x14ac:dyDescent="0.25">
      <c r="A31" s="112" t="str">
        <f>+Tabla4[[#This Row],[PISCINA]]&amp;Tabla4[[#This Row],[AGUAJE]]</f>
        <v>TI 19AGUAJE 1</v>
      </c>
      <c r="B31" s="112" t="s">
        <v>109</v>
      </c>
      <c r="C31" s="249" t="str">
        <f t="shared" si="0"/>
        <v>TI</v>
      </c>
      <c r="D31" s="194">
        <v>45949</v>
      </c>
      <c r="E31" s="172">
        <v>316800</v>
      </c>
      <c r="F31" s="249" t="s">
        <v>417</v>
      </c>
      <c r="G31" s="190" t="s">
        <v>422</v>
      </c>
      <c r="H31" s="189" t="s">
        <v>433</v>
      </c>
      <c r="I31" s="166" t="str">
        <f>IFERROR(VLOOKUP(H31,DATOS!$E$117:$F$168,2,0),"")</f>
        <v>H10586</v>
      </c>
      <c r="J31" s="191">
        <v>0.71530000000000005</v>
      </c>
      <c r="K31" s="192">
        <f t="shared" si="1"/>
        <v>25</v>
      </c>
      <c r="L31" s="194">
        <v>45924</v>
      </c>
      <c r="M31" s="189">
        <f t="shared" si="2"/>
        <v>25</v>
      </c>
      <c r="N31" s="176">
        <v>0.8</v>
      </c>
      <c r="O31" s="112" t="s">
        <v>453</v>
      </c>
      <c r="P31" s="249" t="str">
        <f>+UPPER(TEXT(Tabla4[[#This Row],[transferencia]],"mmmm"))</f>
        <v>OCTUBRE</v>
      </c>
      <c r="Q31" t="s">
        <v>103</v>
      </c>
      <c r="R31"/>
    </row>
    <row r="32" spans="1:18" s="152" customFormat="1" hidden="1" x14ac:dyDescent="0.25">
      <c r="A32" s="112" t="str">
        <f>+Tabla4[[#This Row],[PISCINA]]&amp;Tabla4[[#This Row],[AGUAJE]]</f>
        <v>DO 19AGUAJE 2</v>
      </c>
      <c r="B32" s="112" t="s">
        <v>184</v>
      </c>
      <c r="C32" t="str">
        <f t="shared" si="0"/>
        <v>DO</v>
      </c>
      <c r="D32" s="194">
        <v>45950</v>
      </c>
      <c r="E32" s="172">
        <v>1596700</v>
      </c>
      <c r="F32" s="249" t="s">
        <v>417</v>
      </c>
      <c r="G32" s="190" t="s">
        <v>422</v>
      </c>
      <c r="H32" s="189" t="s">
        <v>454</v>
      </c>
      <c r="I32" s="166">
        <f>IFERROR(VLOOKUP(H32,DATOS!$E$117:$F$168,2,0),"")</f>
        <v>0</v>
      </c>
      <c r="J32" s="191">
        <v>0.76029999999999998</v>
      </c>
      <c r="K32" s="192">
        <f t="shared" si="1"/>
        <v>22</v>
      </c>
      <c r="L32" s="194">
        <v>45928</v>
      </c>
      <c r="M32" s="189">
        <f t="shared" si="2"/>
        <v>22</v>
      </c>
      <c r="N32" s="176">
        <v>0.6</v>
      </c>
      <c r="O32" s="112" t="s">
        <v>455</v>
      </c>
      <c r="P32" t="str">
        <f>+UPPER(TEXT(Tabla4[[#This Row],[transferencia]],"mmmm"))</f>
        <v>OCTUBRE</v>
      </c>
      <c r="Q32" t="s">
        <v>151</v>
      </c>
      <c r="R32"/>
    </row>
    <row r="33" spans="1:18" s="152" customFormat="1" hidden="1" x14ac:dyDescent="0.25">
      <c r="A33" s="112" t="str">
        <f>+Tabla4[[#This Row],[PISCINA]]&amp;Tabla4[[#This Row],[AGUAJE]]</f>
        <v>TI 14AGUAJE 2</v>
      </c>
      <c r="B33" s="112" t="s">
        <v>160</v>
      </c>
      <c r="C33" s="249" t="str">
        <f t="shared" si="0"/>
        <v>TI</v>
      </c>
      <c r="D33" s="194">
        <v>45950</v>
      </c>
      <c r="E33" s="172">
        <v>799000</v>
      </c>
      <c r="F33" s="249" t="s">
        <v>417</v>
      </c>
      <c r="G33" s="190" t="s">
        <v>418</v>
      </c>
      <c r="H33" s="189" t="s">
        <v>419</v>
      </c>
      <c r="I33" s="166" t="str">
        <f>IFERROR(VLOOKUP(H33,DATOS!$E$117:$F$168,2,0),"")</f>
        <v>H10603</v>
      </c>
      <c r="J33" s="191">
        <v>0.72640000000000005</v>
      </c>
      <c r="K33" s="192">
        <f t="shared" si="1"/>
        <v>24</v>
      </c>
      <c r="L33" s="194">
        <v>45926</v>
      </c>
      <c r="M33" s="189">
        <f t="shared" si="2"/>
        <v>24</v>
      </c>
      <c r="N33" s="176">
        <v>0.57999999999999996</v>
      </c>
      <c r="O33" s="112" t="s">
        <v>456</v>
      </c>
      <c r="P33" s="249" t="str">
        <f>+UPPER(TEXT(Tabla4[[#This Row],[transferencia]],"mmmm"))</f>
        <v>OCTUBRE</v>
      </c>
      <c r="Q33" t="s">
        <v>151</v>
      </c>
      <c r="R33"/>
    </row>
    <row r="34" spans="1:18" s="152" customFormat="1" hidden="1" x14ac:dyDescent="0.25">
      <c r="A34" s="112" t="str">
        <f>+Tabla4[[#This Row],[PISCINA]]&amp;Tabla4[[#This Row],[AGUAJE]]</f>
        <v>PA 08AGUAJE 2</v>
      </c>
      <c r="B34" s="112" t="s">
        <v>170</v>
      </c>
      <c r="C34" s="249" t="str">
        <f t="shared" ref="C34:C65" si="3">+MID(A34,1,2)</f>
        <v>PA</v>
      </c>
      <c r="D34" s="194">
        <v>45951</v>
      </c>
      <c r="E34" s="172">
        <v>624000</v>
      </c>
      <c r="F34" s="249" t="s">
        <v>417</v>
      </c>
      <c r="G34" s="190" t="s">
        <v>422</v>
      </c>
      <c r="H34" s="189" t="s">
        <v>447</v>
      </c>
      <c r="I34" s="166">
        <f>IFERROR(VLOOKUP(H34,DATOS!$E$117:$F$168,2,0),"")</f>
        <v>0</v>
      </c>
      <c r="J34" s="191">
        <v>0.67130000000000001</v>
      </c>
      <c r="K34" s="192">
        <f t="shared" si="1"/>
        <v>26</v>
      </c>
      <c r="L34" s="194">
        <v>45925</v>
      </c>
      <c r="M34" s="189">
        <f t="shared" si="2"/>
        <v>26</v>
      </c>
      <c r="N34" s="176">
        <v>0.6</v>
      </c>
      <c r="O34" s="112" t="s">
        <v>457</v>
      </c>
      <c r="P34" s="249" t="str">
        <f>+UPPER(TEXT(Tabla4[[#This Row],[transferencia]],"mmmm"))</f>
        <v>OCTUBRE</v>
      </c>
      <c r="Q34" t="s">
        <v>151</v>
      </c>
      <c r="R34"/>
    </row>
    <row r="35" spans="1:18" s="152" customFormat="1" hidden="1" x14ac:dyDescent="0.25">
      <c r="A35" s="112" t="str">
        <f>+Tabla4[[#This Row],[PISCINA]]&amp;Tabla4[[#This Row],[AGUAJE]]</f>
        <v>PA 09AGUAJE 2</v>
      </c>
      <c r="B35" s="112" t="s">
        <v>175</v>
      </c>
      <c r="C35" s="249" t="str">
        <f t="shared" si="3"/>
        <v>PA</v>
      </c>
      <c r="D35" s="194">
        <v>45951</v>
      </c>
      <c r="E35" s="172">
        <v>597740</v>
      </c>
      <c r="F35" t="s">
        <v>417</v>
      </c>
      <c r="G35" s="190" t="s">
        <v>458</v>
      </c>
      <c r="H35" s="189" t="s">
        <v>459</v>
      </c>
      <c r="I35" s="166" t="str">
        <f>IFERROR(VLOOKUP(H35,DATOS!$E$117:$F$168,2,0),"")</f>
        <v/>
      </c>
      <c r="J35" s="191">
        <v>0.92069999999999996</v>
      </c>
      <c r="K35" s="192">
        <f t="shared" si="1"/>
        <v>26</v>
      </c>
      <c r="L35" s="194">
        <v>45925</v>
      </c>
      <c r="M35" s="189">
        <f t="shared" si="2"/>
        <v>26</v>
      </c>
      <c r="N35" s="176">
        <v>0.5</v>
      </c>
      <c r="O35" s="112" t="s">
        <v>460</v>
      </c>
      <c r="P35" s="249" t="str">
        <f>+UPPER(TEXT(Tabla4[[#This Row],[transferencia]],"mmmm"))</f>
        <v>OCTUBRE</v>
      </c>
      <c r="Q35" t="s">
        <v>151</v>
      </c>
      <c r="R35"/>
    </row>
    <row r="36" spans="1:18" s="152" customFormat="1" hidden="1" x14ac:dyDescent="0.25">
      <c r="A36" s="112" t="str">
        <f>+Tabla4[[#This Row],[PISCINA]]&amp;Tabla4[[#This Row],[AGUAJE]]</f>
        <v>PA 10AGUAJE 2</v>
      </c>
      <c r="B36" s="112" t="s">
        <v>167</v>
      </c>
      <c r="C36" s="249" t="str">
        <f t="shared" si="3"/>
        <v>PA</v>
      </c>
      <c r="D36" s="194">
        <v>45951</v>
      </c>
      <c r="E36" s="172">
        <v>365333</v>
      </c>
      <c r="F36" s="249" t="s">
        <v>417</v>
      </c>
      <c r="G36" s="190" t="s">
        <v>422</v>
      </c>
      <c r="H36" s="189" t="s">
        <v>447</v>
      </c>
      <c r="I36" s="166">
        <f>IFERROR(VLOOKUP(H36,DATOS!$E$117:$F$168,2,0),"")</f>
        <v>0</v>
      </c>
      <c r="J36" s="191">
        <v>0.67130000000000001</v>
      </c>
      <c r="K36" s="192">
        <f t="shared" si="1"/>
        <v>26</v>
      </c>
      <c r="L36" s="194">
        <v>45925</v>
      </c>
      <c r="M36" s="189">
        <f t="shared" si="2"/>
        <v>26</v>
      </c>
      <c r="N36" s="176">
        <v>0.6</v>
      </c>
      <c r="O36" s="112" t="s">
        <v>457</v>
      </c>
      <c r="P36" s="249" t="str">
        <f>+UPPER(TEXT(Tabla4[[#This Row],[transferencia]],"mmmm"))</f>
        <v>OCTUBRE</v>
      </c>
      <c r="Q36" t="s">
        <v>151</v>
      </c>
      <c r="R36"/>
    </row>
    <row r="37" spans="1:18" s="152" customFormat="1" hidden="1" x14ac:dyDescent="0.25">
      <c r="A37" s="112" t="str">
        <f>+Tabla4[[#This Row],[PISCINA]]&amp;Tabla4[[#This Row],[AGUAJE]]</f>
        <v>PA 11AGUAJE 2</v>
      </c>
      <c r="B37" s="112" t="s">
        <v>164</v>
      </c>
      <c r="C37" s="249" t="str">
        <f t="shared" si="3"/>
        <v>PA</v>
      </c>
      <c r="D37" s="194">
        <v>45951</v>
      </c>
      <c r="E37" s="172">
        <v>866666</v>
      </c>
      <c r="F37" s="249" t="s">
        <v>417</v>
      </c>
      <c r="G37" s="190" t="s">
        <v>422</v>
      </c>
      <c r="H37" s="189" t="s">
        <v>447</v>
      </c>
      <c r="I37" s="166">
        <f>IFERROR(VLOOKUP(H37,DATOS!$E$117:$F$168,2,0),"")</f>
        <v>0</v>
      </c>
      <c r="J37" s="191">
        <v>0.67130000000000001</v>
      </c>
      <c r="K37" s="192">
        <f t="shared" si="1"/>
        <v>26</v>
      </c>
      <c r="L37" s="194">
        <v>45925</v>
      </c>
      <c r="M37" s="189">
        <f t="shared" si="2"/>
        <v>26</v>
      </c>
      <c r="N37" s="176">
        <v>0.6</v>
      </c>
      <c r="O37" s="112" t="s">
        <v>457</v>
      </c>
      <c r="P37" s="249" t="str">
        <f>+UPPER(TEXT(Tabla4[[#This Row],[transferencia]],"mmmm"))</f>
        <v>OCTUBRE</v>
      </c>
      <c r="Q37" t="s">
        <v>151</v>
      </c>
      <c r="R37"/>
    </row>
    <row r="38" spans="1:18" s="152" customFormat="1" hidden="1" x14ac:dyDescent="0.25">
      <c r="A38" s="112" t="str">
        <f>+Tabla4[[#This Row],[PISCINA]]&amp;Tabla4[[#This Row],[AGUAJE]]</f>
        <v>TI 11AGUAJE 2</v>
      </c>
      <c r="B38" s="112" t="s">
        <v>156</v>
      </c>
      <c r="C38" s="249" t="str">
        <f t="shared" si="3"/>
        <v>TI</v>
      </c>
      <c r="D38" s="194">
        <v>45951</v>
      </c>
      <c r="E38" s="172">
        <v>1190000</v>
      </c>
      <c r="F38" s="249" t="s">
        <v>417</v>
      </c>
      <c r="G38" s="190" t="s">
        <v>418</v>
      </c>
      <c r="H38" s="189" t="s">
        <v>419</v>
      </c>
      <c r="I38" s="166" t="str">
        <f>IFERROR(VLOOKUP(H38,DATOS!$E$117:$F$168,2,0),"")</f>
        <v>H10603</v>
      </c>
      <c r="J38" s="191">
        <v>0.74375000000000002</v>
      </c>
      <c r="K38" s="192">
        <f t="shared" si="1"/>
        <v>25</v>
      </c>
      <c r="L38" s="194">
        <v>45926</v>
      </c>
      <c r="M38" s="189">
        <f t="shared" si="2"/>
        <v>25</v>
      </c>
      <c r="N38" s="176">
        <v>0.65</v>
      </c>
      <c r="O38" s="112" t="s">
        <v>461</v>
      </c>
      <c r="P38" s="249" t="str">
        <f>+UPPER(TEXT(Tabla4[[#This Row],[transferencia]],"mmmm"))</f>
        <v>OCTUBRE</v>
      </c>
      <c r="Q38" t="s">
        <v>151</v>
      </c>
      <c r="R38"/>
    </row>
    <row r="39" spans="1:18" s="152" customFormat="1" hidden="1" x14ac:dyDescent="0.25">
      <c r="A39" s="112" t="str">
        <f>+Tabla4[[#This Row],[PISCINA]]&amp;Tabla4[[#This Row],[AGUAJE]]</f>
        <v>GT 15AGUAJE 1</v>
      </c>
      <c r="B39" s="112" t="s">
        <v>145</v>
      </c>
      <c r="C39" t="str">
        <f t="shared" si="3"/>
        <v>GT</v>
      </c>
      <c r="D39" s="194">
        <v>45952</v>
      </c>
      <c r="E39" s="172">
        <v>403500</v>
      </c>
      <c r="F39" s="249" t="s">
        <v>417</v>
      </c>
      <c r="G39" s="190" t="s">
        <v>422</v>
      </c>
      <c r="H39" s="189" t="s">
        <v>462</v>
      </c>
      <c r="I39" s="166" t="str">
        <f>IFERROR(VLOOKUP(H39,DATOS!$E$117:$F$168,2,0),"")</f>
        <v/>
      </c>
      <c r="J39" s="191">
        <v>0.79010000000000002</v>
      </c>
      <c r="K39" s="192">
        <f t="shared" si="1"/>
        <v>23</v>
      </c>
      <c r="L39" s="194">
        <v>45929</v>
      </c>
      <c r="M39" s="189">
        <f t="shared" si="2"/>
        <v>23</v>
      </c>
      <c r="N39" s="176">
        <v>0.54</v>
      </c>
      <c r="O39" s="112" t="s">
        <v>463</v>
      </c>
      <c r="P39" t="str">
        <f>+UPPER(TEXT(Tabla4[[#This Row],[transferencia]],"mmmm"))</f>
        <v>OCTUBRE</v>
      </c>
      <c r="Q39" t="s">
        <v>103</v>
      </c>
      <c r="R39"/>
    </row>
    <row r="40" spans="1:18" s="152" customFormat="1" hidden="1" x14ac:dyDescent="0.25">
      <c r="A40" s="112" t="str">
        <f>+Tabla4[[#This Row],[PISCINA]]&amp;Tabla4[[#This Row],[AGUAJE]]</f>
        <v>GT 18AGUAJE 1</v>
      </c>
      <c r="B40" s="112" t="s">
        <v>140</v>
      </c>
      <c r="C40" t="str">
        <f t="shared" si="3"/>
        <v>GT</v>
      </c>
      <c r="D40" s="194">
        <v>45952</v>
      </c>
      <c r="E40" s="172">
        <v>759900</v>
      </c>
      <c r="F40" s="249" t="s">
        <v>417</v>
      </c>
      <c r="G40" s="190" t="s">
        <v>422</v>
      </c>
      <c r="H40" s="189" t="s">
        <v>419</v>
      </c>
      <c r="I40" s="166" t="str">
        <f>IFERROR(VLOOKUP(H40,DATOS!$E$117:$F$168,2,0),"")</f>
        <v>H10603</v>
      </c>
      <c r="J40" s="191">
        <v>0.68589999999999995</v>
      </c>
      <c r="K40" s="192">
        <f t="shared" si="1"/>
        <v>20</v>
      </c>
      <c r="L40" s="194">
        <v>45932</v>
      </c>
      <c r="M40" s="189">
        <f t="shared" si="2"/>
        <v>20</v>
      </c>
      <c r="N40" s="176">
        <v>0.53</v>
      </c>
      <c r="O40" s="112" t="s">
        <v>464</v>
      </c>
      <c r="P40" t="str">
        <f>+UPPER(TEXT(Tabla4[[#This Row],[transferencia]],"mmmm"))</f>
        <v>OCTUBRE</v>
      </c>
      <c r="Q40" t="s">
        <v>103</v>
      </c>
      <c r="R40"/>
    </row>
    <row r="41" spans="1:18" s="152" customFormat="1" hidden="1" x14ac:dyDescent="0.25">
      <c r="A41" s="112" t="str">
        <f>+Tabla4[[#This Row],[PISCINA]]&amp;Tabla4[[#This Row],[AGUAJE]]</f>
        <v>PR 14AGUAJE 1</v>
      </c>
      <c r="B41" s="112" t="s">
        <v>107</v>
      </c>
      <c r="C41" t="str">
        <f t="shared" si="3"/>
        <v>PR</v>
      </c>
      <c r="D41" s="194">
        <v>45952</v>
      </c>
      <c r="E41" s="172">
        <v>690000</v>
      </c>
      <c r="F41" s="249" t="s">
        <v>417</v>
      </c>
      <c r="G41" s="190" t="s">
        <v>422</v>
      </c>
      <c r="H41" s="189" t="s">
        <v>419</v>
      </c>
      <c r="I41" s="166" t="str">
        <f>IFERROR(VLOOKUP(H41,DATOS!$E$117:$F$168,2,0),"")</f>
        <v>H10603</v>
      </c>
      <c r="J41" s="191">
        <v>0.60660000000000003</v>
      </c>
      <c r="K41" s="192">
        <f t="shared" si="1"/>
        <v>20</v>
      </c>
      <c r="L41" s="194">
        <v>45932</v>
      </c>
      <c r="M41" s="189">
        <f t="shared" si="2"/>
        <v>20</v>
      </c>
      <c r="N41" s="176">
        <v>0.38</v>
      </c>
      <c r="O41" s="112" t="s">
        <v>465</v>
      </c>
      <c r="P41" t="str">
        <f>+UPPER(TEXT(Tabla4[[#This Row],[transferencia]],"mmmm"))</f>
        <v>OCTUBRE</v>
      </c>
      <c r="Q41" t="s">
        <v>103</v>
      </c>
      <c r="R41"/>
    </row>
    <row r="42" spans="1:18" s="152" customFormat="1" hidden="1" x14ac:dyDescent="0.25">
      <c r="A42" s="112" t="str">
        <f>+Tabla4[[#This Row],[PISCINA]]&amp;Tabla4[[#This Row],[AGUAJE]]</f>
        <v>PR 15AGUAJE 1</v>
      </c>
      <c r="B42" s="112" t="s">
        <v>121</v>
      </c>
      <c r="C42" t="str">
        <f t="shared" si="3"/>
        <v>PR</v>
      </c>
      <c r="D42" s="194">
        <v>45952</v>
      </c>
      <c r="E42" s="172">
        <v>1215000</v>
      </c>
      <c r="F42" s="249" t="s">
        <v>417</v>
      </c>
      <c r="G42" s="190" t="s">
        <v>422</v>
      </c>
      <c r="H42" s="189" t="s">
        <v>419</v>
      </c>
      <c r="I42" s="166" t="str">
        <f>IFERROR(VLOOKUP(H42,DATOS!$E$117:$F$168,2,0),"")</f>
        <v>H10603</v>
      </c>
      <c r="J42" s="191">
        <v>0.60660000000000003</v>
      </c>
      <c r="K42" s="192">
        <f t="shared" si="1"/>
        <v>20</v>
      </c>
      <c r="L42" s="194">
        <v>45932</v>
      </c>
      <c r="M42" s="189">
        <f t="shared" si="2"/>
        <v>20</v>
      </c>
      <c r="N42" s="176">
        <v>0.38</v>
      </c>
      <c r="O42" s="112" t="s">
        <v>465</v>
      </c>
      <c r="P42" t="str">
        <f>+UPPER(TEXT(Tabla4[[#This Row],[transferencia]],"mmmm"))</f>
        <v>OCTUBRE</v>
      </c>
      <c r="Q42" t="s">
        <v>103</v>
      </c>
      <c r="R42"/>
    </row>
    <row r="43" spans="1:18" s="152" customFormat="1" hidden="1" x14ac:dyDescent="0.25">
      <c r="A43" s="112" t="str">
        <f>+Tabla4[[#This Row],[PISCINA]]&amp;Tabla4[[#This Row],[AGUAJE]]</f>
        <v>PR 16AGUAJE 1</v>
      </c>
      <c r="B43" s="112" t="s">
        <v>111</v>
      </c>
      <c r="C43" t="str">
        <f t="shared" si="3"/>
        <v>PR</v>
      </c>
      <c r="D43" s="194">
        <v>45952</v>
      </c>
      <c r="E43" s="172">
        <v>400000</v>
      </c>
      <c r="F43" s="249" t="s">
        <v>417</v>
      </c>
      <c r="G43" s="190" t="s">
        <v>422</v>
      </c>
      <c r="H43" s="189" t="s">
        <v>419</v>
      </c>
      <c r="I43" s="166" t="str">
        <f>IFERROR(VLOOKUP(H43,DATOS!$E$117:$F$168,2,0),"")</f>
        <v>H10603</v>
      </c>
      <c r="J43" s="191">
        <v>0.60660000000000003</v>
      </c>
      <c r="K43" s="192">
        <f t="shared" si="1"/>
        <v>20</v>
      </c>
      <c r="L43" s="194">
        <v>45932</v>
      </c>
      <c r="M43" s="189">
        <f t="shared" si="2"/>
        <v>20</v>
      </c>
      <c r="N43" s="176">
        <v>0.38</v>
      </c>
      <c r="O43" s="112" t="s">
        <v>465</v>
      </c>
      <c r="P43" t="str">
        <f>+UPPER(TEXT(Tabla4[[#This Row],[transferencia]],"mmmm"))</f>
        <v>OCTUBRE</v>
      </c>
      <c r="Q43" t="s">
        <v>103</v>
      </c>
      <c r="R43"/>
    </row>
    <row r="44" spans="1:18" s="152" customFormat="1" hidden="1" x14ac:dyDescent="0.25">
      <c r="A44" s="112" t="str">
        <f>+Tabla4[[#This Row],[PISCINA]]&amp;Tabla4[[#This Row],[AGUAJE]]</f>
        <v>PA 14AGUAJE 1</v>
      </c>
      <c r="B44" s="112" t="s">
        <v>128</v>
      </c>
      <c r="C44" s="249" t="str">
        <f t="shared" si="3"/>
        <v>PA</v>
      </c>
      <c r="D44" s="194">
        <v>45953</v>
      </c>
      <c r="E44" s="172">
        <v>1520000</v>
      </c>
      <c r="F44" s="249" t="s">
        <v>417</v>
      </c>
      <c r="G44" s="190" t="s">
        <v>422</v>
      </c>
      <c r="H44" s="189" t="s">
        <v>425</v>
      </c>
      <c r="I44" s="166" t="str">
        <f>IFERROR(VLOOKUP(H44,DATOS!$E$117:$F$168,2,0),"")</f>
        <v/>
      </c>
      <c r="J44" s="191">
        <v>0.90539999999999998</v>
      </c>
      <c r="K44" s="192">
        <f t="shared" si="1"/>
        <v>19</v>
      </c>
      <c r="L44" s="194">
        <v>45934</v>
      </c>
      <c r="M44" s="189">
        <f t="shared" si="2"/>
        <v>19</v>
      </c>
      <c r="N44" s="176">
        <v>4</v>
      </c>
      <c r="O44" s="112" t="s">
        <v>466</v>
      </c>
      <c r="P44" s="249" t="str">
        <f>+UPPER(TEXT(Tabla4[[#This Row],[transferencia]],"mmmm"))</f>
        <v>OCTUBRE</v>
      </c>
      <c r="Q44" t="s">
        <v>103</v>
      </c>
      <c r="R44"/>
    </row>
    <row r="45" spans="1:18" s="152" customFormat="1" hidden="1" x14ac:dyDescent="0.25">
      <c r="A45" s="112" t="str">
        <f>+Tabla4[[#This Row],[PISCINA]]&amp;Tabla4[[#This Row],[AGUAJE]]</f>
        <v>PR 03AGUAJE 1</v>
      </c>
      <c r="B45" s="112" t="s">
        <v>113</v>
      </c>
      <c r="C45" t="str">
        <f t="shared" si="3"/>
        <v>PR</v>
      </c>
      <c r="D45" s="194">
        <v>45953</v>
      </c>
      <c r="E45" s="172">
        <v>325000</v>
      </c>
      <c r="F45" s="249" t="s">
        <v>417</v>
      </c>
      <c r="G45" s="190" t="s">
        <v>422</v>
      </c>
      <c r="H45" s="189" t="s">
        <v>419</v>
      </c>
      <c r="I45" s="166" t="str">
        <f>IFERROR(VLOOKUP(H45,DATOS!$E$117:$F$168,2,0),"")</f>
        <v>H10603</v>
      </c>
      <c r="J45" s="191">
        <v>0.40179999999999999</v>
      </c>
      <c r="K45" s="192">
        <f t="shared" si="1"/>
        <v>21</v>
      </c>
      <c r="L45" s="194">
        <v>45932</v>
      </c>
      <c r="M45" s="189">
        <f t="shared" si="2"/>
        <v>21</v>
      </c>
      <c r="N45" s="176">
        <v>0.45</v>
      </c>
      <c r="O45" s="112" t="s">
        <v>467</v>
      </c>
      <c r="P45" t="str">
        <f>+UPPER(TEXT(Tabla4[[#This Row],[transferencia]],"mmmm"))</f>
        <v>OCTUBRE</v>
      </c>
      <c r="Q45" t="s">
        <v>103</v>
      </c>
      <c r="R45"/>
    </row>
    <row r="46" spans="1:18" s="152" customFormat="1" hidden="1" x14ac:dyDescent="0.25">
      <c r="A46" s="112" t="str">
        <f>+Tabla4[[#This Row],[PISCINA]]&amp;Tabla4[[#This Row],[AGUAJE]]</f>
        <v>PR 05AGUAJE 1</v>
      </c>
      <c r="B46" s="112" t="s">
        <v>117</v>
      </c>
      <c r="C46" t="str">
        <f t="shared" si="3"/>
        <v>PR</v>
      </c>
      <c r="D46" s="194">
        <v>45953</v>
      </c>
      <c r="E46" s="172">
        <v>358000</v>
      </c>
      <c r="F46" s="249" t="s">
        <v>417</v>
      </c>
      <c r="G46" s="190" t="s">
        <v>422</v>
      </c>
      <c r="H46" s="189" t="s">
        <v>419</v>
      </c>
      <c r="I46" s="166" t="str">
        <f>IFERROR(VLOOKUP(H46,DATOS!$E$117:$F$168,2,0),"")</f>
        <v>H10603</v>
      </c>
      <c r="J46" s="191">
        <v>0.40179999999999999</v>
      </c>
      <c r="K46" s="192">
        <f t="shared" si="1"/>
        <v>21</v>
      </c>
      <c r="L46" s="194">
        <v>45932</v>
      </c>
      <c r="M46" s="189">
        <f t="shared" si="2"/>
        <v>21</v>
      </c>
      <c r="N46" s="176">
        <v>0.45</v>
      </c>
      <c r="O46" s="112" t="s">
        <v>467</v>
      </c>
      <c r="P46" t="str">
        <f>+UPPER(TEXT(Tabla4[[#This Row],[transferencia]],"mmmm"))</f>
        <v>OCTUBRE</v>
      </c>
      <c r="Q46" t="s">
        <v>103</v>
      </c>
      <c r="R46"/>
    </row>
    <row r="47" spans="1:18" s="152" customFormat="1" hidden="1" x14ac:dyDescent="0.25">
      <c r="A47" s="112" t="str">
        <f>+Tabla4[[#This Row],[PISCINA]]&amp;Tabla4[[#This Row],[AGUAJE]]</f>
        <v>GT 04AGUAJE 1</v>
      </c>
      <c r="B47" s="112" t="s">
        <v>138</v>
      </c>
      <c r="C47" t="str">
        <f t="shared" si="3"/>
        <v>GT</v>
      </c>
      <c r="D47" s="194">
        <v>45954</v>
      </c>
      <c r="E47" s="172">
        <v>1059200</v>
      </c>
      <c r="F47" s="249" t="s">
        <v>417</v>
      </c>
      <c r="G47" s="190" t="s">
        <v>422</v>
      </c>
      <c r="H47" s="189" t="s">
        <v>454</v>
      </c>
      <c r="I47" s="166">
        <f>IFERROR(VLOOKUP(H47,DATOS!$E$117:$F$168,2,0),"")</f>
        <v>0</v>
      </c>
      <c r="J47" s="191">
        <v>0.85509999999999997</v>
      </c>
      <c r="K47" s="192">
        <f t="shared" si="1"/>
        <v>25</v>
      </c>
      <c r="L47" s="194">
        <v>45929</v>
      </c>
      <c r="M47" s="189">
        <f t="shared" si="2"/>
        <v>25</v>
      </c>
      <c r="N47" s="176">
        <v>0.56999999999999995</v>
      </c>
      <c r="O47" s="112" t="s">
        <v>468</v>
      </c>
      <c r="P47" t="str">
        <f>+UPPER(TEXT(Tabla4[[#This Row],[transferencia]],"mmmm"))</f>
        <v>OCTUBRE</v>
      </c>
      <c r="Q47" t="s">
        <v>103</v>
      </c>
      <c r="R47"/>
    </row>
    <row r="48" spans="1:18" s="152" customFormat="1" hidden="1" x14ac:dyDescent="0.25">
      <c r="A48" s="112" t="str">
        <f>+Tabla4[[#This Row],[PISCINA]]&amp;Tabla4[[#This Row],[AGUAJE]]</f>
        <v>GT 05AGUAJE 2</v>
      </c>
      <c r="B48" s="112" t="s">
        <v>153</v>
      </c>
      <c r="C48" t="str">
        <f t="shared" si="3"/>
        <v>GT</v>
      </c>
      <c r="D48" s="194">
        <v>45954</v>
      </c>
      <c r="E48" s="172">
        <v>602000</v>
      </c>
      <c r="F48" s="249" t="s">
        <v>417</v>
      </c>
      <c r="G48" s="190" t="s">
        <v>422</v>
      </c>
      <c r="H48" s="189" t="s">
        <v>454</v>
      </c>
      <c r="I48" s="166">
        <f>IFERROR(VLOOKUP(H48,DATOS!$E$117:$F$168,2,0),"")</f>
        <v>0</v>
      </c>
      <c r="J48" s="191">
        <v>0.85509999999999997</v>
      </c>
      <c r="K48" s="192">
        <f t="shared" si="1"/>
        <v>25</v>
      </c>
      <c r="L48" s="194">
        <v>45929</v>
      </c>
      <c r="M48" s="189">
        <f t="shared" si="2"/>
        <v>25</v>
      </c>
      <c r="N48" s="176">
        <v>0.56999999999999995</v>
      </c>
      <c r="O48" s="112" t="s">
        <v>468</v>
      </c>
      <c r="P48" t="str">
        <f>+UPPER(TEXT(Tabla4[[#This Row],[transferencia]],"mmmm"))</f>
        <v>OCTUBRE</v>
      </c>
      <c r="Q48" t="s">
        <v>151</v>
      </c>
      <c r="R48"/>
    </row>
    <row r="49" spans="1:18" s="152" customFormat="1" hidden="1" x14ac:dyDescent="0.25">
      <c r="A49" s="112" t="str">
        <f>+Tabla4[[#This Row],[PISCINA]]&amp;Tabla4[[#This Row],[AGUAJE]]</f>
        <v>CH 23AGUAJE 1</v>
      </c>
      <c r="B49" s="112" t="s">
        <v>26</v>
      </c>
      <c r="C49" t="str">
        <f t="shared" si="3"/>
        <v>CH</v>
      </c>
      <c r="D49" s="194">
        <v>45955</v>
      </c>
      <c r="E49" s="172">
        <v>1098000</v>
      </c>
      <c r="F49" s="249" t="s">
        <v>417</v>
      </c>
      <c r="G49" s="190" t="s">
        <v>422</v>
      </c>
      <c r="H49" s="189" t="s">
        <v>469</v>
      </c>
      <c r="I49" s="166">
        <f>IFERROR(VLOOKUP(H49,DATOS!$E$117:$F$168,2,0),"")</f>
        <v>0</v>
      </c>
      <c r="J49" s="191">
        <v>0.7097</v>
      </c>
      <c r="K49" s="192">
        <f t="shared" si="1"/>
        <v>25</v>
      </c>
      <c r="L49" s="194">
        <v>45930</v>
      </c>
      <c r="M49" s="189">
        <f t="shared" si="2"/>
        <v>25</v>
      </c>
      <c r="N49" s="176">
        <v>0.62</v>
      </c>
      <c r="O49" s="112" t="s">
        <v>470</v>
      </c>
      <c r="P49" t="str">
        <f>+UPPER(TEXT(Tabla4[[#This Row],[transferencia]],"mmmm"))</f>
        <v>OCTUBRE</v>
      </c>
      <c r="Q49" t="s">
        <v>103</v>
      </c>
      <c r="R49"/>
    </row>
    <row r="50" spans="1:18" s="152" customFormat="1" hidden="1" x14ac:dyDescent="0.25">
      <c r="A50" s="112" t="str">
        <f>+Tabla4[[#This Row],[PISCINA]]&amp;Tabla4[[#This Row],[AGUAJE]]</f>
        <v>CH 21AGUAJE 1</v>
      </c>
      <c r="B50" s="112" t="s">
        <v>25</v>
      </c>
      <c r="C50" t="str">
        <f t="shared" si="3"/>
        <v>CH</v>
      </c>
      <c r="D50" s="194">
        <v>45956</v>
      </c>
      <c r="E50" s="172">
        <v>721000</v>
      </c>
      <c r="F50" s="249" t="s">
        <v>417</v>
      </c>
      <c r="G50" s="190" t="s">
        <v>422</v>
      </c>
      <c r="H50" s="189" t="s">
        <v>469</v>
      </c>
      <c r="I50" s="166">
        <f>IFERROR(VLOOKUP(H50,DATOS!$E$117:$F$168,2,0),"")</f>
        <v>0</v>
      </c>
      <c r="J50" s="191">
        <v>0.7097</v>
      </c>
      <c r="K50" s="192">
        <f t="shared" si="1"/>
        <v>26</v>
      </c>
      <c r="L50" s="194">
        <v>45930</v>
      </c>
      <c r="M50" s="189">
        <f t="shared" si="2"/>
        <v>26</v>
      </c>
      <c r="N50" s="176">
        <v>0.65</v>
      </c>
      <c r="O50" s="112" t="s">
        <v>470</v>
      </c>
      <c r="P50" t="str">
        <f>+UPPER(TEXT(Tabla4[[#This Row],[transferencia]],"mmmm"))</f>
        <v>OCTUBRE</v>
      </c>
      <c r="Q50" t="s">
        <v>103</v>
      </c>
      <c r="R50"/>
    </row>
    <row r="51" spans="1:18" s="152" customFormat="1" hidden="1" x14ac:dyDescent="0.25">
      <c r="A51" s="112" t="str">
        <f>+Tabla4[[#This Row],[PISCINA]]&amp;Tabla4[[#This Row],[AGUAJE]]</f>
        <v>DE 07AGUAJE 2</v>
      </c>
      <c r="B51" s="112" t="s">
        <v>174</v>
      </c>
      <c r="C51" s="249" t="str">
        <f t="shared" si="3"/>
        <v>DE</v>
      </c>
      <c r="D51" s="194">
        <v>45956</v>
      </c>
      <c r="E51" s="172">
        <v>1739100</v>
      </c>
      <c r="F51" s="249" t="s">
        <v>417</v>
      </c>
      <c r="G51" s="190" t="s">
        <v>422</v>
      </c>
      <c r="H51" s="189" t="s">
        <v>423</v>
      </c>
      <c r="I51" s="166" t="str">
        <f>IFERROR(VLOOKUP(H51,DATOS!$E$117:$F$168,2,0),"")</f>
        <v>H10611</v>
      </c>
      <c r="J51" s="191">
        <v>0.75139999999999996</v>
      </c>
      <c r="K51" s="192">
        <f t="shared" si="1"/>
        <v>15</v>
      </c>
      <c r="L51" s="194">
        <v>45941</v>
      </c>
      <c r="M51" s="189">
        <f t="shared" si="2"/>
        <v>15</v>
      </c>
      <c r="N51" s="176">
        <v>0.26</v>
      </c>
      <c r="O51" s="112" t="s">
        <v>471</v>
      </c>
      <c r="P51" s="249" t="str">
        <f>+UPPER(TEXT(Tabla4[[#This Row],[transferencia]],"mmmm"))</f>
        <v>OCTUBRE</v>
      </c>
      <c r="Q51" t="s">
        <v>151</v>
      </c>
      <c r="R51"/>
    </row>
    <row r="52" spans="1:18" s="152" customFormat="1" hidden="1" x14ac:dyDescent="0.25">
      <c r="A52" s="112" t="str">
        <f>+Tabla4[[#This Row],[PISCINA]]&amp;Tabla4[[#This Row],[AGUAJE]]</f>
        <v>GT 21AGUAJE 1</v>
      </c>
      <c r="B52" s="112" t="s">
        <v>134</v>
      </c>
      <c r="C52" t="str">
        <f t="shared" si="3"/>
        <v>GT</v>
      </c>
      <c r="D52" s="194">
        <v>45956</v>
      </c>
      <c r="E52" s="172">
        <v>531200</v>
      </c>
      <c r="F52" s="249" t="s">
        <v>417</v>
      </c>
      <c r="G52" s="190" t="s">
        <v>422</v>
      </c>
      <c r="H52" s="189" t="s">
        <v>444</v>
      </c>
      <c r="I52" s="166" t="str">
        <f>IFERROR(VLOOKUP(H52,DATOS!$E$117:$F$168,2,0),"")</f>
        <v>H10598B</v>
      </c>
      <c r="J52" s="191">
        <v>0.83</v>
      </c>
      <c r="K52" s="192">
        <f t="shared" si="1"/>
        <v>12</v>
      </c>
      <c r="L52" s="194">
        <v>45944</v>
      </c>
      <c r="M52" s="189">
        <f t="shared" si="2"/>
        <v>12</v>
      </c>
      <c r="N52" s="176">
        <v>1.52</v>
      </c>
      <c r="O52" s="112" t="s">
        <v>472</v>
      </c>
      <c r="P52" t="str">
        <f>+UPPER(TEXT(Tabla4[[#This Row],[transferencia]],"mmmm"))</f>
        <v>OCTUBRE</v>
      </c>
      <c r="Q52" t="s">
        <v>103</v>
      </c>
      <c r="R52"/>
    </row>
    <row r="53" spans="1:18" s="152" customFormat="1" hidden="1" x14ac:dyDescent="0.25">
      <c r="A53" s="112" t="str">
        <f>+Tabla4[[#This Row],[PISCINA]]&amp;Tabla4[[#This Row],[AGUAJE]]</f>
        <v>TA 01AGUAJE 2</v>
      </c>
      <c r="B53" s="112" t="s">
        <v>166</v>
      </c>
      <c r="C53" s="249" t="str">
        <f t="shared" si="3"/>
        <v>TA</v>
      </c>
      <c r="D53" s="194">
        <v>45956</v>
      </c>
      <c r="E53" s="172">
        <v>540000</v>
      </c>
      <c r="F53" s="249" t="s">
        <v>417</v>
      </c>
      <c r="G53" s="190" t="s">
        <v>422</v>
      </c>
      <c r="H53" s="189" t="s">
        <v>450</v>
      </c>
      <c r="I53" s="166">
        <f>IFERROR(VLOOKUP(H53,DATOS!$E$117:$F$168,2,0),"")</f>
        <v>0</v>
      </c>
      <c r="J53" s="191">
        <v>0.79910000000000003</v>
      </c>
      <c r="K53" s="192">
        <f t="shared" si="1"/>
        <v>27</v>
      </c>
      <c r="L53" s="194">
        <v>45929</v>
      </c>
      <c r="M53" s="189">
        <f t="shared" si="2"/>
        <v>27</v>
      </c>
      <c r="N53" s="176">
        <v>0.57999999999999996</v>
      </c>
      <c r="O53" s="112" t="s">
        <v>473</v>
      </c>
      <c r="P53" s="249" t="str">
        <f>+UPPER(TEXT(Tabla4[[#This Row],[transferencia]],"mmmm"))</f>
        <v>OCTUBRE</v>
      </c>
      <c r="Q53" t="s">
        <v>151</v>
      </c>
      <c r="R53"/>
    </row>
    <row r="54" spans="1:18" s="152" customFormat="1" hidden="1" x14ac:dyDescent="0.25">
      <c r="A54" s="112" t="str">
        <f>+Tabla4[[#This Row],[PISCINA]]&amp;Tabla4[[#This Row],[AGUAJE]]</f>
        <v>TA 06AGUAJE 2</v>
      </c>
      <c r="B54" s="112" t="s">
        <v>162</v>
      </c>
      <c r="C54" s="249" t="str">
        <f t="shared" si="3"/>
        <v>TA</v>
      </c>
      <c r="D54" s="194">
        <v>45956</v>
      </c>
      <c r="E54" s="172">
        <v>978250</v>
      </c>
      <c r="F54" s="249" t="s">
        <v>417</v>
      </c>
      <c r="G54" s="190" t="s">
        <v>422</v>
      </c>
      <c r="H54" s="189" t="s">
        <v>450</v>
      </c>
      <c r="I54" s="166">
        <f>IFERROR(VLOOKUP(H54,DATOS!$E$117:$F$168,2,0),"")</f>
        <v>0</v>
      </c>
      <c r="J54" s="191">
        <v>0.79910000000000003</v>
      </c>
      <c r="K54" s="192">
        <f t="shared" si="1"/>
        <v>27</v>
      </c>
      <c r="L54" s="194">
        <v>45929</v>
      </c>
      <c r="M54" s="189">
        <f t="shared" si="2"/>
        <v>27</v>
      </c>
      <c r="N54" s="176">
        <v>0.57999999999999996</v>
      </c>
      <c r="O54" s="112" t="s">
        <v>473</v>
      </c>
      <c r="P54" s="249" t="str">
        <f>+UPPER(TEXT(Tabla4[[#This Row],[transferencia]],"mmmm"))</f>
        <v>OCTUBRE</v>
      </c>
      <c r="Q54" t="s">
        <v>151</v>
      </c>
      <c r="R54"/>
    </row>
    <row r="55" spans="1:18" s="152" customFormat="1" hidden="1" x14ac:dyDescent="0.25">
      <c r="A55" s="112" t="str">
        <f>+Tabla4[[#This Row],[PISCINA]]&amp;Tabla4[[#This Row],[AGUAJE]]</f>
        <v>WA 37AGUAJE 2</v>
      </c>
      <c r="B55" s="112" t="s">
        <v>163</v>
      </c>
      <c r="C55" s="249" t="str">
        <f t="shared" si="3"/>
        <v>WA</v>
      </c>
      <c r="D55" s="194">
        <v>45956</v>
      </c>
      <c r="E55" s="172">
        <v>1800000</v>
      </c>
      <c r="F55" s="249" t="s">
        <v>417</v>
      </c>
      <c r="G55" s="190" t="s">
        <v>422</v>
      </c>
      <c r="H55" s="189" t="s">
        <v>419</v>
      </c>
      <c r="I55" s="166" t="str">
        <f>IFERROR(VLOOKUP(H55,DATOS!$E$117:$F$168,2,0),"")</f>
        <v>H10603</v>
      </c>
      <c r="J55" s="191">
        <v>0.7097</v>
      </c>
      <c r="K55" s="192">
        <f t="shared" si="1"/>
        <v>24</v>
      </c>
      <c r="L55" s="194">
        <v>45932</v>
      </c>
      <c r="M55" s="189">
        <f t="shared" si="2"/>
        <v>24</v>
      </c>
      <c r="N55" s="176">
        <v>0.47</v>
      </c>
      <c r="O55" s="112" t="s">
        <v>474</v>
      </c>
      <c r="P55" s="249" t="str">
        <f>+UPPER(TEXT(Tabla4[[#This Row],[transferencia]],"mmmm"))</f>
        <v>OCTUBRE</v>
      </c>
      <c r="Q55" t="s">
        <v>151</v>
      </c>
      <c r="R55"/>
    </row>
    <row r="56" spans="1:18" s="152" customFormat="1" hidden="1" x14ac:dyDescent="0.25">
      <c r="A56" s="112" t="str">
        <f>+Tabla4[[#This Row],[PISCINA]]&amp;Tabla4[[#This Row],[AGUAJE]]</f>
        <v>WA 04AGUAJE 2</v>
      </c>
      <c r="B56" s="112" t="s">
        <v>157</v>
      </c>
      <c r="C56" s="249" t="str">
        <f t="shared" si="3"/>
        <v>WA</v>
      </c>
      <c r="D56" s="194">
        <v>45957</v>
      </c>
      <c r="E56" s="172">
        <v>1480000</v>
      </c>
      <c r="F56" s="249" t="s">
        <v>417</v>
      </c>
      <c r="G56" s="190" t="s">
        <v>422</v>
      </c>
      <c r="H56" s="189" t="s">
        <v>419</v>
      </c>
      <c r="I56" s="166" t="str">
        <f>IFERROR(VLOOKUP(H56,DATOS!$E$117:$F$168,2,0),"")</f>
        <v>H10603</v>
      </c>
      <c r="J56" s="191">
        <v>0.71750000000000003</v>
      </c>
      <c r="K56" s="192">
        <f t="shared" si="1"/>
        <v>25</v>
      </c>
      <c r="L56" s="194">
        <v>45932</v>
      </c>
      <c r="M56" s="189">
        <f t="shared" si="2"/>
        <v>25</v>
      </c>
      <c r="N56" s="176">
        <v>0.5</v>
      </c>
      <c r="O56" s="112" t="s">
        <v>475</v>
      </c>
      <c r="P56" s="249" t="str">
        <f>+UPPER(TEXT(Tabla4[[#This Row],[transferencia]],"mmmm"))</f>
        <v>OCTUBRE</v>
      </c>
      <c r="Q56" t="s">
        <v>151</v>
      </c>
      <c r="R56"/>
    </row>
    <row r="57" spans="1:18" s="152" customFormat="1" hidden="1" x14ac:dyDescent="0.25">
      <c r="A57" s="112" t="str">
        <f>+Tabla4[[#This Row],[PISCINA]]&amp;Tabla4[[#This Row],[AGUAJE]]</f>
        <v>WA PC 04AGUAJE 2</v>
      </c>
      <c r="B57" s="112" t="s">
        <v>158</v>
      </c>
      <c r="C57" s="249" t="str">
        <f t="shared" si="3"/>
        <v>WA</v>
      </c>
      <c r="D57" s="194">
        <v>45957</v>
      </c>
      <c r="E57" s="172">
        <v>360000</v>
      </c>
      <c r="F57" s="249" t="s">
        <v>417</v>
      </c>
      <c r="G57" s="190" t="s">
        <v>422</v>
      </c>
      <c r="H57" s="189" t="s">
        <v>476</v>
      </c>
      <c r="I57" s="166" t="str">
        <f>IFERROR(VLOOKUP(H57,DATOS!$E$117:$F$168,2,0),"")</f>
        <v/>
      </c>
      <c r="J57" s="191">
        <v>0.67479999999999996</v>
      </c>
      <c r="K57" s="192">
        <f t="shared" si="1"/>
        <v>25</v>
      </c>
      <c r="L57" s="194">
        <v>45932</v>
      </c>
      <c r="M57" s="189">
        <f t="shared" si="2"/>
        <v>25</v>
      </c>
      <c r="N57" s="176">
        <v>0.5</v>
      </c>
      <c r="O57" s="112" t="s">
        <v>477</v>
      </c>
      <c r="P57" s="249" t="str">
        <f>+UPPER(TEXT(Tabla4[[#This Row],[transferencia]],"mmmm"))</f>
        <v>OCTUBRE</v>
      </c>
      <c r="Q57" t="s">
        <v>151</v>
      </c>
      <c r="R57"/>
    </row>
    <row r="58" spans="1:18" s="152" customFormat="1" hidden="1" x14ac:dyDescent="0.25">
      <c r="A58" s="112" t="str">
        <f>+Tabla4[[#This Row],[PISCINA]]&amp;Tabla4[[#This Row],[AGUAJE]]</f>
        <v>DE 09AGUAJE 2</v>
      </c>
      <c r="B58" s="112" t="s">
        <v>177</v>
      </c>
      <c r="C58" s="249" t="str">
        <f t="shared" si="3"/>
        <v>DE</v>
      </c>
      <c r="D58" s="194">
        <v>45958</v>
      </c>
      <c r="E58" s="172">
        <v>1266500</v>
      </c>
      <c r="F58" s="249" t="s">
        <v>417</v>
      </c>
      <c r="G58" s="190" t="s">
        <v>422</v>
      </c>
      <c r="H58" s="189" t="s">
        <v>423</v>
      </c>
      <c r="I58" s="166" t="str">
        <f>IFERROR(VLOOKUP(H58,DATOS!$E$117:$F$168,2,0),"")</f>
        <v>H10611</v>
      </c>
      <c r="J58" s="191">
        <v>0.75139999999999996</v>
      </c>
      <c r="K58" s="192">
        <f t="shared" si="1"/>
        <v>17</v>
      </c>
      <c r="L58" s="194">
        <v>45941</v>
      </c>
      <c r="M58" s="189">
        <f t="shared" si="2"/>
        <v>17</v>
      </c>
      <c r="N58" s="176">
        <v>0.3</v>
      </c>
      <c r="O58" s="112" t="s">
        <v>471</v>
      </c>
      <c r="P58" s="249" t="str">
        <f>+UPPER(TEXT(Tabla4[[#This Row],[transferencia]],"mmmm"))</f>
        <v>OCTUBRE</v>
      </c>
      <c r="Q58" t="s">
        <v>151</v>
      </c>
      <c r="R58"/>
    </row>
    <row r="59" spans="1:18" s="152" customFormat="1" hidden="1" x14ac:dyDescent="0.25">
      <c r="A59" s="112" t="str">
        <f>+Tabla4[[#This Row],[PISCINA]]&amp;Tabla4[[#This Row],[AGUAJE]]</f>
        <v>DE 10AGUAJE 5</v>
      </c>
      <c r="B59" s="112" t="s">
        <v>283</v>
      </c>
      <c r="C59" s="249" t="str">
        <f t="shared" si="3"/>
        <v>DE</v>
      </c>
      <c r="D59" s="194">
        <v>46034</v>
      </c>
      <c r="E59" s="172">
        <v>1153100</v>
      </c>
      <c r="F59" s="249" t="s">
        <v>417</v>
      </c>
      <c r="G59" s="190" t="s">
        <v>418</v>
      </c>
      <c r="H59" s="190" t="s">
        <v>418</v>
      </c>
      <c r="I59" s="166" t="str">
        <f>IFERROR(VLOOKUP(H59,DATOS!$E$117:$F$168,2,0),"")</f>
        <v>H10234</v>
      </c>
      <c r="J59" s="191">
        <v>0.83479999999999999</v>
      </c>
      <c r="K59" s="192">
        <f t="shared" si="1"/>
        <v>21</v>
      </c>
      <c r="L59" s="194">
        <v>46013</v>
      </c>
      <c r="M59" s="189">
        <f t="shared" si="2"/>
        <v>21</v>
      </c>
      <c r="N59" s="176">
        <v>2.5</v>
      </c>
      <c r="O59" s="112" t="s">
        <v>478</v>
      </c>
      <c r="P59" s="249" t="str">
        <f>+UPPER(TEXT(Tabla4[[#This Row],[transferencia]],"mmmm"))</f>
        <v>ENERO</v>
      </c>
      <c r="Q59" t="s">
        <v>256</v>
      </c>
      <c r="R59"/>
    </row>
    <row r="60" spans="1:18" s="152" customFormat="1" hidden="1" x14ac:dyDescent="0.25">
      <c r="A60" s="112" t="str">
        <f>+Tabla4[[#This Row],[PISCINA]]&amp;Tabla4[[#This Row],[AGUAJE]]</f>
        <v>DE 15AGUAJE 1</v>
      </c>
      <c r="B60" s="112" t="s">
        <v>125</v>
      </c>
      <c r="C60" t="str">
        <f t="shared" si="3"/>
        <v>DE</v>
      </c>
      <c r="D60" s="194">
        <v>45959</v>
      </c>
      <c r="E60" s="172">
        <v>1125000</v>
      </c>
      <c r="F60" s="249" t="s">
        <v>417</v>
      </c>
      <c r="G60" s="190" t="s">
        <v>418</v>
      </c>
      <c r="H60" s="189" t="s">
        <v>418</v>
      </c>
      <c r="I60" s="166" t="str">
        <f>IFERROR(VLOOKUP(H60,DATOS!$E$117:$F$168,2,0),"")</f>
        <v>H10234</v>
      </c>
      <c r="J60" s="191">
        <v>0.80359999999999998</v>
      </c>
      <c r="K60" s="192">
        <f t="shared" si="1"/>
        <v>16</v>
      </c>
      <c r="L60" s="194">
        <v>45943</v>
      </c>
      <c r="M60" s="189">
        <f t="shared" si="2"/>
        <v>16</v>
      </c>
      <c r="N60" s="176">
        <v>2.6</v>
      </c>
      <c r="O60" s="112" t="s">
        <v>479</v>
      </c>
      <c r="P60" t="str">
        <f>+UPPER(TEXT(Tabla4[[#This Row],[transferencia]],"mmmm"))</f>
        <v>OCTUBRE</v>
      </c>
      <c r="Q60" t="s">
        <v>103</v>
      </c>
      <c r="R60"/>
    </row>
    <row r="61" spans="1:18" s="152" customFormat="1" hidden="1" x14ac:dyDescent="0.25">
      <c r="A61" s="112" t="str">
        <f>+Tabla4[[#This Row],[PISCINA]]&amp;Tabla4[[#This Row],[AGUAJE]]</f>
        <v>TA 13AGUAJE 2</v>
      </c>
      <c r="B61" s="112" t="s">
        <v>171</v>
      </c>
      <c r="C61" s="249" t="str">
        <f t="shared" si="3"/>
        <v>TA</v>
      </c>
      <c r="D61" s="194">
        <v>45959</v>
      </c>
      <c r="E61" s="172">
        <v>672000</v>
      </c>
      <c r="F61" s="249" t="s">
        <v>417</v>
      </c>
      <c r="G61" s="190" t="s">
        <v>418</v>
      </c>
      <c r="H61" s="189" t="s">
        <v>418</v>
      </c>
      <c r="I61" s="166" t="str">
        <f>IFERROR(VLOOKUP(H61,DATOS!$E$117:$F$168,2,0),"")</f>
        <v>H10234</v>
      </c>
      <c r="J61" s="191">
        <v>0.69630000000000003</v>
      </c>
      <c r="K61" s="192">
        <f t="shared" si="1"/>
        <v>24</v>
      </c>
      <c r="L61" s="194">
        <v>45935</v>
      </c>
      <c r="M61" s="189">
        <f t="shared" si="2"/>
        <v>24</v>
      </c>
      <c r="N61" s="176">
        <v>0.4</v>
      </c>
      <c r="O61" s="112" t="s">
        <v>480</v>
      </c>
      <c r="P61" s="249" t="str">
        <f>+UPPER(TEXT(Tabla4[[#This Row],[transferencia]],"mmmm"))</f>
        <v>OCTUBRE</v>
      </c>
      <c r="Q61" t="s">
        <v>151</v>
      </c>
      <c r="R61"/>
    </row>
    <row r="62" spans="1:18" s="152" customFormat="1" hidden="1" x14ac:dyDescent="0.25">
      <c r="A62" s="112" t="str">
        <f>+Tabla4[[#This Row],[PISCINA]]&amp;Tabla4[[#This Row],[AGUAJE]]</f>
        <v>TA 24AGUAJE 2</v>
      </c>
      <c r="B62" s="112" t="s">
        <v>172</v>
      </c>
      <c r="C62" t="str">
        <f t="shared" si="3"/>
        <v>TA</v>
      </c>
      <c r="D62" s="194">
        <v>45959</v>
      </c>
      <c r="E62" s="172">
        <v>929500</v>
      </c>
      <c r="F62" s="249" t="s">
        <v>417</v>
      </c>
      <c r="G62" s="190" t="s">
        <v>418</v>
      </c>
      <c r="H62" s="189" t="s">
        <v>418</v>
      </c>
      <c r="I62" s="166" t="str">
        <f>IFERROR(VLOOKUP(H62,DATOS!$E$117:$F$168,2,0),"")</f>
        <v>H10234</v>
      </c>
      <c r="J62" s="191">
        <v>0.69630000000000003</v>
      </c>
      <c r="K62" s="192">
        <f t="shared" si="1"/>
        <v>24</v>
      </c>
      <c r="L62" s="194">
        <v>45935</v>
      </c>
      <c r="M62" s="189">
        <f t="shared" si="2"/>
        <v>24</v>
      </c>
      <c r="N62" s="176">
        <v>0.4</v>
      </c>
      <c r="O62" s="112" t="s">
        <v>480</v>
      </c>
      <c r="P62" t="str">
        <f>+UPPER(TEXT(Tabla4[[#This Row],[transferencia]],"mmmm"))</f>
        <v>OCTUBRE</v>
      </c>
      <c r="Q62" t="s">
        <v>151</v>
      </c>
      <c r="R62"/>
    </row>
    <row r="63" spans="1:18" s="152" customFormat="1" hidden="1" x14ac:dyDescent="0.25">
      <c r="A63" s="112" t="str">
        <f>+Tabla4[[#This Row],[PISCINA]]&amp;Tabla4[[#This Row],[AGUAJE]]</f>
        <v>TU 03AGUAJE 3</v>
      </c>
      <c r="B63" s="112" t="s">
        <v>189</v>
      </c>
      <c r="C63" s="249" t="str">
        <f t="shared" si="3"/>
        <v>TU</v>
      </c>
      <c r="D63" s="194">
        <v>45959</v>
      </c>
      <c r="E63" s="172">
        <v>632918</v>
      </c>
      <c r="F63" s="249" t="s">
        <v>417</v>
      </c>
      <c r="G63" s="190" t="s">
        <v>418</v>
      </c>
      <c r="H63" s="189" t="s">
        <v>418</v>
      </c>
      <c r="I63" s="166" t="str">
        <f>IFERROR(VLOOKUP(H63,DATOS!$E$117:$F$168,2,0),"")</f>
        <v>H10234</v>
      </c>
      <c r="J63" s="191">
        <v>0.76600000000000001</v>
      </c>
      <c r="K63" s="192">
        <f t="shared" si="1"/>
        <v>24</v>
      </c>
      <c r="L63" s="194">
        <v>45935</v>
      </c>
      <c r="M63" s="189">
        <f t="shared" si="2"/>
        <v>24</v>
      </c>
      <c r="N63" s="176">
        <v>0.39</v>
      </c>
      <c r="O63" s="112" t="s">
        <v>481</v>
      </c>
      <c r="P63" s="249" t="str">
        <f>+UPPER(TEXT(Tabla4[[#This Row],[transferencia]],"mmmm"))</f>
        <v>OCTUBRE</v>
      </c>
      <c r="Q63" t="s">
        <v>186</v>
      </c>
      <c r="R63"/>
    </row>
    <row r="64" spans="1:18" s="152" customFormat="1" hidden="1" x14ac:dyDescent="0.25">
      <c r="A64" s="112" t="str">
        <f>+Tabla4[[#This Row],[PISCINA]]&amp;Tabla4[[#This Row],[AGUAJE]]</f>
        <v>TU 4AAGUAJE 2</v>
      </c>
      <c r="B64" s="112" t="s">
        <v>185</v>
      </c>
      <c r="C64" s="249" t="str">
        <f t="shared" si="3"/>
        <v>TU</v>
      </c>
      <c r="D64" s="194">
        <v>45959</v>
      </c>
      <c r="E64" s="172">
        <v>1166000</v>
      </c>
      <c r="F64" s="249" t="s">
        <v>417</v>
      </c>
      <c r="G64" s="190" t="s">
        <v>418</v>
      </c>
      <c r="H64" s="189" t="s">
        <v>418</v>
      </c>
      <c r="I64" s="166" t="str">
        <f>IFERROR(VLOOKUP(H64,DATOS!$E$117:$F$168,2,0),"")</f>
        <v>H10234</v>
      </c>
      <c r="J64" s="191">
        <v>0.86250000000000004</v>
      </c>
      <c r="K64" s="192">
        <f t="shared" si="1"/>
        <v>24</v>
      </c>
      <c r="L64" s="194">
        <v>45935</v>
      </c>
      <c r="M64" s="189">
        <f t="shared" si="2"/>
        <v>24</v>
      </c>
      <c r="N64" s="176">
        <v>0.4</v>
      </c>
      <c r="O64" s="112" t="s">
        <v>482</v>
      </c>
      <c r="P64" s="249" t="str">
        <f>+UPPER(TEXT(Tabla4[[#This Row],[transferencia]],"mmmm"))</f>
        <v>OCTUBRE</v>
      </c>
      <c r="Q64" t="s">
        <v>151</v>
      </c>
      <c r="R64"/>
    </row>
    <row r="65" spans="1:18" s="152" customFormat="1" hidden="1" x14ac:dyDescent="0.25">
      <c r="A65" s="112" t="str">
        <f>+Tabla4[[#This Row],[PISCINA]]&amp;Tabla4[[#This Row],[AGUAJE]]</f>
        <v>CH 16AGUAJE 2</v>
      </c>
      <c r="B65" s="112" t="s">
        <v>22</v>
      </c>
      <c r="C65" t="str">
        <f t="shared" si="3"/>
        <v>CH</v>
      </c>
      <c r="D65" s="194">
        <v>45960</v>
      </c>
      <c r="E65" s="172">
        <v>1260000</v>
      </c>
      <c r="F65" s="249" t="s">
        <v>417</v>
      </c>
      <c r="G65" s="190" t="s">
        <v>422</v>
      </c>
      <c r="H65" s="189" t="s">
        <v>454</v>
      </c>
      <c r="I65" s="166">
        <f>IFERROR(VLOOKUP(H65,DATOS!$E$117:$F$168,2,0),"")</f>
        <v>0</v>
      </c>
      <c r="J65" s="191">
        <v>0.78749999999999998</v>
      </c>
      <c r="K65" s="192">
        <f t="shared" si="1"/>
        <v>24</v>
      </c>
      <c r="L65" s="194">
        <v>45936</v>
      </c>
      <c r="M65" s="189">
        <f t="shared" si="2"/>
        <v>24</v>
      </c>
      <c r="N65" s="176">
        <v>0.41</v>
      </c>
      <c r="O65" s="112" t="s">
        <v>483</v>
      </c>
      <c r="P65" t="str">
        <f>+UPPER(TEXT(Tabla4[[#This Row],[transferencia]],"mmmm"))</f>
        <v>OCTUBRE</v>
      </c>
      <c r="Q65" t="s">
        <v>151</v>
      </c>
      <c r="R65"/>
    </row>
    <row r="66" spans="1:18" s="152" customFormat="1" hidden="1" x14ac:dyDescent="0.25">
      <c r="A66" s="112" t="str">
        <f>+Tabla4[[#This Row],[PISCINA]]&amp;Tabla4[[#This Row],[AGUAJE]]</f>
        <v>DO 05AGUAJE 2</v>
      </c>
      <c r="B66" s="112" t="s">
        <v>183</v>
      </c>
      <c r="C66" t="str">
        <f t="shared" ref="C66:C97" si="4">+MID(A66,1,2)</f>
        <v>DO</v>
      </c>
      <c r="D66" s="194">
        <v>45960</v>
      </c>
      <c r="E66" s="172">
        <v>883200</v>
      </c>
      <c r="F66" s="249" t="s">
        <v>417</v>
      </c>
      <c r="G66" s="190" t="s">
        <v>422</v>
      </c>
      <c r="H66" s="189" t="s">
        <v>423</v>
      </c>
      <c r="I66" s="166" t="str">
        <f>IFERROR(VLOOKUP(H66,DATOS!$E$117:$F$168,2,0),"")</f>
        <v>H10611</v>
      </c>
      <c r="J66" s="191">
        <v>0.88319999999999999</v>
      </c>
      <c r="K66" s="192">
        <f t="shared" ref="K66:K127" si="5">+D66-L66</f>
        <v>19</v>
      </c>
      <c r="L66" s="194">
        <v>45941</v>
      </c>
      <c r="M66" s="189">
        <f t="shared" ref="M66:M127" si="6">+D66-L66</f>
        <v>19</v>
      </c>
      <c r="N66" s="176">
        <v>0.35</v>
      </c>
      <c r="O66" s="112" t="s">
        <v>432</v>
      </c>
      <c r="P66" t="str">
        <f>+UPPER(TEXT(Tabla4[[#This Row],[transferencia]],"mmmm"))</f>
        <v>OCTUBRE</v>
      </c>
      <c r="Q66" t="s">
        <v>151</v>
      </c>
      <c r="R66"/>
    </row>
    <row r="67" spans="1:18" s="152" customFormat="1" hidden="1" x14ac:dyDescent="0.25">
      <c r="A67" s="112" t="str">
        <f>+Tabla4[[#This Row],[PISCINA]]&amp;Tabla4[[#This Row],[AGUAJE]]</f>
        <v>TA 15AGUAJE 2</v>
      </c>
      <c r="B67" s="112" t="s">
        <v>176</v>
      </c>
      <c r="C67" s="249" t="str">
        <f t="shared" si="4"/>
        <v>TA</v>
      </c>
      <c r="D67" s="194">
        <v>45960</v>
      </c>
      <c r="E67" s="172">
        <v>900000</v>
      </c>
      <c r="F67" t="s">
        <v>417</v>
      </c>
      <c r="G67" s="189" t="s">
        <v>418</v>
      </c>
      <c r="H67" s="189" t="s">
        <v>418</v>
      </c>
      <c r="I67" s="166" t="str">
        <f>IFERROR(VLOOKUP(H67,DATOS!$E$117:$F$168,2,0),"")</f>
        <v>H10234</v>
      </c>
      <c r="J67" s="191">
        <v>0.75</v>
      </c>
      <c r="K67" s="192">
        <f t="shared" si="5"/>
        <v>25</v>
      </c>
      <c r="L67" s="194">
        <v>45935</v>
      </c>
      <c r="M67" s="189">
        <f t="shared" si="6"/>
        <v>25</v>
      </c>
      <c r="N67" s="176">
        <v>0.7</v>
      </c>
      <c r="O67" s="112" t="s">
        <v>484</v>
      </c>
      <c r="P67" s="249" t="str">
        <f>+UPPER(TEXT(Tabla4[[#This Row],[transferencia]],"mmmm"))</f>
        <v>OCTUBRE</v>
      </c>
      <c r="Q67" t="s">
        <v>151</v>
      </c>
      <c r="R67"/>
    </row>
    <row r="68" spans="1:18" s="152" customFormat="1" hidden="1" x14ac:dyDescent="0.25">
      <c r="A68" s="112" t="str">
        <f>+Tabla4[[#This Row],[PISCINA]]&amp;Tabla4[[#This Row],[AGUAJE]]</f>
        <v>TA 03AGUAJE 2</v>
      </c>
      <c r="B68" s="112" t="s">
        <v>180</v>
      </c>
      <c r="C68" t="str">
        <f t="shared" si="4"/>
        <v>TA</v>
      </c>
      <c r="D68" s="194">
        <v>45961</v>
      </c>
      <c r="E68" s="172">
        <v>675000</v>
      </c>
      <c r="F68" s="249" t="s">
        <v>417</v>
      </c>
      <c r="G68" s="190" t="s">
        <v>418</v>
      </c>
      <c r="H68" s="189" t="s">
        <v>418</v>
      </c>
      <c r="I68" s="166" t="str">
        <f>IFERROR(VLOOKUP(H68,DATOS!$E$117:$F$168,2,0),"")</f>
        <v>H10234</v>
      </c>
      <c r="J68" s="191">
        <v>0.75</v>
      </c>
      <c r="K68" s="192">
        <f t="shared" si="5"/>
        <v>26</v>
      </c>
      <c r="L68" s="194">
        <v>45935</v>
      </c>
      <c r="M68" s="189">
        <f t="shared" si="6"/>
        <v>26</v>
      </c>
      <c r="N68" s="176">
        <v>0.8</v>
      </c>
      <c r="O68" s="112" t="s">
        <v>485</v>
      </c>
      <c r="P68" t="str">
        <f>+UPPER(TEXT(Tabla4[[#This Row],[transferencia]],"mmmm"))</f>
        <v>OCTUBRE</v>
      </c>
      <c r="Q68" t="s">
        <v>151</v>
      </c>
      <c r="R68"/>
    </row>
    <row r="69" spans="1:18" s="152" customFormat="1" hidden="1" x14ac:dyDescent="0.25">
      <c r="A69" s="112" t="str">
        <f>+Tabla4[[#This Row],[PISCINA]]&amp;Tabla4[[#This Row],[AGUAJE]]</f>
        <v>TA 27AGUAJE 2</v>
      </c>
      <c r="B69" s="112" t="s">
        <v>168</v>
      </c>
      <c r="C69" s="249" t="str">
        <f t="shared" si="4"/>
        <v>TA</v>
      </c>
      <c r="D69" s="194">
        <v>45961</v>
      </c>
      <c r="E69" s="172">
        <v>977500</v>
      </c>
      <c r="F69" s="249" t="s">
        <v>417</v>
      </c>
      <c r="G69" s="190" t="s">
        <v>422</v>
      </c>
      <c r="H69" s="189" t="s">
        <v>423</v>
      </c>
      <c r="I69" s="166" t="str">
        <f>IFERROR(VLOOKUP(H69,DATOS!$E$117:$F$168,2,0),"")</f>
        <v>H10611</v>
      </c>
      <c r="J69" s="191">
        <v>0.85</v>
      </c>
      <c r="K69" s="192">
        <f t="shared" si="5"/>
        <v>20</v>
      </c>
      <c r="L69" s="194">
        <v>45941</v>
      </c>
      <c r="M69" s="189">
        <f t="shared" si="6"/>
        <v>20</v>
      </c>
      <c r="N69" s="176">
        <v>0.31</v>
      </c>
      <c r="O69" s="112" t="s">
        <v>486</v>
      </c>
      <c r="P69" s="249" t="str">
        <f>+UPPER(TEXT(Tabla4[[#This Row],[transferencia]],"mmmm"))</f>
        <v>OCTUBRE</v>
      </c>
      <c r="Q69" t="s">
        <v>151</v>
      </c>
      <c r="R69"/>
    </row>
    <row r="70" spans="1:18" s="152" customFormat="1" hidden="1" x14ac:dyDescent="0.25">
      <c r="A70" s="112" t="str">
        <f>+Tabla4[[#This Row],[PISCINA]]&amp;Tabla4[[#This Row],[AGUAJE]]</f>
        <v>CH 05AGUAJE 2</v>
      </c>
      <c r="B70" s="112" t="s">
        <v>11</v>
      </c>
      <c r="C70" s="249" t="str">
        <f t="shared" si="4"/>
        <v>CH</v>
      </c>
      <c r="D70" s="194">
        <v>45962</v>
      </c>
      <c r="E70" s="172">
        <v>972000</v>
      </c>
      <c r="F70" s="249" t="s">
        <v>417</v>
      </c>
      <c r="G70" s="190" t="s">
        <v>422</v>
      </c>
      <c r="H70" s="189" t="s">
        <v>454</v>
      </c>
      <c r="I70" s="166">
        <f>IFERROR(VLOOKUP(H70,DATOS!$E$117:$F$168,2,0),"")</f>
        <v>0</v>
      </c>
      <c r="J70" s="191">
        <v>0.91820000000000002</v>
      </c>
      <c r="K70" s="192">
        <f t="shared" si="5"/>
        <v>33</v>
      </c>
      <c r="L70" s="194">
        <v>45929</v>
      </c>
      <c r="M70" s="189">
        <f t="shared" si="6"/>
        <v>33</v>
      </c>
      <c r="N70" s="176">
        <v>0.94</v>
      </c>
      <c r="O70" s="112" t="s">
        <v>487</v>
      </c>
      <c r="P70" s="249" t="str">
        <f>+UPPER(TEXT(Tabla4[[#This Row],[transferencia]],"mmmm"))</f>
        <v>NOVIEMBRE</v>
      </c>
      <c r="Q70" t="s">
        <v>151</v>
      </c>
      <c r="R70"/>
    </row>
    <row r="71" spans="1:18" s="152" customFormat="1" hidden="1" x14ac:dyDescent="0.25">
      <c r="A71" s="112" t="str">
        <f>+Tabla4[[#This Row],[PISCINA]]&amp;Tabla4[[#This Row],[AGUAJE]]</f>
        <v>CH 24AGUAJE 1</v>
      </c>
      <c r="B71" s="112" t="s">
        <v>27</v>
      </c>
      <c r="C71" t="str">
        <f t="shared" si="4"/>
        <v>CH</v>
      </c>
      <c r="D71" s="194">
        <v>45962</v>
      </c>
      <c r="E71" s="172">
        <v>886400</v>
      </c>
      <c r="F71" s="249" t="s">
        <v>417</v>
      </c>
      <c r="G71" s="190" t="s">
        <v>422</v>
      </c>
      <c r="H71" s="189" t="s">
        <v>488</v>
      </c>
      <c r="I71" s="166" t="str">
        <f>IFERROR(VLOOKUP(H71,DATOS!$E$117:$F$168,2,0),"")</f>
        <v/>
      </c>
      <c r="J71" s="191">
        <v>0.75239999999999996</v>
      </c>
      <c r="K71" s="192">
        <f t="shared" si="5"/>
        <v>33</v>
      </c>
      <c r="L71" s="194">
        <v>45929</v>
      </c>
      <c r="M71" s="189">
        <f t="shared" si="6"/>
        <v>33</v>
      </c>
      <c r="N71" s="176">
        <v>0.72</v>
      </c>
      <c r="O71" s="112" t="s">
        <v>489</v>
      </c>
      <c r="P71" t="str">
        <f>+UPPER(TEXT(Tabla4[[#This Row],[transferencia]],"mmmm"))</f>
        <v>NOVIEMBRE</v>
      </c>
      <c r="Q71" t="s">
        <v>103</v>
      </c>
      <c r="R71"/>
    </row>
    <row r="72" spans="1:18" s="152" customFormat="1" hidden="1" x14ac:dyDescent="0.25">
      <c r="A72" s="112" t="str">
        <f>+Tabla4[[#This Row],[PISCINA]]&amp;Tabla4[[#This Row],[AGUAJE]]</f>
        <v>DE 03AGUAJE 3</v>
      </c>
      <c r="B72" s="112" t="s">
        <v>196</v>
      </c>
      <c r="C72" s="249" t="str">
        <f t="shared" si="4"/>
        <v>DE</v>
      </c>
      <c r="D72" s="194">
        <v>45962</v>
      </c>
      <c r="E72" s="172">
        <v>969000</v>
      </c>
      <c r="F72" s="249" t="s">
        <v>417</v>
      </c>
      <c r="G72" s="190" t="s">
        <v>422</v>
      </c>
      <c r="H72" s="189" t="s">
        <v>490</v>
      </c>
      <c r="I72" s="166">
        <f>IFERROR(VLOOKUP(H72,DATOS!$E$117:$F$168,2,0),"")</f>
        <v>0</v>
      </c>
      <c r="J72" s="191">
        <v>0.73350000000000004</v>
      </c>
      <c r="K72" s="192">
        <f t="shared" si="5"/>
        <v>22</v>
      </c>
      <c r="L72" s="194">
        <v>45940</v>
      </c>
      <c r="M72" s="189">
        <f t="shared" si="6"/>
        <v>22</v>
      </c>
      <c r="N72" s="176">
        <v>0.6</v>
      </c>
      <c r="O72" s="112" t="s">
        <v>491</v>
      </c>
      <c r="P72" s="249" t="str">
        <f>+UPPER(TEXT(Tabla4[[#This Row],[transferencia]],"mmmm"))</f>
        <v>NOVIEMBRE</v>
      </c>
      <c r="Q72" t="s">
        <v>186</v>
      </c>
      <c r="R72"/>
    </row>
    <row r="73" spans="1:18" s="152" customFormat="1" hidden="1" x14ac:dyDescent="0.25">
      <c r="A73" s="112" t="str">
        <f>+Tabla4[[#This Row],[PISCINA]]&amp;Tabla4[[#This Row],[AGUAJE]]</f>
        <v>DE 20AGUAJE 3</v>
      </c>
      <c r="B73" s="112" t="s">
        <v>194</v>
      </c>
      <c r="C73" s="249" t="str">
        <f t="shared" si="4"/>
        <v>DE</v>
      </c>
      <c r="D73" s="194">
        <v>45962</v>
      </c>
      <c r="E73" s="172">
        <v>608000</v>
      </c>
      <c r="F73" s="249" t="s">
        <v>417</v>
      </c>
      <c r="G73" s="190" t="s">
        <v>422</v>
      </c>
      <c r="H73" s="189" t="s">
        <v>490</v>
      </c>
      <c r="I73" s="166">
        <f>IFERROR(VLOOKUP(H73,DATOS!$E$117:$F$168,2,0),"")</f>
        <v>0</v>
      </c>
      <c r="J73" s="191">
        <v>0.73350000000000004</v>
      </c>
      <c r="K73" s="192">
        <f t="shared" si="5"/>
        <v>22</v>
      </c>
      <c r="L73" s="194">
        <v>45940</v>
      </c>
      <c r="M73" s="189">
        <f t="shared" si="6"/>
        <v>22</v>
      </c>
      <c r="N73" s="176">
        <v>0.6</v>
      </c>
      <c r="O73" s="112" t="s">
        <v>491</v>
      </c>
      <c r="P73" s="249" t="str">
        <f>+UPPER(TEXT(Tabla4[[#This Row],[transferencia]],"mmmm"))</f>
        <v>NOVIEMBRE</v>
      </c>
      <c r="Q73" t="s">
        <v>186</v>
      </c>
      <c r="R73"/>
    </row>
    <row r="74" spans="1:18" s="152" customFormat="1" hidden="1" x14ac:dyDescent="0.25">
      <c r="A74" s="112" t="str">
        <f>+Tabla4[[#This Row],[PISCINA]]&amp;Tabla4[[#This Row],[AGUAJE]]</f>
        <v>TU 01AGUAJE 3</v>
      </c>
      <c r="B74" s="112" t="s">
        <v>195</v>
      </c>
      <c r="C74" s="249" t="str">
        <f t="shared" si="4"/>
        <v>TU</v>
      </c>
      <c r="D74" s="194">
        <v>45962</v>
      </c>
      <c r="E74" s="172">
        <v>1193606</v>
      </c>
      <c r="F74" s="249" t="s">
        <v>417</v>
      </c>
      <c r="G74" s="190" t="s">
        <v>418</v>
      </c>
      <c r="H74" s="189" t="s">
        <v>418</v>
      </c>
      <c r="I74" s="166" t="str">
        <f>IFERROR(VLOOKUP(H74,DATOS!$E$117:$F$168,2,0),"")</f>
        <v>H10234</v>
      </c>
      <c r="J74" s="191">
        <v>0.49</v>
      </c>
      <c r="K74" s="192">
        <f t="shared" si="5"/>
        <v>27</v>
      </c>
      <c r="L74" s="194">
        <v>45935</v>
      </c>
      <c r="M74" s="189">
        <f t="shared" si="6"/>
        <v>27</v>
      </c>
      <c r="N74" s="176">
        <v>0.61</v>
      </c>
      <c r="O74" s="112" t="s">
        <v>492</v>
      </c>
      <c r="P74" s="249" t="str">
        <f>+UPPER(TEXT(Tabla4[[#This Row],[transferencia]],"mmmm"))</f>
        <v>NOVIEMBRE</v>
      </c>
      <c r="Q74" s="249" t="s">
        <v>186</v>
      </c>
      <c r="R74"/>
    </row>
    <row r="75" spans="1:18" s="152" customFormat="1" hidden="1" x14ac:dyDescent="0.25">
      <c r="A75" s="112" t="str">
        <f>+Tabla4[[#This Row],[PISCINA]]&amp;Tabla4[[#This Row],[AGUAJE]]</f>
        <v>TI 03AGUAJE 3</v>
      </c>
      <c r="B75" s="112" t="s">
        <v>188</v>
      </c>
      <c r="C75" s="249" t="str">
        <f t="shared" si="4"/>
        <v>TI</v>
      </c>
      <c r="D75" s="194">
        <v>45964</v>
      </c>
      <c r="E75" s="172">
        <v>1179000</v>
      </c>
      <c r="F75" s="249" t="s">
        <v>417</v>
      </c>
      <c r="G75" s="190" t="s">
        <v>422</v>
      </c>
      <c r="H75" s="189" t="s">
        <v>423</v>
      </c>
      <c r="I75" s="166" t="str">
        <f>IFERROR(VLOOKUP(H75,DATOS!$E$117:$F$168,2,0),"")</f>
        <v>H10611</v>
      </c>
      <c r="J75" s="191">
        <v>0.78600000000000003</v>
      </c>
      <c r="K75" s="192">
        <f t="shared" si="5"/>
        <v>23</v>
      </c>
      <c r="L75" s="194">
        <v>45941</v>
      </c>
      <c r="M75" s="189">
        <f t="shared" si="6"/>
        <v>23</v>
      </c>
      <c r="N75" s="176">
        <v>0.45</v>
      </c>
      <c r="O75" s="112" t="s">
        <v>426</v>
      </c>
      <c r="P75" s="249" t="str">
        <f>+UPPER(TEXT(Tabla4[[#This Row],[transferencia]],"mmmm"))</f>
        <v>NOVIEMBRE</v>
      </c>
      <c r="Q75" t="s">
        <v>186</v>
      </c>
      <c r="R75"/>
    </row>
    <row r="76" spans="1:18" s="152" customFormat="1" hidden="1" x14ac:dyDescent="0.25">
      <c r="A76" s="112" t="str">
        <f>+Tabla4[[#This Row],[PISCINA]]&amp;Tabla4[[#This Row],[AGUAJE]]</f>
        <v>DE 21AGUAJE 3</v>
      </c>
      <c r="B76" s="112" t="s">
        <v>193</v>
      </c>
      <c r="C76" s="249" t="str">
        <f t="shared" si="4"/>
        <v>DE</v>
      </c>
      <c r="D76" s="194">
        <v>45965</v>
      </c>
      <c r="E76" s="172">
        <v>954965</v>
      </c>
      <c r="F76" s="249" t="s">
        <v>417</v>
      </c>
      <c r="G76" s="190" t="s">
        <v>493</v>
      </c>
      <c r="H76" s="189" t="s">
        <v>419</v>
      </c>
      <c r="I76" s="166" t="str">
        <f>IFERROR(VLOOKUP(H76,DATOS!$E$117:$F$168,2,0),"")</f>
        <v>H10603</v>
      </c>
      <c r="J76" s="191">
        <v>0.7298</v>
      </c>
      <c r="K76" s="192">
        <f t="shared" si="5"/>
        <v>22</v>
      </c>
      <c r="L76" s="194">
        <v>45943</v>
      </c>
      <c r="M76" s="189">
        <f t="shared" si="6"/>
        <v>22</v>
      </c>
      <c r="N76" s="176">
        <v>0.55000000000000004</v>
      </c>
      <c r="O76" s="112" t="s">
        <v>424</v>
      </c>
      <c r="P76" s="249" t="str">
        <f>+UPPER(TEXT(Tabla4[[#This Row],[transferencia]],"mmmm"))</f>
        <v>NOVIEMBRE</v>
      </c>
      <c r="Q76" t="s">
        <v>186</v>
      </c>
      <c r="R76"/>
    </row>
    <row r="77" spans="1:18" s="152" customFormat="1" hidden="1" x14ac:dyDescent="0.25">
      <c r="A77" s="112" t="str">
        <f>+Tabla4[[#This Row],[PISCINA]]&amp;Tabla4[[#This Row],[AGUAJE]]</f>
        <v>DE 22AGUAJE 3</v>
      </c>
      <c r="B77" s="112" t="s">
        <v>187</v>
      </c>
      <c r="C77" s="249" t="str">
        <f t="shared" si="4"/>
        <v>DE</v>
      </c>
      <c r="D77" s="194">
        <v>45965</v>
      </c>
      <c r="E77" s="172">
        <v>950304</v>
      </c>
      <c r="F77" s="249" t="s">
        <v>417</v>
      </c>
      <c r="G77" s="190" t="s">
        <v>493</v>
      </c>
      <c r="H77" s="189" t="s">
        <v>419</v>
      </c>
      <c r="I77" s="166" t="str">
        <f>IFERROR(VLOOKUP(H77,DATOS!$E$117:$F$168,2,0),"")</f>
        <v>H10603</v>
      </c>
      <c r="J77" s="191">
        <v>0.7298</v>
      </c>
      <c r="K77" s="192">
        <f t="shared" si="5"/>
        <v>22</v>
      </c>
      <c r="L77" s="194">
        <v>45943</v>
      </c>
      <c r="M77" s="189">
        <f t="shared" si="6"/>
        <v>22</v>
      </c>
      <c r="N77" s="176">
        <v>0.55000000000000004</v>
      </c>
      <c r="O77" s="112" t="s">
        <v>424</v>
      </c>
      <c r="P77" s="249" t="str">
        <f>+UPPER(TEXT(Tabla4[[#This Row],[transferencia]],"mmmm"))</f>
        <v>NOVIEMBRE</v>
      </c>
      <c r="Q77" t="s">
        <v>186</v>
      </c>
      <c r="R77"/>
    </row>
    <row r="78" spans="1:18" s="152" customFormat="1" hidden="1" x14ac:dyDescent="0.25">
      <c r="A78" s="112" t="str">
        <f>+Tabla4[[#This Row],[PISCINA]]&amp;Tabla4[[#This Row],[AGUAJE]]</f>
        <v>DE 24AGUAJE 2</v>
      </c>
      <c r="B78" s="112" t="s">
        <v>182</v>
      </c>
      <c r="C78" s="249" t="str">
        <f t="shared" si="4"/>
        <v>DE</v>
      </c>
      <c r="D78" s="194">
        <v>45965</v>
      </c>
      <c r="E78" s="172">
        <v>795000</v>
      </c>
      <c r="F78" s="249" t="s">
        <v>417</v>
      </c>
      <c r="G78" s="190" t="s">
        <v>493</v>
      </c>
      <c r="H78" s="189" t="s">
        <v>419</v>
      </c>
      <c r="I78" s="166" t="str">
        <f>IFERROR(VLOOKUP(H78,DATOS!$E$117:$F$168,2,0),"")</f>
        <v>H10603</v>
      </c>
      <c r="J78" s="191">
        <v>0.7298</v>
      </c>
      <c r="K78" s="192">
        <f t="shared" si="5"/>
        <v>22</v>
      </c>
      <c r="L78" s="194">
        <v>45943</v>
      </c>
      <c r="M78" s="189">
        <f t="shared" si="6"/>
        <v>22</v>
      </c>
      <c r="N78" s="176">
        <v>0.55000000000000004</v>
      </c>
      <c r="O78" s="112" t="s">
        <v>424</v>
      </c>
      <c r="P78" s="249" t="str">
        <f>+UPPER(TEXT(Tabla4[[#This Row],[transferencia]],"mmmm"))</f>
        <v>NOVIEMBRE</v>
      </c>
      <c r="Q78" t="s">
        <v>151</v>
      </c>
      <c r="R78"/>
    </row>
    <row r="79" spans="1:18" s="152" customFormat="1" hidden="1" x14ac:dyDescent="0.25">
      <c r="A79" s="112" t="str">
        <f>+Tabla4[[#This Row],[PISCINA]]&amp;Tabla4[[#This Row],[AGUAJE]]</f>
        <v>DO 27AGUAJE 3</v>
      </c>
      <c r="B79" s="112" t="s">
        <v>206</v>
      </c>
      <c r="C79" t="str">
        <f t="shared" si="4"/>
        <v>DO</v>
      </c>
      <c r="D79" s="194">
        <v>45965</v>
      </c>
      <c r="E79" s="172">
        <v>934506</v>
      </c>
      <c r="F79" s="249" t="s">
        <v>417</v>
      </c>
      <c r="G79" s="190" t="s">
        <v>422</v>
      </c>
      <c r="H79" s="189" t="s">
        <v>490</v>
      </c>
      <c r="I79" s="166">
        <f>IFERROR(VLOOKUP(H79,DATOS!$E$117:$F$168,2,0),"")</f>
        <v>0</v>
      </c>
      <c r="J79" s="191">
        <v>0.71889999999999998</v>
      </c>
      <c r="K79" s="192">
        <f t="shared" si="5"/>
        <v>25</v>
      </c>
      <c r="L79" s="194">
        <v>45940</v>
      </c>
      <c r="M79" s="189">
        <f t="shared" si="6"/>
        <v>25</v>
      </c>
      <c r="N79" s="176">
        <v>0.77</v>
      </c>
      <c r="O79" s="112" t="s">
        <v>494</v>
      </c>
      <c r="P79" t="str">
        <f>+UPPER(TEXT(Tabla4[[#This Row],[transferencia]],"mmmm"))</f>
        <v>NOVIEMBRE</v>
      </c>
      <c r="Q79" t="s">
        <v>186</v>
      </c>
      <c r="R79"/>
    </row>
    <row r="80" spans="1:18" s="152" customFormat="1" hidden="1" x14ac:dyDescent="0.25">
      <c r="A80" s="112" t="str">
        <f>+Tabla4[[#This Row],[PISCINA]]&amp;Tabla4[[#This Row],[AGUAJE]]</f>
        <v>PA 05AGUAJE 3</v>
      </c>
      <c r="B80" s="112" t="s">
        <v>197</v>
      </c>
      <c r="C80" s="249" t="str">
        <f t="shared" si="4"/>
        <v>PA</v>
      </c>
      <c r="D80" s="194">
        <v>45966</v>
      </c>
      <c r="E80" s="172">
        <v>491636</v>
      </c>
      <c r="F80" s="249" t="s">
        <v>417</v>
      </c>
      <c r="G80" s="190" t="s">
        <v>422</v>
      </c>
      <c r="H80" s="189" t="s">
        <v>495</v>
      </c>
      <c r="I80" s="166">
        <f>IFERROR(VLOOKUP(H80,DATOS!$E$117:$F$168,2,0),"")</f>
        <v>0</v>
      </c>
      <c r="J80" s="191">
        <v>0.7591</v>
      </c>
      <c r="K80" s="192">
        <f t="shared" si="5"/>
        <v>22</v>
      </c>
      <c r="L80" s="194">
        <v>45944</v>
      </c>
      <c r="M80" s="189">
        <f t="shared" si="6"/>
        <v>22</v>
      </c>
      <c r="N80" s="176">
        <v>0.55000000000000004</v>
      </c>
      <c r="O80" s="112" t="s">
        <v>496</v>
      </c>
      <c r="P80" s="249" t="str">
        <f>+UPPER(TEXT(Tabla4[[#This Row],[transferencia]],"mmmm"))</f>
        <v>NOVIEMBRE</v>
      </c>
      <c r="Q80" t="s">
        <v>186</v>
      </c>
      <c r="R80"/>
    </row>
    <row r="81" spans="1:18" s="152" customFormat="1" hidden="1" x14ac:dyDescent="0.25">
      <c r="A81" s="112" t="str">
        <f>+Tabla4[[#This Row],[PISCINA]]&amp;Tabla4[[#This Row],[AGUAJE]]</f>
        <v>TU 02AGUAJE 3</v>
      </c>
      <c r="B81" s="112" t="s">
        <v>192</v>
      </c>
      <c r="C81" s="249" t="str">
        <f t="shared" si="4"/>
        <v>TU</v>
      </c>
      <c r="D81" s="194">
        <v>45966</v>
      </c>
      <c r="E81" s="172">
        <v>705454</v>
      </c>
      <c r="F81" s="249" t="s">
        <v>417</v>
      </c>
      <c r="G81" s="190" t="s">
        <v>422</v>
      </c>
      <c r="H81" s="189" t="s">
        <v>495</v>
      </c>
      <c r="I81" s="166">
        <f>IFERROR(VLOOKUP(H81,DATOS!$E$117:$F$168,2,0),"")</f>
        <v>0</v>
      </c>
      <c r="J81" s="191">
        <v>0.7591</v>
      </c>
      <c r="K81" s="192">
        <f t="shared" si="5"/>
        <v>22</v>
      </c>
      <c r="L81" s="194">
        <v>45944</v>
      </c>
      <c r="M81" s="189">
        <f t="shared" si="6"/>
        <v>22</v>
      </c>
      <c r="N81" s="176">
        <v>0.55000000000000004</v>
      </c>
      <c r="O81" s="112" t="s">
        <v>496</v>
      </c>
      <c r="P81" s="249" t="str">
        <f>+UPPER(TEXT(Tabla4[[#This Row],[transferencia]],"mmmm"))</f>
        <v>NOVIEMBRE</v>
      </c>
      <c r="Q81" t="s">
        <v>186</v>
      </c>
      <c r="R81"/>
    </row>
    <row r="82" spans="1:18" s="152" customFormat="1" hidden="1" x14ac:dyDescent="0.25">
      <c r="A82" s="112" t="str">
        <f>+Tabla4[[#This Row],[PISCINA]]&amp;Tabla4[[#This Row],[AGUAJE]]</f>
        <v>RO 14aguaje 3</v>
      </c>
      <c r="B82" s="112" t="s">
        <v>198</v>
      </c>
      <c r="C82" s="249" t="str">
        <f t="shared" si="4"/>
        <v>RO</v>
      </c>
      <c r="D82" s="194">
        <v>45968</v>
      </c>
      <c r="E82" s="172">
        <v>1457750</v>
      </c>
      <c r="F82" s="249" t="s">
        <v>417</v>
      </c>
      <c r="G82" s="190" t="s">
        <v>493</v>
      </c>
      <c r="H82" s="189" t="s">
        <v>419</v>
      </c>
      <c r="I82" s="166" t="str">
        <f>IFERROR(VLOOKUP(H82,DATOS!$E$117:$F$168,2,0),"")</f>
        <v>H10603</v>
      </c>
      <c r="J82" s="191">
        <v>0.63380000000000003</v>
      </c>
      <c r="K82" s="192">
        <f t="shared" si="5"/>
        <v>25</v>
      </c>
      <c r="L82" s="194">
        <v>45943</v>
      </c>
      <c r="M82" s="189">
        <f t="shared" si="6"/>
        <v>25</v>
      </c>
      <c r="N82" s="176">
        <v>0.56000000000000005</v>
      </c>
      <c r="O82" s="112" t="s">
        <v>497</v>
      </c>
      <c r="P82" s="249" t="str">
        <f>+UPPER(TEXT(Tabla4[[#This Row],[transferencia]],"mmmm"))</f>
        <v>NOVIEMBRE</v>
      </c>
      <c r="Q82" t="s">
        <v>498</v>
      </c>
      <c r="R82"/>
    </row>
    <row r="83" spans="1:18" s="152" customFormat="1" hidden="1" x14ac:dyDescent="0.25">
      <c r="A83" s="112" t="str">
        <f>+Tabla4[[#This Row],[PISCINA]]&amp;Tabla4[[#This Row],[AGUAJE]]</f>
        <v>BA 02AGUAJE 3</v>
      </c>
      <c r="B83" s="112" t="s">
        <v>207</v>
      </c>
      <c r="C83" s="249" t="str">
        <f t="shared" si="4"/>
        <v>BA</v>
      </c>
      <c r="D83" s="194">
        <v>45969</v>
      </c>
      <c r="E83" s="172">
        <v>672000</v>
      </c>
      <c r="F83" s="249" t="s">
        <v>417</v>
      </c>
      <c r="G83" s="190" t="s">
        <v>499</v>
      </c>
      <c r="H83" s="189" t="s">
        <v>419</v>
      </c>
      <c r="I83" s="166" t="str">
        <f>IFERROR(VLOOKUP(H83,DATOS!$E$117:$F$168,2,0),"")</f>
        <v>H10603</v>
      </c>
      <c r="J83" s="191">
        <v>0.44800000000000001</v>
      </c>
      <c r="K83" s="192">
        <f t="shared" si="5"/>
        <v>26</v>
      </c>
      <c r="L83" s="194">
        <v>45943</v>
      </c>
      <c r="M83" s="189">
        <f t="shared" si="6"/>
        <v>26</v>
      </c>
      <c r="N83" s="176">
        <v>0.8</v>
      </c>
      <c r="O83" s="112" t="s">
        <v>500</v>
      </c>
      <c r="P83" s="249" t="str">
        <f>+UPPER(TEXT(Tabla4[[#This Row],[transferencia]],"mmmm"))</f>
        <v>NOVIEMBRE</v>
      </c>
      <c r="Q83" t="s">
        <v>186</v>
      </c>
      <c r="R83"/>
    </row>
    <row r="84" spans="1:18" s="152" customFormat="1" hidden="1" x14ac:dyDescent="0.25">
      <c r="A84" s="112" t="str">
        <f>+Tabla4[[#This Row],[PISCINA]]&amp;Tabla4[[#This Row],[AGUAJE]]</f>
        <v>RO 03AGUAJE 3</v>
      </c>
      <c r="B84" s="112" t="s">
        <v>215</v>
      </c>
      <c r="C84" s="249" t="str">
        <f t="shared" si="4"/>
        <v>RO</v>
      </c>
      <c r="D84" s="194">
        <v>45969</v>
      </c>
      <c r="E84" s="172">
        <v>1978000</v>
      </c>
      <c r="F84" s="249" t="s">
        <v>417</v>
      </c>
      <c r="G84" s="190" t="s">
        <v>422</v>
      </c>
      <c r="H84" s="189" t="s">
        <v>495</v>
      </c>
      <c r="I84" s="166">
        <f>IFERROR(VLOOKUP(H84,DATOS!$E$117:$F$168,2,0),"")</f>
        <v>0</v>
      </c>
      <c r="J84" s="191">
        <v>0.73260000000000003</v>
      </c>
      <c r="K84" s="192">
        <f t="shared" si="5"/>
        <v>25</v>
      </c>
      <c r="L84" s="194">
        <v>45944</v>
      </c>
      <c r="M84" s="189">
        <f t="shared" si="6"/>
        <v>25</v>
      </c>
      <c r="N84" s="176">
        <v>0.55000000000000004</v>
      </c>
      <c r="O84" s="112" t="s">
        <v>501</v>
      </c>
      <c r="P84" s="249" t="str">
        <f>+UPPER(TEXT(Tabla4[[#This Row],[transferencia]],"mmmm"))</f>
        <v>NOVIEMBRE</v>
      </c>
      <c r="Q84" t="s">
        <v>186</v>
      </c>
      <c r="R84"/>
    </row>
    <row r="85" spans="1:18" s="152" customFormat="1" hidden="1" x14ac:dyDescent="0.25">
      <c r="A85" s="112" t="str">
        <f>+Tabla4[[#This Row],[PISCINA]]&amp;Tabla4[[#This Row],[AGUAJE]]</f>
        <v>TA 08AGUAJE 1</v>
      </c>
      <c r="B85" s="112" t="s">
        <v>143</v>
      </c>
      <c r="C85" s="249" t="str">
        <f t="shared" si="4"/>
        <v>TA</v>
      </c>
      <c r="D85" s="194">
        <v>45969</v>
      </c>
      <c r="E85" s="172">
        <v>1360000</v>
      </c>
      <c r="F85" t="s">
        <v>417</v>
      </c>
      <c r="G85" s="190" t="s">
        <v>422</v>
      </c>
      <c r="H85" s="189" t="s">
        <v>433</v>
      </c>
      <c r="I85" s="166" t="str">
        <f>IFERROR(VLOOKUP(H85,DATOS!$E$117:$F$168,2,0),"")</f>
        <v>H10586</v>
      </c>
      <c r="J85" s="191">
        <v>0.8095</v>
      </c>
      <c r="K85" s="192">
        <f t="shared" si="5"/>
        <v>22</v>
      </c>
      <c r="L85" s="194">
        <v>45947</v>
      </c>
      <c r="M85" s="189">
        <f t="shared" si="6"/>
        <v>22</v>
      </c>
      <c r="N85" s="176">
        <v>4.5</v>
      </c>
      <c r="O85" s="112" t="s">
        <v>502</v>
      </c>
      <c r="P85" s="249" t="str">
        <f>+UPPER(TEXT(Tabla4[[#This Row],[transferencia]],"mmmm"))</f>
        <v>NOVIEMBRE</v>
      </c>
      <c r="Q85" t="s">
        <v>103</v>
      </c>
      <c r="R85"/>
    </row>
    <row r="86" spans="1:18" s="152" customFormat="1" hidden="1" x14ac:dyDescent="0.25">
      <c r="A86" s="112" t="str">
        <f>+Tabla4[[#This Row],[PISCINA]]&amp;Tabla4[[#This Row],[AGUAJE]]</f>
        <v>PR 17AGUAJE 1</v>
      </c>
      <c r="B86" s="112" t="s">
        <v>139</v>
      </c>
      <c r="C86" t="str">
        <f t="shared" si="4"/>
        <v>PR</v>
      </c>
      <c r="D86" s="194">
        <v>45970</v>
      </c>
      <c r="E86" s="172">
        <v>775000</v>
      </c>
      <c r="F86" s="249" t="s">
        <v>417</v>
      </c>
      <c r="G86" s="190" t="s">
        <v>503</v>
      </c>
      <c r="H86" s="189" t="s">
        <v>504</v>
      </c>
      <c r="I86" s="166">
        <f>IFERROR(VLOOKUP(H86,DATOS!$E$117:$F$168,2,0),"")</f>
        <v>0</v>
      </c>
      <c r="J86" s="191">
        <v>0.70240000000000002</v>
      </c>
      <c r="K86" s="192">
        <f t="shared" si="5"/>
        <v>19</v>
      </c>
      <c r="L86" s="194">
        <v>45951</v>
      </c>
      <c r="M86" s="189">
        <f t="shared" si="6"/>
        <v>19</v>
      </c>
      <c r="N86" s="176">
        <v>0.35</v>
      </c>
      <c r="O86" s="112" t="s">
        <v>505</v>
      </c>
      <c r="P86" t="str">
        <f>+UPPER(TEXT(Tabla4[[#This Row],[transferencia]],"mmmm"))</f>
        <v>NOVIEMBRE</v>
      </c>
      <c r="Q86" t="s">
        <v>103</v>
      </c>
      <c r="R86"/>
    </row>
    <row r="87" spans="1:18" s="152" customFormat="1" hidden="1" x14ac:dyDescent="0.25">
      <c r="A87" s="112" t="str">
        <f>+Tabla4[[#This Row],[PISCINA]]&amp;Tabla4[[#This Row],[AGUAJE]]</f>
        <v>PR 21AGUAJE 1</v>
      </c>
      <c r="B87" s="112" t="s">
        <v>141</v>
      </c>
      <c r="C87" t="str">
        <f t="shared" si="4"/>
        <v>PR</v>
      </c>
      <c r="D87" s="194">
        <v>45970</v>
      </c>
      <c r="E87" s="172">
        <v>204000</v>
      </c>
      <c r="F87" s="249" t="s">
        <v>417</v>
      </c>
      <c r="G87" s="190" t="s">
        <v>503</v>
      </c>
      <c r="H87" s="189" t="s">
        <v>504</v>
      </c>
      <c r="I87" s="166">
        <f>IFERROR(VLOOKUP(H87,DATOS!$E$117:$F$168,2,0),"")</f>
        <v>0</v>
      </c>
      <c r="J87" s="191">
        <v>0.70240000000000002</v>
      </c>
      <c r="K87" s="192">
        <f t="shared" si="5"/>
        <v>19</v>
      </c>
      <c r="L87" s="194">
        <v>45951</v>
      </c>
      <c r="M87" s="189">
        <f t="shared" si="6"/>
        <v>19</v>
      </c>
      <c r="N87" s="176">
        <v>0.35</v>
      </c>
      <c r="O87" s="112" t="s">
        <v>505</v>
      </c>
      <c r="P87" t="str">
        <f>+UPPER(TEXT(Tabla4[[#This Row],[transferencia]],"mmmm"))</f>
        <v>NOVIEMBRE</v>
      </c>
      <c r="Q87" t="s">
        <v>103</v>
      </c>
      <c r="R87"/>
    </row>
    <row r="88" spans="1:18" s="152" customFormat="1" hidden="1" x14ac:dyDescent="0.25">
      <c r="A88" s="112" t="str">
        <f>+Tabla4[[#This Row],[PISCINA]]&amp;Tabla4[[#This Row],[AGUAJE]]</f>
        <v>PR 22AGUAJE 1</v>
      </c>
      <c r="B88" s="112" t="s">
        <v>142</v>
      </c>
      <c r="C88" t="str">
        <f t="shared" si="4"/>
        <v>PR</v>
      </c>
      <c r="D88" s="194">
        <v>45970</v>
      </c>
      <c r="E88" s="172">
        <v>355600</v>
      </c>
      <c r="F88" s="249" t="s">
        <v>417</v>
      </c>
      <c r="G88" s="190" t="s">
        <v>503</v>
      </c>
      <c r="H88" s="189" t="s">
        <v>504</v>
      </c>
      <c r="I88" s="166">
        <f>IFERROR(VLOOKUP(H88,DATOS!$E$117:$F$168,2,0),"")</f>
        <v>0</v>
      </c>
      <c r="J88" s="191">
        <v>0.70240000000000002</v>
      </c>
      <c r="K88" s="192">
        <f t="shared" si="5"/>
        <v>19</v>
      </c>
      <c r="L88" s="194">
        <v>45951</v>
      </c>
      <c r="M88" s="189">
        <f t="shared" si="6"/>
        <v>19</v>
      </c>
      <c r="N88" s="176">
        <v>0.35</v>
      </c>
      <c r="O88" s="112" t="s">
        <v>505</v>
      </c>
      <c r="P88" t="str">
        <f>+UPPER(TEXT(Tabla4[[#This Row],[transferencia]],"mmmm"))</f>
        <v>NOVIEMBRE</v>
      </c>
      <c r="Q88" t="s">
        <v>103</v>
      </c>
      <c r="R88"/>
    </row>
    <row r="89" spans="1:18" s="152" customFormat="1" hidden="1" x14ac:dyDescent="0.25">
      <c r="A89" s="112" t="str">
        <f>+Tabla4[[#This Row],[PISCINA]]&amp;Tabla4[[#This Row],[AGUAJE]]</f>
        <v>CA 03AGUAJE 3</v>
      </c>
      <c r="B89" s="112" t="s">
        <v>200</v>
      </c>
      <c r="C89" s="249" t="str">
        <f t="shared" si="4"/>
        <v>CA</v>
      </c>
      <c r="D89" s="194">
        <v>45971</v>
      </c>
      <c r="E89" s="172">
        <v>1844000</v>
      </c>
      <c r="F89" s="249" t="s">
        <v>417</v>
      </c>
      <c r="G89" s="190" t="s">
        <v>422</v>
      </c>
      <c r="H89" s="189" t="s">
        <v>506</v>
      </c>
      <c r="I89" s="166" t="str">
        <f>IFERROR(VLOOKUP(H89,DATOS!$E$117:$F$168,2,0),"")</f>
        <v>H10533F</v>
      </c>
      <c r="J89" s="191">
        <v>0.73809999999999998</v>
      </c>
      <c r="K89" s="192">
        <f t="shared" si="5"/>
        <v>24</v>
      </c>
      <c r="L89" s="194">
        <v>45947</v>
      </c>
      <c r="M89" s="189">
        <f t="shared" si="6"/>
        <v>24</v>
      </c>
      <c r="N89" s="176">
        <v>0.43</v>
      </c>
      <c r="O89" s="112" t="s">
        <v>507</v>
      </c>
      <c r="P89" s="249" t="str">
        <f>+UPPER(TEXT(Tabla4[[#This Row],[transferencia]],"mmmm"))</f>
        <v>NOVIEMBRE</v>
      </c>
      <c r="Q89" t="s">
        <v>186</v>
      </c>
      <c r="R89"/>
    </row>
    <row r="90" spans="1:18" s="152" customFormat="1" hidden="1" x14ac:dyDescent="0.25">
      <c r="A90" s="112" t="str">
        <f>+Tabla4[[#This Row],[PISCINA]]&amp;Tabla4[[#This Row],[AGUAJE]]</f>
        <v>TI 01AGUAJE 2</v>
      </c>
      <c r="B90" s="112" t="s">
        <v>173</v>
      </c>
      <c r="C90" s="249" t="str">
        <f t="shared" si="4"/>
        <v>TI</v>
      </c>
      <c r="D90" s="194">
        <v>45972</v>
      </c>
      <c r="E90" s="172">
        <v>1176000</v>
      </c>
      <c r="F90" s="249" t="s">
        <v>417</v>
      </c>
      <c r="G90" s="190" t="s">
        <v>422</v>
      </c>
      <c r="H90" s="189" t="s">
        <v>508</v>
      </c>
      <c r="I90" s="166" t="str">
        <f>IFERROR(VLOOKUP(H90,DATOS!$E$117:$F$168,2,0),"")</f>
        <v/>
      </c>
      <c r="J90" s="191">
        <v>0.33639999999999998</v>
      </c>
      <c r="K90" s="192">
        <f t="shared" si="5"/>
        <v>18</v>
      </c>
      <c r="L90" s="194">
        <v>45954</v>
      </c>
      <c r="M90" s="189">
        <f t="shared" si="6"/>
        <v>18</v>
      </c>
      <c r="N90" s="176">
        <v>0.87</v>
      </c>
      <c r="O90" s="112" t="s">
        <v>509</v>
      </c>
      <c r="P90" s="249" t="str">
        <f>+UPPER(TEXT(Tabla4[[#This Row],[transferencia]],"mmmm"))</f>
        <v>NOVIEMBRE</v>
      </c>
      <c r="Q90" t="s">
        <v>151</v>
      </c>
      <c r="R90"/>
    </row>
    <row r="91" spans="1:18" s="152" customFormat="1" hidden="1" x14ac:dyDescent="0.25">
      <c r="A91" s="112" t="str">
        <f>+Tabla4[[#This Row],[PISCINA]]&amp;Tabla4[[#This Row],[AGUAJE]]</f>
        <v>CA 04AGUAJE 3</v>
      </c>
      <c r="B91" s="112" t="s">
        <v>203</v>
      </c>
      <c r="C91" s="249" t="str">
        <f t="shared" si="4"/>
        <v>CA</v>
      </c>
      <c r="D91" s="194">
        <v>45973</v>
      </c>
      <c r="E91" s="172">
        <v>1745000</v>
      </c>
      <c r="F91" s="249" t="s">
        <v>417</v>
      </c>
      <c r="G91" s="190" t="s">
        <v>510</v>
      </c>
      <c r="H91" s="189" t="s">
        <v>511</v>
      </c>
      <c r="I91" s="166" t="str">
        <f>IFERROR(VLOOKUP(H91,DATOS!$E$117:$F$168,2,0),"")</f>
        <v/>
      </c>
      <c r="J91" s="191">
        <v>0.58120000000000005</v>
      </c>
      <c r="K91" s="192">
        <f t="shared" si="5"/>
        <v>24</v>
      </c>
      <c r="L91" s="194">
        <v>45949</v>
      </c>
      <c r="M91" s="189">
        <f t="shared" si="6"/>
        <v>24</v>
      </c>
      <c r="N91" s="176">
        <v>0.44</v>
      </c>
      <c r="O91" s="112" t="s">
        <v>512</v>
      </c>
      <c r="P91" s="249" t="str">
        <f>+UPPER(TEXT(Tabla4[[#This Row],[transferencia]],"mmmm"))</f>
        <v>NOVIEMBRE</v>
      </c>
      <c r="Q91" t="s">
        <v>186</v>
      </c>
      <c r="R91"/>
    </row>
    <row r="92" spans="1:18" s="152" customFormat="1" hidden="1" x14ac:dyDescent="0.25">
      <c r="A92" s="112" t="str">
        <f>+Tabla4[[#This Row],[PISCINA]]&amp;Tabla4[[#This Row],[AGUAJE]]</f>
        <v>CH 04AGUAJE 3</v>
      </c>
      <c r="B92" s="112" t="s">
        <v>10</v>
      </c>
      <c r="C92" t="str">
        <f t="shared" si="4"/>
        <v>CH</v>
      </c>
      <c r="D92" s="194">
        <v>45973</v>
      </c>
      <c r="E92" s="172">
        <v>964000</v>
      </c>
      <c r="F92" s="249" t="s">
        <v>417</v>
      </c>
      <c r="G92" s="190" t="s">
        <v>422</v>
      </c>
      <c r="H92" s="189" t="s">
        <v>431</v>
      </c>
      <c r="I92" s="166" t="str">
        <f>IFERROR(VLOOKUP(H92,DATOS!$E$117:$F$168,2,0),"")</f>
        <v>H10534B</v>
      </c>
      <c r="J92" s="191">
        <v>0.87639999999999996</v>
      </c>
      <c r="K92" s="192">
        <f t="shared" si="5"/>
        <v>25</v>
      </c>
      <c r="L92" s="194">
        <v>45948</v>
      </c>
      <c r="M92" s="189">
        <f t="shared" si="6"/>
        <v>25</v>
      </c>
      <c r="N92" s="176">
        <v>0.53</v>
      </c>
      <c r="O92" s="112" t="s">
        <v>513</v>
      </c>
      <c r="P92" t="str">
        <f>+UPPER(TEXT(Tabla4[[#This Row],[transferencia]],"mmmm"))</f>
        <v>NOVIEMBRE</v>
      </c>
      <c r="Q92" t="s">
        <v>186</v>
      </c>
      <c r="R92"/>
    </row>
    <row r="93" spans="1:18" s="152" customFormat="1" hidden="1" x14ac:dyDescent="0.25">
      <c r="A93" s="112" t="str">
        <f>+Tabla4[[#This Row],[PISCINA]]&amp;Tabla4[[#This Row],[AGUAJE]]</f>
        <v>DO 21AGUAJE 3</v>
      </c>
      <c r="B93" s="112" t="s">
        <v>216</v>
      </c>
      <c r="C93" s="249" t="str">
        <f t="shared" si="4"/>
        <v>DO</v>
      </c>
      <c r="D93" s="194">
        <v>45973</v>
      </c>
      <c r="E93" s="172">
        <v>1246509</v>
      </c>
      <c r="F93" s="249" t="s">
        <v>417</v>
      </c>
      <c r="G93" s="190" t="s">
        <v>503</v>
      </c>
      <c r="H93" s="189" t="s">
        <v>504</v>
      </c>
      <c r="I93" s="166">
        <f>IFERROR(VLOOKUP(H93,DATOS!$E$117:$F$168,2,0),"")</f>
        <v>0</v>
      </c>
      <c r="J93" s="191">
        <v>0.6925</v>
      </c>
      <c r="K93" s="192">
        <f t="shared" si="5"/>
        <v>22</v>
      </c>
      <c r="L93" s="194">
        <v>45951</v>
      </c>
      <c r="M93" s="189">
        <f t="shared" si="6"/>
        <v>22</v>
      </c>
      <c r="N93" s="176">
        <v>0.55000000000000004</v>
      </c>
      <c r="O93" s="112" t="s">
        <v>452</v>
      </c>
      <c r="P93" s="249" t="str">
        <f>+UPPER(TEXT(Tabla4[[#This Row],[transferencia]],"mmmm"))</f>
        <v>NOVIEMBRE</v>
      </c>
      <c r="Q93" t="s">
        <v>186</v>
      </c>
      <c r="R93"/>
    </row>
    <row r="94" spans="1:18" s="152" customFormat="1" hidden="1" x14ac:dyDescent="0.25">
      <c r="A94" s="112" t="str">
        <f>+Tabla4[[#This Row],[PISCINA]]&amp;Tabla4[[#This Row],[AGUAJE]]</f>
        <v>CH 08AGUAJE 3</v>
      </c>
      <c r="B94" s="112" t="s">
        <v>14</v>
      </c>
      <c r="C94" s="249" t="str">
        <f t="shared" si="4"/>
        <v>CH</v>
      </c>
      <c r="D94" s="194">
        <v>45974</v>
      </c>
      <c r="E94" s="172">
        <v>432000</v>
      </c>
      <c r="F94" s="249" t="s">
        <v>417</v>
      </c>
      <c r="G94" s="190" t="s">
        <v>422</v>
      </c>
      <c r="H94" s="189" t="s">
        <v>431</v>
      </c>
      <c r="I94" s="166" t="str">
        <f>IFERROR(VLOOKUP(H94,DATOS!$E$117:$F$168,2,0),"")</f>
        <v>H10534B</v>
      </c>
      <c r="J94" s="191">
        <v>0.72899999999999998</v>
      </c>
      <c r="K94" s="192">
        <f t="shared" si="5"/>
        <v>25</v>
      </c>
      <c r="L94" s="194">
        <v>45949</v>
      </c>
      <c r="M94" s="189">
        <f t="shared" si="6"/>
        <v>25</v>
      </c>
      <c r="N94" s="176">
        <v>0.65</v>
      </c>
      <c r="O94" s="112" t="s">
        <v>514</v>
      </c>
      <c r="P94" s="249" t="str">
        <f>+UPPER(TEXT(Tabla4[[#This Row],[transferencia]],"mmmm"))</f>
        <v>NOVIEMBRE</v>
      </c>
      <c r="Q94" t="s">
        <v>186</v>
      </c>
      <c r="R94"/>
    </row>
    <row r="95" spans="1:18" s="152" customFormat="1" hidden="1" x14ac:dyDescent="0.25">
      <c r="A95" s="112" t="str">
        <f>+Tabla4[[#This Row],[PISCINA]]&amp;Tabla4[[#This Row],[AGUAJE]]</f>
        <v>CH 15AGUAJE 3</v>
      </c>
      <c r="B95" s="112" t="s">
        <v>21</v>
      </c>
      <c r="C95" s="249" t="str">
        <f t="shared" si="4"/>
        <v>CH</v>
      </c>
      <c r="D95" s="194">
        <v>45974</v>
      </c>
      <c r="E95" s="172">
        <v>297000</v>
      </c>
      <c r="F95" s="249" t="s">
        <v>417</v>
      </c>
      <c r="G95" s="190" t="s">
        <v>422</v>
      </c>
      <c r="H95" s="189" t="s">
        <v>431</v>
      </c>
      <c r="I95" s="166" t="str">
        <f>IFERROR(VLOOKUP(H95,DATOS!$E$117:$F$168,2,0),"")</f>
        <v>H10534B</v>
      </c>
      <c r="J95" s="191">
        <v>0.72899999999999998</v>
      </c>
      <c r="K95" s="192">
        <f t="shared" si="5"/>
        <v>25</v>
      </c>
      <c r="L95" s="194">
        <v>45949</v>
      </c>
      <c r="M95" s="189">
        <f t="shared" si="6"/>
        <v>25</v>
      </c>
      <c r="N95" s="176">
        <v>0.65</v>
      </c>
      <c r="O95" s="112" t="s">
        <v>514</v>
      </c>
      <c r="P95" s="249" t="str">
        <f>+UPPER(TEXT(Tabla4[[#This Row],[transferencia]],"mmmm"))</f>
        <v>NOVIEMBRE</v>
      </c>
      <c r="Q95" t="s">
        <v>186</v>
      </c>
      <c r="R95"/>
    </row>
    <row r="96" spans="1:18" s="152" customFormat="1" hidden="1" x14ac:dyDescent="0.25">
      <c r="A96" s="112" t="str">
        <f>+Tabla4[[#This Row],[PISCINA]]&amp;Tabla4[[#This Row],[AGUAJE]]</f>
        <v>DO 11AGUAJE 3</v>
      </c>
      <c r="B96" s="112" t="s">
        <v>219</v>
      </c>
      <c r="C96" s="249" t="str">
        <f t="shared" si="4"/>
        <v>DO</v>
      </c>
      <c r="D96" s="194">
        <v>45974</v>
      </c>
      <c r="E96" s="172">
        <v>2092419</v>
      </c>
      <c r="F96" s="249" t="s">
        <v>417</v>
      </c>
      <c r="G96" s="190" t="s">
        <v>422</v>
      </c>
      <c r="H96" s="189" t="s">
        <v>454</v>
      </c>
      <c r="I96" s="166">
        <f>IFERROR(VLOOKUP(H96,DATOS!$E$117:$F$168,2,0),"")</f>
        <v>0</v>
      </c>
      <c r="J96" s="191">
        <v>0.58409999999999995</v>
      </c>
      <c r="K96" s="192">
        <f t="shared" si="5"/>
        <v>22</v>
      </c>
      <c r="L96" s="194">
        <v>45952</v>
      </c>
      <c r="M96" s="189">
        <f t="shared" si="6"/>
        <v>22</v>
      </c>
      <c r="N96" s="176">
        <v>0.92</v>
      </c>
      <c r="O96" s="112" t="s">
        <v>515</v>
      </c>
      <c r="P96" s="249" t="str">
        <f>+UPPER(TEXT(Tabla4[[#This Row],[transferencia]],"mmmm"))</f>
        <v>NOVIEMBRE</v>
      </c>
      <c r="Q96" t="s">
        <v>186</v>
      </c>
      <c r="R96"/>
    </row>
    <row r="97" spans="1:18" s="152" customFormat="1" hidden="1" x14ac:dyDescent="0.25">
      <c r="A97" s="112" t="str">
        <f>+Tabla4[[#This Row],[PISCINA]]&amp;Tabla4[[#This Row],[AGUAJE]]</f>
        <v>PR 02AGUAJE 2</v>
      </c>
      <c r="B97" s="112" t="s">
        <v>154</v>
      </c>
      <c r="C97" t="str">
        <f t="shared" si="4"/>
        <v>PR</v>
      </c>
      <c r="D97" s="194">
        <v>45974</v>
      </c>
      <c r="E97" s="172">
        <v>450000</v>
      </c>
      <c r="F97" s="249" t="s">
        <v>417</v>
      </c>
      <c r="G97" s="190" t="s">
        <v>422</v>
      </c>
      <c r="H97" s="189" t="s">
        <v>454</v>
      </c>
      <c r="I97" s="166">
        <f>IFERROR(VLOOKUP(H97,DATOS!$E$117:$F$168,2,0),"")</f>
        <v>0</v>
      </c>
      <c r="J97" s="191">
        <v>0.75</v>
      </c>
      <c r="K97" s="192">
        <f t="shared" si="5"/>
        <v>19</v>
      </c>
      <c r="L97" s="194">
        <v>45955</v>
      </c>
      <c r="M97" s="189">
        <f t="shared" si="6"/>
        <v>19</v>
      </c>
      <c r="N97" s="176">
        <v>0.35</v>
      </c>
      <c r="O97" s="112" t="s">
        <v>516</v>
      </c>
      <c r="P97" t="str">
        <f>+UPPER(TEXT(Tabla4[[#This Row],[transferencia]],"mmmm"))</f>
        <v>NOVIEMBRE</v>
      </c>
      <c r="Q97" t="s">
        <v>151</v>
      </c>
      <c r="R97"/>
    </row>
    <row r="98" spans="1:18" s="152" customFormat="1" hidden="1" x14ac:dyDescent="0.25">
      <c r="A98" s="112" t="str">
        <f>+Tabla4[[#This Row],[PISCINA]]&amp;Tabla4[[#This Row],[AGUAJE]]</f>
        <v>RO 08AGUAJE 3</v>
      </c>
      <c r="B98" s="112" t="s">
        <v>199</v>
      </c>
      <c r="C98" s="249" t="str">
        <f t="shared" ref="C98:C127" si="7">+MID(A98,1,2)</f>
        <v>RO</v>
      </c>
      <c r="D98" s="194">
        <v>45974</v>
      </c>
      <c r="E98" s="172">
        <f>2138078+276078</f>
        <v>2414156</v>
      </c>
      <c r="F98" s="249" t="s">
        <v>417</v>
      </c>
      <c r="G98" s="190" t="s">
        <v>422</v>
      </c>
      <c r="H98" s="189" t="s">
        <v>444</v>
      </c>
      <c r="I98" s="166" t="str">
        <f>IFERROR(VLOOKUP(H98,DATOS!$E$117:$F$168,2,0),"")</f>
        <v>H10598B</v>
      </c>
      <c r="J98" s="191">
        <v>0.69</v>
      </c>
      <c r="K98" s="192">
        <f t="shared" si="5"/>
        <v>23</v>
      </c>
      <c r="L98" s="194">
        <v>45951</v>
      </c>
      <c r="M98" s="189">
        <f t="shared" si="6"/>
        <v>23</v>
      </c>
      <c r="N98" s="176">
        <v>0.5</v>
      </c>
      <c r="O98" s="112" t="s">
        <v>517</v>
      </c>
      <c r="P98" s="249" t="str">
        <f>+UPPER(TEXT(Tabla4[[#This Row],[transferencia]],"mmmm"))</f>
        <v>NOVIEMBRE</v>
      </c>
      <c r="Q98" t="s">
        <v>186</v>
      </c>
      <c r="R98"/>
    </row>
    <row r="99" spans="1:18" s="152" customFormat="1" hidden="1" x14ac:dyDescent="0.25">
      <c r="A99" s="112" t="str">
        <f>+Tabla4[[#This Row],[PISCINA]]&amp;Tabla4[[#This Row],[AGUAJE]]</f>
        <v>BA 03AGUAJE 3</v>
      </c>
      <c r="B99" s="112" t="s">
        <v>205</v>
      </c>
      <c r="C99" s="249" t="str">
        <f t="shared" si="7"/>
        <v>BA</v>
      </c>
      <c r="D99" s="194">
        <v>45975</v>
      </c>
      <c r="E99" s="172">
        <v>487710</v>
      </c>
      <c r="F99" s="249" t="s">
        <v>417</v>
      </c>
      <c r="G99" s="190" t="s">
        <v>422</v>
      </c>
      <c r="H99" s="189" t="s">
        <v>490</v>
      </c>
      <c r="I99" s="166">
        <f>IFERROR(VLOOKUP(H99,DATOS!$E$117:$F$168,2,0),"")</f>
        <v>0</v>
      </c>
      <c r="J99" s="191">
        <v>0.40649999999999997</v>
      </c>
      <c r="K99" s="192">
        <f t="shared" si="5"/>
        <v>35</v>
      </c>
      <c r="L99" s="194">
        <v>45940</v>
      </c>
      <c r="M99" s="189">
        <f t="shared" si="6"/>
        <v>35</v>
      </c>
      <c r="N99" s="176">
        <v>0.83</v>
      </c>
      <c r="O99" s="112" t="s">
        <v>518</v>
      </c>
      <c r="P99" s="249" t="str">
        <f>+UPPER(TEXT(Tabla4[[#This Row],[transferencia]],"mmmm"))</f>
        <v>NOVIEMBRE</v>
      </c>
      <c r="Q99" t="s">
        <v>186</v>
      </c>
      <c r="R99"/>
    </row>
    <row r="100" spans="1:18" s="152" customFormat="1" hidden="1" x14ac:dyDescent="0.25">
      <c r="A100" s="112" t="str">
        <f>+Tabla4[[#This Row],[PISCINA]]&amp;Tabla4[[#This Row],[AGUAJE]]</f>
        <v>BA 05AGUAJE 3</v>
      </c>
      <c r="B100" s="112" t="s">
        <v>209</v>
      </c>
      <c r="C100" s="249" t="str">
        <f t="shared" si="7"/>
        <v>BA</v>
      </c>
      <c r="D100" s="194">
        <v>45975</v>
      </c>
      <c r="E100" s="172">
        <v>650602</v>
      </c>
      <c r="F100" s="249" t="s">
        <v>417</v>
      </c>
      <c r="G100" s="190" t="s">
        <v>422</v>
      </c>
      <c r="H100" s="189" t="s">
        <v>490</v>
      </c>
      <c r="I100" s="166">
        <f>IFERROR(VLOOKUP(H100,DATOS!$E$117:$F$168,2,0),"")</f>
        <v>0</v>
      </c>
      <c r="J100" s="191">
        <v>0.40649999999999997</v>
      </c>
      <c r="K100" s="192">
        <f t="shared" si="5"/>
        <v>35</v>
      </c>
      <c r="L100" s="194">
        <v>45940</v>
      </c>
      <c r="M100" s="189">
        <f t="shared" si="6"/>
        <v>35</v>
      </c>
      <c r="N100" s="176">
        <v>0.83</v>
      </c>
      <c r="O100" s="112" t="s">
        <v>518</v>
      </c>
      <c r="P100" s="249" t="str">
        <f>+UPPER(TEXT(Tabla4[[#This Row],[transferencia]],"mmmm"))</f>
        <v>NOVIEMBRE</v>
      </c>
      <c r="Q100" t="s">
        <v>186</v>
      </c>
      <c r="R100"/>
    </row>
    <row r="101" spans="1:18" s="152" customFormat="1" hidden="1" x14ac:dyDescent="0.25">
      <c r="A101" s="112" t="str">
        <f>+Tabla4[[#This Row],[PISCINA]]&amp;Tabla4[[#This Row],[AGUAJE]]</f>
        <v>PR 32AGUAJE 2</v>
      </c>
      <c r="B101" s="112" t="s">
        <v>165</v>
      </c>
      <c r="C101" s="249" t="str">
        <f t="shared" si="7"/>
        <v>PR</v>
      </c>
      <c r="D101" s="194">
        <v>45975</v>
      </c>
      <c r="E101" s="172">
        <v>990000</v>
      </c>
      <c r="F101" s="249" t="s">
        <v>417</v>
      </c>
      <c r="G101" s="190" t="s">
        <v>503</v>
      </c>
      <c r="H101" s="189" t="s">
        <v>504</v>
      </c>
      <c r="I101" s="166">
        <f>IFERROR(VLOOKUP(H101,DATOS!$E$117:$F$168,2,0),"")</f>
        <v>0</v>
      </c>
      <c r="J101" s="191">
        <v>0.58240000000000003</v>
      </c>
      <c r="K101" s="192">
        <f t="shared" si="5"/>
        <v>24</v>
      </c>
      <c r="L101" s="194">
        <v>45951</v>
      </c>
      <c r="M101" s="189">
        <f t="shared" si="6"/>
        <v>24</v>
      </c>
      <c r="N101" s="176">
        <v>0.45</v>
      </c>
      <c r="O101" s="112" t="s">
        <v>451</v>
      </c>
      <c r="P101" s="249" t="str">
        <f>+UPPER(TEXT(Tabla4[[#This Row],[transferencia]],"mmmm"))</f>
        <v>NOVIEMBRE</v>
      </c>
      <c r="Q101" t="s">
        <v>151</v>
      </c>
      <c r="R101"/>
    </row>
    <row r="102" spans="1:18" s="152" customFormat="1" hidden="1" x14ac:dyDescent="0.25">
      <c r="A102" s="112" t="str">
        <f>+Tabla4[[#This Row],[PISCINA]]&amp;Tabla4[[#This Row],[AGUAJE]]</f>
        <v>WA 30AGUAJE 3</v>
      </c>
      <c r="B102" s="112" t="s">
        <v>214</v>
      </c>
      <c r="C102" t="str">
        <f t="shared" si="7"/>
        <v>WA</v>
      </c>
      <c r="D102" s="194">
        <v>45975</v>
      </c>
      <c r="E102" s="172">
        <v>2240000</v>
      </c>
      <c r="F102" s="249" t="s">
        <v>417</v>
      </c>
      <c r="G102" s="190" t="s">
        <v>422</v>
      </c>
      <c r="H102" s="189" t="s">
        <v>454</v>
      </c>
      <c r="I102" s="166">
        <f>IFERROR(VLOOKUP(H102,DATOS!$E$117:$F$168,2,0),"")</f>
        <v>0</v>
      </c>
      <c r="J102" s="191">
        <v>0.64629999999999999</v>
      </c>
      <c r="K102" s="192">
        <f t="shared" si="5"/>
        <v>39</v>
      </c>
      <c r="L102" s="194">
        <v>45936</v>
      </c>
      <c r="M102" s="189">
        <f t="shared" si="6"/>
        <v>39</v>
      </c>
      <c r="N102" s="176">
        <v>1.5</v>
      </c>
      <c r="O102" s="112" t="s">
        <v>519</v>
      </c>
      <c r="P102" t="str">
        <f>+UPPER(TEXT(Tabla4[[#This Row],[transferencia]],"mmmm"))</f>
        <v>NOVIEMBRE</v>
      </c>
      <c r="Q102" t="s">
        <v>186</v>
      </c>
      <c r="R102"/>
    </row>
    <row r="103" spans="1:18" s="152" customFormat="1" hidden="1" x14ac:dyDescent="0.25">
      <c r="A103" s="112" t="str">
        <f>+Tabla4[[#This Row],[PISCINA]]&amp;Tabla4[[#This Row],[AGUAJE]]</f>
        <v>PR 24AGUAJE 2</v>
      </c>
      <c r="B103" s="112" t="s">
        <v>155</v>
      </c>
      <c r="C103" s="249" t="str">
        <f t="shared" si="7"/>
        <v>PR</v>
      </c>
      <c r="D103" s="194">
        <v>45976</v>
      </c>
      <c r="E103" s="172">
        <v>657000</v>
      </c>
      <c r="F103" s="249" t="s">
        <v>417</v>
      </c>
      <c r="G103" s="190" t="s">
        <v>422</v>
      </c>
      <c r="H103" s="189" t="s">
        <v>520</v>
      </c>
      <c r="I103" s="166">
        <f>IFERROR(VLOOKUP(H103,DATOS!$E$117:$F$168,2,0),"")</f>
        <v>0</v>
      </c>
      <c r="J103" s="191">
        <v>0.4239</v>
      </c>
      <c r="K103" s="192">
        <f t="shared" si="5"/>
        <v>19</v>
      </c>
      <c r="L103" s="194">
        <v>45957</v>
      </c>
      <c r="M103" s="189">
        <f t="shared" si="6"/>
        <v>19</v>
      </c>
      <c r="N103" s="176">
        <v>0.35</v>
      </c>
      <c r="O103" s="112" t="s">
        <v>521</v>
      </c>
      <c r="P103" s="249" t="str">
        <f>+UPPER(TEXT(Tabla4[[#This Row],[transferencia]],"mmmm"))</f>
        <v>NOVIEMBRE</v>
      </c>
      <c r="Q103" t="s">
        <v>151</v>
      </c>
      <c r="R103"/>
    </row>
    <row r="104" spans="1:18" s="152" customFormat="1" hidden="1" x14ac:dyDescent="0.25">
      <c r="A104" s="112" t="str">
        <f>+Tabla4[[#This Row],[PISCINA]]&amp;Tabla4[[#This Row],[AGUAJE]]</f>
        <v>PR 29AGUAJE 1</v>
      </c>
      <c r="B104" s="112" t="s">
        <v>146</v>
      </c>
      <c r="C104" t="str">
        <f t="shared" si="7"/>
        <v>PR</v>
      </c>
      <c r="D104" s="194">
        <v>45976</v>
      </c>
      <c r="E104" s="172">
        <v>889000</v>
      </c>
      <c r="F104" s="249" t="s">
        <v>417</v>
      </c>
      <c r="G104" s="190" t="s">
        <v>422</v>
      </c>
      <c r="H104" s="189" t="s">
        <v>520</v>
      </c>
      <c r="I104" s="166">
        <f>IFERROR(VLOOKUP(H104,DATOS!$E$117:$F$168,2,0),"")</f>
        <v>0</v>
      </c>
      <c r="J104" s="191">
        <v>0.68810000000000004</v>
      </c>
      <c r="K104" s="192">
        <f t="shared" si="5"/>
        <v>19</v>
      </c>
      <c r="L104" s="194">
        <v>45957</v>
      </c>
      <c r="M104" s="189">
        <f t="shared" si="6"/>
        <v>19</v>
      </c>
      <c r="N104" s="176">
        <v>0.3</v>
      </c>
      <c r="O104" s="112" t="s">
        <v>522</v>
      </c>
      <c r="P104" t="str">
        <f>+UPPER(TEXT(Tabla4[[#This Row],[transferencia]],"mmmm"))</f>
        <v>NOVIEMBRE</v>
      </c>
      <c r="Q104" t="s">
        <v>103</v>
      </c>
      <c r="R104"/>
    </row>
    <row r="105" spans="1:18" s="152" customFormat="1" hidden="1" x14ac:dyDescent="0.25">
      <c r="A105" s="112" t="str">
        <f>+Tabla4[[#This Row],[PISCINA]]&amp;Tabla4[[#This Row],[AGUAJE]]</f>
        <v>PR 31AGUAJE 1</v>
      </c>
      <c r="B105" s="112" t="s">
        <v>149</v>
      </c>
      <c r="C105" t="str">
        <f t="shared" si="7"/>
        <v>PR</v>
      </c>
      <c r="D105" s="194">
        <v>45976</v>
      </c>
      <c r="E105" s="172">
        <v>1141000</v>
      </c>
      <c r="F105" s="249" t="s">
        <v>417</v>
      </c>
      <c r="G105" s="190" t="s">
        <v>422</v>
      </c>
      <c r="H105" s="189" t="s">
        <v>520</v>
      </c>
      <c r="I105" s="166">
        <f>IFERROR(VLOOKUP(H105,DATOS!$E$117:$F$168,2,0),"")</f>
        <v>0</v>
      </c>
      <c r="J105" s="191">
        <v>0.68810000000000004</v>
      </c>
      <c r="K105" s="192">
        <f t="shared" si="5"/>
        <v>19</v>
      </c>
      <c r="L105" s="194">
        <v>45957</v>
      </c>
      <c r="M105" s="189">
        <f t="shared" si="6"/>
        <v>19</v>
      </c>
      <c r="N105" s="176">
        <v>0.3</v>
      </c>
      <c r="O105" s="112" t="s">
        <v>522</v>
      </c>
      <c r="P105" t="str">
        <f>+UPPER(TEXT(Tabla4[[#This Row],[transferencia]],"mmmm"))</f>
        <v>NOVIEMBRE</v>
      </c>
      <c r="Q105" t="s">
        <v>103</v>
      </c>
      <c r="R105"/>
    </row>
    <row r="106" spans="1:18" s="152" customFormat="1" hidden="1" x14ac:dyDescent="0.25">
      <c r="A106" s="112" t="str">
        <f>+Tabla4[[#This Row],[PISCINA]]&amp;Tabla4[[#This Row],[AGUAJE]]</f>
        <v>CA 09AGUAJE 3</v>
      </c>
      <c r="B106" s="112" t="s">
        <v>212</v>
      </c>
      <c r="C106" s="249" t="str">
        <f t="shared" si="7"/>
        <v>CA</v>
      </c>
      <c r="D106" s="194">
        <v>45977</v>
      </c>
      <c r="E106" s="172">
        <v>1911754</v>
      </c>
      <c r="F106" s="249" t="s">
        <v>417</v>
      </c>
      <c r="G106" s="190" t="s">
        <v>422</v>
      </c>
      <c r="H106" s="189" t="s">
        <v>444</v>
      </c>
      <c r="I106" s="166" t="str">
        <f>IFERROR(VLOOKUP(H106,DATOS!$E$117:$F$168,2,0),"")</f>
        <v>H10598B</v>
      </c>
      <c r="J106" s="191">
        <v>0.72927733333333333</v>
      </c>
      <c r="K106" s="192">
        <f t="shared" si="5"/>
        <v>25</v>
      </c>
      <c r="L106" s="194">
        <v>45952</v>
      </c>
      <c r="M106" s="189">
        <f t="shared" si="6"/>
        <v>25</v>
      </c>
      <c r="N106" s="176">
        <v>0.57999999999999996</v>
      </c>
      <c r="O106" s="112" t="s">
        <v>448</v>
      </c>
      <c r="P106" s="249" t="str">
        <f>+UPPER(TEXT(Tabla4[[#This Row],[transferencia]],"mmmm"))</f>
        <v>NOVIEMBRE</v>
      </c>
      <c r="Q106" t="s">
        <v>186</v>
      </c>
      <c r="R106"/>
    </row>
    <row r="107" spans="1:18" s="152" customFormat="1" hidden="1" x14ac:dyDescent="0.25">
      <c r="A107" s="112" t="str">
        <f>+Tabla4[[#This Row],[PISCINA]]&amp;Tabla4[[#This Row],[AGUAJE]]</f>
        <v>DO 04AGUAJE 3</v>
      </c>
      <c r="B107" s="112" t="s">
        <v>208</v>
      </c>
      <c r="C107" s="249" t="str">
        <f t="shared" si="7"/>
        <v>DO</v>
      </c>
      <c r="D107" s="194">
        <v>45977</v>
      </c>
      <c r="E107" s="172">
        <v>1667700</v>
      </c>
      <c r="F107" s="249" t="s">
        <v>417</v>
      </c>
      <c r="G107" s="190" t="s">
        <v>422</v>
      </c>
      <c r="H107" s="189" t="s">
        <v>431</v>
      </c>
      <c r="I107" s="166" t="str">
        <f>IFERROR(VLOOKUP(H107,DATOS!$E$117:$F$168,2,0),"")</f>
        <v>H10534B</v>
      </c>
      <c r="J107" s="191">
        <v>0.72509999999999997</v>
      </c>
      <c r="K107" s="192">
        <f t="shared" si="5"/>
        <v>29</v>
      </c>
      <c r="L107" s="194">
        <v>45948</v>
      </c>
      <c r="M107" s="189">
        <f t="shared" si="6"/>
        <v>29</v>
      </c>
      <c r="N107" s="176">
        <v>1.46</v>
      </c>
      <c r="O107" s="112" t="s">
        <v>523</v>
      </c>
      <c r="P107" s="249" t="str">
        <f>+UPPER(TEXT(Tabla4[[#This Row],[transferencia]],"mmmm"))</f>
        <v>NOVIEMBRE</v>
      </c>
      <c r="Q107" t="s">
        <v>186</v>
      </c>
      <c r="R107"/>
    </row>
    <row r="108" spans="1:18" s="152" customFormat="1" hidden="1" x14ac:dyDescent="0.25">
      <c r="A108" s="112" t="str">
        <f>+Tabla4[[#This Row],[PISCINA]]&amp;Tabla4[[#This Row],[AGUAJE]]</f>
        <v>PR 27AGUAJE 2</v>
      </c>
      <c r="B108" s="112" t="s">
        <v>161</v>
      </c>
      <c r="C108" s="249" t="str">
        <f t="shared" si="7"/>
        <v>PR</v>
      </c>
      <c r="D108" s="194">
        <v>45978</v>
      </c>
      <c r="E108" s="172">
        <v>966000</v>
      </c>
      <c r="F108" s="249" t="s">
        <v>417</v>
      </c>
      <c r="G108" s="190" t="s">
        <v>422</v>
      </c>
      <c r="H108" s="189" t="s">
        <v>447</v>
      </c>
      <c r="I108" s="166">
        <f>IFERROR(VLOOKUP(H108,DATOS!$E$117:$F$168,2,0),"")</f>
        <v>0</v>
      </c>
      <c r="J108" s="191">
        <v>0.44929999999999998</v>
      </c>
      <c r="K108" s="192">
        <f t="shared" si="5"/>
        <v>20</v>
      </c>
      <c r="L108" s="194">
        <v>45958</v>
      </c>
      <c r="M108" s="189">
        <f t="shared" si="6"/>
        <v>20</v>
      </c>
      <c r="N108" s="176">
        <v>0.4</v>
      </c>
      <c r="O108" s="112" t="s">
        <v>524</v>
      </c>
      <c r="P108" s="249" t="str">
        <f>+UPPER(TEXT(Tabla4[[#This Row],[transferencia]],"mmmm"))</f>
        <v>NOVIEMBRE</v>
      </c>
      <c r="Q108" t="s">
        <v>151</v>
      </c>
      <c r="R108"/>
    </row>
    <row r="109" spans="1:18" s="152" customFormat="1" hidden="1" x14ac:dyDescent="0.25">
      <c r="A109" s="112" t="str">
        <f>+Tabla4[[#This Row],[PISCINA]]&amp;Tabla4[[#This Row],[AGUAJE]]</f>
        <v>WA 32AGUAJE 4</v>
      </c>
      <c r="B109" s="112" t="s">
        <v>236</v>
      </c>
      <c r="C109" s="249" t="str">
        <f t="shared" si="7"/>
        <v>WA</v>
      </c>
      <c r="D109" s="194">
        <v>45978</v>
      </c>
      <c r="E109" s="172">
        <v>1700000</v>
      </c>
      <c r="F109" s="249" t="s">
        <v>417</v>
      </c>
      <c r="G109" s="190" t="s">
        <v>525</v>
      </c>
      <c r="H109" s="190" t="s">
        <v>526</v>
      </c>
      <c r="I109" s="166" t="str">
        <f>IFERROR(VLOOKUP(H109,DATOS!$E$117:$F$168,2,0),"")</f>
        <v/>
      </c>
      <c r="J109" s="191">
        <v>0.78059999999999996</v>
      </c>
      <c r="K109" s="192">
        <f t="shared" si="5"/>
        <v>23</v>
      </c>
      <c r="L109" s="194">
        <v>45955</v>
      </c>
      <c r="M109" s="189">
        <f t="shared" si="6"/>
        <v>23</v>
      </c>
      <c r="N109" s="176">
        <v>0.46</v>
      </c>
      <c r="O109" s="112" t="s">
        <v>527</v>
      </c>
      <c r="P109" s="249" t="str">
        <f>+UPPER(TEXT(Tabla4[[#This Row],[transferencia]],"mmmm"))</f>
        <v>NOVIEMBRE</v>
      </c>
      <c r="Q109" t="s">
        <v>225</v>
      </c>
      <c r="R109"/>
    </row>
    <row r="110" spans="1:18" s="152" customFormat="1" hidden="1" x14ac:dyDescent="0.25">
      <c r="A110" s="112" t="str">
        <f>+Tabla4[[#This Row],[PISCINA]]&amp;Tabla4[[#This Row],[AGUAJE]]</f>
        <v>TI 13AGUAJE 2</v>
      </c>
      <c r="B110" s="112" t="s">
        <v>179</v>
      </c>
      <c r="C110" s="249" t="str">
        <f t="shared" si="7"/>
        <v>TI</v>
      </c>
      <c r="D110" s="194">
        <v>45979</v>
      </c>
      <c r="E110" s="172">
        <v>766700</v>
      </c>
      <c r="F110" s="249" t="s">
        <v>417</v>
      </c>
      <c r="G110" s="190" t="s">
        <v>422</v>
      </c>
      <c r="H110" s="189" t="s">
        <v>528</v>
      </c>
      <c r="I110" s="166" t="str">
        <f>IFERROR(VLOOKUP(H110,DATOS!$E$117:$F$168,2,0),"")</f>
        <v>H10534A</v>
      </c>
      <c r="J110" s="191">
        <v>0.73019999999999996</v>
      </c>
      <c r="K110" s="192">
        <f t="shared" si="5"/>
        <v>25</v>
      </c>
      <c r="L110" s="194">
        <v>45954</v>
      </c>
      <c r="M110" s="189">
        <f t="shared" si="6"/>
        <v>25</v>
      </c>
      <c r="N110" s="176">
        <v>0.75</v>
      </c>
      <c r="O110" s="112" t="s">
        <v>461</v>
      </c>
      <c r="P110" s="249" t="str">
        <f>+UPPER(TEXT(Tabla4[[#This Row],[transferencia]],"mmmm"))</f>
        <v>NOVIEMBRE</v>
      </c>
      <c r="Q110" t="s">
        <v>151</v>
      </c>
      <c r="R110"/>
    </row>
    <row r="111" spans="1:18" s="152" customFormat="1" hidden="1" x14ac:dyDescent="0.25">
      <c r="A111" s="112" t="str">
        <f>+Tabla4[[#This Row],[PISCINA]]&amp;Tabla4[[#This Row],[AGUAJE]]</f>
        <v>BA 04AGUAJE 3</v>
      </c>
      <c r="B111" s="112" t="s">
        <v>202</v>
      </c>
      <c r="C111" s="249" t="str">
        <f t="shared" si="7"/>
        <v>BA</v>
      </c>
      <c r="D111" s="194">
        <v>45980</v>
      </c>
      <c r="E111" s="172">
        <v>1333364</v>
      </c>
      <c r="F111" s="249" t="s">
        <v>417</v>
      </c>
      <c r="G111" s="190" t="s">
        <v>458</v>
      </c>
      <c r="H111" s="189" t="s">
        <v>529</v>
      </c>
      <c r="I111" s="166" t="str">
        <f>IFERROR(VLOOKUP(H111,DATOS!$E$117:$F$168,2,0),"")</f>
        <v>H10534B/H10234</v>
      </c>
      <c r="J111" s="191">
        <v>0.68089999999999995</v>
      </c>
      <c r="K111" s="192">
        <f t="shared" si="5"/>
        <v>31</v>
      </c>
      <c r="L111" s="194">
        <v>45949</v>
      </c>
      <c r="M111" s="189">
        <f t="shared" si="6"/>
        <v>31</v>
      </c>
      <c r="N111" s="176">
        <v>0.77</v>
      </c>
      <c r="O111" s="112" t="s">
        <v>530</v>
      </c>
      <c r="P111" s="249" t="str">
        <f>+UPPER(TEXT(Tabla4[[#This Row],[transferencia]],"mmmm"))</f>
        <v>NOVIEMBRE</v>
      </c>
      <c r="Q111" t="s">
        <v>186</v>
      </c>
      <c r="R111"/>
    </row>
    <row r="112" spans="1:18" s="152" customFormat="1" hidden="1" x14ac:dyDescent="0.25">
      <c r="A112" s="112" t="str">
        <f>+Tabla4[[#This Row],[PISCINA]]&amp;Tabla4[[#This Row],[AGUAJE]]</f>
        <v>MA 11AGUAJE 3</v>
      </c>
      <c r="B112" s="112" t="s">
        <v>221</v>
      </c>
      <c r="C112" s="249" t="str">
        <f t="shared" si="7"/>
        <v>MA</v>
      </c>
      <c r="D112" s="194">
        <v>45980</v>
      </c>
      <c r="E112" s="172">
        <v>471111</v>
      </c>
      <c r="F112" s="249" t="s">
        <v>417</v>
      </c>
      <c r="G112" s="190" t="s">
        <v>422</v>
      </c>
      <c r="H112" s="189" t="s">
        <v>431</v>
      </c>
      <c r="I112" s="166" t="str">
        <f>IFERROR(VLOOKUP(H112,DATOS!$E$117:$F$168,2,0),"")</f>
        <v>H10534B</v>
      </c>
      <c r="J112" s="191">
        <v>0.52480000000000004</v>
      </c>
      <c r="K112" s="192">
        <f t="shared" si="5"/>
        <v>31</v>
      </c>
      <c r="L112" s="194">
        <v>45949</v>
      </c>
      <c r="M112" s="189">
        <f t="shared" si="6"/>
        <v>31</v>
      </c>
      <c r="N112" s="176">
        <v>0.85</v>
      </c>
      <c r="O112" s="112" t="s">
        <v>531</v>
      </c>
      <c r="P112" s="249" t="str">
        <f>+UPPER(TEXT(Tabla4[[#This Row],[transferencia]],"mmmm"))</f>
        <v>NOVIEMBRE</v>
      </c>
      <c r="Q112" t="s">
        <v>186</v>
      </c>
      <c r="R112"/>
    </row>
    <row r="113" spans="1:26" s="152" customFormat="1" hidden="1" x14ac:dyDescent="0.25">
      <c r="A113" s="112" t="str">
        <f>+Tabla4[[#This Row],[PISCINA]]&amp;Tabla4[[#This Row],[AGUAJE]]</f>
        <v>TA 11AGUAJE 3</v>
      </c>
      <c r="B113" s="112" t="s">
        <v>201</v>
      </c>
      <c r="C113" t="str">
        <f t="shared" si="7"/>
        <v>TA</v>
      </c>
      <c r="D113" s="194">
        <v>45980</v>
      </c>
      <c r="E113" s="172">
        <v>289000</v>
      </c>
      <c r="F113" s="249" t="s">
        <v>417</v>
      </c>
      <c r="G113" s="190" t="s">
        <v>422</v>
      </c>
      <c r="H113" s="189" t="s">
        <v>419</v>
      </c>
      <c r="I113" s="166" t="str">
        <f>IFERROR(VLOOKUP(H113,DATOS!$E$117:$F$168,2,0),"")</f>
        <v>H10603</v>
      </c>
      <c r="J113" s="191">
        <v>0.83689999999999998</v>
      </c>
      <c r="K113" s="192">
        <f t="shared" si="5"/>
        <v>24</v>
      </c>
      <c r="L113" s="194">
        <v>45956</v>
      </c>
      <c r="M113" s="189">
        <f t="shared" si="6"/>
        <v>24</v>
      </c>
      <c r="N113" s="176">
        <v>0.65</v>
      </c>
      <c r="O113" s="112" t="s">
        <v>532</v>
      </c>
      <c r="P113" t="str">
        <f>+UPPER(TEXT(Tabla4[[#This Row],[transferencia]],"mmmm"))</f>
        <v>NOVIEMBRE</v>
      </c>
      <c r="Q113" t="s">
        <v>186</v>
      </c>
      <c r="R113"/>
      <c r="S113" s="249"/>
      <c r="T113" s="249"/>
      <c r="U113" s="249"/>
      <c r="V113" s="249"/>
      <c r="W113" s="249"/>
      <c r="X113" s="249"/>
      <c r="Y113" s="249"/>
      <c r="Z113" s="249"/>
    </row>
    <row r="114" spans="1:26" s="152" customFormat="1" hidden="1" x14ac:dyDescent="0.25">
      <c r="A114" s="112" t="str">
        <f>+Tabla4[[#This Row],[PISCINA]]&amp;Tabla4[[#This Row],[AGUAJE]]</f>
        <v>TA 17AGUAJE 3</v>
      </c>
      <c r="B114" s="112" t="s">
        <v>533</v>
      </c>
      <c r="C114" t="str">
        <f t="shared" si="7"/>
        <v>TA</v>
      </c>
      <c r="D114" s="194">
        <v>45980</v>
      </c>
      <c r="E114" s="172">
        <v>255000</v>
      </c>
      <c r="F114" s="249" t="s">
        <v>417</v>
      </c>
      <c r="G114" s="190" t="s">
        <v>422</v>
      </c>
      <c r="H114" s="189" t="s">
        <v>419</v>
      </c>
      <c r="I114" s="166" t="str">
        <f>IFERROR(VLOOKUP(H114,DATOS!$E$117:$F$168,2,0),"")</f>
        <v>H10603</v>
      </c>
      <c r="J114" s="191">
        <v>0.83689999999999998</v>
      </c>
      <c r="K114" s="192">
        <f t="shared" si="5"/>
        <v>24</v>
      </c>
      <c r="L114" s="194">
        <v>45956</v>
      </c>
      <c r="M114" s="189">
        <f t="shared" si="6"/>
        <v>24</v>
      </c>
      <c r="N114" s="176">
        <v>0.65</v>
      </c>
      <c r="O114" s="112" t="s">
        <v>532</v>
      </c>
      <c r="P114" t="str">
        <f>+UPPER(TEXT(Tabla4[[#This Row],[transferencia]],"mmmm"))</f>
        <v>NOVIEMBRE</v>
      </c>
      <c r="Q114" t="s">
        <v>186</v>
      </c>
      <c r="R114"/>
      <c r="S114" s="249"/>
      <c r="T114" s="249"/>
      <c r="U114" s="249"/>
      <c r="V114" s="249"/>
      <c r="W114" s="249"/>
      <c r="X114" s="249"/>
      <c r="Y114" s="249"/>
      <c r="Z114" s="249"/>
    </row>
    <row r="115" spans="1:26" s="152" customFormat="1" hidden="1" x14ac:dyDescent="0.25">
      <c r="A115" s="112" t="str">
        <f>+Tabla4[[#This Row],[PISCINA]]&amp;Tabla4[[#This Row],[AGUAJE]]</f>
        <v>TA PC 17AGUAJE 3</v>
      </c>
      <c r="B115" s="112" t="s">
        <v>204</v>
      </c>
      <c r="C115" s="249" t="str">
        <f t="shared" si="7"/>
        <v>TA</v>
      </c>
      <c r="D115" s="194">
        <v>45980</v>
      </c>
      <c r="E115" s="172">
        <v>255000</v>
      </c>
      <c r="F115" s="249" t="s">
        <v>417</v>
      </c>
      <c r="G115" s="190" t="s">
        <v>422</v>
      </c>
      <c r="H115" s="189" t="s">
        <v>419</v>
      </c>
      <c r="I115" s="166" t="str">
        <f>IFERROR(VLOOKUP(H115,DATOS!$E$117:$F$168,2,0),"")</f>
        <v>H10603</v>
      </c>
      <c r="J115" s="191">
        <v>0.83689999999999998</v>
      </c>
      <c r="K115" s="192">
        <f t="shared" si="5"/>
        <v>24</v>
      </c>
      <c r="L115" s="194">
        <v>45956</v>
      </c>
      <c r="M115" s="189">
        <f t="shared" si="6"/>
        <v>24</v>
      </c>
      <c r="N115" s="176">
        <v>0.65</v>
      </c>
      <c r="O115" s="112" t="s">
        <v>534</v>
      </c>
      <c r="P115" s="249" t="str">
        <f>+UPPER(TEXT(Tabla4[[#This Row],[transferencia]],"mmmm"))</f>
        <v>NOVIEMBRE</v>
      </c>
      <c r="Q115" t="s">
        <v>186</v>
      </c>
      <c r="R115"/>
      <c r="S115" s="249"/>
      <c r="T115" s="249"/>
      <c r="U115" s="249"/>
      <c r="V115" s="249"/>
      <c r="W115" s="249"/>
      <c r="X115" s="249"/>
      <c r="Y115" s="249"/>
      <c r="Z115" s="249"/>
    </row>
    <row r="116" spans="1:26" s="152" customFormat="1" hidden="1" x14ac:dyDescent="0.25">
      <c r="A116" s="112" t="str">
        <f>+Tabla4[[#This Row],[PISCINA]]&amp;Tabla4[[#This Row],[AGUAJE]]</f>
        <v>TU 06AGUAJE 3</v>
      </c>
      <c r="B116" s="112" t="s">
        <v>218</v>
      </c>
      <c r="C116" s="249" t="str">
        <f t="shared" si="7"/>
        <v>TU</v>
      </c>
      <c r="D116" s="194">
        <v>45980</v>
      </c>
      <c r="E116" s="172">
        <v>900000</v>
      </c>
      <c r="F116" s="249" t="s">
        <v>417</v>
      </c>
      <c r="G116" s="190" t="s">
        <v>422</v>
      </c>
      <c r="H116" s="189" t="s">
        <v>433</v>
      </c>
      <c r="I116" s="166" t="str">
        <f>IFERROR(VLOOKUP(H116,DATOS!$E$117:$F$168,2,0),"")</f>
        <v>H10586</v>
      </c>
      <c r="J116" s="191">
        <v>0.72</v>
      </c>
      <c r="K116" s="192">
        <f t="shared" si="5"/>
        <v>31</v>
      </c>
      <c r="L116" s="194">
        <v>45949</v>
      </c>
      <c r="M116" s="189">
        <f t="shared" si="6"/>
        <v>31</v>
      </c>
      <c r="N116" s="176">
        <v>0.85</v>
      </c>
      <c r="O116" s="112" t="s">
        <v>535</v>
      </c>
      <c r="P116" s="249" t="str">
        <f>+UPPER(TEXT(Tabla4[[#This Row],[transferencia]],"mmmm"))</f>
        <v>NOVIEMBRE</v>
      </c>
      <c r="Q116" t="s">
        <v>186</v>
      </c>
      <c r="R116"/>
      <c r="S116" s="249"/>
      <c r="T116" s="249"/>
      <c r="U116" s="249"/>
      <c r="V116" s="249"/>
      <c r="W116" s="249"/>
      <c r="X116" s="249"/>
      <c r="Y116" s="249"/>
      <c r="Z116" s="249"/>
    </row>
    <row r="117" spans="1:26" s="152" customFormat="1" hidden="1" x14ac:dyDescent="0.25">
      <c r="A117" s="112" t="str">
        <f>+Tabla4[[#This Row],[PISCINA]]&amp;Tabla4[[#This Row],[AGUAJE]]</f>
        <v>CH 01AGUAJE 3</v>
      </c>
      <c r="B117" s="112" t="s">
        <v>7</v>
      </c>
      <c r="C117" s="249" t="str">
        <f t="shared" si="7"/>
        <v>CH</v>
      </c>
      <c r="D117" s="194">
        <v>45981</v>
      </c>
      <c r="E117" s="172">
        <v>1357200</v>
      </c>
      <c r="F117" s="249" t="s">
        <v>417</v>
      </c>
      <c r="G117" s="190" t="s">
        <v>422</v>
      </c>
      <c r="H117" s="189" t="s">
        <v>419</v>
      </c>
      <c r="I117" s="166" t="str">
        <f>IFERROR(VLOOKUP(H117,DATOS!$E$117:$F$168,2,0),"")</f>
        <v>H10603</v>
      </c>
      <c r="J117" s="191">
        <v>0.77549999999999997</v>
      </c>
      <c r="K117" s="192">
        <f t="shared" si="5"/>
        <v>25</v>
      </c>
      <c r="L117" s="194">
        <v>45956</v>
      </c>
      <c r="M117" s="189">
        <f t="shared" si="6"/>
        <v>25</v>
      </c>
      <c r="N117" s="176">
        <v>0.65</v>
      </c>
      <c r="O117" s="112" t="s">
        <v>536</v>
      </c>
      <c r="P117" s="249" t="str">
        <f>+UPPER(TEXT(Tabla4[[#This Row],[transferencia]],"mmmm"))</f>
        <v>NOVIEMBRE</v>
      </c>
      <c r="Q117" t="s">
        <v>186</v>
      </c>
      <c r="R117"/>
      <c r="S117" s="249"/>
      <c r="T117" s="249"/>
      <c r="U117" s="249"/>
      <c r="V117" s="249"/>
      <c r="W117" s="249"/>
      <c r="X117" s="249"/>
      <c r="Y117" s="249"/>
      <c r="Z117" s="249"/>
    </row>
    <row r="118" spans="1:26" s="152" customFormat="1" hidden="1" x14ac:dyDescent="0.25">
      <c r="A118" s="112" t="str">
        <f>+Tabla4[[#This Row],[PISCINA]]&amp;Tabla4[[#This Row],[AGUAJE]]</f>
        <v>PA 18AGUAJE 4</v>
      </c>
      <c r="B118" s="112" t="s">
        <v>247</v>
      </c>
      <c r="C118" s="249" t="str">
        <f t="shared" si="7"/>
        <v>PA</v>
      </c>
      <c r="D118" s="194">
        <v>45981</v>
      </c>
      <c r="E118" s="172">
        <v>3231818</v>
      </c>
      <c r="F118" s="249" t="s">
        <v>417</v>
      </c>
      <c r="G118" s="190" t="s">
        <v>422</v>
      </c>
      <c r="H118" s="189" t="s">
        <v>506</v>
      </c>
      <c r="I118" s="166" t="str">
        <f>IFERROR(VLOOKUP(H118,DATOS!$E$117:$F$168,2,0),"")</f>
        <v>H10533F</v>
      </c>
      <c r="J118" s="191">
        <v>0.75160000000000005</v>
      </c>
      <c r="K118" s="192">
        <f t="shared" si="5"/>
        <v>34</v>
      </c>
      <c r="L118" s="194">
        <v>45947</v>
      </c>
      <c r="M118" s="189">
        <f t="shared" si="6"/>
        <v>34</v>
      </c>
      <c r="N118" s="176">
        <v>0.88</v>
      </c>
      <c r="O118" s="112" t="s">
        <v>537</v>
      </c>
      <c r="P118" s="249" t="str">
        <f>+UPPER(TEXT(Tabla4[[#This Row],[transferencia]],"mmmm"))</f>
        <v>NOVIEMBRE</v>
      </c>
      <c r="Q118" t="s">
        <v>225</v>
      </c>
      <c r="R118"/>
      <c r="S118" s="249"/>
      <c r="T118" s="249"/>
      <c r="U118" s="249"/>
      <c r="V118" s="249"/>
      <c r="W118" s="249"/>
      <c r="X118" s="249"/>
      <c r="Y118" s="249"/>
      <c r="Z118" s="249"/>
    </row>
    <row r="119" spans="1:26" s="152" customFormat="1" hidden="1" x14ac:dyDescent="0.25">
      <c r="A119" s="112" t="str">
        <f>+Tabla4[[#This Row],[PISCINA]]&amp;Tabla4[[#This Row],[AGUAJE]]</f>
        <v>TI 09AGUAJE 4</v>
      </c>
      <c r="B119" s="112" t="s">
        <v>232</v>
      </c>
      <c r="C119" s="249" t="str">
        <f t="shared" si="7"/>
        <v>TI</v>
      </c>
      <c r="D119" s="194">
        <v>45981</v>
      </c>
      <c r="E119" s="172">
        <v>1206000</v>
      </c>
      <c r="F119" s="249" t="s">
        <v>417</v>
      </c>
      <c r="G119" s="190" t="s">
        <v>422</v>
      </c>
      <c r="H119" s="189" t="s">
        <v>447</v>
      </c>
      <c r="I119" s="166">
        <f>IFERROR(VLOOKUP(H119,DATOS!$E$117:$F$168,2,0),"")</f>
        <v>0</v>
      </c>
      <c r="J119" s="191">
        <v>0.82820000000000005</v>
      </c>
      <c r="K119" s="192">
        <f t="shared" si="5"/>
        <v>23</v>
      </c>
      <c r="L119" s="194">
        <v>45958</v>
      </c>
      <c r="M119" s="189">
        <f t="shared" si="6"/>
        <v>23</v>
      </c>
      <c r="N119" s="176">
        <v>0.45</v>
      </c>
      <c r="O119" s="112" t="s">
        <v>538</v>
      </c>
      <c r="P119" s="249" t="str">
        <f>+UPPER(TEXT(Tabla4[[#This Row],[transferencia]],"mmmm"))</f>
        <v>NOVIEMBRE</v>
      </c>
      <c r="Q119" t="s">
        <v>225</v>
      </c>
      <c r="R119"/>
      <c r="S119" s="249"/>
      <c r="T119" s="249"/>
      <c r="U119" s="249"/>
      <c r="V119" s="249"/>
      <c r="W119" s="249"/>
      <c r="X119" s="249"/>
      <c r="Y119" s="249"/>
      <c r="Z119" s="249"/>
    </row>
    <row r="120" spans="1:26" s="152" customFormat="1" hidden="1" x14ac:dyDescent="0.25">
      <c r="A120" s="112" t="str">
        <f>+Tabla4[[#This Row],[PISCINA]]&amp;Tabla4[[#This Row],[AGUAJE]]</f>
        <v>WA 25AGUAJE 3</v>
      </c>
      <c r="B120" s="112" t="s">
        <v>190</v>
      </c>
      <c r="C120" s="249" t="str">
        <f t="shared" si="7"/>
        <v>WA</v>
      </c>
      <c r="D120" s="194">
        <v>45981</v>
      </c>
      <c r="E120" s="172">
        <v>577500</v>
      </c>
      <c r="F120" s="249" t="s">
        <v>417</v>
      </c>
      <c r="G120" s="190" t="s">
        <v>422</v>
      </c>
      <c r="H120" s="189" t="s">
        <v>419</v>
      </c>
      <c r="I120" s="166" t="str">
        <f>IFERROR(VLOOKUP(H120,DATOS!$E$117:$F$168,2,0),"")</f>
        <v>H10603</v>
      </c>
      <c r="J120" s="191">
        <v>0.73219999999999996</v>
      </c>
      <c r="K120" s="192">
        <f t="shared" si="5"/>
        <v>26</v>
      </c>
      <c r="L120" s="194">
        <v>45955</v>
      </c>
      <c r="M120" s="189">
        <f t="shared" si="6"/>
        <v>26</v>
      </c>
      <c r="N120" s="176">
        <v>0.65</v>
      </c>
      <c r="O120" s="112" t="s">
        <v>539</v>
      </c>
      <c r="P120" s="249" t="str">
        <f>+UPPER(TEXT(Tabla4[[#This Row],[transferencia]],"mmmm"))</f>
        <v>NOVIEMBRE</v>
      </c>
      <c r="Q120" t="s">
        <v>186</v>
      </c>
      <c r="R120"/>
      <c r="S120" s="249"/>
      <c r="T120" s="249"/>
      <c r="U120" s="249"/>
      <c r="V120" s="249"/>
      <c r="W120" s="249"/>
      <c r="X120" s="249"/>
      <c r="Y120" s="249"/>
      <c r="Z120" s="249"/>
    </row>
    <row r="121" spans="1:26" s="152" customFormat="1" hidden="1" x14ac:dyDescent="0.25">
      <c r="A121" s="112" t="str">
        <f>+Tabla4[[#This Row],[PISCINA]]&amp;Tabla4[[#This Row],[AGUAJE]]</f>
        <v>WA 26AGUAJE 3</v>
      </c>
      <c r="B121" s="112" t="s">
        <v>191</v>
      </c>
      <c r="C121" s="249" t="str">
        <f t="shared" si="7"/>
        <v>WA</v>
      </c>
      <c r="D121" s="194">
        <v>45981</v>
      </c>
      <c r="E121" s="172">
        <v>594000</v>
      </c>
      <c r="F121" s="249" t="s">
        <v>417</v>
      </c>
      <c r="G121" s="190" t="s">
        <v>422</v>
      </c>
      <c r="H121" s="189" t="s">
        <v>419</v>
      </c>
      <c r="I121" s="166" t="str">
        <f>IFERROR(VLOOKUP(H121,DATOS!$E$117:$F$168,2,0),"")</f>
        <v>H10603</v>
      </c>
      <c r="J121" s="191">
        <v>0.73219999999999996</v>
      </c>
      <c r="K121" s="192">
        <f t="shared" si="5"/>
        <v>26</v>
      </c>
      <c r="L121" s="194">
        <v>45955</v>
      </c>
      <c r="M121" s="189">
        <f t="shared" si="6"/>
        <v>26</v>
      </c>
      <c r="N121" s="176">
        <v>0.65</v>
      </c>
      <c r="O121" s="112" t="s">
        <v>539</v>
      </c>
      <c r="P121" s="249" t="str">
        <f>+UPPER(TEXT(Tabla4[[#This Row],[transferencia]],"mmmm"))</f>
        <v>NOVIEMBRE</v>
      </c>
      <c r="Q121" t="s">
        <v>186</v>
      </c>
      <c r="R121"/>
      <c r="S121" s="249"/>
      <c r="T121" s="249"/>
      <c r="U121" s="249"/>
      <c r="V121" s="249"/>
      <c r="W121" s="249"/>
      <c r="X121" s="249"/>
      <c r="Y121" s="249"/>
      <c r="Z121" s="249"/>
    </row>
    <row r="122" spans="1:26" s="152" customFormat="1" hidden="1" x14ac:dyDescent="0.25">
      <c r="A122" s="112" t="str">
        <f>+Tabla4[[#This Row],[PISCINA]]&amp;Tabla4[[#This Row],[AGUAJE]]</f>
        <v>BA 01AGUAJE 4</v>
      </c>
      <c r="B122" s="112" t="s">
        <v>226</v>
      </c>
      <c r="C122" s="249" t="str">
        <f t="shared" si="7"/>
        <v>BA</v>
      </c>
      <c r="D122" s="194">
        <v>45982</v>
      </c>
      <c r="E122" s="172">
        <v>795935</v>
      </c>
      <c r="F122" s="249" t="s">
        <v>417</v>
      </c>
      <c r="G122" s="190" t="s">
        <v>418</v>
      </c>
      <c r="H122" s="190" t="s">
        <v>418</v>
      </c>
      <c r="I122" s="166" t="str">
        <f>IFERROR(VLOOKUP(H122,DATOS!$E$117:$F$168,2,0),"")</f>
        <v>H10234</v>
      </c>
      <c r="J122" s="191">
        <v>0.67030000000000001</v>
      </c>
      <c r="K122" s="192">
        <f t="shared" si="5"/>
        <v>27</v>
      </c>
      <c r="L122" s="194">
        <v>45955</v>
      </c>
      <c r="M122" s="189">
        <f t="shared" si="6"/>
        <v>27</v>
      </c>
      <c r="N122" s="176">
        <v>1.2</v>
      </c>
      <c r="O122" s="112" t="s">
        <v>540</v>
      </c>
      <c r="P122" s="249" t="str">
        <f>+UPPER(TEXT(Tabla4[[#This Row],[transferencia]],"mmmm"))</f>
        <v>NOVIEMBRE</v>
      </c>
      <c r="Q122" t="s">
        <v>225</v>
      </c>
      <c r="R122"/>
      <c r="S122" s="249"/>
      <c r="T122" s="249"/>
      <c r="U122" s="249"/>
      <c r="V122" s="249"/>
      <c r="W122" s="249"/>
      <c r="X122" s="249"/>
      <c r="Y122" s="249"/>
      <c r="Z122" s="249"/>
    </row>
    <row r="123" spans="1:26" s="152" customFormat="1" hidden="1" x14ac:dyDescent="0.25">
      <c r="A123" s="112" t="str">
        <f>+Tabla4[[#This Row],[PISCINA]]&amp;Tabla4[[#This Row],[AGUAJE]]</f>
        <v>DE 06AGUAJE 4</v>
      </c>
      <c r="B123" s="112" t="s">
        <v>242</v>
      </c>
      <c r="C123" s="249" t="str">
        <f t="shared" si="7"/>
        <v>DE</v>
      </c>
      <c r="D123" s="194">
        <v>45983</v>
      </c>
      <c r="E123" s="172">
        <v>1470772</v>
      </c>
      <c r="F123" s="249" t="s">
        <v>417</v>
      </c>
      <c r="G123" s="190" t="s">
        <v>493</v>
      </c>
      <c r="H123" s="189" t="s">
        <v>419</v>
      </c>
      <c r="I123" s="166" t="str">
        <f>IFERROR(VLOOKUP(H123,DATOS!$E$117:$F$168,2,0),"")</f>
        <v>H10603</v>
      </c>
      <c r="J123" s="191">
        <v>0.73540000000000005</v>
      </c>
      <c r="K123" s="192">
        <f t="shared" si="5"/>
        <v>20</v>
      </c>
      <c r="L123" s="194">
        <v>45963</v>
      </c>
      <c r="M123" s="189">
        <f t="shared" si="6"/>
        <v>20</v>
      </c>
      <c r="N123" s="176">
        <v>0.5</v>
      </c>
      <c r="O123" s="112" t="s">
        <v>471</v>
      </c>
      <c r="P123" s="249" t="str">
        <f>+UPPER(TEXT(Tabla4[[#This Row],[transferencia]],"mmmm"))</f>
        <v>NOVIEMBRE</v>
      </c>
      <c r="Q123" t="s">
        <v>225</v>
      </c>
      <c r="R123"/>
      <c r="S123" s="249"/>
      <c r="T123" s="249"/>
      <c r="U123" s="249"/>
      <c r="V123" s="249"/>
      <c r="W123" s="249"/>
      <c r="X123" s="249"/>
      <c r="Y123" s="249"/>
      <c r="Z123" s="249"/>
    </row>
    <row r="124" spans="1:26" s="152" customFormat="1" hidden="1" x14ac:dyDescent="0.25">
      <c r="A124" s="112" t="str">
        <f>+Tabla4[[#This Row],[PISCINA]]&amp;Tabla4[[#This Row],[AGUAJE]]</f>
        <v>DO 14AGUAJE 4</v>
      </c>
      <c r="B124" s="112" t="s">
        <v>249</v>
      </c>
      <c r="C124" s="249" t="str">
        <f t="shared" si="7"/>
        <v>DO</v>
      </c>
      <c r="D124" s="194">
        <v>45983</v>
      </c>
      <c r="E124" s="172">
        <v>1489530</v>
      </c>
      <c r="F124" s="249" t="s">
        <v>417</v>
      </c>
      <c r="G124" s="190" t="s">
        <v>422</v>
      </c>
      <c r="H124" s="189" t="s">
        <v>454</v>
      </c>
      <c r="I124" s="166">
        <f>IFERROR(VLOOKUP(H124,DATOS!$E$117:$F$168,2,0),"")</f>
        <v>0</v>
      </c>
      <c r="J124" s="191">
        <v>0.5151</v>
      </c>
      <c r="K124" s="192">
        <f t="shared" si="5"/>
        <v>25</v>
      </c>
      <c r="L124" s="194">
        <v>45958</v>
      </c>
      <c r="M124" s="189">
        <f t="shared" si="6"/>
        <v>25</v>
      </c>
      <c r="N124" s="176">
        <v>0.9</v>
      </c>
      <c r="O124" s="112" t="s">
        <v>449</v>
      </c>
      <c r="P124" s="249" t="str">
        <f>+UPPER(TEXT(Tabla4[[#This Row],[transferencia]],"mmmm"))</f>
        <v>NOVIEMBRE</v>
      </c>
      <c r="Q124" t="s">
        <v>225</v>
      </c>
      <c r="R124"/>
      <c r="S124" s="249"/>
      <c r="T124" s="249"/>
      <c r="U124" s="249"/>
      <c r="V124" s="249"/>
      <c r="W124" s="249"/>
      <c r="X124" s="249"/>
      <c r="Y124" s="249"/>
      <c r="Z124" s="249"/>
    </row>
    <row r="125" spans="1:26" s="152" customFormat="1" hidden="1" x14ac:dyDescent="0.25">
      <c r="A125" s="112" t="str">
        <f>+Tabla4[[#This Row],[PISCINA]]&amp;Tabla4[[#This Row],[AGUAJE]]</f>
        <v>TI 02AGUAJE 3</v>
      </c>
      <c r="B125" s="112" t="s">
        <v>224</v>
      </c>
      <c r="C125" s="249" t="str">
        <f t="shared" si="7"/>
        <v>TI</v>
      </c>
      <c r="D125" s="194">
        <v>45983</v>
      </c>
      <c r="E125" s="172">
        <v>1421200</v>
      </c>
      <c r="F125" s="249" t="s">
        <v>417</v>
      </c>
      <c r="G125" s="190" t="s">
        <v>418</v>
      </c>
      <c r="H125" s="190" t="s">
        <v>418</v>
      </c>
      <c r="I125" s="166" t="str">
        <f>IFERROR(VLOOKUP(H125,DATOS!$E$117:$F$168,2,0),"")</f>
        <v>H10234</v>
      </c>
      <c r="J125" s="191">
        <v>0.88839999999999997</v>
      </c>
      <c r="K125" s="192">
        <f t="shared" si="5"/>
        <v>16</v>
      </c>
      <c r="L125" s="194">
        <v>45967</v>
      </c>
      <c r="M125" s="189">
        <f t="shared" si="6"/>
        <v>16</v>
      </c>
      <c r="N125" s="176">
        <v>0.28000000000000003</v>
      </c>
      <c r="O125" s="112" t="s">
        <v>426</v>
      </c>
      <c r="P125" s="249" t="str">
        <f>+UPPER(TEXT(Tabla4[[#This Row],[transferencia]],"mmmm"))</f>
        <v>NOVIEMBRE</v>
      </c>
      <c r="Q125" t="s">
        <v>186</v>
      </c>
      <c r="R125"/>
      <c r="S125" s="249"/>
      <c r="T125" s="249"/>
      <c r="U125" s="249"/>
      <c r="V125" s="249"/>
      <c r="W125" s="249"/>
      <c r="X125" s="249"/>
      <c r="Y125" s="249"/>
      <c r="Z125" s="249"/>
    </row>
    <row r="126" spans="1:26" s="152" customFormat="1" hidden="1" x14ac:dyDescent="0.25">
      <c r="A126" s="112" t="str">
        <f>+Tabla4[[#This Row],[PISCINA]]&amp;Tabla4[[#This Row],[AGUAJE]]</f>
        <v>CA 07AGUAJE 3</v>
      </c>
      <c r="B126" s="112" t="s">
        <v>213</v>
      </c>
      <c r="C126" s="249" t="str">
        <f t="shared" si="7"/>
        <v>CA</v>
      </c>
      <c r="D126" s="194">
        <v>45984</v>
      </c>
      <c r="E126" s="172">
        <v>1403500</v>
      </c>
      <c r="F126" s="249" t="s">
        <v>417</v>
      </c>
      <c r="G126" s="190" t="s">
        <v>422</v>
      </c>
      <c r="H126" s="189" t="s">
        <v>423</v>
      </c>
      <c r="I126" s="166" t="str">
        <f>IFERROR(VLOOKUP(H126,DATOS!$E$117:$F$168,2,0),"")</f>
        <v>H10611</v>
      </c>
      <c r="J126" s="191">
        <v>0.68500000000000005</v>
      </c>
      <c r="K126" s="192">
        <f t="shared" si="5"/>
        <v>22</v>
      </c>
      <c r="L126" s="194">
        <v>45962</v>
      </c>
      <c r="M126" s="189">
        <f t="shared" si="6"/>
        <v>22</v>
      </c>
      <c r="N126" s="176">
        <v>0.5</v>
      </c>
      <c r="O126" s="112" t="s">
        <v>541</v>
      </c>
      <c r="P126" s="249" t="str">
        <f>+UPPER(TEXT(Tabla4[[#This Row],[transferencia]],"mmmm"))</f>
        <v>NOVIEMBRE</v>
      </c>
      <c r="Q126" t="s">
        <v>186</v>
      </c>
      <c r="R126"/>
      <c r="S126" s="249"/>
      <c r="T126" s="249"/>
      <c r="U126" s="249"/>
      <c r="V126" s="249"/>
      <c r="W126" s="249"/>
      <c r="X126" s="249"/>
      <c r="Y126" s="249"/>
      <c r="Z126" s="249"/>
    </row>
    <row r="127" spans="1:26" s="152" customFormat="1" hidden="1" x14ac:dyDescent="0.25">
      <c r="A127" s="112" t="str">
        <f>+Tabla4[[#This Row],[PISCINA]]&amp;Tabla4[[#This Row],[AGUAJE]]</f>
        <v>MA 09AGUAJE 4</v>
      </c>
      <c r="B127" s="112" t="s">
        <v>246</v>
      </c>
      <c r="C127" t="str">
        <f t="shared" si="7"/>
        <v>MA</v>
      </c>
      <c r="D127" s="194">
        <v>45985</v>
      </c>
      <c r="E127" s="172">
        <v>641379</v>
      </c>
      <c r="F127" s="249" t="s">
        <v>417</v>
      </c>
      <c r="G127" s="190" t="s">
        <v>422</v>
      </c>
      <c r="H127" s="189" t="s">
        <v>542</v>
      </c>
      <c r="I127" s="166" t="str">
        <f>IFERROR(VLOOKUP(H127,DATOS!$E$117:$F$168,2,0),"")</f>
        <v>H10603/H10611</v>
      </c>
      <c r="J127" s="191">
        <v>0.64290000000000003</v>
      </c>
      <c r="K127" s="192">
        <f t="shared" si="5"/>
        <v>29</v>
      </c>
      <c r="L127" s="194">
        <v>45956</v>
      </c>
      <c r="M127" s="189">
        <f t="shared" si="6"/>
        <v>29</v>
      </c>
      <c r="N127" s="176">
        <v>0.73</v>
      </c>
      <c r="O127" s="112" t="s">
        <v>543</v>
      </c>
      <c r="P127" t="str">
        <f>+UPPER(TEXT(Tabla4[[#This Row],[transferencia]],"mmmm"))</f>
        <v>NOVIEMBRE</v>
      </c>
      <c r="Q127" t="s">
        <v>225</v>
      </c>
      <c r="R127"/>
      <c r="S127" s="249"/>
      <c r="T127" s="249"/>
      <c r="U127" s="249"/>
      <c r="V127" s="249"/>
      <c r="W127" s="249"/>
      <c r="X127" s="249"/>
      <c r="Y127" s="249"/>
      <c r="Z127" s="249"/>
    </row>
    <row r="128" spans="1:26" s="152" customFormat="1" hidden="1" x14ac:dyDescent="0.25">
      <c r="A128" s="112" t="str">
        <f>+Tabla4[[#This Row],[PISCINA]]&amp;Tabla4[[#This Row],[AGUAJE]]</f>
        <v>PA 03AGUAJE 4</v>
      </c>
      <c r="B128" s="112" t="s">
        <v>244</v>
      </c>
      <c r="C128" s="249" t="str">
        <f t="shared" ref="C128:C159" si="8">+MID(A128,1,2)</f>
        <v>PA</v>
      </c>
      <c r="D128" s="194">
        <v>45985</v>
      </c>
      <c r="E128" s="172">
        <v>1159224</v>
      </c>
      <c r="F128" s="249" t="s">
        <v>417</v>
      </c>
      <c r="G128" s="190" t="s">
        <v>422</v>
      </c>
      <c r="H128" s="189" t="s">
        <v>423</v>
      </c>
      <c r="I128" s="166" t="str">
        <f>IFERROR(VLOOKUP(H128,DATOS!$E$117:$F$168,2,0),"")</f>
        <v>H10611</v>
      </c>
      <c r="J128" s="191">
        <v>0.52959999999999996</v>
      </c>
      <c r="K128" s="192">
        <f t="shared" ref="K128:K189" si="9">+D128-L128</f>
        <v>23</v>
      </c>
      <c r="L128" s="194">
        <v>45962</v>
      </c>
      <c r="M128" s="189">
        <f t="shared" ref="M128:M189" si="10">+D128-L128</f>
        <v>23</v>
      </c>
      <c r="N128" s="176">
        <v>0.57999999999999996</v>
      </c>
      <c r="O128" s="112" t="s">
        <v>544</v>
      </c>
      <c r="P128" s="249" t="str">
        <f>+UPPER(TEXT(Tabla4[[#This Row],[transferencia]],"mmmm"))</f>
        <v>NOVIEMBRE</v>
      </c>
      <c r="Q128" t="s">
        <v>225</v>
      </c>
      <c r="R128"/>
      <c r="S128" s="249"/>
      <c r="T128" s="249"/>
      <c r="U128" s="249"/>
      <c r="V128" s="249"/>
      <c r="W128" s="249"/>
      <c r="X128" s="249"/>
      <c r="Y128" s="249"/>
      <c r="Z128" s="249"/>
    </row>
    <row r="129" spans="1:26" s="152" customFormat="1" hidden="1" x14ac:dyDescent="0.25">
      <c r="A129" s="112" t="str">
        <f>+Tabla4[[#This Row],[PISCINA]]&amp;Tabla4[[#This Row],[AGUAJE]]</f>
        <v>DO 13AGUAJE 3</v>
      </c>
      <c r="B129" s="112" t="s">
        <v>220</v>
      </c>
      <c r="C129" t="str">
        <f t="shared" si="8"/>
        <v>DO</v>
      </c>
      <c r="D129" s="194">
        <v>45986</v>
      </c>
      <c r="E129" s="172">
        <v>1083000</v>
      </c>
      <c r="F129" s="249" t="s">
        <v>417</v>
      </c>
      <c r="G129" s="190" t="s">
        <v>422</v>
      </c>
      <c r="H129" s="189" t="s">
        <v>454</v>
      </c>
      <c r="I129" s="166">
        <f>IFERROR(VLOOKUP(H129,DATOS!$E$117:$F$168,2,0),"")</f>
        <v>0</v>
      </c>
      <c r="J129" s="191">
        <v>0.5151</v>
      </c>
      <c r="K129" s="192">
        <f t="shared" si="9"/>
        <v>28</v>
      </c>
      <c r="L129" s="194">
        <v>45958</v>
      </c>
      <c r="M129" s="189">
        <f t="shared" si="10"/>
        <v>28</v>
      </c>
      <c r="N129" s="176">
        <v>0.8</v>
      </c>
      <c r="O129" s="112" t="s">
        <v>449</v>
      </c>
      <c r="P129" t="str">
        <f>+UPPER(TEXT(Tabla4[[#This Row],[transferencia]],"mmmm"))</f>
        <v>NOVIEMBRE</v>
      </c>
      <c r="Q129" t="s">
        <v>186</v>
      </c>
      <c r="R129"/>
      <c r="S129" s="249"/>
      <c r="T129" s="249"/>
      <c r="U129" s="249"/>
      <c r="V129" s="249"/>
      <c r="W129" s="249"/>
      <c r="X129" s="249"/>
      <c r="Y129" s="249"/>
      <c r="Z129" s="249"/>
    </row>
    <row r="130" spans="1:26" s="152" customFormat="1" hidden="1" x14ac:dyDescent="0.25">
      <c r="A130" s="112" t="str">
        <f>+Tabla4[[#This Row],[PISCINA]]&amp;Tabla4[[#This Row],[AGUAJE]]</f>
        <v>DO 16AGUAJE 4</v>
      </c>
      <c r="B130" s="112" t="s">
        <v>253</v>
      </c>
      <c r="C130" s="249" t="str">
        <f t="shared" si="8"/>
        <v>DO</v>
      </c>
      <c r="D130" s="194">
        <v>45986</v>
      </c>
      <c r="E130" s="172">
        <v>938453</v>
      </c>
      <c r="F130" s="249" t="s">
        <v>417</v>
      </c>
      <c r="G130" s="190" t="s">
        <v>422</v>
      </c>
      <c r="H130" s="189" t="s">
        <v>545</v>
      </c>
      <c r="I130" s="166" t="str">
        <f>IFERROR(VLOOKUP(H130,DATOS!$E$117:$F$168,2,0),"")</f>
        <v/>
      </c>
      <c r="J130" s="191">
        <v>0.56879999999999997</v>
      </c>
      <c r="K130" s="192">
        <f t="shared" si="9"/>
        <v>28</v>
      </c>
      <c r="L130" s="194">
        <v>45958</v>
      </c>
      <c r="M130" s="189">
        <f t="shared" si="10"/>
        <v>28</v>
      </c>
      <c r="N130" s="176">
        <v>0.92</v>
      </c>
      <c r="O130" s="112" t="s">
        <v>546</v>
      </c>
      <c r="P130" s="249" t="str">
        <f>+UPPER(TEXT(Tabla4[[#This Row],[transferencia]],"mmmm"))</f>
        <v>NOVIEMBRE</v>
      </c>
      <c r="Q130" t="s">
        <v>225</v>
      </c>
      <c r="R130"/>
      <c r="S130" s="249"/>
      <c r="T130" s="249"/>
      <c r="U130" s="249"/>
      <c r="V130" s="249"/>
      <c r="W130" s="249"/>
      <c r="X130" s="249"/>
      <c r="Y130" s="249"/>
      <c r="Z130" s="249"/>
    </row>
    <row r="131" spans="1:26" s="152" customFormat="1" hidden="1" x14ac:dyDescent="0.25">
      <c r="A131" s="112" t="str">
        <f>+Tabla4[[#This Row],[PISCINA]]&amp;Tabla4[[#This Row],[AGUAJE]]</f>
        <v>DO 10AGUAJE 4</v>
      </c>
      <c r="B131" s="112" t="s">
        <v>250</v>
      </c>
      <c r="C131" t="str">
        <f t="shared" si="8"/>
        <v>DO</v>
      </c>
      <c r="D131" s="194">
        <v>45987</v>
      </c>
      <c r="E131" s="172">
        <v>793154</v>
      </c>
      <c r="F131" s="249" t="s">
        <v>417</v>
      </c>
      <c r="G131" s="190" t="s">
        <v>547</v>
      </c>
      <c r="H131" s="189" t="s">
        <v>548</v>
      </c>
      <c r="I131" s="166" t="str">
        <f>IFERROR(VLOOKUP(H131,DATOS!$E$117:$F$168,2,0),"")</f>
        <v/>
      </c>
      <c r="J131" s="191">
        <v>0.68669999999999998</v>
      </c>
      <c r="K131" s="192">
        <f t="shared" si="9"/>
        <v>24</v>
      </c>
      <c r="L131" s="194">
        <v>45963</v>
      </c>
      <c r="M131" s="189">
        <f t="shared" si="10"/>
        <v>24</v>
      </c>
      <c r="N131" s="176">
        <v>0.99</v>
      </c>
      <c r="O131" s="112" t="s">
        <v>549</v>
      </c>
      <c r="P131" t="str">
        <f>+UPPER(TEXT(Tabla4[[#This Row],[transferencia]],"mmmm"))</f>
        <v>NOVIEMBRE</v>
      </c>
      <c r="Q131" t="s">
        <v>225</v>
      </c>
      <c r="R131"/>
      <c r="S131" s="249"/>
      <c r="T131" s="249"/>
      <c r="U131" s="249"/>
      <c r="V131" s="249"/>
      <c r="W131" s="249"/>
      <c r="X131" s="249"/>
      <c r="Y131" s="249"/>
      <c r="Z131" s="249"/>
    </row>
    <row r="132" spans="1:26" s="152" customFormat="1" hidden="1" x14ac:dyDescent="0.25">
      <c r="A132" s="112" t="str">
        <f>+Tabla4[[#This Row],[PISCINA]]&amp;Tabla4[[#This Row],[AGUAJE]]</f>
        <v>GT 14AGUAJE 4</v>
      </c>
      <c r="B132" s="112" t="s">
        <v>233</v>
      </c>
      <c r="C132" t="str">
        <f t="shared" si="8"/>
        <v>GT</v>
      </c>
      <c r="D132" s="194">
        <v>45987</v>
      </c>
      <c r="E132" s="172">
        <v>736400</v>
      </c>
      <c r="F132" t="s">
        <v>417</v>
      </c>
      <c r="G132" s="190" t="s">
        <v>550</v>
      </c>
      <c r="H132" s="189" t="s">
        <v>419</v>
      </c>
      <c r="I132" s="166" t="str">
        <f>IFERROR(VLOOKUP(H132,DATOS!$E$117:$F$168,2,0),"")</f>
        <v>H10603</v>
      </c>
      <c r="J132" s="191">
        <v>0.70130000000000003</v>
      </c>
      <c r="K132" s="192">
        <f t="shared" si="9"/>
        <v>24</v>
      </c>
      <c r="L132" s="194">
        <v>45963</v>
      </c>
      <c r="M132" s="189">
        <f t="shared" si="10"/>
        <v>24</v>
      </c>
      <c r="N132" s="176">
        <v>0.8</v>
      </c>
      <c r="O132" s="112" t="s">
        <v>551</v>
      </c>
      <c r="P132" t="str">
        <f>+UPPER(TEXT(Tabla4[[#This Row],[transferencia]],"mmmm"))</f>
        <v>NOVIEMBRE</v>
      </c>
      <c r="Q132" t="s">
        <v>225</v>
      </c>
      <c r="R132"/>
      <c r="S132" s="249"/>
      <c r="T132" s="249"/>
      <c r="U132" s="249"/>
      <c r="V132" s="249"/>
      <c r="W132" s="249"/>
      <c r="X132" s="249"/>
      <c r="Y132" s="249"/>
      <c r="Z132" s="249"/>
    </row>
    <row r="133" spans="1:26" s="152" customFormat="1" hidden="1" x14ac:dyDescent="0.25">
      <c r="A133" s="112" t="str">
        <f>+Tabla4[[#This Row],[PISCINA]]&amp;Tabla4[[#This Row],[AGUAJE]]</f>
        <v>GT 16AGUAJE 4</v>
      </c>
      <c r="B133" s="112" t="s">
        <v>231</v>
      </c>
      <c r="C133" t="str">
        <f t="shared" si="8"/>
        <v>GT</v>
      </c>
      <c r="D133" s="194">
        <v>45987</v>
      </c>
      <c r="E133" s="172">
        <v>384000</v>
      </c>
      <c r="F133" t="s">
        <v>417</v>
      </c>
      <c r="G133" s="190" t="s">
        <v>422</v>
      </c>
      <c r="H133" s="189" t="s">
        <v>423</v>
      </c>
      <c r="I133" s="166" t="str">
        <f>IFERROR(VLOOKUP(H133,DATOS!$E$117:$F$168,2,0),"")</f>
        <v>H10611</v>
      </c>
      <c r="J133" s="191">
        <v>0.80479999999999996</v>
      </c>
      <c r="K133" s="192">
        <f t="shared" si="9"/>
        <v>25</v>
      </c>
      <c r="L133" s="194">
        <v>45962</v>
      </c>
      <c r="M133" s="189">
        <f t="shared" si="10"/>
        <v>25</v>
      </c>
      <c r="N133" s="176">
        <v>0.68</v>
      </c>
      <c r="O133" s="112" t="s">
        <v>552</v>
      </c>
      <c r="P133" t="str">
        <f>+UPPER(TEXT(Tabla4[[#This Row],[transferencia]],"mmmm"))</f>
        <v>NOVIEMBRE</v>
      </c>
      <c r="Q133" t="s">
        <v>225</v>
      </c>
      <c r="R133"/>
      <c r="S133" s="249"/>
      <c r="T133" s="249"/>
      <c r="U133" s="249"/>
      <c r="V133" s="249"/>
      <c r="W133" s="249"/>
      <c r="X133" s="249"/>
      <c r="Y133" s="249"/>
      <c r="Z133" s="249"/>
    </row>
    <row r="134" spans="1:26" s="152" customFormat="1" hidden="1" x14ac:dyDescent="0.25">
      <c r="A134" s="112" t="str">
        <f>+Tabla4[[#This Row],[PISCINA]]&amp;Tabla4[[#This Row],[AGUAJE]]</f>
        <v>GT 17AGUAJE 3</v>
      </c>
      <c r="B134" s="112" t="s">
        <v>222</v>
      </c>
      <c r="C134" t="str">
        <f t="shared" si="8"/>
        <v>GT</v>
      </c>
      <c r="D134" s="194">
        <v>45987</v>
      </c>
      <c r="E134" s="172">
        <v>944000</v>
      </c>
      <c r="F134" t="s">
        <v>417</v>
      </c>
      <c r="G134" s="190" t="s">
        <v>422</v>
      </c>
      <c r="H134" s="189" t="s">
        <v>423</v>
      </c>
      <c r="I134" s="166" t="str">
        <f>IFERROR(VLOOKUP(H134,DATOS!$E$117:$F$168,2,0),"")</f>
        <v>H10611</v>
      </c>
      <c r="J134" s="191">
        <v>0.80479999999999996</v>
      </c>
      <c r="K134" s="192">
        <f t="shared" si="9"/>
        <v>25</v>
      </c>
      <c r="L134" s="194">
        <v>45962</v>
      </c>
      <c r="M134" s="189">
        <f t="shared" si="10"/>
        <v>25</v>
      </c>
      <c r="N134" s="176">
        <v>0.68</v>
      </c>
      <c r="O134" s="112" t="s">
        <v>552</v>
      </c>
      <c r="P134" t="str">
        <f>+UPPER(TEXT(Tabla4[[#This Row],[transferencia]],"mmmm"))</f>
        <v>NOVIEMBRE</v>
      </c>
      <c r="Q134" t="s">
        <v>186</v>
      </c>
      <c r="R134"/>
      <c r="S134" s="249"/>
      <c r="T134" s="249"/>
      <c r="U134" s="249"/>
      <c r="V134" s="249"/>
      <c r="W134" s="249"/>
      <c r="X134" s="249"/>
      <c r="Y134" s="249"/>
      <c r="Z134" s="249"/>
    </row>
    <row r="135" spans="1:26" s="152" customFormat="1" hidden="1" x14ac:dyDescent="0.25">
      <c r="A135" s="112" t="str">
        <f>+Tabla4[[#This Row],[PISCINA]]&amp;Tabla4[[#This Row],[AGUAJE]]</f>
        <v>PR 06AGUAJE 3</v>
      </c>
      <c r="B135" s="112" t="s">
        <v>217</v>
      </c>
      <c r="C135" s="249" t="str">
        <f t="shared" si="8"/>
        <v>PR</v>
      </c>
      <c r="D135" s="194">
        <v>45987</v>
      </c>
      <c r="E135" s="172">
        <v>1500000</v>
      </c>
      <c r="F135" t="s">
        <v>417</v>
      </c>
      <c r="G135" s="190" t="s">
        <v>550</v>
      </c>
      <c r="H135" s="189" t="s">
        <v>419</v>
      </c>
      <c r="I135" s="166" t="str">
        <f>IFERROR(VLOOKUP(H135,DATOS!$E$117:$F$168,2,0),"")</f>
        <v>H10603</v>
      </c>
      <c r="J135" s="191">
        <v>0.51429999999999998</v>
      </c>
      <c r="K135" s="192">
        <f t="shared" si="9"/>
        <v>24</v>
      </c>
      <c r="L135" s="194">
        <v>45963</v>
      </c>
      <c r="M135" s="189">
        <f t="shared" si="10"/>
        <v>24</v>
      </c>
      <c r="N135" s="176">
        <v>0.6</v>
      </c>
      <c r="O135" s="112" t="s">
        <v>553</v>
      </c>
      <c r="P135" s="249" t="str">
        <f>+UPPER(TEXT(Tabla4[[#This Row],[transferencia]],"mmmm"))</f>
        <v>NOVIEMBRE</v>
      </c>
      <c r="Q135" t="s">
        <v>186</v>
      </c>
      <c r="R135"/>
      <c r="S135" s="249"/>
      <c r="T135" s="249"/>
      <c r="U135" s="249"/>
      <c r="V135" s="249"/>
      <c r="W135" s="249"/>
      <c r="X135" s="249"/>
      <c r="Y135" s="249"/>
      <c r="Z135" s="249"/>
    </row>
    <row r="136" spans="1:26" s="152" customFormat="1" hidden="1" x14ac:dyDescent="0.25">
      <c r="A136" s="112" t="str">
        <f>+Tabla4[[#This Row],[PISCINA]]&amp;Tabla4[[#This Row],[AGUAJE]]</f>
        <v>PR 09AGUAJE 2</v>
      </c>
      <c r="B136" s="112" t="s">
        <v>178</v>
      </c>
      <c r="C136" s="249" t="str">
        <f t="shared" si="8"/>
        <v>PR</v>
      </c>
      <c r="D136" s="194">
        <v>45987</v>
      </c>
      <c r="E136" s="172">
        <v>1800000</v>
      </c>
      <c r="F136" s="249" t="s">
        <v>417</v>
      </c>
      <c r="G136" s="190" t="s">
        <v>493</v>
      </c>
      <c r="H136" s="189" t="s">
        <v>419</v>
      </c>
      <c r="I136" s="166" t="str">
        <f>IFERROR(VLOOKUP(H136,DATOS!$E$117:$F$168,2,0),"")</f>
        <v>H10603</v>
      </c>
      <c r="J136" s="191">
        <v>0.47899999999999998</v>
      </c>
      <c r="K136" s="192">
        <f t="shared" si="9"/>
        <v>24</v>
      </c>
      <c r="L136" s="194">
        <v>45963</v>
      </c>
      <c r="M136" s="189">
        <f t="shared" si="10"/>
        <v>24</v>
      </c>
      <c r="N136" s="176">
        <v>0.6</v>
      </c>
      <c r="O136" s="112" t="s">
        <v>554</v>
      </c>
      <c r="P136" s="249" t="str">
        <f>+UPPER(TEXT(Tabla4[[#This Row],[transferencia]],"mmmm"))</f>
        <v>NOVIEMBRE</v>
      </c>
      <c r="Q136" t="s">
        <v>151</v>
      </c>
      <c r="R136"/>
      <c r="S136" s="249"/>
      <c r="T136" s="249"/>
      <c r="U136" s="249"/>
      <c r="V136" s="249"/>
      <c r="W136" s="249"/>
      <c r="X136" s="249"/>
      <c r="Y136" s="249"/>
      <c r="Z136" s="249"/>
    </row>
    <row r="137" spans="1:26" s="152" customFormat="1" hidden="1" x14ac:dyDescent="0.25">
      <c r="A137" s="112" t="str">
        <f>+Tabla4[[#This Row],[PISCINA]]&amp;Tabla4[[#This Row],[AGUAJE]]</f>
        <v>ME 14AGUAJE 4</v>
      </c>
      <c r="B137" s="112" t="s">
        <v>228</v>
      </c>
      <c r="C137" s="249" t="str">
        <f t="shared" si="8"/>
        <v>ME</v>
      </c>
      <c r="D137" s="194">
        <v>45988</v>
      </c>
      <c r="E137" s="172">
        <v>224000</v>
      </c>
      <c r="F137" s="249" t="s">
        <v>417</v>
      </c>
      <c r="G137" s="190" t="s">
        <v>422</v>
      </c>
      <c r="H137" s="189" t="s">
        <v>454</v>
      </c>
      <c r="I137" s="166">
        <f>IFERROR(VLOOKUP(H137,DATOS!$E$117:$F$168,2,0),"")</f>
        <v>0</v>
      </c>
      <c r="J137" s="191">
        <v>0.32900000000000001</v>
      </c>
      <c r="K137" s="192">
        <f t="shared" si="9"/>
        <v>23</v>
      </c>
      <c r="L137" s="194">
        <v>45965</v>
      </c>
      <c r="M137" s="189">
        <f t="shared" si="10"/>
        <v>23</v>
      </c>
      <c r="N137" s="176">
        <v>0.5</v>
      </c>
      <c r="O137" s="112" t="s">
        <v>429</v>
      </c>
      <c r="P137" s="249" t="str">
        <f>+UPPER(TEXT(Tabla4[[#This Row],[transferencia]],"mmmm"))</f>
        <v>NOVIEMBRE</v>
      </c>
      <c r="Q137" t="s">
        <v>225</v>
      </c>
      <c r="R137"/>
      <c r="S137" s="249"/>
      <c r="T137" s="249"/>
      <c r="U137" s="249"/>
      <c r="V137" s="249"/>
      <c r="W137" s="249"/>
      <c r="X137" s="249"/>
      <c r="Y137" s="249"/>
      <c r="Z137" s="249"/>
    </row>
    <row r="138" spans="1:26" s="152" customFormat="1" hidden="1" x14ac:dyDescent="0.25">
      <c r="A138" s="112" t="str">
        <f>+Tabla4[[#This Row],[PISCINA]]&amp;Tabla4[[#This Row],[AGUAJE]]</f>
        <v>ME 15AGUAJE 4</v>
      </c>
      <c r="B138" s="112" t="s">
        <v>234</v>
      </c>
      <c r="C138" s="249" t="str">
        <f t="shared" si="8"/>
        <v>ME</v>
      </c>
      <c r="D138" s="194">
        <v>45988</v>
      </c>
      <c r="E138" s="172">
        <v>416000</v>
      </c>
      <c r="F138" s="249" t="s">
        <v>417</v>
      </c>
      <c r="G138" s="190" t="s">
        <v>422</v>
      </c>
      <c r="H138" s="189" t="s">
        <v>454</v>
      </c>
      <c r="I138" s="166">
        <f>IFERROR(VLOOKUP(H138,DATOS!$E$117:$F$168,2,0),"")</f>
        <v>0</v>
      </c>
      <c r="J138" s="191">
        <v>0.32900000000000001</v>
      </c>
      <c r="K138" s="192">
        <f t="shared" si="9"/>
        <v>23</v>
      </c>
      <c r="L138" s="194">
        <v>45965</v>
      </c>
      <c r="M138" s="189">
        <f t="shared" si="10"/>
        <v>23</v>
      </c>
      <c r="N138" s="176">
        <v>0.5</v>
      </c>
      <c r="O138" s="112" t="s">
        <v>429</v>
      </c>
      <c r="P138" s="249" t="str">
        <f>+UPPER(TEXT(Tabla4[[#This Row],[transferencia]],"mmmm"))</f>
        <v>NOVIEMBRE</v>
      </c>
      <c r="Q138" t="s">
        <v>225</v>
      </c>
      <c r="R138"/>
      <c r="S138" s="249"/>
      <c r="T138" s="249"/>
      <c r="U138" s="249"/>
      <c r="V138" s="249"/>
      <c r="W138" s="249"/>
      <c r="X138" s="249"/>
      <c r="Y138" s="249"/>
      <c r="Z138" s="249"/>
    </row>
    <row r="139" spans="1:26" s="152" customFormat="1" hidden="1" x14ac:dyDescent="0.25">
      <c r="A139" s="112" t="str">
        <f>+Tabla4[[#This Row],[PISCINA]]&amp;Tabla4[[#This Row],[AGUAJE]]</f>
        <v>ME 16AGUAJE 5</v>
      </c>
      <c r="B139" s="112" t="s">
        <v>262</v>
      </c>
      <c r="C139" s="249" t="str">
        <f t="shared" si="8"/>
        <v>ME</v>
      </c>
      <c r="D139" s="194">
        <v>45988</v>
      </c>
      <c r="E139" s="172">
        <v>658000</v>
      </c>
      <c r="F139" t="s">
        <v>417</v>
      </c>
      <c r="G139" s="190" t="s">
        <v>422</v>
      </c>
      <c r="H139" s="189" t="s">
        <v>454</v>
      </c>
      <c r="I139" s="166">
        <f>IFERROR(VLOOKUP(H139,DATOS!$E$117:$F$168,2,0),"")</f>
        <v>0</v>
      </c>
      <c r="J139" s="191">
        <v>0.52159999999999995</v>
      </c>
      <c r="K139" s="192">
        <f t="shared" si="9"/>
        <v>23</v>
      </c>
      <c r="L139" s="194">
        <v>45965</v>
      </c>
      <c r="M139" s="189">
        <f t="shared" si="10"/>
        <v>23</v>
      </c>
      <c r="N139" s="176">
        <v>0.32500000000000001</v>
      </c>
      <c r="O139" s="112" t="s">
        <v>555</v>
      </c>
      <c r="P139" s="249" t="str">
        <f>+UPPER(TEXT(Tabla4[[#This Row],[transferencia]],"mmmm"))</f>
        <v>NOVIEMBRE</v>
      </c>
      <c r="Q139" t="s">
        <v>256</v>
      </c>
      <c r="R139"/>
      <c r="S139" s="249"/>
      <c r="T139" s="249"/>
      <c r="U139" s="249"/>
      <c r="V139" s="249"/>
      <c r="W139" s="249"/>
      <c r="X139" s="249"/>
      <c r="Y139" s="249"/>
      <c r="Z139" s="249"/>
    </row>
    <row r="140" spans="1:26" s="152" customFormat="1" hidden="1" x14ac:dyDescent="0.25">
      <c r="A140" s="112" t="str">
        <f>+Tabla4[[#This Row],[PISCINA]]&amp;Tabla4[[#This Row],[AGUAJE]]</f>
        <v>ME 18AGUAJE 4</v>
      </c>
      <c r="B140" s="112" t="s">
        <v>235</v>
      </c>
      <c r="C140" s="249" t="str">
        <f t="shared" si="8"/>
        <v>ME</v>
      </c>
      <c r="D140" s="194">
        <v>45988</v>
      </c>
      <c r="E140" s="172">
        <v>488000</v>
      </c>
      <c r="F140" s="249" t="s">
        <v>417</v>
      </c>
      <c r="G140" s="190" t="s">
        <v>422</v>
      </c>
      <c r="H140" s="189" t="s">
        <v>454</v>
      </c>
      <c r="I140" s="166">
        <f>IFERROR(VLOOKUP(H140,DATOS!$E$117:$F$168,2,0),"")</f>
        <v>0</v>
      </c>
      <c r="J140" s="191">
        <v>0.32900000000000001</v>
      </c>
      <c r="K140" s="192">
        <f t="shared" si="9"/>
        <v>23</v>
      </c>
      <c r="L140" s="194">
        <v>45965</v>
      </c>
      <c r="M140" s="189">
        <f t="shared" si="10"/>
        <v>23</v>
      </c>
      <c r="N140" s="176">
        <v>0.5</v>
      </c>
      <c r="O140" s="112" t="s">
        <v>429</v>
      </c>
      <c r="P140" s="249" t="str">
        <f>+UPPER(TEXT(Tabla4[[#This Row],[transferencia]],"mmmm"))</f>
        <v>NOVIEMBRE</v>
      </c>
      <c r="Q140" t="s">
        <v>225</v>
      </c>
      <c r="R140"/>
      <c r="S140" s="249"/>
      <c r="T140" s="249"/>
      <c r="U140" s="249"/>
      <c r="V140" s="249"/>
      <c r="W140" s="249"/>
      <c r="X140" s="249"/>
      <c r="Y140" s="249"/>
      <c r="Z140" s="249"/>
    </row>
    <row r="141" spans="1:26" s="152" customFormat="1" hidden="1" x14ac:dyDescent="0.25">
      <c r="A141" s="112" t="str">
        <f>+Tabla4[[#This Row],[PISCINA]]&amp;Tabla4[[#This Row],[AGUAJE]]</f>
        <v>TI 08AGUAJE 4</v>
      </c>
      <c r="B141" s="112" t="s">
        <v>237</v>
      </c>
      <c r="C141" t="str">
        <f t="shared" si="8"/>
        <v>TI</v>
      </c>
      <c r="D141" s="194">
        <v>45988</v>
      </c>
      <c r="E141" s="172">
        <v>992000</v>
      </c>
      <c r="F141" s="249" t="s">
        <v>417</v>
      </c>
      <c r="G141" s="190" t="s">
        <v>556</v>
      </c>
      <c r="H141" s="189" t="s">
        <v>557</v>
      </c>
      <c r="I141" s="166" t="str">
        <f>IFERROR(VLOOKUP(H141,DATOS!$E$117:$F$168,2,0),"")</f>
        <v/>
      </c>
      <c r="J141" s="191">
        <v>0.6643</v>
      </c>
      <c r="K141" s="192">
        <f t="shared" si="9"/>
        <v>22</v>
      </c>
      <c r="L141" s="194">
        <v>45966</v>
      </c>
      <c r="M141" s="189">
        <f t="shared" si="10"/>
        <v>22</v>
      </c>
      <c r="N141" s="176">
        <v>0.56999999999999995</v>
      </c>
      <c r="O141" s="112" t="s">
        <v>558</v>
      </c>
      <c r="P141" t="str">
        <f>+UPPER(TEXT(Tabla4[[#This Row],[transferencia]],"mmmm"))</f>
        <v>NOVIEMBRE</v>
      </c>
      <c r="Q141" t="s">
        <v>225</v>
      </c>
      <c r="R141"/>
      <c r="S141" s="249"/>
      <c r="T141" s="249"/>
      <c r="U141" s="249"/>
      <c r="V141" s="249"/>
      <c r="W141" s="249"/>
      <c r="X141" s="249"/>
      <c r="Y141" s="249"/>
      <c r="Z141" s="249"/>
    </row>
    <row r="142" spans="1:26" s="152" customFormat="1" hidden="1" x14ac:dyDescent="0.25">
      <c r="A142" s="112" t="str">
        <f>+Tabla4[[#This Row],[PISCINA]]&amp;Tabla4[[#This Row],[AGUAJE]]</f>
        <v>TA 26AGUAJE 4</v>
      </c>
      <c r="B142" s="112" t="s">
        <v>230</v>
      </c>
      <c r="C142" t="str">
        <f t="shared" si="8"/>
        <v>TA</v>
      </c>
      <c r="D142" s="194">
        <v>45989</v>
      </c>
      <c r="E142" s="172">
        <v>660000</v>
      </c>
      <c r="F142" s="249" t="s">
        <v>417</v>
      </c>
      <c r="G142" s="190" t="s">
        <v>422</v>
      </c>
      <c r="H142" s="189" t="s">
        <v>450</v>
      </c>
      <c r="I142" s="166">
        <f>IFERROR(VLOOKUP(H142,DATOS!$E$117:$F$168,2,0),"")</f>
        <v>0</v>
      </c>
      <c r="J142" s="191">
        <v>0.82499999999999996</v>
      </c>
      <c r="K142" s="192">
        <f t="shared" si="9"/>
        <v>23</v>
      </c>
      <c r="L142" s="194">
        <v>45966</v>
      </c>
      <c r="M142" s="189">
        <f t="shared" si="10"/>
        <v>23</v>
      </c>
      <c r="N142" s="176">
        <v>0.45</v>
      </c>
      <c r="O142" s="112" t="s">
        <v>473</v>
      </c>
      <c r="P142" t="str">
        <f>+UPPER(TEXT(Tabla4[[#This Row],[transferencia]],"mmmm"))</f>
        <v>NOVIEMBRE</v>
      </c>
      <c r="Q142" t="s">
        <v>225</v>
      </c>
      <c r="R142"/>
      <c r="S142" s="249"/>
      <c r="T142" s="249"/>
      <c r="U142" s="249"/>
      <c r="V142" s="249"/>
      <c r="W142" s="249"/>
      <c r="X142" s="249"/>
      <c r="Y142" s="249"/>
      <c r="Z142" s="249"/>
    </row>
    <row r="143" spans="1:26" s="152" customFormat="1" hidden="1" x14ac:dyDescent="0.25">
      <c r="A143" s="112" t="str">
        <f>+Tabla4[[#This Row],[PISCINA]]&amp;Tabla4[[#This Row],[AGUAJE]]</f>
        <v>TA 7AAGUAJE 4</v>
      </c>
      <c r="B143" s="112" t="s">
        <v>239</v>
      </c>
      <c r="C143" s="249" t="str">
        <f t="shared" si="8"/>
        <v>TA</v>
      </c>
      <c r="D143" s="194">
        <v>45989</v>
      </c>
      <c r="E143" s="172">
        <v>2062500</v>
      </c>
      <c r="F143" s="249" t="s">
        <v>417</v>
      </c>
      <c r="G143" s="190" t="s">
        <v>422</v>
      </c>
      <c r="H143" s="189" t="s">
        <v>450</v>
      </c>
      <c r="I143" s="166">
        <f>IFERROR(VLOOKUP(H143,DATOS!$E$117:$F$168,2,0),"")</f>
        <v>0</v>
      </c>
      <c r="J143" s="191">
        <v>0.82499999999999996</v>
      </c>
      <c r="K143" s="192">
        <f t="shared" si="9"/>
        <v>23</v>
      </c>
      <c r="L143" s="194">
        <v>45966</v>
      </c>
      <c r="M143" s="189">
        <f t="shared" si="10"/>
        <v>23</v>
      </c>
      <c r="N143" s="176">
        <v>0.45</v>
      </c>
      <c r="O143" s="112" t="s">
        <v>473</v>
      </c>
      <c r="P143" s="249" t="str">
        <f>+UPPER(TEXT(Tabla4[[#This Row],[transferencia]],"mmmm"))</f>
        <v>NOVIEMBRE</v>
      </c>
      <c r="Q143" t="s">
        <v>225</v>
      </c>
      <c r="R143"/>
      <c r="S143" s="249"/>
      <c r="T143" s="249"/>
      <c r="U143" s="249"/>
      <c r="V143" s="249"/>
      <c r="W143" s="249"/>
      <c r="X143" s="249"/>
      <c r="Y143" s="249"/>
      <c r="Z143" s="249"/>
    </row>
    <row r="144" spans="1:26" s="152" customFormat="1" hidden="1" x14ac:dyDescent="0.25">
      <c r="A144" s="112" t="str">
        <f>+Tabla4[[#This Row],[PISCINA]]&amp;Tabla4[[#This Row],[AGUAJE]]</f>
        <v>GT 06AGUAJE 4</v>
      </c>
      <c r="B144" s="112" t="s">
        <v>238</v>
      </c>
      <c r="C144" s="249" t="str">
        <f t="shared" si="8"/>
        <v>GT</v>
      </c>
      <c r="D144" s="194">
        <v>45991</v>
      </c>
      <c r="E144" s="172">
        <v>1470000</v>
      </c>
      <c r="F144" t="s">
        <v>417</v>
      </c>
      <c r="G144" s="190" t="s">
        <v>418</v>
      </c>
      <c r="H144" s="189" t="s">
        <v>418</v>
      </c>
      <c r="I144" s="166" t="str">
        <f>IFERROR(VLOOKUP(H144,DATOS!$E$117:$F$168,2,0),"")</f>
        <v>H10234</v>
      </c>
      <c r="J144" s="191">
        <v>0.73499999999999999</v>
      </c>
      <c r="K144" s="192">
        <f t="shared" si="9"/>
        <v>23</v>
      </c>
      <c r="L144" s="194">
        <v>45968</v>
      </c>
      <c r="M144" s="189">
        <f t="shared" si="10"/>
        <v>23</v>
      </c>
      <c r="N144" s="176">
        <v>0.6</v>
      </c>
      <c r="O144" s="112" t="s">
        <v>559</v>
      </c>
      <c r="P144" s="249" t="str">
        <f>+UPPER(TEXT(Tabla4[[#This Row],[transferencia]],"mmmm"))</f>
        <v>NOVIEMBRE</v>
      </c>
      <c r="Q144" t="s">
        <v>225</v>
      </c>
      <c r="R144"/>
      <c r="S144" s="249"/>
      <c r="T144" s="249"/>
      <c r="U144" s="249"/>
      <c r="V144" s="249"/>
      <c r="W144" s="249"/>
      <c r="X144" s="249"/>
      <c r="Y144" s="249"/>
      <c r="Z144" s="249"/>
    </row>
    <row r="145" spans="1:26" s="152" customFormat="1" hidden="1" x14ac:dyDescent="0.25">
      <c r="A145" s="112" t="str">
        <f>+Tabla4[[#This Row],[PISCINA]]&amp;Tabla4[[#This Row],[AGUAJE]]</f>
        <v>GT 19AGUAJE 4</v>
      </c>
      <c r="B145" s="112" t="s">
        <v>240</v>
      </c>
      <c r="C145" s="249" t="str">
        <f t="shared" si="8"/>
        <v>GT</v>
      </c>
      <c r="D145" s="194">
        <v>45991</v>
      </c>
      <c r="E145" s="172">
        <v>536000</v>
      </c>
      <c r="F145" t="s">
        <v>417</v>
      </c>
      <c r="G145" s="190" t="s">
        <v>418</v>
      </c>
      <c r="H145" s="189" t="s">
        <v>418</v>
      </c>
      <c r="I145" s="166" t="str">
        <f>IFERROR(VLOOKUP(H145,DATOS!$E$117:$F$168,2,0),"")</f>
        <v>H10234</v>
      </c>
      <c r="J145" s="191">
        <v>0.78400000000000003</v>
      </c>
      <c r="K145" s="192">
        <f t="shared" si="9"/>
        <v>24</v>
      </c>
      <c r="L145" s="194">
        <v>45967</v>
      </c>
      <c r="M145" s="189">
        <f t="shared" si="10"/>
        <v>24</v>
      </c>
      <c r="N145" s="176">
        <v>0.8</v>
      </c>
      <c r="O145" s="112" t="s">
        <v>560</v>
      </c>
      <c r="P145" s="249" t="str">
        <f>+UPPER(TEXT(Tabla4[[#This Row],[transferencia]],"mmmm"))</f>
        <v>NOVIEMBRE</v>
      </c>
      <c r="Q145" t="s">
        <v>225</v>
      </c>
      <c r="R145"/>
      <c r="S145" s="249"/>
      <c r="T145" s="249"/>
      <c r="U145" s="249"/>
      <c r="V145" s="249"/>
      <c r="W145" s="249"/>
      <c r="X145" s="249"/>
      <c r="Y145" s="249"/>
      <c r="Z145" s="249"/>
    </row>
    <row r="146" spans="1:26" s="152" customFormat="1" hidden="1" x14ac:dyDescent="0.25">
      <c r="A146" s="112" t="str">
        <f>+Tabla4[[#This Row],[PISCINA]]&amp;Tabla4[[#This Row],[AGUAJE]]</f>
        <v>GT 20AGUAJE 4</v>
      </c>
      <c r="B146" s="112" t="s">
        <v>243</v>
      </c>
      <c r="C146" t="str">
        <f t="shared" si="8"/>
        <v>GT</v>
      </c>
      <c r="D146" s="194">
        <v>45991</v>
      </c>
      <c r="E146" s="172">
        <v>326400</v>
      </c>
      <c r="F146" t="s">
        <v>417</v>
      </c>
      <c r="G146" s="190" t="s">
        <v>418</v>
      </c>
      <c r="H146" s="190" t="s">
        <v>418</v>
      </c>
      <c r="I146" s="166" t="str">
        <f>IFERROR(VLOOKUP(H146,DATOS!$E$117:$F$168,2,0),"")</f>
        <v>H10234</v>
      </c>
      <c r="J146" s="191">
        <v>0.78400000000000003</v>
      </c>
      <c r="K146" s="192">
        <f t="shared" si="9"/>
        <v>24</v>
      </c>
      <c r="L146" s="194">
        <v>45967</v>
      </c>
      <c r="M146" s="189">
        <f t="shared" si="10"/>
        <v>24</v>
      </c>
      <c r="N146" s="176">
        <v>0.8</v>
      </c>
      <c r="O146" s="112" t="s">
        <v>560</v>
      </c>
      <c r="P146" t="str">
        <f>+UPPER(TEXT(Tabla4[[#This Row],[transferencia]],"mmmm"))</f>
        <v>NOVIEMBRE</v>
      </c>
      <c r="Q146" t="s">
        <v>225</v>
      </c>
      <c r="R146"/>
      <c r="S146" s="249"/>
      <c r="T146" s="249"/>
      <c r="U146" s="249"/>
      <c r="V146" s="249"/>
      <c r="W146" s="249"/>
      <c r="X146" s="249"/>
      <c r="Y146" s="249"/>
      <c r="Z146" s="249"/>
    </row>
    <row r="147" spans="1:26" s="152" customFormat="1" hidden="1" x14ac:dyDescent="0.25">
      <c r="A147" s="112" t="str">
        <f>+Tabla4[[#This Row],[PISCINA]]&amp;Tabla4[[#This Row],[AGUAJE]]</f>
        <v>WA 13AGUAJE 3</v>
      </c>
      <c r="B147" s="112" t="s">
        <v>211</v>
      </c>
      <c r="C147" s="249" t="str">
        <f t="shared" si="8"/>
        <v>WA</v>
      </c>
      <c r="D147" s="194">
        <v>45992</v>
      </c>
      <c r="E147" s="172">
        <v>1305000</v>
      </c>
      <c r="F147" s="249" t="s">
        <v>417</v>
      </c>
      <c r="G147" s="190" t="s">
        <v>422</v>
      </c>
      <c r="H147" s="189" t="s">
        <v>561</v>
      </c>
      <c r="I147" s="166" t="str">
        <f>IFERROR(VLOOKUP(H147,DATOS!$E$117:$F$168,2,0),"")</f>
        <v/>
      </c>
      <c r="J147" s="191">
        <v>0.56740000000000002</v>
      </c>
      <c r="K147" s="192">
        <f t="shared" si="9"/>
        <v>38</v>
      </c>
      <c r="L147" s="194">
        <v>45954</v>
      </c>
      <c r="M147" s="189">
        <f t="shared" si="10"/>
        <v>38</v>
      </c>
      <c r="N147" s="176">
        <v>1.56</v>
      </c>
      <c r="O147" s="112" t="s">
        <v>562</v>
      </c>
      <c r="P147" s="249" t="str">
        <f>+UPPER(TEXT(Tabla4[[#This Row],[transferencia]],"mmmm"))</f>
        <v>DICIEMBRE</v>
      </c>
      <c r="Q147" t="s">
        <v>186</v>
      </c>
      <c r="R147"/>
      <c r="S147" s="249"/>
      <c r="T147" s="249"/>
      <c r="U147" s="249"/>
      <c r="V147" s="249"/>
      <c r="W147" s="249"/>
      <c r="X147" s="249"/>
      <c r="Y147" s="249"/>
      <c r="Z147" s="249"/>
    </row>
    <row r="148" spans="1:26" s="152" customFormat="1" hidden="1" x14ac:dyDescent="0.25">
      <c r="A148" s="112" t="str">
        <f>+Tabla4[[#This Row],[PISCINA]]&amp;Tabla4[[#This Row],[AGUAJE]]</f>
        <v>CH 09AGUAJE 3</v>
      </c>
      <c r="B148" s="112" t="s">
        <v>15</v>
      </c>
      <c r="C148" s="249" t="str">
        <f t="shared" si="8"/>
        <v>CH</v>
      </c>
      <c r="D148" s="194">
        <v>45993</v>
      </c>
      <c r="E148" s="172">
        <v>1645000</v>
      </c>
      <c r="F148" s="249" t="s">
        <v>417</v>
      </c>
      <c r="G148" s="190" t="s">
        <v>418</v>
      </c>
      <c r="H148" s="189" t="s">
        <v>418</v>
      </c>
      <c r="I148" s="166" t="str">
        <f>IFERROR(VLOOKUP(H148,DATOS!$E$117:$F$168,2,0),"")</f>
        <v>H10234</v>
      </c>
      <c r="J148" s="191"/>
      <c r="K148" s="192">
        <f t="shared" si="9"/>
        <v>26</v>
      </c>
      <c r="L148" s="194">
        <v>45967</v>
      </c>
      <c r="M148" s="189">
        <f t="shared" si="10"/>
        <v>26</v>
      </c>
      <c r="N148" s="176">
        <v>0.69</v>
      </c>
      <c r="O148" s="112" t="s">
        <v>563</v>
      </c>
      <c r="P148" s="249" t="str">
        <f>+UPPER(TEXT(Tabla4[[#This Row],[transferencia]],"mmmm"))</f>
        <v>DICIEMBRE</v>
      </c>
      <c r="Q148" t="s">
        <v>186</v>
      </c>
      <c r="R148"/>
      <c r="S148" s="249"/>
      <c r="T148" s="249"/>
      <c r="U148" s="249"/>
      <c r="V148" s="249"/>
      <c r="W148" s="249"/>
      <c r="X148" s="249"/>
      <c r="Y148" s="249"/>
      <c r="Z148" s="249"/>
    </row>
    <row r="149" spans="1:26" s="152" customFormat="1" hidden="1" x14ac:dyDescent="0.25">
      <c r="A149" s="112" t="str">
        <f>+Tabla4[[#This Row],[PISCINA]]&amp;Tabla4[[#This Row],[AGUAJE]]</f>
        <v>CH 11AGUAJE 3</v>
      </c>
      <c r="B149" s="112" t="s">
        <v>17</v>
      </c>
      <c r="C149" s="249" t="str">
        <f t="shared" si="8"/>
        <v>CH</v>
      </c>
      <c r="D149" s="194">
        <v>45993</v>
      </c>
      <c r="E149" s="172">
        <v>1134000</v>
      </c>
      <c r="F149" t="s">
        <v>417</v>
      </c>
      <c r="G149" s="190" t="s">
        <v>418</v>
      </c>
      <c r="H149" s="189" t="s">
        <v>418</v>
      </c>
      <c r="I149" s="166" t="str">
        <f>IFERROR(VLOOKUP(H149,DATOS!$E$117:$F$168,2,0),"")</f>
        <v>H10234</v>
      </c>
      <c r="J149" s="191">
        <v>0.81</v>
      </c>
      <c r="K149" s="192">
        <f t="shared" si="9"/>
        <v>25</v>
      </c>
      <c r="L149" s="194">
        <v>45968</v>
      </c>
      <c r="M149" s="189">
        <f t="shared" si="10"/>
        <v>25</v>
      </c>
      <c r="N149" s="176">
        <v>0.56999999999999995</v>
      </c>
      <c r="O149" s="112" t="s">
        <v>564</v>
      </c>
      <c r="P149" s="249" t="str">
        <f>+UPPER(TEXT(Tabla4[[#This Row],[transferencia]],"mmmm"))</f>
        <v>DICIEMBRE</v>
      </c>
      <c r="Q149" t="s">
        <v>186</v>
      </c>
      <c r="R149"/>
      <c r="S149" s="249"/>
      <c r="T149" s="249"/>
      <c r="U149" s="249"/>
      <c r="V149" s="249"/>
      <c r="W149" s="249"/>
      <c r="X149" s="249"/>
      <c r="Y149" s="249"/>
      <c r="Z149" s="249"/>
    </row>
    <row r="150" spans="1:26" s="152" customFormat="1" hidden="1" x14ac:dyDescent="0.25">
      <c r="A150" s="112" t="str">
        <f>+Tabla4[[#This Row],[PISCINA]]&amp;Tabla4[[#This Row],[AGUAJE]]</f>
        <v>CH 13AGUAJE 3</v>
      </c>
      <c r="B150" s="112" t="s">
        <v>19</v>
      </c>
      <c r="C150" s="249" t="str">
        <f t="shared" si="8"/>
        <v>CH</v>
      </c>
      <c r="D150" s="194">
        <v>45993</v>
      </c>
      <c r="E150" s="172">
        <v>1134000</v>
      </c>
      <c r="F150" s="249" t="s">
        <v>417</v>
      </c>
      <c r="G150" s="190" t="s">
        <v>418</v>
      </c>
      <c r="H150" s="189" t="s">
        <v>418</v>
      </c>
      <c r="I150" s="166" t="str">
        <f>IFERROR(VLOOKUP(H150,DATOS!$E$117:$F$168,2,0),"")</f>
        <v>H10234</v>
      </c>
      <c r="J150" s="191">
        <v>0.81</v>
      </c>
      <c r="K150" s="192">
        <f t="shared" si="9"/>
        <v>25</v>
      </c>
      <c r="L150" s="194">
        <v>45968</v>
      </c>
      <c r="M150" s="189">
        <f t="shared" si="10"/>
        <v>25</v>
      </c>
      <c r="N150" s="176">
        <v>0.56999999999999995</v>
      </c>
      <c r="O150" s="112" t="s">
        <v>564</v>
      </c>
      <c r="P150" s="249" t="str">
        <f>+UPPER(TEXT(Tabla4[[#This Row],[transferencia]],"mmmm"))</f>
        <v>DICIEMBRE</v>
      </c>
      <c r="Q150" t="s">
        <v>186</v>
      </c>
      <c r="R150"/>
      <c r="S150" s="249"/>
      <c r="T150" s="249"/>
      <c r="U150" s="249"/>
      <c r="V150" s="249"/>
      <c r="W150" s="249"/>
      <c r="X150" s="249"/>
      <c r="Y150" s="249"/>
      <c r="Z150" s="249"/>
    </row>
    <row r="151" spans="1:26" s="152" customFormat="1" hidden="1" x14ac:dyDescent="0.25">
      <c r="A151" s="112" t="str">
        <f>+Tabla4[[#This Row],[PISCINA]]&amp;Tabla4[[#This Row],[AGUAJE]]</f>
        <v>ME 11AGUAJE 5</v>
      </c>
      <c r="B151" s="112" t="s">
        <v>266</v>
      </c>
      <c r="C151" t="str">
        <f t="shared" si="8"/>
        <v>ME</v>
      </c>
      <c r="D151" s="194">
        <v>45993</v>
      </c>
      <c r="E151" s="172">
        <v>480000</v>
      </c>
      <c r="F151" s="249" t="s">
        <v>417</v>
      </c>
      <c r="G151" s="190" t="s">
        <v>422</v>
      </c>
      <c r="H151" s="189" t="s">
        <v>454</v>
      </c>
      <c r="I151" s="166">
        <f>IFERROR(VLOOKUP(H151,DATOS!$E$117:$F$168,2,0),"")</f>
        <v>0</v>
      </c>
      <c r="J151" s="191">
        <v>0.71419999999999995</v>
      </c>
      <c r="K151" s="192">
        <f t="shared" si="9"/>
        <v>8</v>
      </c>
      <c r="L151" s="194">
        <v>45985</v>
      </c>
      <c r="M151" s="189">
        <f t="shared" si="10"/>
        <v>8</v>
      </c>
      <c r="N151" s="176">
        <v>0.15</v>
      </c>
      <c r="O151" s="112" t="s">
        <v>565</v>
      </c>
      <c r="P151" t="str">
        <f>+UPPER(TEXT(Tabla4[[#This Row],[transferencia]],"mmmm"))</f>
        <v>DICIEMBRE</v>
      </c>
      <c r="Q151" t="s">
        <v>256</v>
      </c>
      <c r="R151"/>
      <c r="S151" s="249"/>
      <c r="T151" s="249"/>
      <c r="U151" s="249"/>
      <c r="V151" s="249"/>
      <c r="W151" s="249"/>
      <c r="X151" s="249"/>
      <c r="Y151" s="249"/>
      <c r="Z151" s="249"/>
    </row>
    <row r="152" spans="1:26" s="152" customFormat="1" hidden="1" x14ac:dyDescent="0.25">
      <c r="A152" s="112" t="str">
        <f>+Tabla4[[#This Row],[PISCINA]]&amp;Tabla4[[#This Row],[AGUAJE]]</f>
        <v>ME 17AGUAJE 3</v>
      </c>
      <c r="B152" s="112" t="s">
        <v>223</v>
      </c>
      <c r="C152" s="249" t="str">
        <f t="shared" si="8"/>
        <v>ME</v>
      </c>
      <c r="D152" s="194">
        <v>45993</v>
      </c>
      <c r="E152" s="172">
        <v>736000</v>
      </c>
      <c r="F152" s="249" t="s">
        <v>417</v>
      </c>
      <c r="G152" s="190" t="s">
        <v>422</v>
      </c>
      <c r="H152" s="189" t="s">
        <v>454</v>
      </c>
      <c r="I152" s="166">
        <f>IFERROR(VLOOKUP(H152,DATOS!$E$117:$F$168,2,0),"")</f>
        <v>0</v>
      </c>
      <c r="J152" s="191">
        <v>0.71419999999999995</v>
      </c>
      <c r="K152" s="192">
        <f t="shared" si="9"/>
        <v>8</v>
      </c>
      <c r="L152" s="194">
        <v>45985</v>
      </c>
      <c r="M152" s="189">
        <f t="shared" si="10"/>
        <v>8</v>
      </c>
      <c r="N152" s="176">
        <v>0.15</v>
      </c>
      <c r="O152" s="112" t="s">
        <v>565</v>
      </c>
      <c r="P152" s="249" t="str">
        <f>+UPPER(TEXT(Tabla4[[#This Row],[transferencia]],"mmmm"))</f>
        <v>DICIEMBRE</v>
      </c>
      <c r="Q152" t="s">
        <v>186</v>
      </c>
      <c r="R152"/>
      <c r="S152" s="249"/>
      <c r="T152" s="249"/>
      <c r="U152" s="249"/>
      <c r="V152" s="249"/>
      <c r="W152" s="249"/>
      <c r="X152" s="249"/>
      <c r="Y152" s="249"/>
      <c r="Z152" s="249"/>
    </row>
    <row r="153" spans="1:26" s="152" customFormat="1" hidden="1" x14ac:dyDescent="0.25">
      <c r="A153" s="112" t="str">
        <f>+Tabla4[[#This Row],[PISCINA]]&amp;Tabla4[[#This Row],[AGUAJE]]</f>
        <v>TA 16AGUAJE 4</v>
      </c>
      <c r="B153" s="112" t="s">
        <v>248</v>
      </c>
      <c r="C153" t="str">
        <f t="shared" si="8"/>
        <v>TA</v>
      </c>
      <c r="D153" s="194">
        <v>45994</v>
      </c>
      <c r="E153" s="172">
        <v>1540000</v>
      </c>
      <c r="F153" s="249" t="s">
        <v>417</v>
      </c>
      <c r="G153" s="190" t="s">
        <v>566</v>
      </c>
      <c r="H153" s="189" t="s">
        <v>428</v>
      </c>
      <c r="I153" s="166" t="str">
        <f>IFERROR(VLOOKUP(H153,DATOS!$E$117:$F$168,2,0),"")</f>
        <v/>
      </c>
      <c r="J153" s="191">
        <v>0.72819999999999996</v>
      </c>
      <c r="K153" s="192">
        <f t="shared" si="9"/>
        <v>22</v>
      </c>
      <c r="L153" s="194">
        <v>45972</v>
      </c>
      <c r="M153" s="189">
        <f t="shared" si="10"/>
        <v>22</v>
      </c>
      <c r="N153" s="176">
        <v>0.6</v>
      </c>
      <c r="O153" s="112" t="s">
        <v>567</v>
      </c>
      <c r="P153" t="str">
        <f>+UPPER(TEXT(Tabla4[[#This Row],[transferencia]],"mmmm"))</f>
        <v>DICIEMBRE</v>
      </c>
      <c r="Q153" t="s">
        <v>225</v>
      </c>
      <c r="R153"/>
      <c r="S153" s="249"/>
      <c r="T153" s="249"/>
      <c r="U153" s="249"/>
      <c r="V153" s="249"/>
      <c r="W153" s="249"/>
      <c r="X153" s="249"/>
      <c r="Y153" s="249"/>
      <c r="Z153" s="249"/>
    </row>
    <row r="154" spans="1:26" s="152" customFormat="1" hidden="1" x14ac:dyDescent="0.25">
      <c r="A154" s="112" t="str">
        <f>+Tabla4[[#This Row],[PISCINA]]&amp;Tabla4[[#This Row],[AGUAJE]]</f>
        <v>BA 06AGUAJE 4</v>
      </c>
      <c r="B154" s="112" t="s">
        <v>241</v>
      </c>
      <c r="C154" s="249" t="str">
        <f t="shared" si="8"/>
        <v>BA</v>
      </c>
      <c r="D154" s="194">
        <v>45990</v>
      </c>
      <c r="E154" s="172">
        <v>1289333</v>
      </c>
      <c r="F154" s="249" t="s">
        <v>417</v>
      </c>
      <c r="G154" s="190" t="s">
        <v>422</v>
      </c>
      <c r="H154" s="189" t="s">
        <v>568</v>
      </c>
      <c r="I154" s="166" t="str">
        <f>IFERROR(VLOOKUP(H154,DATOS!$E$117:$F$168,2,0),"")</f>
        <v/>
      </c>
      <c r="J154" s="191">
        <v>0.59650000000000003</v>
      </c>
      <c r="K154" s="192">
        <f t="shared" si="9"/>
        <v>41</v>
      </c>
      <c r="L154" s="194">
        <v>45949</v>
      </c>
      <c r="M154" s="189">
        <f t="shared" si="10"/>
        <v>41</v>
      </c>
      <c r="N154" s="176">
        <v>1.6</v>
      </c>
      <c r="O154" s="112" t="s">
        <v>569</v>
      </c>
      <c r="P154" s="249" t="str">
        <f>+UPPER(TEXT(Tabla4[[#This Row],[transferencia]],"mmmm"))</f>
        <v>NOVIEMBRE</v>
      </c>
      <c r="Q154" t="s">
        <v>225</v>
      </c>
      <c r="R154"/>
      <c r="S154" s="249"/>
      <c r="T154" s="249"/>
      <c r="U154" s="249"/>
      <c r="V154" s="249"/>
      <c r="W154" s="249"/>
      <c r="X154" s="249"/>
      <c r="Y154" s="249"/>
      <c r="Z154" s="249"/>
    </row>
    <row r="155" spans="1:26" s="152" customFormat="1" hidden="1" x14ac:dyDescent="0.25">
      <c r="A155" s="112" t="str">
        <f>+Tabla4[[#This Row],[PISCINA]]&amp;Tabla4[[#This Row],[AGUAJE]]</f>
        <v>MA 01AGUAJE 5</v>
      </c>
      <c r="B155" s="112" t="s">
        <v>271</v>
      </c>
      <c r="C155" s="249" t="str">
        <f t="shared" si="8"/>
        <v>MA</v>
      </c>
      <c r="D155" s="194">
        <v>45996</v>
      </c>
      <c r="E155" s="172">
        <v>1289127</v>
      </c>
      <c r="F155" t="s">
        <v>417</v>
      </c>
      <c r="G155" s="190" t="s">
        <v>422</v>
      </c>
      <c r="H155" s="189" t="s">
        <v>444</v>
      </c>
      <c r="I155" s="166" t="str">
        <f>IFERROR(VLOOKUP(H155,DATOS!$E$117:$F$168,2,0),"")</f>
        <v>H10598B</v>
      </c>
      <c r="J155" s="191">
        <v>0.83199999999999996</v>
      </c>
      <c r="K155" s="192">
        <f t="shared" si="9"/>
        <v>15</v>
      </c>
      <c r="L155" s="194">
        <v>45981</v>
      </c>
      <c r="M155" s="189">
        <f t="shared" si="10"/>
        <v>15</v>
      </c>
      <c r="N155" s="176">
        <v>0.22</v>
      </c>
      <c r="O155" s="112" t="s">
        <v>570</v>
      </c>
      <c r="P155" s="249" t="str">
        <f>+UPPER(TEXT(Tabla4[[#This Row],[transferencia]],"mmmm"))</f>
        <v>DICIEMBRE</v>
      </c>
      <c r="Q155" s="249" t="s">
        <v>256</v>
      </c>
      <c r="R155"/>
      <c r="S155" s="249"/>
      <c r="T155" s="249"/>
      <c r="U155" s="249"/>
      <c r="V155" s="249"/>
      <c r="W155" s="249"/>
      <c r="X155" s="249"/>
      <c r="Y155" s="249"/>
      <c r="Z155" s="249"/>
    </row>
    <row r="156" spans="1:26" s="152" customFormat="1" hidden="1" x14ac:dyDescent="0.25">
      <c r="A156" s="112" t="str">
        <f>+Tabla4[[#This Row],[PISCINA]]&amp;Tabla4[[#This Row],[AGUAJE]]</f>
        <v>PA 19AGUAJE 5</v>
      </c>
      <c r="B156" s="112" t="s">
        <v>259</v>
      </c>
      <c r="C156" s="249" t="str">
        <f t="shared" si="8"/>
        <v>PA</v>
      </c>
      <c r="D156" s="194">
        <v>45996</v>
      </c>
      <c r="E156" s="172">
        <v>770000</v>
      </c>
      <c r="F156" s="249" t="s">
        <v>417</v>
      </c>
      <c r="G156" s="190" t="s">
        <v>422</v>
      </c>
      <c r="H156" s="189" t="s">
        <v>444</v>
      </c>
      <c r="I156" s="166" t="str">
        <f>IFERROR(VLOOKUP(H156,DATOS!$E$117:$F$168,2,0),"")</f>
        <v>H10598B</v>
      </c>
      <c r="J156" s="191">
        <v>0.83199999999999996</v>
      </c>
      <c r="K156" s="192">
        <f t="shared" si="9"/>
        <v>15</v>
      </c>
      <c r="L156" s="194">
        <v>45981</v>
      </c>
      <c r="M156" s="189">
        <f t="shared" si="10"/>
        <v>15</v>
      </c>
      <c r="N156" s="176">
        <v>0.23</v>
      </c>
      <c r="O156" s="112" t="s">
        <v>466</v>
      </c>
      <c r="P156" s="249" t="str">
        <f>+UPPER(TEXT(Tabla4[[#This Row],[transferencia]],"mmmm"))</f>
        <v>DICIEMBRE</v>
      </c>
      <c r="Q156" t="s">
        <v>256</v>
      </c>
      <c r="R156"/>
      <c r="S156" s="249"/>
      <c r="T156" s="249"/>
      <c r="U156" s="249"/>
      <c r="V156" s="249"/>
      <c r="W156" s="249"/>
      <c r="X156" s="249"/>
      <c r="Y156" s="249"/>
      <c r="Z156" s="249"/>
    </row>
    <row r="157" spans="1:26" s="152" customFormat="1" hidden="1" x14ac:dyDescent="0.25">
      <c r="A157" s="112" t="str">
        <f>+Tabla4[[#This Row],[PISCINA]]&amp;Tabla4[[#This Row],[AGUAJE]]</f>
        <v>TI 10AGUAJE 5</v>
      </c>
      <c r="B157" s="112" t="s">
        <v>258</v>
      </c>
      <c r="C157" s="249" t="str">
        <f t="shared" si="8"/>
        <v>TI</v>
      </c>
      <c r="D157" s="194">
        <v>45997</v>
      </c>
      <c r="E157" s="172">
        <v>1241350</v>
      </c>
      <c r="F157" s="249" t="s">
        <v>417</v>
      </c>
      <c r="G157" s="190" t="s">
        <v>422</v>
      </c>
      <c r="H157" s="189" t="s">
        <v>571</v>
      </c>
      <c r="I157" s="166" t="str">
        <f>IFERROR(VLOOKUP(H157,DATOS!$E$117:$F$168,2,0),"")</f>
        <v/>
      </c>
      <c r="J157" s="191">
        <v>0.77590000000000003</v>
      </c>
      <c r="K157" s="192">
        <f t="shared" si="9"/>
        <v>14</v>
      </c>
      <c r="L157" s="194">
        <v>45983</v>
      </c>
      <c r="M157" s="189">
        <f t="shared" si="10"/>
        <v>14</v>
      </c>
      <c r="N157" s="176">
        <v>0.26</v>
      </c>
      <c r="O157" s="112" t="s">
        <v>572</v>
      </c>
      <c r="P157" s="249" t="str">
        <f>+UPPER(TEXT(Tabla4[[#This Row],[transferencia]],"mmmm"))</f>
        <v>DICIEMBRE</v>
      </c>
      <c r="Q157" t="s">
        <v>256</v>
      </c>
      <c r="R157"/>
      <c r="S157" s="249"/>
      <c r="T157" s="249"/>
      <c r="U157" s="249"/>
      <c r="V157" s="249"/>
      <c r="W157" s="249"/>
      <c r="X157" s="249"/>
      <c r="Y157" s="249"/>
      <c r="Z157" s="249"/>
    </row>
    <row r="158" spans="1:26" s="152" customFormat="1" hidden="1" x14ac:dyDescent="0.25">
      <c r="A158" s="112" t="str">
        <f>+Tabla4[[#This Row],[PISCINA]]&amp;Tabla4[[#This Row],[AGUAJE]]</f>
        <v>MA 10AGUAJE 5</v>
      </c>
      <c r="B158" s="112" t="s">
        <v>268</v>
      </c>
      <c r="C158" t="str">
        <f t="shared" si="8"/>
        <v>MA</v>
      </c>
      <c r="D158" s="194">
        <v>45998</v>
      </c>
      <c r="E158" s="172">
        <v>1498125</v>
      </c>
      <c r="F158" s="249" t="s">
        <v>417</v>
      </c>
      <c r="G158" s="190" t="s">
        <v>422</v>
      </c>
      <c r="H158" s="189" t="s">
        <v>454</v>
      </c>
      <c r="I158" s="166">
        <f>IFERROR(VLOOKUP(H158,DATOS!$E$117:$F$168,2,0),"")</f>
        <v>0</v>
      </c>
      <c r="J158" s="191">
        <v>0.68100000000000005</v>
      </c>
      <c r="K158" s="192">
        <f t="shared" si="9"/>
        <v>27</v>
      </c>
      <c r="L158" s="194">
        <v>45971</v>
      </c>
      <c r="M158" s="189">
        <f t="shared" si="10"/>
        <v>27</v>
      </c>
      <c r="N158" s="176">
        <v>0.96</v>
      </c>
      <c r="O158" s="112" t="s">
        <v>492</v>
      </c>
      <c r="P158" t="str">
        <f>+UPPER(TEXT(Tabla4[[#This Row],[transferencia]],"mmmm"))</f>
        <v>DICIEMBRE</v>
      </c>
      <c r="Q158" t="s">
        <v>256</v>
      </c>
      <c r="R158"/>
      <c r="S158" s="249"/>
      <c r="T158" s="249"/>
      <c r="U158" s="249"/>
      <c r="V158" s="249"/>
      <c r="W158" s="249"/>
      <c r="X158" s="249"/>
      <c r="Y158" s="249"/>
      <c r="Z158" s="249"/>
    </row>
    <row r="159" spans="1:26" s="152" customFormat="1" hidden="1" x14ac:dyDescent="0.25">
      <c r="A159" s="112" t="str">
        <f>+Tabla4[[#This Row],[PISCINA]]&amp;Tabla4[[#This Row],[AGUAJE]]</f>
        <v>RO 10AGUAJE 4</v>
      </c>
      <c r="B159" s="112" t="s">
        <v>255</v>
      </c>
      <c r="C159" s="249" t="str">
        <f t="shared" si="8"/>
        <v>RO</v>
      </c>
      <c r="D159" s="194">
        <v>45998</v>
      </c>
      <c r="E159" s="172">
        <v>606900</v>
      </c>
      <c r="F159" s="249" t="s">
        <v>417</v>
      </c>
      <c r="G159" s="190" t="s">
        <v>418</v>
      </c>
      <c r="H159" s="190" t="s">
        <v>418</v>
      </c>
      <c r="I159" s="166" t="str">
        <f>IFERROR(VLOOKUP(H159,DATOS!$E$117:$F$168,2,0),"")</f>
        <v>H10234</v>
      </c>
      <c r="J159" s="191">
        <v>0.71399999999999997</v>
      </c>
      <c r="K159" s="192">
        <f t="shared" si="9"/>
        <v>22</v>
      </c>
      <c r="L159" s="194">
        <v>45976</v>
      </c>
      <c r="M159" s="189">
        <f t="shared" si="10"/>
        <v>22</v>
      </c>
      <c r="N159" s="176">
        <v>0.66</v>
      </c>
      <c r="O159" s="112" t="s">
        <v>573</v>
      </c>
      <c r="P159" s="249" t="str">
        <f>+UPPER(TEXT(Tabla4[[#This Row],[transferencia]],"mmmm"))</f>
        <v>DICIEMBRE</v>
      </c>
      <c r="Q159" t="s">
        <v>225</v>
      </c>
      <c r="R159"/>
      <c r="S159" s="249"/>
      <c r="T159" s="249"/>
      <c r="U159" s="249"/>
      <c r="V159" s="249"/>
      <c r="W159" s="249"/>
      <c r="X159" s="249"/>
      <c r="Y159" s="249"/>
      <c r="Z159" s="249"/>
    </row>
    <row r="160" spans="1:26" s="152" customFormat="1" hidden="1" x14ac:dyDescent="0.25">
      <c r="A160" s="112" t="str">
        <f>+Tabla4[[#This Row],[PISCINA]]&amp;Tabla4[[#This Row],[AGUAJE]]</f>
        <v>CH 12AGUAJE 4</v>
      </c>
      <c r="B160" s="112" t="s">
        <v>18</v>
      </c>
      <c r="C160" t="str">
        <f t="shared" ref="C160:C173" si="11">+MID(A160,1,2)</f>
        <v>CH</v>
      </c>
      <c r="D160" s="194">
        <v>46000</v>
      </c>
      <c r="E160" s="172">
        <v>1094400</v>
      </c>
      <c r="F160" s="249" t="s">
        <v>417</v>
      </c>
      <c r="G160" s="190" t="s">
        <v>418</v>
      </c>
      <c r="H160" s="190" t="s">
        <v>418</v>
      </c>
      <c r="I160" s="166" t="str">
        <f>IFERROR(VLOOKUP(H160,DATOS!$E$117:$F$168,2,0),"")</f>
        <v>H10234</v>
      </c>
      <c r="J160" s="191">
        <v>0.72960000000000003</v>
      </c>
      <c r="K160" s="192">
        <f t="shared" si="9"/>
        <v>21</v>
      </c>
      <c r="L160" s="194">
        <v>45979</v>
      </c>
      <c r="M160" s="189">
        <f t="shared" si="10"/>
        <v>21</v>
      </c>
      <c r="N160" s="176">
        <v>0.52</v>
      </c>
      <c r="O160" s="112" t="s">
        <v>574</v>
      </c>
      <c r="P160" t="str">
        <f>+UPPER(TEXT(Tabla4[[#This Row],[transferencia]],"mmmm"))</f>
        <v>DICIEMBRE</v>
      </c>
      <c r="Q160" t="s">
        <v>225</v>
      </c>
      <c r="R160"/>
      <c r="S160" s="249"/>
      <c r="T160" s="249"/>
      <c r="U160" s="249"/>
      <c r="V160" s="249"/>
      <c r="W160" s="249"/>
      <c r="X160" s="249"/>
      <c r="Y160" s="249"/>
      <c r="Z160" s="249"/>
    </row>
    <row r="161" spans="1:26" s="152" customFormat="1" hidden="1" x14ac:dyDescent="0.25">
      <c r="A161" s="112" t="str">
        <f>+Tabla4[[#This Row],[PISCINA]]&amp;Tabla4[[#This Row],[AGUAJE]]</f>
        <v>PR 11AGUAJE 4</v>
      </c>
      <c r="B161" s="112" t="s">
        <v>229</v>
      </c>
      <c r="C161" t="str">
        <f t="shared" si="11"/>
        <v>PR</v>
      </c>
      <c r="D161" s="194">
        <v>46000</v>
      </c>
      <c r="E161" s="172">
        <v>1512000</v>
      </c>
      <c r="F161" t="s">
        <v>417</v>
      </c>
      <c r="G161" s="190" t="s">
        <v>422</v>
      </c>
      <c r="H161" s="189" t="s">
        <v>571</v>
      </c>
      <c r="I161" s="166" t="str">
        <f>IFERROR(VLOOKUP(H161,DATOS!$E$117:$F$168,2,0),"")</f>
        <v/>
      </c>
      <c r="J161" s="191">
        <v>0.75600000000000001</v>
      </c>
      <c r="K161" s="192">
        <f t="shared" si="9"/>
        <v>17</v>
      </c>
      <c r="L161" s="194">
        <v>45983</v>
      </c>
      <c r="M161" s="189">
        <f t="shared" si="10"/>
        <v>17</v>
      </c>
      <c r="N161" s="176">
        <v>0.25</v>
      </c>
      <c r="O161" s="112" t="s">
        <v>575</v>
      </c>
      <c r="P161" t="str">
        <f>+UPPER(TEXT(Tabla4[[#This Row],[transferencia]],"mmmm"))</f>
        <v>DICIEMBRE</v>
      </c>
      <c r="Q161" t="s">
        <v>225</v>
      </c>
      <c r="R161"/>
      <c r="S161" s="249"/>
      <c r="T161" s="249"/>
      <c r="U161" s="249"/>
      <c r="V161" s="249"/>
      <c r="W161" s="249"/>
      <c r="X161" s="249"/>
      <c r="Y161" s="249"/>
      <c r="Z161" s="249"/>
    </row>
    <row r="162" spans="1:26" s="152" customFormat="1" hidden="1" x14ac:dyDescent="0.25">
      <c r="A162" s="112" t="str">
        <f>+Tabla4[[#This Row],[PISCINA]]&amp;Tabla4[[#This Row],[AGUAJE]]</f>
        <v>CA 05AGUAJE 5</v>
      </c>
      <c r="B162" s="112" t="s">
        <v>277</v>
      </c>
      <c r="C162" s="249" t="str">
        <f t="shared" si="11"/>
        <v>CA</v>
      </c>
      <c r="D162" s="194">
        <v>46001</v>
      </c>
      <c r="E162" s="172">
        <v>1410000</v>
      </c>
      <c r="F162" s="249" t="s">
        <v>417</v>
      </c>
      <c r="G162" s="190" t="s">
        <v>422</v>
      </c>
      <c r="H162" s="189" t="s">
        <v>447</v>
      </c>
      <c r="I162" s="166">
        <f>IFERROR(VLOOKUP(H162,DATOS!$E$117:$F$168,2,0),"")</f>
        <v>0</v>
      </c>
      <c r="J162" s="191">
        <v>0.65259999999999996</v>
      </c>
      <c r="K162" s="192">
        <f t="shared" si="9"/>
        <v>23</v>
      </c>
      <c r="L162" s="194">
        <v>45978</v>
      </c>
      <c r="M162" s="189">
        <f t="shared" si="10"/>
        <v>23</v>
      </c>
      <c r="N162" s="176">
        <v>0.52</v>
      </c>
      <c r="O162" s="112" t="s">
        <v>576</v>
      </c>
      <c r="P162" s="249" t="str">
        <f>+UPPER(TEXT(Tabla4[[#This Row],[transferencia]],"mmmm"))</f>
        <v>DICIEMBRE</v>
      </c>
      <c r="Q162" t="s">
        <v>256</v>
      </c>
      <c r="R162"/>
      <c r="S162" s="249"/>
      <c r="T162" s="249"/>
      <c r="U162" s="249"/>
      <c r="V162" s="249"/>
      <c r="W162" s="249"/>
      <c r="X162" s="249"/>
      <c r="Y162" s="249"/>
      <c r="Z162" s="249"/>
    </row>
    <row r="163" spans="1:26" s="152" customFormat="1" hidden="1" x14ac:dyDescent="0.25">
      <c r="A163" s="112" t="str">
        <f>+Tabla4[[#This Row],[PISCINA]]&amp;Tabla4[[#This Row],[AGUAJE]]</f>
        <v>CH 22AGUAJE 4</v>
      </c>
      <c r="B163" s="112" t="s">
        <v>28</v>
      </c>
      <c r="C163" s="249" t="str">
        <f t="shared" si="11"/>
        <v>CH</v>
      </c>
      <c r="D163" s="194">
        <v>46001</v>
      </c>
      <c r="E163" s="172">
        <v>804000</v>
      </c>
      <c r="F163" t="s">
        <v>417</v>
      </c>
      <c r="G163" s="190" t="s">
        <v>422</v>
      </c>
      <c r="H163" s="189" t="s">
        <v>447</v>
      </c>
      <c r="I163" s="166">
        <f>IFERROR(VLOOKUP(H163,DATOS!$E$117:$F$168,2,0),"")</f>
        <v>0</v>
      </c>
      <c r="J163" s="191">
        <v>0.64859999999999995</v>
      </c>
      <c r="K163" s="192">
        <f t="shared" si="9"/>
        <v>23</v>
      </c>
      <c r="L163" s="194">
        <v>45978</v>
      </c>
      <c r="M163" s="189">
        <f t="shared" si="10"/>
        <v>23</v>
      </c>
      <c r="N163" s="176">
        <v>0.5</v>
      </c>
      <c r="O163" s="112" t="s">
        <v>436</v>
      </c>
      <c r="P163" s="249" t="str">
        <f>+UPPER(TEXT(Tabla4[[#This Row],[transferencia]],"mmmm"))</f>
        <v>DICIEMBRE</v>
      </c>
      <c r="Q163" t="s">
        <v>225</v>
      </c>
      <c r="R163"/>
      <c r="S163" s="249"/>
      <c r="T163" s="249"/>
      <c r="U163" s="249"/>
      <c r="V163" s="249"/>
      <c r="W163" s="249"/>
      <c r="X163" s="249"/>
      <c r="Y163" s="249"/>
      <c r="Z163" s="249"/>
    </row>
    <row r="164" spans="1:26" s="152" customFormat="1" hidden="1" x14ac:dyDescent="0.25">
      <c r="A164" s="112" t="str">
        <f>+Tabla4[[#This Row],[PISCINA]]&amp;Tabla4[[#This Row],[AGUAJE]]</f>
        <v>CH 25AGUAJE 4</v>
      </c>
      <c r="B164" s="207" t="s">
        <v>29</v>
      </c>
      <c r="C164" s="249" t="str">
        <f t="shared" si="11"/>
        <v>CH</v>
      </c>
      <c r="D164" s="194">
        <v>46001</v>
      </c>
      <c r="E164" s="172">
        <v>396000</v>
      </c>
      <c r="F164" s="249" t="s">
        <v>417</v>
      </c>
      <c r="G164" s="190" t="s">
        <v>422</v>
      </c>
      <c r="H164" s="189" t="s">
        <v>447</v>
      </c>
      <c r="I164" s="166">
        <f>IFERROR(VLOOKUP(H164,DATOS!$E$117:$F$168,2,0),"")</f>
        <v>0</v>
      </c>
      <c r="J164" s="191">
        <v>0.64800000000000002</v>
      </c>
      <c r="K164" s="192">
        <f t="shared" si="9"/>
        <v>23</v>
      </c>
      <c r="L164" s="194">
        <v>45978</v>
      </c>
      <c r="M164" s="189">
        <f t="shared" si="10"/>
        <v>23</v>
      </c>
      <c r="N164" s="176">
        <v>0.5</v>
      </c>
      <c r="O164" s="112" t="s">
        <v>577</v>
      </c>
      <c r="P164" s="249" t="str">
        <f>+UPPER(TEXT(Tabla4[[#This Row],[transferencia]],"mmmm"))</f>
        <v>DICIEMBRE</v>
      </c>
      <c r="Q164" t="s">
        <v>225</v>
      </c>
      <c r="R164"/>
      <c r="S164" s="249"/>
      <c r="T164" s="249"/>
      <c r="U164" s="249"/>
      <c r="V164" s="249"/>
      <c r="W164" s="249"/>
      <c r="X164" s="249"/>
      <c r="Y164" s="249"/>
      <c r="Z164" s="249"/>
    </row>
    <row r="165" spans="1:26" s="152" customFormat="1" hidden="1" x14ac:dyDescent="0.25">
      <c r="A165" s="112" t="str">
        <f>+Tabla4[[#This Row],[PISCINA]]&amp;Tabla4[[#This Row],[AGUAJE]]</f>
        <v>DE 04AGUAJE 5</v>
      </c>
      <c r="B165" s="112" t="s">
        <v>265</v>
      </c>
      <c r="C165" t="str">
        <f t="shared" si="11"/>
        <v>DE</v>
      </c>
      <c r="D165" s="194">
        <v>46001</v>
      </c>
      <c r="E165" s="172">
        <v>1241600</v>
      </c>
      <c r="F165" s="249" t="s">
        <v>417</v>
      </c>
      <c r="G165" s="190" t="s">
        <v>418</v>
      </c>
      <c r="H165" s="190" t="s">
        <v>418</v>
      </c>
      <c r="I165" s="166" t="str">
        <f>IFERROR(VLOOKUP(H165,DATOS!$E$117:$F$168,2,0),"")</f>
        <v>H10234</v>
      </c>
      <c r="J165" s="191">
        <v>0.62080000000000002</v>
      </c>
      <c r="K165" s="192">
        <f t="shared" si="9"/>
        <v>22</v>
      </c>
      <c r="L165" s="194">
        <v>45979</v>
      </c>
      <c r="M165" s="189">
        <f t="shared" si="10"/>
        <v>22</v>
      </c>
      <c r="N165" s="176">
        <v>0.6</v>
      </c>
      <c r="O165" s="112" t="s">
        <v>301</v>
      </c>
      <c r="P165" t="str">
        <f>+UPPER(TEXT(Tabla4[[#This Row],[transferencia]],"mmmm"))</f>
        <v>DICIEMBRE</v>
      </c>
      <c r="Q165" t="s">
        <v>256</v>
      </c>
      <c r="R165"/>
      <c r="S165" s="249"/>
      <c r="T165" s="249"/>
      <c r="U165" s="249"/>
      <c r="V165" s="249"/>
      <c r="W165" s="249"/>
      <c r="X165" s="249"/>
      <c r="Y165" s="249"/>
      <c r="Z165" s="249"/>
    </row>
    <row r="166" spans="1:26" s="152" customFormat="1" hidden="1" x14ac:dyDescent="0.25">
      <c r="A166" s="112" t="str">
        <f>+Tabla4[[#This Row],[PISCINA]]&amp;Tabla4[[#This Row],[AGUAJE]]</f>
        <v>CA 16AGUAJE 4</v>
      </c>
      <c r="B166" s="112" t="s">
        <v>245</v>
      </c>
      <c r="C166" s="249" t="str">
        <f t="shared" si="11"/>
        <v>CA</v>
      </c>
      <c r="D166" s="194">
        <v>46002</v>
      </c>
      <c r="E166" s="172">
        <v>1160000</v>
      </c>
      <c r="F166" s="249" t="s">
        <v>417</v>
      </c>
      <c r="G166" s="190" t="s">
        <v>503</v>
      </c>
      <c r="H166" s="189" t="s">
        <v>504</v>
      </c>
      <c r="I166" s="166">
        <f>IFERROR(VLOOKUP(H166,DATOS!$E$117:$F$168,2,0),"")</f>
        <v>0</v>
      </c>
      <c r="J166" s="191">
        <v>0.61050000000000004</v>
      </c>
      <c r="K166" s="192">
        <f t="shared" si="9"/>
        <v>21</v>
      </c>
      <c r="L166" s="194">
        <v>45981</v>
      </c>
      <c r="M166" s="189">
        <f t="shared" si="10"/>
        <v>21</v>
      </c>
      <c r="N166" s="176">
        <v>0.46</v>
      </c>
      <c r="O166" s="112" t="s">
        <v>578</v>
      </c>
      <c r="P166" s="249" t="str">
        <f>+UPPER(TEXT(Tabla4[[#This Row],[transferencia]],"mmmm"))</f>
        <v>DICIEMBRE</v>
      </c>
      <c r="Q166" t="s">
        <v>225</v>
      </c>
      <c r="R166"/>
      <c r="S166" s="249"/>
      <c r="T166" s="249"/>
      <c r="U166" s="249"/>
      <c r="V166" s="249"/>
      <c r="W166" s="249"/>
      <c r="X166" s="249"/>
      <c r="Y166" s="249"/>
      <c r="Z166" s="249"/>
    </row>
    <row r="167" spans="1:26" s="152" customFormat="1" hidden="1" x14ac:dyDescent="0.25">
      <c r="A167" s="112" t="str">
        <f>+Tabla4[[#This Row],[PISCINA]]&amp;Tabla4[[#This Row],[AGUAJE]]</f>
        <v>ME 09AGUAJE 3</v>
      </c>
      <c r="B167" s="112" t="s">
        <v>210</v>
      </c>
      <c r="C167" s="249" t="str">
        <f t="shared" si="11"/>
        <v>ME</v>
      </c>
      <c r="D167" s="194">
        <v>46002</v>
      </c>
      <c r="E167" s="172">
        <v>1064000</v>
      </c>
      <c r="F167" s="249" t="s">
        <v>417</v>
      </c>
      <c r="G167" s="190" t="s">
        <v>422</v>
      </c>
      <c r="H167" s="189" t="s">
        <v>423</v>
      </c>
      <c r="I167" s="166" t="str">
        <f>IFERROR(VLOOKUP(H167,DATOS!$E$117:$F$168,2,0),"")</f>
        <v>H10611</v>
      </c>
      <c r="J167" s="191">
        <v>0.64480000000000004</v>
      </c>
      <c r="K167" s="192">
        <f t="shared" si="9"/>
        <v>40</v>
      </c>
      <c r="L167" s="194">
        <v>45962</v>
      </c>
      <c r="M167" s="189">
        <f t="shared" si="10"/>
        <v>40</v>
      </c>
      <c r="N167" s="176">
        <v>3.2</v>
      </c>
      <c r="O167" s="112" t="s">
        <v>579</v>
      </c>
      <c r="P167" s="249" t="str">
        <f>+UPPER(TEXT(Tabla4[[#This Row],[transferencia]],"mmmm"))</f>
        <v>DICIEMBRE</v>
      </c>
      <c r="Q167" t="s">
        <v>186</v>
      </c>
      <c r="R167"/>
      <c r="S167" s="249"/>
      <c r="T167" s="249"/>
      <c r="U167" s="249"/>
      <c r="V167" s="249"/>
      <c r="W167" s="249"/>
      <c r="X167" s="249"/>
      <c r="Y167" s="249"/>
      <c r="Z167" s="249"/>
    </row>
    <row r="168" spans="1:26" s="152" customFormat="1" hidden="1" x14ac:dyDescent="0.25">
      <c r="A168" s="112" t="str">
        <f>+Tabla4[[#This Row],[PISCINA]]&amp;Tabla4[[#This Row],[AGUAJE]]</f>
        <v>DE 12AGUAJE 4</v>
      </c>
      <c r="B168" s="112" t="s">
        <v>254</v>
      </c>
      <c r="C168" s="249" t="str">
        <f t="shared" si="11"/>
        <v>DE</v>
      </c>
      <c r="D168" s="194">
        <v>46003</v>
      </c>
      <c r="E168" s="172">
        <v>1315500</v>
      </c>
      <c r="F168" s="249" t="s">
        <v>417</v>
      </c>
      <c r="G168" s="190" t="s">
        <v>418</v>
      </c>
      <c r="H168" s="189" t="s">
        <v>428</v>
      </c>
      <c r="I168" s="166" t="str">
        <f>IFERROR(VLOOKUP(H168,DATOS!$E$117:$F$168,2,0),"")</f>
        <v/>
      </c>
      <c r="J168" s="191">
        <v>0.65939999999999999</v>
      </c>
      <c r="K168" s="192">
        <f t="shared" si="9"/>
        <v>17</v>
      </c>
      <c r="L168" s="194">
        <v>45986</v>
      </c>
      <c r="M168" s="189">
        <f t="shared" si="10"/>
        <v>17</v>
      </c>
      <c r="N168" s="176">
        <v>1.7</v>
      </c>
      <c r="O168" s="112" t="s">
        <v>478</v>
      </c>
      <c r="P168" s="249" t="str">
        <f>+UPPER(TEXT(Tabla4[[#This Row],[transferencia]],"mmmm"))</f>
        <v>DICIEMBRE</v>
      </c>
      <c r="Q168" t="s">
        <v>225</v>
      </c>
      <c r="R168"/>
      <c r="S168" s="249"/>
      <c r="T168" s="249"/>
      <c r="U168" s="249"/>
      <c r="V168" s="249"/>
      <c r="W168" s="249"/>
      <c r="X168" s="249"/>
      <c r="Y168" s="249"/>
      <c r="Z168" s="249"/>
    </row>
    <row r="169" spans="1:26" s="152" customFormat="1" hidden="1" x14ac:dyDescent="0.25">
      <c r="A169" s="112" t="str">
        <f>+Tabla4[[#This Row],[PISCINA]]&amp;Tabla4[[#This Row],[AGUAJE]]</f>
        <v>DE 13AGUAJE 4</v>
      </c>
      <c r="B169" s="112" t="s">
        <v>252</v>
      </c>
      <c r="C169" s="249" t="str">
        <f t="shared" si="11"/>
        <v>DE</v>
      </c>
      <c r="D169" s="194">
        <v>46003</v>
      </c>
      <c r="E169" s="172">
        <v>1377000</v>
      </c>
      <c r="F169" s="249" t="s">
        <v>417</v>
      </c>
      <c r="G169" s="190" t="s">
        <v>422</v>
      </c>
      <c r="H169" s="189" t="s">
        <v>454</v>
      </c>
      <c r="I169" s="166">
        <f>IFERROR(VLOOKUP(H169,DATOS!$E$117:$F$168,2,0),"")</f>
        <v>0</v>
      </c>
      <c r="J169" s="191">
        <v>1</v>
      </c>
      <c r="K169" s="192">
        <f t="shared" si="9"/>
        <v>17</v>
      </c>
      <c r="L169" s="194">
        <v>45986</v>
      </c>
      <c r="M169" s="189">
        <f t="shared" si="10"/>
        <v>17</v>
      </c>
      <c r="N169" s="176">
        <v>0.7</v>
      </c>
      <c r="O169" s="112" t="s">
        <v>580</v>
      </c>
      <c r="P169" s="249" t="str">
        <f>+UPPER(TEXT(Tabla4[[#This Row],[transferencia]],"mmmm"))</f>
        <v>DICIEMBRE</v>
      </c>
      <c r="Q169" t="s">
        <v>225</v>
      </c>
      <c r="R169"/>
      <c r="S169" s="249"/>
      <c r="T169" s="249"/>
      <c r="U169" s="249"/>
      <c r="V169" s="249"/>
      <c r="W169" s="249"/>
      <c r="X169" s="249"/>
      <c r="Y169" s="249"/>
      <c r="Z169" s="249"/>
    </row>
    <row r="170" spans="1:26" s="152" customFormat="1" hidden="1" x14ac:dyDescent="0.25">
      <c r="A170" s="112" t="str">
        <f>+Tabla4[[#This Row],[PISCINA]]&amp;Tabla4[[#This Row],[AGUAJE]]</f>
        <v>DE 16AGUAJE 5</v>
      </c>
      <c r="B170" s="112" t="s">
        <v>273</v>
      </c>
      <c r="C170" s="249" t="str">
        <f t="shared" si="11"/>
        <v>DE</v>
      </c>
      <c r="D170" s="194">
        <v>46003</v>
      </c>
      <c r="E170" s="172">
        <v>947200</v>
      </c>
      <c r="F170" s="249" t="s">
        <v>417</v>
      </c>
      <c r="G170" s="190" t="s">
        <v>422</v>
      </c>
      <c r="H170" s="189" t="s">
        <v>444</v>
      </c>
      <c r="I170" s="166" t="str">
        <f>IFERROR(VLOOKUP(H170,DATOS!$E$117:$F$168,2,0),"")</f>
        <v>H10598B</v>
      </c>
      <c r="J170" s="191">
        <v>0.61209999999999998</v>
      </c>
      <c r="K170" s="192">
        <f t="shared" si="9"/>
        <v>22</v>
      </c>
      <c r="L170" s="194">
        <v>45981</v>
      </c>
      <c r="M170" s="189">
        <f t="shared" si="10"/>
        <v>22</v>
      </c>
      <c r="N170" s="176">
        <v>0.65</v>
      </c>
      <c r="O170" s="112" t="s">
        <v>581</v>
      </c>
      <c r="P170" s="249" t="str">
        <f>+UPPER(TEXT(Tabla4[[#This Row],[transferencia]],"mmmm"))</f>
        <v>DICIEMBRE</v>
      </c>
      <c r="Q170" t="s">
        <v>256</v>
      </c>
      <c r="R170"/>
      <c r="S170" s="249"/>
      <c r="T170" s="249"/>
      <c r="U170" s="249"/>
      <c r="V170" s="249"/>
      <c r="W170" s="249"/>
      <c r="X170" s="249"/>
      <c r="Y170" s="249"/>
      <c r="Z170" s="249"/>
    </row>
    <row r="171" spans="1:26" s="152" customFormat="1" hidden="1" x14ac:dyDescent="0.25">
      <c r="A171" s="112" t="str">
        <f>+Tabla4[[#This Row],[PISCINA]]&amp;Tabla4[[#This Row],[AGUAJE]]</f>
        <v>DE 18AGUAJE 5</v>
      </c>
      <c r="B171" s="112" t="s">
        <v>269</v>
      </c>
      <c r="C171" t="str">
        <f t="shared" si="11"/>
        <v>DE</v>
      </c>
      <c r="D171" s="194">
        <v>46003</v>
      </c>
      <c r="E171" s="172">
        <v>950400</v>
      </c>
      <c r="F171" s="249" t="s">
        <v>417</v>
      </c>
      <c r="G171" s="190" t="s">
        <v>422</v>
      </c>
      <c r="H171" s="189" t="s">
        <v>444</v>
      </c>
      <c r="I171" s="166" t="str">
        <f>IFERROR(VLOOKUP(H171,DATOS!$E$117:$F$168,2,0),"")</f>
        <v>H10598B</v>
      </c>
      <c r="J171" s="191">
        <v>0.61</v>
      </c>
      <c r="K171" s="192">
        <f t="shared" si="9"/>
        <v>22</v>
      </c>
      <c r="L171" s="194">
        <v>45981</v>
      </c>
      <c r="M171" s="189">
        <f t="shared" si="10"/>
        <v>22</v>
      </c>
      <c r="N171" s="176">
        <v>0.65</v>
      </c>
      <c r="O171" s="112" t="s">
        <v>581</v>
      </c>
      <c r="P171" t="str">
        <f>+UPPER(TEXT(Tabla4[[#This Row],[transferencia]],"mmmm"))</f>
        <v>DICIEMBRE</v>
      </c>
      <c r="Q171" t="s">
        <v>256</v>
      </c>
      <c r="R171"/>
      <c r="S171" s="249"/>
      <c r="T171" s="249"/>
      <c r="U171" s="249"/>
      <c r="V171" s="249"/>
      <c r="W171" s="249"/>
      <c r="X171" s="249"/>
      <c r="Y171" s="249"/>
      <c r="Z171" s="249"/>
    </row>
    <row r="172" spans="1:26" s="152" customFormat="1" hidden="1" x14ac:dyDescent="0.25">
      <c r="A172" s="112" t="str">
        <f>+Tabla4[[#This Row],[PISCINA]]&amp;Tabla4[[#This Row],[AGUAJE]]</f>
        <v>RO 04AGUAJE 5</v>
      </c>
      <c r="B172" s="112" t="s">
        <v>264</v>
      </c>
      <c r="C172" s="249" t="str">
        <f t="shared" si="11"/>
        <v>RO</v>
      </c>
      <c r="D172" s="194">
        <v>46003</v>
      </c>
      <c r="E172" s="172">
        <v>4010040</v>
      </c>
      <c r="F172" s="249" t="s">
        <v>417</v>
      </c>
      <c r="G172" s="190" t="s">
        <v>503</v>
      </c>
      <c r="H172" s="189" t="s">
        <v>504</v>
      </c>
      <c r="I172" s="166">
        <f>IFERROR(VLOOKUP(H172,DATOS!$E$117:$F$168,2,0),"")</f>
        <v>0</v>
      </c>
      <c r="J172" s="191">
        <v>0.6512</v>
      </c>
      <c r="K172" s="192">
        <f t="shared" si="9"/>
        <v>22</v>
      </c>
      <c r="L172" s="194">
        <v>45981</v>
      </c>
      <c r="M172" s="189">
        <f t="shared" si="10"/>
        <v>22</v>
      </c>
      <c r="N172" s="176">
        <v>0.54</v>
      </c>
      <c r="O172" s="112" t="s">
        <v>582</v>
      </c>
      <c r="P172" s="249" t="str">
        <f>+UPPER(TEXT(Tabla4[[#This Row],[transferencia]],"mmmm"))</f>
        <v>DICIEMBRE</v>
      </c>
      <c r="Q172" t="s">
        <v>256</v>
      </c>
      <c r="R172"/>
      <c r="S172" s="249"/>
      <c r="T172" s="249"/>
      <c r="U172" s="249"/>
      <c r="V172" s="249"/>
      <c r="W172" s="249"/>
      <c r="X172" s="249"/>
      <c r="Y172" s="249"/>
      <c r="Z172" s="249"/>
    </row>
    <row r="173" spans="1:26" s="152" customFormat="1" hidden="1" x14ac:dyDescent="0.25">
      <c r="A173" s="112" t="str">
        <f>+Tabla4[[#This Row],[PISCINA]]&amp;Tabla4[[#This Row],[AGUAJE]]</f>
        <v>TA 10AGUAJE 2</v>
      </c>
      <c r="B173" s="112" t="s">
        <v>181</v>
      </c>
      <c r="C173" s="249" t="str">
        <f t="shared" si="11"/>
        <v>TA</v>
      </c>
      <c r="D173" s="194">
        <v>46003</v>
      </c>
      <c r="E173" s="172">
        <v>1400000</v>
      </c>
      <c r="F173" s="249" t="s">
        <v>417</v>
      </c>
      <c r="G173" s="190" t="s">
        <v>422</v>
      </c>
      <c r="H173" s="189" t="s">
        <v>419</v>
      </c>
      <c r="I173" s="166" t="str">
        <f>IFERROR(VLOOKUP(H173,DATOS!$E$117:$F$168,2,0),"")</f>
        <v>H10603</v>
      </c>
      <c r="J173" s="191">
        <v>0.70709999999999995</v>
      </c>
      <c r="K173" s="192">
        <f t="shared" si="9"/>
        <v>26</v>
      </c>
      <c r="L173" s="194">
        <v>45977</v>
      </c>
      <c r="M173" s="189">
        <f t="shared" si="10"/>
        <v>26</v>
      </c>
      <c r="N173" s="176">
        <v>5.9</v>
      </c>
      <c r="O173" s="112" t="s">
        <v>502</v>
      </c>
      <c r="P173" s="249" t="str">
        <f>+UPPER(TEXT(Tabla4[[#This Row],[transferencia]],"mmmm"))</f>
        <v>DICIEMBRE</v>
      </c>
      <c r="Q173" t="s">
        <v>151</v>
      </c>
      <c r="R173"/>
      <c r="S173" s="249"/>
      <c r="T173" s="249"/>
      <c r="U173" s="249"/>
      <c r="V173" s="249"/>
      <c r="W173" s="249"/>
      <c r="X173" s="249"/>
      <c r="Y173" s="249"/>
      <c r="Z173" s="249"/>
    </row>
    <row r="174" spans="1:26" s="152" customFormat="1" hidden="1" x14ac:dyDescent="0.25">
      <c r="A174" s="112" t="str">
        <f>+Tabla4[[#This Row],[PISCINA]]&amp;Tabla4[[#This Row],[AGUAJE]]</f>
        <v>DO 17AGUAJE 5</v>
      </c>
      <c r="B174" s="112" t="s">
        <v>267</v>
      </c>
      <c r="C174" t="s">
        <v>583</v>
      </c>
      <c r="D174" s="194">
        <v>46005</v>
      </c>
      <c r="E174" s="172">
        <v>932312</v>
      </c>
      <c r="F174" t="s">
        <v>417</v>
      </c>
      <c r="G174" s="190" t="s">
        <v>422</v>
      </c>
      <c r="H174" s="189" t="s">
        <v>584</v>
      </c>
      <c r="I174" s="166" t="str">
        <f>IFERROR(VLOOKUP(H174,DATOS!$E$117:$F$168,2,0),"")</f>
        <v/>
      </c>
      <c r="J174" s="191">
        <v>0.69730000000000003</v>
      </c>
      <c r="K174" s="192">
        <f t="shared" si="9"/>
        <v>22</v>
      </c>
      <c r="L174" s="194">
        <v>45983</v>
      </c>
      <c r="M174" s="189">
        <f t="shared" si="10"/>
        <v>22</v>
      </c>
      <c r="N174" s="176">
        <v>0.65</v>
      </c>
      <c r="O174" s="112" t="s">
        <v>585</v>
      </c>
      <c r="P174" s="249" t="str">
        <f>+UPPER(TEXT(Tabla4[[#This Row],[transferencia]],"mmmm"))</f>
        <v>DICIEMBRE</v>
      </c>
      <c r="Q174" t="s">
        <v>256</v>
      </c>
      <c r="R174"/>
      <c r="S174" s="249"/>
      <c r="T174" s="249"/>
      <c r="U174" s="249"/>
      <c r="V174" s="249"/>
      <c r="W174" s="249"/>
      <c r="X174" s="249"/>
      <c r="Y174" s="249"/>
      <c r="Z174" s="249"/>
    </row>
    <row r="175" spans="1:26" s="152" customFormat="1" hidden="1" x14ac:dyDescent="0.25">
      <c r="A175" s="112" t="str">
        <f>+Tabla4[[#This Row],[PISCINA]]&amp;Tabla4[[#This Row],[AGUAJE]]</f>
        <v>DO 18AGUAJE 6</v>
      </c>
      <c r="B175" s="112" t="s">
        <v>297</v>
      </c>
      <c r="C175" s="249" t="str">
        <f t="shared" ref="C175:C203" si="12">+MID(A175,1,2)</f>
        <v>DO</v>
      </c>
      <c r="D175" s="194">
        <v>46007</v>
      </c>
      <c r="E175" s="172">
        <f>1565999+50000</f>
        <v>1615999</v>
      </c>
      <c r="F175" t="s">
        <v>417</v>
      </c>
      <c r="G175" s="190" t="s">
        <v>422</v>
      </c>
      <c r="H175" s="189" t="s">
        <v>419</v>
      </c>
      <c r="I175" s="166" t="str">
        <f>IFERROR(VLOOKUP(H175,DATOS!$E$117:$F$168,2,0),"")</f>
        <v>H10603</v>
      </c>
      <c r="J175" s="191">
        <v>0.68089999999999995</v>
      </c>
      <c r="K175" s="192">
        <f t="shared" si="9"/>
        <v>21</v>
      </c>
      <c r="L175" s="194">
        <v>45986</v>
      </c>
      <c r="M175" s="189">
        <f t="shared" si="10"/>
        <v>21</v>
      </c>
      <c r="N175" s="176">
        <v>0.51</v>
      </c>
      <c r="O175" s="112" t="s">
        <v>452</v>
      </c>
      <c r="P175" s="249" t="str">
        <f>+UPPER(TEXT(Tabla4[[#This Row],[transferencia]],"mmmm"))</f>
        <v>DICIEMBRE</v>
      </c>
      <c r="Q175" t="s">
        <v>291</v>
      </c>
      <c r="R175"/>
      <c r="S175" s="249"/>
      <c r="T175" s="249"/>
      <c r="U175" s="249"/>
      <c r="V175" s="249"/>
      <c r="W175" s="249"/>
      <c r="X175" s="249"/>
      <c r="Y175" s="249"/>
      <c r="Z175" s="249"/>
    </row>
    <row r="176" spans="1:26" s="152" customFormat="1" hidden="1" x14ac:dyDescent="0.25">
      <c r="A176" s="112" t="str">
        <f>+Tabla4[[#This Row],[PISCINA]]&amp;Tabla4[[#This Row],[AGUAJE]]</f>
        <v>DE 08AGUAJE 5</v>
      </c>
      <c r="B176" s="112" t="s">
        <v>276</v>
      </c>
      <c r="C176" t="str">
        <f t="shared" si="12"/>
        <v>DE</v>
      </c>
      <c r="D176" s="194">
        <v>46008</v>
      </c>
      <c r="E176" s="172">
        <v>1222500</v>
      </c>
      <c r="F176" t="s">
        <v>417</v>
      </c>
      <c r="G176" s="190" t="s">
        <v>418</v>
      </c>
      <c r="H176" s="190" t="s">
        <v>418</v>
      </c>
      <c r="I176" s="166" t="str">
        <f>IFERROR(VLOOKUP(H176,DATOS!$E$117:$F$168,2,0),"")</f>
        <v>H10234</v>
      </c>
      <c r="J176" s="191">
        <v>0.64339999999999997</v>
      </c>
      <c r="K176" s="192">
        <f t="shared" si="9"/>
        <v>20</v>
      </c>
      <c r="L176" s="194">
        <v>45988</v>
      </c>
      <c r="M176" s="189">
        <f t="shared" si="10"/>
        <v>20</v>
      </c>
      <c r="N176" s="176">
        <v>0.32</v>
      </c>
      <c r="O176" s="112" t="s">
        <v>586</v>
      </c>
      <c r="P176" t="str">
        <f>+UPPER(TEXT(Tabla4[[#This Row],[transferencia]],"mmmm"))</f>
        <v>DICIEMBRE</v>
      </c>
      <c r="Q176" t="s">
        <v>256</v>
      </c>
      <c r="R176"/>
      <c r="S176" s="249"/>
      <c r="T176" s="249"/>
      <c r="U176" s="249"/>
      <c r="V176" s="249"/>
      <c r="W176" s="249"/>
      <c r="X176" s="249"/>
      <c r="Y176" s="249"/>
      <c r="Z176" s="249"/>
    </row>
    <row r="177" spans="1:26" s="152" customFormat="1" hidden="1" x14ac:dyDescent="0.25">
      <c r="A177" s="112" t="str">
        <f>+Tabla4[[#This Row],[PISCINA]]&amp;Tabla4[[#This Row],[AGUAJE]]</f>
        <v>TI 04AGUAJE 5</v>
      </c>
      <c r="B177" s="112" t="s">
        <v>289</v>
      </c>
      <c r="C177" s="249" t="str">
        <f t="shared" si="12"/>
        <v>TI</v>
      </c>
      <c r="D177" s="194">
        <v>46009</v>
      </c>
      <c r="E177" s="172">
        <v>1572000</v>
      </c>
      <c r="F177" t="s">
        <v>417</v>
      </c>
      <c r="G177" s="190" t="s">
        <v>422</v>
      </c>
      <c r="H177" s="189" t="s">
        <v>431</v>
      </c>
      <c r="I177" s="166" t="str">
        <f>IFERROR(VLOOKUP(H177,DATOS!$E$117:$F$168,2,0),"")</f>
        <v>H10534B</v>
      </c>
      <c r="J177" s="191">
        <v>0.87360000000000004</v>
      </c>
      <c r="K177" s="192">
        <f t="shared" si="9"/>
        <v>20</v>
      </c>
      <c r="L177" s="194">
        <v>45989</v>
      </c>
      <c r="M177" s="189">
        <f t="shared" si="10"/>
        <v>20</v>
      </c>
      <c r="N177" s="176">
        <v>0.47</v>
      </c>
      <c r="O177" s="112" t="s">
        <v>587</v>
      </c>
      <c r="P177" s="249" t="str">
        <f>+UPPER(TEXT(Tabla4[[#This Row],[transferencia]],"mmmm"))</f>
        <v>DICIEMBRE</v>
      </c>
      <c r="Q177" t="s">
        <v>256</v>
      </c>
      <c r="R177"/>
      <c r="S177" s="249"/>
      <c r="T177" s="249"/>
      <c r="U177" s="249"/>
      <c r="V177" s="249"/>
      <c r="W177" s="249"/>
      <c r="X177" s="249"/>
      <c r="Y177" s="249"/>
      <c r="Z177" s="249"/>
    </row>
    <row r="178" spans="1:26" s="152" customFormat="1" hidden="1" x14ac:dyDescent="0.25">
      <c r="A178" s="112" t="str">
        <f>+Tabla4[[#This Row],[PISCINA]]&amp;Tabla4[[#This Row],[AGUAJE]]</f>
        <v>PR 01AGUAJE 4</v>
      </c>
      <c r="B178" s="112" t="s">
        <v>251</v>
      </c>
      <c r="C178" t="str">
        <f t="shared" si="12"/>
        <v>PR</v>
      </c>
      <c r="D178" s="194">
        <v>46010</v>
      </c>
      <c r="E178" s="172">
        <v>960000</v>
      </c>
      <c r="F178" t="s">
        <v>417</v>
      </c>
      <c r="G178" s="190" t="s">
        <v>422</v>
      </c>
      <c r="H178" s="189" t="s">
        <v>423</v>
      </c>
      <c r="I178" s="166" t="str">
        <f>IFERROR(VLOOKUP(H178,DATOS!$E$117:$F$168,2,0),"")</f>
        <v>H10611</v>
      </c>
      <c r="J178" s="191">
        <v>0.68569999999999998</v>
      </c>
      <c r="K178" s="192">
        <f t="shared" si="9"/>
        <v>19</v>
      </c>
      <c r="L178" s="194">
        <v>45991</v>
      </c>
      <c r="M178" s="189">
        <f t="shared" si="10"/>
        <v>19</v>
      </c>
      <c r="N178" s="176">
        <v>0.5</v>
      </c>
      <c r="O178" s="112" t="s">
        <v>588</v>
      </c>
      <c r="P178" t="str">
        <f>+UPPER(TEXT(Tabla4[[#This Row],[transferencia]],"mmmm"))</f>
        <v>DICIEMBRE</v>
      </c>
      <c r="Q178" t="s">
        <v>225</v>
      </c>
      <c r="R178"/>
      <c r="S178" s="249"/>
      <c r="T178" s="249"/>
      <c r="U178" s="249"/>
      <c r="V178" s="249"/>
      <c r="W178" s="249"/>
      <c r="X178" s="249"/>
      <c r="Y178" s="249"/>
      <c r="Z178" s="249"/>
    </row>
    <row r="179" spans="1:26" s="152" customFormat="1" hidden="1" x14ac:dyDescent="0.25">
      <c r="A179" s="112" t="str">
        <f>+Tabla4[[#This Row],[PISCINA]]&amp;Tabla4[[#This Row],[AGUAJE]]</f>
        <v>PR 12AGUAJE 5</v>
      </c>
      <c r="B179" s="112" t="s">
        <v>261</v>
      </c>
      <c r="C179" t="str">
        <f t="shared" si="12"/>
        <v>PR</v>
      </c>
      <c r="D179" s="194">
        <v>46010</v>
      </c>
      <c r="E179" s="172">
        <v>680000</v>
      </c>
      <c r="F179" t="s">
        <v>417</v>
      </c>
      <c r="G179" s="190" t="s">
        <v>422</v>
      </c>
      <c r="H179" s="189" t="s">
        <v>423</v>
      </c>
      <c r="I179" s="166" t="str">
        <f>IFERROR(VLOOKUP(H179,DATOS!$E$117:$F$168,2,0),"")</f>
        <v>H10611</v>
      </c>
      <c r="J179" s="191">
        <v>0.61819999999999997</v>
      </c>
      <c r="K179" s="192">
        <f t="shared" si="9"/>
        <v>19</v>
      </c>
      <c r="L179" s="194">
        <v>45991</v>
      </c>
      <c r="M179" s="189">
        <f t="shared" si="10"/>
        <v>19</v>
      </c>
      <c r="N179" s="176">
        <v>0.5</v>
      </c>
      <c r="O179" s="112" t="s">
        <v>589</v>
      </c>
      <c r="P179" t="str">
        <f>+UPPER(TEXT(Tabla4[[#This Row],[transferencia]],"mmmm"))</f>
        <v>DICIEMBRE</v>
      </c>
      <c r="Q179" t="s">
        <v>256</v>
      </c>
      <c r="R179"/>
      <c r="S179" s="249"/>
      <c r="T179" s="249"/>
      <c r="U179" s="249"/>
      <c r="V179" s="249"/>
      <c r="W179" s="249"/>
      <c r="X179" s="249"/>
      <c r="Y179" s="249"/>
      <c r="Z179" s="249"/>
    </row>
    <row r="180" spans="1:26" s="152" customFormat="1" hidden="1" x14ac:dyDescent="0.25">
      <c r="A180" s="112" t="str">
        <f>+Tabla4[[#This Row],[PISCINA]]&amp;Tabla4[[#This Row],[AGUAJE]]</f>
        <v>CH 19AGUAJE 5</v>
      </c>
      <c r="B180" s="112" t="s">
        <v>30</v>
      </c>
      <c r="C180" t="str">
        <f t="shared" si="12"/>
        <v>CH</v>
      </c>
      <c r="D180" s="194">
        <v>46011</v>
      </c>
      <c r="E180" s="172">
        <v>1750000</v>
      </c>
      <c r="F180" t="s">
        <v>417</v>
      </c>
      <c r="G180" s="190" t="s">
        <v>418</v>
      </c>
      <c r="H180" s="190" t="s">
        <v>418</v>
      </c>
      <c r="I180" s="166" t="str">
        <f>IFERROR(VLOOKUP(H180,DATOS!$E$117:$F$168,2,0),"")</f>
        <v>H10234</v>
      </c>
      <c r="J180" s="191">
        <v>0.7</v>
      </c>
      <c r="K180" s="192">
        <f t="shared" si="9"/>
        <v>23</v>
      </c>
      <c r="L180" s="194">
        <v>45988</v>
      </c>
      <c r="M180" s="189">
        <f t="shared" si="10"/>
        <v>23</v>
      </c>
      <c r="N180" s="176">
        <v>0.55000000000000004</v>
      </c>
      <c r="O180" s="112" t="s">
        <v>470</v>
      </c>
      <c r="P180" t="str">
        <f>+UPPER(TEXT(Tabla4[[#This Row],[transferencia]],"mmmm"))</f>
        <v>DICIEMBRE</v>
      </c>
      <c r="Q180" t="s">
        <v>256</v>
      </c>
      <c r="R180"/>
      <c r="S180" s="249"/>
      <c r="T180" s="249"/>
      <c r="U180" s="249"/>
      <c r="V180" s="249"/>
      <c r="W180" s="249"/>
      <c r="X180" s="249"/>
      <c r="Y180" s="249"/>
      <c r="Z180" s="249"/>
    </row>
    <row r="181" spans="1:26" s="152" customFormat="1" hidden="1" x14ac:dyDescent="0.25">
      <c r="A181" s="112" t="str">
        <f>+Tabla4[[#This Row],[PISCINA]]&amp;Tabla4[[#This Row],[AGUAJE]]</f>
        <v>ME 01AGUAJE 5</v>
      </c>
      <c r="B181" s="112" t="s">
        <v>281</v>
      </c>
      <c r="C181" s="249" t="str">
        <f t="shared" si="12"/>
        <v>ME</v>
      </c>
      <c r="D181" s="194">
        <v>46011</v>
      </c>
      <c r="E181" s="172">
        <v>192000</v>
      </c>
      <c r="F181" t="s">
        <v>417</v>
      </c>
      <c r="G181" s="190" t="s">
        <v>422</v>
      </c>
      <c r="H181" s="189" t="s">
        <v>431</v>
      </c>
      <c r="I181" s="166" t="str">
        <f>IFERROR(VLOOKUP(H181,DATOS!$E$117:$F$168,2,0),"")</f>
        <v>H10534B</v>
      </c>
      <c r="J181" s="191">
        <v>0.63280000000000003</v>
      </c>
      <c r="K181" s="192">
        <f t="shared" si="9"/>
        <v>22</v>
      </c>
      <c r="L181" s="194">
        <v>45989</v>
      </c>
      <c r="M181" s="189">
        <f t="shared" si="10"/>
        <v>22</v>
      </c>
      <c r="N181" s="176">
        <v>0.5</v>
      </c>
      <c r="O181" s="112" t="s">
        <v>590</v>
      </c>
      <c r="P181" s="249" t="str">
        <f>+UPPER(TEXT(Tabla4[[#This Row],[transferencia]],"mmmm"))</f>
        <v>DICIEMBRE</v>
      </c>
      <c r="Q181" t="s">
        <v>256</v>
      </c>
      <c r="R181"/>
      <c r="S181" s="249"/>
      <c r="T181" s="249"/>
      <c r="U181" s="249"/>
      <c r="V181" s="249"/>
      <c r="W181" s="249"/>
      <c r="X181" s="249"/>
      <c r="Y181" s="249"/>
      <c r="Z181" s="249"/>
    </row>
    <row r="182" spans="1:26" s="152" customFormat="1" hidden="1" x14ac:dyDescent="0.25">
      <c r="A182" s="112" t="str">
        <f>+Tabla4[[#This Row],[PISCINA]]&amp;Tabla4[[#This Row],[AGUAJE]]</f>
        <v>ME 02AGUAJE 5</v>
      </c>
      <c r="B182" s="112" t="s">
        <v>278</v>
      </c>
      <c r="C182" s="249" t="str">
        <f t="shared" si="12"/>
        <v>ME</v>
      </c>
      <c r="D182" s="194">
        <v>46011</v>
      </c>
      <c r="E182" s="172">
        <v>368000</v>
      </c>
      <c r="F182" t="s">
        <v>417</v>
      </c>
      <c r="G182" s="190" t="s">
        <v>422</v>
      </c>
      <c r="H182" s="189" t="s">
        <v>431</v>
      </c>
      <c r="I182" s="166" t="str">
        <f>IFERROR(VLOOKUP(H182,DATOS!$E$117:$F$168,2,0),"")</f>
        <v>H10534B</v>
      </c>
      <c r="J182" s="191">
        <v>0.63280000000000003</v>
      </c>
      <c r="K182" s="192">
        <f t="shared" si="9"/>
        <v>22</v>
      </c>
      <c r="L182" s="194">
        <v>45989</v>
      </c>
      <c r="M182" s="189">
        <f t="shared" si="10"/>
        <v>22</v>
      </c>
      <c r="N182" s="176">
        <v>0.5</v>
      </c>
      <c r="O182" s="112" t="s">
        <v>590</v>
      </c>
      <c r="P182" s="249" t="str">
        <f>+UPPER(TEXT(Tabla4[[#This Row],[transferencia]],"mmmm"))</f>
        <v>DICIEMBRE</v>
      </c>
      <c r="Q182" t="s">
        <v>256</v>
      </c>
      <c r="R182"/>
      <c r="S182" s="249"/>
      <c r="T182" s="249"/>
      <c r="U182" s="249"/>
      <c r="V182" s="249"/>
      <c r="W182" s="249"/>
      <c r="X182" s="249"/>
      <c r="Y182" s="249"/>
      <c r="Z182" s="249"/>
    </row>
    <row r="183" spans="1:26" s="152" customFormat="1" hidden="1" x14ac:dyDescent="0.25">
      <c r="A183" s="112" t="str">
        <f>+Tabla4[[#This Row],[PISCINA]]&amp;Tabla4[[#This Row],[AGUAJE]]</f>
        <v>ME 03AGUAJE 4</v>
      </c>
      <c r="B183" s="112" t="s">
        <v>227</v>
      </c>
      <c r="C183" t="str">
        <f t="shared" si="12"/>
        <v>ME</v>
      </c>
      <c r="D183" s="194">
        <v>46011</v>
      </c>
      <c r="E183" s="172">
        <v>433500</v>
      </c>
      <c r="F183" t="s">
        <v>417</v>
      </c>
      <c r="G183" s="190" t="s">
        <v>422</v>
      </c>
      <c r="H183" s="189" t="s">
        <v>431</v>
      </c>
      <c r="I183" s="166" t="str">
        <f>IFERROR(VLOOKUP(H183,DATOS!$E$117:$F$168,2,0),"")</f>
        <v>H10534B</v>
      </c>
      <c r="J183" s="191">
        <v>0.63280000000000003</v>
      </c>
      <c r="K183" s="192">
        <f t="shared" si="9"/>
        <v>22</v>
      </c>
      <c r="L183" s="194">
        <v>45989</v>
      </c>
      <c r="M183" s="189">
        <f t="shared" si="10"/>
        <v>22</v>
      </c>
      <c r="N183" s="176">
        <v>0.5</v>
      </c>
      <c r="O183" s="112" t="s">
        <v>590</v>
      </c>
      <c r="P183" t="str">
        <f>+UPPER(TEXT(Tabla4[[#This Row],[transferencia]],"mmmm"))</f>
        <v>DICIEMBRE</v>
      </c>
      <c r="Q183" t="s">
        <v>225</v>
      </c>
      <c r="R183"/>
      <c r="S183" s="249"/>
      <c r="T183" s="249"/>
      <c r="U183" s="249"/>
      <c r="V183" s="249"/>
      <c r="W183" s="249"/>
      <c r="X183" s="249"/>
      <c r="Y183" s="249"/>
      <c r="Z183" s="249"/>
    </row>
    <row r="184" spans="1:26" s="152" customFormat="1" hidden="1" x14ac:dyDescent="0.25">
      <c r="A184" s="112" t="str">
        <f>+Tabla4[[#This Row],[PISCINA]]&amp;Tabla4[[#This Row],[AGUAJE]]</f>
        <v>ME 04AGUAJE 5</v>
      </c>
      <c r="B184" s="112" t="s">
        <v>274</v>
      </c>
      <c r="C184" s="249" t="str">
        <f t="shared" si="12"/>
        <v>ME</v>
      </c>
      <c r="D184" s="194">
        <v>46011</v>
      </c>
      <c r="E184" s="172">
        <v>810000</v>
      </c>
      <c r="F184" t="s">
        <v>417</v>
      </c>
      <c r="G184" s="190" t="s">
        <v>422</v>
      </c>
      <c r="H184" s="189" t="s">
        <v>431</v>
      </c>
      <c r="I184" s="166" t="str">
        <f>IFERROR(VLOOKUP(H184,DATOS!$E$117:$F$168,2,0),"")</f>
        <v>H10534B</v>
      </c>
      <c r="J184" s="191">
        <v>0.63280000000000003</v>
      </c>
      <c r="K184" s="192">
        <f t="shared" si="9"/>
        <v>22</v>
      </c>
      <c r="L184" s="194">
        <v>45989</v>
      </c>
      <c r="M184" s="189">
        <f t="shared" si="10"/>
        <v>22</v>
      </c>
      <c r="N184" s="176">
        <v>0.5</v>
      </c>
      <c r="O184" s="112" t="s">
        <v>590</v>
      </c>
      <c r="P184" s="249" t="str">
        <f>+UPPER(TEXT(Tabla4[[#This Row],[transferencia]],"mmmm"))</f>
        <v>DICIEMBRE</v>
      </c>
      <c r="Q184" t="s">
        <v>256</v>
      </c>
      <c r="R184"/>
      <c r="S184" s="249"/>
      <c r="T184" s="249"/>
      <c r="U184" s="249"/>
      <c r="V184" s="249"/>
      <c r="W184" s="249"/>
      <c r="X184" s="249"/>
      <c r="Y184" s="249"/>
      <c r="Z184" s="249"/>
    </row>
    <row r="185" spans="1:26" s="152" customFormat="1" hidden="1" x14ac:dyDescent="0.25">
      <c r="A185" s="112" t="str">
        <f>+Tabla4[[#This Row],[PISCINA]]&amp;Tabla4[[#This Row],[AGUAJE]]</f>
        <v>PA 12</v>
      </c>
      <c r="B185" s="112" t="s">
        <v>332</v>
      </c>
      <c r="C185" s="249" t="str">
        <f t="shared" si="12"/>
        <v>PA</v>
      </c>
      <c r="D185" s="194">
        <v>46011</v>
      </c>
      <c r="E185" s="172">
        <v>2777500</v>
      </c>
      <c r="F185" t="s">
        <v>417</v>
      </c>
      <c r="G185" s="190" t="s">
        <v>422</v>
      </c>
      <c r="H185" s="189" t="s">
        <v>591</v>
      </c>
      <c r="I185" s="166" t="str">
        <f>IFERROR(VLOOKUP(H185,DATOS!$E$117:$F$168,2,0),"")</f>
        <v/>
      </c>
      <c r="J185" s="191">
        <v>0.79420000000000002</v>
      </c>
      <c r="K185" s="192">
        <f t="shared" si="9"/>
        <v>25</v>
      </c>
      <c r="L185" s="194">
        <v>45986</v>
      </c>
      <c r="M185" s="189">
        <f t="shared" si="10"/>
        <v>25</v>
      </c>
      <c r="N185" s="176">
        <v>0.77500000000000002</v>
      </c>
      <c r="O185" s="112" t="s">
        <v>592</v>
      </c>
      <c r="P185" s="249" t="str">
        <f>+UPPER(TEXT(Tabla4[[#This Row],[transferencia]],"mmmm"))</f>
        <v>DICIEMBRE</v>
      </c>
      <c r="Q185" s="249"/>
      <c r="R185"/>
      <c r="S185" s="249"/>
      <c r="T185" s="249"/>
      <c r="U185" s="249"/>
      <c r="V185" s="249"/>
      <c r="W185" s="249"/>
      <c r="X185" s="249"/>
      <c r="Y185" s="249"/>
      <c r="Z185" s="249"/>
    </row>
    <row r="186" spans="1:26" s="152" customFormat="1" hidden="1" x14ac:dyDescent="0.25">
      <c r="A186" s="112" t="str">
        <f>+Tabla4[[#This Row],[PISCINA]]&amp;Tabla4[[#This Row],[AGUAJE]]</f>
        <v>CH 03AGUAJE 5</v>
      </c>
      <c r="B186" s="112" t="s">
        <v>9</v>
      </c>
      <c r="C186" s="249" t="str">
        <f t="shared" si="12"/>
        <v>CH</v>
      </c>
      <c r="D186" s="194">
        <v>46012</v>
      </c>
      <c r="E186" s="172">
        <v>1161000</v>
      </c>
      <c r="F186" t="s">
        <v>417</v>
      </c>
      <c r="G186" s="190" t="s">
        <v>422</v>
      </c>
      <c r="H186" s="189" t="s">
        <v>419</v>
      </c>
      <c r="I186" s="166" t="str">
        <f>IFERROR(VLOOKUP(H186,DATOS!$E$117:$F$168,2,0),"")</f>
        <v>H10603</v>
      </c>
      <c r="J186" s="191">
        <v>0.72560000000000002</v>
      </c>
      <c r="K186" s="192">
        <f t="shared" si="9"/>
        <v>26</v>
      </c>
      <c r="L186" s="194">
        <v>45986</v>
      </c>
      <c r="M186" s="189">
        <f t="shared" si="10"/>
        <v>26</v>
      </c>
      <c r="N186" s="176">
        <v>0.7</v>
      </c>
      <c r="O186" s="112" t="s">
        <v>8</v>
      </c>
      <c r="P186" s="249" t="str">
        <f>+UPPER(TEXT(Tabla4[[#This Row],[transferencia]],"mmmm"))</f>
        <v>DICIEMBRE</v>
      </c>
      <c r="Q186" t="s">
        <v>256</v>
      </c>
      <c r="R186"/>
      <c r="S186" s="249"/>
      <c r="T186" s="249"/>
      <c r="U186" s="249"/>
      <c r="V186" s="249"/>
      <c r="W186" s="249"/>
      <c r="X186" s="249"/>
      <c r="Y186" s="249"/>
      <c r="Z186" s="249"/>
    </row>
    <row r="187" spans="1:26" s="152" customFormat="1" hidden="1" x14ac:dyDescent="0.25">
      <c r="A187" s="112" t="str">
        <f>+Tabla4[[#This Row],[PISCINA]]&amp;Tabla4[[#This Row],[AGUAJE]]</f>
        <v>ME 10AGUAJE 5</v>
      </c>
      <c r="B187" s="112" t="s">
        <v>282</v>
      </c>
      <c r="C187" s="249" t="str">
        <f t="shared" si="12"/>
        <v>ME</v>
      </c>
      <c r="D187" s="194">
        <v>46012</v>
      </c>
      <c r="E187" s="172">
        <v>1445000</v>
      </c>
      <c r="F187" t="s">
        <v>417</v>
      </c>
      <c r="G187" s="190" t="s">
        <v>422</v>
      </c>
      <c r="H187" s="189" t="s">
        <v>423</v>
      </c>
      <c r="I187" s="166" t="str">
        <f>IFERROR(VLOOKUP(H187,DATOS!$E$117:$F$168,2,0),"")</f>
        <v>H10611</v>
      </c>
      <c r="J187" s="191">
        <v>0.7</v>
      </c>
      <c r="K187" s="192">
        <f t="shared" si="9"/>
        <v>21</v>
      </c>
      <c r="L187" s="194">
        <v>45991</v>
      </c>
      <c r="M187" s="189">
        <f t="shared" si="10"/>
        <v>21</v>
      </c>
      <c r="N187" s="245">
        <v>0.5</v>
      </c>
      <c r="O187" s="112" t="s">
        <v>593</v>
      </c>
      <c r="P187" s="249" t="str">
        <f>+UPPER(TEXT(Tabla4[[#This Row],[transferencia]],"mmmm"))</f>
        <v>DICIEMBRE</v>
      </c>
      <c r="Q187" t="s">
        <v>256</v>
      </c>
      <c r="R187"/>
      <c r="S187" s="249"/>
      <c r="T187" s="249"/>
      <c r="U187" s="249"/>
      <c r="V187" s="249"/>
      <c r="W187" s="249"/>
      <c r="X187" s="249"/>
      <c r="Y187" s="249"/>
      <c r="Z187" s="249"/>
    </row>
    <row r="188" spans="1:26" s="152" customFormat="1" hidden="1" x14ac:dyDescent="0.25">
      <c r="A188" s="112" t="str">
        <f>+Tabla4[[#This Row],[PISCINA]]&amp;Tabla4[[#This Row],[AGUAJE]]</f>
        <v>CH 06AGUAJE 6</v>
      </c>
      <c r="B188" s="112" t="s">
        <v>12</v>
      </c>
      <c r="C188" s="249" t="str">
        <f t="shared" si="12"/>
        <v>CH</v>
      </c>
      <c r="D188" s="194">
        <v>46013</v>
      </c>
      <c r="E188" s="172">
        <v>815400</v>
      </c>
      <c r="F188" s="249" t="s">
        <v>417</v>
      </c>
      <c r="G188" s="190" t="s">
        <v>422</v>
      </c>
      <c r="H188" s="189" t="s">
        <v>423</v>
      </c>
      <c r="I188" s="166" t="str">
        <f>IFERROR(VLOOKUP(H188,DATOS!$E$117:$F$168,2,0),"")</f>
        <v>H10611</v>
      </c>
      <c r="J188" s="191">
        <v>0.63759999999999994</v>
      </c>
      <c r="K188" s="192">
        <f t="shared" si="9"/>
        <v>22</v>
      </c>
      <c r="L188" s="194">
        <v>45991</v>
      </c>
      <c r="M188" s="189">
        <f t="shared" si="10"/>
        <v>22</v>
      </c>
      <c r="N188" s="176">
        <v>0.55000000000000004</v>
      </c>
      <c r="O188" s="112" t="s">
        <v>487</v>
      </c>
      <c r="P188" s="249" t="str">
        <f>+UPPER(TEXT(Tabla4[[#This Row],[transferencia]],"mmmm"))</f>
        <v>DICIEMBRE</v>
      </c>
      <c r="Q188" t="s">
        <v>291</v>
      </c>
      <c r="R188"/>
      <c r="S188" s="249"/>
      <c r="T188" s="249"/>
      <c r="U188" s="249"/>
      <c r="V188" s="249"/>
      <c r="W188" s="249"/>
      <c r="X188" s="249"/>
      <c r="Y188" s="249"/>
      <c r="Z188" s="249"/>
    </row>
    <row r="189" spans="1:26" s="152" customFormat="1" hidden="1" x14ac:dyDescent="0.25">
      <c r="A189" s="112" t="str">
        <f>+Tabla4[[#This Row],[PISCINA]]&amp;Tabla4[[#This Row],[AGUAJE]]</f>
        <v>CH 07AGUAJE 5</v>
      </c>
      <c r="B189" s="112" t="s">
        <v>13</v>
      </c>
      <c r="C189" s="249" t="str">
        <f t="shared" si="12"/>
        <v>CH</v>
      </c>
      <c r="D189" s="194">
        <v>46013</v>
      </c>
      <c r="E189" s="172">
        <v>396000</v>
      </c>
      <c r="F189" t="s">
        <v>417</v>
      </c>
      <c r="G189" s="190" t="s">
        <v>422</v>
      </c>
      <c r="H189" s="189" t="s">
        <v>423</v>
      </c>
      <c r="I189" s="166" t="str">
        <f>IFERROR(VLOOKUP(H189,DATOS!$E$117:$F$168,2,0),"")</f>
        <v>H10611</v>
      </c>
      <c r="J189" s="191">
        <v>0.63759999999999994</v>
      </c>
      <c r="K189" s="192">
        <f t="shared" si="9"/>
        <v>22</v>
      </c>
      <c r="L189" s="194">
        <v>45991</v>
      </c>
      <c r="M189" s="189">
        <f t="shared" si="10"/>
        <v>22</v>
      </c>
      <c r="N189" s="176">
        <v>0.55000000000000004</v>
      </c>
      <c r="O189" s="112" t="s">
        <v>594</v>
      </c>
      <c r="P189" s="249" t="str">
        <f>+UPPER(TEXT(Tabla4[[#This Row],[transferencia]],"mmmm"))</f>
        <v>DICIEMBRE</v>
      </c>
      <c r="Q189" t="s">
        <v>256</v>
      </c>
      <c r="R189"/>
      <c r="S189" s="249"/>
      <c r="T189" s="249"/>
      <c r="U189" s="249"/>
      <c r="V189" s="249"/>
      <c r="W189" s="249"/>
      <c r="X189" s="249"/>
      <c r="Y189" s="249"/>
      <c r="Z189" s="249"/>
    </row>
    <row r="190" spans="1:26" s="152" customFormat="1" hidden="1" x14ac:dyDescent="0.25">
      <c r="A190" s="112" t="str">
        <f>+Tabla4[[#This Row],[PISCINA]]&amp;Tabla4[[#This Row],[AGUAJE]]</f>
        <v>DE 01AGUAJE 6</v>
      </c>
      <c r="B190" s="112" t="s">
        <v>296</v>
      </c>
      <c r="C190" s="249" t="str">
        <f t="shared" si="12"/>
        <v>DE</v>
      </c>
      <c r="D190" s="194">
        <v>46013</v>
      </c>
      <c r="E190" s="172">
        <v>1292000</v>
      </c>
      <c r="F190" t="s">
        <v>417</v>
      </c>
      <c r="G190" s="190" t="s">
        <v>422</v>
      </c>
      <c r="H190" s="189" t="s">
        <v>419</v>
      </c>
      <c r="I190" s="166" t="str">
        <f>IFERROR(VLOOKUP(H190,DATOS!$E$117:$F$168,2,0),"")</f>
        <v>H10603</v>
      </c>
      <c r="J190" s="191">
        <v>0.73829999999999996</v>
      </c>
      <c r="K190" s="192">
        <f t="shared" ref="K190:K252" si="13">+D190-L190</f>
        <v>27</v>
      </c>
      <c r="L190" s="194">
        <v>45986</v>
      </c>
      <c r="M190" s="189">
        <f t="shared" ref="M190:M252" si="14">+D190-L190</f>
        <v>27</v>
      </c>
      <c r="N190" s="176">
        <v>0.8</v>
      </c>
      <c r="O190" s="112" t="s">
        <v>595</v>
      </c>
      <c r="P190" s="249" t="str">
        <f>+UPPER(TEXT(Tabla4[[#This Row],[transferencia]],"mmmm"))</f>
        <v>DICIEMBRE</v>
      </c>
      <c r="Q190" t="s">
        <v>291</v>
      </c>
      <c r="R190"/>
      <c r="S190" s="249"/>
      <c r="T190" s="249"/>
      <c r="U190" s="249"/>
      <c r="V190" s="249"/>
      <c r="W190" s="249"/>
      <c r="X190" s="249"/>
      <c r="Y190" s="249"/>
      <c r="Z190" s="249"/>
    </row>
    <row r="191" spans="1:26" s="152" customFormat="1" hidden="1" x14ac:dyDescent="0.25">
      <c r="A191" s="112" t="str">
        <f>+Tabla4[[#This Row],[PISCINA]]&amp;Tabla4[[#This Row],[AGUAJE]]</f>
        <v>DO 01AGUAJE 5</v>
      </c>
      <c r="B191" s="112" t="s">
        <v>270</v>
      </c>
      <c r="C191" s="249" t="str">
        <f t="shared" si="12"/>
        <v>DO</v>
      </c>
      <c r="D191" s="194">
        <v>46013</v>
      </c>
      <c r="E191" s="172">
        <v>691135</v>
      </c>
      <c r="F191" s="249" t="s">
        <v>417</v>
      </c>
      <c r="G191" s="190" t="s">
        <v>418</v>
      </c>
      <c r="H191" s="190" t="s">
        <v>418</v>
      </c>
      <c r="I191" s="166" t="str">
        <f>IFERROR(VLOOKUP(H191,DATOS!$E$117:$F$168,2,0),"")</f>
        <v>H10234</v>
      </c>
      <c r="J191" s="191">
        <v>0.7913</v>
      </c>
      <c r="K191" s="192">
        <f t="shared" si="13"/>
        <v>30</v>
      </c>
      <c r="L191" s="194">
        <v>45983</v>
      </c>
      <c r="M191" s="189">
        <f t="shared" si="14"/>
        <v>30</v>
      </c>
      <c r="N191" s="176">
        <v>6.7</v>
      </c>
      <c r="O191" s="112" t="s">
        <v>523</v>
      </c>
      <c r="P191" s="249" t="str">
        <f>+UPPER(TEXT(Tabla4[[#This Row],[transferencia]],"mmmm"))</f>
        <v>DICIEMBRE</v>
      </c>
      <c r="Q191" t="s">
        <v>256</v>
      </c>
      <c r="R191"/>
      <c r="S191" s="249"/>
      <c r="T191" s="249"/>
      <c r="U191" s="249"/>
      <c r="V191" s="249"/>
      <c r="W191" s="249"/>
      <c r="X191" s="249"/>
      <c r="Y191" s="249"/>
      <c r="Z191" s="249"/>
    </row>
    <row r="192" spans="1:26" s="152" customFormat="1" hidden="1" x14ac:dyDescent="0.25">
      <c r="A192" s="112" t="str">
        <f>+Tabla4[[#This Row],[PISCINA]]&amp;Tabla4[[#This Row],[AGUAJE]]</f>
        <v>DO 03AGUAJE 5</v>
      </c>
      <c r="B192" s="112" t="s">
        <v>260</v>
      </c>
      <c r="C192" t="str">
        <f t="shared" si="12"/>
        <v>DO</v>
      </c>
      <c r="D192" s="194">
        <v>46018</v>
      </c>
      <c r="E192" s="172">
        <v>551207</v>
      </c>
      <c r="F192" t="s">
        <v>417</v>
      </c>
      <c r="G192" s="190" t="s">
        <v>418</v>
      </c>
      <c r="H192" s="190" t="s">
        <v>418</v>
      </c>
      <c r="I192" s="166" t="str">
        <f>IFERROR(VLOOKUP(H192,DATOS!$E$117:$F$168,2,0),"")</f>
        <v>H10234</v>
      </c>
      <c r="J192" s="191">
        <v>0.7913</v>
      </c>
      <c r="K192" s="192">
        <f t="shared" si="13"/>
        <v>35</v>
      </c>
      <c r="L192" s="194">
        <v>45983</v>
      </c>
      <c r="M192" s="189">
        <f t="shared" si="14"/>
        <v>35</v>
      </c>
      <c r="N192" s="176">
        <v>6.21</v>
      </c>
      <c r="O192" s="112" t="s">
        <v>596</v>
      </c>
      <c r="P192" t="str">
        <f>+UPPER(TEXT(Tabla4[[#This Row],[transferencia]],"mmmm"))</f>
        <v>DICIEMBRE</v>
      </c>
      <c r="Q192" t="s">
        <v>256</v>
      </c>
      <c r="R192"/>
      <c r="S192" s="249"/>
      <c r="T192" s="249"/>
      <c r="U192" s="249"/>
      <c r="V192" s="249"/>
      <c r="W192" s="249"/>
      <c r="X192" s="249"/>
      <c r="Y192" s="249"/>
      <c r="Z192" s="249"/>
    </row>
    <row r="193" spans="1:26" s="152" customFormat="1" hidden="1" x14ac:dyDescent="0.25">
      <c r="A193" s="112" t="str">
        <f>+Tabla4[[#This Row],[PISCINA]]&amp;Tabla4[[#This Row],[AGUAJE]]</f>
        <v>TI 15AGUAJE 6</v>
      </c>
      <c r="B193" s="112" t="s">
        <v>300</v>
      </c>
      <c r="C193" s="249" t="str">
        <f t="shared" si="12"/>
        <v>TI</v>
      </c>
      <c r="D193" s="194">
        <v>46013</v>
      </c>
      <c r="E193" s="172">
        <v>2198400</v>
      </c>
      <c r="F193" t="s">
        <v>417</v>
      </c>
      <c r="G193" s="190" t="s">
        <v>422</v>
      </c>
      <c r="H193" s="189" t="s">
        <v>419</v>
      </c>
      <c r="I193" s="166" t="str">
        <f>IFERROR(VLOOKUP(H193,DATOS!$E$117:$F$168,2,0),"")</f>
        <v>H10603</v>
      </c>
      <c r="J193" s="191">
        <v>0.81430000000000002</v>
      </c>
      <c r="K193" s="192">
        <f t="shared" si="13"/>
        <v>20</v>
      </c>
      <c r="L193" s="194">
        <v>45993</v>
      </c>
      <c r="M193" s="189">
        <f t="shared" si="14"/>
        <v>20</v>
      </c>
      <c r="N193" s="176">
        <v>0.46</v>
      </c>
      <c r="O193" s="112" t="s">
        <v>597</v>
      </c>
      <c r="P193" s="249" t="str">
        <f>+UPPER(TEXT(Tabla4[[#This Row],[transferencia]],"mmmm"))</f>
        <v>DICIEMBRE</v>
      </c>
      <c r="Q193" t="s">
        <v>291</v>
      </c>
      <c r="R193"/>
      <c r="S193" s="249"/>
      <c r="T193" s="249"/>
      <c r="U193" s="249"/>
      <c r="V193" s="249"/>
      <c r="W193" s="249"/>
      <c r="X193" s="249"/>
      <c r="Y193" s="249"/>
      <c r="Z193" s="249"/>
    </row>
    <row r="194" spans="1:26" s="152" customFormat="1" hidden="1" x14ac:dyDescent="0.25">
      <c r="A194" s="112" t="str">
        <f>+Tabla4[[#This Row],[PISCINA]]&amp;Tabla4[[#This Row],[AGUAJE]]</f>
        <v>PA 17AGUAJE 6</v>
      </c>
      <c r="B194" s="112" t="s">
        <v>306</v>
      </c>
      <c r="C194" s="249" t="str">
        <f t="shared" si="12"/>
        <v>PA</v>
      </c>
      <c r="D194" s="194">
        <v>46015</v>
      </c>
      <c r="E194" s="172">
        <v>1232000</v>
      </c>
      <c r="F194" s="249" t="s">
        <v>417</v>
      </c>
      <c r="G194" s="190" t="s">
        <v>422</v>
      </c>
      <c r="H194" s="189" t="s">
        <v>454</v>
      </c>
      <c r="I194" s="166">
        <f>IFERROR(VLOOKUP(H194,DATOS!$E$117:$F$168,2,0),"")</f>
        <v>0</v>
      </c>
      <c r="J194" s="191">
        <v>0.5867</v>
      </c>
      <c r="K194" s="192">
        <f t="shared" si="13"/>
        <v>30</v>
      </c>
      <c r="L194" s="194">
        <v>45985</v>
      </c>
      <c r="M194" s="189">
        <f t="shared" si="14"/>
        <v>30</v>
      </c>
      <c r="N194" s="176">
        <v>1.05</v>
      </c>
      <c r="O194" s="112" t="s">
        <v>598</v>
      </c>
      <c r="P194" s="249" t="str">
        <f>+UPPER(TEXT(Tabla4[[#This Row],[transferencia]],"mmmm"))</f>
        <v>DICIEMBRE</v>
      </c>
      <c r="Q194" t="s">
        <v>291</v>
      </c>
      <c r="R194"/>
      <c r="S194" s="249"/>
      <c r="T194" s="249"/>
      <c r="U194" s="249"/>
      <c r="V194" s="249"/>
      <c r="W194" s="249"/>
      <c r="X194" s="249"/>
      <c r="Y194" s="249"/>
      <c r="Z194" s="249"/>
    </row>
    <row r="195" spans="1:26" s="152" customFormat="1" hidden="1" x14ac:dyDescent="0.25">
      <c r="A195" s="112" t="str">
        <f>+Tabla4[[#This Row],[PISCINA]]&amp;Tabla4[[#This Row],[AGUAJE]]</f>
        <v>RO 05AGUAJE 5</v>
      </c>
      <c r="B195" s="112" t="s">
        <v>285</v>
      </c>
      <c r="C195" t="str">
        <f t="shared" si="12"/>
        <v>RO</v>
      </c>
      <c r="D195" s="194">
        <v>46015</v>
      </c>
      <c r="E195" s="172">
        <v>3212000</v>
      </c>
      <c r="F195" t="s">
        <v>417</v>
      </c>
      <c r="G195" s="190" t="s">
        <v>422</v>
      </c>
      <c r="H195" s="189" t="s">
        <v>428</v>
      </c>
      <c r="I195" s="166" t="str">
        <f>IFERROR(VLOOKUP(H195,DATOS!$E$117:$F$168,2,0),"")</f>
        <v/>
      </c>
      <c r="J195" s="191">
        <v>0.66</v>
      </c>
      <c r="K195" s="192">
        <f t="shared" si="13"/>
        <v>23</v>
      </c>
      <c r="L195" s="194">
        <v>45992</v>
      </c>
      <c r="M195" s="189">
        <f t="shared" si="14"/>
        <v>23</v>
      </c>
      <c r="N195" s="176">
        <v>0.47</v>
      </c>
      <c r="O195" s="112" t="s">
        <v>599</v>
      </c>
      <c r="P195" t="str">
        <f>+UPPER(TEXT(Tabla4[[#This Row],[transferencia]],"mmmm"))</f>
        <v>DICIEMBRE</v>
      </c>
      <c r="Q195" t="s">
        <v>256</v>
      </c>
      <c r="R195"/>
      <c r="S195" s="249"/>
      <c r="T195" s="249"/>
      <c r="U195" s="249"/>
      <c r="V195" s="249"/>
      <c r="W195" s="249"/>
      <c r="X195" s="249"/>
      <c r="Y195" s="249"/>
      <c r="Z195" s="249"/>
    </row>
    <row r="196" spans="1:26" s="152" customFormat="1" hidden="1" x14ac:dyDescent="0.25">
      <c r="A196" s="112" t="str">
        <f>+Tabla4[[#This Row],[PISCINA]]&amp;Tabla4[[#This Row],[AGUAJE]]</f>
        <v>DO 29AGUAJE 5</v>
      </c>
      <c r="B196" s="112" t="s">
        <v>286</v>
      </c>
      <c r="C196" t="str">
        <f t="shared" si="12"/>
        <v>DO</v>
      </c>
      <c r="D196" s="194">
        <v>46016</v>
      </c>
      <c r="E196" s="172">
        <v>1097988</v>
      </c>
      <c r="F196" t="s">
        <v>417</v>
      </c>
      <c r="G196" s="190" t="s">
        <v>422</v>
      </c>
      <c r="H196" s="189" t="s">
        <v>433</v>
      </c>
      <c r="I196" s="166" t="str">
        <f>IFERROR(VLOOKUP(H196,DATOS!$E$117:$F$168,2,0),"")</f>
        <v>H10586</v>
      </c>
      <c r="J196" s="191">
        <v>0.74050000000000005</v>
      </c>
      <c r="K196" s="192">
        <f t="shared" si="13"/>
        <v>26</v>
      </c>
      <c r="L196" s="194">
        <v>45990</v>
      </c>
      <c r="M196" s="189">
        <f t="shared" si="14"/>
        <v>26</v>
      </c>
      <c r="N196" s="176">
        <v>0.54</v>
      </c>
      <c r="O196" s="112" t="s">
        <v>600</v>
      </c>
      <c r="P196" t="str">
        <f>+UPPER(TEXT(Tabla4[[#This Row],[transferencia]],"mmmm"))</f>
        <v>DICIEMBRE</v>
      </c>
      <c r="Q196" t="s">
        <v>256</v>
      </c>
      <c r="R196"/>
      <c r="S196" s="249"/>
      <c r="T196" s="249"/>
      <c r="U196" s="249"/>
      <c r="V196" s="249"/>
      <c r="W196" s="249"/>
      <c r="X196" s="249"/>
      <c r="Y196" s="249"/>
      <c r="Z196" s="249"/>
    </row>
    <row r="197" spans="1:26" s="152" customFormat="1" hidden="1" x14ac:dyDescent="0.25">
      <c r="A197" s="112" t="str">
        <f>+Tabla4[[#This Row],[PISCINA]]&amp;Tabla4[[#This Row],[AGUAJE]]</f>
        <v>RO 15AGUAJE 6</v>
      </c>
      <c r="B197" s="112" t="s">
        <v>294</v>
      </c>
      <c r="C197" t="str">
        <f t="shared" si="12"/>
        <v>RO</v>
      </c>
      <c r="D197" s="194">
        <v>46016</v>
      </c>
      <c r="E197" s="172">
        <v>2533000</v>
      </c>
      <c r="F197" t="s">
        <v>417</v>
      </c>
      <c r="G197" s="190" t="s">
        <v>422</v>
      </c>
      <c r="H197" s="189" t="s">
        <v>454</v>
      </c>
      <c r="I197" s="166">
        <f>IFERROR(VLOOKUP(H197,DATOS!$E$117:$F$168,2,0),"")</f>
        <v>0</v>
      </c>
      <c r="J197" s="191">
        <v>0.72370000000000001</v>
      </c>
      <c r="K197" s="192">
        <f t="shared" si="13"/>
        <v>23</v>
      </c>
      <c r="L197" s="194">
        <v>45993</v>
      </c>
      <c r="M197" s="189">
        <f t="shared" si="14"/>
        <v>23</v>
      </c>
      <c r="N197" s="176">
        <v>0.38</v>
      </c>
      <c r="O197" s="112" t="s">
        <v>497</v>
      </c>
      <c r="P197" t="str">
        <f>+UPPER(TEXT(Tabla4[[#This Row],[transferencia]],"mmmm"))</f>
        <v>DICIEMBRE</v>
      </c>
      <c r="Q197" t="s">
        <v>291</v>
      </c>
      <c r="R197"/>
      <c r="S197" s="249"/>
      <c r="T197" s="249"/>
      <c r="U197" s="249"/>
      <c r="V197" s="249"/>
      <c r="W197" s="249"/>
      <c r="X197" s="249"/>
      <c r="Y197" s="249"/>
      <c r="Z197" s="249"/>
    </row>
    <row r="198" spans="1:26" s="152" customFormat="1" hidden="1" x14ac:dyDescent="0.25">
      <c r="A198" s="112" t="str">
        <f>+Tabla4[[#This Row],[PISCINA]]&amp;Tabla4[[#This Row],[AGUAJE]]</f>
        <v>TI 05AGUAJE 6</v>
      </c>
      <c r="B198" s="112" t="s">
        <v>315</v>
      </c>
      <c r="C198" t="str">
        <f t="shared" si="12"/>
        <v>TI</v>
      </c>
      <c r="D198" s="194">
        <v>46016</v>
      </c>
      <c r="E198" s="172">
        <v>1849600</v>
      </c>
      <c r="F198" t="s">
        <v>417</v>
      </c>
      <c r="G198" s="190" t="s">
        <v>422</v>
      </c>
      <c r="H198" s="189" t="s">
        <v>528</v>
      </c>
      <c r="I198" s="166" t="str">
        <f>IFERROR(VLOOKUP(H198,DATOS!$E$117:$F$168,2,0),"")</f>
        <v>H10534A</v>
      </c>
      <c r="J198" s="191">
        <v>0.73980000000000001</v>
      </c>
      <c r="K198" s="192">
        <f t="shared" si="13"/>
        <v>20</v>
      </c>
      <c r="L198" s="194">
        <v>45996</v>
      </c>
      <c r="M198" s="189">
        <f t="shared" si="14"/>
        <v>20</v>
      </c>
      <c r="N198" s="176">
        <v>0.45</v>
      </c>
      <c r="O198" s="112" t="s">
        <v>601</v>
      </c>
      <c r="P198" t="str">
        <f>+UPPER(TEXT(Tabla4[[#This Row],[transferencia]],"mmmm"))</f>
        <v>DICIEMBRE</v>
      </c>
      <c r="Q198" t="s">
        <v>291</v>
      </c>
      <c r="R198"/>
      <c r="S198" s="249"/>
      <c r="T198" s="249"/>
      <c r="U198" s="249"/>
      <c r="V198" s="249"/>
      <c r="W198" s="249"/>
      <c r="X198" s="249"/>
      <c r="Y198" s="249"/>
      <c r="Z198" s="249"/>
    </row>
    <row r="199" spans="1:26" s="152" customFormat="1" hidden="1" x14ac:dyDescent="0.25">
      <c r="A199" s="112" t="str">
        <f>+Tabla4[[#This Row],[PISCINA]]&amp;Tabla4[[#This Row],[AGUAJE]]</f>
        <v>DO 24AGUAJE 6</v>
      </c>
      <c r="B199" s="112" t="s">
        <v>307</v>
      </c>
      <c r="C199" s="249" t="str">
        <f t="shared" si="12"/>
        <v>DO</v>
      </c>
      <c r="D199" s="194">
        <v>46017</v>
      </c>
      <c r="E199" s="172">
        <v>2600580</v>
      </c>
      <c r="F199" t="s">
        <v>417</v>
      </c>
      <c r="G199" s="190" t="s">
        <v>422</v>
      </c>
      <c r="H199" s="189" t="s">
        <v>454</v>
      </c>
      <c r="I199" s="166">
        <f>IFERROR(VLOOKUP(H199,DATOS!$E$117:$F$168,2,0),"")</f>
        <v>0</v>
      </c>
      <c r="J199" s="191">
        <v>0.74029999999999996</v>
      </c>
      <c r="K199" s="192">
        <f t="shared" si="13"/>
        <v>24</v>
      </c>
      <c r="L199" s="194">
        <v>45993</v>
      </c>
      <c r="M199" s="189">
        <f t="shared" si="14"/>
        <v>24</v>
      </c>
      <c r="N199" s="176">
        <v>0.67</v>
      </c>
      <c r="O199" s="112" t="s">
        <v>602</v>
      </c>
      <c r="P199" s="249" t="str">
        <f>+UPPER(TEXT(Tabla4[[#This Row],[transferencia]],"mmmm"))</f>
        <v>DICIEMBRE</v>
      </c>
      <c r="Q199" t="s">
        <v>291</v>
      </c>
      <c r="R199"/>
      <c r="S199" s="249"/>
      <c r="T199" s="249"/>
      <c r="U199" s="249"/>
      <c r="V199" s="249"/>
      <c r="W199" s="249"/>
      <c r="X199" s="249"/>
      <c r="Y199" s="249"/>
      <c r="Z199" s="249"/>
    </row>
    <row r="200" spans="1:26" s="152" customFormat="1" ht="15" hidden="1" customHeight="1" x14ac:dyDescent="0.25">
      <c r="A200" s="112" t="str">
        <f>+Tabla4[[#This Row],[PISCINA]]&amp;Tabla4[[#This Row],[AGUAJE]]</f>
        <v>WA 36AGUAJE 7</v>
      </c>
      <c r="B200" s="112" t="s">
        <v>328</v>
      </c>
      <c r="C200" s="249" t="str">
        <f t="shared" si="12"/>
        <v>WA</v>
      </c>
      <c r="D200" s="194">
        <v>46017</v>
      </c>
      <c r="E200" s="172">
        <v>1550000</v>
      </c>
      <c r="F200" t="s">
        <v>417</v>
      </c>
      <c r="G200" s="190" t="s">
        <v>422</v>
      </c>
      <c r="H200" s="189" t="s">
        <v>419</v>
      </c>
      <c r="I200" s="166" t="str">
        <f>IFERROR(VLOOKUP(H200,DATOS!$E$117:$F$168,2,0),"")</f>
        <v>H10603</v>
      </c>
      <c r="J200" s="191">
        <v>0.64580000000000004</v>
      </c>
      <c r="K200" s="192">
        <f t="shared" si="13"/>
        <v>24</v>
      </c>
      <c r="L200" s="194">
        <v>45993</v>
      </c>
      <c r="M200" s="189">
        <f t="shared" si="14"/>
        <v>24</v>
      </c>
      <c r="N200" s="176">
        <v>0.63</v>
      </c>
      <c r="O200" s="112" t="s">
        <v>603</v>
      </c>
      <c r="P200" s="249" t="str">
        <f>+UPPER(TEXT(Tabla4[[#This Row],[transferencia]],"mmmm"))</f>
        <v>DICIEMBRE</v>
      </c>
      <c r="Q200" t="s">
        <v>319</v>
      </c>
      <c r="R200"/>
      <c r="S200" s="249"/>
      <c r="T200" s="249"/>
      <c r="U200" s="249"/>
      <c r="V200" s="249"/>
      <c r="W200" s="249"/>
      <c r="X200" s="249"/>
      <c r="Y200" s="249"/>
      <c r="Z200" s="249"/>
    </row>
    <row r="201" spans="1:26" s="152" customFormat="1" ht="16.5" hidden="1" customHeight="1" x14ac:dyDescent="0.25">
      <c r="A201" s="112" t="str">
        <f>+Tabla4[[#This Row],[PISCINA]]&amp;Tabla4[[#This Row],[AGUAJE]]</f>
        <v>PR 10AGUAJE 5</v>
      </c>
      <c r="B201" s="112" t="s">
        <v>288</v>
      </c>
      <c r="C201" s="249" t="str">
        <f t="shared" si="12"/>
        <v>PR</v>
      </c>
      <c r="D201" s="194">
        <v>46018</v>
      </c>
      <c r="E201" s="172">
        <v>2160000</v>
      </c>
      <c r="F201" t="s">
        <v>417</v>
      </c>
      <c r="G201" s="190" t="s">
        <v>422</v>
      </c>
      <c r="H201" s="189" t="s">
        <v>528</v>
      </c>
      <c r="I201" s="166" t="str">
        <f>IFERROR(VLOOKUP(H201,DATOS!$E$117:$F$168,2,0),"")</f>
        <v>H10534A</v>
      </c>
      <c r="J201" s="191">
        <v>0.68569999999999998</v>
      </c>
      <c r="K201" s="192">
        <f t="shared" si="13"/>
        <v>22</v>
      </c>
      <c r="L201" s="194">
        <v>45996</v>
      </c>
      <c r="M201" s="189">
        <f t="shared" si="14"/>
        <v>22</v>
      </c>
      <c r="N201" s="176">
        <v>0.35</v>
      </c>
      <c r="O201" s="112" t="s">
        <v>604</v>
      </c>
      <c r="P201" s="249" t="str">
        <f>+UPPER(TEXT(Tabla4[[#This Row],[transferencia]],"mmmm"))</f>
        <v>DICIEMBRE</v>
      </c>
      <c r="Q201" t="s">
        <v>256</v>
      </c>
      <c r="R201"/>
      <c r="S201" s="249"/>
      <c r="T201" s="249"/>
      <c r="U201" s="249"/>
      <c r="V201" s="249"/>
      <c r="W201" s="249"/>
      <c r="X201" s="249"/>
      <c r="Y201" s="249"/>
      <c r="Z201" s="249"/>
    </row>
    <row r="202" spans="1:26" s="152" customFormat="1" hidden="1" x14ac:dyDescent="0.25">
      <c r="A202" s="112" t="str">
        <f>+Tabla4[[#This Row],[PISCINA]]&amp;Tabla4[[#This Row],[AGUAJE]]</f>
        <v>TI 16AGUAJE 6</v>
      </c>
      <c r="B202" s="112" t="s">
        <v>303</v>
      </c>
      <c r="C202" t="str">
        <f t="shared" si="12"/>
        <v>TI</v>
      </c>
      <c r="D202" s="194">
        <v>46018</v>
      </c>
      <c r="E202" s="172">
        <v>2486400</v>
      </c>
      <c r="F202" t="s">
        <v>417</v>
      </c>
      <c r="G202" s="190" t="s">
        <v>422</v>
      </c>
      <c r="H202" s="189" t="s">
        <v>450</v>
      </c>
      <c r="I202" s="166">
        <f>IFERROR(VLOOKUP(H202,DATOS!$E$117:$F$168,2,0),"")</f>
        <v>0</v>
      </c>
      <c r="J202" s="191">
        <v>0.80210000000000004</v>
      </c>
      <c r="K202" s="192">
        <f t="shared" si="13"/>
        <v>21</v>
      </c>
      <c r="L202" s="194">
        <v>45997</v>
      </c>
      <c r="M202" s="189">
        <f t="shared" si="14"/>
        <v>21</v>
      </c>
      <c r="N202" s="176">
        <v>0.48</v>
      </c>
      <c r="O202" s="112" t="s">
        <v>605</v>
      </c>
      <c r="P202" t="str">
        <f>+UPPER(TEXT(Tabla4[[#This Row],[transferencia]],"mmmm"))</f>
        <v>DICIEMBRE</v>
      </c>
      <c r="Q202" t="s">
        <v>291</v>
      </c>
      <c r="R202" s="210"/>
      <c r="S202" s="249"/>
      <c r="T202" s="249"/>
      <c r="U202" s="249"/>
      <c r="V202" s="249"/>
      <c r="W202" s="249"/>
      <c r="X202" s="249"/>
      <c r="Y202" s="249"/>
      <c r="Z202" s="249"/>
    </row>
    <row r="203" spans="1:26" s="152" customFormat="1" hidden="1" x14ac:dyDescent="0.25">
      <c r="A203" s="112" t="str">
        <f>+Tabla4[[#This Row],[PISCINA]]&amp;Tabla4[[#This Row],[AGUAJE]]</f>
        <v>WA 11AGUAJE 7</v>
      </c>
      <c r="B203" s="112" t="s">
        <v>324</v>
      </c>
      <c r="C203" s="249" t="str">
        <f t="shared" si="12"/>
        <v>WA</v>
      </c>
      <c r="D203" s="194">
        <v>46018</v>
      </c>
      <c r="E203" s="172">
        <v>1648000</v>
      </c>
      <c r="F203" t="s">
        <v>417</v>
      </c>
      <c r="G203" s="190" t="s">
        <v>422</v>
      </c>
      <c r="H203" s="189" t="s">
        <v>419</v>
      </c>
      <c r="I203" s="166" t="str">
        <f>IFERROR(VLOOKUP(H203,DATOS!$E$117:$F$168,2,0),"")</f>
        <v>H10603</v>
      </c>
      <c r="J203" s="191">
        <v>0.68669999999999998</v>
      </c>
      <c r="K203" s="192">
        <f t="shared" si="13"/>
        <v>25</v>
      </c>
      <c r="L203" s="194">
        <v>45993</v>
      </c>
      <c r="M203" s="189">
        <f t="shared" si="14"/>
        <v>25</v>
      </c>
      <c r="N203" s="176">
        <v>0.72</v>
      </c>
      <c r="O203" s="112" t="s">
        <v>606</v>
      </c>
      <c r="P203" s="249" t="str">
        <f>+UPPER(TEXT(Tabla4[[#This Row],[transferencia]],"mmmm"))</f>
        <v>DICIEMBRE</v>
      </c>
      <c r="Q203" t="s">
        <v>319</v>
      </c>
      <c r="R203"/>
      <c r="S203" s="249"/>
      <c r="T203" s="249"/>
      <c r="U203" s="249"/>
      <c r="V203" s="249"/>
      <c r="W203" s="249"/>
      <c r="X203" s="249"/>
      <c r="Y203" s="249"/>
      <c r="Z203" s="249"/>
    </row>
    <row r="204" spans="1:26" s="152" customFormat="1" hidden="1" x14ac:dyDescent="0.25">
      <c r="A204" s="112" t="str">
        <f>+Tabla4[[#This Row],[PISCINA]]&amp;Tabla4[[#This Row],[AGUAJE]]</f>
        <v>PR 07AGUAJE 5</v>
      </c>
      <c r="B204" s="207" t="s">
        <v>272</v>
      </c>
      <c r="C204" s="249"/>
      <c r="D204" s="194">
        <v>46019</v>
      </c>
      <c r="E204" s="172">
        <v>720000</v>
      </c>
      <c r="F204" t="s">
        <v>417</v>
      </c>
      <c r="G204" s="190" t="s">
        <v>422</v>
      </c>
      <c r="H204" s="189" t="s">
        <v>447</v>
      </c>
      <c r="I204" s="166">
        <f>IFERROR(VLOOKUP(H204,DATOS!$E$117:$F$168,2,0),"")</f>
        <v>0</v>
      </c>
      <c r="J204" s="191">
        <v>0.72</v>
      </c>
      <c r="K204" s="192">
        <f t="shared" si="13"/>
        <v>24</v>
      </c>
      <c r="L204" s="194">
        <v>45995</v>
      </c>
      <c r="M204" s="189">
        <f t="shared" si="14"/>
        <v>24</v>
      </c>
      <c r="N204" s="245">
        <v>0.55000000000000004</v>
      </c>
      <c r="O204" s="112" t="s">
        <v>607</v>
      </c>
      <c r="P204" s="249" t="str">
        <f>+UPPER(TEXT(Tabla4[[#This Row],[transferencia]],"mmmm"))</f>
        <v>DICIEMBRE</v>
      </c>
      <c r="Q204" s="249" t="s">
        <v>256</v>
      </c>
      <c r="R204"/>
      <c r="S204" s="249"/>
      <c r="T204" s="249"/>
      <c r="U204" s="249"/>
      <c r="V204" s="249"/>
      <c r="W204" s="249"/>
      <c r="X204" s="249"/>
      <c r="Y204" s="249"/>
      <c r="Z204" s="249"/>
    </row>
    <row r="205" spans="1:26" s="152" customFormat="1" hidden="1" x14ac:dyDescent="0.25">
      <c r="A205" s="112" t="str">
        <f>+Tabla4[[#This Row],[PISCINA]]&amp;Tabla4[[#This Row],[AGUAJE]]</f>
        <v>PR 18AGUAJE 5</v>
      </c>
      <c r="B205" s="112" t="s">
        <v>284</v>
      </c>
      <c r="C205" t="str">
        <f t="shared" ref="C205:C235" si="15">+MID(A205,1,2)</f>
        <v>PR</v>
      </c>
      <c r="D205" s="194">
        <v>46019</v>
      </c>
      <c r="E205" s="172">
        <v>720000</v>
      </c>
      <c r="F205" t="s">
        <v>417</v>
      </c>
      <c r="G205" s="190" t="s">
        <v>422</v>
      </c>
      <c r="H205" s="189" t="s">
        <v>450</v>
      </c>
      <c r="I205" s="166">
        <f>IFERROR(VLOOKUP(H205,DATOS!$E$117:$F$168,2,0),"")</f>
        <v>0</v>
      </c>
      <c r="J205" s="191">
        <v>0.65449999999999997</v>
      </c>
      <c r="K205" s="192">
        <f t="shared" si="13"/>
        <v>22</v>
      </c>
      <c r="L205" s="194">
        <v>45997</v>
      </c>
      <c r="M205" s="189">
        <f t="shared" si="14"/>
        <v>22</v>
      </c>
      <c r="N205" s="176">
        <v>0.45</v>
      </c>
      <c r="O205" s="112" t="s">
        <v>608</v>
      </c>
      <c r="P205" t="str">
        <f>+UPPER(TEXT(Tabla4[[#This Row],[transferencia]],"mmmm"))</f>
        <v>DICIEMBRE</v>
      </c>
      <c r="Q205" t="s">
        <v>256</v>
      </c>
      <c r="R205"/>
      <c r="S205" s="249"/>
      <c r="T205" s="249"/>
      <c r="U205" s="249"/>
      <c r="V205" s="249"/>
      <c r="W205" s="249"/>
      <c r="X205" s="249"/>
      <c r="Y205" s="249"/>
      <c r="Z205" s="249"/>
    </row>
    <row r="206" spans="1:26" s="152" customFormat="1" hidden="1" x14ac:dyDescent="0.25">
      <c r="A206" s="112" t="str">
        <f>+Tabla4[[#This Row],[PISCINA]]&amp;Tabla4[[#This Row],[AGUAJE]]</f>
        <v>PR 20AGUAJE 5</v>
      </c>
      <c r="B206" s="112" t="s">
        <v>275</v>
      </c>
      <c r="C206" t="str">
        <f t="shared" si="15"/>
        <v>PR</v>
      </c>
      <c r="D206" s="194">
        <v>46019</v>
      </c>
      <c r="E206" s="172">
        <v>720000</v>
      </c>
      <c r="F206" t="s">
        <v>417</v>
      </c>
      <c r="G206" s="190" t="s">
        <v>422</v>
      </c>
      <c r="H206" s="189" t="s">
        <v>450</v>
      </c>
      <c r="I206" s="166">
        <f>IFERROR(VLOOKUP(H206,DATOS!$E$117:$F$168,2,0),"")</f>
        <v>0</v>
      </c>
      <c r="J206" s="191">
        <v>0.65449999999999997</v>
      </c>
      <c r="K206" s="192">
        <f t="shared" si="13"/>
        <v>22</v>
      </c>
      <c r="L206" s="194">
        <v>45997</v>
      </c>
      <c r="M206" s="189">
        <f t="shared" si="14"/>
        <v>22</v>
      </c>
      <c r="N206" s="176">
        <v>0.45</v>
      </c>
      <c r="O206" s="112" t="s">
        <v>608</v>
      </c>
      <c r="P206" t="str">
        <f>+UPPER(TEXT(Tabla4[[#This Row],[transferencia]],"mmmm"))</f>
        <v>DICIEMBRE</v>
      </c>
      <c r="Q206" t="s">
        <v>256</v>
      </c>
      <c r="R206"/>
      <c r="S206" s="249"/>
      <c r="T206" s="249"/>
      <c r="U206" s="249"/>
      <c r="V206" s="249"/>
      <c r="W206" s="249"/>
      <c r="X206" s="249"/>
      <c r="Y206" s="249"/>
      <c r="Z206" s="249"/>
    </row>
    <row r="207" spans="1:26" s="152" customFormat="1" hidden="1" x14ac:dyDescent="0.25">
      <c r="A207" s="112" t="str">
        <f>+Tabla4[[#This Row],[PISCINA]]&amp;Tabla4[[#This Row],[AGUAJE]]</f>
        <v>TA 18AGUAJE 6</v>
      </c>
      <c r="B207" s="112" t="s">
        <v>305</v>
      </c>
      <c r="C207" t="str">
        <f t="shared" si="15"/>
        <v>TA</v>
      </c>
      <c r="D207" s="194">
        <v>46019</v>
      </c>
      <c r="E207" s="172">
        <v>1824000</v>
      </c>
      <c r="F207" t="s">
        <v>417</v>
      </c>
      <c r="G207" s="190" t="s">
        <v>422</v>
      </c>
      <c r="H207" s="189" t="s">
        <v>450</v>
      </c>
      <c r="I207" s="166">
        <f>IFERROR(VLOOKUP(H207,DATOS!$E$117:$F$168,2,0),"")</f>
        <v>0</v>
      </c>
      <c r="J207" s="191">
        <v>0.79300000000000004</v>
      </c>
      <c r="K207" s="192">
        <f t="shared" si="13"/>
        <v>22</v>
      </c>
      <c r="L207" s="194">
        <v>45997</v>
      </c>
      <c r="M207" s="189">
        <f t="shared" si="14"/>
        <v>22</v>
      </c>
      <c r="N207" s="176">
        <v>0.4</v>
      </c>
      <c r="O207" s="112" t="s">
        <v>609</v>
      </c>
      <c r="P207" t="str">
        <f>+UPPER(TEXT(Tabla4[[#This Row],[transferencia]],"mmmm"))</f>
        <v>DICIEMBRE</v>
      </c>
      <c r="Q207" t="s">
        <v>291</v>
      </c>
      <c r="R207"/>
      <c r="S207" s="249"/>
      <c r="T207" s="249"/>
      <c r="U207" s="249"/>
      <c r="V207" s="249"/>
      <c r="W207" s="249"/>
      <c r="X207" s="249"/>
      <c r="Y207" s="249"/>
      <c r="Z207" s="249"/>
    </row>
    <row r="208" spans="1:26" s="152" customFormat="1" hidden="1" x14ac:dyDescent="0.25">
      <c r="A208" s="112" t="str">
        <f>+Tabla4[[#This Row],[PISCINA]]&amp;Tabla4[[#This Row],[AGUAJE]]</f>
        <v>PA 06AGUAJE 6</v>
      </c>
      <c r="B208" s="112" t="s">
        <v>304</v>
      </c>
      <c r="C208" t="str">
        <f t="shared" si="15"/>
        <v>PA</v>
      </c>
      <c r="D208" s="194">
        <v>46020</v>
      </c>
      <c r="E208" s="172">
        <v>1488000</v>
      </c>
      <c r="F208" t="s">
        <v>417</v>
      </c>
      <c r="G208" s="190" t="s">
        <v>422</v>
      </c>
      <c r="H208" s="189" t="s">
        <v>610</v>
      </c>
      <c r="I208" s="166" t="str">
        <f>IFERROR(VLOOKUP(H208,DATOS!$E$117:$F$168,2,0),"")</f>
        <v/>
      </c>
      <c r="J208" s="191">
        <v>0.76910000000000001</v>
      </c>
      <c r="K208" s="192">
        <f t="shared" si="13"/>
        <v>22</v>
      </c>
      <c r="L208" s="194">
        <v>45998</v>
      </c>
      <c r="M208" s="189">
        <f t="shared" si="14"/>
        <v>22</v>
      </c>
      <c r="N208" s="176">
        <v>1.88</v>
      </c>
      <c r="O208" s="112" t="s">
        <v>611</v>
      </c>
      <c r="P208" t="str">
        <f>+UPPER(TEXT(Tabla4[[#This Row],[transferencia]],"mmmm"))</f>
        <v>DICIEMBRE</v>
      </c>
      <c r="Q208" t="s">
        <v>291</v>
      </c>
      <c r="R208" t="s">
        <v>291</v>
      </c>
      <c r="S208" s="249"/>
      <c r="T208" s="249"/>
      <c r="U208" s="249"/>
      <c r="V208" s="249"/>
      <c r="W208" s="249"/>
      <c r="X208" s="249"/>
      <c r="Y208" s="249"/>
      <c r="Z208" s="249"/>
    </row>
    <row r="209" spans="1:26" s="152" customFormat="1" hidden="1" x14ac:dyDescent="0.25">
      <c r="A209" s="112" t="str">
        <f>+Tabla4[[#This Row],[PISCINA]]&amp;Tabla4[[#This Row],[AGUAJE]]</f>
        <v>PA 13AGUAJE 5</v>
      </c>
      <c r="B209" s="112" t="s">
        <v>287</v>
      </c>
      <c r="C209" t="str">
        <f t="shared" si="15"/>
        <v>PA</v>
      </c>
      <c r="D209" s="194">
        <v>46020</v>
      </c>
      <c r="E209" s="172">
        <v>780000</v>
      </c>
      <c r="F209" t="s">
        <v>417</v>
      </c>
      <c r="G209" s="190" t="s">
        <v>422</v>
      </c>
      <c r="H209" s="189" t="s">
        <v>454</v>
      </c>
      <c r="I209" s="166">
        <f>IFERROR(VLOOKUP(H209,DATOS!$E$117:$F$168,2,0),"")</f>
        <v>0</v>
      </c>
      <c r="J209" s="191">
        <v>0.46</v>
      </c>
      <c r="K209" s="192">
        <f t="shared" si="13"/>
        <v>22</v>
      </c>
      <c r="L209" s="194">
        <v>45998</v>
      </c>
      <c r="M209" s="189">
        <f t="shared" si="14"/>
        <v>22</v>
      </c>
      <c r="N209" s="176">
        <v>0.7</v>
      </c>
      <c r="O209" s="112" t="s">
        <v>612</v>
      </c>
      <c r="P209" t="str">
        <f>+UPPER(TEXT(Tabla4[[#This Row],[transferencia]],"mmmm"))</f>
        <v>DICIEMBRE</v>
      </c>
      <c r="Q209" t="s">
        <v>256</v>
      </c>
      <c r="R209"/>
      <c r="S209" s="249"/>
      <c r="T209" s="249"/>
      <c r="U209" s="249"/>
      <c r="V209" s="249"/>
      <c r="W209" s="249"/>
      <c r="X209" s="249"/>
      <c r="Y209" s="249"/>
      <c r="Z209" s="249"/>
    </row>
    <row r="210" spans="1:26" s="152" customFormat="1" hidden="1" x14ac:dyDescent="0.25">
      <c r="A210" s="112" t="str">
        <f>+Tabla4[[#This Row],[PISCINA]]&amp;Tabla4[[#This Row],[AGUAJE]]</f>
        <v>TI 20AGUAJE 6</v>
      </c>
      <c r="B210" s="112" t="s">
        <v>313</v>
      </c>
      <c r="C210" s="249" t="str">
        <f t="shared" si="15"/>
        <v>TI</v>
      </c>
      <c r="D210" s="194">
        <v>46020</v>
      </c>
      <c r="E210" s="172">
        <v>780000</v>
      </c>
      <c r="F210" t="s">
        <v>417</v>
      </c>
      <c r="G210" s="190" t="s">
        <v>418</v>
      </c>
      <c r="H210" s="190" t="s">
        <v>418</v>
      </c>
      <c r="I210" s="166" t="str">
        <f>IFERROR(VLOOKUP(H210,DATOS!$E$117:$F$168,2,0),"")</f>
        <v>H10234</v>
      </c>
      <c r="J210" s="191">
        <v>0.86670000000000003</v>
      </c>
      <c r="K210" s="192">
        <f t="shared" si="13"/>
        <v>22</v>
      </c>
      <c r="L210" s="194">
        <v>45998</v>
      </c>
      <c r="M210" s="189">
        <f t="shared" si="14"/>
        <v>22</v>
      </c>
      <c r="N210" s="176">
        <v>0.44</v>
      </c>
      <c r="O210" s="112" t="s">
        <v>532</v>
      </c>
      <c r="P210" s="249" t="str">
        <f>+UPPER(TEXT(Tabla4[[#This Row],[transferencia]],"mmmm"))</f>
        <v>DICIEMBRE</v>
      </c>
      <c r="Q210" t="s">
        <v>291</v>
      </c>
      <c r="R210"/>
      <c r="S210" s="249"/>
      <c r="T210" s="249"/>
      <c r="U210" s="249"/>
      <c r="V210" s="249"/>
      <c r="W210" s="249"/>
      <c r="X210" s="249"/>
      <c r="Y210" s="249"/>
      <c r="Z210" s="249"/>
    </row>
    <row r="211" spans="1:26" s="152" customFormat="1" hidden="1" x14ac:dyDescent="0.25">
      <c r="A211" s="112" t="str">
        <f>+Tabla4[[#This Row],[PISCINA]]&amp;Tabla4[[#This Row],[AGUAJE]]</f>
        <v>PA 15AGUAJE 7</v>
      </c>
      <c r="B211" s="112" t="s">
        <v>325</v>
      </c>
      <c r="C211" t="str">
        <f t="shared" si="15"/>
        <v>PA</v>
      </c>
      <c r="D211" s="194">
        <v>46021</v>
      </c>
      <c r="E211" s="172">
        <v>3416666</v>
      </c>
      <c r="F211" t="s">
        <v>417</v>
      </c>
      <c r="G211" s="190" t="s">
        <v>418</v>
      </c>
      <c r="H211" s="190" t="s">
        <v>418</v>
      </c>
      <c r="I211" s="166" t="str">
        <f>IFERROR(VLOOKUP(H211,DATOS!$E$117:$F$168,2,0),"")</f>
        <v>H10234</v>
      </c>
      <c r="J211" s="191">
        <v>0.85419999999999996</v>
      </c>
      <c r="K211" s="192">
        <f t="shared" si="13"/>
        <v>23</v>
      </c>
      <c r="L211" s="194">
        <v>45998</v>
      </c>
      <c r="M211" s="189">
        <f t="shared" si="14"/>
        <v>23</v>
      </c>
      <c r="N211" s="176">
        <v>0.6</v>
      </c>
      <c r="O211" s="112" t="s">
        <v>613</v>
      </c>
      <c r="P211" t="str">
        <f>+UPPER(TEXT(Tabla4[[#This Row],[transferencia]],"mmmm"))</f>
        <v>DICIEMBRE</v>
      </c>
      <c r="Q211" t="s">
        <v>319</v>
      </c>
      <c r="R211"/>
      <c r="S211" s="249"/>
      <c r="T211" s="249"/>
      <c r="U211" s="249"/>
      <c r="V211" s="249"/>
      <c r="W211" s="249"/>
      <c r="X211" s="249"/>
      <c r="Y211" s="249"/>
      <c r="Z211" s="249"/>
    </row>
    <row r="212" spans="1:26" s="152" customFormat="1" hidden="1" x14ac:dyDescent="0.25">
      <c r="A212" s="112" t="str">
        <f>+Tabla4[[#This Row],[PISCINA]]&amp;Tabla4[[#This Row],[AGUAJE]]</f>
        <v>GT 01AGUAJE 5</v>
      </c>
      <c r="B212" s="112" t="s">
        <v>280</v>
      </c>
      <c r="C212" s="249" t="str">
        <f t="shared" si="15"/>
        <v>GT</v>
      </c>
      <c r="D212" s="194">
        <v>46024</v>
      </c>
      <c r="E212" s="172">
        <v>675000</v>
      </c>
      <c r="F212" t="s">
        <v>417</v>
      </c>
      <c r="G212" s="190" t="s">
        <v>418</v>
      </c>
      <c r="H212" s="189" t="s">
        <v>419</v>
      </c>
      <c r="I212" s="166" t="str">
        <f>IFERROR(VLOOKUP(H212,DATOS!$E$117:$F$168,2,0),"")</f>
        <v>H10603</v>
      </c>
      <c r="J212" s="191">
        <v>0.84379999999999999</v>
      </c>
      <c r="K212" s="192">
        <f t="shared" si="13"/>
        <v>19</v>
      </c>
      <c r="L212" s="194">
        <v>46005</v>
      </c>
      <c r="M212" s="189">
        <f t="shared" si="14"/>
        <v>19</v>
      </c>
      <c r="N212" s="176">
        <v>0.54</v>
      </c>
      <c r="O212" s="112" t="s">
        <v>614</v>
      </c>
      <c r="P212" s="249" t="str">
        <f>+UPPER(TEXT(Tabla4[[#This Row],[transferencia]],"mmmm"))</f>
        <v>ENERO</v>
      </c>
      <c r="Q212" t="s">
        <v>256</v>
      </c>
      <c r="R212"/>
      <c r="S212" s="249"/>
      <c r="T212" s="249"/>
      <c r="U212" s="249"/>
      <c r="V212" s="249"/>
      <c r="W212" s="249"/>
      <c r="X212" s="249"/>
      <c r="Y212" s="249"/>
      <c r="Z212" s="249"/>
    </row>
    <row r="213" spans="1:26" s="152" customFormat="1" hidden="1" x14ac:dyDescent="0.25">
      <c r="A213" s="112" t="str">
        <f>+Tabla4[[#This Row],[PISCINA]]&amp;Tabla4[[#This Row],[AGUAJE]]</f>
        <v>GT 12AGUAJE 6</v>
      </c>
      <c r="B213" s="112" t="s">
        <v>312</v>
      </c>
      <c r="C213" s="249" t="str">
        <f t="shared" si="15"/>
        <v>GT</v>
      </c>
      <c r="D213" s="194">
        <v>46024</v>
      </c>
      <c r="E213" s="172">
        <v>1200000</v>
      </c>
      <c r="F213" t="s">
        <v>417</v>
      </c>
      <c r="G213" s="190" t="s">
        <v>422</v>
      </c>
      <c r="H213" s="189" t="s">
        <v>615</v>
      </c>
      <c r="I213" s="166" t="str">
        <f>IFERROR(VLOOKUP(H213,DATOS!$E$117:$F$168,2,0),"")</f>
        <v>H10581B</v>
      </c>
      <c r="J213" s="191">
        <v>0.85419999999999996</v>
      </c>
      <c r="K213" s="192">
        <f t="shared" si="13"/>
        <v>18</v>
      </c>
      <c r="L213" s="194">
        <v>46006</v>
      </c>
      <c r="M213" s="189">
        <f t="shared" si="14"/>
        <v>18</v>
      </c>
      <c r="N213" s="176">
        <v>0.4</v>
      </c>
      <c r="O213" s="112" t="s">
        <v>464</v>
      </c>
      <c r="P213" s="249" t="str">
        <f>+UPPER(TEXT(Tabla4[[#This Row],[transferencia]],"mmmm"))</f>
        <v>ENERO</v>
      </c>
      <c r="Q213" t="s">
        <v>291</v>
      </c>
      <c r="R213"/>
      <c r="S213" s="249"/>
      <c r="T213" s="249"/>
      <c r="U213" s="249"/>
      <c r="V213" s="249"/>
      <c r="W213" s="249"/>
      <c r="X213" s="249"/>
      <c r="Y213" s="249"/>
      <c r="Z213" s="249"/>
    </row>
    <row r="214" spans="1:26" s="152" customFormat="1" hidden="1" x14ac:dyDescent="0.25">
      <c r="A214" s="112" t="str">
        <f>+Tabla4[[#This Row],[PISCINA]]&amp;Tabla4[[#This Row],[AGUAJE]]</f>
        <v>GT 13AGUAJE 6</v>
      </c>
      <c r="B214" s="112" t="s">
        <v>310</v>
      </c>
      <c r="C214" s="249" t="str">
        <f t="shared" si="15"/>
        <v>GT</v>
      </c>
      <c r="D214" s="194">
        <v>46024</v>
      </c>
      <c r="E214" s="172">
        <v>337500</v>
      </c>
      <c r="F214" t="s">
        <v>417</v>
      </c>
      <c r="G214" s="190" t="s">
        <v>422</v>
      </c>
      <c r="H214" s="189" t="s">
        <v>615</v>
      </c>
      <c r="I214" s="166" t="str">
        <f>IFERROR(VLOOKUP(H214,DATOS!$E$117:$F$168,2,0),"")</f>
        <v>H10581B</v>
      </c>
      <c r="J214" s="191">
        <v>0.85419999999999996</v>
      </c>
      <c r="K214" s="192">
        <f t="shared" si="13"/>
        <v>18</v>
      </c>
      <c r="L214" s="194">
        <v>46006</v>
      </c>
      <c r="M214" s="189">
        <f t="shared" si="14"/>
        <v>18</v>
      </c>
      <c r="N214" s="176">
        <v>0.4</v>
      </c>
      <c r="O214" s="112" t="s">
        <v>464</v>
      </c>
      <c r="P214" s="249" t="str">
        <f>+UPPER(TEXT(Tabla4[[#This Row],[transferencia]],"mmmm"))</f>
        <v>ENERO</v>
      </c>
      <c r="Q214" t="s">
        <v>291</v>
      </c>
      <c r="R214"/>
      <c r="S214" s="249"/>
      <c r="T214" s="249"/>
      <c r="U214" s="249"/>
      <c r="V214" s="249"/>
      <c r="W214" s="249"/>
      <c r="X214" s="249"/>
      <c r="Y214" s="249"/>
      <c r="Z214" s="249"/>
    </row>
    <row r="215" spans="1:26" s="152" customFormat="1" hidden="1" x14ac:dyDescent="0.25">
      <c r="A215" s="112" t="str">
        <f>+Tabla4[[#This Row],[PISCINA]]&amp;Tabla4[[#This Row],[AGUAJE]]</f>
        <v>TA 12AGUAJE 6</v>
      </c>
      <c r="B215" s="112" t="s">
        <v>293</v>
      </c>
      <c r="C215" s="249" t="str">
        <f t="shared" si="15"/>
        <v>TA</v>
      </c>
      <c r="D215" s="194">
        <v>46024</v>
      </c>
      <c r="E215" s="172">
        <v>1120000</v>
      </c>
      <c r="F215" t="s">
        <v>417</v>
      </c>
      <c r="G215" s="190" t="s">
        <v>422</v>
      </c>
      <c r="H215" s="189" t="s">
        <v>616</v>
      </c>
      <c r="I215" s="166" t="str">
        <f>IFERROR(VLOOKUP(H215,DATOS!$E$117:$F$168,2,0),"")</f>
        <v>H10598D</v>
      </c>
      <c r="J215" s="191">
        <v>0.8</v>
      </c>
      <c r="K215" s="192">
        <f t="shared" si="13"/>
        <v>21</v>
      </c>
      <c r="L215" s="194">
        <v>46003</v>
      </c>
      <c r="M215" s="189">
        <f t="shared" si="14"/>
        <v>21</v>
      </c>
      <c r="N215" s="176">
        <v>0.38</v>
      </c>
      <c r="O215" s="112" t="s">
        <v>617</v>
      </c>
      <c r="P215" s="249" t="str">
        <f>+UPPER(TEXT(Tabla4[[#This Row],[transferencia]],"mmmm"))</f>
        <v>ENERO</v>
      </c>
      <c r="Q215" t="s">
        <v>291</v>
      </c>
      <c r="R215"/>
      <c r="S215" s="249"/>
      <c r="T215" s="249"/>
      <c r="U215" s="249"/>
      <c r="V215" s="249"/>
      <c r="W215" s="249"/>
      <c r="X215" s="249"/>
      <c r="Y215" s="249"/>
      <c r="Z215" s="249"/>
    </row>
    <row r="216" spans="1:26" s="152" customFormat="1" hidden="1" x14ac:dyDescent="0.25">
      <c r="A216" s="112" t="str">
        <f>+Tabla4[[#This Row],[PISCINA]]&amp;Tabla4[[#This Row],[AGUAJE]]</f>
        <v>CH 02AGUAJE 5</v>
      </c>
      <c r="B216" s="112" t="s">
        <v>8</v>
      </c>
      <c r="C216" t="str">
        <f t="shared" si="15"/>
        <v>CH</v>
      </c>
      <c r="D216" s="194">
        <v>46017</v>
      </c>
      <c r="E216" s="172">
        <v>1170000</v>
      </c>
      <c r="F216" t="s">
        <v>417</v>
      </c>
      <c r="G216" s="190" t="s">
        <v>422</v>
      </c>
      <c r="H216" s="190" t="s">
        <v>618</v>
      </c>
      <c r="I216" s="166" t="str">
        <f>IFERROR(VLOOKUP(H216,DATOS!$E$117:$F$168,2,0),"")</f>
        <v/>
      </c>
      <c r="J216" s="191">
        <v>0.92589999999999995</v>
      </c>
      <c r="K216" s="192">
        <f t="shared" si="13"/>
        <v>14</v>
      </c>
      <c r="L216" s="194">
        <v>46003</v>
      </c>
      <c r="M216" s="189">
        <f t="shared" si="14"/>
        <v>14</v>
      </c>
      <c r="N216" s="176">
        <v>0.48</v>
      </c>
      <c r="O216" s="112" t="s">
        <v>619</v>
      </c>
      <c r="P216" t="str">
        <f>+UPPER(TEXT(Tabla4[[#This Row],[transferencia]],"mmmm"))</f>
        <v>DICIEMBRE</v>
      </c>
      <c r="Q216" t="s">
        <v>256</v>
      </c>
      <c r="R216"/>
      <c r="S216" s="249"/>
      <c r="T216" s="249"/>
      <c r="U216" s="249"/>
      <c r="V216" s="249"/>
      <c r="W216" s="249"/>
      <c r="X216" s="249"/>
      <c r="Y216" s="249"/>
      <c r="Z216" s="249"/>
    </row>
    <row r="217" spans="1:26" s="152" customFormat="1" hidden="1" x14ac:dyDescent="0.25">
      <c r="A217" s="112" t="str">
        <f>+Tabla4[[#This Row],[PISCINA]]&amp;Tabla4[[#This Row],[AGUAJE]]</f>
        <v>CH 14AGUAJE 7</v>
      </c>
      <c r="B217" s="112" t="s">
        <v>20</v>
      </c>
      <c r="C217" t="str">
        <f t="shared" si="15"/>
        <v>CH</v>
      </c>
      <c r="D217" s="194">
        <v>46025</v>
      </c>
      <c r="E217" s="172">
        <v>918000</v>
      </c>
      <c r="F217" t="s">
        <v>417</v>
      </c>
      <c r="G217" s="190" t="s">
        <v>422</v>
      </c>
      <c r="H217" s="189" t="s">
        <v>616</v>
      </c>
      <c r="I217" s="166" t="str">
        <f>IFERROR(VLOOKUP(H217,DATOS!$E$117:$F$168,2,0),"")</f>
        <v>H10598D</v>
      </c>
      <c r="J217" s="191">
        <v>0.83450000000000002</v>
      </c>
      <c r="K217" s="192">
        <f t="shared" si="13"/>
        <v>22</v>
      </c>
      <c r="L217" s="194">
        <v>46003</v>
      </c>
      <c r="M217" s="189">
        <f t="shared" si="14"/>
        <v>22</v>
      </c>
      <c r="N217" s="176">
        <v>0.53</v>
      </c>
      <c r="O217" s="112" t="s">
        <v>564</v>
      </c>
      <c r="P217" t="str">
        <f>+UPPER(TEXT(Tabla4[[#This Row],[transferencia]],"mmmm"))</f>
        <v>ENERO</v>
      </c>
      <c r="Q217" t="s">
        <v>319</v>
      </c>
      <c r="R217"/>
      <c r="S217" s="249"/>
      <c r="T217" s="249"/>
      <c r="U217" s="249"/>
      <c r="V217" s="249"/>
      <c r="W217" s="249"/>
      <c r="X217" s="249"/>
      <c r="Y217" s="249"/>
      <c r="Z217" s="249"/>
    </row>
    <row r="218" spans="1:26" s="152" customFormat="1" hidden="1" x14ac:dyDescent="0.25">
      <c r="A218" s="112" t="str">
        <f>+Tabla4[[#This Row],[PISCINA]]&amp;Tabla4[[#This Row],[AGUAJE]]</f>
        <v>TI 12AGUAJE 7</v>
      </c>
      <c r="B218" s="112" t="s">
        <v>322</v>
      </c>
      <c r="C218" s="249" t="str">
        <f t="shared" si="15"/>
        <v>TI</v>
      </c>
      <c r="D218" s="194">
        <v>46025</v>
      </c>
      <c r="E218" s="172">
        <v>876300</v>
      </c>
      <c r="F218" t="s">
        <v>417</v>
      </c>
      <c r="G218" s="190" t="s">
        <v>422</v>
      </c>
      <c r="H218" s="189" t="s">
        <v>616</v>
      </c>
      <c r="I218" s="166" t="str">
        <f>IFERROR(VLOOKUP(H218,DATOS!$E$117:$F$168,2,0),"")</f>
        <v>H10598D</v>
      </c>
      <c r="J218" s="191">
        <v>0.87629999999999997</v>
      </c>
      <c r="K218" s="192">
        <f t="shared" si="13"/>
        <v>22</v>
      </c>
      <c r="L218" s="194">
        <v>46003</v>
      </c>
      <c r="M218" s="189">
        <f t="shared" si="14"/>
        <v>22</v>
      </c>
      <c r="N218" s="176">
        <v>0.64</v>
      </c>
      <c r="O218" s="112" t="s">
        <v>620</v>
      </c>
      <c r="P218" s="249" t="str">
        <f>+UPPER(TEXT(Tabla4[[#This Row],[transferencia]],"mmmm"))</f>
        <v>ENERO</v>
      </c>
      <c r="Q218" t="s">
        <v>319</v>
      </c>
      <c r="R218"/>
      <c r="S218" s="249"/>
      <c r="T218" s="249"/>
      <c r="U218" s="249"/>
      <c r="V218" s="249"/>
      <c r="W218" s="249"/>
      <c r="X218" s="249"/>
      <c r="Y218" s="249"/>
      <c r="Z218" s="249"/>
    </row>
    <row r="219" spans="1:26" s="152" customFormat="1" hidden="1" x14ac:dyDescent="0.25">
      <c r="A219" s="112" t="str">
        <f>+Tabla4[[#This Row],[PISCINA]]&amp;Tabla4[[#This Row],[AGUAJE]]</f>
        <v>DO 26AGUAJE 6</v>
      </c>
      <c r="B219" s="112" t="s">
        <v>308</v>
      </c>
      <c r="C219" t="str">
        <f t="shared" si="15"/>
        <v>DO</v>
      </c>
      <c r="D219" s="194">
        <v>46026</v>
      </c>
      <c r="E219" s="172">
        <v>1174700</v>
      </c>
      <c r="F219" t="s">
        <v>417</v>
      </c>
      <c r="G219" s="190" t="s">
        <v>422</v>
      </c>
      <c r="H219" s="189" t="s">
        <v>454</v>
      </c>
      <c r="I219" s="166">
        <f>IFERROR(VLOOKUP(H219,DATOS!$E$117:$F$168,2,0),"")</f>
        <v>0</v>
      </c>
      <c r="J219" s="191">
        <v>0.65259999999999996</v>
      </c>
      <c r="K219" s="192">
        <f t="shared" si="13"/>
        <v>28</v>
      </c>
      <c r="L219" s="194">
        <v>45998</v>
      </c>
      <c r="M219" s="189">
        <f t="shared" si="14"/>
        <v>28</v>
      </c>
      <c r="N219" s="176">
        <v>1.28</v>
      </c>
      <c r="O219" s="112" t="s">
        <v>220</v>
      </c>
      <c r="P219" t="str">
        <f>+UPPER(TEXT(Tabla4[[#This Row],[transferencia]],"mmmm"))</f>
        <v>ENERO</v>
      </c>
      <c r="Q219" t="s">
        <v>291</v>
      </c>
      <c r="R219"/>
      <c r="S219" s="249"/>
      <c r="T219" s="249"/>
      <c r="U219" s="249"/>
      <c r="V219" s="249"/>
      <c r="W219" s="249"/>
      <c r="X219" s="249"/>
      <c r="Y219" s="249"/>
      <c r="Z219" s="249"/>
    </row>
    <row r="220" spans="1:26" s="152" customFormat="1" hidden="1" x14ac:dyDescent="0.25">
      <c r="A220" s="112" t="str">
        <f>+Tabla4[[#This Row],[PISCINA]]&amp;Tabla4[[#This Row],[AGUAJE]]</f>
        <v>GT 10AGUAJE 6</v>
      </c>
      <c r="B220" s="112" t="s">
        <v>314</v>
      </c>
      <c r="C220" s="249" t="str">
        <f t="shared" si="15"/>
        <v>GT</v>
      </c>
      <c r="D220" s="194">
        <v>46026</v>
      </c>
      <c r="E220" s="172">
        <v>862500</v>
      </c>
      <c r="F220" t="s">
        <v>417</v>
      </c>
      <c r="G220" s="190" t="s">
        <v>418</v>
      </c>
      <c r="H220" s="189" t="s">
        <v>419</v>
      </c>
      <c r="I220" s="166" t="str">
        <f>IFERROR(VLOOKUP(H220,DATOS!$E$117:$F$168,2,0),"")</f>
        <v>H10603</v>
      </c>
      <c r="J220" s="191">
        <v>0.80289999999999995</v>
      </c>
      <c r="K220" s="192">
        <f t="shared" si="13"/>
        <v>21</v>
      </c>
      <c r="L220" s="194">
        <v>46005</v>
      </c>
      <c r="M220" s="189">
        <f t="shared" si="14"/>
        <v>21</v>
      </c>
      <c r="N220" s="176">
        <v>0.62</v>
      </c>
      <c r="O220" s="112" t="s">
        <v>621</v>
      </c>
      <c r="P220" s="249" t="str">
        <f>+UPPER(TEXT(Tabla4[[#This Row],[transferencia]],"mmmm"))</f>
        <v>ENERO</v>
      </c>
      <c r="Q220" t="s">
        <v>291</v>
      </c>
      <c r="R220"/>
      <c r="S220" s="249"/>
      <c r="T220" s="249"/>
      <c r="U220" s="249"/>
      <c r="V220" s="249"/>
      <c r="W220" s="249"/>
      <c r="X220" s="249"/>
      <c r="Y220" s="249"/>
      <c r="Z220" s="249"/>
    </row>
    <row r="221" spans="1:26" s="152" customFormat="1" hidden="1" x14ac:dyDescent="0.25">
      <c r="A221" s="112" t="str">
        <f>+Tabla4[[#This Row],[PISCINA]]&amp;Tabla4[[#This Row],[AGUAJE]]</f>
        <v>GT 11AGUAJE 6</v>
      </c>
      <c r="B221" s="112" t="s">
        <v>318</v>
      </c>
      <c r="C221" s="249" t="str">
        <f t="shared" si="15"/>
        <v>GT</v>
      </c>
      <c r="D221" s="194">
        <v>46026</v>
      </c>
      <c r="E221" s="172">
        <v>663000</v>
      </c>
      <c r="F221" t="s">
        <v>417</v>
      </c>
      <c r="G221" s="190" t="s">
        <v>418</v>
      </c>
      <c r="H221" s="189" t="s">
        <v>419</v>
      </c>
      <c r="I221" s="166" t="str">
        <f>IFERROR(VLOOKUP(H221,DATOS!$E$117:$F$168,2,0),"")</f>
        <v>H10603</v>
      </c>
      <c r="J221" s="191">
        <v>0.80289999999999995</v>
      </c>
      <c r="K221" s="192">
        <f t="shared" si="13"/>
        <v>21</v>
      </c>
      <c r="L221" s="194">
        <v>46005</v>
      </c>
      <c r="M221" s="189">
        <f t="shared" si="14"/>
        <v>21</v>
      </c>
      <c r="N221" s="176">
        <v>0.62</v>
      </c>
      <c r="O221" s="112" t="s">
        <v>468</v>
      </c>
      <c r="P221" s="249" t="str">
        <f>+UPPER(TEXT(Tabla4[[#This Row],[transferencia]],"mmmm"))</f>
        <v>ENERO</v>
      </c>
      <c r="Q221" t="s">
        <v>291</v>
      </c>
      <c r="R221"/>
      <c r="S221" s="249"/>
      <c r="T221" s="249"/>
      <c r="U221" s="249"/>
      <c r="V221" s="249"/>
      <c r="W221" s="249"/>
      <c r="X221" s="249"/>
      <c r="Y221" s="249"/>
      <c r="Z221" s="249"/>
    </row>
    <row r="222" spans="1:26" s="152" customFormat="1" hidden="1" x14ac:dyDescent="0.25">
      <c r="A222" s="112" t="str">
        <f>+Tabla4[[#This Row],[PISCINA]]&amp;Tabla4[[#This Row],[AGUAJE]]</f>
        <v>WA 38AGUAJE 7</v>
      </c>
      <c r="B222" s="112" t="s">
        <v>330</v>
      </c>
      <c r="C222" s="249" t="str">
        <f t="shared" si="15"/>
        <v>WA</v>
      </c>
      <c r="D222" s="194">
        <v>46026</v>
      </c>
      <c r="E222" s="172">
        <v>2520000</v>
      </c>
      <c r="F222" t="s">
        <v>417</v>
      </c>
      <c r="G222" s="190" t="s">
        <v>422</v>
      </c>
      <c r="H222" s="189" t="s">
        <v>528</v>
      </c>
      <c r="I222" s="166" t="str">
        <f>IFERROR(VLOOKUP(H222,DATOS!$E$117:$F$168,2,0),"")</f>
        <v>H10534A</v>
      </c>
      <c r="J222" s="191">
        <v>0.66320000000000001</v>
      </c>
      <c r="K222" s="192">
        <f t="shared" si="13"/>
        <v>30</v>
      </c>
      <c r="L222" s="194">
        <v>45996</v>
      </c>
      <c r="M222" s="189">
        <f t="shared" si="14"/>
        <v>30</v>
      </c>
      <c r="N222" s="176">
        <v>0.8</v>
      </c>
      <c r="O222" s="112" t="s">
        <v>371</v>
      </c>
      <c r="P222" s="249" t="str">
        <f>+UPPER(TEXT(Tabla4[[#This Row],[transferencia]],"mmmm"))</f>
        <v>ENERO</v>
      </c>
      <c r="Q222" t="s">
        <v>319</v>
      </c>
      <c r="R222"/>
      <c r="S222" s="249"/>
      <c r="T222" s="249"/>
      <c r="U222" s="249"/>
      <c r="V222" s="249"/>
      <c r="W222" s="249"/>
      <c r="X222" s="249"/>
      <c r="Y222" s="249"/>
      <c r="Z222" s="249"/>
    </row>
    <row r="223" spans="1:26" s="152" customFormat="1" hidden="1" x14ac:dyDescent="0.25">
      <c r="A223" s="112" t="str">
        <f>+Tabla4[[#This Row],[PISCINA]]&amp;Tabla4[[#This Row],[AGUAJE]]</f>
        <v>DO 22AGUAJE 7</v>
      </c>
      <c r="B223" s="112" t="s">
        <v>323</v>
      </c>
      <c r="C223" s="249" t="str">
        <f t="shared" si="15"/>
        <v>DO</v>
      </c>
      <c r="D223" s="194">
        <v>46027</v>
      </c>
      <c r="E223" s="172">
        <v>1507000</v>
      </c>
      <c r="F223" t="s">
        <v>417</v>
      </c>
      <c r="G223" s="190" t="s">
        <v>418</v>
      </c>
      <c r="H223" s="189" t="s">
        <v>418</v>
      </c>
      <c r="I223" s="166" t="str">
        <f>IFERROR(VLOOKUP(H223,DATOS!$E$117:$F$168,2,0),"")</f>
        <v>H10234</v>
      </c>
      <c r="J223" s="191">
        <v>0.75349999999999995</v>
      </c>
      <c r="K223" s="192">
        <f t="shared" si="13"/>
        <v>29</v>
      </c>
      <c r="L223" s="194">
        <v>45998</v>
      </c>
      <c r="M223" s="189">
        <f t="shared" si="14"/>
        <v>29</v>
      </c>
      <c r="N223" s="176">
        <v>1.21</v>
      </c>
      <c r="O223" s="112" t="s">
        <v>622</v>
      </c>
      <c r="P223" s="249" t="str">
        <f>+UPPER(TEXT(Tabla4[[#This Row],[transferencia]],"mmmm"))</f>
        <v>ENERO</v>
      </c>
      <c r="Q223" t="s">
        <v>319</v>
      </c>
      <c r="R223"/>
      <c r="S223" s="249"/>
      <c r="T223" s="249"/>
      <c r="U223" s="249"/>
      <c r="V223" s="249"/>
      <c r="W223" s="249"/>
      <c r="X223" s="249"/>
      <c r="Y223" s="249"/>
      <c r="Z223" s="249"/>
    </row>
    <row r="224" spans="1:26" s="152" customFormat="1" hidden="1" x14ac:dyDescent="0.25">
      <c r="A224" s="112" t="str">
        <f>+Tabla4[[#This Row],[PISCINA]]&amp;Tabla4[[#This Row],[AGUAJE]]</f>
        <v>CA 21AGUAJE 7</v>
      </c>
      <c r="B224" s="112" t="s">
        <v>320</v>
      </c>
      <c r="C224" t="str">
        <f t="shared" si="15"/>
        <v>CA</v>
      </c>
      <c r="D224" s="194">
        <v>46028</v>
      </c>
      <c r="E224" s="172">
        <v>700000</v>
      </c>
      <c r="F224" t="s">
        <v>417</v>
      </c>
      <c r="G224" s="190" t="s">
        <v>422</v>
      </c>
      <c r="H224" s="189" t="s">
        <v>615</v>
      </c>
      <c r="I224" s="166" t="str">
        <f>IFERROR(VLOOKUP(H224,DATOS!$E$117:$F$168,2,0),"")</f>
        <v>H10581B</v>
      </c>
      <c r="J224" s="191">
        <v>0.71</v>
      </c>
      <c r="K224" s="192">
        <f t="shared" si="13"/>
        <v>22</v>
      </c>
      <c r="L224" s="194">
        <v>46006</v>
      </c>
      <c r="M224" s="189">
        <f t="shared" si="14"/>
        <v>22</v>
      </c>
      <c r="N224" s="176">
        <v>0.52</v>
      </c>
      <c r="O224" s="112" t="s">
        <v>623</v>
      </c>
      <c r="P224" t="str">
        <f>+UPPER(TEXT(Tabla4[[#This Row],[transferencia]],"mmmm"))</f>
        <v>ENERO</v>
      </c>
      <c r="Q224" t="s">
        <v>319</v>
      </c>
      <c r="R224"/>
      <c r="S224" s="249"/>
      <c r="T224" s="249"/>
      <c r="U224" s="249"/>
      <c r="V224" s="249"/>
      <c r="W224" s="249"/>
      <c r="X224" s="249"/>
      <c r="Y224" s="249"/>
      <c r="Z224" s="249"/>
    </row>
    <row r="225" spans="1:26" s="152" customFormat="1" hidden="1" x14ac:dyDescent="0.25">
      <c r="A225" s="112" t="str">
        <f>+Tabla4[[#This Row],[PISCINA]]&amp;Tabla4[[#This Row],[AGUAJE]]</f>
        <v>TI 17AGUAJE 6</v>
      </c>
      <c r="B225" s="112" t="s">
        <v>112</v>
      </c>
      <c r="C225" t="str">
        <f t="shared" si="15"/>
        <v>TI</v>
      </c>
      <c r="D225" s="194">
        <v>46029</v>
      </c>
      <c r="E225" s="172">
        <v>484500</v>
      </c>
      <c r="F225" t="s">
        <v>417</v>
      </c>
      <c r="G225" s="190" t="s">
        <v>422</v>
      </c>
      <c r="H225" s="189" t="s">
        <v>615</v>
      </c>
      <c r="I225" s="166" t="str">
        <f>IFERROR(VLOOKUP(H225,DATOS!$E$117:$F$168,2,0),"")</f>
        <v>H10581B</v>
      </c>
      <c r="J225" s="191">
        <v>0.74639999999999995</v>
      </c>
      <c r="K225" s="192">
        <f t="shared" si="13"/>
        <v>23</v>
      </c>
      <c r="L225" s="194">
        <v>46006</v>
      </c>
      <c r="M225" s="189">
        <f t="shared" si="14"/>
        <v>23</v>
      </c>
      <c r="N225" s="176">
        <v>0.98</v>
      </c>
      <c r="O225" s="112" t="s">
        <v>453</v>
      </c>
      <c r="P225" t="str">
        <f>+UPPER(TEXT(Tabla4[[#This Row],[transferencia]],"mmmm"))</f>
        <v>ENERO</v>
      </c>
      <c r="Q225" t="s">
        <v>291</v>
      </c>
      <c r="R225"/>
      <c r="S225" s="249"/>
      <c r="T225" s="249"/>
      <c r="U225" s="249"/>
      <c r="V225" s="249"/>
      <c r="W225" s="249"/>
      <c r="X225" s="249"/>
      <c r="Y225" s="249"/>
      <c r="Z225" s="249"/>
    </row>
    <row r="226" spans="1:26" s="152" customFormat="1" hidden="1" x14ac:dyDescent="0.25">
      <c r="A226" s="112" t="str">
        <f>+Tabla4[[#This Row],[PISCINA]]&amp;Tabla4[[#This Row],[AGUAJE]]</f>
        <v>TI 19AGUAJE 6</v>
      </c>
      <c r="B226" s="112" t="s">
        <v>109</v>
      </c>
      <c r="C226" t="str">
        <f t="shared" si="15"/>
        <v>TI</v>
      </c>
      <c r="D226" s="194">
        <v>46029</v>
      </c>
      <c r="E226" s="172">
        <v>299200</v>
      </c>
      <c r="F226" t="s">
        <v>417</v>
      </c>
      <c r="G226" s="190" t="s">
        <v>422</v>
      </c>
      <c r="H226" s="189" t="s">
        <v>615</v>
      </c>
      <c r="I226" s="166" t="str">
        <f>IFERROR(VLOOKUP(H226,DATOS!$E$117:$F$168,2,0),"")</f>
        <v>H10581B</v>
      </c>
      <c r="J226" s="191">
        <v>0.74639999999999995</v>
      </c>
      <c r="K226" s="192">
        <f t="shared" si="13"/>
        <v>23</v>
      </c>
      <c r="L226" s="194">
        <v>46006</v>
      </c>
      <c r="M226" s="189">
        <f t="shared" si="14"/>
        <v>23</v>
      </c>
      <c r="N226" s="176">
        <v>0.98</v>
      </c>
      <c r="O226" s="112" t="s">
        <v>453</v>
      </c>
      <c r="P226" t="str">
        <f>+UPPER(TEXT(Tabla4[[#This Row],[transferencia]],"mmmm"))</f>
        <v>ENERO</v>
      </c>
      <c r="Q226" t="s">
        <v>291</v>
      </c>
      <c r="R226"/>
      <c r="S226" s="249"/>
      <c r="T226" s="249"/>
      <c r="U226" s="249"/>
      <c r="V226" s="249"/>
      <c r="W226" s="249"/>
      <c r="X226" s="249"/>
      <c r="Y226" s="249"/>
      <c r="Z226" s="249"/>
    </row>
    <row r="227" spans="1:26" s="152" customFormat="1" hidden="1" x14ac:dyDescent="0.25">
      <c r="A227" s="112" t="str">
        <f>+Tabla4[[#This Row],[PISCINA]]&amp;Tabla4[[#This Row],[AGUAJE]]</f>
        <v>GT 02AGUAJE 7</v>
      </c>
      <c r="B227" s="112" t="s">
        <v>321</v>
      </c>
      <c r="C227" s="249" t="str">
        <f t="shared" si="15"/>
        <v>GT</v>
      </c>
      <c r="D227" s="194">
        <v>46030</v>
      </c>
      <c r="E227" s="172">
        <v>600000</v>
      </c>
      <c r="F227" t="s">
        <v>417</v>
      </c>
      <c r="G227" s="190" t="s">
        <v>422</v>
      </c>
      <c r="H227" s="189" t="s">
        <v>454</v>
      </c>
      <c r="I227" s="166">
        <f>IFERROR(VLOOKUP(H227,DATOS!$E$117:$F$168,2,0),"")</f>
        <v>0</v>
      </c>
      <c r="J227" s="191">
        <v>0.82289999999999996</v>
      </c>
      <c r="K227" s="192">
        <f t="shared" si="13"/>
        <v>20</v>
      </c>
      <c r="L227" s="194">
        <v>46010</v>
      </c>
      <c r="M227" s="189">
        <f t="shared" si="14"/>
        <v>20</v>
      </c>
      <c r="N227" s="176">
        <v>0.47</v>
      </c>
      <c r="O227" s="112" t="s">
        <v>624</v>
      </c>
      <c r="P227" s="249" t="str">
        <f>+UPPER(TEXT(Tabla4[[#This Row],[transferencia]],"mmmm"))</f>
        <v>ENERO</v>
      </c>
      <c r="Q227" t="s">
        <v>319</v>
      </c>
      <c r="R227"/>
      <c r="S227" s="249"/>
      <c r="T227" s="249"/>
      <c r="U227" s="249"/>
      <c r="V227" s="249"/>
      <c r="W227" s="249"/>
      <c r="X227" s="249"/>
      <c r="Y227" s="249"/>
      <c r="Z227" s="249"/>
    </row>
    <row r="228" spans="1:26" s="152" customFormat="1" hidden="1" x14ac:dyDescent="0.25">
      <c r="A228" s="112" t="str">
        <f>+Tabla4[[#This Row],[PISCINA]]&amp;Tabla4[[#This Row],[AGUAJE]]</f>
        <v>GT 03AGUAJE 7</v>
      </c>
      <c r="B228" s="112" t="s">
        <v>326</v>
      </c>
      <c r="C228" s="249" t="str">
        <f t="shared" si="15"/>
        <v>GT</v>
      </c>
      <c r="D228" s="194">
        <v>46030</v>
      </c>
      <c r="E228" s="172">
        <v>1128000</v>
      </c>
      <c r="F228" t="s">
        <v>417</v>
      </c>
      <c r="G228" s="190" t="s">
        <v>422</v>
      </c>
      <c r="H228" s="189" t="s">
        <v>454</v>
      </c>
      <c r="I228" s="166">
        <f>IFERROR(VLOOKUP(H228,DATOS!$E$117:$F$168,2,0),"")</f>
        <v>0</v>
      </c>
      <c r="J228" s="191">
        <v>0.82289999999999996</v>
      </c>
      <c r="K228" s="192">
        <f t="shared" si="13"/>
        <v>20</v>
      </c>
      <c r="L228" s="194">
        <v>46010</v>
      </c>
      <c r="M228" s="189">
        <f t="shared" si="14"/>
        <v>20</v>
      </c>
      <c r="N228" s="176">
        <v>0.47</v>
      </c>
      <c r="O228" s="112" t="s">
        <v>624</v>
      </c>
      <c r="P228" s="249" t="str">
        <f>+UPPER(TEXT(Tabla4[[#This Row],[transferencia]],"mmmm"))</f>
        <v>ENERO</v>
      </c>
      <c r="Q228" t="s">
        <v>319</v>
      </c>
      <c r="R228"/>
      <c r="S228" s="249"/>
      <c r="T228" s="249"/>
      <c r="U228" s="249"/>
      <c r="V228" s="249"/>
      <c r="W228" s="249"/>
      <c r="X228" s="249"/>
      <c r="Y228" s="249"/>
      <c r="Z228" s="249"/>
    </row>
    <row r="229" spans="1:26" s="152" customFormat="1" hidden="1" x14ac:dyDescent="0.25">
      <c r="A229" s="112" t="str">
        <f>+Tabla4[[#This Row],[PISCINA]]&amp;Tabla4[[#This Row],[AGUAJE]]</f>
        <v>WA 01AGUAJE 6</v>
      </c>
      <c r="B229" s="112" t="s">
        <v>311</v>
      </c>
      <c r="C229" s="249" t="str">
        <f t="shared" si="15"/>
        <v>WA</v>
      </c>
      <c r="D229" s="194">
        <v>46030</v>
      </c>
      <c r="E229" s="172">
        <v>742500</v>
      </c>
      <c r="F229" t="s">
        <v>417</v>
      </c>
      <c r="G229" s="190" t="s">
        <v>422</v>
      </c>
      <c r="H229" s="189" t="s">
        <v>447</v>
      </c>
      <c r="I229" s="166">
        <f>IFERROR(VLOOKUP(H229,DATOS!$E$117:$F$168,2,0),"")</f>
        <v>0</v>
      </c>
      <c r="J229" s="191">
        <v>0.47699999999999998</v>
      </c>
      <c r="K229" s="192">
        <f t="shared" si="13"/>
        <v>35</v>
      </c>
      <c r="L229" s="194">
        <v>45995</v>
      </c>
      <c r="M229" s="189">
        <f t="shared" si="14"/>
        <v>35</v>
      </c>
      <c r="N229" s="176">
        <v>1.35</v>
      </c>
      <c r="O229" s="112" t="s">
        <v>475</v>
      </c>
      <c r="P229" s="249" t="str">
        <f>+UPPER(TEXT(Tabla4[[#This Row],[transferencia]],"mmmm"))</f>
        <v>ENERO</v>
      </c>
      <c r="Q229" t="s">
        <v>291</v>
      </c>
      <c r="R229"/>
      <c r="S229" s="249"/>
      <c r="T229" s="249"/>
      <c r="U229" s="249"/>
      <c r="V229" s="249"/>
      <c r="W229" s="249"/>
      <c r="X229" s="249"/>
      <c r="Y229" s="249"/>
      <c r="Z229" s="249"/>
    </row>
    <row r="230" spans="1:26" s="152" customFormat="1" hidden="1" x14ac:dyDescent="0.25">
      <c r="A230" s="112" t="str">
        <f>+Tabla4[[#This Row],[PISCINA]]&amp;Tabla4[[#This Row],[AGUAJE]]</f>
        <v>WA 02AGUAJE 7</v>
      </c>
      <c r="B230" s="112" t="s">
        <v>333</v>
      </c>
      <c r="C230" s="249" t="str">
        <f t="shared" si="15"/>
        <v>WA</v>
      </c>
      <c r="D230" s="194">
        <v>46030</v>
      </c>
      <c r="E230" s="172">
        <v>900000</v>
      </c>
      <c r="F230" t="s">
        <v>417</v>
      </c>
      <c r="G230" s="190" t="s">
        <v>422</v>
      </c>
      <c r="H230" s="189" t="s">
        <v>625</v>
      </c>
      <c r="I230" s="166" t="str">
        <f>IFERROR(VLOOKUP(H230,DATOS!$E$117:$F$168,2,0),"")</f>
        <v/>
      </c>
      <c r="J230" s="191">
        <v>0.47699999999999998</v>
      </c>
      <c r="K230" s="192">
        <f t="shared" si="13"/>
        <v>35</v>
      </c>
      <c r="L230" s="194">
        <v>45995</v>
      </c>
      <c r="M230" s="189">
        <f t="shared" si="14"/>
        <v>35</v>
      </c>
      <c r="N230" s="176">
        <v>1.18</v>
      </c>
      <c r="O230" s="112" t="s">
        <v>626</v>
      </c>
      <c r="P230" s="249" t="str">
        <f>+UPPER(TEXT(Tabla4[[#This Row],[transferencia]],"mmmm"))</f>
        <v>ENERO</v>
      </c>
      <c r="Q230" t="s">
        <v>319</v>
      </c>
      <c r="R230"/>
      <c r="S230" s="249"/>
      <c r="T230" s="249"/>
      <c r="U230" s="249"/>
      <c r="V230" s="249"/>
      <c r="W230" s="249"/>
      <c r="X230" s="249"/>
      <c r="Y230" s="249"/>
      <c r="Z230" s="249"/>
    </row>
    <row r="231" spans="1:26" s="152" customFormat="1" hidden="1" x14ac:dyDescent="0.25">
      <c r="A231" s="112" t="str">
        <f>+Tabla4[[#This Row],[PISCINA]]&amp;Tabla4[[#This Row],[AGUAJE]]</f>
        <v>GT 08AGUAJE 7</v>
      </c>
      <c r="B231" s="112" t="s">
        <v>327</v>
      </c>
      <c r="C231" s="249" t="str">
        <f t="shared" si="15"/>
        <v>GT</v>
      </c>
      <c r="D231" s="194">
        <v>46031</v>
      </c>
      <c r="E231" s="172">
        <v>540000</v>
      </c>
      <c r="F231" t="s">
        <v>417</v>
      </c>
      <c r="G231" s="190" t="s">
        <v>503</v>
      </c>
      <c r="H231" s="189" t="s">
        <v>504</v>
      </c>
      <c r="I231" s="166">
        <f>IFERROR(VLOOKUP(H231,DATOS!$E$117:$F$168,2,0),"")</f>
        <v>0</v>
      </c>
      <c r="J231" s="191">
        <v>0.76570000000000005</v>
      </c>
      <c r="K231" s="192">
        <f t="shared" si="13"/>
        <v>19</v>
      </c>
      <c r="L231" s="194">
        <v>46012</v>
      </c>
      <c r="M231" s="189">
        <f t="shared" si="14"/>
        <v>19</v>
      </c>
      <c r="N231" s="176">
        <v>0.62</v>
      </c>
      <c r="O231" s="112" t="s">
        <v>627</v>
      </c>
      <c r="P231" s="249" t="str">
        <f>+UPPER(TEXT(Tabla4[[#This Row],[transferencia]],"mmmm"))</f>
        <v>ENERO</v>
      </c>
      <c r="Q231" t="s">
        <v>319</v>
      </c>
      <c r="R231"/>
      <c r="S231" s="249"/>
      <c r="T231" s="249"/>
      <c r="U231" s="249"/>
      <c r="V231" s="249"/>
      <c r="W231" s="249"/>
      <c r="X231" s="249"/>
      <c r="Y231" s="249"/>
      <c r="Z231" s="249"/>
    </row>
    <row r="232" spans="1:26" s="152" customFormat="1" hidden="1" x14ac:dyDescent="0.25">
      <c r="A232" s="112" t="str">
        <f>+Tabla4[[#This Row],[PISCINA]]&amp;Tabla4[[#This Row],[AGUAJE]]</f>
        <v>GT 09AGUAJE 7</v>
      </c>
      <c r="B232" s="112" t="s">
        <v>329</v>
      </c>
      <c r="C232" s="249" t="str">
        <f t="shared" si="15"/>
        <v>GT</v>
      </c>
      <c r="D232" s="194">
        <v>46031</v>
      </c>
      <c r="E232" s="172">
        <v>532000</v>
      </c>
      <c r="F232" t="s">
        <v>417</v>
      </c>
      <c r="G232" s="190" t="s">
        <v>503</v>
      </c>
      <c r="H232" s="189" t="s">
        <v>504</v>
      </c>
      <c r="I232" s="166">
        <f>IFERROR(VLOOKUP(H232,DATOS!$E$117:$F$168,2,0),"")</f>
        <v>0</v>
      </c>
      <c r="J232" s="191">
        <v>0.76570000000000005</v>
      </c>
      <c r="K232" s="192">
        <f t="shared" si="13"/>
        <v>19</v>
      </c>
      <c r="L232" s="194">
        <v>46012</v>
      </c>
      <c r="M232" s="189">
        <f t="shared" si="14"/>
        <v>19</v>
      </c>
      <c r="N232" s="176">
        <v>0.62</v>
      </c>
      <c r="O232" s="112" t="s">
        <v>627</v>
      </c>
      <c r="P232" s="249" t="str">
        <f>+UPPER(TEXT(Tabla4[[#This Row],[transferencia]],"mmmm"))</f>
        <v>ENERO</v>
      </c>
      <c r="Q232" t="s">
        <v>319</v>
      </c>
      <c r="R232"/>
      <c r="S232" s="249"/>
      <c r="T232" s="249"/>
      <c r="U232" s="249"/>
      <c r="V232" s="249"/>
      <c r="W232" s="249"/>
      <c r="X232" s="249"/>
      <c r="Y232" s="249"/>
      <c r="Z232" s="249"/>
    </row>
    <row r="233" spans="1:26" s="152" customFormat="1" hidden="1" x14ac:dyDescent="0.25">
      <c r="A233" s="112" t="str">
        <f>+Tabla4[[#This Row],[PISCINA]]&amp;Tabla4[[#This Row],[AGUAJE]]</f>
        <v>DE 19AGUAJE 6</v>
      </c>
      <c r="B233" s="112" t="s">
        <v>115</v>
      </c>
      <c r="C233" t="str">
        <f t="shared" si="15"/>
        <v>DE</v>
      </c>
      <c r="D233" s="194">
        <v>46032</v>
      </c>
      <c r="E233" s="172">
        <v>800000</v>
      </c>
      <c r="F233" t="s">
        <v>417</v>
      </c>
      <c r="G233" s="190" t="s">
        <v>418</v>
      </c>
      <c r="H233" s="189" t="s">
        <v>418</v>
      </c>
      <c r="I233" s="166" t="str">
        <f>IFERROR(VLOOKUP(H233,DATOS!$E$117:$F$168,2,0),"")</f>
        <v>H10234</v>
      </c>
      <c r="J233" s="191">
        <v>0.67200000000000004</v>
      </c>
      <c r="K233" s="192">
        <f t="shared" si="13"/>
        <v>22</v>
      </c>
      <c r="L233" s="194">
        <v>46010</v>
      </c>
      <c r="M233" s="189">
        <f t="shared" si="14"/>
        <v>22</v>
      </c>
      <c r="N233" s="176">
        <v>0.8</v>
      </c>
      <c r="O233" s="112" t="s">
        <v>628</v>
      </c>
      <c r="P233" t="str">
        <f>+UPPER(TEXT(Tabla4[[#This Row],[transferencia]],"mmmm"))</f>
        <v>ENERO</v>
      </c>
      <c r="Q233" t="s">
        <v>291</v>
      </c>
      <c r="R233"/>
      <c r="S233" s="249"/>
      <c r="T233" s="249"/>
      <c r="U233" s="249"/>
      <c r="V233" s="249"/>
      <c r="W233" s="249"/>
      <c r="X233" s="249"/>
      <c r="Y233" s="249"/>
      <c r="Z233" s="249"/>
    </row>
    <row r="234" spans="1:26" s="152" customFormat="1" hidden="1" x14ac:dyDescent="0.25">
      <c r="A234" s="112" t="str">
        <f>+Tabla4[[#This Row],[PISCINA]]&amp;Tabla4[[#This Row],[AGUAJE]]</f>
        <v>DE 23AGUAJE 6</v>
      </c>
      <c r="B234" s="112" t="s">
        <v>302</v>
      </c>
      <c r="C234" t="str">
        <f t="shared" si="15"/>
        <v>DE</v>
      </c>
      <c r="D234" s="194">
        <v>46032</v>
      </c>
      <c r="E234" s="172">
        <v>880000</v>
      </c>
      <c r="F234" t="s">
        <v>417</v>
      </c>
      <c r="G234" s="190" t="s">
        <v>418</v>
      </c>
      <c r="H234" s="189" t="s">
        <v>418</v>
      </c>
      <c r="I234" s="166" t="str">
        <f>IFERROR(VLOOKUP(H234,DATOS!$E$117:$F$168,2,0),"")</f>
        <v>H10234</v>
      </c>
      <c r="J234" s="191">
        <v>0.67200000000000004</v>
      </c>
      <c r="K234" s="192">
        <f t="shared" si="13"/>
        <v>22</v>
      </c>
      <c r="L234" s="194">
        <v>46010</v>
      </c>
      <c r="M234" s="189">
        <f t="shared" si="14"/>
        <v>22</v>
      </c>
      <c r="N234" s="176">
        <v>0.8</v>
      </c>
      <c r="O234" s="112" t="s">
        <v>628</v>
      </c>
      <c r="P234" t="str">
        <f>+UPPER(TEXT(Tabla4[[#This Row],[transferencia]],"mmmm"))</f>
        <v>ENERO</v>
      </c>
      <c r="Q234" t="s">
        <v>291</v>
      </c>
      <c r="R234"/>
      <c r="S234" s="249"/>
      <c r="T234" s="249"/>
      <c r="U234" s="249"/>
      <c r="V234" s="249"/>
      <c r="W234" s="249"/>
      <c r="X234" s="249"/>
      <c r="Y234" s="249"/>
      <c r="Z234" s="249"/>
    </row>
    <row r="235" spans="1:26" s="152" customFormat="1" hidden="1" x14ac:dyDescent="0.25">
      <c r="A235" s="112" t="str">
        <f>+Tabla4[[#This Row],[PISCINA]]&amp;Tabla4[[#This Row],[AGUAJE]]</f>
        <v>ME 07AGUAJE 6</v>
      </c>
      <c r="B235" s="112" t="s">
        <v>292</v>
      </c>
      <c r="C235" s="249" t="str">
        <f t="shared" si="15"/>
        <v>ME</v>
      </c>
      <c r="D235" s="194">
        <v>46032</v>
      </c>
      <c r="E235" s="172">
        <v>506000</v>
      </c>
      <c r="F235" t="s">
        <v>417</v>
      </c>
      <c r="G235" s="190" t="s">
        <v>422</v>
      </c>
      <c r="H235" s="189" t="s">
        <v>423</v>
      </c>
      <c r="I235" s="166" t="str">
        <f>IFERROR(VLOOKUP(H235,DATOS!$E$117:$F$168,2,0),"")</f>
        <v>H10611</v>
      </c>
      <c r="J235" s="191">
        <v>0.65510000000000002</v>
      </c>
      <c r="K235" s="192">
        <f t="shared" si="13"/>
        <v>19</v>
      </c>
      <c r="L235" s="194">
        <v>46013</v>
      </c>
      <c r="M235" s="189">
        <f t="shared" si="14"/>
        <v>19</v>
      </c>
      <c r="N235" s="176">
        <v>3.5</v>
      </c>
      <c r="O235" s="112" t="s">
        <v>629</v>
      </c>
      <c r="P235" s="249" t="str">
        <f>+UPPER(TEXT(Tabla4[[#This Row],[transferencia]],"mmmm"))</f>
        <v>ENERO</v>
      </c>
      <c r="Q235" t="s">
        <v>291</v>
      </c>
      <c r="R235"/>
      <c r="S235" s="249"/>
      <c r="T235" s="249"/>
      <c r="U235" s="249"/>
      <c r="V235" s="249"/>
      <c r="W235" s="249"/>
      <c r="X235" s="249"/>
      <c r="Y235" s="249"/>
      <c r="Z235" s="249"/>
    </row>
    <row r="236" spans="1:26" s="152" customFormat="1" hidden="1" x14ac:dyDescent="0.25">
      <c r="A236" s="112" t="str">
        <f>+Tabla4[[#This Row],[PISCINA]]&amp;Tabla4[[#This Row],[AGUAJE]]</f>
        <v>CA 17AGUAJE 7</v>
      </c>
      <c r="B236" s="112" t="s">
        <v>110</v>
      </c>
      <c r="C236" t="str">
        <f t="shared" ref="C236:C275" si="16">+MID(A236,1,2)</f>
        <v>CA</v>
      </c>
      <c r="D236" s="194">
        <v>46033</v>
      </c>
      <c r="E236" s="172">
        <v>1350000</v>
      </c>
      <c r="F236" t="s">
        <v>417</v>
      </c>
      <c r="G236" s="190" t="s">
        <v>422</v>
      </c>
      <c r="H236" s="189" t="s">
        <v>444</v>
      </c>
      <c r="I236" s="166" t="str">
        <f>IFERROR(VLOOKUP(H236,DATOS!$E$117:$F$168,2,0),"")</f>
        <v>H10598B</v>
      </c>
      <c r="J236" s="191">
        <v>0.83</v>
      </c>
      <c r="K236" s="192">
        <f t="shared" si="13"/>
        <v>22</v>
      </c>
      <c r="L236" s="194">
        <v>46011</v>
      </c>
      <c r="M236" s="189">
        <f t="shared" si="14"/>
        <v>22</v>
      </c>
      <c r="N236" s="176">
        <v>0.46</v>
      </c>
      <c r="O236" s="112" t="s">
        <v>430</v>
      </c>
      <c r="P236" t="str">
        <f>+UPPER(TEXT(Tabla4[[#This Row],[transferencia]],"mmmm"))</f>
        <v>ENERO</v>
      </c>
      <c r="Q236" t="s">
        <v>319</v>
      </c>
      <c r="R236"/>
      <c r="S236" s="249"/>
      <c r="T236" s="249"/>
      <c r="U236" s="249"/>
      <c r="V236" s="249"/>
      <c r="W236" s="249"/>
      <c r="X236" s="249"/>
      <c r="Y236" s="249"/>
      <c r="Z236" s="249"/>
    </row>
    <row r="237" spans="1:26" s="152" customFormat="1" hidden="1" x14ac:dyDescent="0.25">
      <c r="A237" s="112" t="str">
        <f>+Tabla4[[#This Row],[PISCINA]]&amp;Tabla4[[#This Row],[AGUAJE]]</f>
        <v>CA 18AGUAJE 7</v>
      </c>
      <c r="B237" s="112" t="s">
        <v>114</v>
      </c>
      <c r="C237" t="str">
        <f t="shared" si="16"/>
        <v>CA</v>
      </c>
      <c r="D237" s="194">
        <v>46033</v>
      </c>
      <c r="E237" s="172">
        <v>990000</v>
      </c>
      <c r="F237" t="s">
        <v>417</v>
      </c>
      <c r="G237" s="190" t="s">
        <v>422</v>
      </c>
      <c r="H237" s="189" t="s">
        <v>630</v>
      </c>
      <c r="I237" s="166" t="str">
        <f>IFERROR(VLOOKUP(H237,DATOS!$E$117:$F$168,2,0),"")</f>
        <v/>
      </c>
      <c r="J237" s="191">
        <v>0.64170000000000005</v>
      </c>
      <c r="K237" s="192">
        <f t="shared" si="13"/>
        <v>22</v>
      </c>
      <c r="L237" s="194">
        <v>46011</v>
      </c>
      <c r="M237" s="189">
        <f t="shared" si="14"/>
        <v>22</v>
      </c>
      <c r="N237" s="176">
        <v>0.7</v>
      </c>
      <c r="O237" s="112" t="s">
        <v>631</v>
      </c>
      <c r="P237" t="str">
        <f>+UPPER(TEXT(Tabla4[[#This Row],[transferencia]],"mmmm"))</f>
        <v>ENERO</v>
      </c>
      <c r="Q237" t="s">
        <v>319</v>
      </c>
      <c r="R237"/>
      <c r="S237" s="249"/>
      <c r="T237" s="249"/>
      <c r="U237" s="249"/>
      <c r="V237" s="249"/>
      <c r="W237" s="249"/>
      <c r="X237" s="249"/>
      <c r="Y237" s="249"/>
      <c r="Z237" s="249"/>
    </row>
    <row r="238" spans="1:26" s="152" customFormat="1" hidden="1" x14ac:dyDescent="0.25">
      <c r="A238" s="112" t="str">
        <f>+Tabla4[[#This Row],[PISCINA]]&amp;Tabla4[[#This Row],[AGUAJE]]</f>
        <v>DE 15AGUAJE 5</v>
      </c>
      <c r="B238" s="112" t="s">
        <v>125</v>
      </c>
      <c r="C238" s="249" t="str">
        <f t="shared" si="16"/>
        <v>DE</v>
      </c>
      <c r="D238" s="194">
        <v>46033</v>
      </c>
      <c r="E238" s="172">
        <v>900000</v>
      </c>
      <c r="F238" t="s">
        <v>417</v>
      </c>
      <c r="G238" s="190" t="s">
        <v>418</v>
      </c>
      <c r="H238" s="189" t="s">
        <v>418</v>
      </c>
      <c r="I238" s="166" t="str">
        <f>IFERROR(VLOOKUP(H238,DATOS!$E$117:$F$168,2,0),"")</f>
        <v>H10234</v>
      </c>
      <c r="J238" s="191">
        <v>0.66169999999999995</v>
      </c>
      <c r="K238" s="192">
        <f t="shared" si="13"/>
        <v>20</v>
      </c>
      <c r="L238" s="194">
        <v>46013</v>
      </c>
      <c r="M238" s="189">
        <f t="shared" si="14"/>
        <v>20</v>
      </c>
      <c r="N238" s="176">
        <v>3.5</v>
      </c>
      <c r="O238" s="112" t="s">
        <v>479</v>
      </c>
      <c r="P238" s="249" t="str">
        <f>+UPPER(TEXT(Tabla4[[#This Row],[transferencia]],"mmmm"))</f>
        <v>ENERO</v>
      </c>
      <c r="Q238" s="249" t="s">
        <v>256</v>
      </c>
      <c r="R238"/>
      <c r="S238" s="249"/>
      <c r="T238" s="249"/>
      <c r="U238" s="249"/>
      <c r="V238" s="249"/>
      <c r="W238" s="249"/>
      <c r="X238" s="249"/>
      <c r="Y238" s="249"/>
      <c r="Z238" s="249"/>
    </row>
    <row r="239" spans="1:26" s="152" customFormat="1" hidden="1" x14ac:dyDescent="0.25">
      <c r="A239" s="112" t="str">
        <f>+Tabla4[[#This Row],[PISCINA]]&amp;Tabla4[[#This Row],[AGUAJE]]</f>
        <v>CH 18AGUAJE 7</v>
      </c>
      <c r="B239" s="112" t="s">
        <v>23</v>
      </c>
      <c r="C239" t="str">
        <f t="shared" si="16"/>
        <v>CH</v>
      </c>
      <c r="D239" s="194">
        <v>46034</v>
      </c>
      <c r="E239" s="172">
        <v>1272000</v>
      </c>
      <c r="F239" t="s">
        <v>417</v>
      </c>
      <c r="G239" s="190" t="s">
        <v>422</v>
      </c>
      <c r="H239" s="189" t="s">
        <v>444</v>
      </c>
      <c r="I239" s="166" t="str">
        <f>IFERROR(VLOOKUP(H239,DATOS!$E$117:$F$168,2,0),"")</f>
        <v>H10598B</v>
      </c>
      <c r="J239" s="191">
        <v>0.82179999999999997</v>
      </c>
      <c r="K239" s="192">
        <f t="shared" si="13"/>
        <v>23</v>
      </c>
      <c r="L239" s="194">
        <v>46011</v>
      </c>
      <c r="M239" s="189">
        <f t="shared" si="14"/>
        <v>23</v>
      </c>
      <c r="N239" s="176">
        <v>0.56999999999999995</v>
      </c>
      <c r="O239" s="112" t="s">
        <v>577</v>
      </c>
      <c r="P239" t="str">
        <f>+UPPER(TEXT(Tabla4[[#This Row],[transferencia]],"mmmm"))</f>
        <v>ENERO</v>
      </c>
      <c r="Q239" t="s">
        <v>319</v>
      </c>
      <c r="R239"/>
      <c r="S239" s="249"/>
      <c r="T239" s="249"/>
      <c r="U239" s="249"/>
      <c r="V239" s="249"/>
      <c r="W239" s="249"/>
      <c r="X239" s="249"/>
      <c r="Y239" s="249"/>
      <c r="Z239" s="249"/>
    </row>
    <row r="240" spans="1:26" s="152" customFormat="1" hidden="1" x14ac:dyDescent="0.25">
      <c r="A240" s="112" t="str">
        <f>+Tabla4[[#This Row],[PISCINA]]&amp;Tabla4[[#This Row],[AGUAJE]]</f>
        <v>CH 20AGUAJE 7</v>
      </c>
      <c r="B240" s="112" t="s">
        <v>24</v>
      </c>
      <c r="C240" t="str">
        <f t="shared" si="16"/>
        <v>CH</v>
      </c>
      <c r="D240" s="194">
        <v>46034</v>
      </c>
      <c r="E240" s="172">
        <v>1293259</v>
      </c>
      <c r="F240" t="s">
        <v>417</v>
      </c>
      <c r="G240" s="190" t="s">
        <v>422</v>
      </c>
      <c r="H240" s="189" t="s">
        <v>444</v>
      </c>
      <c r="I240" s="166" t="str">
        <f>IFERROR(VLOOKUP(H240,DATOS!$E$117:$F$168,2,0),"")</f>
        <v>H10598B</v>
      </c>
      <c r="J240" s="191">
        <v>0.82179999999999997</v>
      </c>
      <c r="K240" s="192">
        <f t="shared" si="13"/>
        <v>23</v>
      </c>
      <c r="L240" s="194">
        <v>46011</v>
      </c>
      <c r="M240" s="189">
        <f t="shared" si="14"/>
        <v>23</v>
      </c>
      <c r="N240" s="176">
        <v>0.56999999999999995</v>
      </c>
      <c r="O240" s="112" t="s">
        <v>577</v>
      </c>
      <c r="P240" t="str">
        <f>+UPPER(TEXT(Tabla4[[#This Row],[transferencia]],"mmmm"))</f>
        <v>ENERO</v>
      </c>
      <c r="Q240" t="s">
        <v>319</v>
      </c>
      <c r="R240"/>
      <c r="S240" s="249"/>
      <c r="T240" s="249"/>
      <c r="U240" s="249"/>
      <c r="V240" s="249"/>
      <c r="W240" s="249"/>
      <c r="X240" s="249"/>
      <c r="Y240" s="249"/>
      <c r="Z240" s="249"/>
    </row>
    <row r="241" spans="1:26" s="152" customFormat="1" hidden="1" x14ac:dyDescent="0.25">
      <c r="A241" s="112" t="str">
        <f>+Tabla4[[#This Row],[PISCINA]]&amp;Tabla4[[#This Row],[AGUAJE]]</f>
        <v>DE 27AGUAJE 8</v>
      </c>
      <c r="B241" s="112" t="s">
        <v>130</v>
      </c>
      <c r="C241" t="str">
        <f t="shared" si="16"/>
        <v>DE</v>
      </c>
      <c r="D241" s="194">
        <v>46036</v>
      </c>
      <c r="E241" s="172">
        <v>2160000</v>
      </c>
      <c r="F241" t="s">
        <v>417</v>
      </c>
      <c r="G241" s="190" t="s">
        <v>422</v>
      </c>
      <c r="H241" s="189" t="s">
        <v>431</v>
      </c>
      <c r="I241" s="166" t="str">
        <f>IFERROR(VLOOKUP(H241,DATOS!$E$117:$F$168,2,0),"")</f>
        <v>H10534B</v>
      </c>
      <c r="J241" s="191">
        <v>0.69679999999999997</v>
      </c>
      <c r="K241" s="192">
        <f t="shared" si="13"/>
        <v>-342</v>
      </c>
      <c r="L241" s="194">
        <v>46378</v>
      </c>
      <c r="M241" s="189">
        <f t="shared" si="14"/>
        <v>-342</v>
      </c>
      <c r="N241" s="176">
        <v>0.8</v>
      </c>
      <c r="O241" s="112" t="s">
        <v>581</v>
      </c>
      <c r="P241" t="str">
        <f>+UPPER(TEXT(Tabla4[[#This Row],[transferencia]],"mmmm"))</f>
        <v>ENERO</v>
      </c>
      <c r="Q241" t="s">
        <v>334</v>
      </c>
      <c r="R241"/>
      <c r="S241" s="249"/>
      <c r="T241" s="249"/>
      <c r="U241" s="249"/>
      <c r="V241" s="249"/>
      <c r="W241" s="249"/>
      <c r="X241" s="249"/>
      <c r="Y241" s="249"/>
      <c r="Z241" s="249"/>
    </row>
    <row r="242" spans="1:26" s="152" customFormat="1" hidden="1" x14ac:dyDescent="0.25">
      <c r="A242" s="112" t="str">
        <f>+Tabla4[[#This Row],[PISCINA]]&amp;Tabla4[[#This Row],[AGUAJE]]</f>
        <v>WA 03AGUAJE 8</v>
      </c>
      <c r="B242" s="112" t="s">
        <v>337</v>
      </c>
      <c r="C242" s="249" t="str">
        <f t="shared" si="16"/>
        <v>WA</v>
      </c>
      <c r="D242" s="194">
        <v>46036</v>
      </c>
      <c r="E242" s="172">
        <v>595000</v>
      </c>
      <c r="F242" t="s">
        <v>417</v>
      </c>
      <c r="G242" s="190" t="s">
        <v>503</v>
      </c>
      <c r="H242" s="189" t="s">
        <v>504</v>
      </c>
      <c r="I242" s="166">
        <f>IFERROR(VLOOKUP(H242,DATOS!$E$117:$F$168,2,0),"")</f>
        <v>0</v>
      </c>
      <c r="J242" s="191">
        <v>0.67500000000000004</v>
      </c>
      <c r="K242" s="192">
        <f t="shared" si="13"/>
        <v>22</v>
      </c>
      <c r="L242" s="194">
        <v>46014</v>
      </c>
      <c r="M242" s="189">
        <f t="shared" si="14"/>
        <v>22</v>
      </c>
      <c r="N242" s="176">
        <v>0.6</v>
      </c>
      <c r="O242" s="112" t="s">
        <v>632</v>
      </c>
      <c r="P242" s="249" t="str">
        <f>+UPPER(TEXT(Tabla4[[#This Row],[transferencia]],"mmmm"))</f>
        <v>ENERO</v>
      </c>
      <c r="Q242" t="s">
        <v>334</v>
      </c>
      <c r="R242"/>
      <c r="S242" s="249"/>
      <c r="T242" s="249"/>
      <c r="U242" s="249"/>
      <c r="V242" s="249"/>
      <c r="W242" s="249"/>
      <c r="X242" s="249"/>
      <c r="Y242" s="249"/>
      <c r="Z242" s="249"/>
    </row>
    <row r="243" spans="1:26" s="152" customFormat="1" hidden="1" x14ac:dyDescent="0.25">
      <c r="A243" s="112" t="str">
        <f>+Tabla4[[#This Row],[PISCINA]]&amp;Tabla4[[#This Row],[AGUAJE]]</f>
        <v>WA 05AGUAJE 8</v>
      </c>
      <c r="B243" s="112" t="s">
        <v>341</v>
      </c>
      <c r="C243" s="249" t="str">
        <f t="shared" si="16"/>
        <v>WA</v>
      </c>
      <c r="D243" s="194">
        <v>46036</v>
      </c>
      <c r="E243" s="172">
        <v>1295000</v>
      </c>
      <c r="F243" t="s">
        <v>417</v>
      </c>
      <c r="G243" s="190" t="s">
        <v>503</v>
      </c>
      <c r="H243" s="189" t="s">
        <v>504</v>
      </c>
      <c r="I243" s="166">
        <f>IFERROR(VLOOKUP(H243,DATOS!$E$117:$F$168,2,0),"")</f>
        <v>0</v>
      </c>
      <c r="J243" s="191">
        <v>0.67500000000000004</v>
      </c>
      <c r="K243" s="192">
        <f t="shared" si="13"/>
        <v>22</v>
      </c>
      <c r="L243" s="194">
        <v>46014</v>
      </c>
      <c r="M243" s="189">
        <f t="shared" si="14"/>
        <v>22</v>
      </c>
      <c r="N243" s="176">
        <v>0.6</v>
      </c>
      <c r="O243" s="112" t="s">
        <v>632</v>
      </c>
      <c r="P243" s="249" t="str">
        <f>+UPPER(TEXT(Tabla4[[#This Row],[transferencia]],"mmmm"))</f>
        <v>ENERO</v>
      </c>
      <c r="Q243" s="249" t="s">
        <v>334</v>
      </c>
      <c r="R243"/>
      <c r="S243" s="249"/>
      <c r="T243" s="249"/>
      <c r="U243" s="249"/>
      <c r="V243" s="249"/>
      <c r="W243" s="249"/>
      <c r="X243" s="249"/>
      <c r="Y243" s="249"/>
      <c r="Z243" s="249"/>
    </row>
    <row r="244" spans="1:26" s="152" customFormat="1" hidden="1" x14ac:dyDescent="0.25">
      <c r="A244" s="112" t="str">
        <f>+Tabla4[[#This Row],[PISCINA]]&amp;Tabla4[[#This Row],[AGUAJE]]</f>
        <v>PR 03AGUAJE 7</v>
      </c>
      <c r="B244" s="112" t="s">
        <v>113</v>
      </c>
      <c r="C244" t="str">
        <f t="shared" si="16"/>
        <v>PR</v>
      </c>
      <c r="D244" s="194">
        <v>46038</v>
      </c>
      <c r="E244" s="172">
        <v>450000</v>
      </c>
      <c r="F244" t="s">
        <v>417</v>
      </c>
      <c r="G244" s="190" t="s">
        <v>422</v>
      </c>
      <c r="H244" s="189" t="s">
        <v>423</v>
      </c>
      <c r="I244" s="166" t="str">
        <f>IFERROR(VLOOKUP(H244,DATOS!$E$117:$F$168,2,0),"")</f>
        <v>H10611</v>
      </c>
      <c r="J244" s="191">
        <v>0.55800000000000005</v>
      </c>
      <c r="K244" s="192">
        <f t="shared" si="13"/>
        <v>19</v>
      </c>
      <c r="L244" s="194">
        <v>46019</v>
      </c>
      <c r="M244" s="189">
        <f t="shared" si="14"/>
        <v>19</v>
      </c>
      <c r="N244" s="176">
        <v>0.43</v>
      </c>
      <c r="O244" s="112" t="s">
        <v>608</v>
      </c>
      <c r="P244" t="str">
        <f>+UPPER(TEXT(Tabla4[[#This Row],[transferencia]],"mmmm"))</f>
        <v>ENERO</v>
      </c>
      <c r="Q244" t="s">
        <v>319</v>
      </c>
      <c r="R244"/>
      <c r="S244" s="249"/>
      <c r="T244" s="249"/>
      <c r="U244" s="249"/>
      <c r="V244" s="249"/>
      <c r="W244" s="249"/>
      <c r="X244" s="249"/>
      <c r="Y244" s="249"/>
      <c r="Z244" s="249"/>
    </row>
    <row r="245" spans="1:26" s="152" customFormat="1" hidden="1" x14ac:dyDescent="0.25">
      <c r="A245" s="112" t="str">
        <f>+Tabla4[[#This Row],[PISCINA]]&amp;Tabla4[[#This Row],[AGUAJE]]</f>
        <v>PR 05AGUAJE 7</v>
      </c>
      <c r="B245" s="112" t="s">
        <v>117</v>
      </c>
      <c r="C245" t="str">
        <f t="shared" si="16"/>
        <v>PR</v>
      </c>
      <c r="D245" s="194">
        <v>46038</v>
      </c>
      <c r="E245" s="172">
        <v>460800</v>
      </c>
      <c r="F245" t="s">
        <v>417</v>
      </c>
      <c r="G245" s="190" t="s">
        <v>422</v>
      </c>
      <c r="H245" s="189" t="s">
        <v>423</v>
      </c>
      <c r="I245" s="166" t="str">
        <f>IFERROR(VLOOKUP(H245,DATOS!$E$117:$F$168,2,0),"")</f>
        <v>H10611</v>
      </c>
      <c r="J245" s="191">
        <v>0.55800000000000005</v>
      </c>
      <c r="K245" s="192">
        <f t="shared" si="13"/>
        <v>19</v>
      </c>
      <c r="L245" s="194">
        <v>46019</v>
      </c>
      <c r="M245" s="189">
        <f t="shared" si="14"/>
        <v>19</v>
      </c>
      <c r="N245" s="176">
        <v>0.43</v>
      </c>
      <c r="O245" s="112" t="s">
        <v>608</v>
      </c>
      <c r="P245" t="str">
        <f>+UPPER(TEXT(Tabla4[[#This Row],[transferencia]],"mmmm"))</f>
        <v>ENERO</v>
      </c>
      <c r="Q245" t="s">
        <v>319</v>
      </c>
      <c r="R245"/>
      <c r="S245" s="249"/>
      <c r="T245" s="249"/>
      <c r="U245" s="249"/>
      <c r="V245" s="249"/>
      <c r="W245" s="249"/>
      <c r="X245" s="249"/>
      <c r="Y245" s="249"/>
      <c r="Z245" s="249"/>
    </row>
    <row r="246" spans="1:26" s="152" customFormat="1" hidden="1" x14ac:dyDescent="0.25">
      <c r="A246" s="112" t="str">
        <f>+Tabla4[[#This Row],[PISCINA]]&amp;Tabla4[[#This Row],[AGUAJE]]</f>
        <v>RO 11AGUAJE 7</v>
      </c>
      <c r="B246" s="112" t="s">
        <v>129</v>
      </c>
      <c r="C246" t="str">
        <f t="shared" si="16"/>
        <v>RO</v>
      </c>
      <c r="D246" s="194">
        <v>46038</v>
      </c>
      <c r="E246" s="172">
        <v>340000</v>
      </c>
      <c r="F246" t="s">
        <v>417</v>
      </c>
      <c r="G246" s="190" t="s">
        <v>422</v>
      </c>
      <c r="H246" s="189" t="s">
        <v>431</v>
      </c>
      <c r="I246" s="166" t="str">
        <f>IFERROR(VLOOKUP(H246,DATOS!$E$117:$F$168,2,0),"")</f>
        <v>H10534B</v>
      </c>
      <c r="J246" s="191">
        <v>0.70340000000000003</v>
      </c>
      <c r="K246" s="192">
        <f t="shared" si="13"/>
        <v>25</v>
      </c>
      <c r="L246" s="194">
        <v>46013</v>
      </c>
      <c r="M246" s="189">
        <f t="shared" si="14"/>
        <v>25</v>
      </c>
      <c r="N246" s="176">
        <v>0.92</v>
      </c>
      <c r="O246" s="112" t="s">
        <v>633</v>
      </c>
      <c r="P246" t="str">
        <f>+UPPER(TEXT(Tabla4[[#This Row],[transferencia]],"mmmm"))</f>
        <v>ENERO</v>
      </c>
      <c r="Q246" t="s">
        <v>319</v>
      </c>
      <c r="R246"/>
      <c r="S246" s="249"/>
      <c r="T246" s="249"/>
      <c r="U246" s="249"/>
      <c r="V246" s="249"/>
      <c r="W246" s="249"/>
      <c r="X246" s="249"/>
      <c r="Y246" s="249"/>
      <c r="Z246" s="249"/>
    </row>
    <row r="247" spans="1:26" s="152" customFormat="1" hidden="1" x14ac:dyDescent="0.25">
      <c r="A247" s="112" t="str">
        <f>+Tabla4[[#This Row],[PISCINA]]&amp;Tabla4[[#This Row],[AGUAJE]]</f>
        <v>RO 12AGUAJE 7</v>
      </c>
      <c r="B247" s="112" t="s">
        <v>135</v>
      </c>
      <c r="C247" t="str">
        <f t="shared" si="16"/>
        <v>RO</v>
      </c>
      <c r="D247" s="194">
        <v>46038</v>
      </c>
      <c r="E247" s="172">
        <v>884000</v>
      </c>
      <c r="F247" t="s">
        <v>417</v>
      </c>
      <c r="G247" s="190" t="s">
        <v>422</v>
      </c>
      <c r="H247" s="189" t="s">
        <v>431</v>
      </c>
      <c r="I247" s="166" t="str">
        <f>IFERROR(VLOOKUP(H247,DATOS!$E$117:$F$168,2,0),"")</f>
        <v>H10534B</v>
      </c>
      <c r="J247" s="191">
        <v>0.70340000000000003</v>
      </c>
      <c r="K247" s="192">
        <f t="shared" si="13"/>
        <v>25</v>
      </c>
      <c r="L247" s="194">
        <v>46013</v>
      </c>
      <c r="M247" s="189">
        <f t="shared" si="14"/>
        <v>25</v>
      </c>
      <c r="N247" s="176">
        <v>0.92</v>
      </c>
      <c r="O247" s="112" t="s">
        <v>633</v>
      </c>
      <c r="P247" t="str">
        <f>+UPPER(TEXT(Tabla4[[#This Row],[transferencia]],"mmmm"))</f>
        <v>ENERO</v>
      </c>
      <c r="Q247" t="s">
        <v>319</v>
      </c>
      <c r="R247"/>
      <c r="S247" s="249"/>
      <c r="T247" s="249"/>
      <c r="U247" s="249"/>
      <c r="V247" s="249"/>
      <c r="W247" s="249"/>
      <c r="X247" s="249"/>
      <c r="Y247" s="249"/>
      <c r="Z247" s="249"/>
    </row>
    <row r="248" spans="1:26" s="152" customFormat="1" hidden="1" x14ac:dyDescent="0.25">
      <c r="A248" s="112" t="str">
        <f>+Tabla4[[#This Row],[PISCINA]]&amp;Tabla4[[#This Row],[AGUAJE]]</f>
        <v>RO 13AGUAJE 7</v>
      </c>
      <c r="B248" s="112" t="s">
        <v>131</v>
      </c>
      <c r="C248" t="str">
        <f t="shared" si="16"/>
        <v>RO</v>
      </c>
      <c r="D248" s="194">
        <v>46038</v>
      </c>
      <c r="E248" s="172">
        <v>816000</v>
      </c>
      <c r="F248" t="s">
        <v>417</v>
      </c>
      <c r="G248" s="190" t="s">
        <v>422</v>
      </c>
      <c r="H248" s="189" t="s">
        <v>431</v>
      </c>
      <c r="I248" s="166" t="str">
        <f>IFERROR(VLOOKUP(H248,DATOS!$E$117:$F$168,2,0),"")</f>
        <v>H10534B</v>
      </c>
      <c r="J248" s="191">
        <v>0.70340000000000003</v>
      </c>
      <c r="K248" s="192">
        <f t="shared" si="13"/>
        <v>25</v>
      </c>
      <c r="L248" s="194">
        <v>46013</v>
      </c>
      <c r="M248" s="189">
        <f t="shared" si="14"/>
        <v>25</v>
      </c>
      <c r="N248" s="176">
        <v>0.92</v>
      </c>
      <c r="O248" s="112" t="s">
        <v>633</v>
      </c>
      <c r="P248" t="str">
        <f>+UPPER(TEXT(Tabla4[[#This Row],[transferencia]],"mmmm"))</f>
        <v>ENERO</v>
      </c>
      <c r="Q248" t="s">
        <v>319</v>
      </c>
      <c r="R248"/>
      <c r="S248" s="249"/>
      <c r="T248" s="249"/>
      <c r="U248" s="249"/>
      <c r="V248" s="249"/>
      <c r="W248" s="249"/>
      <c r="X248" s="249"/>
      <c r="Y248" s="249"/>
      <c r="Z248" s="249"/>
    </row>
    <row r="249" spans="1:26" s="152" customFormat="1" hidden="1" x14ac:dyDescent="0.25">
      <c r="A249" s="112" t="str">
        <f>+Tabla4[[#This Row],[PISCINA]]&amp;Tabla4[[#This Row],[AGUAJE]]</f>
        <v>WA 14AGUAJE 7</v>
      </c>
      <c r="B249" s="112" t="s">
        <v>124</v>
      </c>
      <c r="C249" s="249" t="str">
        <f t="shared" si="16"/>
        <v>WA</v>
      </c>
      <c r="D249" s="194">
        <v>46038</v>
      </c>
      <c r="E249" s="172">
        <v>900000</v>
      </c>
      <c r="F249" t="s">
        <v>417</v>
      </c>
      <c r="G249" s="190" t="s">
        <v>422</v>
      </c>
      <c r="H249" s="189" t="s">
        <v>431</v>
      </c>
      <c r="I249" s="166" t="str">
        <f>IFERROR(VLOOKUP(H249,DATOS!$E$117:$F$168,2,0),"")</f>
        <v>H10534B</v>
      </c>
      <c r="J249" s="191">
        <v>0.73770000000000002</v>
      </c>
      <c r="K249" s="192">
        <f t="shared" si="13"/>
        <v>25</v>
      </c>
      <c r="L249" s="194">
        <v>46013</v>
      </c>
      <c r="M249" s="189">
        <f t="shared" si="14"/>
        <v>25</v>
      </c>
      <c r="N249" s="176">
        <v>0.71</v>
      </c>
      <c r="O249" s="112" t="s">
        <v>634</v>
      </c>
      <c r="P249" s="249" t="str">
        <f>+UPPER(TEXT(Tabla4[[#This Row],[transferencia]],"mmmm"))</f>
        <v>ENERO</v>
      </c>
      <c r="Q249" t="s">
        <v>319</v>
      </c>
      <c r="R249"/>
      <c r="S249" s="249"/>
      <c r="T249" s="249"/>
      <c r="U249" s="249"/>
      <c r="V249" s="249"/>
      <c r="W249" s="249"/>
      <c r="X249" s="249"/>
      <c r="Y249" s="249"/>
      <c r="Z249" s="249"/>
    </row>
    <row r="250" spans="1:26" s="152" customFormat="1" hidden="1" x14ac:dyDescent="0.25">
      <c r="A250" s="112" t="str">
        <f>+Tabla4[[#This Row],[PISCINA]]&amp;Tabla4[[#This Row],[AGUAJE]]</f>
        <v>WA 16AGUAJE 8</v>
      </c>
      <c r="B250" s="112" t="s">
        <v>339</v>
      </c>
      <c r="C250" s="249" t="str">
        <f t="shared" si="16"/>
        <v>WA</v>
      </c>
      <c r="D250" s="194">
        <v>46038</v>
      </c>
      <c r="E250" s="172">
        <v>1325000</v>
      </c>
      <c r="F250" t="s">
        <v>417</v>
      </c>
      <c r="G250" s="190" t="s">
        <v>510</v>
      </c>
      <c r="H250" s="189" t="s">
        <v>635</v>
      </c>
      <c r="I250" s="166" t="str">
        <f>IFERROR(VLOOKUP(H250,DATOS!$E$117:$F$168,2,0),"")</f>
        <v/>
      </c>
      <c r="J250" s="191">
        <v>0.58089999999999997</v>
      </c>
      <c r="K250" s="192">
        <f t="shared" si="13"/>
        <v>25</v>
      </c>
      <c r="L250" s="194">
        <v>46013</v>
      </c>
      <c r="M250" s="189">
        <f t="shared" si="14"/>
        <v>25</v>
      </c>
      <c r="N250" s="176">
        <v>0.71</v>
      </c>
      <c r="O250" s="112" t="s">
        <v>636</v>
      </c>
      <c r="P250" s="249" t="str">
        <f>+UPPER(TEXT(Tabla4[[#This Row],[transferencia]],"mmmm"))</f>
        <v>ENERO</v>
      </c>
      <c r="Q250" s="249" t="s">
        <v>334</v>
      </c>
      <c r="R250"/>
      <c r="S250" s="249"/>
      <c r="T250" s="249"/>
      <c r="U250" s="249"/>
      <c r="V250" s="249"/>
      <c r="W250" s="249"/>
      <c r="X250" s="249"/>
      <c r="Y250" s="249"/>
      <c r="Z250" s="249"/>
    </row>
    <row r="251" spans="1:26" s="152" customFormat="1" hidden="1" x14ac:dyDescent="0.25">
      <c r="A251" s="112" t="str">
        <f>+Tabla4[[#This Row],[PISCINA]]&amp;Tabla4[[#This Row],[AGUAJE]]</f>
        <v>WA 20AGUAJE 8</v>
      </c>
      <c r="B251" s="112" t="s">
        <v>344</v>
      </c>
      <c r="C251" s="249" t="str">
        <f t="shared" si="16"/>
        <v>WA</v>
      </c>
      <c r="D251" s="194">
        <v>46038</v>
      </c>
      <c r="E251" s="172">
        <v>612000</v>
      </c>
      <c r="F251" t="s">
        <v>417</v>
      </c>
      <c r="G251" s="190" t="s">
        <v>422</v>
      </c>
      <c r="H251" s="189" t="s">
        <v>431</v>
      </c>
      <c r="I251" s="166" t="str">
        <f>IFERROR(VLOOKUP(H251,DATOS!$E$117:$F$168,2,0),"")</f>
        <v>H10534B</v>
      </c>
      <c r="J251" s="191">
        <v>0.58089999999999997</v>
      </c>
      <c r="K251" s="192">
        <f t="shared" si="13"/>
        <v>25</v>
      </c>
      <c r="L251" s="194">
        <v>46013</v>
      </c>
      <c r="M251" s="189">
        <f t="shared" si="14"/>
        <v>25</v>
      </c>
      <c r="N251" s="176">
        <v>0.71</v>
      </c>
      <c r="O251" s="112" t="s">
        <v>519</v>
      </c>
      <c r="P251" s="249" t="str">
        <f>+UPPER(TEXT(Tabla4[[#This Row],[transferencia]],"mmmm"))</f>
        <v>ENERO</v>
      </c>
      <c r="Q251" s="249" t="s">
        <v>334</v>
      </c>
      <c r="R251"/>
      <c r="S251" s="249"/>
      <c r="T251" s="249"/>
      <c r="U251" s="249"/>
      <c r="V251" s="249"/>
      <c r="W251" s="249"/>
      <c r="X251" s="249"/>
      <c r="Y251" s="249"/>
      <c r="Z251" s="249"/>
    </row>
    <row r="252" spans="1:26" s="152" customFormat="1" hidden="1" x14ac:dyDescent="0.25">
      <c r="A252" s="112" t="str">
        <f>+Tabla4[[#This Row],[PISCINA]]&amp;Tabla4[[#This Row],[AGUAJE]]</f>
        <v>WA 24AGUAJE 8</v>
      </c>
      <c r="B252" s="112" t="s">
        <v>342</v>
      </c>
      <c r="C252" s="249" t="str">
        <f t="shared" si="16"/>
        <v>WA</v>
      </c>
      <c r="D252" s="194">
        <v>46038</v>
      </c>
      <c r="E252" s="172">
        <v>782000</v>
      </c>
      <c r="F252" t="s">
        <v>417</v>
      </c>
      <c r="G252" s="190" t="s">
        <v>422</v>
      </c>
      <c r="H252" s="189" t="s">
        <v>431</v>
      </c>
      <c r="I252" s="166" t="str">
        <f>IFERROR(VLOOKUP(H252,DATOS!$E$117:$F$168,2,0),"")</f>
        <v>H10534B</v>
      </c>
      <c r="J252" s="191">
        <v>0.58089999999999997</v>
      </c>
      <c r="K252" s="192">
        <f t="shared" si="13"/>
        <v>25</v>
      </c>
      <c r="L252" s="194">
        <v>46013</v>
      </c>
      <c r="M252" s="189">
        <f t="shared" si="14"/>
        <v>25</v>
      </c>
      <c r="N252" s="176">
        <v>0.71</v>
      </c>
      <c r="O252" s="112" t="s">
        <v>519</v>
      </c>
      <c r="P252" s="249" t="str">
        <f>+UPPER(TEXT(Tabla4[[#This Row],[transferencia]],"mmmm"))</f>
        <v>ENERO</v>
      </c>
      <c r="Q252" s="249" t="s">
        <v>334</v>
      </c>
      <c r="R252"/>
      <c r="S252" s="249"/>
      <c r="T252" s="249"/>
      <c r="U252" s="249"/>
      <c r="V252" s="249"/>
      <c r="W252" s="249"/>
      <c r="X252" s="249"/>
      <c r="Y252" s="249"/>
      <c r="Z252" s="249"/>
    </row>
    <row r="253" spans="1:26" s="152" customFormat="1" hidden="1" x14ac:dyDescent="0.25">
      <c r="A253" s="112" t="str">
        <f>+Tabla4[[#This Row],[PISCINA]]&amp;Tabla4[[#This Row],[AGUAJE]]</f>
        <v>TA 08AGUAJE 6</v>
      </c>
      <c r="B253" s="112" t="s">
        <v>143</v>
      </c>
      <c r="C253" s="249" t="str">
        <f t="shared" si="16"/>
        <v>TA</v>
      </c>
      <c r="D253" s="194">
        <v>46039</v>
      </c>
      <c r="E253" s="172">
        <v>1440000</v>
      </c>
      <c r="F253" t="s">
        <v>417</v>
      </c>
      <c r="G253" s="190" t="s">
        <v>422</v>
      </c>
      <c r="H253" s="189" t="s">
        <v>528</v>
      </c>
      <c r="I253" s="166" t="str">
        <f>IFERROR(VLOOKUP(H253,DATOS!$E$117:$F$168,2,0),"")</f>
        <v>H10534A</v>
      </c>
      <c r="J253" s="191">
        <v>0.72729999999999995</v>
      </c>
      <c r="K253" s="192">
        <f t="shared" ref="K253:K274" si="17">+D253-L253</f>
        <v>22</v>
      </c>
      <c r="L253" s="194">
        <v>46017</v>
      </c>
      <c r="M253" s="189">
        <f t="shared" ref="M253:M274" si="18">+D253-L253</f>
        <v>22</v>
      </c>
      <c r="N253" s="176">
        <v>5</v>
      </c>
      <c r="O253" s="112" t="s">
        <v>502</v>
      </c>
      <c r="P253" s="249" t="str">
        <f>+UPPER(TEXT(Tabla4[[#This Row],[transferencia]],"mmmm"))</f>
        <v>ENERO</v>
      </c>
      <c r="Q253" t="s">
        <v>291</v>
      </c>
      <c r="R253"/>
      <c r="S253" s="249"/>
      <c r="T253" s="249"/>
      <c r="U253" s="249"/>
      <c r="V253" s="249"/>
      <c r="W253" s="249"/>
      <c r="X253" s="249"/>
      <c r="Y253" s="249"/>
      <c r="Z253" s="249"/>
    </row>
    <row r="254" spans="1:26" s="152" customFormat="1" hidden="1" x14ac:dyDescent="0.25">
      <c r="A254" s="112" t="str">
        <f>+Tabla4[[#This Row],[PISCINA]]&amp;Tabla4[[#This Row],[AGUAJE]]</f>
        <v>WA 29AGUAJE 8</v>
      </c>
      <c r="B254" s="112" t="s">
        <v>340</v>
      </c>
      <c r="C254" s="249" t="str">
        <f t="shared" si="16"/>
        <v>WA</v>
      </c>
      <c r="D254" s="194">
        <v>46039</v>
      </c>
      <c r="E254" s="172">
        <v>800000</v>
      </c>
      <c r="F254" t="s">
        <v>417</v>
      </c>
      <c r="G254" s="190" t="s">
        <v>422</v>
      </c>
      <c r="H254" s="189" t="s">
        <v>431</v>
      </c>
      <c r="I254" s="166" t="str">
        <f>IFERROR(VLOOKUP(H254,DATOS!$E$117:$F$168,2,0),"")</f>
        <v>H10534B</v>
      </c>
      <c r="J254" s="191">
        <v>0.61539999999999995</v>
      </c>
      <c r="K254" s="192">
        <f t="shared" si="17"/>
        <v>26</v>
      </c>
      <c r="L254" s="194">
        <v>46013</v>
      </c>
      <c r="M254" s="189">
        <f t="shared" si="18"/>
        <v>26</v>
      </c>
      <c r="N254" s="176">
        <v>0.82</v>
      </c>
      <c r="O254" s="112" t="s">
        <v>539</v>
      </c>
      <c r="P254" s="249" t="str">
        <f>+UPPER(TEXT(Tabla4[[#This Row],[transferencia]],"mmmm"))</f>
        <v>ENERO</v>
      </c>
      <c r="Q254" s="249" t="s">
        <v>334</v>
      </c>
      <c r="R254"/>
      <c r="S254" s="249"/>
      <c r="T254" s="249"/>
      <c r="U254" s="249"/>
      <c r="V254" s="249"/>
      <c r="W254" s="249"/>
      <c r="X254" s="249"/>
      <c r="Y254" s="249"/>
      <c r="Z254" s="249"/>
    </row>
    <row r="255" spans="1:26" s="152" customFormat="1" hidden="1" x14ac:dyDescent="0.25">
      <c r="A255" s="112" t="str">
        <f>+Tabla4[[#This Row],[PISCINA]]&amp;Tabla4[[#This Row],[AGUAJE]]</f>
        <v>PR 02AGUAJE 7</v>
      </c>
      <c r="B255" s="112" t="s">
        <v>154</v>
      </c>
      <c r="C255" t="str">
        <f t="shared" si="16"/>
        <v>PR</v>
      </c>
      <c r="D255" s="194">
        <v>46041</v>
      </c>
      <c r="E255" s="172">
        <v>540000</v>
      </c>
      <c r="F255" t="s">
        <v>417</v>
      </c>
      <c r="G255" s="190" t="s">
        <v>422</v>
      </c>
      <c r="H255" s="189" t="s">
        <v>423</v>
      </c>
      <c r="I255" s="166" t="str">
        <f>IFERROR(VLOOKUP(H255,DATOS!$E$117:$F$168,2,0),"")</f>
        <v>H10611</v>
      </c>
      <c r="J255" s="191">
        <v>0.55800000000000005</v>
      </c>
      <c r="K255" s="192">
        <f t="shared" si="17"/>
        <v>22</v>
      </c>
      <c r="L255" s="194">
        <v>46019</v>
      </c>
      <c r="M255" s="189">
        <f t="shared" si="18"/>
        <v>22</v>
      </c>
      <c r="N255" s="176">
        <v>0.43</v>
      </c>
      <c r="O255" s="112" t="s">
        <v>608</v>
      </c>
      <c r="P255" t="str">
        <f>+UPPER(TEXT(Tabla4[[#This Row],[transferencia]],"mmmm"))</f>
        <v>ENERO</v>
      </c>
      <c r="Q255" t="s">
        <v>319</v>
      </c>
      <c r="R255"/>
      <c r="S255" s="249"/>
      <c r="T255" s="249"/>
      <c r="U255" s="249"/>
      <c r="V255" s="249"/>
      <c r="W255" s="249"/>
      <c r="X255" s="249"/>
      <c r="Y255" s="249"/>
      <c r="Z255" s="249"/>
    </row>
    <row r="256" spans="1:26" s="152" customFormat="1" hidden="1" x14ac:dyDescent="0.25">
      <c r="A256" s="112" t="str">
        <f>+Tabla4[[#This Row],[PISCINA]]&amp;Tabla4[[#This Row],[AGUAJE]]</f>
        <v>WA 07AGUAJE 8</v>
      </c>
      <c r="B256" s="112" t="s">
        <v>338</v>
      </c>
      <c r="C256" s="249" t="str">
        <f t="shared" si="16"/>
        <v>WA</v>
      </c>
      <c r="D256" s="194">
        <v>46041</v>
      </c>
      <c r="E256" s="172">
        <v>770000</v>
      </c>
      <c r="F256" t="s">
        <v>417</v>
      </c>
      <c r="G256" s="190" t="s">
        <v>566</v>
      </c>
      <c r="H256" s="189" t="s">
        <v>419</v>
      </c>
      <c r="I256" s="166" t="str">
        <f>IFERROR(VLOOKUP(H256,DATOS!$E$117:$F$168,2,0),"")</f>
        <v>H10603</v>
      </c>
      <c r="J256" s="191">
        <v>0.52549999999999997</v>
      </c>
      <c r="K256" s="192">
        <f t="shared" si="17"/>
        <v>27</v>
      </c>
      <c r="L256" s="194">
        <v>46014</v>
      </c>
      <c r="M256" s="189">
        <f t="shared" si="18"/>
        <v>27</v>
      </c>
      <c r="N256" s="176">
        <v>1.1000000000000001</v>
      </c>
      <c r="O256" s="112" t="s">
        <v>637</v>
      </c>
      <c r="P256" s="249" t="str">
        <f>+UPPER(TEXT(Tabla4[[#This Row],[transferencia]],"mmmm"))</f>
        <v>ENERO</v>
      </c>
      <c r="Q256" t="s">
        <v>334</v>
      </c>
      <c r="R256"/>
      <c r="S256" s="249"/>
      <c r="T256" s="249"/>
      <c r="U256" s="249"/>
      <c r="V256" s="249"/>
      <c r="W256" s="249"/>
      <c r="X256" s="249"/>
      <c r="Y256" s="249"/>
      <c r="Z256" s="249"/>
    </row>
    <row r="257" spans="1:26" s="152" customFormat="1" hidden="1" x14ac:dyDescent="0.25">
      <c r="A257" s="112" t="str">
        <f>+Tabla4[[#This Row],[PISCINA]]&amp;Tabla4[[#This Row],[AGUAJE]]</f>
        <v>WA 08AGUAJE 8</v>
      </c>
      <c r="B257" s="112" t="s">
        <v>343</v>
      </c>
      <c r="C257" s="249" t="str">
        <f t="shared" si="16"/>
        <v>WA</v>
      </c>
      <c r="D257" s="194">
        <v>46041</v>
      </c>
      <c r="E257" s="172">
        <v>752000</v>
      </c>
      <c r="F257" t="s">
        <v>417</v>
      </c>
      <c r="G257" s="190" t="s">
        <v>566</v>
      </c>
      <c r="H257" s="189" t="s">
        <v>419</v>
      </c>
      <c r="I257" s="166" t="str">
        <f>IFERROR(VLOOKUP(H257,DATOS!$E$117:$F$168,2,0),"")</f>
        <v>H10603</v>
      </c>
      <c r="J257" s="191">
        <v>0.54769999999999996</v>
      </c>
      <c r="K257" s="192">
        <f t="shared" si="17"/>
        <v>27</v>
      </c>
      <c r="L257" s="194">
        <v>46014</v>
      </c>
      <c r="M257" s="189">
        <f t="shared" si="18"/>
        <v>27</v>
      </c>
      <c r="N257" s="176">
        <v>1.1299999999999999</v>
      </c>
      <c r="O257" s="112" t="s">
        <v>638</v>
      </c>
      <c r="P257" s="249" t="str">
        <f>+UPPER(TEXT(Tabla4[[#This Row],[transferencia]],"mmmm"))</f>
        <v>ENERO</v>
      </c>
      <c r="Q257" t="s">
        <v>334</v>
      </c>
      <c r="R257"/>
      <c r="S257" s="249"/>
      <c r="T257" s="249"/>
      <c r="U257" s="249"/>
      <c r="V257" s="249"/>
      <c r="W257" s="249"/>
      <c r="X257" s="249"/>
      <c r="Y257" s="249"/>
      <c r="Z257" s="249"/>
    </row>
    <row r="258" spans="1:26" s="152" customFormat="1" hidden="1" x14ac:dyDescent="0.25">
      <c r="A258" s="112" t="str">
        <f>+Tabla4[[#This Row],[PISCINA]]&amp;Tabla4[[#This Row],[AGUAJE]]</f>
        <v>WA 12AGUAJE 8</v>
      </c>
      <c r="B258" s="112" t="s">
        <v>336</v>
      </c>
      <c r="C258" s="249" t="str">
        <f t="shared" si="16"/>
        <v>WA</v>
      </c>
      <c r="D258" s="194">
        <v>46041</v>
      </c>
      <c r="E258" s="172">
        <v>1050000</v>
      </c>
      <c r="F258" t="s">
        <v>417</v>
      </c>
      <c r="G258" s="190" t="s">
        <v>566</v>
      </c>
      <c r="H258" s="189" t="s">
        <v>419</v>
      </c>
      <c r="I258" s="166" t="str">
        <f>IFERROR(VLOOKUP(H258,DATOS!$E$117:$F$168,2,0),"")</f>
        <v>H10603</v>
      </c>
      <c r="J258" s="191">
        <v>0.52549999999999997</v>
      </c>
      <c r="K258" s="192">
        <f t="shared" si="17"/>
        <v>27</v>
      </c>
      <c r="L258" s="194">
        <v>46014</v>
      </c>
      <c r="M258" s="189">
        <f t="shared" si="18"/>
        <v>27</v>
      </c>
      <c r="N258" s="176">
        <v>1.1000000000000001</v>
      </c>
      <c r="O258" s="112" t="s">
        <v>637</v>
      </c>
      <c r="P258" s="249" t="str">
        <f>+UPPER(TEXT(Tabla4[[#This Row],[transferencia]],"mmmm"))</f>
        <v>ENERO</v>
      </c>
      <c r="Q258" t="s">
        <v>334</v>
      </c>
      <c r="R258"/>
      <c r="S258" s="249"/>
      <c r="T258" s="249"/>
      <c r="U258" s="249"/>
      <c r="V258" s="249"/>
      <c r="W258" s="249"/>
      <c r="X258" s="249"/>
      <c r="Y258" s="249"/>
      <c r="Z258" s="249"/>
    </row>
    <row r="259" spans="1:26" s="152" customFormat="1" hidden="1" x14ac:dyDescent="0.25">
      <c r="A259" s="112" t="str">
        <f>+Tabla4[[#This Row],[PISCINA]]&amp;Tabla4[[#This Row],[AGUAJE]]</f>
        <v>PA 14AGUAJE 7</v>
      </c>
      <c r="B259" s="112" t="s">
        <v>128</v>
      </c>
      <c r="C259" s="249" t="str">
        <f t="shared" si="16"/>
        <v>PA</v>
      </c>
      <c r="D259" s="194">
        <v>46042</v>
      </c>
      <c r="E259" s="172">
        <v>1870000</v>
      </c>
      <c r="F259" t="s">
        <v>417</v>
      </c>
      <c r="G259" s="190" t="s">
        <v>422</v>
      </c>
      <c r="H259" s="189" t="s">
        <v>528</v>
      </c>
      <c r="I259" s="166" t="str">
        <f>IFERROR(VLOOKUP(H259,DATOS!$E$117:$F$168,2,0),"")</f>
        <v>H10534A</v>
      </c>
      <c r="J259" s="191">
        <v>0.89049999999999996</v>
      </c>
      <c r="K259" s="192">
        <f t="shared" si="17"/>
        <v>17</v>
      </c>
      <c r="L259" s="194">
        <v>46025</v>
      </c>
      <c r="M259" s="189">
        <f t="shared" si="18"/>
        <v>17</v>
      </c>
      <c r="N259" s="176">
        <v>0.4</v>
      </c>
      <c r="O259" s="112" t="s">
        <v>598</v>
      </c>
      <c r="P259" s="249" t="str">
        <f>+UPPER(TEXT(Tabla4[[#This Row],[transferencia]],"mmmm"))</f>
        <v>ENERO</v>
      </c>
      <c r="Q259" t="s">
        <v>319</v>
      </c>
      <c r="R259"/>
      <c r="S259" s="249"/>
      <c r="T259" s="249"/>
      <c r="U259" s="249"/>
      <c r="V259" s="249"/>
      <c r="W259" s="249"/>
      <c r="X259" s="249"/>
      <c r="Y259" s="249"/>
      <c r="Z259" s="249"/>
    </row>
    <row r="260" spans="1:26" s="152" customFormat="1" hidden="1" x14ac:dyDescent="0.25">
      <c r="A260" s="112" t="str">
        <f>+Tabla4[[#This Row],[PISCINA]]&amp;Tabla4[[#This Row],[AGUAJE]]</f>
        <v>WA 35AGUAJE 8</v>
      </c>
      <c r="B260" s="112" t="s">
        <v>345</v>
      </c>
      <c r="C260" s="249" t="str">
        <f t="shared" si="16"/>
        <v>WA</v>
      </c>
      <c r="D260" s="194">
        <v>46042</v>
      </c>
      <c r="E260" s="172">
        <v>1007500</v>
      </c>
      <c r="F260" t="s">
        <v>417</v>
      </c>
      <c r="G260" s="190" t="s">
        <v>566</v>
      </c>
      <c r="H260" s="189" t="s">
        <v>419</v>
      </c>
      <c r="I260" s="166" t="str">
        <f>IFERROR(VLOOKUP(H260,DATOS!$E$117:$F$168,2,0),"")</f>
        <v>H10603</v>
      </c>
      <c r="J260" s="191">
        <v>0.58020000000000005</v>
      </c>
      <c r="K260" s="192">
        <f t="shared" si="17"/>
        <v>27</v>
      </c>
      <c r="L260" s="194">
        <v>46015</v>
      </c>
      <c r="M260" s="189">
        <f t="shared" si="18"/>
        <v>27</v>
      </c>
      <c r="N260" s="176">
        <v>1.105</v>
      </c>
      <c r="O260" s="112" t="s">
        <v>639</v>
      </c>
      <c r="P260" s="249" t="str">
        <f>+UPPER(TEXT(Tabla4[[#This Row],[transferencia]],"mmmm"))</f>
        <v>ENERO</v>
      </c>
      <c r="Q260" s="249" t="s">
        <v>334</v>
      </c>
      <c r="R260"/>
      <c r="S260" s="249"/>
      <c r="T260" s="249"/>
      <c r="U260" s="249"/>
      <c r="V260" s="249"/>
      <c r="W260" s="249"/>
      <c r="X260" s="249"/>
      <c r="Y260" s="249"/>
      <c r="Z260" s="249"/>
    </row>
    <row r="261" spans="1:26" s="152" customFormat="1" hidden="1" x14ac:dyDescent="0.25">
      <c r="A261" s="112" t="str">
        <f>+Tabla4[[#This Row],[PISCINA]]&amp;Tabla4[[#This Row],[AGUAJE]]</f>
        <v>WA 19AGUAJE 8</v>
      </c>
      <c r="B261" s="112" t="s">
        <v>335</v>
      </c>
      <c r="C261" s="249" t="str">
        <f t="shared" si="16"/>
        <v>WA</v>
      </c>
      <c r="D261" s="194">
        <v>46044</v>
      </c>
      <c r="E261" s="172">
        <v>797500</v>
      </c>
      <c r="F261" t="s">
        <v>417</v>
      </c>
      <c r="G261" s="190" t="s">
        <v>566</v>
      </c>
      <c r="H261" s="189" t="s">
        <v>419</v>
      </c>
      <c r="I261" s="166" t="str">
        <f>IFERROR(VLOOKUP(H261,DATOS!$E$117:$F$168,2,0),"")</f>
        <v>H10603</v>
      </c>
      <c r="J261" s="191">
        <v>0.54769999999999996</v>
      </c>
      <c r="K261" s="192">
        <f t="shared" si="17"/>
        <v>29</v>
      </c>
      <c r="L261" s="194">
        <v>46015</v>
      </c>
      <c r="M261" s="189">
        <f t="shared" si="18"/>
        <v>29</v>
      </c>
      <c r="N261" s="176">
        <v>1.1299999999999999</v>
      </c>
      <c r="O261" s="112" t="s">
        <v>638</v>
      </c>
      <c r="P261" s="249" t="str">
        <f>+UPPER(TEXT(Tabla4[[#This Row],[transferencia]],"mmmm"))</f>
        <v>ENERO</v>
      </c>
      <c r="Q261" t="s">
        <v>334</v>
      </c>
      <c r="R261"/>
      <c r="S261" s="249"/>
      <c r="T261" s="249"/>
      <c r="U261" s="249"/>
      <c r="V261" s="249"/>
      <c r="W261" s="249"/>
      <c r="X261" s="249"/>
      <c r="Y261" s="249"/>
      <c r="Z261" s="249"/>
    </row>
    <row r="262" spans="1:26" s="152" customFormat="1" hidden="1" x14ac:dyDescent="0.25">
      <c r="A262" s="112" t="str">
        <f>+Tabla4[[#This Row],[PISCINA]]&amp;Tabla4[[#This Row],[AGUAJE]]</f>
        <v>WA 21AGUAJE 5</v>
      </c>
      <c r="B262" s="112" t="s">
        <v>257</v>
      </c>
      <c r="C262" s="249" t="str">
        <f t="shared" si="16"/>
        <v>WA</v>
      </c>
      <c r="D262" s="194">
        <v>46044</v>
      </c>
      <c r="E262" s="172">
        <v>540000</v>
      </c>
      <c r="F262" t="s">
        <v>417</v>
      </c>
      <c r="G262" s="190" t="s">
        <v>566</v>
      </c>
      <c r="H262" s="189" t="s">
        <v>419</v>
      </c>
      <c r="I262" s="166" t="str">
        <f>IFERROR(VLOOKUP(H262,DATOS!$E$117:$F$168,2,0),"")</f>
        <v>H10603</v>
      </c>
      <c r="J262" s="191">
        <v>0.54769999999999996</v>
      </c>
      <c r="K262" s="192">
        <f t="shared" si="17"/>
        <v>29</v>
      </c>
      <c r="L262" s="194">
        <v>46015</v>
      </c>
      <c r="M262" s="189">
        <f t="shared" si="18"/>
        <v>29</v>
      </c>
      <c r="N262" s="176">
        <v>1.1399999999999999</v>
      </c>
      <c r="O262" s="112" t="s">
        <v>638</v>
      </c>
      <c r="P262" s="249" t="str">
        <f>+UPPER(TEXT(Tabla4[[#This Row],[transferencia]],"mmmm"))</f>
        <v>ENERO</v>
      </c>
      <c r="Q262" t="s">
        <v>256</v>
      </c>
      <c r="R262"/>
      <c r="S262" s="249"/>
      <c r="T262" s="249"/>
      <c r="U262" s="249"/>
      <c r="V262" s="249"/>
      <c r="W262" s="249"/>
      <c r="X262" s="249"/>
      <c r="Y262" s="249"/>
      <c r="Z262" s="249"/>
    </row>
    <row r="263" spans="1:26" s="152" customFormat="1" hidden="1" x14ac:dyDescent="0.25">
      <c r="A263" s="112" t="str">
        <f>+Tabla4[[#This Row],[PISCINA]]&amp;Tabla4[[#This Row],[AGUAJE]]</f>
        <v>PA 08AGUAJE 8</v>
      </c>
      <c r="B263" s="112" t="s">
        <v>170</v>
      </c>
      <c r="C263" s="249" t="str">
        <f t="shared" si="16"/>
        <v>PA</v>
      </c>
      <c r="D263" s="194">
        <v>46051</v>
      </c>
      <c r="E263" s="172">
        <v>566450</v>
      </c>
      <c r="F263" t="s">
        <v>417</v>
      </c>
      <c r="G263" s="190" t="s">
        <v>422</v>
      </c>
      <c r="H263" s="189" t="s">
        <v>506</v>
      </c>
      <c r="I263" s="166" t="str">
        <f>IFERROR(VLOOKUP(H263,DATOS!$E$117:$F$168,2,0),"")</f>
        <v>H10533F</v>
      </c>
      <c r="J263" s="191">
        <v>0.77400000000000002</v>
      </c>
      <c r="K263" s="192">
        <f t="shared" si="17"/>
        <v>19</v>
      </c>
      <c r="L263" s="194">
        <v>46032</v>
      </c>
      <c r="M263" s="189">
        <f t="shared" si="18"/>
        <v>19</v>
      </c>
      <c r="N263" s="176">
        <v>0.5</v>
      </c>
      <c r="O263" s="112" t="s">
        <v>457</v>
      </c>
      <c r="P263" s="249" t="str">
        <f>+UPPER(TEXT(Tabla4[[#This Row],[transferencia]],"mmmm"))</f>
        <v>ENERO</v>
      </c>
      <c r="Q263" s="249" t="s">
        <v>334</v>
      </c>
      <c r="R263"/>
      <c r="S263" s="249"/>
      <c r="T263" s="249"/>
      <c r="U263" s="249"/>
      <c r="V263" s="249"/>
      <c r="W263" s="249"/>
      <c r="X263" s="249"/>
      <c r="Y263" s="249"/>
      <c r="Z263" s="249"/>
    </row>
    <row r="264" spans="1:26" s="152" customFormat="1" hidden="1" x14ac:dyDescent="0.25">
      <c r="A264" s="112" t="str">
        <f>+Tabla4[[#This Row],[PISCINA]]&amp;Tabla4[[#This Row],[AGUAJE]]</f>
        <v>PA 10AGUAJE 8</v>
      </c>
      <c r="B264" s="112" t="s">
        <v>167</v>
      </c>
      <c r="C264" s="249" t="str">
        <f t="shared" si="16"/>
        <v>PA</v>
      </c>
      <c r="D264" s="194">
        <v>46051</v>
      </c>
      <c r="E264" s="172">
        <v>380800</v>
      </c>
      <c r="F264" t="s">
        <v>417</v>
      </c>
      <c r="G264" s="190" t="s">
        <v>422</v>
      </c>
      <c r="H264" s="189" t="s">
        <v>506</v>
      </c>
      <c r="I264" s="166" t="str">
        <f>IFERROR(VLOOKUP(H264,DATOS!$E$117:$F$168,2,0),"")</f>
        <v>H10533F</v>
      </c>
      <c r="J264" s="191">
        <v>0.77400000000000002</v>
      </c>
      <c r="K264" s="192">
        <f t="shared" si="17"/>
        <v>19</v>
      </c>
      <c r="L264" s="194">
        <v>46032</v>
      </c>
      <c r="M264" s="189">
        <f t="shared" si="18"/>
        <v>19</v>
      </c>
      <c r="N264" s="176">
        <v>0.5</v>
      </c>
      <c r="O264" s="112" t="s">
        <v>457</v>
      </c>
      <c r="P264" s="249" t="str">
        <f>+UPPER(TEXT(Tabla4[[#This Row],[transferencia]],"mmmm"))</f>
        <v>ENERO</v>
      </c>
      <c r="Q264" s="249" t="s">
        <v>334</v>
      </c>
      <c r="R264"/>
      <c r="S264" s="249"/>
      <c r="T264" s="249"/>
      <c r="U264" s="249"/>
      <c r="V264" s="249"/>
      <c r="W264" s="249"/>
      <c r="X264" s="249"/>
      <c r="Y264" s="249"/>
      <c r="Z264" s="249"/>
    </row>
    <row r="265" spans="1:26" s="152" customFormat="1" hidden="1" x14ac:dyDescent="0.25">
      <c r="A265" s="112" t="str">
        <f>+Tabla4[[#This Row],[PISCINA]]&amp;Tabla4[[#This Row],[AGUAJE]]</f>
        <v>PA 11AGUAJE 8</v>
      </c>
      <c r="B265" s="112" t="s">
        <v>164</v>
      </c>
      <c r="C265" s="249" t="str">
        <f t="shared" si="16"/>
        <v>PA</v>
      </c>
      <c r="D265" s="194">
        <v>46051</v>
      </c>
      <c r="E265" s="172">
        <v>910400</v>
      </c>
      <c r="F265" t="s">
        <v>417</v>
      </c>
      <c r="G265" s="190" t="s">
        <v>422</v>
      </c>
      <c r="H265" s="189" t="s">
        <v>506</v>
      </c>
      <c r="I265" s="166" t="str">
        <f>IFERROR(VLOOKUP(H265,DATOS!$E$117:$F$168,2,0),"")</f>
        <v>H10533F</v>
      </c>
      <c r="J265" s="191">
        <v>0.77400000000000002</v>
      </c>
      <c r="K265" s="192">
        <f t="shared" si="17"/>
        <v>19</v>
      </c>
      <c r="L265" s="194">
        <v>46032</v>
      </c>
      <c r="M265" s="189">
        <f t="shared" si="18"/>
        <v>19</v>
      </c>
      <c r="N265" s="176">
        <v>0.5</v>
      </c>
      <c r="O265" s="112" t="s">
        <v>457</v>
      </c>
      <c r="P265" s="249" t="str">
        <f>+UPPER(TEXT(Tabla4[[#This Row],[transferencia]],"mmmm"))</f>
        <v>ENERO</v>
      </c>
      <c r="Q265" s="249" t="s">
        <v>334</v>
      </c>
      <c r="R265"/>
      <c r="S265" s="249"/>
      <c r="T265" s="249"/>
      <c r="U265" s="249"/>
      <c r="V265" s="249"/>
      <c r="W265" s="249"/>
      <c r="X265" s="249"/>
      <c r="Y265" s="249"/>
      <c r="Z265" s="249"/>
    </row>
    <row r="266" spans="1:26" s="152" customFormat="1" hidden="1" x14ac:dyDescent="0.25">
      <c r="A266" s="112" t="str">
        <f>+Tabla4[[#This Row],[PISCINA]]&amp;Tabla4[[#This Row],[AGUAJE]]</f>
        <v>DO 4</v>
      </c>
      <c r="B266" s="112" t="s">
        <v>640</v>
      </c>
      <c r="C266" t="str">
        <f t="shared" si="16"/>
        <v>DO</v>
      </c>
      <c r="D266" s="194">
        <v>46064</v>
      </c>
      <c r="E266" s="172">
        <v>1765823</v>
      </c>
      <c r="F266" t="s">
        <v>417</v>
      </c>
      <c r="G266" s="190" t="s">
        <v>418</v>
      </c>
      <c r="H266" s="190" t="s">
        <v>418</v>
      </c>
      <c r="I266" s="166" t="str">
        <f>IFERROR(VLOOKUP(H266,DATOS!$E$117:$F$168,2,0),"")</f>
        <v>H10234</v>
      </c>
      <c r="J266" s="191">
        <v>0.76770000000000005</v>
      </c>
      <c r="K266" s="192">
        <f t="shared" si="17"/>
        <v>35</v>
      </c>
      <c r="L266" s="194">
        <v>46029</v>
      </c>
      <c r="M266" s="189">
        <f t="shared" si="18"/>
        <v>35</v>
      </c>
      <c r="N266" s="176">
        <v>2.37</v>
      </c>
      <c r="O266" s="112" t="s">
        <v>523</v>
      </c>
      <c r="P266" t="str">
        <f>+UPPER(TEXT(Tabla4[[#This Row],[transferencia]],"mmmm"))</f>
        <v>FEBRERO</v>
      </c>
      <c r="Q266"/>
      <c r="R266"/>
      <c r="S266" s="249"/>
      <c r="T266" s="249"/>
      <c r="U266" s="249"/>
      <c r="V266" s="249"/>
      <c r="W266" s="249"/>
      <c r="X266" s="249"/>
      <c r="Y266" s="249"/>
      <c r="Z266" s="249"/>
    </row>
    <row r="267" spans="1:26" s="152" customFormat="1" hidden="1" x14ac:dyDescent="0.25">
      <c r="A267" s="112" t="str">
        <f>+Tabla4[[#This Row],[PISCINA]]&amp;Tabla4[[#This Row],[AGUAJE]]</f>
        <v>TA 7AAGUAJE 10</v>
      </c>
      <c r="B267" s="112" t="s">
        <v>239</v>
      </c>
      <c r="C267" t="str">
        <f t="shared" si="16"/>
        <v>TA</v>
      </c>
      <c r="D267" s="194">
        <v>46078</v>
      </c>
      <c r="E267" s="172">
        <v>2125000</v>
      </c>
      <c r="F267" t="s">
        <v>417</v>
      </c>
      <c r="G267" s="190" t="s">
        <v>418</v>
      </c>
      <c r="H267" s="189" t="s">
        <v>418</v>
      </c>
      <c r="I267" s="166" t="str">
        <f>IFERROR(VLOOKUP(H267,DATOS!$E$117:$F$168,2,0),"")</f>
        <v>H10234</v>
      </c>
      <c r="J267" s="191">
        <v>0.83789999999999998</v>
      </c>
      <c r="K267" s="192">
        <f t="shared" si="17"/>
        <v>20</v>
      </c>
      <c r="L267" s="194">
        <v>46058</v>
      </c>
      <c r="M267" s="189">
        <f t="shared" si="18"/>
        <v>20</v>
      </c>
      <c r="N267" s="176">
        <v>0.5</v>
      </c>
      <c r="O267" s="112" t="s">
        <v>473</v>
      </c>
      <c r="P267" t="str">
        <f>+UPPER(TEXT(Tabla4[[#This Row],[transferencia]],"mmmm"))</f>
        <v>FEBRERO</v>
      </c>
      <c r="Q267" t="s">
        <v>347</v>
      </c>
      <c r="R267"/>
      <c r="S267" s="249"/>
      <c r="T267" s="249"/>
      <c r="U267" s="249"/>
      <c r="V267" s="249"/>
      <c r="W267" s="249"/>
      <c r="X267" s="249"/>
      <c r="Y267" s="249"/>
      <c r="Z267" s="249"/>
    </row>
    <row r="268" spans="1:26" s="152" customFormat="1" hidden="1" x14ac:dyDescent="0.25">
      <c r="A268" s="112" t="str">
        <f>+Tabla4[[#This Row],[PISCINA]]&amp;Tabla4[[#This Row],[AGUAJE]]</f>
        <v>DE 05AGUAJE 6</v>
      </c>
      <c r="B268" s="112" t="s">
        <v>309</v>
      </c>
      <c r="C268" s="249" t="str">
        <f t="shared" si="16"/>
        <v>DE</v>
      </c>
      <c r="D268" s="194">
        <v>46026</v>
      </c>
      <c r="E268" s="172">
        <v>1227200</v>
      </c>
      <c r="F268" t="s">
        <v>417</v>
      </c>
      <c r="G268" s="190" t="s">
        <v>503</v>
      </c>
      <c r="H268" s="189" t="s">
        <v>504</v>
      </c>
      <c r="I268" s="166">
        <f>IFERROR(VLOOKUP(H268,DATOS!$E$117:$F$168,2,0),"")</f>
        <v>0</v>
      </c>
      <c r="J268" s="191">
        <v>0.64590000000000003</v>
      </c>
      <c r="K268" s="192">
        <f t="shared" si="17"/>
        <v>14</v>
      </c>
      <c r="L268" s="194">
        <v>46012</v>
      </c>
      <c r="M268" s="189">
        <f t="shared" si="18"/>
        <v>14</v>
      </c>
      <c r="N268" s="176">
        <v>0.27</v>
      </c>
      <c r="O268" s="112" t="s">
        <v>641</v>
      </c>
      <c r="P268" t="str">
        <f>+UPPER(TEXT(Tabla4[[#This Row],[transferencia]],"mmmm"))</f>
        <v>ENERO</v>
      </c>
      <c r="Q268" t="s">
        <v>291</v>
      </c>
      <c r="R268"/>
      <c r="S268" s="249"/>
      <c r="T268" s="249"/>
      <c r="U268" s="249"/>
      <c r="V268" s="249"/>
      <c r="W268" s="249"/>
      <c r="X268" s="249"/>
      <c r="Y268" s="249"/>
      <c r="Z268" s="249"/>
    </row>
    <row r="269" spans="1:26" s="152" customFormat="1" hidden="1" x14ac:dyDescent="0.25">
      <c r="A269" s="112" t="str">
        <f>+Tabla4[[#This Row],[PISCINA]]&amp;Tabla4[[#This Row],[AGUAJE]]</f>
        <v>CH 10AGUAJE 7</v>
      </c>
      <c r="B269" s="112" t="s">
        <v>16</v>
      </c>
      <c r="C269" s="249" t="str">
        <f t="shared" si="16"/>
        <v>CH</v>
      </c>
      <c r="D269" s="194">
        <v>46025</v>
      </c>
      <c r="E269" s="172">
        <v>1404000</v>
      </c>
      <c r="F269" t="s">
        <v>417</v>
      </c>
      <c r="G269" s="190" t="s">
        <v>422</v>
      </c>
      <c r="H269" s="189" t="s">
        <v>616</v>
      </c>
      <c r="I269" s="166" t="str">
        <f>IFERROR(VLOOKUP(H269,DATOS!$E$117:$F$168,2,0),"")</f>
        <v>H10598D</v>
      </c>
      <c r="J269" s="191">
        <v>0.93</v>
      </c>
      <c r="K269" s="192">
        <f t="shared" si="17"/>
        <v>22</v>
      </c>
      <c r="L269" s="194">
        <v>46003</v>
      </c>
      <c r="M269" s="189">
        <f t="shared" si="18"/>
        <v>22</v>
      </c>
      <c r="N269" s="176">
        <v>0.48</v>
      </c>
      <c r="O269" s="112" t="s">
        <v>642</v>
      </c>
      <c r="P269" t="str">
        <f>+UPPER(TEXT(Tabla4[[#This Row],[transferencia]],"mmmm"))</f>
        <v>ENERO</v>
      </c>
      <c r="Q269" t="s">
        <v>319</v>
      </c>
      <c r="R269"/>
      <c r="S269" s="249"/>
      <c r="T269" s="249"/>
      <c r="U269" s="249"/>
      <c r="V269" s="249"/>
      <c r="W269" s="249"/>
      <c r="X269" s="249"/>
      <c r="Y269" s="249"/>
      <c r="Z269" s="249"/>
    </row>
    <row r="270" spans="1:26" s="152" customFormat="1" hidden="1" x14ac:dyDescent="0.25">
      <c r="A270" s="112" t="str">
        <f>+Tabla4[[#This Row],[PISCINA]]&amp;Tabla4[[#This Row],[AGUAJE]]</f>
        <v>DO 25AGUAJE 7</v>
      </c>
      <c r="B270" s="112" t="s">
        <v>331</v>
      </c>
      <c r="C270" s="249" t="str">
        <f t="shared" si="16"/>
        <v>DO</v>
      </c>
      <c r="D270" s="194">
        <v>46030</v>
      </c>
      <c r="E270" s="172">
        <v>2658644</v>
      </c>
      <c r="F270" t="s">
        <v>417</v>
      </c>
      <c r="G270" s="190" t="s">
        <v>418</v>
      </c>
      <c r="H270" s="189" t="s">
        <v>418</v>
      </c>
      <c r="I270" s="166" t="str">
        <f>IFERROR(VLOOKUP(H270,DATOS!$E$117:$F$168,2,0),"")</f>
        <v>H10234</v>
      </c>
      <c r="J270" s="191">
        <v>0.75960000000000005</v>
      </c>
      <c r="K270" s="192">
        <f t="shared" si="17"/>
        <v>21</v>
      </c>
      <c r="L270" s="194">
        <v>46009</v>
      </c>
      <c r="M270" s="189">
        <f t="shared" si="18"/>
        <v>21</v>
      </c>
      <c r="N270" s="176">
        <v>0.59</v>
      </c>
      <c r="O270" s="112" t="s">
        <v>643</v>
      </c>
      <c r="P270" t="str">
        <f>+UPPER(TEXT(Tabla4[[#This Row],[transferencia]],"mmmm"))</f>
        <v>ENERO</v>
      </c>
      <c r="Q270" t="s">
        <v>319</v>
      </c>
      <c r="R270"/>
      <c r="S270" s="249"/>
      <c r="T270" s="249"/>
      <c r="U270" s="249"/>
      <c r="V270" s="249"/>
      <c r="W270" s="249"/>
      <c r="X270" s="249"/>
      <c r="Y270" s="249"/>
      <c r="Z270" s="249"/>
    </row>
    <row r="271" spans="1:26" s="152" customFormat="1" hidden="1" x14ac:dyDescent="0.25">
      <c r="A271" s="112" t="str">
        <f>+Tabla4[[#This Row],[PISCINA]]&amp;Tabla4[[#This Row],[AGUAJE]]</f>
        <v>PR 13AGUAJE 6</v>
      </c>
      <c r="B271" s="112" t="s">
        <v>299</v>
      </c>
      <c r="C271" s="249" t="str">
        <f t="shared" si="16"/>
        <v>PR</v>
      </c>
      <c r="D271" s="194">
        <v>46021</v>
      </c>
      <c r="E271" s="172">
        <v>1764000</v>
      </c>
      <c r="F271" t="s">
        <v>417</v>
      </c>
      <c r="G271" s="190" t="s">
        <v>422</v>
      </c>
      <c r="H271" s="189" t="s">
        <v>506</v>
      </c>
      <c r="I271" s="166" t="str">
        <f>IFERROR(VLOOKUP(H271,DATOS!$E$117:$F$168,2,0),"")</f>
        <v>H10533F</v>
      </c>
      <c r="J271" s="191">
        <v>0.67759999999999998</v>
      </c>
      <c r="K271" s="192">
        <f t="shared" si="17"/>
        <v>19</v>
      </c>
      <c r="L271" s="194">
        <v>46002</v>
      </c>
      <c r="M271" s="189">
        <f t="shared" si="18"/>
        <v>19</v>
      </c>
      <c r="N271" s="176">
        <v>0.35</v>
      </c>
      <c r="O271" s="112" t="s">
        <v>644</v>
      </c>
      <c r="P271" t="str">
        <f>+UPPER(TEXT(Tabla4[[#This Row],[transferencia]],"mmmm"))</f>
        <v>DICIEMBRE</v>
      </c>
      <c r="Q271" t="s">
        <v>291</v>
      </c>
      <c r="R271"/>
      <c r="S271" s="249"/>
      <c r="T271" s="249"/>
      <c r="U271" s="249"/>
      <c r="V271" s="249"/>
      <c r="W271" s="249"/>
      <c r="X271" s="249"/>
      <c r="Y271" s="249"/>
      <c r="Z271" s="249"/>
    </row>
    <row r="272" spans="1:26" s="152" customFormat="1" hidden="1" x14ac:dyDescent="0.25">
      <c r="A272" s="112" t="str">
        <f>+Tabla4[[#This Row],[PISCINA]]&amp;Tabla4[[#This Row],[AGUAJE]]</f>
        <v>PR 19AGUAJE 6</v>
      </c>
      <c r="B272" s="112" t="s">
        <v>298</v>
      </c>
      <c r="C272" s="249" t="str">
        <f t="shared" si="16"/>
        <v>PR</v>
      </c>
      <c r="D272" s="194">
        <v>46021</v>
      </c>
      <c r="E272" s="172">
        <v>540000</v>
      </c>
      <c r="F272" t="s">
        <v>417</v>
      </c>
      <c r="G272" s="190" t="s">
        <v>422</v>
      </c>
      <c r="H272" s="189" t="s">
        <v>506</v>
      </c>
      <c r="I272" s="166" t="str">
        <f>IFERROR(VLOOKUP(H272,DATOS!$E$117:$F$168,2,0),"")</f>
        <v>H10533F</v>
      </c>
      <c r="J272" s="191">
        <v>0.67759999999999998</v>
      </c>
      <c r="K272" s="192">
        <f t="shared" si="17"/>
        <v>19</v>
      </c>
      <c r="L272" s="194">
        <v>46002</v>
      </c>
      <c r="M272" s="189">
        <f t="shared" si="18"/>
        <v>19</v>
      </c>
      <c r="N272" s="176">
        <v>0.35</v>
      </c>
      <c r="O272" s="112" t="s">
        <v>644</v>
      </c>
      <c r="P272" t="str">
        <f>+UPPER(TEXT(Tabla4[[#This Row],[transferencia]],"mmmm"))</f>
        <v>DICIEMBRE</v>
      </c>
      <c r="Q272" t="s">
        <v>291</v>
      </c>
      <c r="R272"/>
      <c r="S272" s="249"/>
      <c r="T272" s="249"/>
      <c r="U272" s="249"/>
      <c r="V272" s="249"/>
      <c r="W272" s="249"/>
      <c r="X272" s="249"/>
      <c r="Y272" s="249"/>
      <c r="Z272" s="249"/>
    </row>
    <row r="273" spans="1:26" s="152" customFormat="1" hidden="1" x14ac:dyDescent="0.25">
      <c r="A273" s="112" t="str">
        <f>+Tabla4[[#This Row],[PISCINA]]&amp;Tabla4[[#This Row],[AGUAJE]]</f>
        <v>DO 28AGUAJE 8</v>
      </c>
      <c r="B273" s="112" t="s">
        <v>132</v>
      </c>
      <c r="C273" s="249" t="str">
        <f t="shared" si="16"/>
        <v>DO</v>
      </c>
      <c r="D273" s="194">
        <v>46034</v>
      </c>
      <c r="E273" s="172">
        <v>1315800</v>
      </c>
      <c r="F273" t="s">
        <v>417</v>
      </c>
      <c r="G273" s="190" t="s">
        <v>503</v>
      </c>
      <c r="H273" s="189" t="s">
        <v>504</v>
      </c>
      <c r="I273" s="166">
        <f>IFERROR(VLOOKUP(H273,DATOS!$E$117:$F$168,2,0),"")</f>
        <v>0</v>
      </c>
      <c r="J273" s="191">
        <v>0.73099999999999998</v>
      </c>
      <c r="K273" s="192">
        <f t="shared" si="17"/>
        <v>22</v>
      </c>
      <c r="L273" s="194">
        <v>46012</v>
      </c>
      <c r="M273" s="189">
        <f t="shared" si="18"/>
        <v>22</v>
      </c>
      <c r="N273" s="176">
        <v>0.6</v>
      </c>
      <c r="O273" s="112" t="s">
        <v>645</v>
      </c>
      <c r="P273" t="str">
        <f>+UPPER(TEXT(Tabla4[[#This Row],[transferencia]],"mmmm"))</f>
        <v>ENERO</v>
      </c>
      <c r="Q273" t="s">
        <v>334</v>
      </c>
      <c r="R273"/>
      <c r="S273" s="249"/>
      <c r="T273" s="249"/>
      <c r="U273" s="249"/>
      <c r="V273" s="249"/>
      <c r="W273" s="249"/>
      <c r="X273" s="249"/>
      <c r="Y273" s="249"/>
      <c r="Z273" s="249"/>
    </row>
    <row r="274" spans="1:26" s="152" customFormat="1" hidden="1" x14ac:dyDescent="0.25">
      <c r="A274" s="112" t="str">
        <f>+Tabla4[[#This Row],[PISCINA]]&amp;Tabla4[[#This Row],[AGUAJE]]</f>
        <v>CA 14AGUAJE 6</v>
      </c>
      <c r="B274" s="112" t="s">
        <v>295</v>
      </c>
      <c r="C274" s="249" t="str">
        <f t="shared" si="16"/>
        <v>CA</v>
      </c>
      <c r="D274" s="194">
        <v>46028</v>
      </c>
      <c r="E274" s="172">
        <v>391000</v>
      </c>
      <c r="F274" t="s">
        <v>417</v>
      </c>
      <c r="G274" s="190" t="s">
        <v>422</v>
      </c>
      <c r="H274" s="189" t="s">
        <v>615</v>
      </c>
      <c r="I274" s="166" t="str">
        <f>IFERROR(VLOOKUP(H274,DATOS!$E$117:$F$168,2,0),"")</f>
        <v>H10581B</v>
      </c>
      <c r="J274" s="191">
        <v>0.71</v>
      </c>
      <c r="K274" s="192">
        <f t="shared" si="17"/>
        <v>22</v>
      </c>
      <c r="L274" s="194">
        <v>46006</v>
      </c>
      <c r="M274" s="189">
        <f t="shared" si="18"/>
        <v>22</v>
      </c>
      <c r="N274" s="176">
        <v>0.52</v>
      </c>
      <c r="O274" s="112" t="s">
        <v>623</v>
      </c>
      <c r="P274" t="str">
        <f>+UPPER(TEXT(Tabla4[[#This Row],[transferencia]],"mmmm"))</f>
        <v>ENERO</v>
      </c>
      <c r="Q274" t="s">
        <v>291</v>
      </c>
      <c r="R274"/>
      <c r="S274" s="249"/>
      <c r="T274" s="249"/>
      <c r="U274" s="249"/>
      <c r="V274" s="249"/>
      <c r="W274" s="249"/>
      <c r="X274" s="249"/>
      <c r="Y274" s="249"/>
      <c r="Z274" s="249"/>
    </row>
    <row r="275" spans="1:26" s="152" customFormat="1" hidden="1" x14ac:dyDescent="0.25">
      <c r="A275" s="112" t="str">
        <f>+Tabla4[[#This Row],[PISCINA]]&amp;Tabla4[[#This Row],[AGUAJE]]</f>
        <v>TI 06AGUAJE 8</v>
      </c>
      <c r="B275" s="112" t="s">
        <v>118</v>
      </c>
      <c r="C275" s="249" t="str">
        <f t="shared" si="16"/>
        <v>TI</v>
      </c>
      <c r="D275" s="194">
        <v>46036</v>
      </c>
      <c r="E275" s="172">
        <v>1124800</v>
      </c>
      <c r="F275" t="s">
        <v>417</v>
      </c>
      <c r="G275" s="190" t="s">
        <v>418</v>
      </c>
      <c r="H275" s="189" t="s">
        <v>419</v>
      </c>
      <c r="I275" s="166" t="str">
        <f>IFERROR(VLOOKUP(H275,DATOS!$E$117:$F$168,2,0),"")</f>
        <v>H10603</v>
      </c>
      <c r="J275" s="191">
        <v>0.81440000000000001</v>
      </c>
      <c r="K275" s="192">
        <f>+D275-L275</f>
        <v>21</v>
      </c>
      <c r="L275" s="194">
        <v>46015</v>
      </c>
      <c r="M275" s="189">
        <f>+D275-L275</f>
        <v>21</v>
      </c>
      <c r="N275" s="176">
        <v>0.55000000000000004</v>
      </c>
      <c r="O275" s="112" t="s">
        <v>646</v>
      </c>
      <c r="P275" t="str">
        <f>+UPPER(TEXT(Tabla4[[#This Row],[transferencia]],"mmmm"))</f>
        <v>ENERO</v>
      </c>
      <c r="Q275" t="s">
        <v>334</v>
      </c>
      <c r="R275"/>
      <c r="S275" s="249"/>
      <c r="T275" s="249"/>
      <c r="U275" s="249"/>
      <c r="V275" s="249"/>
      <c r="W275" s="249"/>
      <c r="X275" s="249"/>
      <c r="Y275" s="249"/>
      <c r="Z275" s="249"/>
    </row>
    <row r="276" spans="1:26" s="152" customFormat="1" hidden="1" x14ac:dyDescent="0.25">
      <c r="A276" s="112" t="str">
        <f>+Tabla4[[#This Row],[PISCINA]]&amp;Tabla4[[#This Row],[AGUAJE]]</f>
        <v>DO 30AGUAJE 8</v>
      </c>
      <c r="B276" s="112" t="s">
        <v>152</v>
      </c>
      <c r="C276" s="249" t="str">
        <f t="shared" ref="C276:C282" si="19">+MID(A276,1,2)</f>
        <v>DO</v>
      </c>
      <c r="D276" s="194">
        <v>46040</v>
      </c>
      <c r="E276" s="172">
        <v>1333731</v>
      </c>
      <c r="F276" t="s">
        <v>417</v>
      </c>
      <c r="G276" s="190" t="s">
        <v>418</v>
      </c>
      <c r="H276" s="190" t="s">
        <v>418</v>
      </c>
      <c r="I276" s="166" t="str">
        <f>IFERROR(VLOOKUP(H276,DATOS!$E$117:$F$168,2,0),"")</f>
        <v>H10234</v>
      </c>
      <c r="J276" s="191">
        <v>0.65059999999999996</v>
      </c>
      <c r="K276" s="192">
        <f t="shared" ref="K276:K282" si="20">+D276-L276</f>
        <v>22</v>
      </c>
      <c r="L276" s="194">
        <v>46018</v>
      </c>
      <c r="M276" s="189">
        <f t="shared" ref="M276:M282" si="21">+D276-L276</f>
        <v>22</v>
      </c>
      <c r="N276" s="176">
        <v>0.95</v>
      </c>
      <c r="O276" s="112" t="s">
        <v>127</v>
      </c>
      <c r="P276" s="249" t="str">
        <f>+UPPER(TEXT(Tabla4[[#This Row],[transferencia]],"mmmm"))</f>
        <v>ENERO</v>
      </c>
      <c r="Q276" t="s">
        <v>334</v>
      </c>
      <c r="R276"/>
      <c r="S276" s="249"/>
      <c r="T276" s="249"/>
      <c r="U276" s="249"/>
      <c r="V276" s="249"/>
      <c r="W276" s="249"/>
      <c r="X276" s="249"/>
      <c r="Y276" s="249"/>
      <c r="Z276" s="249"/>
    </row>
    <row r="277" spans="1:26" s="152" customFormat="1" hidden="1" x14ac:dyDescent="0.25">
      <c r="A277" s="112" t="str">
        <f>+Tabla4[[#This Row],[PISCINA]]&amp;Tabla4[[#This Row],[AGUAJE]]</f>
        <v>DO 06AGUAJE 8</v>
      </c>
      <c r="B277" s="112" t="s">
        <v>126</v>
      </c>
      <c r="C277" s="249" t="str">
        <f t="shared" si="19"/>
        <v>DO</v>
      </c>
      <c r="D277" s="194">
        <v>46038</v>
      </c>
      <c r="E277" s="172">
        <v>941400</v>
      </c>
      <c r="F277" t="s">
        <v>417</v>
      </c>
      <c r="G277" s="190" t="s">
        <v>422</v>
      </c>
      <c r="H277" s="189" t="s">
        <v>431</v>
      </c>
      <c r="I277" s="166" t="str">
        <f>IFERROR(VLOOKUP(H277,DATOS!$E$117:$F$168,2,0),"")</f>
        <v>H10534B</v>
      </c>
      <c r="J277" s="191">
        <v>0.66959999999999997</v>
      </c>
      <c r="K277" s="192">
        <f t="shared" si="20"/>
        <v>25</v>
      </c>
      <c r="L277" s="194">
        <v>46013</v>
      </c>
      <c r="M277" s="189">
        <f t="shared" si="21"/>
        <v>25</v>
      </c>
      <c r="N277" s="176">
        <v>0.8</v>
      </c>
      <c r="O277" s="112" t="s">
        <v>270</v>
      </c>
      <c r="P277" s="249" t="str">
        <f>+UPPER(TEXT(Tabla4[[#This Row],[transferencia]],"mmmm"))</f>
        <v>ENERO</v>
      </c>
      <c r="Q277" s="249" t="s">
        <v>334</v>
      </c>
      <c r="R277"/>
      <c r="S277" s="249"/>
      <c r="T277" s="249"/>
      <c r="U277" s="249"/>
      <c r="V277" s="249"/>
      <c r="W277" s="249"/>
      <c r="X277" s="249"/>
      <c r="Y277" s="249"/>
      <c r="Z277" s="249"/>
    </row>
    <row r="278" spans="1:26" s="152" customFormat="1" hidden="1" x14ac:dyDescent="0.25">
      <c r="A278" s="112" t="str">
        <f>+Tabla4[[#This Row],[PISCINA]]&amp;Tabla4[[#This Row],[AGUAJE]]</f>
        <v>DO 09AGUAJE 7</v>
      </c>
      <c r="B278" s="112" t="s">
        <v>144</v>
      </c>
      <c r="C278" s="249" t="str">
        <f t="shared" si="19"/>
        <v>DO</v>
      </c>
      <c r="D278" s="194">
        <v>46039</v>
      </c>
      <c r="E278" s="172">
        <v>1431050</v>
      </c>
      <c r="F278" t="s">
        <v>417</v>
      </c>
      <c r="G278" s="190" t="s">
        <v>566</v>
      </c>
      <c r="H278" s="189" t="s">
        <v>419</v>
      </c>
      <c r="I278" s="166" t="str">
        <f>IFERROR(VLOOKUP(H278,DATOS!$E$117:$F$168,2,0),"")</f>
        <v>H10603</v>
      </c>
      <c r="J278" s="191">
        <v>0.67949999999999999</v>
      </c>
      <c r="K278" s="192">
        <f t="shared" si="20"/>
        <v>34</v>
      </c>
      <c r="L278" s="194">
        <v>46005</v>
      </c>
      <c r="M278" s="189">
        <f t="shared" si="21"/>
        <v>34</v>
      </c>
      <c r="N278" s="176">
        <v>1.99</v>
      </c>
      <c r="O278" s="112" t="s">
        <v>647</v>
      </c>
      <c r="P278" s="249" t="str">
        <f>+UPPER(TEXT(Tabla4[[#This Row],[transferencia]],"mmmm"))</f>
        <v>ENERO</v>
      </c>
      <c r="Q278" t="s">
        <v>319</v>
      </c>
      <c r="R278"/>
      <c r="S278" s="249"/>
      <c r="T278" s="249"/>
      <c r="U278" s="249"/>
      <c r="V278" s="249"/>
      <c r="W278" s="249"/>
      <c r="X278" s="249"/>
      <c r="Y278" s="249"/>
      <c r="Z278" s="249"/>
    </row>
    <row r="279" spans="1:26" s="152" customFormat="1" hidden="1" x14ac:dyDescent="0.25">
      <c r="A279" s="112" t="str">
        <f>+Tabla4[[#This Row],[PISCINA]]&amp;Tabla4[[#This Row],[AGUAJE]]</f>
        <v>DO 20AGUAJE 8</v>
      </c>
      <c r="B279" s="112" t="s">
        <v>137</v>
      </c>
      <c r="C279" s="249" t="str">
        <f t="shared" si="19"/>
        <v>DO</v>
      </c>
      <c r="D279" s="194">
        <v>46040</v>
      </c>
      <c r="E279" s="172">
        <v>1572073</v>
      </c>
      <c r="F279" t="s">
        <v>417</v>
      </c>
      <c r="G279" s="190" t="s">
        <v>418</v>
      </c>
      <c r="H279" s="190" t="s">
        <v>418</v>
      </c>
      <c r="I279" s="166" t="str">
        <f>IFERROR(VLOOKUP(H279,DATOS!$E$117:$F$168,2,0),"")</f>
        <v>H10234</v>
      </c>
      <c r="J279" s="191">
        <v>0.69869999999999999</v>
      </c>
      <c r="K279" s="192">
        <f t="shared" si="20"/>
        <v>22</v>
      </c>
      <c r="L279" s="194">
        <v>46018</v>
      </c>
      <c r="M279" s="189">
        <f t="shared" si="21"/>
        <v>22</v>
      </c>
      <c r="N279" s="176">
        <v>0.77</v>
      </c>
      <c r="O279" s="112" t="s">
        <v>260</v>
      </c>
      <c r="P279" s="249" t="str">
        <f>+UPPER(TEXT(Tabla4[[#This Row],[transferencia]],"mmmm"))</f>
        <v>ENERO</v>
      </c>
      <c r="Q279" t="s">
        <v>334</v>
      </c>
      <c r="R279"/>
      <c r="S279" s="249"/>
      <c r="T279" s="249"/>
      <c r="U279" s="249"/>
      <c r="V279" s="249"/>
      <c r="W279" s="249"/>
      <c r="X279" s="249"/>
      <c r="Y279" s="249"/>
      <c r="Z279" s="249"/>
    </row>
    <row r="280" spans="1:26" s="152" customFormat="1" hidden="1" x14ac:dyDescent="0.25">
      <c r="A280" s="112" t="str">
        <f>+Tabla4[[#This Row],[PISCINA]]&amp;Tabla4[[#This Row],[AGUAJE]]</f>
        <v>TI 07AGUAJE 8</v>
      </c>
      <c r="B280" s="112" t="s">
        <v>122</v>
      </c>
      <c r="C280" s="249" t="str">
        <f t="shared" si="19"/>
        <v>TI</v>
      </c>
      <c r="D280" s="194">
        <v>46036</v>
      </c>
      <c r="E280" s="172">
        <v>489600</v>
      </c>
      <c r="F280" t="s">
        <v>417</v>
      </c>
      <c r="G280" s="190" t="s">
        <v>418</v>
      </c>
      <c r="H280" s="189" t="s">
        <v>419</v>
      </c>
      <c r="I280" s="166" t="str">
        <f>IFERROR(VLOOKUP(H280,DATOS!$E$117:$F$168,2,0),"")</f>
        <v>H10603</v>
      </c>
      <c r="J280" s="191">
        <v>0.81440000000000001</v>
      </c>
      <c r="K280" s="192">
        <f t="shared" si="20"/>
        <v>21</v>
      </c>
      <c r="L280" s="194">
        <v>46015</v>
      </c>
      <c r="M280" s="189">
        <f t="shared" si="21"/>
        <v>21</v>
      </c>
      <c r="N280" s="176">
        <v>0.55000000000000004</v>
      </c>
      <c r="O280" s="112" t="s">
        <v>648</v>
      </c>
      <c r="P280" s="249" t="str">
        <f>+UPPER(TEXT(Tabla4[[#This Row],[transferencia]],"mmmm"))</f>
        <v>ENERO</v>
      </c>
      <c r="Q280" t="s">
        <v>334</v>
      </c>
      <c r="R280"/>
      <c r="S280" s="249"/>
      <c r="T280" s="249"/>
      <c r="U280" s="249"/>
      <c r="V280" s="249"/>
      <c r="W280" s="249"/>
      <c r="X280" s="249"/>
      <c r="Y280" s="249"/>
      <c r="Z280" s="249"/>
    </row>
    <row r="281" spans="1:26" s="152" customFormat="1" hidden="1" x14ac:dyDescent="0.25">
      <c r="A281" s="112" t="str">
        <f>+Tabla4[[#This Row],[PISCINA]]&amp;Tabla4[[#This Row],[AGUAJE]]</f>
        <v>DE 02AGUAJE 6</v>
      </c>
      <c r="B281" s="112" t="s">
        <v>301</v>
      </c>
      <c r="C281" s="249" t="str">
        <f t="shared" si="19"/>
        <v>DE</v>
      </c>
      <c r="D281" s="194">
        <v>46025</v>
      </c>
      <c r="E281" s="172">
        <v>780000</v>
      </c>
      <c r="F281" t="s">
        <v>417</v>
      </c>
      <c r="G281" s="190" t="s">
        <v>422</v>
      </c>
      <c r="H281" s="189" t="s">
        <v>454</v>
      </c>
      <c r="I281" s="166">
        <f>IFERROR(VLOOKUP(H281,DATOS!$E$117:$F$168,2,0),"")</f>
        <v>0</v>
      </c>
      <c r="J281" s="191">
        <v>0.52</v>
      </c>
      <c r="K281" s="192">
        <f t="shared" si="20"/>
        <v>16</v>
      </c>
      <c r="L281" s="194">
        <v>46009</v>
      </c>
      <c r="M281" s="189">
        <f t="shared" si="21"/>
        <v>16</v>
      </c>
      <c r="N281" s="176">
        <v>0.38</v>
      </c>
      <c r="O281" s="112" t="s">
        <v>649</v>
      </c>
      <c r="P281" s="249" t="str">
        <f>+UPPER(TEXT(Tabla4[[#This Row],[transferencia]],"mmmm"))</f>
        <v>ENERO</v>
      </c>
      <c r="Q281" t="s">
        <v>291</v>
      </c>
      <c r="R281"/>
      <c r="S281" s="249"/>
      <c r="T281" s="249"/>
      <c r="U281" s="249"/>
      <c r="V281" s="249"/>
      <c r="W281" s="249"/>
      <c r="X281" s="249"/>
      <c r="Y281" s="249"/>
      <c r="Z281" s="249"/>
    </row>
    <row r="282" spans="1:26" s="152" customFormat="1" hidden="1" x14ac:dyDescent="0.25">
      <c r="A282" s="112" t="str">
        <f>+Tabla4[[#This Row],[PISCINA]]&amp;Tabla4[[#This Row],[AGUAJE]]</f>
        <v>ME 05AGUAJE 5</v>
      </c>
      <c r="B282" s="112" t="s">
        <v>290</v>
      </c>
      <c r="C282" s="249" t="str">
        <f t="shared" si="19"/>
        <v>ME</v>
      </c>
      <c r="D282" s="194">
        <v>46032</v>
      </c>
      <c r="E282" s="172">
        <v>381700</v>
      </c>
      <c r="F282" t="s">
        <v>417</v>
      </c>
      <c r="G282" s="190" t="s">
        <v>422</v>
      </c>
      <c r="H282" s="189" t="s">
        <v>423</v>
      </c>
      <c r="I282" s="166" t="str">
        <f>IFERROR(VLOOKUP(H282,DATOS!$E$117:$F$168,2,0),"")</f>
        <v>H10611</v>
      </c>
      <c r="J282" s="191">
        <v>0.65510000000000002</v>
      </c>
      <c r="K282" s="192">
        <f t="shared" si="20"/>
        <v>19</v>
      </c>
      <c r="L282" s="194">
        <v>46013</v>
      </c>
      <c r="M282" s="189">
        <f t="shared" si="21"/>
        <v>19</v>
      </c>
      <c r="N282" s="176">
        <v>3.5</v>
      </c>
      <c r="O282" s="112" t="s">
        <v>579</v>
      </c>
      <c r="P282" s="249" t="str">
        <f>+UPPER(TEXT(Tabla4[[#This Row],[transferencia]],"mmmm"))</f>
        <v>ENERO</v>
      </c>
      <c r="Q282" t="s">
        <v>256</v>
      </c>
      <c r="R282"/>
      <c r="S282" s="249"/>
      <c r="T282" s="249"/>
      <c r="U282" s="249"/>
      <c r="V282" s="249"/>
      <c r="W282" s="249"/>
      <c r="X282" s="249"/>
      <c r="Y282" s="249"/>
      <c r="Z282" s="249"/>
    </row>
    <row r="283" spans="1:26" s="152" customFormat="1" x14ac:dyDescent="0.25">
      <c r="A283" s="112" t="str">
        <f>+Tabla4[[#This Row],[PISCINA]]&amp;Tabla4[[#This Row],[AGUAJE]]</f>
        <v>PA 02AGUAJE 5</v>
      </c>
      <c r="B283" s="112" t="s">
        <v>263</v>
      </c>
      <c r="C283" s="249" t="str">
        <f t="shared" ref="C283:C298" si="22">+MID(A283,1,2)</f>
        <v>PA</v>
      </c>
      <c r="D283" s="194">
        <v>46011</v>
      </c>
      <c r="E283" s="172">
        <v>397500</v>
      </c>
      <c r="F283" s="249" t="s">
        <v>417</v>
      </c>
      <c r="G283" s="190" t="s">
        <v>422</v>
      </c>
      <c r="H283" s="189" t="s">
        <v>419</v>
      </c>
      <c r="I283" s="166" t="str">
        <f>IFERROR(VLOOKUP(H283,DATOS!$E$117:$F$168,2,0),"")</f>
        <v>H10603</v>
      </c>
      <c r="J283" s="191">
        <v>0.79500000000000004</v>
      </c>
      <c r="K283" s="192">
        <f t="shared" ref="K283:K298" si="23">+D283-L283</f>
        <v>25</v>
      </c>
      <c r="L283" s="194">
        <v>45986</v>
      </c>
      <c r="M283" s="189">
        <f t="shared" ref="M283:M298" si="24">+D283-L283</f>
        <v>25</v>
      </c>
      <c r="N283" s="176">
        <v>0.9</v>
      </c>
      <c r="O283" s="112" t="s">
        <v>531</v>
      </c>
      <c r="P283" s="249" t="str">
        <f>+UPPER(TEXT(Tabla4[[#This Row],[transferencia]],"mmmm"))</f>
        <v>DICIEMBRE</v>
      </c>
      <c r="Q283" t="s">
        <v>256</v>
      </c>
      <c r="R283"/>
      <c r="S283" s="249"/>
      <c r="T283" s="249"/>
      <c r="U283" s="249"/>
      <c r="V283" s="249"/>
      <c r="W283" s="249"/>
      <c r="X283" s="249"/>
      <c r="Y283" s="249"/>
      <c r="Z283" s="249"/>
    </row>
    <row r="284" spans="1:26" s="152" customFormat="1" hidden="1" x14ac:dyDescent="0.25">
      <c r="A284" s="112" t="str">
        <f>+Tabla4[[#This Row],[PISCINA]]&amp;Tabla4[[#This Row],[AGUAJE]]</f>
        <v>ME 14AGUAJE 9</v>
      </c>
      <c r="B284" s="112" t="s">
        <v>228</v>
      </c>
      <c r="C284" s="249" t="str">
        <f t="shared" si="22"/>
        <v>ME</v>
      </c>
      <c r="D284" s="194">
        <v>46080</v>
      </c>
      <c r="E284" s="172">
        <v>406000</v>
      </c>
      <c r="F284" t="s">
        <v>417</v>
      </c>
      <c r="G284" s="190" t="s">
        <v>422</v>
      </c>
      <c r="H284" s="189" t="s">
        <v>650</v>
      </c>
      <c r="I284" s="166" t="str">
        <f>IFERROR(VLOOKUP(H284,DATOS!$E$117:$F$168,2,0),"")</f>
        <v/>
      </c>
      <c r="J284" s="191">
        <v>0.42870000000000003</v>
      </c>
      <c r="K284" s="192">
        <f t="shared" si="23"/>
        <v>19</v>
      </c>
      <c r="L284" s="194">
        <v>46061</v>
      </c>
      <c r="M284" s="189">
        <f t="shared" si="24"/>
        <v>19</v>
      </c>
      <c r="N284" s="176">
        <v>0.57499999999999996</v>
      </c>
      <c r="O284" s="112" t="s">
        <v>429</v>
      </c>
      <c r="P284" s="249" t="str">
        <f>+UPPER(TEXT(Tabla4[[#This Row],[transferencia]],"mmmm"))</f>
        <v>FEBRERO</v>
      </c>
      <c r="Q284" t="s">
        <v>346</v>
      </c>
      <c r="R284"/>
      <c r="S284" s="249"/>
      <c r="T284" s="249"/>
      <c r="U284" s="249"/>
      <c r="V284" s="249"/>
      <c r="W284" s="249"/>
      <c r="X284" s="249"/>
      <c r="Y284" s="249"/>
      <c r="Z284" s="249"/>
    </row>
    <row r="285" spans="1:26" s="152" customFormat="1" hidden="1" x14ac:dyDescent="0.25">
      <c r="A285" s="112" t="str">
        <f>+Tabla4[[#This Row],[PISCINA]]&amp;Tabla4[[#This Row],[AGUAJE]]</f>
        <v>ME 15AGUAJE 10</v>
      </c>
      <c r="B285" s="112" t="s">
        <v>234</v>
      </c>
      <c r="C285" s="249" t="str">
        <f t="shared" si="22"/>
        <v>ME</v>
      </c>
      <c r="D285" s="194">
        <v>46080</v>
      </c>
      <c r="E285" s="172">
        <v>338000</v>
      </c>
      <c r="F285" t="s">
        <v>417</v>
      </c>
      <c r="G285" s="190" t="s">
        <v>422</v>
      </c>
      <c r="H285" s="189" t="s">
        <v>444</v>
      </c>
      <c r="I285" s="166" t="str">
        <f>IFERROR(VLOOKUP(H285,DATOS!$E$117:$F$168,2,0),"")</f>
        <v>H10598B</v>
      </c>
      <c r="J285" s="191">
        <v>0.52</v>
      </c>
      <c r="K285" s="192">
        <f t="shared" si="23"/>
        <v>19</v>
      </c>
      <c r="L285" s="194">
        <v>46061</v>
      </c>
      <c r="M285" s="189">
        <f t="shared" si="24"/>
        <v>19</v>
      </c>
      <c r="N285" s="176">
        <v>0.65</v>
      </c>
      <c r="O285" s="112" t="s">
        <v>429</v>
      </c>
      <c r="P285" s="249" t="str">
        <f>+UPPER(TEXT(Tabla4[[#This Row],[transferencia]],"mmmm"))</f>
        <v>FEBRERO</v>
      </c>
      <c r="Q285" t="s">
        <v>347</v>
      </c>
      <c r="R285"/>
      <c r="S285" s="249"/>
      <c r="T285" s="249"/>
      <c r="U285" s="249"/>
      <c r="V285" s="249"/>
      <c r="W285" s="249"/>
      <c r="X285" s="249"/>
      <c r="Y285" s="249"/>
      <c r="Z285" s="249"/>
    </row>
    <row r="286" spans="1:26" s="152" customFormat="1" hidden="1" x14ac:dyDescent="0.25">
      <c r="A286" s="112" t="str">
        <f>+Tabla4[[#This Row],[PISCINA]]&amp;Tabla4[[#This Row],[AGUAJE]]</f>
        <v>ME 18AGUAJE 10</v>
      </c>
      <c r="B286" s="112" t="s">
        <v>235</v>
      </c>
      <c r="C286" s="249" t="str">
        <f t="shared" si="22"/>
        <v>ME</v>
      </c>
      <c r="D286" s="194">
        <v>46080</v>
      </c>
      <c r="E286" s="172">
        <v>457500</v>
      </c>
      <c r="F286" t="s">
        <v>417</v>
      </c>
      <c r="G286" s="190" t="s">
        <v>422</v>
      </c>
      <c r="H286" s="189" t="s">
        <v>444</v>
      </c>
      <c r="I286" s="166" t="str">
        <f>IFERROR(VLOOKUP(H286,DATOS!$E$117:$F$168,2,0),"")</f>
        <v>H10598B</v>
      </c>
      <c r="J286" s="191">
        <v>0.52</v>
      </c>
      <c r="K286" s="192">
        <f t="shared" si="23"/>
        <v>19</v>
      </c>
      <c r="L286" s="194">
        <v>46061</v>
      </c>
      <c r="M286" s="189">
        <f t="shared" si="24"/>
        <v>19</v>
      </c>
      <c r="N286" s="176">
        <v>0.65</v>
      </c>
      <c r="O286" s="112" t="s">
        <v>429</v>
      </c>
      <c r="P286" s="249" t="str">
        <f>+UPPER(TEXT(Tabla4[[#This Row],[transferencia]],"mmmm"))</f>
        <v>FEBRERO</v>
      </c>
      <c r="Q286" t="s">
        <v>347</v>
      </c>
      <c r="R286"/>
      <c r="S286" s="249"/>
      <c r="T286" s="249"/>
      <c r="U286" s="249"/>
      <c r="V286" s="249"/>
      <c r="W286" s="249"/>
      <c r="X286" s="249"/>
      <c r="Y286" s="249"/>
      <c r="Z286" s="249"/>
    </row>
    <row r="287" spans="1:26" s="152" customFormat="1" hidden="1" x14ac:dyDescent="0.25">
      <c r="A287" s="112" t="str">
        <f>+Tabla4[[#This Row],[PISCINA]]&amp;Tabla4[[#This Row],[AGUAJE]]</f>
        <v>PR11</v>
      </c>
      <c r="B287" s="112" t="s">
        <v>651</v>
      </c>
      <c r="C287" t="str">
        <f t="shared" si="22"/>
        <v>PR</v>
      </c>
      <c r="D287" s="194">
        <v>46084</v>
      </c>
      <c r="E287" s="172">
        <v>1428000</v>
      </c>
      <c r="F287" t="s">
        <v>417</v>
      </c>
      <c r="G287" s="190" t="s">
        <v>422</v>
      </c>
      <c r="H287" s="189" t="s">
        <v>454</v>
      </c>
      <c r="I287" s="166">
        <f>IFERROR(VLOOKUP(H287,DATOS!$E$117:$F$168,2,0),"")</f>
        <v>0</v>
      </c>
      <c r="J287" s="191">
        <v>0.71399999999999997</v>
      </c>
      <c r="K287" s="192">
        <f t="shared" si="23"/>
        <v>15</v>
      </c>
      <c r="L287" s="194">
        <v>46069</v>
      </c>
      <c r="M287" s="189">
        <f t="shared" si="24"/>
        <v>15</v>
      </c>
      <c r="N287" s="176">
        <v>0.3</v>
      </c>
      <c r="O287" s="112" t="s">
        <v>154</v>
      </c>
      <c r="P287" t="str">
        <f>+UPPER(TEXT(Tabla4[[#This Row],[transferencia]],"mmmm"))</f>
        <v>MARZO</v>
      </c>
      <c r="Q287"/>
      <c r="R287"/>
      <c r="S287" s="249"/>
      <c r="T287" s="249"/>
      <c r="U287" s="249"/>
      <c r="V287" s="249"/>
      <c r="W287" s="249"/>
      <c r="X287" s="249"/>
      <c r="Y287" s="249"/>
      <c r="Z287" s="249"/>
    </row>
    <row r="288" spans="1:26" s="152" customFormat="1" hidden="1" x14ac:dyDescent="0.25">
      <c r="A288" s="112" t="str">
        <f>+Tabla4[[#This Row],[PISCINA]]&amp;Tabla4[[#This Row],[AGUAJE]]</f>
        <v>GT 21AGUAJE 7</v>
      </c>
      <c r="B288" s="112" t="s">
        <v>134</v>
      </c>
      <c r="C288" t="str">
        <f t="shared" si="22"/>
        <v>GT</v>
      </c>
      <c r="D288" s="194">
        <v>46040</v>
      </c>
      <c r="E288" s="172">
        <v>531200</v>
      </c>
      <c r="F288" t="s">
        <v>417</v>
      </c>
      <c r="G288" s="190" t="s">
        <v>422</v>
      </c>
      <c r="H288" s="189" t="s">
        <v>615</v>
      </c>
      <c r="I288" s="166" t="str">
        <f>IFERROR(VLOOKUP(H288,DATOS!$E$117:$F$168,2,0),"")</f>
        <v>H10581B</v>
      </c>
      <c r="J288" s="191">
        <v>0.81720000000000004</v>
      </c>
      <c r="K288" s="192">
        <f t="shared" si="23"/>
        <v>13</v>
      </c>
      <c r="L288" s="194">
        <v>46027</v>
      </c>
      <c r="M288" s="189">
        <f t="shared" si="24"/>
        <v>13</v>
      </c>
      <c r="N288" s="176">
        <v>1.1000000000000001</v>
      </c>
      <c r="O288" s="112" t="s">
        <v>472</v>
      </c>
      <c r="P288" t="str">
        <f>+UPPER(TEXT(Tabla4[[#This Row],[transferencia]],"mmmm"))</f>
        <v>ENERO</v>
      </c>
      <c r="Q288" t="s">
        <v>319</v>
      </c>
      <c r="R288"/>
      <c r="S288" s="249"/>
      <c r="T288" s="249"/>
      <c r="U288" s="249"/>
      <c r="V288" s="249"/>
      <c r="W288" s="249"/>
      <c r="X288" s="249"/>
      <c r="Y288" s="249"/>
      <c r="Z288" s="249"/>
    </row>
    <row r="289" spans="1:26" s="152" customFormat="1" hidden="1" x14ac:dyDescent="0.25">
      <c r="A289" s="112" t="str">
        <f>+Tabla4[[#This Row],[PISCINA]]&amp;Tabla4[[#This Row],[AGUAJE]]</f>
        <v>DO 23AGUAJE 9</v>
      </c>
      <c r="B289" s="112" t="s">
        <v>159</v>
      </c>
      <c r="C289" t="str">
        <f t="shared" si="22"/>
        <v>DO</v>
      </c>
      <c r="D289" s="194">
        <v>46042</v>
      </c>
      <c r="E289" s="172">
        <v>2480108</v>
      </c>
      <c r="F289" t="s">
        <v>417</v>
      </c>
      <c r="G289" s="190" t="s">
        <v>418</v>
      </c>
      <c r="H289" s="189" t="s">
        <v>428</v>
      </c>
      <c r="I289" s="166" t="str">
        <f>IFERROR(VLOOKUP(H289,DATOS!$E$117:$F$168,2,0),"")</f>
        <v/>
      </c>
      <c r="J289" s="191">
        <v>0.79220000000000002</v>
      </c>
      <c r="K289" s="192">
        <f t="shared" si="23"/>
        <v>21</v>
      </c>
      <c r="L289" s="194">
        <v>46021</v>
      </c>
      <c r="M289" s="189">
        <f t="shared" si="24"/>
        <v>21</v>
      </c>
      <c r="N289" s="176">
        <v>0.6</v>
      </c>
      <c r="O289" s="112" t="s">
        <v>442</v>
      </c>
      <c r="P289" t="str">
        <f>+UPPER(TEXT(Tabla4[[#This Row],[transferencia]],"mmmm"))</f>
        <v>ENERO</v>
      </c>
      <c r="Q289" t="s">
        <v>346</v>
      </c>
      <c r="R289"/>
      <c r="S289" s="249"/>
      <c r="T289" s="249"/>
      <c r="U289" s="249"/>
      <c r="V289" s="249"/>
      <c r="W289" s="249"/>
      <c r="X289" s="249"/>
      <c r="Y289" s="249"/>
      <c r="Z289" s="249"/>
    </row>
    <row r="290" spans="1:26" s="152" customFormat="1" hidden="1" x14ac:dyDescent="0.25">
      <c r="A290" s="112" t="str">
        <f>+Tabla4[[#This Row],[PISCINA]]&amp;Tabla4[[#This Row],[AGUAJE]]</f>
        <v>DO 07AGUAJE 8</v>
      </c>
      <c r="B290" s="112" t="s">
        <v>127</v>
      </c>
      <c r="C290" t="str">
        <f t="shared" si="22"/>
        <v>DO</v>
      </c>
      <c r="D290" s="194">
        <v>46044</v>
      </c>
      <c r="E290" s="172">
        <v>866415</v>
      </c>
      <c r="F290" t="s">
        <v>417</v>
      </c>
      <c r="G290" s="190" t="s">
        <v>422</v>
      </c>
      <c r="H290" s="189" t="s">
        <v>431</v>
      </c>
      <c r="I290" s="166" t="str">
        <f>IFERROR(VLOOKUP(H290,DATOS!$E$117:$F$168,2,0),"")</f>
        <v>H10534B</v>
      </c>
      <c r="J290" s="191">
        <v>0.66959999999999997</v>
      </c>
      <c r="K290" s="192">
        <f t="shared" si="23"/>
        <v>31</v>
      </c>
      <c r="L290" s="194">
        <v>46013</v>
      </c>
      <c r="M290" s="189">
        <f t="shared" si="24"/>
        <v>31</v>
      </c>
      <c r="N290" s="176">
        <v>1.06</v>
      </c>
      <c r="O290" s="112" t="s">
        <v>439</v>
      </c>
      <c r="P290" t="str">
        <f>+UPPER(TEXT(Tabla4[[#This Row],[transferencia]],"mmmm"))</f>
        <v>ENERO</v>
      </c>
      <c r="Q290" t="s">
        <v>334</v>
      </c>
      <c r="R290"/>
      <c r="S290" s="249"/>
      <c r="T290" s="249"/>
      <c r="U290" s="249"/>
      <c r="V290" s="249"/>
      <c r="W290" s="249"/>
      <c r="X290" s="249"/>
      <c r="Y290" s="249"/>
      <c r="Z290" s="249"/>
    </row>
    <row r="291" spans="1:26" s="152" customFormat="1" hidden="1" x14ac:dyDescent="0.25">
      <c r="A291" s="112" t="str">
        <f>+Tabla4[[#This Row],[PISCINA]]&amp;Tabla4[[#This Row],[AGUAJE]]</f>
        <v>DO 12AGUAJE 8</v>
      </c>
      <c r="B291" s="112" t="s">
        <v>169</v>
      </c>
      <c r="C291" t="str">
        <f t="shared" si="22"/>
        <v>DO</v>
      </c>
      <c r="D291" s="194">
        <v>46046</v>
      </c>
      <c r="E291" s="172">
        <v>1256929</v>
      </c>
      <c r="F291" t="s">
        <v>417</v>
      </c>
      <c r="G291" s="190" t="s">
        <v>652</v>
      </c>
      <c r="H291" s="189" t="s">
        <v>653</v>
      </c>
      <c r="I291" s="166" t="str">
        <f>IFERROR(VLOOKUP(H291,DATOS!$E$117:$F$168,2,0),"")</f>
        <v/>
      </c>
      <c r="J291" s="191">
        <v>0.7359</v>
      </c>
      <c r="K291" s="192">
        <f t="shared" si="23"/>
        <v>41</v>
      </c>
      <c r="L291" s="194">
        <v>46005</v>
      </c>
      <c r="M291" s="189">
        <f t="shared" si="24"/>
        <v>41</v>
      </c>
      <c r="N291" s="176">
        <v>1.4550000000000001</v>
      </c>
      <c r="O291" s="112" t="s">
        <v>654</v>
      </c>
      <c r="P291" t="str">
        <f>+UPPER(TEXT(Tabla4[[#This Row],[transferencia]],"mmmm"))</f>
        <v>ENERO</v>
      </c>
      <c r="Q291" t="s">
        <v>334</v>
      </c>
      <c r="R291"/>
      <c r="S291" s="249"/>
      <c r="T291" s="249"/>
      <c r="U291" s="249"/>
      <c r="V291" s="249"/>
      <c r="W291" s="249"/>
      <c r="X291" s="249"/>
      <c r="Y291" s="249"/>
      <c r="Z291" s="249"/>
    </row>
    <row r="292" spans="1:26" s="152" customFormat="1" hidden="1" x14ac:dyDescent="0.25">
      <c r="A292" s="112" t="str">
        <f>+Tabla4[[#This Row],[PISCINA]]&amp;Tabla4[[#This Row],[AGUAJE]]</f>
        <v>PR 14AGUAJE 7</v>
      </c>
      <c r="B292" s="112" t="s">
        <v>107</v>
      </c>
      <c r="C292" t="str">
        <f t="shared" si="22"/>
        <v>PR</v>
      </c>
      <c r="D292" s="194">
        <v>46041</v>
      </c>
      <c r="E292" s="172">
        <v>828000</v>
      </c>
      <c r="F292" t="s">
        <v>417</v>
      </c>
      <c r="G292" s="190" t="s">
        <v>566</v>
      </c>
      <c r="H292" s="189" t="s">
        <v>419</v>
      </c>
      <c r="I292" s="166" t="str">
        <f>IFERROR(VLOOKUP(H292,DATOS!$E$117:$F$168,2,0),"")</f>
        <v>H10603</v>
      </c>
      <c r="J292" s="191">
        <v>0.62739999999999996</v>
      </c>
      <c r="K292" s="192">
        <f t="shared" si="23"/>
        <v>20</v>
      </c>
      <c r="L292" s="194">
        <v>46021</v>
      </c>
      <c r="M292" s="189">
        <f t="shared" si="24"/>
        <v>20</v>
      </c>
      <c r="N292" s="176">
        <v>0.43</v>
      </c>
      <c r="O292" s="112" t="s">
        <v>465</v>
      </c>
      <c r="P292" t="str">
        <f>+UPPER(TEXT(Tabla4[[#This Row],[transferencia]],"mmmm"))</f>
        <v>ENERO</v>
      </c>
      <c r="Q292" t="s">
        <v>319</v>
      </c>
      <c r="R292"/>
      <c r="S292" s="249"/>
      <c r="T292" s="249"/>
      <c r="U292" s="249"/>
      <c r="V292" s="249"/>
      <c r="W292" s="249"/>
      <c r="X292" s="249"/>
      <c r="Y292" s="249"/>
      <c r="Z292" s="249"/>
    </row>
    <row r="293" spans="1:26" s="152" customFormat="1" hidden="1" x14ac:dyDescent="0.25">
      <c r="A293" s="112" t="str">
        <f>+Tabla4[[#This Row],[PISCINA]]&amp;Tabla4[[#This Row],[AGUAJE]]</f>
        <v>RO 07AGUAJE 7</v>
      </c>
      <c r="B293" s="112" t="s">
        <v>150</v>
      </c>
      <c r="C293" t="str">
        <f t="shared" si="22"/>
        <v>RO</v>
      </c>
      <c r="D293" s="194">
        <v>46043</v>
      </c>
      <c r="E293" s="172">
        <v>1786000</v>
      </c>
      <c r="F293" t="s">
        <v>417</v>
      </c>
      <c r="G293" s="190" t="s">
        <v>566</v>
      </c>
      <c r="H293" s="189" t="s">
        <v>428</v>
      </c>
      <c r="I293" s="166" t="str">
        <f>IFERROR(VLOOKUP(H293,DATOS!$E$117:$F$168,2,0),"")</f>
        <v/>
      </c>
      <c r="J293" s="191">
        <v>0.74419999999999997</v>
      </c>
      <c r="K293" s="192">
        <f t="shared" si="23"/>
        <v>22</v>
      </c>
      <c r="L293" s="194">
        <v>46021</v>
      </c>
      <c r="M293" s="189">
        <f t="shared" si="24"/>
        <v>22</v>
      </c>
      <c r="N293" s="176">
        <v>0.55000000000000004</v>
      </c>
      <c r="O293" s="112" t="s">
        <v>655</v>
      </c>
      <c r="P293" t="str">
        <f>+UPPER(TEXT(Tabla4[[#This Row],[transferencia]],"mmmm"))</f>
        <v>ENERO</v>
      </c>
      <c r="Q293" t="s">
        <v>319</v>
      </c>
      <c r="R293"/>
      <c r="S293" s="249"/>
      <c r="T293" s="249"/>
      <c r="U293" s="249"/>
      <c r="V293" s="249"/>
      <c r="W293" s="249"/>
      <c r="X293" s="249"/>
      <c r="Y293" s="249"/>
      <c r="Z293" s="249"/>
    </row>
    <row r="294" spans="1:26" s="152" customFormat="1" hidden="1" x14ac:dyDescent="0.25">
      <c r="A294" s="112" t="str">
        <f>+Tabla4[[#This Row],[PISCINA]]&amp;Tabla4[[#This Row],[AGUAJE]]</f>
        <v>CA 10AGUAJE 7</v>
      </c>
      <c r="B294" s="112" t="s">
        <v>136</v>
      </c>
      <c r="C294" t="str">
        <f t="shared" si="22"/>
        <v>CA</v>
      </c>
      <c r="D294" s="194">
        <v>46039</v>
      </c>
      <c r="E294" s="172">
        <v>495600</v>
      </c>
      <c r="F294" t="s">
        <v>417</v>
      </c>
      <c r="G294" s="190" t="s">
        <v>418</v>
      </c>
      <c r="H294" s="189" t="s">
        <v>418</v>
      </c>
      <c r="I294" s="166" t="str">
        <f>IFERROR(VLOOKUP(H294,DATOS!$E$117:$F$168,2,0),"")</f>
        <v>H10234</v>
      </c>
      <c r="J294" s="191">
        <v>0.70799999999999996</v>
      </c>
      <c r="K294" s="192">
        <f t="shared" si="23"/>
        <v>21</v>
      </c>
      <c r="L294" s="194">
        <v>46018</v>
      </c>
      <c r="M294" s="189">
        <f t="shared" si="24"/>
        <v>21</v>
      </c>
      <c r="N294" s="176">
        <v>0.51</v>
      </c>
      <c r="O294" s="112" t="s">
        <v>656</v>
      </c>
      <c r="P294" t="str">
        <f>+UPPER(TEXT(Tabla4[[#This Row],[transferencia]],"mmmm"))</f>
        <v>ENERO</v>
      </c>
      <c r="Q294" t="s">
        <v>319</v>
      </c>
      <c r="R294"/>
      <c r="S294" s="249"/>
      <c r="T294" s="249"/>
      <c r="U294" s="249"/>
      <c r="V294" s="249"/>
      <c r="W294" s="249"/>
      <c r="X294" s="249"/>
      <c r="Y294" s="249"/>
      <c r="Z294" s="249"/>
    </row>
    <row r="295" spans="1:26" s="152" customFormat="1" hidden="1" x14ac:dyDescent="0.25">
      <c r="A295" s="112" t="str">
        <f>+Tabla4[[#This Row],[PISCINA]]&amp;Tabla4[[#This Row],[AGUAJE]]</f>
        <v>GT 20AGUAJE 10</v>
      </c>
      <c r="B295" s="112" t="s">
        <v>243</v>
      </c>
      <c r="C295" t="str">
        <f t="shared" si="22"/>
        <v>GT</v>
      </c>
      <c r="D295" s="194">
        <v>46085</v>
      </c>
      <c r="E295" s="172">
        <v>326400</v>
      </c>
      <c r="F295" t="s">
        <v>417</v>
      </c>
      <c r="G295" s="190" t="s">
        <v>566</v>
      </c>
      <c r="H295" s="189" t="s">
        <v>419</v>
      </c>
      <c r="I295" s="166" t="str">
        <f>IFERROR(VLOOKUP(H295,DATOS!$E$117:$F$168,2,0),"")</f>
        <v>H10603</v>
      </c>
      <c r="J295" s="191">
        <v>0.2838</v>
      </c>
      <c r="K295" s="192">
        <f t="shared" si="23"/>
        <v>21</v>
      </c>
      <c r="L295" s="194">
        <v>46064</v>
      </c>
      <c r="M295" s="189">
        <f t="shared" si="24"/>
        <v>21</v>
      </c>
      <c r="N295" s="176">
        <v>0.75</v>
      </c>
      <c r="O295" s="112" t="s">
        <v>657</v>
      </c>
      <c r="P295" t="str">
        <f>+UPPER(TEXT(Tabla4[[#This Row],[transferencia]],"mmmm"))</f>
        <v>MARZO</v>
      </c>
      <c r="Q295" t="s">
        <v>347</v>
      </c>
      <c r="R295"/>
      <c r="S295" s="249"/>
      <c r="T295" s="249"/>
      <c r="U295" s="249"/>
      <c r="V295" s="249"/>
      <c r="W295" s="249"/>
      <c r="X295" s="249"/>
      <c r="Y295" s="249"/>
      <c r="Z295" s="249"/>
    </row>
    <row r="296" spans="1:26" s="152" customFormat="1" hidden="1" x14ac:dyDescent="0.25">
      <c r="A296" s="112" t="str">
        <f>+Tabla4[[#This Row],[PISCINA]]&amp;Tabla4[[#This Row],[AGUAJE]]</f>
        <v>GT 06AGUAJE 10</v>
      </c>
      <c r="B296" s="112" t="s">
        <v>238</v>
      </c>
      <c r="C296" t="str">
        <f t="shared" si="22"/>
        <v>GT</v>
      </c>
      <c r="D296" s="194">
        <v>46086</v>
      </c>
      <c r="E296" s="172">
        <v>1568000</v>
      </c>
      <c r="F296" t="s">
        <v>417</v>
      </c>
      <c r="G296" s="190" t="s">
        <v>566</v>
      </c>
      <c r="H296" s="189" t="s">
        <v>419</v>
      </c>
      <c r="I296" s="166" t="str">
        <f>IFERROR(VLOOKUP(H296,DATOS!$E$117:$F$168,2,0),"")</f>
        <v>H10603</v>
      </c>
      <c r="J296" s="191">
        <v>0.74666999999999994</v>
      </c>
      <c r="K296" s="192">
        <f t="shared" si="23"/>
        <v>22</v>
      </c>
      <c r="L296" s="194">
        <v>46064</v>
      </c>
      <c r="M296" s="189">
        <f t="shared" si="24"/>
        <v>22</v>
      </c>
      <c r="N296" s="176">
        <v>0.88</v>
      </c>
      <c r="O296" s="112" t="s">
        <v>658</v>
      </c>
      <c r="P296" t="str">
        <f>+UPPER(TEXT(Tabla4[[#This Row],[transferencia]],"mmmm"))</f>
        <v>MARZO</v>
      </c>
      <c r="Q296" t="s">
        <v>347</v>
      </c>
      <c r="R296"/>
      <c r="S296" s="249"/>
      <c r="T296" s="249"/>
      <c r="U296" s="249"/>
      <c r="V296" s="249"/>
      <c r="W296" s="249"/>
      <c r="X296" s="249"/>
      <c r="Y296" s="249"/>
      <c r="Z296" s="249"/>
    </row>
    <row r="297" spans="1:26" s="152" customFormat="1" hidden="1" x14ac:dyDescent="0.25">
      <c r="A297" s="112" t="str">
        <f>+Tabla4[[#This Row],[PISCINA]]&amp;Tabla4[[#This Row],[AGUAJE]]</f>
        <v>GT 19AGUAJE 10</v>
      </c>
      <c r="B297" s="112" t="s">
        <v>240</v>
      </c>
      <c r="C297" t="str">
        <f t="shared" si="22"/>
        <v>GT</v>
      </c>
      <c r="D297" s="194">
        <v>46088</v>
      </c>
      <c r="E297" s="172">
        <v>402000</v>
      </c>
      <c r="F297" t="s">
        <v>417</v>
      </c>
      <c r="G297" s="190" t="s">
        <v>566</v>
      </c>
      <c r="H297" s="189" t="s">
        <v>419</v>
      </c>
      <c r="I297" s="166" t="str">
        <f>IFERROR(VLOOKUP(H297,DATOS!$E$117:$F$168,2,0),"")</f>
        <v>H10603</v>
      </c>
      <c r="J297" s="191">
        <v>0.34960000000000002</v>
      </c>
      <c r="K297" s="192">
        <f t="shared" si="23"/>
        <v>24</v>
      </c>
      <c r="L297" s="194">
        <v>46064</v>
      </c>
      <c r="M297" s="189">
        <f t="shared" si="24"/>
        <v>24</v>
      </c>
      <c r="N297" s="176">
        <v>0.8</v>
      </c>
      <c r="O297" s="112" t="s">
        <v>657</v>
      </c>
      <c r="P297" t="str">
        <f>+UPPER(TEXT(Tabla4[[#This Row],[transferencia]],"mmmm"))</f>
        <v>MARZO</v>
      </c>
      <c r="Q297" t="s">
        <v>347</v>
      </c>
      <c r="R297"/>
      <c r="S297" s="249"/>
      <c r="T297" s="249"/>
      <c r="U297" s="249"/>
      <c r="V297" s="249"/>
      <c r="W297" s="249"/>
      <c r="X297" s="249"/>
      <c r="Y297" s="249"/>
      <c r="Z297" s="249"/>
    </row>
    <row r="298" spans="1:26" s="152" customFormat="1" hidden="1" x14ac:dyDescent="0.25">
      <c r="A298" s="112" t="str">
        <f>+Tabla4[[#This Row],[PISCINA]]&amp;Tabla4[[#This Row],[AGUAJE]]</f>
        <v>CH 24AGUAJE 7</v>
      </c>
      <c r="B298" s="112" t="s">
        <v>27</v>
      </c>
      <c r="C298" t="str">
        <f t="shared" si="22"/>
        <v>CH</v>
      </c>
      <c r="D298" s="194">
        <v>46046</v>
      </c>
      <c r="E298" s="172">
        <v>664800</v>
      </c>
      <c r="F298" t="s">
        <v>417</v>
      </c>
      <c r="G298" s="190" t="s">
        <v>422</v>
      </c>
      <c r="H298" s="189" t="s">
        <v>528</v>
      </c>
      <c r="I298" s="166" t="str">
        <f>IFERROR(VLOOKUP(H298,DATOS!$E$117:$F$168,2,0),"")</f>
        <v>H10534A</v>
      </c>
      <c r="J298" s="191">
        <v>0.76849999999999996</v>
      </c>
      <c r="K298" s="192">
        <f t="shared" si="23"/>
        <v>21</v>
      </c>
      <c r="L298" s="194">
        <v>46025</v>
      </c>
      <c r="M298" s="189">
        <f t="shared" si="24"/>
        <v>21</v>
      </c>
      <c r="N298" s="176">
        <v>0.57999999999999996</v>
      </c>
      <c r="O298" s="112" t="s">
        <v>470</v>
      </c>
      <c r="P298" t="str">
        <f>+UPPER(TEXT(Tabla4[[#This Row],[transferencia]],"mmmm"))</f>
        <v>ENERO</v>
      </c>
      <c r="Q298" t="s">
        <v>319</v>
      </c>
      <c r="R298"/>
      <c r="S298" s="249"/>
      <c r="T298" s="249"/>
      <c r="U298" s="249"/>
      <c r="V298" s="249"/>
      <c r="W298" s="249"/>
      <c r="X298" s="249"/>
      <c r="Y298" s="249"/>
      <c r="Z298" s="249"/>
    </row>
    <row r="299" spans="1:26" s="152" customFormat="1" hidden="1" x14ac:dyDescent="0.25">
      <c r="A299" s="112" t="str">
        <f>+Tabla4[[#This Row],[PISCINA]]&amp;Tabla4[[#This Row],[AGUAJE]]</f>
        <v>PR 30AGUAJE 5</v>
      </c>
      <c r="B299" s="112" t="s">
        <v>279</v>
      </c>
      <c r="C299" t="str">
        <f t="shared" ref="C299:C307" si="25">+MID(A299,1,2)</f>
        <v>PR</v>
      </c>
      <c r="D299" s="194">
        <v>46031</v>
      </c>
      <c r="E299" s="172">
        <v>1332000</v>
      </c>
      <c r="F299" t="s">
        <v>417</v>
      </c>
      <c r="G299" s="190" t="s">
        <v>418</v>
      </c>
      <c r="H299" s="189" t="s">
        <v>418</v>
      </c>
      <c r="I299" s="166" t="str">
        <f>IFERROR(VLOOKUP(H299,DATOS!$E$117:$F$168,2,0),"")</f>
        <v>H10234</v>
      </c>
      <c r="J299" s="191">
        <v>0.64329999999999998</v>
      </c>
      <c r="K299" s="192">
        <f t="shared" ref="K299:K307" si="26">+D299-L299</f>
        <v>22</v>
      </c>
      <c r="L299" s="194">
        <v>46009</v>
      </c>
      <c r="M299" s="189">
        <f t="shared" ref="M299:M307" si="27">+D299-L299</f>
        <v>22</v>
      </c>
      <c r="N299" s="176">
        <v>0.4</v>
      </c>
      <c r="O299" s="112" t="s">
        <v>659</v>
      </c>
      <c r="P299" t="str">
        <f>+UPPER(TEXT(Tabla4[[#This Row],[transferencia]],"mmmm"))</f>
        <v>ENERO</v>
      </c>
      <c r="Q299" t="s">
        <v>256</v>
      </c>
      <c r="R299"/>
      <c r="S299" s="249"/>
      <c r="T299" s="249"/>
      <c r="U299" s="249"/>
      <c r="V299" s="249"/>
      <c r="W299" s="249"/>
      <c r="X299" s="249"/>
      <c r="Y299" s="249"/>
      <c r="Z299" s="249"/>
    </row>
    <row r="300" spans="1:26" s="152" customFormat="1" hidden="1" x14ac:dyDescent="0.25">
      <c r="A300" s="112" t="str">
        <f>+Tabla4[[#This Row],[PISCINA]]&amp;Tabla4[[#This Row],[AGUAJE]]</f>
        <v>TA 01AGUAJE 8</v>
      </c>
      <c r="B300" s="112" t="s">
        <v>166</v>
      </c>
      <c r="C300" s="249" t="str">
        <f t="shared" si="25"/>
        <v>TA</v>
      </c>
      <c r="D300" s="194">
        <v>46050</v>
      </c>
      <c r="E300" s="172">
        <v>480000</v>
      </c>
      <c r="F300" t="s">
        <v>417</v>
      </c>
      <c r="G300" s="190" t="s">
        <v>422</v>
      </c>
      <c r="H300" s="189" t="s">
        <v>506</v>
      </c>
      <c r="I300" s="166" t="str">
        <f>IFERROR(VLOOKUP(H300,DATOS!$E$117:$F$168,2,0),"")</f>
        <v>H10533F</v>
      </c>
      <c r="J300" s="191">
        <v>0.81189999999999996</v>
      </c>
      <c r="K300" s="192">
        <f t="shared" si="26"/>
        <v>20</v>
      </c>
      <c r="L300" s="194">
        <v>46030</v>
      </c>
      <c r="M300" s="189">
        <f t="shared" si="27"/>
        <v>20</v>
      </c>
      <c r="N300" s="176">
        <v>0.52</v>
      </c>
      <c r="O300" s="112" t="s">
        <v>609</v>
      </c>
      <c r="P300" s="249" t="str">
        <f>+UPPER(TEXT(Tabla4[[#This Row],[transferencia]],"mmmm"))</f>
        <v>ENERO</v>
      </c>
      <c r="Q300" s="249" t="s">
        <v>334</v>
      </c>
      <c r="R300"/>
      <c r="S300" s="249"/>
      <c r="T300" s="249"/>
      <c r="U300" s="249"/>
      <c r="V300" s="249"/>
      <c r="W300" s="249"/>
      <c r="X300" s="249"/>
      <c r="Y300" s="249"/>
      <c r="Z300" s="249"/>
    </row>
    <row r="301" spans="1:26" s="152" customFormat="1" hidden="1" x14ac:dyDescent="0.25">
      <c r="A301" s="112" t="str">
        <f>+Tabla4[[#This Row],[PISCINA]]&amp;Tabla4[[#This Row],[AGUAJE]]</f>
        <v>DO 19AGUAJE 9</v>
      </c>
      <c r="B301" s="112" t="s">
        <v>184</v>
      </c>
      <c r="C301" s="249" t="str">
        <f t="shared" si="25"/>
        <v>DO</v>
      </c>
      <c r="D301" s="194">
        <v>46053</v>
      </c>
      <c r="E301" s="172">
        <v>1552250</v>
      </c>
      <c r="F301" s="249" t="s">
        <v>417</v>
      </c>
      <c r="G301" s="190" t="s">
        <v>422</v>
      </c>
      <c r="H301" s="189" t="s">
        <v>528</v>
      </c>
      <c r="I301" s="166" t="str">
        <f>IFERROR(VLOOKUP(H301,DATOS!$E$117:$F$168,2,0),"")</f>
        <v>H10534A</v>
      </c>
      <c r="J301" s="191">
        <v>0.73919999999999997</v>
      </c>
      <c r="K301" s="192">
        <f t="shared" si="26"/>
        <v>28</v>
      </c>
      <c r="L301" s="194">
        <v>46025</v>
      </c>
      <c r="M301" s="189">
        <f t="shared" si="27"/>
        <v>28</v>
      </c>
      <c r="N301" s="176">
        <v>1.2</v>
      </c>
      <c r="O301" s="112" t="s">
        <v>455</v>
      </c>
      <c r="P301" s="249" t="str">
        <f>+UPPER(TEXT(Tabla4[[#This Row],[transferencia]],"mmmm"))</f>
        <v>ENERO</v>
      </c>
      <c r="Q301" t="s">
        <v>346</v>
      </c>
      <c r="R301"/>
      <c r="S301" s="249"/>
      <c r="T301" s="249"/>
      <c r="U301" s="249"/>
      <c r="V301" s="249"/>
      <c r="W301" s="249"/>
      <c r="X301" s="249"/>
      <c r="Y301" s="249"/>
      <c r="Z301" s="249"/>
    </row>
    <row r="302" spans="1:26" s="152" customFormat="1" hidden="1" x14ac:dyDescent="0.25">
      <c r="A302" s="112" t="str">
        <f>+Tabla4[[#This Row],[PISCINA]]&amp;Tabla4[[#This Row],[AGUAJE]]</f>
        <v>CH 05AGUAJE 8</v>
      </c>
      <c r="B302" s="112" t="s">
        <v>11</v>
      </c>
      <c r="C302" s="249" t="str">
        <f t="shared" si="25"/>
        <v>CH</v>
      </c>
      <c r="D302" s="194">
        <v>46056</v>
      </c>
      <c r="E302" s="172">
        <v>972000</v>
      </c>
      <c r="F302" t="s">
        <v>417</v>
      </c>
      <c r="G302" s="190" t="s">
        <v>422</v>
      </c>
      <c r="H302" s="189" t="s">
        <v>433</v>
      </c>
      <c r="I302" s="166" t="str">
        <f>IFERROR(VLOOKUP(H302,DATOS!$E$117:$F$168,2,0),"")</f>
        <v>H10586</v>
      </c>
      <c r="J302" s="191">
        <v>0.74770000000000003</v>
      </c>
      <c r="K302" s="192">
        <f t="shared" si="26"/>
        <v>21</v>
      </c>
      <c r="L302" s="194">
        <v>46035</v>
      </c>
      <c r="M302" s="189">
        <f t="shared" si="27"/>
        <v>21</v>
      </c>
      <c r="N302" s="176">
        <v>0.64</v>
      </c>
      <c r="O302" s="112" t="s">
        <v>487</v>
      </c>
      <c r="P302" s="249" t="str">
        <f>+UPPER(TEXT(Tabla4[[#This Row],[transferencia]],"mmmm"))</f>
        <v>FEBRERO</v>
      </c>
      <c r="Q302" s="249" t="s">
        <v>334</v>
      </c>
      <c r="R302"/>
      <c r="S302" s="249"/>
      <c r="T302" s="249"/>
      <c r="U302" s="249"/>
      <c r="V302" s="249"/>
      <c r="W302" s="249"/>
      <c r="X302" s="249"/>
      <c r="Y302" s="249"/>
      <c r="Z302" s="249"/>
    </row>
    <row r="303" spans="1:26" s="152" customFormat="1" hidden="1" x14ac:dyDescent="0.25">
      <c r="A303" s="112" t="str">
        <f>+Tabla4[[#This Row],[PISCINA]]&amp;Tabla4[[#This Row],[AGUAJE]]</f>
        <v>CH 16AGUAJE 8</v>
      </c>
      <c r="B303" s="112" t="s">
        <v>22</v>
      </c>
      <c r="C303" s="249" t="str">
        <f t="shared" si="25"/>
        <v>CH</v>
      </c>
      <c r="D303" s="194">
        <v>46052</v>
      </c>
      <c r="E303" s="172">
        <v>1260000</v>
      </c>
      <c r="F303" t="s">
        <v>417</v>
      </c>
      <c r="G303" s="190" t="s">
        <v>422</v>
      </c>
      <c r="H303" s="189" t="s">
        <v>506</v>
      </c>
      <c r="I303" s="166" t="str">
        <f>IFERROR(VLOOKUP(H303,DATOS!$E$117:$F$168,2,0),"")</f>
        <v>H10533F</v>
      </c>
      <c r="J303" s="191">
        <v>0.78749999999999998</v>
      </c>
      <c r="K303" s="192">
        <f t="shared" si="26"/>
        <v>22</v>
      </c>
      <c r="L303" s="194">
        <v>46030</v>
      </c>
      <c r="M303" s="189">
        <f t="shared" si="27"/>
        <v>22</v>
      </c>
      <c r="N303" s="176">
        <v>0.7</v>
      </c>
      <c r="O303" s="112" t="s">
        <v>483</v>
      </c>
      <c r="P303" s="249" t="str">
        <f>+UPPER(TEXT(Tabla4[[#This Row],[transferencia]],"mmmm"))</f>
        <v>ENERO</v>
      </c>
      <c r="Q303" t="s">
        <v>334</v>
      </c>
      <c r="R303"/>
      <c r="S303" s="249"/>
      <c r="T303" s="249"/>
      <c r="U303" s="249"/>
      <c r="V303" s="249"/>
      <c r="W303" s="249"/>
      <c r="X303" s="249"/>
      <c r="Y303" s="249"/>
      <c r="Z303" s="249"/>
    </row>
    <row r="304" spans="1:26" s="152" customFormat="1" hidden="1" x14ac:dyDescent="0.25">
      <c r="A304" s="112" t="str">
        <f>+Tabla4[[#This Row],[PISCINA]]&amp;Tabla4[[#This Row],[AGUAJE]]</f>
        <v>CH 21AGUAJE 7</v>
      </c>
      <c r="B304" s="112" t="s">
        <v>25</v>
      </c>
      <c r="C304" s="249" t="str">
        <f t="shared" si="25"/>
        <v>CH</v>
      </c>
      <c r="D304" s="194">
        <v>46046</v>
      </c>
      <c r="E304" s="172">
        <v>927000</v>
      </c>
      <c r="F304" t="s">
        <v>417</v>
      </c>
      <c r="G304" s="190" t="s">
        <v>422</v>
      </c>
      <c r="H304" s="189" t="s">
        <v>528</v>
      </c>
      <c r="I304" s="166" t="str">
        <f>IFERROR(VLOOKUP(H304,DATOS!$E$117:$F$168,2,0),"")</f>
        <v>H10534A</v>
      </c>
      <c r="J304" s="191">
        <v>0.76849999999999996</v>
      </c>
      <c r="K304" s="192">
        <f t="shared" si="26"/>
        <v>21</v>
      </c>
      <c r="L304" s="194">
        <v>46025</v>
      </c>
      <c r="M304" s="189">
        <f t="shared" si="27"/>
        <v>21</v>
      </c>
      <c r="N304" s="176">
        <v>0.57999999999999996</v>
      </c>
      <c r="O304" s="112" t="s">
        <v>470</v>
      </c>
      <c r="P304" s="249" t="str">
        <f>+UPPER(TEXT(Tabla4[[#This Row],[transferencia]],"mmmm"))</f>
        <v>ENERO</v>
      </c>
      <c r="Q304" t="s">
        <v>319</v>
      </c>
      <c r="R304"/>
      <c r="S304" s="249"/>
      <c r="T304" s="249"/>
      <c r="U304" s="249"/>
      <c r="V304" s="249"/>
      <c r="W304" s="249"/>
      <c r="X304" s="249"/>
      <c r="Y304" s="249"/>
      <c r="Z304" s="249"/>
    </row>
    <row r="305" spans="1:26" s="152" customFormat="1" hidden="1" x14ac:dyDescent="0.25">
      <c r="A305" s="112" t="str">
        <f>+Tabla4[[#This Row],[PISCINA]]&amp;Tabla4[[#This Row],[AGUAJE]]</f>
        <v>CH 23AGUAJE 8</v>
      </c>
      <c r="B305" s="112" t="s">
        <v>26</v>
      </c>
      <c r="C305" s="249" t="str">
        <f t="shared" si="25"/>
        <v>CH</v>
      </c>
      <c r="D305" s="194">
        <v>46046</v>
      </c>
      <c r="E305" s="172">
        <v>1098000</v>
      </c>
      <c r="F305" t="s">
        <v>417</v>
      </c>
      <c r="G305" s="190" t="s">
        <v>422</v>
      </c>
      <c r="H305" s="189" t="s">
        <v>528</v>
      </c>
      <c r="I305" s="166" t="str">
        <f>IFERROR(VLOOKUP(H305,DATOS!$E$117:$F$168,2,0),"")</f>
        <v>H10534A</v>
      </c>
      <c r="J305" s="191">
        <v>0.76849999999999996</v>
      </c>
      <c r="K305" s="192">
        <f t="shared" si="26"/>
        <v>21</v>
      </c>
      <c r="L305" s="194">
        <v>46025</v>
      </c>
      <c r="M305" s="189">
        <f t="shared" si="27"/>
        <v>21</v>
      </c>
      <c r="N305" s="176">
        <v>0.57999999999999996</v>
      </c>
      <c r="O305" s="112" t="s">
        <v>470</v>
      </c>
      <c r="P305" s="249" t="str">
        <f>+UPPER(TEXT(Tabla4[[#This Row],[transferencia]],"mmmm"))</f>
        <v>ENERO</v>
      </c>
      <c r="Q305" t="s">
        <v>334</v>
      </c>
      <c r="R305"/>
      <c r="S305" s="249"/>
      <c r="T305" s="249"/>
      <c r="U305" s="249"/>
      <c r="V305" s="249"/>
      <c r="W305" s="249"/>
      <c r="X305" s="249"/>
      <c r="Y305" s="249"/>
      <c r="Z305" s="249"/>
    </row>
    <row r="306" spans="1:26" s="152" customFormat="1" hidden="1" x14ac:dyDescent="0.25">
      <c r="A306" s="112" t="str">
        <f>+Tabla4[[#This Row],[PISCINA]]&amp;Tabla4[[#This Row],[AGUAJE]]</f>
        <v>PR 15AGUAJE 7</v>
      </c>
      <c r="B306" s="112" t="s">
        <v>121</v>
      </c>
      <c r="C306" s="249" t="str">
        <f t="shared" si="25"/>
        <v>PR</v>
      </c>
      <c r="D306" s="194">
        <v>46041</v>
      </c>
      <c r="E306" s="172">
        <v>1458000</v>
      </c>
      <c r="F306" t="s">
        <v>417</v>
      </c>
      <c r="G306" s="190" t="s">
        <v>566</v>
      </c>
      <c r="H306" s="189" t="s">
        <v>419</v>
      </c>
      <c r="I306" s="166" t="str">
        <f>IFERROR(VLOOKUP(H306,DATOS!$E$117:$F$168,2,0),"")</f>
        <v>H10603</v>
      </c>
      <c r="J306" s="191">
        <v>0.62739999999999996</v>
      </c>
      <c r="K306" s="192">
        <f t="shared" si="26"/>
        <v>20</v>
      </c>
      <c r="L306" s="194">
        <v>46021</v>
      </c>
      <c r="M306" s="189">
        <f t="shared" si="27"/>
        <v>20</v>
      </c>
      <c r="N306" s="176">
        <v>0.43</v>
      </c>
      <c r="O306" s="112" t="s">
        <v>465</v>
      </c>
      <c r="P306" s="249" t="str">
        <f>+UPPER(TEXT(Tabla4[[#This Row],[transferencia]],"mmmm"))</f>
        <v>ENERO</v>
      </c>
      <c r="Q306" t="s">
        <v>319</v>
      </c>
      <c r="R306"/>
      <c r="S306" s="249"/>
      <c r="T306" s="249"/>
      <c r="U306" s="249"/>
      <c r="V306" s="249"/>
      <c r="W306" s="249"/>
      <c r="X306" s="249"/>
      <c r="Y306" s="249"/>
      <c r="Z306" s="249"/>
    </row>
    <row r="307" spans="1:26" s="152" customFormat="1" hidden="1" x14ac:dyDescent="0.25">
      <c r="A307" s="112" t="str">
        <f>+Tabla4[[#This Row],[PISCINA]]&amp;Tabla4[[#This Row],[AGUAJE]]</f>
        <v>PR 16AGUAJE 7</v>
      </c>
      <c r="B307" s="112" t="s">
        <v>111</v>
      </c>
      <c r="C307" s="249" t="str">
        <f t="shared" si="25"/>
        <v>PR</v>
      </c>
      <c r="D307" s="194">
        <v>46041</v>
      </c>
      <c r="E307" s="172">
        <v>600000</v>
      </c>
      <c r="F307" t="s">
        <v>417</v>
      </c>
      <c r="G307" s="190" t="s">
        <v>566</v>
      </c>
      <c r="H307" s="189" t="s">
        <v>419</v>
      </c>
      <c r="I307" s="166" t="str">
        <f>IFERROR(VLOOKUP(H307,DATOS!$E$117:$F$168,2,0),"")</f>
        <v>H10603</v>
      </c>
      <c r="J307" s="191">
        <v>0.62739999999999996</v>
      </c>
      <c r="K307" s="192">
        <f t="shared" si="26"/>
        <v>20</v>
      </c>
      <c r="L307" s="194">
        <v>46021</v>
      </c>
      <c r="M307" s="189">
        <f t="shared" si="27"/>
        <v>20</v>
      </c>
      <c r="N307" s="176">
        <v>0.43</v>
      </c>
      <c r="O307" s="112" t="s">
        <v>465</v>
      </c>
      <c r="P307" s="249" t="str">
        <f>+UPPER(TEXT(Tabla4[[#This Row],[transferencia]],"mmmm"))</f>
        <v>ENERO</v>
      </c>
      <c r="Q307" t="s">
        <v>319</v>
      </c>
      <c r="R307"/>
      <c r="S307" s="249"/>
      <c r="T307" s="249"/>
      <c r="U307" s="249"/>
      <c r="V307" s="249"/>
      <c r="W307" s="249"/>
      <c r="X307" s="249"/>
      <c r="Y307" s="249"/>
      <c r="Z307" s="249"/>
    </row>
    <row r="308" spans="1:26" s="152" customFormat="1" hidden="1" x14ac:dyDescent="0.25">
      <c r="A308" s="112" t="str">
        <f>+Tabla4[[#This Row],[PISCINA]]&amp;Tabla4[[#This Row],[AGUAJE]]</f>
        <v>TA 10AGUAJE 8</v>
      </c>
      <c r="B308" s="112" t="s">
        <v>181</v>
      </c>
      <c r="C308" s="249" t="str">
        <f>+MID(A308,1,2)</f>
        <v>TA</v>
      </c>
      <c r="D308" s="194">
        <v>46053</v>
      </c>
      <c r="E308" s="172">
        <v>1280000</v>
      </c>
      <c r="F308" s="249" t="s">
        <v>417</v>
      </c>
      <c r="G308" s="190" t="s">
        <v>422</v>
      </c>
      <c r="H308" s="189" t="s">
        <v>454</v>
      </c>
      <c r="I308" s="166">
        <f>IFERROR(VLOOKUP(H308,DATOS!$E$117:$F$168,2,0),"")</f>
        <v>0</v>
      </c>
      <c r="J308" s="191">
        <v>0.77080000000000004</v>
      </c>
      <c r="K308" s="192">
        <f>+D308-L308</f>
        <v>22</v>
      </c>
      <c r="L308" s="194">
        <v>46031</v>
      </c>
      <c r="M308" s="189">
        <f>+D308-L308</f>
        <v>22</v>
      </c>
      <c r="N308" s="176">
        <v>0.75</v>
      </c>
      <c r="O308" s="112" t="s">
        <v>660</v>
      </c>
      <c r="P308" s="249" t="str">
        <f>+UPPER(TEXT(Tabla4[[#This Row],[transferencia]],"mmmm"))</f>
        <v>ENERO</v>
      </c>
      <c r="Q308" t="s">
        <v>334</v>
      </c>
      <c r="R308"/>
      <c r="S308" s="249"/>
      <c r="T308" s="249"/>
      <c r="U308" s="249"/>
      <c r="V308" s="249"/>
      <c r="W308" s="249"/>
      <c r="X308" s="249"/>
      <c r="Y308" s="249"/>
      <c r="Z308" s="249"/>
    </row>
    <row r="309" spans="1:26" s="152" customFormat="1" hidden="1" x14ac:dyDescent="0.25">
      <c r="A309" s="112" t="str">
        <f>+Tabla4[[#This Row],[PISCINA]]&amp;Tabla4[[#This Row],[AGUAJE]]</f>
        <v>TA 06AGUAJE 8</v>
      </c>
      <c r="B309" s="112" t="s">
        <v>162</v>
      </c>
      <c r="C309" s="249" t="str">
        <f>+MID(A309,1,2)</f>
        <v>TA</v>
      </c>
      <c r="D309" s="194">
        <v>46050</v>
      </c>
      <c r="E309" s="172">
        <v>819000</v>
      </c>
      <c r="F309" s="249" t="s">
        <v>417</v>
      </c>
      <c r="G309" s="190" t="s">
        <v>422</v>
      </c>
      <c r="H309" s="189" t="s">
        <v>506</v>
      </c>
      <c r="I309" s="166" t="str">
        <f>IFERROR(VLOOKUP(H309,DATOS!$E$117:$F$168,2,0),"")</f>
        <v>H10533F</v>
      </c>
      <c r="J309" s="191">
        <v>0.81189999999999996</v>
      </c>
      <c r="K309" s="192">
        <f>+D309-L309</f>
        <v>20</v>
      </c>
      <c r="L309" s="194">
        <v>46030</v>
      </c>
      <c r="M309" s="189">
        <f>+D309-L309</f>
        <v>20</v>
      </c>
      <c r="N309" s="176">
        <v>0.52</v>
      </c>
      <c r="O309" s="112" t="s">
        <v>473</v>
      </c>
      <c r="P309" s="249" t="str">
        <f>+UPPER(TEXT(Tabla4[[#This Row],[transferencia]],"mmmm"))</f>
        <v>ENERO</v>
      </c>
      <c r="Q309" s="249" t="s">
        <v>334</v>
      </c>
      <c r="R309"/>
      <c r="S309" s="249"/>
      <c r="T309" s="249"/>
      <c r="U309" s="249"/>
      <c r="V309" s="249"/>
      <c r="W309" s="249"/>
      <c r="X309" s="249"/>
      <c r="Y309" s="249"/>
      <c r="Z309" s="249"/>
    </row>
    <row r="310" spans="1:26" s="152" customFormat="1" hidden="1" x14ac:dyDescent="0.25">
      <c r="A310" s="112" t="str">
        <f>+Tabla4[[#This Row],[PISCINA]]&amp;Tabla4[[#This Row],[AGUAJE]]</f>
        <v>TI 01AGUAJE 8</v>
      </c>
      <c r="B310" s="112" t="s">
        <v>173</v>
      </c>
      <c r="C310" s="249" t="str">
        <f t="shared" ref="C310:C320" si="28">+MID(A310,1,2)</f>
        <v>TI</v>
      </c>
      <c r="D310" s="194">
        <v>46049</v>
      </c>
      <c r="E310" s="172">
        <v>1411200</v>
      </c>
      <c r="F310" s="249" t="s">
        <v>417</v>
      </c>
      <c r="G310" s="190" t="s">
        <v>418</v>
      </c>
      <c r="H310" s="189" t="s">
        <v>418</v>
      </c>
      <c r="I310" s="166" t="str">
        <f>IFERROR(VLOOKUP(H310,DATOS!$E$117:$F$168,2,0),"")</f>
        <v>H10234</v>
      </c>
      <c r="J310" s="191">
        <v>0.78380000000000005</v>
      </c>
      <c r="K310" s="192">
        <f t="shared" ref="K310:K320" si="29">+D310-L310</f>
        <v>20</v>
      </c>
      <c r="L310" s="194">
        <v>46029</v>
      </c>
      <c r="M310" s="189">
        <f t="shared" ref="M310:M320" si="30">+D310-L310</f>
        <v>20</v>
      </c>
      <c r="N310" s="176">
        <v>0.56000000000000005</v>
      </c>
      <c r="O310" s="112" t="s">
        <v>661</v>
      </c>
      <c r="P310" s="249" t="str">
        <f>+UPPER(TEXT(Tabla4[[#This Row],[transferencia]],"mmmm"))</f>
        <v>ENERO</v>
      </c>
      <c r="Q310" t="s">
        <v>334</v>
      </c>
      <c r="R310"/>
      <c r="S310" s="249"/>
      <c r="T310" s="249"/>
      <c r="U310" s="249"/>
      <c r="V310" s="249"/>
      <c r="W310" s="249"/>
      <c r="X310" s="249"/>
      <c r="Y310" s="249"/>
      <c r="Z310" s="249"/>
    </row>
    <row r="311" spans="1:26" s="152" customFormat="1" hidden="1" x14ac:dyDescent="0.25">
      <c r="A311" s="112" t="str">
        <f>+Tabla4[[#This Row],[PISCINA]]&amp;Tabla4[[#This Row],[AGUAJE]]</f>
        <v>TI 11AGUAJE 8</v>
      </c>
      <c r="B311" s="112" t="s">
        <v>156</v>
      </c>
      <c r="C311" s="249" t="str">
        <f t="shared" si="28"/>
        <v>TI</v>
      </c>
      <c r="D311" s="194">
        <v>46047</v>
      </c>
      <c r="E311" s="172">
        <v>1260000</v>
      </c>
      <c r="F311" s="249" t="s">
        <v>417</v>
      </c>
      <c r="G311" s="190" t="s">
        <v>418</v>
      </c>
      <c r="H311" s="190" t="s">
        <v>418</v>
      </c>
      <c r="I311" s="166" t="str">
        <f>IFERROR(VLOOKUP(H311,DATOS!$E$117:$F$168,2,0),"")</f>
        <v>H10234</v>
      </c>
      <c r="J311" s="191">
        <v>1</v>
      </c>
      <c r="K311" s="192">
        <f t="shared" si="29"/>
        <v>18</v>
      </c>
      <c r="L311" s="194">
        <v>46029</v>
      </c>
      <c r="M311" s="189">
        <f t="shared" si="30"/>
        <v>18</v>
      </c>
      <c r="N311" s="176">
        <v>0.34</v>
      </c>
      <c r="O311" s="112" t="s">
        <v>662</v>
      </c>
      <c r="P311" s="249" t="str">
        <f>+UPPER(TEXT(Tabla4[[#This Row],[transferencia]],"mmmm"))</f>
        <v>ENERO</v>
      </c>
      <c r="Q311" t="s">
        <v>334</v>
      </c>
      <c r="R311"/>
      <c r="S311" s="249"/>
      <c r="T311" s="249"/>
      <c r="U311" s="249"/>
      <c r="V311" s="249"/>
      <c r="W311" s="249"/>
      <c r="X311" s="249"/>
      <c r="Y311" s="249"/>
      <c r="Z311" s="249"/>
    </row>
    <row r="312" spans="1:26" s="152" customFormat="1" hidden="1" x14ac:dyDescent="0.25">
      <c r="A312" s="112" t="str">
        <f>+Tabla4[[#This Row],[PISCINA]]&amp;Tabla4[[#This Row],[AGUAJE]]</f>
        <v>PR 28AGUAJE 6</v>
      </c>
      <c r="B312" s="112" t="s">
        <v>106</v>
      </c>
      <c r="C312" s="249" t="str">
        <f t="shared" si="28"/>
        <v>PR</v>
      </c>
      <c r="D312" s="194">
        <v>46031</v>
      </c>
      <c r="E312" s="172">
        <v>1241000</v>
      </c>
      <c r="F312" s="249" t="s">
        <v>417</v>
      </c>
      <c r="G312" s="190" t="s">
        <v>418</v>
      </c>
      <c r="H312" s="190" t="s">
        <v>418</v>
      </c>
      <c r="I312" s="166" t="str">
        <f>IFERROR(VLOOKUP(H312,DATOS!$E$117:$F$168,2,0),"")</f>
        <v>H10234</v>
      </c>
      <c r="J312" s="191">
        <v>0.64329999999999998</v>
      </c>
      <c r="K312" s="192">
        <f t="shared" si="29"/>
        <v>22</v>
      </c>
      <c r="L312" s="194">
        <v>46009</v>
      </c>
      <c r="M312" s="189">
        <f t="shared" si="30"/>
        <v>22</v>
      </c>
      <c r="N312" s="176">
        <v>0.4</v>
      </c>
      <c r="O312" s="112" t="s">
        <v>451</v>
      </c>
      <c r="P312" s="249" t="str">
        <f>+UPPER(TEXT(Tabla4[[#This Row],[transferencia]],"mmmm"))</f>
        <v>ENERO</v>
      </c>
      <c r="Q312" t="s">
        <v>291</v>
      </c>
      <c r="R312"/>
      <c r="S312" s="249"/>
      <c r="T312" s="249"/>
      <c r="U312" s="249"/>
      <c r="V312" s="249"/>
      <c r="W312" s="249"/>
      <c r="X312" s="249"/>
      <c r="Y312" s="249"/>
      <c r="Z312" s="249"/>
    </row>
    <row r="313" spans="1:26" s="152" customFormat="1" hidden="1" x14ac:dyDescent="0.25">
      <c r="A313" s="112" t="str">
        <f>+Tabla4[[#This Row],[PISCINA]]&amp;Tabla4[[#This Row],[AGUAJE]]</f>
        <v>GT 07AGUAJE 8</v>
      </c>
      <c r="B313" s="112" t="s">
        <v>148</v>
      </c>
      <c r="C313" s="249" t="str">
        <f t="shared" si="28"/>
        <v>GT</v>
      </c>
      <c r="D313" s="194">
        <v>46043</v>
      </c>
      <c r="E313" s="172">
        <v>663000</v>
      </c>
      <c r="F313" s="249" t="s">
        <v>417</v>
      </c>
      <c r="G313" s="190" t="s">
        <v>566</v>
      </c>
      <c r="H313" s="189" t="s">
        <v>419</v>
      </c>
      <c r="I313" s="166" t="str">
        <f>IFERROR(VLOOKUP(H313,DATOS!$E$117:$F$168,2,0),"")</f>
        <v>H10603</v>
      </c>
      <c r="J313" s="191">
        <v>0.88400000000000001</v>
      </c>
      <c r="K313" s="192">
        <f t="shared" si="29"/>
        <v>22</v>
      </c>
      <c r="L313" s="194">
        <v>46021</v>
      </c>
      <c r="M313" s="189">
        <f t="shared" si="30"/>
        <v>22</v>
      </c>
      <c r="N313" s="176">
        <v>0.8</v>
      </c>
      <c r="O313" s="112" t="s">
        <v>663</v>
      </c>
      <c r="P313" s="249" t="str">
        <f>+UPPER(TEXT(Tabla4[[#This Row],[transferencia]],"mmmm"))</f>
        <v>ENERO</v>
      </c>
      <c r="Q313" t="s">
        <v>334</v>
      </c>
      <c r="R313"/>
      <c r="S313" s="249"/>
      <c r="T313" s="249"/>
      <c r="U313" s="249"/>
      <c r="V313" s="249"/>
      <c r="W313" s="249"/>
      <c r="X313" s="249"/>
      <c r="Y313" s="249"/>
      <c r="Z313" s="249"/>
    </row>
    <row r="314" spans="1:26" s="152" customFormat="1" hidden="1" x14ac:dyDescent="0.25">
      <c r="A314" s="112" t="str">
        <f>+Tabla4[[#This Row],[PISCINA]]&amp;Tabla4[[#This Row],[AGUAJE]]</f>
        <v>ME 09AGUAJE 7</v>
      </c>
      <c r="B314" s="112" t="s">
        <v>210</v>
      </c>
      <c r="C314" s="249" t="str">
        <f t="shared" si="28"/>
        <v>ME</v>
      </c>
      <c r="D314" s="194">
        <v>46070</v>
      </c>
      <c r="E314" s="172">
        <v>1064000</v>
      </c>
      <c r="F314" s="249" t="s">
        <v>417</v>
      </c>
      <c r="G314" s="190" t="s">
        <v>422</v>
      </c>
      <c r="H314" s="189" t="s">
        <v>454</v>
      </c>
      <c r="I314" s="166">
        <f>IFERROR(VLOOKUP(H314,DATOS!$E$117:$F$168,2,0),"")</f>
        <v>0</v>
      </c>
      <c r="J314" s="191">
        <v>0.64480000000000004</v>
      </c>
      <c r="K314" s="192">
        <f t="shared" si="29"/>
        <v>39</v>
      </c>
      <c r="L314" s="194">
        <v>46031</v>
      </c>
      <c r="M314" s="189">
        <f t="shared" si="30"/>
        <v>39</v>
      </c>
      <c r="N314" s="176">
        <v>4</v>
      </c>
      <c r="O314" s="112" t="s">
        <v>664</v>
      </c>
      <c r="P314" s="249" t="str">
        <f>+UPPER(TEXT(Tabla4[[#This Row],[transferencia]],"mmmm"))</f>
        <v>FEBRERO</v>
      </c>
      <c r="Q314" t="s">
        <v>319</v>
      </c>
      <c r="R314"/>
      <c r="S314" s="249"/>
      <c r="T314" s="249"/>
      <c r="U314" s="249"/>
      <c r="V314" s="249"/>
      <c r="W314" s="249"/>
      <c r="X314" s="249"/>
      <c r="Y314" s="249"/>
      <c r="Z314" s="249"/>
    </row>
    <row r="315" spans="1:26" s="152" customFormat="1" hidden="1" x14ac:dyDescent="0.25">
      <c r="A315" s="112" t="str">
        <f>+Tabla4[[#This Row],[PISCINA]]&amp;Tabla4[[#This Row],[AGUAJE]]</f>
        <v>DO 08AGUAJE 8</v>
      </c>
      <c r="B315" s="112" t="s">
        <v>147</v>
      </c>
      <c r="C315" s="249" t="str">
        <f t="shared" si="28"/>
        <v>DO</v>
      </c>
      <c r="D315" s="194">
        <v>46044</v>
      </c>
      <c r="E315" s="172">
        <v>1321409</v>
      </c>
      <c r="F315" s="249" t="s">
        <v>417</v>
      </c>
      <c r="G315" s="190" t="s">
        <v>422</v>
      </c>
      <c r="H315" s="189" t="s">
        <v>423</v>
      </c>
      <c r="I315" s="166" t="str">
        <f>IFERROR(VLOOKUP(H315,DATOS!$E$117:$F$168,2,0),"")</f>
        <v>H10611</v>
      </c>
      <c r="J315" s="191">
        <v>0.69069999999999998</v>
      </c>
      <c r="K315" s="192">
        <f t="shared" si="29"/>
        <v>25</v>
      </c>
      <c r="L315" s="194">
        <v>46019</v>
      </c>
      <c r="M315" s="189">
        <f t="shared" si="30"/>
        <v>25</v>
      </c>
      <c r="N315" s="176">
        <v>1.1499999999999999</v>
      </c>
      <c r="O315" s="112" t="s">
        <v>665</v>
      </c>
      <c r="P315" s="249" t="str">
        <f>+UPPER(TEXT(Tabla4[[#This Row],[transferencia]],"mmmm"))</f>
        <v>ENERO</v>
      </c>
      <c r="Q315" s="249" t="s">
        <v>334</v>
      </c>
      <c r="R315"/>
      <c r="S315" s="249"/>
      <c r="T315" s="249"/>
      <c r="U315" s="249"/>
      <c r="V315" s="249"/>
      <c r="W315" s="249"/>
      <c r="X315" s="249"/>
      <c r="Y315" s="249"/>
      <c r="Z315" s="249"/>
    </row>
    <row r="316" spans="1:26" s="152" customFormat="1" hidden="1" x14ac:dyDescent="0.25">
      <c r="A316" s="112" t="str">
        <f>+Tabla4[[#This Row],[PISCINA]]&amp;Tabla4[[#This Row],[AGUAJE]]</f>
        <v>GT 04AGUAJE 8</v>
      </c>
      <c r="B316" s="112" t="s">
        <v>138</v>
      </c>
      <c r="C316" s="249" t="str">
        <f t="shared" si="28"/>
        <v>GT</v>
      </c>
      <c r="D316" s="194">
        <v>46045</v>
      </c>
      <c r="E316" s="172">
        <v>1059200</v>
      </c>
      <c r="F316" s="249" t="s">
        <v>417</v>
      </c>
      <c r="G316" s="190" t="s">
        <v>422</v>
      </c>
      <c r="H316" s="189" t="s">
        <v>528</v>
      </c>
      <c r="I316" s="166" t="str">
        <f>IFERROR(VLOOKUP(H316,DATOS!$E$117:$F$168,2,0),"")</f>
        <v>H10534A</v>
      </c>
      <c r="J316" s="191">
        <v>0.85209999999999997</v>
      </c>
      <c r="K316" s="192">
        <f t="shared" si="29"/>
        <v>20</v>
      </c>
      <c r="L316" s="194">
        <v>46025</v>
      </c>
      <c r="M316" s="189">
        <f t="shared" si="30"/>
        <v>20</v>
      </c>
      <c r="N316" s="176">
        <v>0.56999999999999995</v>
      </c>
      <c r="O316" s="112" t="s">
        <v>666</v>
      </c>
      <c r="P316" s="249" t="str">
        <f>+UPPER(TEXT(Tabla4[[#This Row],[transferencia]],"mmmm"))</f>
        <v>ENERO</v>
      </c>
      <c r="Q316" t="s">
        <v>334</v>
      </c>
      <c r="R316"/>
      <c r="S316" s="249"/>
      <c r="T316" s="249"/>
      <c r="U316" s="249"/>
      <c r="V316" s="249"/>
      <c r="W316" s="249"/>
      <c r="X316" s="249"/>
      <c r="Y316" s="249"/>
      <c r="Z316" s="249"/>
    </row>
    <row r="317" spans="1:26" s="152" customFormat="1" hidden="1" x14ac:dyDescent="0.25">
      <c r="A317" s="112" t="str">
        <f>+Tabla4[[#This Row],[PISCINA]]&amp;Tabla4[[#This Row],[AGUAJE]]</f>
        <v>ME 19AGUAJE 6</v>
      </c>
      <c r="B317" s="112" t="s">
        <v>120</v>
      </c>
      <c r="C317" s="249" t="str">
        <f t="shared" si="28"/>
        <v>ME</v>
      </c>
      <c r="D317" s="194">
        <v>46037</v>
      </c>
      <c r="E317" s="172">
        <v>450000</v>
      </c>
      <c r="F317" s="249" t="s">
        <v>417</v>
      </c>
      <c r="G317" s="190" t="s">
        <v>566</v>
      </c>
      <c r="H317" s="189" t="s">
        <v>419</v>
      </c>
      <c r="I317" s="166" t="str">
        <f>IFERROR(VLOOKUP(H317,DATOS!$E$117:$F$168,2,0),"")</f>
        <v>H10603</v>
      </c>
      <c r="J317" s="191">
        <v>0.62729999999999997</v>
      </c>
      <c r="K317" s="192">
        <f t="shared" si="29"/>
        <v>22</v>
      </c>
      <c r="L317" s="194">
        <v>46015</v>
      </c>
      <c r="M317" s="189">
        <f t="shared" si="30"/>
        <v>22</v>
      </c>
      <c r="N317" s="176">
        <v>1</v>
      </c>
      <c r="O317" s="112" t="s">
        <v>667</v>
      </c>
      <c r="P317" s="249" t="str">
        <f>+UPPER(TEXT(Tabla4[[#This Row],[transferencia]],"mmmm"))</f>
        <v>ENERO</v>
      </c>
      <c r="Q317" t="s">
        <v>291</v>
      </c>
      <c r="R317"/>
      <c r="S317" s="249"/>
      <c r="T317" s="249"/>
      <c r="U317" s="249"/>
      <c r="V317" s="249"/>
      <c r="W317" s="249"/>
      <c r="X317" s="249"/>
      <c r="Y317" s="249"/>
      <c r="Z317" s="249"/>
    </row>
    <row r="318" spans="1:26" s="152" customFormat="1" hidden="1" x14ac:dyDescent="0.25">
      <c r="A318" s="112" t="str">
        <f>+Tabla4[[#This Row],[PISCINA]]&amp;Tabla4[[#This Row],[AGUAJE]]</f>
        <v>ME 13AGUAJE 6</v>
      </c>
      <c r="B318" s="112" t="s">
        <v>119</v>
      </c>
      <c r="C318" s="249" t="str">
        <f t="shared" si="28"/>
        <v>ME</v>
      </c>
      <c r="D318" s="194">
        <v>46037</v>
      </c>
      <c r="E318" s="172">
        <v>240000</v>
      </c>
      <c r="F318" s="249" t="s">
        <v>417</v>
      </c>
      <c r="G318" s="190" t="s">
        <v>566</v>
      </c>
      <c r="H318" s="189" t="s">
        <v>419</v>
      </c>
      <c r="I318" s="166" t="str">
        <f>IFERROR(VLOOKUP(H318,DATOS!$E$117:$F$168,2,0),"")</f>
        <v>H10603</v>
      </c>
      <c r="J318" s="191">
        <v>0.62729999999999997</v>
      </c>
      <c r="K318" s="192">
        <f t="shared" si="29"/>
        <v>22</v>
      </c>
      <c r="L318" s="194">
        <v>46015</v>
      </c>
      <c r="M318" s="189">
        <f t="shared" si="30"/>
        <v>22</v>
      </c>
      <c r="N318" s="176">
        <v>1</v>
      </c>
      <c r="O318" s="112" t="s">
        <v>667</v>
      </c>
      <c r="P318" s="249" t="str">
        <f>+UPPER(TEXT(Tabla4[[#This Row],[transferencia]],"mmmm"))</f>
        <v>ENERO</v>
      </c>
      <c r="Q318" t="s">
        <v>291</v>
      </c>
      <c r="R318"/>
      <c r="S318" s="249"/>
      <c r="T318" s="249"/>
      <c r="U318" s="249"/>
      <c r="V318" s="249"/>
      <c r="W318" s="249"/>
      <c r="X318" s="249"/>
      <c r="Y318" s="249"/>
      <c r="Z318" s="249"/>
    </row>
    <row r="319" spans="1:26" s="152" customFormat="1" hidden="1" x14ac:dyDescent="0.25">
      <c r="A319" s="112" t="str">
        <f>+Tabla4[[#This Row],[PISCINA]]&amp;Tabla4[[#This Row],[AGUAJE]]</f>
        <v>DO 05AGUAJE 9</v>
      </c>
      <c r="B319" s="112" t="s">
        <v>183</v>
      </c>
      <c r="C319" s="249" t="str">
        <f t="shared" si="28"/>
        <v>DO</v>
      </c>
      <c r="D319" s="194">
        <v>46055</v>
      </c>
      <c r="E319" s="172">
        <v>691200</v>
      </c>
      <c r="F319" s="249" t="s">
        <v>417</v>
      </c>
      <c r="G319" s="190" t="s">
        <v>422</v>
      </c>
      <c r="H319" s="189" t="s">
        <v>616</v>
      </c>
      <c r="I319" s="166" t="str">
        <f>IFERROR(VLOOKUP(H319,DATOS!$E$117:$F$168,2,0),"")</f>
        <v>H10598D</v>
      </c>
      <c r="J319" s="191">
        <v>0.69120000000000004</v>
      </c>
      <c r="K319" s="192">
        <f t="shared" si="29"/>
        <v>19</v>
      </c>
      <c r="L319" s="194">
        <v>46036</v>
      </c>
      <c r="M319" s="189">
        <f t="shared" si="30"/>
        <v>19</v>
      </c>
      <c r="N319" s="176">
        <v>0.7</v>
      </c>
      <c r="O319" s="112" t="s">
        <v>535</v>
      </c>
      <c r="P319" s="249" t="str">
        <f>+UPPER(TEXT(Tabla4[[#This Row],[transferencia]],"mmmm"))</f>
        <v>FEBRERO</v>
      </c>
      <c r="Q319" t="s">
        <v>346</v>
      </c>
      <c r="R319"/>
      <c r="S319" s="249"/>
      <c r="T319" s="249"/>
      <c r="U319" s="249"/>
      <c r="V319" s="249"/>
      <c r="W319" s="249"/>
      <c r="X319" s="249"/>
      <c r="Y319" s="249"/>
      <c r="Z319" s="249"/>
    </row>
    <row r="320" spans="1:26" s="152" customFormat="1" hidden="1" x14ac:dyDescent="0.25">
      <c r="A320" s="112" t="str">
        <f>+Tabla4[[#This Row],[PISCINA]]&amp;Tabla4[[#This Row],[AGUAJE]]</f>
        <v>DO 27AGUAJE 8</v>
      </c>
      <c r="B320" s="112" t="s">
        <v>206</v>
      </c>
      <c r="C320" s="249" t="str">
        <f t="shared" si="28"/>
        <v>DO</v>
      </c>
      <c r="D320" s="194">
        <v>46063</v>
      </c>
      <c r="E320" s="172">
        <v>961200</v>
      </c>
      <c r="F320" s="249" t="s">
        <v>417</v>
      </c>
      <c r="G320" s="190" t="s">
        <v>422</v>
      </c>
      <c r="H320" s="189" t="s">
        <v>490</v>
      </c>
      <c r="I320" s="166">
        <f>IFERROR(VLOOKUP(H320,DATOS!$E$117:$F$168,2,0),"")</f>
        <v>0</v>
      </c>
      <c r="J320" s="191">
        <v>0.76900000000000002</v>
      </c>
      <c r="K320" s="192">
        <f t="shared" si="29"/>
        <v>23</v>
      </c>
      <c r="L320" s="194">
        <v>46040</v>
      </c>
      <c r="M320" s="189">
        <f t="shared" si="30"/>
        <v>23</v>
      </c>
      <c r="N320" s="176">
        <v>1.01</v>
      </c>
      <c r="O320" s="112" t="s">
        <v>494</v>
      </c>
      <c r="P320" s="249" t="str">
        <f>+UPPER(TEXT(Tabla4[[#This Row],[transferencia]],"mmmm"))</f>
        <v>FEBRERO</v>
      </c>
      <c r="Q320" t="s">
        <v>334</v>
      </c>
      <c r="R320"/>
      <c r="S320" s="249"/>
      <c r="T320" s="249"/>
      <c r="U320" s="249"/>
      <c r="V320" s="249"/>
      <c r="W320" s="249"/>
      <c r="X320" s="249"/>
      <c r="Y320" s="249"/>
      <c r="Z320" s="249"/>
    </row>
    <row r="321" spans="1:26" s="152" customFormat="1" hidden="1" x14ac:dyDescent="0.25">
      <c r="A321" s="112" t="str">
        <f>+Tabla4[[#This Row],[PISCINA]]&amp;Tabla4[[#This Row],[AGUAJE]]</f>
        <v>TI 04</v>
      </c>
      <c r="B321" s="112" t="s">
        <v>289</v>
      </c>
      <c r="C321" s="249" t="str">
        <f t="shared" ref="C321:C333" si="31">+MID(A321,1,2)</f>
        <v>TI</v>
      </c>
      <c r="D321" s="194">
        <v>46101</v>
      </c>
      <c r="E321" s="172">
        <v>1310000</v>
      </c>
      <c r="F321" s="249" t="s">
        <v>417</v>
      </c>
      <c r="G321" s="190" t="s">
        <v>422</v>
      </c>
      <c r="H321" s="189" t="s">
        <v>504</v>
      </c>
      <c r="I321" s="166">
        <f>IFERROR(VLOOKUP(H321,DATOS!$E$117:$F$168,2,0),"")</f>
        <v>0</v>
      </c>
      <c r="J321" s="191">
        <v>0.70789999999999997</v>
      </c>
      <c r="K321" s="192">
        <f t="shared" ref="K321:K333" si="32">+D321-L321</f>
        <v>20</v>
      </c>
      <c r="L321" s="194">
        <v>46081</v>
      </c>
      <c r="M321" s="189">
        <f t="shared" ref="M321:M333" si="33">+D321-L321</f>
        <v>20</v>
      </c>
      <c r="N321" s="176">
        <v>0.75</v>
      </c>
      <c r="O321" s="112" t="s">
        <v>668</v>
      </c>
      <c r="P321" s="249" t="str">
        <f>+UPPER(TEXT(Tabla4[[#This Row],[transferencia]],"mmmm"))</f>
        <v>MARZO</v>
      </c>
      <c r="Q321" s="249"/>
      <c r="R321"/>
      <c r="S321" s="249"/>
      <c r="T321" s="249"/>
      <c r="U321" s="249"/>
      <c r="V321" s="249"/>
      <c r="W321" s="249"/>
      <c r="X321" s="249"/>
      <c r="Y321" s="249"/>
      <c r="Z321" s="249"/>
    </row>
    <row r="322" spans="1:26" s="152" customFormat="1" hidden="1" x14ac:dyDescent="0.25">
      <c r="A322" s="112" t="str">
        <f>+Tabla4[[#This Row],[PISCINA]]&amp;Tabla4[[#This Row],[AGUAJE]]</f>
        <v>CA 12AGUAJE 6</v>
      </c>
      <c r="B322" s="112" t="s">
        <v>316</v>
      </c>
      <c r="C322" s="249" t="str">
        <f t="shared" si="31"/>
        <v>CA</v>
      </c>
      <c r="D322" s="194">
        <v>46027</v>
      </c>
      <c r="E322" s="172">
        <v>81900</v>
      </c>
      <c r="F322" s="249" t="s">
        <v>417</v>
      </c>
      <c r="G322" s="190" t="s">
        <v>422</v>
      </c>
      <c r="H322" s="189" t="s">
        <v>615</v>
      </c>
      <c r="I322" s="166" t="str">
        <f>IFERROR(VLOOKUP(H322,DATOS!$E$117:$F$168,2,0),"")</f>
        <v>H10581B</v>
      </c>
      <c r="J322" s="191">
        <v>0.56930000000000003</v>
      </c>
      <c r="K322" s="192">
        <f t="shared" si="32"/>
        <v>21</v>
      </c>
      <c r="L322" s="194">
        <v>46006</v>
      </c>
      <c r="M322" s="189">
        <f t="shared" si="33"/>
        <v>21</v>
      </c>
      <c r="N322" s="176">
        <v>0.62</v>
      </c>
      <c r="O322" s="112" t="s">
        <v>669</v>
      </c>
      <c r="P322" s="249" t="str">
        <f>+UPPER(TEXT(Tabla4[[#This Row],[transferencia]],"mmmm"))</f>
        <v>ENERO</v>
      </c>
      <c r="Q322" t="s">
        <v>291</v>
      </c>
      <c r="R322"/>
      <c r="S322" s="249"/>
      <c r="T322" s="249"/>
      <c r="U322" s="249"/>
      <c r="V322" s="249"/>
      <c r="W322" s="249"/>
      <c r="X322" s="249"/>
      <c r="Y322" s="249"/>
      <c r="Z322" s="249"/>
    </row>
    <row r="323" spans="1:26" s="152" customFormat="1" hidden="1" x14ac:dyDescent="0.25">
      <c r="A323" s="112" t="str">
        <f>+Tabla4[[#This Row],[PISCINA]]&amp;Tabla4[[#This Row],[AGUAJE]]</f>
        <v>CA 13AGUAJE 6</v>
      </c>
      <c r="B323" s="112" t="s">
        <v>317</v>
      </c>
      <c r="C323" s="249" t="str">
        <f t="shared" si="31"/>
        <v>CA</v>
      </c>
      <c r="D323" s="194">
        <v>46027</v>
      </c>
      <c r="E323" s="172">
        <v>113100</v>
      </c>
      <c r="F323" s="249" t="s">
        <v>417</v>
      </c>
      <c r="G323" s="190" t="s">
        <v>422</v>
      </c>
      <c r="H323" s="189" t="s">
        <v>615</v>
      </c>
      <c r="I323" s="166" t="str">
        <f>IFERROR(VLOOKUP(H323,DATOS!$E$117:$F$168,2,0),"")</f>
        <v>H10581B</v>
      </c>
      <c r="J323" s="191">
        <v>0.56930000000000003</v>
      </c>
      <c r="K323" s="192">
        <f t="shared" si="32"/>
        <v>21</v>
      </c>
      <c r="L323" s="194">
        <v>46006</v>
      </c>
      <c r="M323" s="189">
        <f t="shared" si="33"/>
        <v>21</v>
      </c>
      <c r="N323" s="176">
        <v>0.62</v>
      </c>
      <c r="O323" s="112" t="s">
        <v>669</v>
      </c>
      <c r="P323" s="249" t="str">
        <f>+UPPER(TEXT(Tabla4[[#This Row],[transferencia]],"mmmm"))</f>
        <v>ENERO</v>
      </c>
      <c r="Q323" t="s">
        <v>291</v>
      </c>
      <c r="R323"/>
      <c r="S323" s="249"/>
      <c r="T323" s="249"/>
      <c r="U323" s="249"/>
      <c r="V323" s="249"/>
      <c r="W323" s="249"/>
      <c r="X323" s="249"/>
      <c r="Y323" s="249"/>
      <c r="Z323" s="249"/>
    </row>
    <row r="324" spans="1:26" s="152" customFormat="1" hidden="1" x14ac:dyDescent="0.25">
      <c r="A324" s="112" t="str">
        <f>+Tabla4[[#This Row],[PISCINA]]&amp;Tabla4[[#This Row],[AGUAJE]]</f>
        <v>PA 05AGUAJE 9</v>
      </c>
      <c r="B324" s="112" t="s">
        <v>197</v>
      </c>
      <c r="C324" s="249" t="str">
        <f t="shared" si="31"/>
        <v>PA</v>
      </c>
      <c r="D324" s="194">
        <v>46065</v>
      </c>
      <c r="E324" s="172">
        <v>618390</v>
      </c>
      <c r="F324" s="249" t="s">
        <v>417</v>
      </c>
      <c r="G324" s="190" t="s">
        <v>422</v>
      </c>
      <c r="H324" s="189" t="s">
        <v>431</v>
      </c>
      <c r="I324" s="166" t="str">
        <f>IFERROR(VLOOKUP(H324,DATOS!$E$117:$F$168,2,0),"")</f>
        <v>H10534B</v>
      </c>
      <c r="J324" s="191">
        <v>0.88339999999999996</v>
      </c>
      <c r="K324" s="192">
        <f t="shared" si="32"/>
        <v>20</v>
      </c>
      <c r="L324" s="194">
        <v>46045</v>
      </c>
      <c r="M324" s="189">
        <f t="shared" si="33"/>
        <v>20</v>
      </c>
      <c r="N324" s="176">
        <v>0.75</v>
      </c>
      <c r="O324" s="112" t="s">
        <v>496</v>
      </c>
      <c r="P324" s="249" t="str">
        <f>+UPPER(TEXT(Tabla4[[#This Row],[transferencia]],"mmmm"))</f>
        <v>FEBRERO</v>
      </c>
      <c r="Q324" s="249" t="s">
        <v>346</v>
      </c>
      <c r="R324"/>
      <c r="S324" s="249"/>
      <c r="T324" s="249"/>
      <c r="U324" s="249"/>
      <c r="V324" s="249"/>
      <c r="W324" s="249"/>
      <c r="X324" s="249"/>
      <c r="Y324" s="249"/>
      <c r="Z324" s="249"/>
    </row>
    <row r="325" spans="1:26" s="152" customFormat="1" hidden="1" x14ac:dyDescent="0.25">
      <c r="A325" s="112" t="str">
        <f>+Tabla4[[#This Row],[PISCINA]]&amp;Tabla4[[#This Row],[AGUAJE]]</f>
        <v>CH 08AGUAJE 8</v>
      </c>
      <c r="B325" s="112" t="s">
        <v>14</v>
      </c>
      <c r="C325" s="249" t="str">
        <f t="shared" si="31"/>
        <v>CH</v>
      </c>
      <c r="D325" s="194">
        <v>46060</v>
      </c>
      <c r="E325" s="172">
        <v>432000</v>
      </c>
      <c r="F325" s="249" t="s">
        <v>417</v>
      </c>
      <c r="G325" s="190" t="s">
        <v>422</v>
      </c>
      <c r="H325" s="189" t="s">
        <v>490</v>
      </c>
      <c r="I325" s="166">
        <f>IFERROR(VLOOKUP(H325,DATOS!$E$117:$F$168,2,0),"")</f>
        <v>0</v>
      </c>
      <c r="J325" s="191">
        <v>0.72899999999999998</v>
      </c>
      <c r="K325" s="192">
        <f t="shared" si="32"/>
        <v>20</v>
      </c>
      <c r="L325" s="194">
        <v>46040</v>
      </c>
      <c r="M325" s="189">
        <f t="shared" si="33"/>
        <v>20</v>
      </c>
      <c r="N325" s="176">
        <v>0.7</v>
      </c>
      <c r="O325" s="112" t="s">
        <v>514</v>
      </c>
      <c r="P325" s="249" t="str">
        <f>+UPPER(TEXT(Tabla4[[#This Row],[transferencia]],"mmmm"))</f>
        <v>FEBRERO</v>
      </c>
      <c r="Q325" t="s">
        <v>334</v>
      </c>
      <c r="R325"/>
      <c r="S325" s="249"/>
      <c r="T325" s="249"/>
      <c r="U325" s="249"/>
      <c r="V325" s="249"/>
      <c r="W325" s="249"/>
      <c r="X325" s="249"/>
      <c r="Y325" s="249"/>
      <c r="Z325" s="249"/>
    </row>
    <row r="326" spans="1:26" s="152" customFormat="1" hidden="1" x14ac:dyDescent="0.25">
      <c r="A326" s="112" t="str">
        <f>+Tabla4[[#This Row],[PISCINA]]&amp;Tabla4[[#This Row],[AGUAJE]]</f>
        <v>CH 15AGUAJE 8</v>
      </c>
      <c r="B326" s="112" t="s">
        <v>21</v>
      </c>
      <c r="C326" s="249" t="str">
        <f t="shared" si="31"/>
        <v>CH</v>
      </c>
      <c r="D326" s="194">
        <v>46060</v>
      </c>
      <c r="E326" s="172">
        <v>297000</v>
      </c>
      <c r="F326" s="249" t="s">
        <v>417</v>
      </c>
      <c r="G326" s="190" t="s">
        <v>422</v>
      </c>
      <c r="H326" s="189" t="s">
        <v>490</v>
      </c>
      <c r="I326" s="166">
        <f>IFERROR(VLOOKUP(H326,DATOS!$E$117:$F$168,2,0),"")</f>
        <v>0</v>
      </c>
      <c r="J326" s="191">
        <v>0.72899999999999998</v>
      </c>
      <c r="K326" s="192">
        <f t="shared" si="32"/>
        <v>20</v>
      </c>
      <c r="L326" s="194">
        <v>46040</v>
      </c>
      <c r="M326" s="189">
        <f t="shared" si="33"/>
        <v>20</v>
      </c>
      <c r="N326" s="176">
        <v>0.7</v>
      </c>
      <c r="O326" s="112" t="s">
        <v>514</v>
      </c>
      <c r="P326" s="249" t="str">
        <f>+UPPER(TEXT(Tabla4[[#This Row],[transferencia]],"mmmm"))</f>
        <v>FEBRERO</v>
      </c>
      <c r="Q326" s="249" t="s">
        <v>334</v>
      </c>
      <c r="R326"/>
      <c r="S326" s="249"/>
      <c r="T326" s="249"/>
      <c r="U326" s="249"/>
      <c r="V326" s="249"/>
      <c r="W326" s="249"/>
      <c r="X326" s="249"/>
      <c r="Y326" s="249"/>
      <c r="Z326" s="249"/>
    </row>
    <row r="327" spans="1:26" s="152" customFormat="1" hidden="1" x14ac:dyDescent="0.25">
      <c r="A327" s="112" t="str">
        <f>+Tabla4[[#This Row],[PISCINA]]&amp;Tabla4[[#This Row],[AGUAJE]]</f>
        <v>TU 06AGUAJE 10</v>
      </c>
      <c r="B327" s="112" t="s">
        <v>218</v>
      </c>
      <c r="C327" s="249" t="str">
        <f t="shared" si="31"/>
        <v>TU</v>
      </c>
      <c r="D327" s="194">
        <v>46075</v>
      </c>
      <c r="E327" s="172">
        <v>900000</v>
      </c>
      <c r="F327" s="249" t="s">
        <v>417</v>
      </c>
      <c r="G327" s="190" t="s">
        <v>418</v>
      </c>
      <c r="H327" s="189" t="s">
        <v>418</v>
      </c>
      <c r="I327" s="166" t="str">
        <f>IFERROR(VLOOKUP(H327,DATOS!$E$117:$F$168,2,0),"")</f>
        <v>H10234</v>
      </c>
      <c r="J327" s="191">
        <v>0.81820000000000004</v>
      </c>
      <c r="K327" s="192">
        <f t="shared" si="32"/>
        <v>17</v>
      </c>
      <c r="L327" s="194">
        <v>46058</v>
      </c>
      <c r="M327" s="189">
        <f t="shared" si="33"/>
        <v>17</v>
      </c>
      <c r="N327" s="176">
        <v>0.4</v>
      </c>
      <c r="O327" s="112" t="s">
        <v>535</v>
      </c>
      <c r="P327" s="249" t="str">
        <f>+UPPER(TEXT(Tabla4[[#This Row],[transferencia]],"mmmm"))</f>
        <v>FEBRERO</v>
      </c>
      <c r="Q327" s="249" t="s">
        <v>347</v>
      </c>
      <c r="R327"/>
      <c r="S327" s="249"/>
      <c r="T327" s="249"/>
      <c r="U327" s="249"/>
      <c r="V327" s="249"/>
      <c r="W327" s="249"/>
      <c r="X327" s="249"/>
      <c r="Y327" s="249"/>
      <c r="Z327" s="249"/>
    </row>
    <row r="328" spans="1:26" s="152" customFormat="1" hidden="1" x14ac:dyDescent="0.25">
      <c r="A328" s="112" t="str">
        <f>+Tabla4[[#This Row],[PISCINA]]&amp;Tabla4[[#This Row],[AGUAJE]]</f>
        <v>MA 11AGUAJE 10</v>
      </c>
      <c r="B328" s="112" t="s">
        <v>221</v>
      </c>
      <c r="C328" s="249" t="str">
        <f t="shared" si="31"/>
        <v>MA</v>
      </c>
      <c r="D328" s="194">
        <v>46075</v>
      </c>
      <c r="E328" s="172">
        <v>544000</v>
      </c>
      <c r="F328" s="249" t="s">
        <v>417</v>
      </c>
      <c r="G328" s="190" t="s">
        <v>566</v>
      </c>
      <c r="H328" s="189" t="s">
        <v>428</v>
      </c>
      <c r="I328" s="166" t="str">
        <f>IFERROR(VLOOKUP(H328,DATOS!$E$117:$F$168,2,0),"")</f>
        <v/>
      </c>
      <c r="J328" s="191">
        <v>0.77710000000000001</v>
      </c>
      <c r="K328" s="192">
        <f t="shared" si="32"/>
        <v>20</v>
      </c>
      <c r="L328" s="194">
        <v>46055</v>
      </c>
      <c r="M328" s="189">
        <f t="shared" si="33"/>
        <v>20</v>
      </c>
      <c r="N328" s="176">
        <v>0.8</v>
      </c>
      <c r="O328" s="112" t="s">
        <v>670</v>
      </c>
      <c r="P328" s="249" t="str">
        <f>+UPPER(TEXT(Tabla4[[#This Row],[transferencia]],"mmmm"))</f>
        <v>FEBRERO</v>
      </c>
      <c r="Q328" s="249" t="s">
        <v>347</v>
      </c>
      <c r="R328"/>
      <c r="S328" s="249"/>
      <c r="T328" s="249"/>
      <c r="U328" s="249"/>
      <c r="V328" s="249"/>
      <c r="W328" s="249"/>
      <c r="X328" s="249"/>
      <c r="Y328" s="249"/>
      <c r="Z328" s="249"/>
    </row>
    <row r="329" spans="1:26" s="152" customFormat="1" hidden="1" x14ac:dyDescent="0.25">
      <c r="A329" s="112" t="str">
        <f>+Tabla4[[#This Row],[PISCINA]]&amp;Tabla4[[#This Row],[AGUAJE]]</f>
        <v>BA 02AGUAJE 9</v>
      </c>
      <c r="B329" s="112" t="s">
        <v>207</v>
      </c>
      <c r="C329" s="249" t="str">
        <f t="shared" si="31"/>
        <v>BA</v>
      </c>
      <c r="D329" s="194">
        <v>46076</v>
      </c>
      <c r="E329" s="172">
        <v>673333</v>
      </c>
      <c r="F329" s="249" t="s">
        <v>417</v>
      </c>
      <c r="G329" s="190" t="s">
        <v>428</v>
      </c>
      <c r="H329" s="189" t="s">
        <v>671</v>
      </c>
      <c r="I329" s="166">
        <f>IFERROR(VLOOKUP(H329,DATOS!$E$117:$F$168,2,0),"")</f>
        <v>0</v>
      </c>
      <c r="J329" s="191">
        <v>0.83830000000000005</v>
      </c>
      <c r="K329" s="192">
        <f t="shared" si="32"/>
        <v>22</v>
      </c>
      <c r="L329" s="194">
        <v>46054</v>
      </c>
      <c r="M329" s="189">
        <f t="shared" si="33"/>
        <v>22</v>
      </c>
      <c r="N329" s="176">
        <v>0.6</v>
      </c>
      <c r="O329" s="112" t="s">
        <v>672</v>
      </c>
      <c r="P329" s="249" t="str">
        <f>+UPPER(TEXT(Tabla4[[#This Row],[transferencia]],"mmmm"))</f>
        <v>FEBRERO</v>
      </c>
      <c r="Q329" t="s">
        <v>346</v>
      </c>
      <c r="R329"/>
      <c r="S329" s="249"/>
      <c r="T329" s="249"/>
      <c r="U329" s="249"/>
      <c r="V329" s="249"/>
      <c r="W329" s="249"/>
      <c r="X329" s="249"/>
      <c r="Y329" s="249"/>
      <c r="Z329" s="249"/>
    </row>
    <row r="330" spans="1:26" s="152" customFormat="1" hidden="1" x14ac:dyDescent="0.25">
      <c r="A330" s="112" t="str">
        <f>+Tabla4[[#This Row],[PISCINA]]&amp;Tabla4[[#This Row],[AGUAJE]]</f>
        <v>BA 03AGUAJE 9</v>
      </c>
      <c r="B330" s="112" t="s">
        <v>205</v>
      </c>
      <c r="C330" s="249" t="str">
        <f t="shared" si="31"/>
        <v>BA</v>
      </c>
      <c r="D330" s="194">
        <v>46076</v>
      </c>
      <c r="E330" s="172">
        <v>480000</v>
      </c>
      <c r="F330" s="249" t="s">
        <v>417</v>
      </c>
      <c r="G330" s="190" t="s">
        <v>428</v>
      </c>
      <c r="H330" s="189" t="s">
        <v>671</v>
      </c>
      <c r="I330" s="166">
        <f>IFERROR(VLOOKUP(H330,DATOS!$E$117:$F$168,2,0),"")</f>
        <v>0</v>
      </c>
      <c r="J330" s="191">
        <v>0.83830000000000005</v>
      </c>
      <c r="K330" s="192">
        <f t="shared" si="32"/>
        <v>22</v>
      </c>
      <c r="L330" s="194">
        <v>46054</v>
      </c>
      <c r="M330" s="189">
        <f t="shared" si="33"/>
        <v>22</v>
      </c>
      <c r="N330" s="176">
        <v>0.6</v>
      </c>
      <c r="O330" s="112" t="s">
        <v>672</v>
      </c>
      <c r="P330" s="249" t="str">
        <f>+UPPER(TEXT(Tabla4[[#This Row],[transferencia]],"mmmm"))</f>
        <v>FEBRERO</v>
      </c>
      <c r="Q330" t="s">
        <v>346</v>
      </c>
      <c r="R330"/>
      <c r="S330" s="249"/>
      <c r="T330" s="249"/>
      <c r="U330" s="249"/>
      <c r="V330" s="249"/>
      <c r="W330" s="249"/>
      <c r="X330" s="249"/>
      <c r="Y330" s="249"/>
      <c r="Z330" s="249"/>
    </row>
    <row r="331" spans="1:26" s="152" customFormat="1" hidden="1" x14ac:dyDescent="0.25">
      <c r="A331" s="112" t="str">
        <f>+Tabla4[[#This Row],[PISCINA]]&amp;Tabla4[[#This Row],[AGUAJE]]</f>
        <v>BA 05AGUAJE 9</v>
      </c>
      <c r="B331" s="112" t="s">
        <v>209</v>
      </c>
      <c r="C331" s="249" t="str">
        <f t="shared" si="31"/>
        <v>BA</v>
      </c>
      <c r="D331" s="194">
        <v>46076</v>
      </c>
      <c r="E331" s="172">
        <v>690909</v>
      </c>
      <c r="F331" s="249" t="s">
        <v>417</v>
      </c>
      <c r="G331" s="190" t="s">
        <v>428</v>
      </c>
      <c r="H331" s="189" t="s">
        <v>671</v>
      </c>
      <c r="I331" s="166">
        <f>IFERROR(VLOOKUP(H331,DATOS!$E$117:$F$168,2,0),"")</f>
        <v>0</v>
      </c>
      <c r="J331" s="191">
        <v>0.83830000000000005</v>
      </c>
      <c r="K331" s="192">
        <f t="shared" si="32"/>
        <v>22</v>
      </c>
      <c r="L331" s="194">
        <v>46054</v>
      </c>
      <c r="M331" s="189">
        <f t="shared" si="33"/>
        <v>22</v>
      </c>
      <c r="N331" s="176">
        <v>0.6</v>
      </c>
      <c r="O331" s="112" t="s">
        <v>672</v>
      </c>
      <c r="P331" s="249" t="str">
        <f>+UPPER(TEXT(Tabla4[[#This Row],[transferencia]],"mmmm"))</f>
        <v>FEBRERO</v>
      </c>
      <c r="Q331" t="s">
        <v>346</v>
      </c>
      <c r="R331"/>
      <c r="S331" s="249"/>
      <c r="T331" s="249"/>
      <c r="U331" s="249"/>
      <c r="V331" s="249"/>
      <c r="W331" s="249"/>
      <c r="X331" s="249"/>
      <c r="Y331" s="249"/>
      <c r="Z331" s="249"/>
    </row>
    <row r="332" spans="1:26" s="152" customFormat="1" hidden="1" x14ac:dyDescent="0.25">
      <c r="A332" s="112" t="str">
        <f>+Tabla4[[#This Row],[PISCINA]]&amp;Tabla4[[#This Row],[AGUAJE]]</f>
        <v>MA 09AGUAJE 10</v>
      </c>
      <c r="B332" s="112" t="s">
        <v>246</v>
      </c>
      <c r="C332" s="249" t="str">
        <f t="shared" si="31"/>
        <v>MA</v>
      </c>
      <c r="D332" s="194">
        <v>46079</v>
      </c>
      <c r="E332" s="172">
        <v>744300</v>
      </c>
      <c r="F332" s="249" t="s">
        <v>417</v>
      </c>
      <c r="G332" s="190" t="s">
        <v>556</v>
      </c>
      <c r="H332" s="189" t="s">
        <v>476</v>
      </c>
      <c r="I332" s="166" t="str">
        <f>IFERROR(VLOOKUP(H332,DATOS!$E$117:$F$168,2,0),"")</f>
        <v/>
      </c>
      <c r="J332" s="191">
        <v>0.7</v>
      </c>
      <c r="K332" s="192">
        <f t="shared" si="32"/>
        <v>15</v>
      </c>
      <c r="L332" s="246">
        <v>46064</v>
      </c>
      <c r="M332" s="189">
        <f t="shared" si="33"/>
        <v>15</v>
      </c>
      <c r="N332" s="176">
        <v>0.4</v>
      </c>
      <c r="O332" s="112" t="s">
        <v>673</v>
      </c>
      <c r="P332" s="249" t="str">
        <f>+UPPER(TEXT(Tabla4[[#This Row],[transferencia]],"mmmm"))</f>
        <v>FEBRERO</v>
      </c>
      <c r="Q332" s="249" t="s">
        <v>347</v>
      </c>
      <c r="R332"/>
      <c r="S332" s="249"/>
      <c r="T332" s="249"/>
      <c r="U332" s="249"/>
      <c r="V332" s="249"/>
      <c r="W332" s="249"/>
      <c r="X332" s="249"/>
      <c r="Y332" s="249"/>
      <c r="Z332" s="249"/>
    </row>
    <row r="333" spans="1:26" s="152" customFormat="1" hidden="1" x14ac:dyDescent="0.25">
      <c r="A333" s="112" t="str">
        <f>+Tabla4[[#This Row],[PISCINA]]&amp;Tabla4[[#This Row],[AGUAJE]]</f>
        <v>PA 03AGUAJE 10</v>
      </c>
      <c r="B333" s="112" t="s">
        <v>244</v>
      </c>
      <c r="C333" s="249" t="str">
        <f t="shared" si="31"/>
        <v>PA</v>
      </c>
      <c r="D333" s="194">
        <v>46077</v>
      </c>
      <c r="E333" s="172">
        <v>1386000</v>
      </c>
      <c r="F333" s="249" t="s">
        <v>417</v>
      </c>
      <c r="G333" s="190" t="s">
        <v>422</v>
      </c>
      <c r="H333" s="189" t="s">
        <v>444</v>
      </c>
      <c r="I333" s="166" t="str">
        <f>IFERROR(VLOOKUP(H333,DATOS!$E$117:$F$168,2,0),"")</f>
        <v>H10598B</v>
      </c>
      <c r="J333" s="191">
        <v>0.84</v>
      </c>
      <c r="K333" s="192">
        <f t="shared" si="32"/>
        <v>16</v>
      </c>
      <c r="L333" s="194">
        <v>46061</v>
      </c>
      <c r="M333" s="189">
        <f t="shared" si="33"/>
        <v>16</v>
      </c>
      <c r="N333" s="176">
        <v>0.4</v>
      </c>
      <c r="O333" s="112" t="s">
        <v>544</v>
      </c>
      <c r="P333" s="249" t="str">
        <f>+UPPER(TEXT(Tabla4[[#This Row],[transferencia]],"mmmm"))</f>
        <v>FEBRERO</v>
      </c>
      <c r="Q333" s="249" t="s">
        <v>347</v>
      </c>
      <c r="R333"/>
      <c r="S333" s="249"/>
      <c r="T333" s="249"/>
      <c r="U333" s="249"/>
      <c r="V333" s="249"/>
      <c r="W333" s="249"/>
      <c r="X333" s="249"/>
      <c r="Y333" s="249"/>
      <c r="Z333" s="249"/>
    </row>
    <row r="334" spans="1:26" s="152" customFormat="1" hidden="1" x14ac:dyDescent="0.25">
      <c r="A334" s="112" t="str">
        <f>+Tabla4[[#This Row],[PISCINA]]&amp;Tabla4[[#This Row],[AGUAJE]]</f>
        <v>DO 03AGUAJE 10</v>
      </c>
      <c r="B334" s="112" t="s">
        <v>260</v>
      </c>
      <c r="C334" s="249" t="str">
        <f t="shared" ref="C334:C346" si="34">+MID(A334,1,2)</f>
        <v>DO</v>
      </c>
      <c r="D334" s="194">
        <v>46092</v>
      </c>
      <c r="E334" s="172">
        <v>823539</v>
      </c>
      <c r="F334" s="249" t="s">
        <v>417</v>
      </c>
      <c r="G334" s="190" t="s">
        <v>566</v>
      </c>
      <c r="H334" s="189" t="s">
        <v>419</v>
      </c>
      <c r="I334" s="166" t="str">
        <f>IFERROR(VLOOKUP(H334,DATOS!$E$117:$F$168,2,0),"")</f>
        <v>H10603</v>
      </c>
      <c r="J334" s="191">
        <v>0.97019999999999995</v>
      </c>
      <c r="K334" s="192">
        <f t="shared" ref="K334:K346" si="35">+D334-L334</f>
        <v>24</v>
      </c>
      <c r="L334" s="194">
        <v>46068</v>
      </c>
      <c r="M334" s="189">
        <f t="shared" ref="M334:M346" si="36">+D334-L334</f>
        <v>24</v>
      </c>
      <c r="N334" s="176">
        <v>5.85</v>
      </c>
      <c r="O334" s="112" t="s">
        <v>523</v>
      </c>
      <c r="P334" s="249" t="str">
        <f>+UPPER(TEXT(Tabla4[[#This Row],[transferencia]],"mmmm"))</f>
        <v>MARZO</v>
      </c>
      <c r="Q334" s="249" t="s">
        <v>347</v>
      </c>
      <c r="R334"/>
      <c r="S334" s="249"/>
      <c r="T334" s="249"/>
      <c r="U334" s="249"/>
      <c r="V334" s="249"/>
      <c r="W334" s="249"/>
      <c r="X334" s="249"/>
      <c r="Y334" s="249"/>
      <c r="Z334" s="249"/>
    </row>
    <row r="335" spans="1:26" s="152" customFormat="1" hidden="1" x14ac:dyDescent="0.25">
      <c r="A335" s="112" t="str">
        <f>+Tabla4[[#This Row],[PISCINA]]&amp;Tabla4[[#This Row],[AGUAJE]]</f>
        <v>DO 10AGUAJE 10</v>
      </c>
      <c r="B335" s="112" t="s">
        <v>250</v>
      </c>
      <c r="C335" s="249" t="str">
        <f t="shared" si="34"/>
        <v>DO</v>
      </c>
      <c r="D335" s="194">
        <v>46082</v>
      </c>
      <c r="E335" s="172">
        <v>743700</v>
      </c>
      <c r="F335" s="249" t="s">
        <v>417</v>
      </c>
      <c r="G335" s="190" t="s">
        <v>422</v>
      </c>
      <c r="H335" s="189" t="s">
        <v>444</v>
      </c>
      <c r="I335" s="166" t="str">
        <f>IFERROR(VLOOKUP(H335,DATOS!$E$117:$F$168,2,0),"")</f>
        <v>H10598B</v>
      </c>
      <c r="J335" s="191">
        <v>0.74299999999999999</v>
      </c>
      <c r="K335" s="192">
        <f t="shared" si="35"/>
        <v>21</v>
      </c>
      <c r="L335" s="194">
        <v>46061</v>
      </c>
      <c r="M335" s="189">
        <f t="shared" si="36"/>
        <v>21</v>
      </c>
      <c r="N335" s="176">
        <v>0.72</v>
      </c>
      <c r="O335" s="112" t="s">
        <v>674</v>
      </c>
      <c r="P335" s="249" t="str">
        <f>+UPPER(TEXT(Tabla4[[#This Row],[transferencia]],"mmmm"))</f>
        <v>MARZO</v>
      </c>
      <c r="Q335" t="s">
        <v>347</v>
      </c>
      <c r="R335"/>
      <c r="S335" s="249"/>
      <c r="T335" s="249"/>
      <c r="U335" s="249"/>
      <c r="V335" s="249"/>
      <c r="W335" s="249"/>
      <c r="X335" s="249"/>
      <c r="Y335" s="249"/>
      <c r="Z335" s="249"/>
    </row>
    <row r="336" spans="1:26" s="152" customFormat="1" hidden="1" x14ac:dyDescent="0.25">
      <c r="A336" s="112" t="str">
        <f>+Tabla4[[#This Row],[PISCINA]]&amp;Tabla4[[#This Row],[AGUAJE]]</f>
        <v>DO 11AGUAJE 10</v>
      </c>
      <c r="B336" s="112" t="s">
        <v>219</v>
      </c>
      <c r="C336" s="249" t="str">
        <f t="shared" si="34"/>
        <v>DO</v>
      </c>
      <c r="D336" s="194">
        <v>46071</v>
      </c>
      <c r="E336" s="172">
        <v>2425946</v>
      </c>
      <c r="F336" s="249" t="s">
        <v>417</v>
      </c>
      <c r="G336" s="190" t="s">
        <v>418</v>
      </c>
      <c r="H336" s="189" t="s">
        <v>419</v>
      </c>
      <c r="I336" s="166" t="str">
        <f>IFERROR(VLOOKUP(H336,DATOS!$E$117:$F$168,2,0),"")</f>
        <v>H10603</v>
      </c>
      <c r="J336" s="191">
        <v>0.77010000000000001</v>
      </c>
      <c r="K336" s="192">
        <f t="shared" si="35"/>
        <v>22</v>
      </c>
      <c r="L336" s="194">
        <v>46049</v>
      </c>
      <c r="M336" s="189">
        <f t="shared" si="36"/>
        <v>22</v>
      </c>
      <c r="N336" s="176">
        <v>0.66</v>
      </c>
      <c r="O336" s="112" t="s">
        <v>675</v>
      </c>
      <c r="P336" s="249" t="str">
        <f>+UPPER(TEXT(Tabla4[[#This Row],[transferencia]],"mmmm"))</f>
        <v>FEBRERO</v>
      </c>
      <c r="Q336" t="s">
        <v>347</v>
      </c>
      <c r="R336"/>
      <c r="S336" s="249"/>
      <c r="T336" s="249"/>
      <c r="U336" s="249"/>
      <c r="V336" s="249"/>
      <c r="W336" s="249"/>
      <c r="X336" s="249"/>
      <c r="Y336" s="249"/>
      <c r="Z336" s="249"/>
    </row>
    <row r="337" spans="1:26" s="152" customFormat="1" hidden="1" x14ac:dyDescent="0.25">
      <c r="A337" s="112" t="str">
        <f>+Tabla4[[#This Row],[PISCINA]]&amp;Tabla4[[#This Row],[AGUAJE]]</f>
        <v>DO 13AGUAJE 9</v>
      </c>
      <c r="B337" s="112" t="s">
        <v>220</v>
      </c>
      <c r="C337" s="249" t="str">
        <f t="shared" si="34"/>
        <v>DO</v>
      </c>
      <c r="D337" s="194">
        <v>46076</v>
      </c>
      <c r="E337" s="172">
        <v>1026000</v>
      </c>
      <c r="F337" s="249" t="s">
        <v>417</v>
      </c>
      <c r="G337" s="190" t="s">
        <v>422</v>
      </c>
      <c r="H337" s="189" t="s">
        <v>454</v>
      </c>
      <c r="I337" s="166">
        <f>IFERROR(VLOOKUP(H337,DATOS!$E$117:$F$168,2,0),"")</f>
        <v>0</v>
      </c>
      <c r="J337" s="191">
        <v>0.39029999999999998</v>
      </c>
      <c r="K337" s="192">
        <f t="shared" si="35"/>
        <v>26</v>
      </c>
      <c r="L337" s="194">
        <v>46050</v>
      </c>
      <c r="M337" s="189">
        <f t="shared" si="36"/>
        <v>26</v>
      </c>
      <c r="N337" s="176">
        <v>1</v>
      </c>
      <c r="O337" s="112" t="s">
        <v>449</v>
      </c>
      <c r="P337" s="249" t="str">
        <f>+UPPER(TEXT(Tabla4[[#This Row],[transferencia]],"mmmm"))</f>
        <v>FEBRERO</v>
      </c>
      <c r="Q337" t="s">
        <v>346</v>
      </c>
      <c r="R337"/>
      <c r="S337" s="249"/>
      <c r="T337" s="249"/>
      <c r="U337" s="249"/>
      <c r="V337" s="249"/>
      <c r="W337" s="249"/>
      <c r="X337" s="249"/>
      <c r="Y337" s="249"/>
      <c r="Z337" s="249"/>
    </row>
    <row r="338" spans="1:26" s="152" customFormat="1" hidden="1" x14ac:dyDescent="0.25">
      <c r="A338" s="112" t="str">
        <f>+Tabla4[[#This Row],[PISCINA]]&amp;Tabla4[[#This Row],[AGUAJE]]</f>
        <v>DO 14AGUAJE 9</v>
      </c>
      <c r="B338" s="112" t="s">
        <v>249</v>
      </c>
      <c r="C338" s="249" t="str">
        <f t="shared" si="34"/>
        <v>DO</v>
      </c>
      <c r="D338" s="194">
        <v>46078</v>
      </c>
      <c r="E338" s="172">
        <v>1549800</v>
      </c>
      <c r="F338" s="249" t="s">
        <v>417</v>
      </c>
      <c r="G338" s="190" t="s">
        <v>422</v>
      </c>
      <c r="H338" s="189" t="s">
        <v>454</v>
      </c>
      <c r="I338" s="166">
        <f>IFERROR(VLOOKUP(H338,DATOS!$E$117:$F$168,2,0),"")</f>
        <v>0</v>
      </c>
      <c r="J338" s="191">
        <v>0.39029999999999998</v>
      </c>
      <c r="K338" s="192">
        <f t="shared" si="35"/>
        <v>28</v>
      </c>
      <c r="L338" s="194">
        <v>46050</v>
      </c>
      <c r="M338" s="189">
        <f t="shared" si="36"/>
        <v>28</v>
      </c>
      <c r="N338" s="176">
        <v>1.03</v>
      </c>
      <c r="O338" s="112" t="s">
        <v>449</v>
      </c>
      <c r="P338" s="249" t="str">
        <f>+UPPER(TEXT(Tabla4[[#This Row],[transferencia]],"mmmm"))</f>
        <v>FEBRERO</v>
      </c>
      <c r="Q338" s="249" t="s">
        <v>346</v>
      </c>
      <c r="R338"/>
      <c r="S338" s="249"/>
      <c r="T338" s="249"/>
      <c r="U338" s="249"/>
      <c r="V338" s="249"/>
      <c r="W338" s="249"/>
      <c r="X338" s="249"/>
      <c r="Y338" s="249"/>
      <c r="Z338" s="249"/>
    </row>
    <row r="339" spans="1:26" s="152" customFormat="1" hidden="1" x14ac:dyDescent="0.25">
      <c r="A339" s="112" t="str">
        <f>+Tabla4[[#This Row],[PISCINA]]&amp;Tabla4[[#This Row],[AGUAJE]]</f>
        <v>DO 16AGUAJE 9</v>
      </c>
      <c r="B339" s="112" t="s">
        <v>253</v>
      </c>
      <c r="C339" s="249" t="str">
        <f t="shared" si="34"/>
        <v>DO</v>
      </c>
      <c r="D339" s="194">
        <v>46089</v>
      </c>
      <c r="E339" s="172">
        <v>1054035</v>
      </c>
      <c r="F339" s="249" t="s">
        <v>417</v>
      </c>
      <c r="G339" s="190" t="s">
        <v>422</v>
      </c>
      <c r="H339" s="189" t="s">
        <v>454</v>
      </c>
      <c r="I339" s="166">
        <f>IFERROR(VLOOKUP(H339,DATOS!$E$117:$F$168,2,0),"")</f>
        <v>0</v>
      </c>
      <c r="J339" s="191"/>
      <c r="K339" s="192">
        <f t="shared" si="35"/>
        <v>39</v>
      </c>
      <c r="L339" s="194">
        <v>46050</v>
      </c>
      <c r="M339" s="189">
        <f t="shared" si="36"/>
        <v>39</v>
      </c>
      <c r="N339" s="176">
        <v>0.72</v>
      </c>
      <c r="O339" s="112" t="s">
        <v>449</v>
      </c>
      <c r="P339" s="249" t="str">
        <f>+UPPER(TEXT(Tabla4[[#This Row],[transferencia]],"mmmm"))</f>
        <v>MARZO</v>
      </c>
      <c r="Q339" t="s">
        <v>346</v>
      </c>
      <c r="R339"/>
      <c r="S339" s="249"/>
      <c r="T339" s="249"/>
      <c r="U339" s="249"/>
      <c r="V339" s="249"/>
      <c r="W339" s="249"/>
      <c r="X339" s="249"/>
      <c r="Y339" s="249"/>
      <c r="Z339" s="249"/>
    </row>
    <row r="340" spans="1:26" s="152" customFormat="1" hidden="1" x14ac:dyDescent="0.25">
      <c r="A340" s="112" t="str">
        <f>+Tabla4[[#This Row],[PISCINA]]&amp;Tabla4[[#This Row],[AGUAJE]]</f>
        <v>DO 17AGUAJE 9</v>
      </c>
      <c r="B340" s="112" t="s">
        <v>267</v>
      </c>
      <c r="C340" s="249" t="str">
        <f t="shared" si="34"/>
        <v>DO</v>
      </c>
      <c r="D340" s="194">
        <v>46094</v>
      </c>
      <c r="E340" s="172">
        <v>1002000</v>
      </c>
      <c r="F340" s="249" t="s">
        <v>417</v>
      </c>
      <c r="G340" s="190" t="s">
        <v>422</v>
      </c>
      <c r="H340" s="189" t="s">
        <v>454</v>
      </c>
      <c r="I340" s="166">
        <f>IFERROR(VLOOKUP(H340,DATOS!$E$117:$F$168,2,0),"")</f>
        <v>0</v>
      </c>
      <c r="J340" s="191"/>
      <c r="K340" s="192">
        <f t="shared" si="35"/>
        <v>44</v>
      </c>
      <c r="L340" s="194">
        <v>46050</v>
      </c>
      <c r="M340" s="189">
        <f t="shared" si="36"/>
        <v>44</v>
      </c>
      <c r="N340" s="176">
        <v>2.5</v>
      </c>
      <c r="O340" s="112" t="s">
        <v>449</v>
      </c>
      <c r="P340" s="249" t="str">
        <f>+UPPER(TEXT(Tabla4[[#This Row],[transferencia]],"mmmm"))</f>
        <v>MARZO</v>
      </c>
      <c r="Q340" t="s">
        <v>346</v>
      </c>
      <c r="R340"/>
      <c r="S340" s="249"/>
      <c r="T340" s="249"/>
      <c r="U340" s="249"/>
      <c r="V340" s="249"/>
      <c r="W340" s="249"/>
      <c r="X340" s="249"/>
      <c r="Y340" s="249"/>
      <c r="Z340" s="249"/>
    </row>
    <row r="341" spans="1:26" s="152" customFormat="1" hidden="1" x14ac:dyDescent="0.25">
      <c r="A341" s="112" t="str">
        <f>+Tabla4[[#This Row],[PISCINA]]&amp;Tabla4[[#This Row],[AGUAJE]]</f>
        <v>DO 21AGUAJE 10</v>
      </c>
      <c r="B341" s="112" t="s">
        <v>216</v>
      </c>
      <c r="C341" s="249" t="str">
        <f t="shared" si="34"/>
        <v>DO</v>
      </c>
      <c r="D341" s="194">
        <v>46070</v>
      </c>
      <c r="E341" s="172">
        <v>1408450</v>
      </c>
      <c r="F341" s="249" t="s">
        <v>417</v>
      </c>
      <c r="G341" s="190" t="s">
        <v>428</v>
      </c>
      <c r="H341" s="189" t="s">
        <v>450</v>
      </c>
      <c r="I341" s="166">
        <f>IFERROR(VLOOKUP(H341,DATOS!$E$117:$F$168,2,0),"")</f>
        <v>0</v>
      </c>
      <c r="J341" s="191">
        <v>0.74129999999999996</v>
      </c>
      <c r="K341" s="192">
        <f t="shared" si="35"/>
        <v>22</v>
      </c>
      <c r="L341" s="194">
        <v>46048</v>
      </c>
      <c r="M341" s="189">
        <f t="shared" si="36"/>
        <v>22</v>
      </c>
      <c r="N341" s="176">
        <v>0.71</v>
      </c>
      <c r="O341" s="112" t="s">
        <v>676</v>
      </c>
      <c r="P341" s="249" t="str">
        <f>+UPPER(TEXT(Tabla4[[#This Row],[transferencia]],"mmmm"))</f>
        <v>FEBRERO</v>
      </c>
      <c r="Q341" s="249" t="s">
        <v>347</v>
      </c>
      <c r="R341"/>
      <c r="S341" s="249"/>
      <c r="T341" s="249"/>
      <c r="U341" s="249"/>
      <c r="V341" s="249"/>
      <c r="W341" s="249"/>
      <c r="X341" s="249"/>
      <c r="Y341" s="249"/>
      <c r="Z341" s="249"/>
    </row>
    <row r="342" spans="1:26" s="152" customFormat="1" hidden="1" x14ac:dyDescent="0.25">
      <c r="A342" s="112" t="str">
        <f>+Tabla4[[#This Row],[PISCINA]]&amp;Tabla4[[#This Row],[AGUAJE]]</f>
        <v>PR 06AGUAJE 9</v>
      </c>
      <c r="B342" s="112" t="s">
        <v>217</v>
      </c>
      <c r="C342" s="249" t="str">
        <f t="shared" si="34"/>
        <v>PR</v>
      </c>
      <c r="D342" s="194">
        <v>46069</v>
      </c>
      <c r="E342" s="172">
        <v>1500000</v>
      </c>
      <c r="F342" s="249" t="s">
        <v>417</v>
      </c>
      <c r="G342" s="190" t="s">
        <v>422</v>
      </c>
      <c r="H342" s="189" t="s">
        <v>504</v>
      </c>
      <c r="I342" s="166">
        <f>IFERROR(VLOOKUP(H342,DATOS!$E$117:$F$168,2,0),"")</f>
        <v>0</v>
      </c>
      <c r="J342" s="191">
        <v>0.68179999999999996</v>
      </c>
      <c r="K342" s="192">
        <f t="shared" si="35"/>
        <v>20</v>
      </c>
      <c r="L342" s="194">
        <v>46049</v>
      </c>
      <c r="M342" s="189">
        <f t="shared" si="36"/>
        <v>20</v>
      </c>
      <c r="N342" s="176">
        <v>0.4</v>
      </c>
      <c r="O342" s="112" t="s">
        <v>677</v>
      </c>
      <c r="P342" s="249" t="str">
        <f>+UPPER(TEXT(Tabla4[[#This Row],[transferencia]],"mmmm"))</f>
        <v>FEBRERO</v>
      </c>
      <c r="Q342" t="s">
        <v>346</v>
      </c>
      <c r="R342"/>
      <c r="S342" s="249"/>
      <c r="T342" s="249"/>
      <c r="U342" s="249"/>
      <c r="V342" s="249"/>
      <c r="W342" s="249"/>
      <c r="X342" s="249"/>
      <c r="Y342" s="249"/>
      <c r="Z342" s="249"/>
    </row>
    <row r="343" spans="1:26" s="152" customFormat="1" hidden="1" x14ac:dyDescent="0.25">
      <c r="A343" s="112" t="str">
        <f>+Tabla4[[#This Row],[PISCINA]]&amp;Tabla4[[#This Row],[AGUAJE]]</f>
        <v>PR 09AGUAJE 9</v>
      </c>
      <c r="B343" s="112" t="s">
        <v>178</v>
      </c>
      <c r="C343" s="249" t="str">
        <f t="shared" si="34"/>
        <v>PR</v>
      </c>
      <c r="D343" s="194">
        <v>46062</v>
      </c>
      <c r="E343" s="172">
        <v>1530000</v>
      </c>
      <c r="F343" s="249" t="s">
        <v>417</v>
      </c>
      <c r="G343" s="190" t="s">
        <v>418</v>
      </c>
      <c r="H343" s="189" t="s">
        <v>418</v>
      </c>
      <c r="I343" s="166" t="str">
        <f>IFERROR(VLOOKUP(H343,DATOS!$E$117:$F$168,2,0),"")</f>
        <v>H10234</v>
      </c>
      <c r="J343" s="191">
        <v>0.61199999999999999</v>
      </c>
      <c r="K343" s="192">
        <f t="shared" si="35"/>
        <v>15</v>
      </c>
      <c r="L343" s="194">
        <v>46047</v>
      </c>
      <c r="M343" s="189">
        <f t="shared" si="36"/>
        <v>15</v>
      </c>
      <c r="N343" s="176">
        <v>0.4</v>
      </c>
      <c r="O343" s="112" t="s">
        <v>678</v>
      </c>
      <c r="P343" s="249" t="str">
        <f>+UPPER(TEXT(Tabla4[[#This Row],[transferencia]],"mmmm"))</f>
        <v>FEBRERO</v>
      </c>
      <c r="Q343" s="249" t="s">
        <v>346</v>
      </c>
      <c r="R343"/>
      <c r="S343" s="249"/>
      <c r="T343" s="249"/>
      <c r="U343" s="249"/>
      <c r="V343" s="249"/>
      <c r="W343" s="249"/>
      <c r="X343" s="249"/>
      <c r="Y343" s="249"/>
      <c r="Z343" s="249"/>
    </row>
    <row r="344" spans="1:26" s="152" customFormat="1" hidden="1" x14ac:dyDescent="0.25">
      <c r="A344" s="112" t="str">
        <f>+Tabla4[[#This Row],[PISCINA]]&amp;Tabla4[[#This Row],[AGUAJE]]</f>
        <v>PR 17AGUAJE 7</v>
      </c>
      <c r="B344" s="112" t="s">
        <v>139</v>
      </c>
      <c r="C344" s="249" t="str">
        <f t="shared" si="34"/>
        <v>PR</v>
      </c>
      <c r="D344" s="194">
        <v>46044</v>
      </c>
      <c r="E344" s="172">
        <v>850000</v>
      </c>
      <c r="F344" s="249" t="s">
        <v>417</v>
      </c>
      <c r="G344" s="190" t="s">
        <v>418</v>
      </c>
      <c r="H344" s="190" t="s">
        <v>418</v>
      </c>
      <c r="I344" s="166" t="str">
        <f>IFERROR(VLOOKUP(H344,DATOS!$E$117:$F$168,2,0),"")</f>
        <v>H10234</v>
      </c>
      <c r="J344" s="191">
        <v>0.67210000000000003</v>
      </c>
      <c r="K344" s="192">
        <f t="shared" si="35"/>
        <v>15</v>
      </c>
      <c r="L344" s="194">
        <v>46029</v>
      </c>
      <c r="M344" s="189">
        <f t="shared" si="36"/>
        <v>15</v>
      </c>
      <c r="N344" s="176">
        <v>0.3</v>
      </c>
      <c r="O344" s="112" t="s">
        <v>505</v>
      </c>
      <c r="P344" s="249" t="str">
        <f>+UPPER(TEXT(Tabla4[[#This Row],[transferencia]],"mmmm"))</f>
        <v>ENERO</v>
      </c>
      <c r="Q344" t="s">
        <v>319</v>
      </c>
      <c r="R344"/>
      <c r="S344" s="249"/>
      <c r="T344" s="249"/>
      <c r="U344" s="249"/>
      <c r="V344" s="249"/>
      <c r="W344" s="249"/>
      <c r="X344" s="249"/>
      <c r="Y344" s="249"/>
      <c r="Z344" s="249"/>
    </row>
    <row r="345" spans="1:26" s="152" customFormat="1" hidden="1" x14ac:dyDescent="0.25">
      <c r="A345" s="112" t="str">
        <f>+Tabla4[[#This Row],[PISCINA]]&amp;Tabla4[[#This Row],[AGUAJE]]</f>
        <v>GT 15AGUAJE 8</v>
      </c>
      <c r="B345" s="112" t="s">
        <v>145</v>
      </c>
      <c r="C345" s="249" t="str">
        <f t="shared" si="34"/>
        <v>GT</v>
      </c>
      <c r="D345" s="194">
        <v>46050</v>
      </c>
      <c r="E345" s="172">
        <v>376600</v>
      </c>
      <c r="F345" s="249" t="s">
        <v>417</v>
      </c>
      <c r="G345" s="190" t="s">
        <v>679</v>
      </c>
      <c r="H345" s="189" t="s">
        <v>422</v>
      </c>
      <c r="I345" s="166" t="str">
        <f>IFERROR(VLOOKUP(H345,DATOS!$E$117:$F$168,2,0),"")</f>
        <v/>
      </c>
      <c r="J345" s="191">
        <v>0.80549999999999999</v>
      </c>
      <c r="K345" s="192">
        <f t="shared" si="35"/>
        <v>20</v>
      </c>
      <c r="L345" s="194">
        <v>46030</v>
      </c>
      <c r="M345" s="189">
        <f t="shared" si="36"/>
        <v>20</v>
      </c>
      <c r="N345" s="176">
        <v>0.45</v>
      </c>
      <c r="O345" s="112" t="s">
        <v>680</v>
      </c>
      <c r="P345" s="249" t="str">
        <f>+UPPER(TEXT(Tabla4[[#This Row],[transferencia]],"mmmm"))</f>
        <v>ENERO</v>
      </c>
      <c r="Q345" t="s">
        <v>334</v>
      </c>
      <c r="R345"/>
      <c r="S345" s="249"/>
      <c r="T345" s="249"/>
      <c r="U345" s="249"/>
      <c r="V345" s="249"/>
      <c r="W345" s="249"/>
      <c r="X345" s="249"/>
      <c r="Y345" s="249"/>
      <c r="Z345" s="249"/>
    </row>
    <row r="346" spans="1:26" s="152" customFormat="1" hidden="1" x14ac:dyDescent="0.25">
      <c r="A346" s="112" t="str">
        <f>+Tabla4[[#This Row],[PISCINA]]&amp;Tabla4[[#This Row],[AGUAJE]]</f>
        <v>ME 05AGUAJE 10</v>
      </c>
      <c r="B346" s="112" t="s">
        <v>290</v>
      </c>
      <c r="C346" s="249" t="str">
        <f t="shared" si="34"/>
        <v>ME</v>
      </c>
      <c r="D346" s="194">
        <v>46105</v>
      </c>
      <c r="E346" s="172">
        <v>416400</v>
      </c>
      <c r="F346" s="249" t="s">
        <v>417</v>
      </c>
      <c r="G346" s="190" t="s">
        <v>566</v>
      </c>
      <c r="H346" s="189" t="s">
        <v>428</v>
      </c>
      <c r="I346" s="166" t="str">
        <f>IFERROR(VLOOKUP(H346,DATOS!$E$117:$F$168,2,0),"")</f>
        <v/>
      </c>
      <c r="J346" s="191">
        <v>0.64559999999999995</v>
      </c>
      <c r="K346" s="192">
        <f t="shared" si="35"/>
        <v>25</v>
      </c>
      <c r="L346" s="194">
        <v>46080</v>
      </c>
      <c r="M346" s="189">
        <f t="shared" si="36"/>
        <v>25</v>
      </c>
      <c r="N346" s="176">
        <v>5</v>
      </c>
      <c r="O346" s="112" t="s">
        <v>681</v>
      </c>
      <c r="P346" s="249" t="str">
        <f>+UPPER(TEXT(Tabla4[[#This Row],[transferencia]],"mmmm"))</f>
        <v>MARZO</v>
      </c>
      <c r="Q346" s="249" t="s">
        <v>347</v>
      </c>
      <c r="R346"/>
      <c r="S346" s="249"/>
      <c r="T346" s="249"/>
      <c r="U346" s="249"/>
      <c r="V346" s="249"/>
      <c r="W346" s="249"/>
      <c r="X346" s="249"/>
      <c r="Y346" s="249"/>
      <c r="Z346" s="249"/>
    </row>
    <row r="347" spans="1:26" s="152" customFormat="1" hidden="1" x14ac:dyDescent="0.25">
      <c r="A347" s="112" t="str">
        <f>+Tabla4[[#This Row],[PISCINA]]&amp;Tabla4[[#This Row],[AGUAJE]]</f>
        <v>ME 07AGUAJE 10</v>
      </c>
      <c r="B347" s="112" t="s">
        <v>292</v>
      </c>
      <c r="C347" s="249" t="str">
        <f t="shared" ref="C347:C359" si="37">+MID(A347,1,2)</f>
        <v>ME</v>
      </c>
      <c r="D347" s="194">
        <v>46105</v>
      </c>
      <c r="E347" s="172">
        <v>552000</v>
      </c>
      <c r="F347" s="249" t="s">
        <v>417</v>
      </c>
      <c r="G347" s="190" t="s">
        <v>566</v>
      </c>
      <c r="H347" s="189" t="s">
        <v>428</v>
      </c>
      <c r="I347" s="166" t="str">
        <f>IFERROR(VLOOKUP(H347,DATOS!$E$117:$F$168,2,0),"")</f>
        <v/>
      </c>
      <c r="J347" s="191">
        <v>0.64559999999999995</v>
      </c>
      <c r="K347" s="192">
        <f t="shared" ref="K347:K359" si="38">+D347-L347</f>
        <v>25</v>
      </c>
      <c r="L347" s="194">
        <v>46080</v>
      </c>
      <c r="M347" s="189">
        <f t="shared" ref="M347:M359" si="39">+D347-L347</f>
        <v>25</v>
      </c>
      <c r="N347" s="176">
        <v>5</v>
      </c>
      <c r="O347" s="112" t="s">
        <v>682</v>
      </c>
      <c r="P347" s="249" t="str">
        <f>+UPPER(TEXT(Tabla4[[#This Row],[transferencia]],"mmmm"))</f>
        <v>MARZO</v>
      </c>
      <c r="Q347" s="269" t="s">
        <v>347</v>
      </c>
      <c r="R347"/>
      <c r="S347" s="249"/>
      <c r="T347" s="249"/>
      <c r="U347" s="249"/>
      <c r="V347" s="249"/>
      <c r="W347" s="249"/>
      <c r="X347" s="249"/>
      <c r="Y347" s="249"/>
      <c r="Z347" s="249"/>
    </row>
    <row r="348" spans="1:26" s="152" customFormat="1" hidden="1" x14ac:dyDescent="0.25">
      <c r="A348" s="112" t="str">
        <f>+Tabla4[[#This Row],[PISCINA]]&amp;Tabla4[[#This Row],[AGUAJE]]</f>
        <v>PR 21AGUAJE 7</v>
      </c>
      <c r="B348" s="112" t="s">
        <v>141</v>
      </c>
      <c r="C348" s="249" t="str">
        <f t="shared" si="37"/>
        <v>PR</v>
      </c>
      <c r="D348" s="194">
        <v>46044</v>
      </c>
      <c r="E348" s="172">
        <v>306000</v>
      </c>
      <c r="F348" s="249" t="s">
        <v>417</v>
      </c>
      <c r="G348" s="190" t="s">
        <v>683</v>
      </c>
      <c r="H348" s="189" t="s">
        <v>418</v>
      </c>
      <c r="I348" s="166" t="str">
        <f>IFERROR(VLOOKUP(H348,DATOS!$E$117:$F$168,2,0),"")</f>
        <v>H10234</v>
      </c>
      <c r="J348" s="191">
        <v>0.67210000000000003</v>
      </c>
      <c r="K348" s="192">
        <f t="shared" si="38"/>
        <v>15</v>
      </c>
      <c r="L348" s="194">
        <v>46029</v>
      </c>
      <c r="M348" s="189">
        <f t="shared" si="39"/>
        <v>15</v>
      </c>
      <c r="N348" s="176">
        <v>0.3</v>
      </c>
      <c r="O348" s="112" t="s">
        <v>505</v>
      </c>
      <c r="P348" s="249" t="str">
        <f>+UPPER(TEXT(Tabla4[[#This Row],[transferencia]],"mmmm"))</f>
        <v>ENERO</v>
      </c>
      <c r="Q348" t="s">
        <v>319</v>
      </c>
      <c r="R348"/>
      <c r="S348" s="249"/>
      <c r="T348" s="249"/>
      <c r="U348" s="249"/>
      <c r="V348" s="249"/>
      <c r="W348" s="249"/>
      <c r="X348" s="249"/>
      <c r="Y348" s="249"/>
      <c r="Z348" s="249"/>
    </row>
    <row r="349" spans="1:26" s="152" customFormat="1" hidden="1" x14ac:dyDescent="0.25">
      <c r="A349" s="112" t="str">
        <f>+Tabla4[[#This Row],[PISCINA]]&amp;Tabla4[[#This Row],[AGUAJE]]</f>
        <v>PR 22AGUAJE 7</v>
      </c>
      <c r="B349" s="112" t="s">
        <v>142</v>
      </c>
      <c r="C349" s="249" t="str">
        <f t="shared" si="37"/>
        <v>PR</v>
      </c>
      <c r="D349" s="194">
        <v>46044</v>
      </c>
      <c r="E349" s="172">
        <v>457000</v>
      </c>
      <c r="F349" s="249" t="s">
        <v>417</v>
      </c>
      <c r="G349" s="190" t="s">
        <v>418</v>
      </c>
      <c r="H349" s="189" t="s">
        <v>418</v>
      </c>
      <c r="I349" s="166" t="str">
        <f>IFERROR(VLOOKUP(H349,DATOS!$E$117:$F$168,2,0),"")</f>
        <v>H10234</v>
      </c>
      <c r="J349" s="191">
        <v>0.67210000000000003</v>
      </c>
      <c r="K349" s="192">
        <f t="shared" si="38"/>
        <v>15</v>
      </c>
      <c r="L349" s="194">
        <v>46029</v>
      </c>
      <c r="M349" s="189">
        <f t="shared" si="39"/>
        <v>15</v>
      </c>
      <c r="N349" s="176">
        <v>0.3</v>
      </c>
      <c r="O349" s="112" t="s">
        <v>505</v>
      </c>
      <c r="P349" s="249" t="str">
        <f>+UPPER(TEXT(Tabla4[[#This Row],[transferencia]],"mmmm"))</f>
        <v>ENERO</v>
      </c>
      <c r="Q349" t="s">
        <v>319</v>
      </c>
      <c r="R349"/>
      <c r="S349" s="249"/>
      <c r="T349" s="249"/>
      <c r="U349" s="249"/>
      <c r="V349" s="249"/>
      <c r="W349" s="249"/>
      <c r="X349" s="249"/>
      <c r="Y349" s="249"/>
      <c r="Z349" s="249"/>
    </row>
    <row r="350" spans="1:26" s="152" customFormat="1" hidden="1" x14ac:dyDescent="0.25">
      <c r="A350" s="112" t="str">
        <f>+Tabla4[[#This Row],[PISCINA]]&amp;Tabla4[[#This Row],[AGUAJE]]</f>
        <v>TI 09AGUAJE 10</v>
      </c>
      <c r="B350" s="112" t="s">
        <v>232</v>
      </c>
      <c r="C350" s="249" t="str">
        <f t="shared" si="37"/>
        <v>TI</v>
      </c>
      <c r="D350" s="194">
        <v>46073</v>
      </c>
      <c r="E350" s="172">
        <v>1273000</v>
      </c>
      <c r="F350" s="249" t="s">
        <v>417</v>
      </c>
      <c r="G350" s="190" t="s">
        <v>428</v>
      </c>
      <c r="H350" s="189" t="s">
        <v>671</v>
      </c>
      <c r="I350" s="166">
        <f>IFERROR(VLOOKUP(H350,DATOS!$E$117:$F$168,2,0),"")</f>
        <v>0</v>
      </c>
      <c r="J350" s="191">
        <v>0.82130000000000003</v>
      </c>
      <c r="K350" s="192">
        <f t="shared" si="38"/>
        <v>19</v>
      </c>
      <c r="L350" s="194">
        <v>46054</v>
      </c>
      <c r="M350" s="189">
        <f t="shared" si="39"/>
        <v>19</v>
      </c>
      <c r="N350" s="176">
        <v>0.55000000000000004</v>
      </c>
      <c r="O350" s="112" t="s">
        <v>461</v>
      </c>
      <c r="P350" s="249" t="str">
        <f>+UPPER(TEXT(Tabla4[[#This Row],[transferencia]],"mmmm"))</f>
        <v>FEBRERO</v>
      </c>
      <c r="Q350" t="s">
        <v>347</v>
      </c>
      <c r="R350"/>
      <c r="S350" s="249"/>
      <c r="T350" s="249"/>
      <c r="U350" s="249"/>
      <c r="V350" s="249"/>
      <c r="W350" s="249"/>
      <c r="X350" s="249"/>
      <c r="Y350" s="249"/>
      <c r="Z350" s="249"/>
    </row>
    <row r="351" spans="1:26" s="152" customFormat="1" hidden="1" x14ac:dyDescent="0.25">
      <c r="A351" s="112" t="str">
        <f>+Tabla4[[#This Row],[PISCINA]]&amp;Tabla4[[#This Row],[AGUAJE]]</f>
        <v>CA 04AGUAJE 8</v>
      </c>
      <c r="B351" s="112" t="s">
        <v>203</v>
      </c>
      <c r="C351" s="249" t="str">
        <f t="shared" si="37"/>
        <v>CA</v>
      </c>
      <c r="D351" s="194">
        <v>46068</v>
      </c>
      <c r="E351" s="172">
        <v>1806000</v>
      </c>
      <c r="F351" s="249" t="s">
        <v>417</v>
      </c>
      <c r="G351" s="190" t="s">
        <v>418</v>
      </c>
      <c r="H351" s="189" t="s">
        <v>418</v>
      </c>
      <c r="I351" s="166" t="str">
        <f>IFERROR(VLOOKUP(H351,DATOS!$E$117:$F$168,2,0),"")</f>
        <v>H10234</v>
      </c>
      <c r="J351" s="191">
        <v>0.73960000000000004</v>
      </c>
      <c r="K351" s="192">
        <f t="shared" si="38"/>
        <v>21</v>
      </c>
      <c r="L351" s="194">
        <v>46047</v>
      </c>
      <c r="M351" s="189">
        <f t="shared" si="39"/>
        <v>21</v>
      </c>
      <c r="N351" s="176">
        <v>0.48</v>
      </c>
      <c r="O351" s="112" t="s">
        <v>684</v>
      </c>
      <c r="P351" s="249" t="str">
        <f>+UPPER(TEXT(Tabla4[[#This Row],[transferencia]],"mmmm"))</f>
        <v>FEBRERO</v>
      </c>
      <c r="Q351" s="249" t="s">
        <v>334</v>
      </c>
      <c r="R351"/>
      <c r="S351" s="249"/>
      <c r="T351" s="249"/>
      <c r="U351" s="249"/>
      <c r="V351" s="249"/>
      <c r="W351" s="249"/>
      <c r="X351" s="249"/>
      <c r="Y351" s="249"/>
      <c r="Z351" s="249"/>
    </row>
    <row r="352" spans="1:26" s="152" customFormat="1" hidden="1" x14ac:dyDescent="0.25">
      <c r="A352" s="112" t="str">
        <f>+Tabla4[[#This Row],[PISCINA]]&amp;Tabla4[[#This Row],[AGUAJE]]</f>
        <v>CA 09AGUAJE 9</v>
      </c>
      <c r="B352" s="112" t="s">
        <v>212</v>
      </c>
      <c r="C352" s="249" t="str">
        <f t="shared" si="37"/>
        <v>CA</v>
      </c>
      <c r="D352" s="194">
        <v>46072</v>
      </c>
      <c r="E352" s="172">
        <v>2166000</v>
      </c>
      <c r="F352" s="249" t="s">
        <v>417</v>
      </c>
      <c r="G352" s="190" t="s">
        <v>422</v>
      </c>
      <c r="H352" s="189" t="s">
        <v>504</v>
      </c>
      <c r="I352" s="166">
        <f>IFERROR(VLOOKUP(H352,DATOS!$E$117:$F$168,2,0),"")</f>
        <v>0</v>
      </c>
      <c r="J352" s="191">
        <v>0.74690000000000001</v>
      </c>
      <c r="K352" s="192">
        <f t="shared" si="38"/>
        <v>23</v>
      </c>
      <c r="L352" s="194">
        <v>46049</v>
      </c>
      <c r="M352" s="189">
        <f t="shared" si="39"/>
        <v>23</v>
      </c>
      <c r="N352" s="176">
        <v>0.5</v>
      </c>
      <c r="O352" s="112" t="s">
        <v>448</v>
      </c>
      <c r="P352" s="249" t="str">
        <f>+UPPER(TEXT(Tabla4[[#This Row],[transferencia]],"mmmm"))</f>
        <v>FEBRERO</v>
      </c>
      <c r="Q352" t="s">
        <v>346</v>
      </c>
      <c r="R352"/>
      <c r="S352" s="249"/>
      <c r="T352" s="249"/>
      <c r="U352" s="249"/>
      <c r="V352" s="249"/>
      <c r="W352" s="249"/>
      <c r="X352" s="249"/>
      <c r="Y352" s="249"/>
      <c r="Z352" s="249"/>
    </row>
    <row r="353" spans="1:26" s="152" customFormat="1" hidden="1" x14ac:dyDescent="0.25">
      <c r="A353" s="112" t="str">
        <f>+Tabla4[[#This Row],[PISCINA]]&amp;Tabla4[[#This Row],[AGUAJE]]</f>
        <v>TI 02AGUAJE 9</v>
      </c>
      <c r="B353" s="112" t="s">
        <v>224</v>
      </c>
      <c r="C353" s="249" t="str">
        <f t="shared" si="37"/>
        <v>TI</v>
      </c>
      <c r="D353" s="194">
        <v>46074</v>
      </c>
      <c r="E353" s="172">
        <v>1504800</v>
      </c>
      <c r="F353" s="249" t="s">
        <v>417</v>
      </c>
      <c r="G353" s="190" t="s">
        <v>566</v>
      </c>
      <c r="H353" s="189" t="s">
        <v>419</v>
      </c>
      <c r="I353" s="166" t="str">
        <f>IFERROR(VLOOKUP(H353,DATOS!$E$117:$F$168,2,0),"")</f>
        <v>H10603</v>
      </c>
      <c r="J353" s="191">
        <v>0.79200000000000004</v>
      </c>
      <c r="K353" s="192">
        <f t="shared" si="38"/>
        <v>18</v>
      </c>
      <c r="L353" s="194">
        <v>46056</v>
      </c>
      <c r="M353" s="189">
        <f t="shared" si="39"/>
        <v>18</v>
      </c>
      <c r="N353" s="176">
        <v>0.6</v>
      </c>
      <c r="O353" s="112" t="s">
        <v>685</v>
      </c>
      <c r="P353" s="249" t="str">
        <f>+UPPER(TEXT(Tabla4[[#This Row],[transferencia]],"mmmm"))</f>
        <v>FEBRERO</v>
      </c>
      <c r="Q353" t="s">
        <v>346</v>
      </c>
      <c r="R353"/>
      <c r="S353" s="249"/>
      <c r="T353" s="249"/>
      <c r="U353" s="249"/>
      <c r="V353" s="249"/>
      <c r="W353" s="249"/>
      <c r="X353" s="249"/>
      <c r="Y353" s="249"/>
      <c r="Z353" s="249"/>
    </row>
    <row r="354" spans="1:26" s="152" customFormat="1" hidden="1" x14ac:dyDescent="0.25">
      <c r="A354" s="112" t="str">
        <f>+Tabla4[[#This Row],[PISCINA]]&amp;Tabla4[[#This Row],[AGUAJE]]</f>
        <v>TA 16AGUAJE 10</v>
      </c>
      <c r="B354" s="112" t="s">
        <v>248</v>
      </c>
      <c r="C354" s="249" t="str">
        <f t="shared" si="37"/>
        <v>TA</v>
      </c>
      <c r="D354" s="194">
        <v>46082</v>
      </c>
      <c r="E354" s="172">
        <v>1760000</v>
      </c>
      <c r="F354" s="249" t="s">
        <v>417</v>
      </c>
      <c r="G354" s="190" t="s">
        <v>422</v>
      </c>
      <c r="H354" s="189" t="s">
        <v>433</v>
      </c>
      <c r="I354" s="166" t="str">
        <f>IFERROR(VLOOKUP(H354,DATOS!$E$117:$F$168,2,0),"")</f>
        <v>H10586</v>
      </c>
      <c r="J354" s="191">
        <v>0.8</v>
      </c>
      <c r="K354" s="192">
        <f t="shared" si="38"/>
        <v>19</v>
      </c>
      <c r="L354" s="194">
        <v>46063</v>
      </c>
      <c r="M354" s="189">
        <f t="shared" si="39"/>
        <v>19</v>
      </c>
      <c r="N354" s="176">
        <v>0.65</v>
      </c>
      <c r="O354" s="112" t="s">
        <v>484</v>
      </c>
      <c r="P354" s="249" t="str">
        <f>+UPPER(TEXT(Tabla4[[#This Row],[transferencia]],"mmmm"))</f>
        <v>MARZO</v>
      </c>
      <c r="Q354" s="249" t="s">
        <v>347</v>
      </c>
      <c r="R354"/>
      <c r="S354" s="249"/>
      <c r="T354" s="249"/>
      <c r="U354" s="249"/>
      <c r="V354" s="249"/>
      <c r="W354" s="249"/>
      <c r="X354" s="249"/>
      <c r="Y354" s="249"/>
      <c r="Z354" s="249"/>
    </row>
    <row r="355" spans="1:26" s="152" customFormat="1" hidden="1" x14ac:dyDescent="0.25">
      <c r="A355" s="112" t="str">
        <f>+Tabla4[[#This Row],[PISCINA]]&amp;Tabla4[[#This Row],[AGUAJE]]</f>
        <v>PR 24AGUAJE 8</v>
      </c>
      <c r="B355" s="112" t="s">
        <v>155</v>
      </c>
      <c r="C355" s="249" t="str">
        <f t="shared" si="37"/>
        <v>PR</v>
      </c>
      <c r="D355" s="194">
        <v>46046</v>
      </c>
      <c r="E355" s="172">
        <v>1050000</v>
      </c>
      <c r="F355" s="249" t="s">
        <v>417</v>
      </c>
      <c r="G355" s="190" t="s">
        <v>422</v>
      </c>
      <c r="H355" s="189" t="s">
        <v>506</v>
      </c>
      <c r="I355" s="166" t="str">
        <f>IFERROR(VLOOKUP(H355,DATOS!$E$117:$F$168,2,0),"")</f>
        <v>H10533F</v>
      </c>
      <c r="J355" s="191">
        <v>0.52500000000000002</v>
      </c>
      <c r="K355" s="192">
        <f t="shared" si="38"/>
        <v>16</v>
      </c>
      <c r="L355" s="194">
        <v>46030</v>
      </c>
      <c r="M355" s="189">
        <f t="shared" si="39"/>
        <v>16</v>
      </c>
      <c r="N355" s="176">
        <v>0.35</v>
      </c>
      <c r="O355" s="112" t="s">
        <v>686</v>
      </c>
      <c r="P355" s="249" t="str">
        <f>+UPPER(TEXT(Tabla4[[#This Row],[transferencia]],"mmmm"))</f>
        <v>ENERO</v>
      </c>
      <c r="Q355" t="s">
        <v>334</v>
      </c>
      <c r="R355"/>
      <c r="S355" s="249"/>
      <c r="T355" s="249"/>
      <c r="U355" s="249"/>
      <c r="V355" s="249"/>
      <c r="W355" s="249"/>
      <c r="X355" s="249"/>
      <c r="Y355" s="249"/>
      <c r="Z355" s="249"/>
    </row>
    <row r="356" spans="1:26" s="152" customFormat="1" hidden="1" x14ac:dyDescent="0.25">
      <c r="A356" s="112" t="str">
        <f>+Tabla4[[#This Row],[PISCINA]]&amp;Tabla4[[#This Row],[AGUAJE]]</f>
        <v>PR 27AGUAJE 8</v>
      </c>
      <c r="B356" s="112" t="s">
        <v>161</v>
      </c>
      <c r="C356" s="249" t="str">
        <f t="shared" si="37"/>
        <v>PR</v>
      </c>
      <c r="D356" s="194">
        <v>46053</v>
      </c>
      <c r="E356" s="172">
        <v>1207500</v>
      </c>
      <c r="F356" s="249" t="s">
        <v>417</v>
      </c>
      <c r="G356" s="190" t="s">
        <v>687</v>
      </c>
      <c r="H356" s="189" t="s">
        <v>687</v>
      </c>
      <c r="I356" s="166" t="str">
        <f>IFERROR(VLOOKUP(H356,DATOS!$E$117:$F$168,2,0),"")</f>
        <v/>
      </c>
      <c r="J356" s="191">
        <v>0.54890000000000005</v>
      </c>
      <c r="K356" s="192">
        <f t="shared" si="38"/>
        <v>15</v>
      </c>
      <c r="L356" s="194">
        <v>46038</v>
      </c>
      <c r="M356" s="189">
        <f t="shared" si="39"/>
        <v>15</v>
      </c>
      <c r="N356" s="176">
        <v>0.3</v>
      </c>
      <c r="O356" s="112" t="s">
        <v>524</v>
      </c>
      <c r="P356" s="249" t="str">
        <f>+UPPER(TEXT(Tabla4[[#This Row],[transferencia]],"mmmm"))</f>
        <v>ENERO</v>
      </c>
      <c r="Q356" t="s">
        <v>334</v>
      </c>
      <c r="R356"/>
      <c r="S356" s="249"/>
      <c r="T356" s="249"/>
      <c r="U356" s="249"/>
      <c r="V356" s="249"/>
      <c r="W356" s="249"/>
      <c r="X356" s="249"/>
      <c r="Y356" s="249"/>
      <c r="Z356" s="249"/>
    </row>
    <row r="357" spans="1:26" s="152" customFormat="1" hidden="1" x14ac:dyDescent="0.25">
      <c r="A357" s="112" t="str">
        <f>+Tabla4[[#This Row],[PISCINA]]&amp;Tabla4[[#This Row],[AGUAJE]]</f>
        <v>PR 29AGUAJE 8</v>
      </c>
      <c r="B357" s="112" t="s">
        <v>146</v>
      </c>
      <c r="C357" s="249" t="str">
        <f t="shared" si="37"/>
        <v>PR</v>
      </c>
      <c r="D357" s="194">
        <v>46054</v>
      </c>
      <c r="E357" s="172">
        <v>889000</v>
      </c>
      <c r="F357" s="249" t="s">
        <v>417</v>
      </c>
      <c r="G357" s="190" t="s">
        <v>422</v>
      </c>
      <c r="H357" s="189" t="s">
        <v>433</v>
      </c>
      <c r="I357" s="166" t="str">
        <f>IFERROR(VLOOKUP(H357,DATOS!$E$117:$F$168,2,0),"")</f>
        <v>H10586</v>
      </c>
      <c r="J357" s="191">
        <v>0.49509999999999998</v>
      </c>
      <c r="K357" s="192">
        <f t="shared" si="38"/>
        <v>19</v>
      </c>
      <c r="L357" s="194">
        <v>46035</v>
      </c>
      <c r="M357" s="189">
        <f t="shared" si="39"/>
        <v>19</v>
      </c>
      <c r="N357" s="176">
        <v>0.5</v>
      </c>
      <c r="O357" s="112" t="s">
        <v>688</v>
      </c>
      <c r="P357" s="249" t="str">
        <f>+UPPER(TEXT(Tabla4[[#This Row],[transferencia]],"mmmm"))</f>
        <v>FEBRERO</v>
      </c>
      <c r="Q357" t="s">
        <v>334</v>
      </c>
      <c r="R357"/>
      <c r="S357" s="249"/>
      <c r="T357" s="249"/>
      <c r="U357" s="249"/>
      <c r="V357" s="249"/>
      <c r="W357" s="249"/>
      <c r="X357" s="249"/>
      <c r="Y357" s="249"/>
      <c r="Z357" s="249"/>
    </row>
    <row r="358" spans="1:26" s="152" customFormat="1" hidden="1" x14ac:dyDescent="0.25">
      <c r="A358" s="112" t="str">
        <f>+Tabla4[[#This Row],[PISCINA]]&amp;Tabla4[[#This Row],[AGUAJE]]</f>
        <v>PR 31AGUAJE 8</v>
      </c>
      <c r="B358" s="112" t="s">
        <v>149</v>
      </c>
      <c r="C358" s="249" t="str">
        <f t="shared" si="37"/>
        <v>PR</v>
      </c>
      <c r="D358" s="194">
        <v>46054</v>
      </c>
      <c r="E358" s="172">
        <v>1141000</v>
      </c>
      <c r="F358" s="249" t="s">
        <v>417</v>
      </c>
      <c r="G358" s="190" t="s">
        <v>422</v>
      </c>
      <c r="H358" s="189" t="s">
        <v>433</v>
      </c>
      <c r="I358" s="166" t="str">
        <f>IFERROR(VLOOKUP(H358,DATOS!$E$117:$F$168,2,0),"")</f>
        <v>H10586</v>
      </c>
      <c r="J358" s="191">
        <v>0.49509999999999998</v>
      </c>
      <c r="K358" s="192">
        <f t="shared" si="38"/>
        <v>19</v>
      </c>
      <c r="L358" s="194">
        <v>46035</v>
      </c>
      <c r="M358" s="189">
        <f t="shared" si="39"/>
        <v>19</v>
      </c>
      <c r="N358" s="176">
        <v>0.5</v>
      </c>
      <c r="O358" s="112" t="s">
        <v>688</v>
      </c>
      <c r="P358" s="249" t="str">
        <f>+UPPER(TEXT(Tabla4[[#This Row],[transferencia]],"mmmm"))</f>
        <v>FEBRERO</v>
      </c>
      <c r="Q358" t="s">
        <v>334</v>
      </c>
      <c r="R358"/>
      <c r="S358" s="249"/>
      <c r="T358" s="249"/>
      <c r="U358" s="249"/>
      <c r="V358" s="249"/>
      <c r="W358" s="249"/>
      <c r="X358" s="249"/>
      <c r="Y358" s="249"/>
      <c r="Z358" s="249"/>
    </row>
    <row r="359" spans="1:26" s="152" customFormat="1" hidden="1" x14ac:dyDescent="0.25">
      <c r="A359" s="112" t="str">
        <f>+Tabla4[[#This Row],[PISCINA]]&amp;Tabla4[[#This Row],[AGUAJE]]</f>
        <v>PR 32AGUAJE 8</v>
      </c>
      <c r="B359" s="112" t="s">
        <v>165</v>
      </c>
      <c r="C359" s="249" t="str">
        <f t="shared" si="37"/>
        <v>PR</v>
      </c>
      <c r="D359" s="194">
        <v>46055</v>
      </c>
      <c r="E359" s="172">
        <v>1155000</v>
      </c>
      <c r="F359" s="249" t="s">
        <v>417</v>
      </c>
      <c r="G359" s="190" t="s">
        <v>422</v>
      </c>
      <c r="H359" s="189" t="s">
        <v>433</v>
      </c>
      <c r="I359" s="166" t="str">
        <f>IFERROR(VLOOKUP(H359,DATOS!$E$117:$F$168,2,0),"")</f>
        <v>H10586</v>
      </c>
      <c r="J359" s="191">
        <v>0.52500000000000002</v>
      </c>
      <c r="K359" s="192">
        <f t="shared" si="38"/>
        <v>16</v>
      </c>
      <c r="L359" s="194">
        <v>46039</v>
      </c>
      <c r="M359" s="189">
        <f t="shared" si="39"/>
        <v>16</v>
      </c>
      <c r="N359" s="176">
        <v>0.35</v>
      </c>
      <c r="O359" s="112" t="s">
        <v>451</v>
      </c>
      <c r="P359" s="249" t="str">
        <f>+UPPER(TEXT(Tabla4[[#This Row],[transferencia]],"mmmm"))</f>
        <v>FEBRERO</v>
      </c>
      <c r="Q359" s="249" t="s">
        <v>334</v>
      </c>
      <c r="R359"/>
      <c r="S359" s="249"/>
      <c r="T359" s="249"/>
      <c r="U359" s="249"/>
      <c r="V359" s="249"/>
      <c r="W359" s="249"/>
      <c r="X359" s="249"/>
      <c r="Y359" s="249"/>
      <c r="Z359" s="249"/>
    </row>
    <row r="360" spans="1:26" s="152" customFormat="1" hidden="1" x14ac:dyDescent="0.25">
      <c r="A360" s="112" t="str">
        <f>+Tabla4[[#This Row],[PISCINA]]&amp;Tabla4[[#This Row],[AGUAJE]]</f>
        <v>TI 13AGUAJE 8</v>
      </c>
      <c r="B360" s="112" t="s">
        <v>179</v>
      </c>
      <c r="C360" s="249" t="str">
        <f t="shared" ref="C360:C365" si="40">+MID(A360,1,2)</f>
        <v>TI</v>
      </c>
      <c r="D360" s="194">
        <v>46051</v>
      </c>
      <c r="E360" s="172">
        <v>766700</v>
      </c>
      <c r="F360" t="s">
        <v>417</v>
      </c>
      <c r="G360" s="190" t="s">
        <v>418</v>
      </c>
      <c r="H360" s="189" t="s">
        <v>418</v>
      </c>
      <c r="I360" s="166" t="str">
        <f>IFERROR(VLOOKUP(H360,DATOS!$E$117:$F$168,2,0),"")</f>
        <v>H10234</v>
      </c>
      <c r="J360" s="191">
        <v>0.9</v>
      </c>
      <c r="K360" s="192">
        <f t="shared" ref="K360:K365" si="41">+D360-L360</f>
        <v>22</v>
      </c>
      <c r="L360" s="194">
        <v>46029</v>
      </c>
      <c r="M360" s="189">
        <f t="shared" ref="M360:M365" si="42">+D360-L360</f>
        <v>22</v>
      </c>
      <c r="N360" s="176">
        <v>0.55000000000000004</v>
      </c>
      <c r="O360" s="112" t="s">
        <v>689</v>
      </c>
      <c r="P360" s="249" t="str">
        <f>+UPPER(TEXT(Tabla4[[#This Row],[transferencia]],"mmmm"))</f>
        <v>ENERO</v>
      </c>
      <c r="Q360" t="s">
        <v>334</v>
      </c>
      <c r="R360"/>
      <c r="S360" s="249"/>
      <c r="T360" s="249"/>
      <c r="U360" s="249"/>
      <c r="V360" s="249"/>
      <c r="W360" s="249"/>
      <c r="X360" s="249"/>
      <c r="Y360" s="249"/>
      <c r="Z360" s="249"/>
    </row>
    <row r="361" spans="1:26" s="152" customFormat="1" hidden="1" x14ac:dyDescent="0.25">
      <c r="A361" s="112" t="str">
        <f>+Tabla4[[#This Row],[PISCINA]]&amp;Tabla4[[#This Row],[AGUAJE]]</f>
        <v>TI 14AGUAJE 8</v>
      </c>
      <c r="B361" s="112" t="s">
        <v>160</v>
      </c>
      <c r="C361" s="249" t="str">
        <f t="shared" si="40"/>
        <v>TI</v>
      </c>
      <c r="D361" s="194">
        <v>46047</v>
      </c>
      <c r="E361" s="172">
        <v>799000</v>
      </c>
      <c r="F361" t="s">
        <v>417</v>
      </c>
      <c r="G361" s="190" t="s">
        <v>422</v>
      </c>
      <c r="H361" s="189" t="s">
        <v>506</v>
      </c>
      <c r="I361" s="166" t="str">
        <f>IFERROR(VLOOKUP(H361,DATOS!$E$117:$F$168,2,0),"")</f>
        <v>H10533F</v>
      </c>
      <c r="J361" s="191">
        <v>0.72640000000000005</v>
      </c>
      <c r="K361" s="192">
        <f t="shared" si="41"/>
        <v>17</v>
      </c>
      <c r="L361" s="194">
        <v>46030</v>
      </c>
      <c r="M361" s="189">
        <f t="shared" si="42"/>
        <v>17</v>
      </c>
      <c r="N361" s="176">
        <v>0.36</v>
      </c>
      <c r="O361" s="112" t="s">
        <v>620</v>
      </c>
      <c r="P361" s="249" t="str">
        <f>+UPPER(TEXT(Tabla4[[#This Row],[transferencia]],"mmmm"))</f>
        <v>ENERO</v>
      </c>
      <c r="Q361" t="s">
        <v>334</v>
      </c>
      <c r="R361"/>
      <c r="S361" s="249"/>
      <c r="T361" s="249"/>
      <c r="U361" s="249"/>
      <c r="V361" s="249"/>
      <c r="W361" s="249"/>
      <c r="X361" s="249"/>
      <c r="Y361" s="249"/>
      <c r="Z361" s="249"/>
    </row>
    <row r="362" spans="1:26" s="152" customFormat="1" hidden="1" x14ac:dyDescent="0.25">
      <c r="A362" s="112" t="str">
        <f>+Tabla4[[#This Row],[PISCINA]]&amp;Tabla4[[#This Row],[AGUAJE]]</f>
        <v>GT 05AGUAJE 8</v>
      </c>
      <c r="B362" s="112" t="s">
        <v>153</v>
      </c>
      <c r="C362" s="249" t="str">
        <f t="shared" si="40"/>
        <v>GT</v>
      </c>
      <c r="D362" s="194">
        <v>46045</v>
      </c>
      <c r="E362" s="172">
        <v>645000</v>
      </c>
      <c r="F362" t="s">
        <v>417</v>
      </c>
      <c r="G362" s="190" t="s">
        <v>422</v>
      </c>
      <c r="H362" s="189" t="s">
        <v>528</v>
      </c>
      <c r="I362" s="166" t="str">
        <f>IFERROR(VLOOKUP(H362,DATOS!$E$117:$F$168,2,0),"")</f>
        <v>H10534A</v>
      </c>
      <c r="J362" s="191">
        <v>0.85209999999999997</v>
      </c>
      <c r="K362" s="192">
        <f t="shared" si="41"/>
        <v>20</v>
      </c>
      <c r="L362" s="194">
        <v>46025</v>
      </c>
      <c r="M362" s="189">
        <f t="shared" si="42"/>
        <v>20</v>
      </c>
      <c r="N362" s="176">
        <v>0.56999999999999995</v>
      </c>
      <c r="O362" s="112" t="s">
        <v>690</v>
      </c>
      <c r="P362" s="249" t="str">
        <f>+UPPER(TEXT(Tabla4[[#This Row],[transferencia]],"mmmm"))</f>
        <v>ENERO</v>
      </c>
      <c r="Q362" t="s">
        <v>334</v>
      </c>
      <c r="R362"/>
      <c r="S362" s="249"/>
      <c r="T362" s="249"/>
      <c r="U362" s="249"/>
      <c r="V362" s="249"/>
      <c r="W362" s="249"/>
      <c r="X362" s="249"/>
      <c r="Y362" s="249"/>
      <c r="Z362" s="249"/>
    </row>
    <row r="363" spans="1:26" s="152" customFormat="1" hidden="1" x14ac:dyDescent="0.25">
      <c r="A363" s="112" t="str">
        <f>+Tabla4[[#This Row],[PISCINA]]&amp;Tabla4[[#This Row],[AGUAJE]]</f>
        <v>DE 22AGUAJE 9</v>
      </c>
      <c r="B363" s="112" t="s">
        <v>187</v>
      </c>
      <c r="C363" t="str">
        <f t="shared" si="40"/>
        <v>DE</v>
      </c>
      <c r="D363" s="194">
        <v>46061</v>
      </c>
      <c r="E363" s="172">
        <v>798000</v>
      </c>
      <c r="F363" t="s">
        <v>417</v>
      </c>
      <c r="G363" s="190" t="s">
        <v>422</v>
      </c>
      <c r="H363" s="189" t="s">
        <v>490</v>
      </c>
      <c r="I363" s="166">
        <f>IFERROR(VLOOKUP(H363,DATOS!$E$117:$F$168,2,0),"")</f>
        <v>0</v>
      </c>
      <c r="J363" s="191">
        <v>0.54110000000000003</v>
      </c>
      <c r="K363" s="192">
        <f t="shared" si="41"/>
        <v>21</v>
      </c>
      <c r="L363" s="194">
        <v>46040</v>
      </c>
      <c r="M363" s="189">
        <f t="shared" si="42"/>
        <v>21</v>
      </c>
      <c r="N363" s="176">
        <v>0.65</v>
      </c>
      <c r="O363" s="112" t="s">
        <v>628</v>
      </c>
      <c r="P363" t="str">
        <f>+UPPER(TEXT(Tabla4[[#This Row],[transferencia]],"mmmm"))</f>
        <v>FEBRERO</v>
      </c>
      <c r="Q363" t="s">
        <v>346</v>
      </c>
      <c r="R363"/>
      <c r="S363" s="249"/>
      <c r="T363" s="249"/>
      <c r="U363" s="249"/>
      <c r="V363" s="249"/>
      <c r="W363" s="249"/>
      <c r="X363" s="249"/>
      <c r="Y363" s="249"/>
      <c r="Z363" s="249"/>
    </row>
    <row r="364" spans="1:26" s="152" customFormat="1" hidden="1" x14ac:dyDescent="0.25">
      <c r="A364" s="112" t="str">
        <f>+Tabla4[[#This Row],[PISCINA]]&amp;Tabla4[[#This Row],[AGUAJE]]</f>
        <v>DE 21AGUAJE 9</v>
      </c>
      <c r="B364" s="112" t="s">
        <v>193</v>
      </c>
      <c r="C364" t="str">
        <f t="shared" si="40"/>
        <v>DE</v>
      </c>
      <c r="D364" s="194">
        <v>46061</v>
      </c>
      <c r="E364" s="172">
        <v>648000</v>
      </c>
      <c r="F364" t="s">
        <v>417</v>
      </c>
      <c r="G364" s="190" t="s">
        <v>422</v>
      </c>
      <c r="H364" s="189" t="s">
        <v>490</v>
      </c>
      <c r="I364" s="166">
        <f>IFERROR(VLOOKUP(H364,DATOS!$E$117:$F$168,2,0),"")</f>
        <v>0</v>
      </c>
      <c r="J364" s="191">
        <v>0.54110000000000003</v>
      </c>
      <c r="K364" s="192">
        <f t="shared" si="41"/>
        <v>21</v>
      </c>
      <c r="L364" s="194">
        <v>46040</v>
      </c>
      <c r="M364" s="189">
        <f t="shared" si="42"/>
        <v>21</v>
      </c>
      <c r="N364" s="176">
        <v>0.65</v>
      </c>
      <c r="O364" s="112" t="s">
        <v>628</v>
      </c>
      <c r="P364" t="str">
        <f>+UPPER(TEXT(Tabla4[[#This Row],[transferencia]],"mmmm"))</f>
        <v>FEBRERO</v>
      </c>
      <c r="Q364" t="s">
        <v>346</v>
      </c>
      <c r="R364"/>
      <c r="S364" s="249"/>
      <c r="T364" s="249"/>
      <c r="U364" s="249"/>
      <c r="V364" s="249"/>
      <c r="W364" s="249"/>
      <c r="X364" s="249"/>
      <c r="Y364" s="249"/>
      <c r="Z364" s="249"/>
    </row>
    <row r="365" spans="1:26" s="152" customFormat="1" hidden="1" x14ac:dyDescent="0.25">
      <c r="A365" s="112" t="str">
        <f>+Tabla4[[#This Row],[PISCINA]]&amp;Tabla4[[#This Row],[AGUAJE]]</f>
        <v>DE 24AGUAJE 8</v>
      </c>
      <c r="B365" s="112" t="s">
        <v>182</v>
      </c>
      <c r="C365" t="str">
        <f t="shared" si="40"/>
        <v>DE</v>
      </c>
      <c r="D365" s="194">
        <v>46061</v>
      </c>
      <c r="E365" s="172">
        <v>583000</v>
      </c>
      <c r="F365" t="s">
        <v>417</v>
      </c>
      <c r="G365" s="190" t="s">
        <v>422</v>
      </c>
      <c r="H365" s="189" t="s">
        <v>490</v>
      </c>
      <c r="I365" s="166">
        <f>IFERROR(VLOOKUP(H365,DATOS!$E$117:$F$168,2,0),"")</f>
        <v>0</v>
      </c>
      <c r="J365" s="191">
        <v>0.54110000000000003</v>
      </c>
      <c r="K365" s="192">
        <f t="shared" si="41"/>
        <v>21</v>
      </c>
      <c r="L365" s="194">
        <v>46040</v>
      </c>
      <c r="M365" s="189">
        <f t="shared" si="42"/>
        <v>21</v>
      </c>
      <c r="N365" s="176">
        <v>0.65</v>
      </c>
      <c r="O365" s="112" t="s">
        <v>628</v>
      </c>
      <c r="P365" t="str">
        <f>+UPPER(TEXT(Tabla4[[#This Row],[transferencia]],"mmmm"))</f>
        <v>FEBRERO</v>
      </c>
      <c r="Q365" t="s">
        <v>334</v>
      </c>
      <c r="R365"/>
      <c r="S365" s="249"/>
      <c r="T365" s="249"/>
      <c r="U365" s="249"/>
      <c r="V365" s="249"/>
      <c r="W365" s="249"/>
      <c r="X365" s="249"/>
      <c r="Y365" s="249"/>
      <c r="Z365" s="249"/>
    </row>
    <row r="366" spans="1:26" s="152" customFormat="1" hidden="1" x14ac:dyDescent="0.25">
      <c r="A366" s="112" t="str">
        <f>+Tabla4[[#This Row],[PISCINA]]&amp;Tabla4[[#This Row],[AGUAJE]]</f>
        <v>TA 15AGUAJE 8</v>
      </c>
      <c r="B366" s="112" t="s">
        <v>176</v>
      </c>
      <c r="C366" s="249" t="str">
        <f t="shared" ref="C366:C380" si="43">+MID(A366,1,2)</f>
        <v>TA</v>
      </c>
      <c r="D366" s="194">
        <v>46054</v>
      </c>
      <c r="E366" s="172">
        <v>900000</v>
      </c>
      <c r="F366" t="s">
        <v>417</v>
      </c>
      <c r="G366" s="190" t="s">
        <v>418</v>
      </c>
      <c r="H366" s="189" t="s">
        <v>418</v>
      </c>
      <c r="I366" s="166" t="str">
        <f>IFERROR(VLOOKUP(H366,DATOS!$E$117:$F$168,2,0),"")</f>
        <v>H10234</v>
      </c>
      <c r="J366" s="191">
        <v>0.75</v>
      </c>
      <c r="K366" s="192">
        <f t="shared" ref="K366:K380" si="44">+D366-L366</f>
        <v>16</v>
      </c>
      <c r="L366" s="194">
        <v>46038</v>
      </c>
      <c r="M366" s="189">
        <f t="shared" ref="M366:M380" si="45">+D366-L366</f>
        <v>16</v>
      </c>
      <c r="N366" s="176">
        <v>0.42</v>
      </c>
      <c r="O366" s="112" t="s">
        <v>691</v>
      </c>
      <c r="P366" s="249" t="str">
        <f>+UPPER(TEXT(Tabla4[[#This Row],[transferencia]],"mmmm"))</f>
        <v>FEBRERO</v>
      </c>
      <c r="Q366" s="249" t="s">
        <v>334</v>
      </c>
      <c r="R366"/>
      <c r="S366" s="249"/>
      <c r="T366" s="249"/>
      <c r="U366" s="249"/>
      <c r="V366" s="249"/>
      <c r="W366" s="249"/>
      <c r="X366" s="249"/>
      <c r="Y366" s="249"/>
      <c r="Z366" s="249"/>
    </row>
    <row r="367" spans="1:26" s="152" customFormat="1" hidden="1" x14ac:dyDescent="0.25">
      <c r="A367" s="112" t="str">
        <f>+Tabla4[[#This Row],[PISCINA]]&amp;Tabla4[[#This Row],[AGUAJE]]</f>
        <v>TA 27AGUAJE 8</v>
      </c>
      <c r="B367" s="112" t="s">
        <v>168</v>
      </c>
      <c r="C367" s="249" t="str">
        <f t="shared" si="43"/>
        <v>TA</v>
      </c>
      <c r="D367" s="194">
        <v>46053</v>
      </c>
      <c r="E367" s="172">
        <v>977500</v>
      </c>
      <c r="F367" t="s">
        <v>417</v>
      </c>
      <c r="G367" s="190" t="s">
        <v>422</v>
      </c>
      <c r="H367" s="189" t="s">
        <v>433</v>
      </c>
      <c r="I367" s="166" t="str">
        <f>IFERROR(VLOOKUP(H367,DATOS!$E$117:$F$168,2,0),"")</f>
        <v>H10586</v>
      </c>
      <c r="J367" s="191">
        <v>0.81459999999999999</v>
      </c>
      <c r="K367" s="192">
        <f t="shared" si="44"/>
        <v>14</v>
      </c>
      <c r="L367" s="194">
        <v>46039</v>
      </c>
      <c r="M367" s="189">
        <f t="shared" si="45"/>
        <v>14</v>
      </c>
      <c r="N367" s="176">
        <v>0.2</v>
      </c>
      <c r="O367" s="112" t="s">
        <v>617</v>
      </c>
      <c r="P367" s="249" t="str">
        <f>+UPPER(TEXT(Tabla4[[#This Row],[transferencia]],"mmmm"))</f>
        <v>ENERO</v>
      </c>
      <c r="Q367" s="249" t="s">
        <v>334</v>
      </c>
      <c r="R367"/>
      <c r="S367" s="249"/>
      <c r="T367" s="249"/>
      <c r="U367" s="249"/>
      <c r="V367" s="249"/>
      <c r="W367" s="249"/>
      <c r="X367" s="249"/>
      <c r="Y367" s="249"/>
      <c r="Z367" s="249"/>
    </row>
    <row r="368" spans="1:26" s="152" customFormat="1" hidden="1" x14ac:dyDescent="0.25">
      <c r="A368" s="112" t="str">
        <f>+Tabla4[[#This Row],[PISCINA]]&amp;Tabla4[[#This Row],[AGUAJE]]</f>
        <v>RO 14AGUAJE 7</v>
      </c>
      <c r="B368" s="112" t="s">
        <v>198</v>
      </c>
      <c r="C368" t="str">
        <f t="shared" si="43"/>
        <v>RO</v>
      </c>
      <c r="D368" s="194">
        <v>46066</v>
      </c>
      <c r="E368" s="172">
        <v>1656000</v>
      </c>
      <c r="F368" t="s">
        <v>417</v>
      </c>
      <c r="G368" s="190" t="s">
        <v>422</v>
      </c>
      <c r="H368" s="189" t="s">
        <v>431</v>
      </c>
      <c r="I368" s="166" t="str">
        <f>IFERROR(VLOOKUP(H368,DATOS!$E$117:$F$168,2,0),"")</f>
        <v>H10534B</v>
      </c>
      <c r="J368" s="191">
        <v>0.72</v>
      </c>
      <c r="K368" s="192">
        <f t="shared" si="44"/>
        <v>21</v>
      </c>
      <c r="L368" s="194">
        <v>46045</v>
      </c>
      <c r="M368" s="189">
        <f t="shared" si="45"/>
        <v>21</v>
      </c>
      <c r="N368" s="176">
        <v>0.5</v>
      </c>
      <c r="O368" s="112" t="s">
        <v>692</v>
      </c>
      <c r="P368" t="str">
        <f>+UPPER(TEXT(Tabla4[[#This Row],[transferencia]],"mmmm"))</f>
        <v>FEBRERO</v>
      </c>
      <c r="Q368" t="s">
        <v>319</v>
      </c>
      <c r="R368"/>
      <c r="S368" s="249"/>
      <c r="T368" s="249"/>
      <c r="U368" s="249"/>
      <c r="V368" s="249"/>
      <c r="W368" s="249"/>
      <c r="X368" s="249"/>
      <c r="Y368" s="249"/>
      <c r="Z368" s="249"/>
    </row>
    <row r="369" spans="1:26" s="152" customFormat="1" hidden="1" x14ac:dyDescent="0.25">
      <c r="A369" s="112" t="str">
        <f>+Tabla4[[#This Row],[PISCINA]]&amp;Tabla4[[#This Row],[AGUAJE]]</f>
        <v>DE 03AGUAJE 9</v>
      </c>
      <c r="B369" s="112" t="s">
        <v>196</v>
      </c>
      <c r="C369" t="str">
        <f t="shared" si="43"/>
        <v>DE</v>
      </c>
      <c r="D369" s="194">
        <v>46063</v>
      </c>
      <c r="E369" s="172">
        <v>798000</v>
      </c>
      <c r="F369" t="s">
        <v>417</v>
      </c>
      <c r="G369" s="190" t="s">
        <v>422</v>
      </c>
      <c r="H369" s="189" t="s">
        <v>616</v>
      </c>
      <c r="I369" s="166" t="str">
        <f>IFERROR(VLOOKUP(H369,DATOS!$E$117:$F$168,2,0),"")</f>
        <v>H10598D</v>
      </c>
      <c r="J369" s="191">
        <v>0.58730000000000004</v>
      </c>
      <c r="K369" s="192">
        <f t="shared" si="44"/>
        <v>21</v>
      </c>
      <c r="L369" s="194">
        <v>46042</v>
      </c>
      <c r="M369" s="189">
        <f t="shared" si="45"/>
        <v>21</v>
      </c>
      <c r="N369" s="176">
        <v>0.55000000000000004</v>
      </c>
      <c r="O369" s="112" t="s">
        <v>693</v>
      </c>
      <c r="P369" t="str">
        <f>+UPPER(TEXT(Tabla4[[#This Row],[transferencia]],"mmmm"))</f>
        <v>FEBRERO</v>
      </c>
      <c r="Q369" t="s">
        <v>346</v>
      </c>
      <c r="R369"/>
      <c r="S369" s="249"/>
      <c r="T369" s="249"/>
      <c r="U369" s="249"/>
      <c r="V369" s="249"/>
      <c r="W369" s="249"/>
      <c r="X369" s="249"/>
      <c r="Y369" s="249"/>
      <c r="Z369" s="249"/>
    </row>
    <row r="370" spans="1:26" s="152" customFormat="1" hidden="1" x14ac:dyDescent="0.25">
      <c r="A370" s="112" t="str">
        <f>+Tabla4[[#This Row],[PISCINA]]&amp;Tabla4[[#This Row],[AGUAJE]]</f>
        <v>DE 07AGUAJE 9</v>
      </c>
      <c r="B370" s="112" t="s">
        <v>174</v>
      </c>
      <c r="C370" t="str">
        <f t="shared" si="43"/>
        <v>DE</v>
      </c>
      <c r="D370" s="194">
        <v>46057</v>
      </c>
      <c r="E370" s="172">
        <f>409200+920700</f>
        <v>1329900</v>
      </c>
      <c r="F370" t="s">
        <v>417</v>
      </c>
      <c r="G370" s="190" t="s">
        <v>418</v>
      </c>
      <c r="H370" s="189" t="s">
        <v>418</v>
      </c>
      <c r="I370" s="166" t="str">
        <f>IFERROR(VLOOKUP(H370,DATOS!$E$117:$F$168,2,0),"")</f>
        <v>H10234</v>
      </c>
      <c r="J370" s="191">
        <v>0.58589999999999998</v>
      </c>
      <c r="K370" s="192">
        <f t="shared" si="44"/>
        <v>19</v>
      </c>
      <c r="L370" s="194">
        <v>46038</v>
      </c>
      <c r="M370" s="189">
        <f t="shared" si="45"/>
        <v>19</v>
      </c>
      <c r="N370" s="176">
        <v>0.5</v>
      </c>
      <c r="O370" s="112" t="s">
        <v>694</v>
      </c>
      <c r="P370" t="str">
        <f>+UPPER(TEXT(Tabla4[[#This Row],[transferencia]],"mmmm"))</f>
        <v>FEBRERO</v>
      </c>
      <c r="Q370" t="s">
        <v>346</v>
      </c>
      <c r="R370"/>
      <c r="S370" s="249"/>
      <c r="T370" s="249"/>
      <c r="U370" s="249"/>
      <c r="V370" s="249"/>
      <c r="W370" s="249"/>
      <c r="X370" s="249"/>
      <c r="Y370" s="249"/>
      <c r="Z370" s="249"/>
    </row>
    <row r="371" spans="1:26" s="152" customFormat="1" hidden="1" x14ac:dyDescent="0.25">
      <c r="A371" s="112" t="str">
        <f>+Tabla4[[#This Row],[PISCINA]]&amp;Tabla4[[#This Row],[AGUAJE]]</f>
        <v>TA 13AGUAJE 8</v>
      </c>
      <c r="B371" s="112" t="s">
        <v>171</v>
      </c>
      <c r="C371" s="249" t="str">
        <f t="shared" si="43"/>
        <v>TA</v>
      </c>
      <c r="D371" s="194">
        <v>46056</v>
      </c>
      <c r="E371" s="172">
        <v>672000</v>
      </c>
      <c r="F371" t="s">
        <v>417</v>
      </c>
      <c r="G371" s="190" t="s">
        <v>422</v>
      </c>
      <c r="H371" s="189" t="s">
        <v>433</v>
      </c>
      <c r="I371" s="166" t="str">
        <f>IFERROR(VLOOKUP(H371,DATOS!$E$117:$F$168,2,0),"")</f>
        <v>H10586</v>
      </c>
      <c r="J371" s="191">
        <v>0.77400000000000002</v>
      </c>
      <c r="K371" s="192">
        <f t="shared" si="44"/>
        <v>17</v>
      </c>
      <c r="L371" s="194">
        <v>46039</v>
      </c>
      <c r="M371" s="189">
        <f t="shared" si="45"/>
        <v>17</v>
      </c>
      <c r="N371" s="176">
        <v>0.33</v>
      </c>
      <c r="O371" s="112" t="s">
        <v>695</v>
      </c>
      <c r="P371" s="249" t="str">
        <f>+UPPER(TEXT(Tabla4[[#This Row],[transferencia]],"mmmm"))</f>
        <v>FEBRERO</v>
      </c>
      <c r="Q371" t="s">
        <v>334</v>
      </c>
      <c r="R371" s="249"/>
      <c r="S371" s="249"/>
      <c r="T371" s="249"/>
      <c r="U371" s="249"/>
      <c r="V371" s="249"/>
      <c r="W371" s="249"/>
      <c r="X371" s="249"/>
      <c r="Y371" s="249"/>
      <c r="Z371" s="249"/>
    </row>
    <row r="372" spans="1:26" s="152" customFormat="1" hidden="1" x14ac:dyDescent="0.25">
      <c r="A372" s="112" t="str">
        <f>+Tabla4[[#This Row],[PISCINA]]&amp;Tabla4[[#This Row],[AGUAJE]]</f>
        <v>DO 04AGUAJE 8</v>
      </c>
      <c r="B372" s="112" t="s">
        <v>208</v>
      </c>
      <c r="C372" t="str">
        <f t="shared" si="43"/>
        <v>DO</v>
      </c>
      <c r="D372" s="194">
        <v>46064</v>
      </c>
      <c r="E372" s="172">
        <v>1765823</v>
      </c>
      <c r="F372" t="s">
        <v>417</v>
      </c>
      <c r="G372" s="190" t="s">
        <v>418</v>
      </c>
      <c r="H372" s="189" t="s">
        <v>418</v>
      </c>
      <c r="I372" s="166" t="str">
        <f>IFERROR(VLOOKUP(H372,DATOS!$E$117:$F$168,2,0),"")</f>
        <v>H10234</v>
      </c>
      <c r="J372" s="191">
        <v>0.76770000000000005</v>
      </c>
      <c r="K372" s="192">
        <f t="shared" si="44"/>
        <v>35</v>
      </c>
      <c r="L372" s="194">
        <v>46029</v>
      </c>
      <c r="M372" s="189">
        <f t="shared" si="45"/>
        <v>35</v>
      </c>
      <c r="N372" s="176">
        <v>2.37</v>
      </c>
      <c r="O372" s="112" t="s">
        <v>696</v>
      </c>
      <c r="P372" t="str">
        <f>+UPPER(TEXT(Tabla4[[#This Row],[transferencia]],"mmmm"))</f>
        <v>FEBRERO</v>
      </c>
      <c r="Q372" t="s">
        <v>334</v>
      </c>
      <c r="R372"/>
      <c r="S372" s="249"/>
      <c r="T372" s="249"/>
      <c r="U372" s="249"/>
      <c r="V372" s="249"/>
      <c r="W372" s="249"/>
      <c r="X372" s="249"/>
      <c r="Y372" s="249"/>
      <c r="Z372" s="249"/>
    </row>
    <row r="373" spans="1:26" s="152" customFormat="1" hidden="1" x14ac:dyDescent="0.25">
      <c r="A373" s="112" t="str">
        <f>+Tabla4[[#This Row],[PISCINA]]&amp;Tabla4[[#This Row],[AGUAJE]]</f>
        <v>DE 09AGUAJE 9</v>
      </c>
      <c r="B373" s="112" t="s">
        <v>177</v>
      </c>
      <c r="C373" t="str">
        <f t="shared" si="43"/>
        <v>DE</v>
      </c>
      <c r="D373" s="194">
        <v>46057</v>
      </c>
      <c r="E373" s="172">
        <v>1043000</v>
      </c>
      <c r="F373" t="s">
        <v>417</v>
      </c>
      <c r="G373" s="190" t="s">
        <v>418</v>
      </c>
      <c r="H373" s="189" t="s">
        <v>418</v>
      </c>
      <c r="I373" s="166" t="str">
        <f>IFERROR(VLOOKUP(H373,DATOS!$E$117:$F$168,2,0),"")</f>
        <v>H10234</v>
      </c>
      <c r="J373" s="191">
        <v>0.58589999999999998</v>
      </c>
      <c r="K373" s="192">
        <f t="shared" si="44"/>
        <v>19</v>
      </c>
      <c r="L373" s="194">
        <v>46038</v>
      </c>
      <c r="M373" s="189">
        <f t="shared" si="45"/>
        <v>19</v>
      </c>
      <c r="N373" s="176">
        <v>0.5</v>
      </c>
      <c r="O373" s="112" t="s">
        <v>586</v>
      </c>
      <c r="P373" t="str">
        <f>+UPPER(TEXT(Tabla4[[#This Row],[transferencia]],"mmmm"))</f>
        <v>FEBRERO</v>
      </c>
      <c r="Q373" t="s">
        <v>346</v>
      </c>
      <c r="R373"/>
      <c r="S373" s="249"/>
      <c r="T373" s="249"/>
      <c r="U373" s="249"/>
      <c r="V373" s="249"/>
      <c r="W373" s="249"/>
      <c r="X373" s="249"/>
      <c r="Y373" s="249"/>
      <c r="Z373" s="249"/>
    </row>
    <row r="374" spans="1:26" s="152" customFormat="1" hidden="1" x14ac:dyDescent="0.25">
      <c r="A374" s="112" t="str">
        <f>+Tabla4[[#This Row],[PISCINA]]&amp;Tabla4[[#This Row],[AGUAJE]]</f>
        <v>DE 20AGUAJE 9</v>
      </c>
      <c r="B374" s="112" t="s">
        <v>194</v>
      </c>
      <c r="C374" t="str">
        <f t="shared" si="43"/>
        <v>DE</v>
      </c>
      <c r="D374" s="194">
        <v>46063</v>
      </c>
      <c r="E374" s="172">
        <v>494000</v>
      </c>
      <c r="F374" t="s">
        <v>417</v>
      </c>
      <c r="G374" s="190" t="s">
        <v>422</v>
      </c>
      <c r="H374" s="189" t="s">
        <v>616</v>
      </c>
      <c r="I374" s="166" t="str">
        <f>IFERROR(VLOOKUP(H374,DATOS!$E$117:$F$168,2,0),"")</f>
        <v>H10598D</v>
      </c>
      <c r="J374" s="191">
        <v>0.58730000000000004</v>
      </c>
      <c r="K374" s="192">
        <f t="shared" si="44"/>
        <v>21</v>
      </c>
      <c r="L374" s="194">
        <v>46042</v>
      </c>
      <c r="M374" s="189">
        <f t="shared" si="45"/>
        <v>21</v>
      </c>
      <c r="N374" s="176">
        <v>0.55000000000000004</v>
      </c>
      <c r="O374" s="112" t="s">
        <v>693</v>
      </c>
      <c r="P374" t="str">
        <f>+UPPER(TEXT(Tabla4[[#This Row],[transferencia]],"mmmm"))</f>
        <v>FEBRERO</v>
      </c>
      <c r="Q374" t="s">
        <v>346</v>
      </c>
      <c r="R374"/>
      <c r="S374" s="249"/>
      <c r="T374" s="249"/>
      <c r="U374" s="249"/>
      <c r="V374" s="249"/>
      <c r="W374" s="249"/>
      <c r="X374" s="249"/>
      <c r="Y374" s="249"/>
      <c r="Z374" s="249"/>
    </row>
    <row r="375" spans="1:26" s="152" customFormat="1" hidden="1" x14ac:dyDescent="0.25">
      <c r="A375" s="112" t="str">
        <f>+Tabla4[[#This Row],[PISCINA]]&amp;Tabla4[[#This Row],[AGUAJE]]</f>
        <v>GT 18AGUAJE 8</v>
      </c>
      <c r="B375" s="112" t="s">
        <v>140</v>
      </c>
      <c r="C375" t="str">
        <f t="shared" si="43"/>
        <v>GT</v>
      </c>
      <c r="D375" s="194">
        <v>46050</v>
      </c>
      <c r="E375" s="172">
        <v>670500</v>
      </c>
      <c r="F375" t="s">
        <v>417</v>
      </c>
      <c r="G375" s="190" t="s">
        <v>422</v>
      </c>
      <c r="H375" s="189" t="s">
        <v>506</v>
      </c>
      <c r="I375" s="166" t="str">
        <f>IFERROR(VLOOKUP(H375,DATOS!$E$117:$F$168,2,0),"")</f>
        <v>H10533F</v>
      </c>
      <c r="J375" s="191">
        <v>0.8054</v>
      </c>
      <c r="K375" s="192">
        <f t="shared" si="44"/>
        <v>20</v>
      </c>
      <c r="L375" s="194">
        <v>46030</v>
      </c>
      <c r="M375" s="189">
        <f t="shared" si="45"/>
        <v>20</v>
      </c>
      <c r="N375" s="176">
        <v>0.45</v>
      </c>
      <c r="O375" s="112" t="s">
        <v>551</v>
      </c>
      <c r="P375" t="str">
        <f>+UPPER(TEXT(Tabla4[[#This Row],[transferencia]],"mmmm"))</f>
        <v>ENERO</v>
      </c>
      <c r="Q375" t="s">
        <v>334</v>
      </c>
      <c r="R375"/>
      <c r="S375" s="249"/>
      <c r="T375" s="249"/>
      <c r="U375" s="249"/>
      <c r="V375" s="249"/>
      <c r="W375" s="249"/>
      <c r="X375" s="249"/>
      <c r="Y375" s="249"/>
      <c r="Z375" s="249"/>
    </row>
    <row r="376" spans="1:26" s="152" customFormat="1" hidden="1" x14ac:dyDescent="0.25">
      <c r="A376" s="112" t="str">
        <f>+Tabla4[[#This Row],[PISCINA]]&amp;Tabla4[[#This Row],[AGUAJE]]</f>
        <v>TU 4AAGUAJE 9</v>
      </c>
      <c r="B376" s="112" t="s">
        <v>185</v>
      </c>
      <c r="C376" t="str">
        <f t="shared" si="43"/>
        <v>TU</v>
      </c>
      <c r="D376" s="194">
        <v>46059</v>
      </c>
      <c r="E376" s="172">
        <v>1178571</v>
      </c>
      <c r="F376" t="s">
        <v>417</v>
      </c>
      <c r="G376" s="190" t="s">
        <v>422</v>
      </c>
      <c r="H376" s="189" t="s">
        <v>616</v>
      </c>
      <c r="I376" s="166" t="str">
        <f>IFERROR(VLOOKUP(H376,DATOS!$E$117:$F$168,2,0),"")</f>
        <v>H10598D</v>
      </c>
      <c r="J376" s="191">
        <v>0.81100000000000005</v>
      </c>
      <c r="K376" s="192">
        <f t="shared" si="44"/>
        <v>17</v>
      </c>
      <c r="L376" s="194">
        <v>46042</v>
      </c>
      <c r="M376" s="189">
        <f t="shared" si="45"/>
        <v>17</v>
      </c>
      <c r="N376" s="176">
        <v>0.35</v>
      </c>
      <c r="O376" s="112" t="s">
        <v>697</v>
      </c>
      <c r="P376" t="str">
        <f>+UPPER(TEXT(Tabla4[[#This Row],[transferencia]],"mmmm"))</f>
        <v>FEBRERO</v>
      </c>
      <c r="Q376" t="s">
        <v>346</v>
      </c>
      <c r="R376"/>
      <c r="S376" s="249"/>
      <c r="T376" s="249"/>
      <c r="U376" s="249"/>
      <c r="V376" s="249"/>
      <c r="W376" s="249"/>
      <c r="X376" s="249"/>
      <c r="Y376" s="249"/>
      <c r="Z376" s="249"/>
    </row>
    <row r="377" spans="1:26" s="152" customFormat="1" hidden="1" x14ac:dyDescent="0.25">
      <c r="A377" s="112" t="str">
        <f>+Tabla4[[#This Row],[PISCINA]]&amp;Tabla4[[#This Row],[AGUAJE]]</f>
        <v>TU 03AGUAJE 9</v>
      </c>
      <c r="B377" s="112" t="s">
        <v>189</v>
      </c>
      <c r="C377" t="str">
        <f t="shared" si="43"/>
        <v>TU</v>
      </c>
      <c r="D377" s="194">
        <v>46059</v>
      </c>
      <c r="E377" s="172">
        <v>605714</v>
      </c>
      <c r="F377" t="s">
        <v>417</v>
      </c>
      <c r="G377" s="190" t="s">
        <v>422</v>
      </c>
      <c r="H377" s="189" t="s">
        <v>616</v>
      </c>
      <c r="I377" s="166" t="str">
        <f>IFERROR(VLOOKUP(H377,DATOS!$E$117:$F$168,2,0),"")</f>
        <v>H10598D</v>
      </c>
      <c r="J377" s="191">
        <v>0.81100000000000005</v>
      </c>
      <c r="K377" s="192">
        <f t="shared" si="44"/>
        <v>17</v>
      </c>
      <c r="L377" s="194">
        <v>46042</v>
      </c>
      <c r="M377" s="189">
        <f t="shared" si="45"/>
        <v>17</v>
      </c>
      <c r="N377" s="176">
        <v>0.35</v>
      </c>
      <c r="O377" s="112" t="s">
        <v>697</v>
      </c>
      <c r="P377" t="str">
        <f>+UPPER(TEXT(Tabla4[[#This Row],[transferencia]],"mmmm"))</f>
        <v>FEBRERO</v>
      </c>
      <c r="Q377" t="s">
        <v>346</v>
      </c>
      <c r="R377"/>
      <c r="S377" s="249"/>
      <c r="T377" s="249"/>
      <c r="U377" s="249"/>
      <c r="V377" s="249"/>
      <c r="W377" s="249"/>
      <c r="X377" s="249"/>
      <c r="Y377" s="249"/>
      <c r="Z377" s="249"/>
    </row>
    <row r="378" spans="1:26" s="152" customFormat="1" hidden="1" x14ac:dyDescent="0.25">
      <c r="A378" s="112" t="str">
        <f>+Tabla4[[#This Row],[PISCINA]]&amp;Tabla4[[#This Row],[AGUAJE]]</f>
        <v>TU 01AGUAJE 9</v>
      </c>
      <c r="B378" s="112" t="s">
        <v>195</v>
      </c>
      <c r="C378" t="str">
        <f t="shared" si="43"/>
        <v>TU</v>
      </c>
      <c r="D378" s="194">
        <v>46064</v>
      </c>
      <c r="E378" s="172">
        <v>1355000</v>
      </c>
      <c r="F378" t="s">
        <v>417</v>
      </c>
      <c r="G378" s="190" t="s">
        <v>422</v>
      </c>
      <c r="H378" s="189" t="s">
        <v>431</v>
      </c>
      <c r="I378" s="166" t="str">
        <f>IFERROR(VLOOKUP(H378,DATOS!$E$117:$F$168,2,0),"")</f>
        <v>H10534B</v>
      </c>
      <c r="J378" s="191">
        <v>0.91359999999999997</v>
      </c>
      <c r="K378" s="192">
        <f t="shared" si="44"/>
        <v>20</v>
      </c>
      <c r="L378" s="194">
        <v>46044</v>
      </c>
      <c r="M378" s="189">
        <f t="shared" si="45"/>
        <v>20</v>
      </c>
      <c r="N378" s="176">
        <v>0.5</v>
      </c>
      <c r="O378" s="112" t="s">
        <v>613</v>
      </c>
      <c r="P378" t="str">
        <f>+UPPER(TEXT(Tabla4[[#This Row],[transferencia]],"mmmm"))</f>
        <v>FEBRERO</v>
      </c>
      <c r="Q378" t="s">
        <v>346</v>
      </c>
      <c r="R378"/>
      <c r="S378" s="249"/>
      <c r="T378" s="249"/>
      <c r="U378" s="249"/>
      <c r="V378" s="249"/>
      <c r="W378" s="249"/>
      <c r="X378" s="249"/>
      <c r="Y378" s="249"/>
      <c r="Z378" s="249"/>
    </row>
    <row r="379" spans="1:26" s="152" customFormat="1" hidden="1" x14ac:dyDescent="0.25">
      <c r="A379" s="112" t="str">
        <f>+Tabla4[[#This Row],[PISCINA]]&amp;Tabla4[[#This Row],[AGUAJE]]</f>
        <v>TU 02AGUAJE 9</v>
      </c>
      <c r="B379" s="112" t="s">
        <v>192</v>
      </c>
      <c r="C379" t="str">
        <f t="shared" si="43"/>
        <v>TU</v>
      </c>
      <c r="D379" s="194">
        <v>46064</v>
      </c>
      <c r="E379" s="172">
        <v>792000</v>
      </c>
      <c r="F379" t="s">
        <v>417</v>
      </c>
      <c r="G379" s="190" t="s">
        <v>422</v>
      </c>
      <c r="H379" s="189" t="s">
        <v>431</v>
      </c>
      <c r="I379" s="166" t="str">
        <f>IFERROR(VLOOKUP(H379,DATOS!$E$117:$F$168,2,0),"")</f>
        <v>H10534B</v>
      </c>
      <c r="J379" s="191">
        <v>0.91359999999999997</v>
      </c>
      <c r="K379" s="192">
        <f t="shared" si="44"/>
        <v>20</v>
      </c>
      <c r="L379" s="194">
        <v>46044</v>
      </c>
      <c r="M379" s="189">
        <f t="shared" si="45"/>
        <v>20</v>
      </c>
      <c r="N379" s="176">
        <v>0.5</v>
      </c>
      <c r="O379" s="112" t="s">
        <v>613</v>
      </c>
      <c r="P379" t="str">
        <f>+UPPER(TEXT(Tabla4[[#This Row],[transferencia]],"mmmm"))</f>
        <v>FEBRERO</v>
      </c>
      <c r="Q379" t="s">
        <v>346</v>
      </c>
      <c r="R379"/>
      <c r="S379" s="249"/>
      <c r="T379" s="249"/>
      <c r="U379" s="249"/>
      <c r="V379" s="249"/>
      <c r="W379" s="249"/>
      <c r="X379" s="249"/>
      <c r="Y379" s="249"/>
      <c r="Z379" s="249"/>
    </row>
    <row r="380" spans="1:26" s="152" customFormat="1" hidden="1" x14ac:dyDescent="0.25">
      <c r="A380" s="112" t="str">
        <f>+Tabla4[[#This Row],[PISCINA]]&amp;Tabla4[[#This Row],[AGUAJE]]</f>
        <v>TA 24AGUAJE 8</v>
      </c>
      <c r="B380" s="112" t="s">
        <v>172</v>
      </c>
      <c r="C380" t="str">
        <f t="shared" si="43"/>
        <v>TA</v>
      </c>
      <c r="D380" s="194">
        <v>46056</v>
      </c>
      <c r="E380" s="172">
        <v>1208205</v>
      </c>
      <c r="F380" t="s">
        <v>417</v>
      </c>
      <c r="G380" s="190" t="s">
        <v>422</v>
      </c>
      <c r="H380" s="189" t="s">
        <v>433</v>
      </c>
      <c r="I380" s="166" t="str">
        <f>IFERROR(VLOOKUP(H380,DATOS!$E$117:$F$168,2,0),"")</f>
        <v>H10586</v>
      </c>
      <c r="J380" s="191">
        <v>0.77400000000000002</v>
      </c>
      <c r="K380" s="192">
        <f t="shared" si="44"/>
        <v>17</v>
      </c>
      <c r="L380" s="194">
        <v>46039</v>
      </c>
      <c r="M380" s="189">
        <f t="shared" si="45"/>
        <v>17</v>
      </c>
      <c r="N380" s="176">
        <v>0.35</v>
      </c>
      <c r="O380" s="112" t="s">
        <v>695</v>
      </c>
      <c r="P380" t="str">
        <f>+UPPER(TEXT(Tabla4[[#This Row],[transferencia]],"mmmm"))</f>
        <v>FEBRERO</v>
      </c>
      <c r="Q380" t="s">
        <v>334</v>
      </c>
      <c r="R380"/>
      <c r="S380" s="249"/>
      <c r="T380" s="249"/>
      <c r="U380" s="249"/>
      <c r="V380" s="249"/>
      <c r="W380" s="249"/>
      <c r="X380" s="249"/>
      <c r="Y380" s="249"/>
      <c r="Z380" s="249"/>
    </row>
    <row r="381" spans="1:26" s="152" customFormat="1" hidden="1" x14ac:dyDescent="0.25">
      <c r="A381" s="112" t="str">
        <f>+Tabla4[[#This Row],[PISCINA]]&amp;Tabla4[[#This Row],[AGUAJE]]</f>
        <v>TA 03AGUAJE 8</v>
      </c>
      <c r="B381" s="112" t="s">
        <v>180</v>
      </c>
      <c r="C381" s="249" t="str">
        <f t="shared" ref="C381:C386" si="46">+MID(A381,1,2)</f>
        <v>TA</v>
      </c>
      <c r="D381" s="194">
        <v>46056</v>
      </c>
      <c r="E381" s="172">
        <v>675000</v>
      </c>
      <c r="F381" t="s">
        <v>417</v>
      </c>
      <c r="G381" s="190" t="s">
        <v>422</v>
      </c>
      <c r="H381" s="189" t="s">
        <v>433</v>
      </c>
      <c r="I381" s="166" t="str">
        <f>IFERROR(VLOOKUP(H381,DATOS!$E$117:$F$168,2,0),"")</f>
        <v>H10586</v>
      </c>
      <c r="J381" s="191">
        <v>0.75</v>
      </c>
      <c r="K381" s="192">
        <f t="shared" ref="K381:K386" si="47">+D381-L381</f>
        <v>17</v>
      </c>
      <c r="L381" s="194">
        <v>46039</v>
      </c>
      <c r="M381" s="189">
        <f t="shared" ref="M381:M386" si="48">+D381-L381</f>
        <v>17</v>
      </c>
      <c r="N381" s="176">
        <v>0.4</v>
      </c>
      <c r="O381" s="112" t="s">
        <v>698</v>
      </c>
      <c r="P381" s="249" t="str">
        <f>+UPPER(TEXT(Tabla4[[#This Row],[transferencia]],"mmmm"))</f>
        <v>FEBRERO</v>
      </c>
      <c r="Q381" t="s">
        <v>334</v>
      </c>
      <c r="R381" s="249"/>
      <c r="S381" s="249"/>
      <c r="T381" s="249"/>
      <c r="U381" s="249"/>
      <c r="V381" s="249"/>
      <c r="W381" s="249"/>
      <c r="X381" s="249"/>
      <c r="Y381" s="249"/>
      <c r="Z381" s="249"/>
    </row>
    <row r="382" spans="1:26" s="152" customFormat="1" hidden="1" x14ac:dyDescent="0.25">
      <c r="A382" s="112" t="str">
        <f>+Tabla4[[#This Row],[PISCINA]]&amp;Tabla4[[#This Row],[AGUAJE]]</f>
        <v>TI 03AGUAJE 8</v>
      </c>
      <c r="B382" s="112" t="s">
        <v>188</v>
      </c>
      <c r="C382" s="249" t="str">
        <f t="shared" si="46"/>
        <v>TI</v>
      </c>
      <c r="D382" s="194">
        <v>46058</v>
      </c>
      <c r="E382" s="172">
        <v>1146250</v>
      </c>
      <c r="F382" t="s">
        <v>417</v>
      </c>
      <c r="G382" s="190" t="s">
        <v>422</v>
      </c>
      <c r="H382" s="189" t="s">
        <v>616</v>
      </c>
      <c r="I382" s="166" t="str">
        <f>IFERROR(VLOOKUP(H382,DATOS!$E$117:$F$168,2,0),"")</f>
        <v>H10598D</v>
      </c>
      <c r="J382" s="191">
        <v>0.71379999999999999</v>
      </c>
      <c r="K382" s="192">
        <f t="shared" si="47"/>
        <v>16</v>
      </c>
      <c r="L382" s="194">
        <v>46042</v>
      </c>
      <c r="M382" s="189">
        <f t="shared" si="48"/>
        <v>16</v>
      </c>
      <c r="N382" s="176">
        <v>0.25</v>
      </c>
      <c r="O382" s="112" t="s">
        <v>646</v>
      </c>
      <c r="P382" s="249" t="str">
        <f>+UPPER(TEXT(Tabla4[[#This Row],[transferencia]],"mmmm"))</f>
        <v>FEBRERO</v>
      </c>
      <c r="Q382" t="s">
        <v>334</v>
      </c>
      <c r="R382" s="249"/>
      <c r="S382" s="249"/>
      <c r="T382" s="249"/>
      <c r="U382" s="249"/>
      <c r="V382" s="249"/>
      <c r="W382" s="249"/>
      <c r="X382" s="249"/>
      <c r="Y382" s="249"/>
      <c r="Z382" s="249"/>
    </row>
    <row r="383" spans="1:26" s="152" customFormat="1" hidden="1" x14ac:dyDescent="0.25">
      <c r="A383" s="112" t="str">
        <f>+Tabla4[[#This Row],[PISCINA]]&amp;Tabla4[[#This Row],[AGUAJE]]</f>
        <v>TA 11AGUAJE 8</v>
      </c>
      <c r="B383" s="112" t="s">
        <v>201</v>
      </c>
      <c r="C383" s="249" t="str">
        <f t="shared" si="46"/>
        <v>TA</v>
      </c>
      <c r="D383" s="194">
        <v>46063</v>
      </c>
      <c r="E383" s="172">
        <v>255000</v>
      </c>
      <c r="F383" t="s">
        <v>417</v>
      </c>
      <c r="G383" s="190" t="s">
        <v>422</v>
      </c>
      <c r="H383" s="189" t="s">
        <v>431</v>
      </c>
      <c r="I383" s="166" t="str">
        <f>IFERROR(VLOOKUP(H383,DATOS!$E$117:$F$168,2,0),"")</f>
        <v>H10534B</v>
      </c>
      <c r="J383" s="191">
        <v>0.73850000000000005</v>
      </c>
      <c r="K383" s="192">
        <f t="shared" si="47"/>
        <v>16</v>
      </c>
      <c r="L383" s="194">
        <v>46047</v>
      </c>
      <c r="M383" s="189">
        <f t="shared" si="48"/>
        <v>16</v>
      </c>
      <c r="N383" s="176">
        <v>0.32</v>
      </c>
      <c r="O383" s="112" t="s">
        <v>534</v>
      </c>
      <c r="P383" s="249" t="str">
        <f>+UPPER(TEXT(Tabla4[[#This Row],[transferencia]],"mmmm"))</f>
        <v>FEBRERO</v>
      </c>
      <c r="Q383" s="249" t="s">
        <v>334</v>
      </c>
      <c r="R383" s="249"/>
      <c r="S383" s="249"/>
      <c r="T383" s="249"/>
      <c r="U383" s="249"/>
      <c r="V383" s="249"/>
      <c r="W383" s="249"/>
      <c r="X383" s="249"/>
      <c r="Y383" s="249"/>
      <c r="Z383" s="249"/>
    </row>
    <row r="384" spans="1:26" s="152" customFormat="1" hidden="1" x14ac:dyDescent="0.25">
      <c r="A384" s="112" t="str">
        <f>+Tabla4[[#This Row],[PISCINA]]&amp;Tabla4[[#This Row],[AGUAJE]]</f>
        <v>RO 03AGUAJE 8</v>
      </c>
      <c r="B384" s="112" t="s">
        <v>215</v>
      </c>
      <c r="C384" s="249" t="str">
        <f t="shared" si="46"/>
        <v>RO</v>
      </c>
      <c r="D384" s="194">
        <v>46067</v>
      </c>
      <c r="E384" s="172">
        <v>1824000</v>
      </c>
      <c r="F384" t="s">
        <v>417</v>
      </c>
      <c r="G384" s="190" t="s">
        <v>422</v>
      </c>
      <c r="H384" s="189" t="s">
        <v>431</v>
      </c>
      <c r="I384" s="166" t="str">
        <f>IFERROR(VLOOKUP(H384,DATOS!$E$117:$F$168,2,0),"")</f>
        <v>H10534B</v>
      </c>
      <c r="J384" s="191">
        <v>0.72960000000000003</v>
      </c>
      <c r="K384" s="192">
        <f t="shared" si="47"/>
        <v>22</v>
      </c>
      <c r="L384" s="194">
        <v>46045</v>
      </c>
      <c r="M384" s="189">
        <f t="shared" si="48"/>
        <v>22</v>
      </c>
      <c r="N384" s="176">
        <v>0.5</v>
      </c>
      <c r="O384" s="112" t="s">
        <v>699</v>
      </c>
      <c r="P384" s="249" t="str">
        <f>+UPPER(TEXT(Tabla4[[#This Row],[transferencia]],"mmmm"))</f>
        <v>FEBRERO</v>
      </c>
      <c r="Q384" t="s">
        <v>334</v>
      </c>
      <c r="R384" s="249"/>
      <c r="S384" s="249"/>
      <c r="T384" s="249"/>
      <c r="U384" s="249"/>
      <c r="V384" s="249"/>
      <c r="W384" s="249"/>
      <c r="X384" s="249"/>
      <c r="Y384" s="249"/>
      <c r="Z384" s="249"/>
    </row>
    <row r="385" spans="1:26" s="152" customFormat="1" hidden="1" x14ac:dyDescent="0.25">
      <c r="A385" s="112" t="str">
        <f>+Tabla4[[#This Row],[PISCINA]]&amp;Tabla4[[#This Row],[AGUAJE]]</f>
        <v>DE 12AGUAJE 9</v>
      </c>
      <c r="B385" s="112" t="s">
        <v>254</v>
      </c>
      <c r="C385" s="249" t="str">
        <f t="shared" si="46"/>
        <v>DE</v>
      </c>
      <c r="D385" s="194">
        <v>46082</v>
      </c>
      <c r="E385" s="172">
        <v>1052400</v>
      </c>
      <c r="F385" s="249" t="s">
        <v>417</v>
      </c>
      <c r="G385" s="190" t="s">
        <v>566</v>
      </c>
      <c r="H385" s="189" t="s">
        <v>419</v>
      </c>
      <c r="I385" s="166" t="str">
        <f>IFERROR(VLOOKUP(H385,DATOS!$E$117:$F$168,2,0),"")</f>
        <v>H10603</v>
      </c>
      <c r="J385" s="191">
        <v>0.01</v>
      </c>
      <c r="K385" s="192">
        <f t="shared" si="47"/>
        <v>30</v>
      </c>
      <c r="L385" s="194">
        <v>46052</v>
      </c>
      <c r="M385" s="189">
        <f t="shared" si="48"/>
        <v>30</v>
      </c>
      <c r="N385" s="176">
        <v>6</v>
      </c>
      <c r="O385" s="112" t="s">
        <v>478</v>
      </c>
      <c r="P385" s="249" t="str">
        <f>+UPPER(TEXT(Tabla4[[#This Row],[transferencia]],"mmmm"))</f>
        <v>MARZO</v>
      </c>
      <c r="Q385" s="249" t="s">
        <v>346</v>
      </c>
      <c r="R385" s="249"/>
      <c r="S385" s="249"/>
      <c r="T385" s="249"/>
      <c r="U385" s="249"/>
      <c r="V385" s="249"/>
      <c r="W385" s="249"/>
      <c r="X385" s="249"/>
      <c r="Y385" s="249"/>
      <c r="Z385" s="249"/>
    </row>
    <row r="386" spans="1:26" s="152" customFormat="1" hidden="1" x14ac:dyDescent="0.25">
      <c r="A386" s="112" t="str">
        <f>+Tabla4[[#This Row],[PISCINA]]&amp;Tabla4[[#This Row],[AGUAJE]]</f>
        <v>PA 12AGUAJE 7</v>
      </c>
      <c r="B386" s="112" t="s">
        <v>332</v>
      </c>
      <c r="C386" t="str">
        <f t="shared" si="46"/>
        <v>PA</v>
      </c>
      <c r="D386" s="194">
        <v>46028</v>
      </c>
      <c r="E386" s="172">
        <v>2380000</v>
      </c>
      <c r="F386" t="s">
        <v>417</v>
      </c>
      <c r="G386" s="190" t="s">
        <v>422</v>
      </c>
      <c r="H386" s="189" t="s">
        <v>506</v>
      </c>
      <c r="I386" s="166" t="str">
        <f>IFERROR(VLOOKUP(H386,DATOS!$E$117:$F$168,2,0),"")</f>
        <v>H10533F</v>
      </c>
      <c r="J386" s="191">
        <v>0.79330000000000001</v>
      </c>
      <c r="K386" s="192">
        <f t="shared" si="47"/>
        <v>26</v>
      </c>
      <c r="L386" s="194">
        <v>46002</v>
      </c>
      <c r="M386" s="189">
        <f t="shared" si="48"/>
        <v>26</v>
      </c>
      <c r="N386" s="176">
        <v>0.65</v>
      </c>
      <c r="O386" s="112" t="s">
        <v>700</v>
      </c>
      <c r="P386" t="str">
        <f>+UPPER(TEXT(Tabla4[[#This Row],[transferencia]],"mmmm"))</f>
        <v>ENERO</v>
      </c>
      <c r="Q386" t="s">
        <v>319</v>
      </c>
      <c r="R386"/>
      <c r="S386" s="249"/>
      <c r="T386" s="249"/>
      <c r="U386" s="249"/>
      <c r="V386" s="249"/>
      <c r="W386" s="249"/>
      <c r="X386" s="249"/>
      <c r="Y386" s="249"/>
      <c r="Z386" s="249"/>
    </row>
    <row r="387" spans="1:26" s="152" customFormat="1" hidden="1" x14ac:dyDescent="0.25">
      <c r="A387" s="112" t="str">
        <f>+Tabla4[[#This Row],[PISCINA]]&amp;Tabla4[[#This Row],[AGUAJE]]</f>
        <v>RO 08AGUAJE 9</v>
      </c>
      <c r="B387" s="112" t="s">
        <v>199</v>
      </c>
      <c r="C387" t="str">
        <f t="shared" ref="C387:C392" si="49">+MID(A387,1,2)</f>
        <v>RO</v>
      </c>
      <c r="D387" s="194">
        <v>46070</v>
      </c>
      <c r="E387" s="172">
        <v>2000000</v>
      </c>
      <c r="F387" s="249" t="s">
        <v>417</v>
      </c>
      <c r="G387" s="190" t="s">
        <v>428</v>
      </c>
      <c r="H387" s="190" t="s">
        <v>450</v>
      </c>
      <c r="I387" s="166">
        <f>IFERROR(VLOOKUP(H387,DATOS!$E$117:$F$168,2,0),"")</f>
        <v>0</v>
      </c>
      <c r="J387" s="191">
        <v>0.66669999999999996</v>
      </c>
      <c r="K387" s="192">
        <f t="shared" ref="K387:K392" si="50">+D387-L387</f>
        <v>22</v>
      </c>
      <c r="L387" s="194">
        <v>46048</v>
      </c>
      <c r="M387" s="189">
        <f t="shared" ref="M387:M392" si="51">+D387-L387</f>
        <v>22</v>
      </c>
      <c r="N387" s="176">
        <v>0.6</v>
      </c>
      <c r="O387" s="112" t="s">
        <v>440</v>
      </c>
      <c r="P387" t="str">
        <f>+UPPER(TEXT(Tabla4[[#This Row],[transferencia]],"mmmm"))</f>
        <v>FEBRERO</v>
      </c>
      <c r="Q387" t="s">
        <v>346</v>
      </c>
      <c r="R387"/>
      <c r="S387" s="249"/>
      <c r="T387" s="249"/>
      <c r="U387" s="249"/>
      <c r="V387" s="249"/>
      <c r="W387" s="249"/>
      <c r="X387" s="249"/>
      <c r="Y387" s="249"/>
      <c r="Z387" s="249"/>
    </row>
    <row r="388" spans="1:26" s="152" customFormat="1" hidden="1" x14ac:dyDescent="0.25">
      <c r="A388" s="112" t="str">
        <f>+Tabla4[[#This Row],[PISCINA]]&amp;Tabla4[[#This Row],[AGUAJE]]</f>
        <v>CA 03AGUAJE 9</v>
      </c>
      <c r="B388" s="112" t="s">
        <v>200</v>
      </c>
      <c r="C388" t="str">
        <f t="shared" si="49"/>
        <v>CA</v>
      </c>
      <c r="D388" s="194">
        <v>46065</v>
      </c>
      <c r="E388" s="172">
        <v>1844000</v>
      </c>
      <c r="F388" s="249" t="s">
        <v>417</v>
      </c>
      <c r="G388" s="190" t="s">
        <v>422</v>
      </c>
      <c r="H388" s="189" t="s">
        <v>431</v>
      </c>
      <c r="I388" s="166" t="str">
        <f>IFERROR(VLOOKUP(H388,DATOS!$E$117:$F$168,2,0),"")</f>
        <v>H10534B</v>
      </c>
      <c r="J388" s="191">
        <v>0.8024</v>
      </c>
      <c r="K388" s="192">
        <f t="shared" si="50"/>
        <v>21</v>
      </c>
      <c r="L388" s="194">
        <v>46044</v>
      </c>
      <c r="M388" s="189">
        <f t="shared" si="51"/>
        <v>21</v>
      </c>
      <c r="N388" s="176">
        <v>0.52</v>
      </c>
      <c r="O388" s="112" t="s">
        <v>507</v>
      </c>
      <c r="P388" t="str">
        <f>+UPPER(TEXT(Tabla4[[#This Row],[transferencia]],"mmmm"))</f>
        <v>FEBRERO</v>
      </c>
      <c r="Q388" t="s">
        <v>346</v>
      </c>
      <c r="R388"/>
      <c r="S388" s="249"/>
      <c r="T388" s="249"/>
      <c r="U388" s="249"/>
      <c r="V388" s="249"/>
      <c r="W388" s="249"/>
      <c r="X388" s="249"/>
      <c r="Y388" s="249"/>
      <c r="Z388" s="249"/>
    </row>
    <row r="389" spans="1:26" s="152" customFormat="1" hidden="1" x14ac:dyDescent="0.25">
      <c r="A389" s="112" t="str">
        <f>+Tabla4[[#This Row],[PISCINA]]&amp;Tabla4[[#This Row],[AGUAJE]]</f>
        <v>BA 01AGUAJE 10</v>
      </c>
      <c r="B389" s="112" t="s">
        <v>226</v>
      </c>
      <c r="C389" t="str">
        <f t="shared" si="49"/>
        <v>BA</v>
      </c>
      <c r="D389" s="194">
        <v>46079</v>
      </c>
      <c r="E389" s="172">
        <v>775000</v>
      </c>
      <c r="F389" s="249" t="s">
        <v>417</v>
      </c>
      <c r="G389" s="190" t="s">
        <v>422</v>
      </c>
      <c r="H389" s="189" t="s">
        <v>444</v>
      </c>
      <c r="I389" s="166" t="str">
        <f>IFERROR(VLOOKUP(H389,DATOS!$E$117:$F$168,2,0),"")</f>
        <v>H10598B</v>
      </c>
      <c r="J389" s="191">
        <v>0.83350000000000002</v>
      </c>
      <c r="K389" s="192">
        <f t="shared" si="50"/>
        <v>0</v>
      </c>
      <c r="L389" s="194">
        <v>46079</v>
      </c>
      <c r="M389" s="189">
        <f t="shared" si="51"/>
        <v>0</v>
      </c>
      <c r="N389" s="176">
        <v>0.5</v>
      </c>
      <c r="O389" s="112" t="s">
        <v>701</v>
      </c>
      <c r="P389" t="str">
        <f>+UPPER(TEXT(Tabla4[[#This Row],[transferencia]],"mmmm"))</f>
        <v>FEBRERO</v>
      </c>
      <c r="Q389" t="s">
        <v>347</v>
      </c>
      <c r="R389"/>
      <c r="S389" s="249"/>
      <c r="T389" s="249"/>
      <c r="U389" s="249"/>
      <c r="V389" s="249"/>
      <c r="W389" s="249"/>
      <c r="X389" s="249"/>
      <c r="Y389" s="249"/>
      <c r="Z389" s="249"/>
    </row>
    <row r="390" spans="1:26" s="152" customFormat="1" hidden="1" x14ac:dyDescent="0.25">
      <c r="A390" s="112" t="str">
        <f>+Tabla4[[#This Row],[PISCINA]]&amp;Tabla4[[#This Row],[AGUAJE]]</f>
        <v>BA 04AGUAJE 9</v>
      </c>
      <c r="B390" s="112" t="s">
        <v>202</v>
      </c>
      <c r="C390" t="str">
        <f t="shared" si="49"/>
        <v>BA</v>
      </c>
      <c r="D390" s="194">
        <v>46076</v>
      </c>
      <c r="E390" s="172">
        <v>1718666</v>
      </c>
      <c r="F390" s="249" t="s">
        <v>417</v>
      </c>
      <c r="G390" s="190" t="s">
        <v>428</v>
      </c>
      <c r="H390" s="189" t="s">
        <v>422</v>
      </c>
      <c r="I390" s="166" t="str">
        <f>IFERROR(VLOOKUP(H390,DATOS!$E$117:$F$168,2,0),"")</f>
        <v/>
      </c>
      <c r="J390" s="191">
        <v>0.83830000000000005</v>
      </c>
      <c r="K390" s="192">
        <f t="shared" si="50"/>
        <v>22</v>
      </c>
      <c r="L390" s="194">
        <v>46054</v>
      </c>
      <c r="M390" s="189">
        <f t="shared" si="51"/>
        <v>22</v>
      </c>
      <c r="N390" s="176">
        <v>0.6</v>
      </c>
      <c r="O390" s="112" t="s">
        <v>702</v>
      </c>
      <c r="P390" t="str">
        <f>+UPPER(TEXT(Tabla4[[#This Row],[transferencia]],"mmmm"))</f>
        <v>FEBRERO</v>
      </c>
      <c r="Q390" t="s">
        <v>346</v>
      </c>
      <c r="R390"/>
      <c r="S390" s="249"/>
      <c r="T390" s="249"/>
      <c r="U390" s="249"/>
      <c r="V390" s="249"/>
      <c r="W390" s="249"/>
      <c r="X390" s="249"/>
      <c r="Y390" s="249"/>
      <c r="Z390" s="249"/>
    </row>
    <row r="391" spans="1:26" s="152" customFormat="1" hidden="1" x14ac:dyDescent="0.25">
      <c r="A391" s="112" t="str">
        <f>+Tabla4[[#This Row],[PISCINA]]&amp;Tabla4[[#This Row],[AGUAJE]]</f>
        <v>CH 01AGUAJE 9</v>
      </c>
      <c r="B391" s="112" t="s">
        <v>7</v>
      </c>
      <c r="C391" t="str">
        <f t="shared" si="49"/>
        <v>CH</v>
      </c>
      <c r="D391" s="194">
        <v>46070</v>
      </c>
      <c r="E391" s="172">
        <v>1357200</v>
      </c>
      <c r="F391" s="249" t="s">
        <v>417</v>
      </c>
      <c r="G391" s="190" t="s">
        <v>422</v>
      </c>
      <c r="H391" s="189" t="s">
        <v>528</v>
      </c>
      <c r="I391" s="166" t="str">
        <f>IFERROR(VLOOKUP(H391,DATOS!$E$117:$F$168,2,0),"")</f>
        <v>H10534A</v>
      </c>
      <c r="J391" s="191">
        <v>0.754</v>
      </c>
      <c r="K391" s="192">
        <f t="shared" si="50"/>
        <v>18</v>
      </c>
      <c r="L391" s="194">
        <v>46052</v>
      </c>
      <c r="M391" s="189">
        <f t="shared" si="51"/>
        <v>18</v>
      </c>
      <c r="N391" s="176">
        <v>0.43</v>
      </c>
      <c r="O391" s="112" t="s">
        <v>536</v>
      </c>
      <c r="P391" t="str">
        <f>+UPPER(TEXT(Tabla4[[#This Row],[transferencia]],"mmmm"))</f>
        <v>FEBRERO</v>
      </c>
      <c r="Q391" t="s">
        <v>346</v>
      </c>
      <c r="R391"/>
      <c r="S391" s="249"/>
      <c r="T391" s="249"/>
      <c r="U391" s="249"/>
      <c r="V391" s="249"/>
      <c r="W391" s="249"/>
      <c r="X391" s="249"/>
      <c r="Y391" s="249"/>
      <c r="Z391" s="249"/>
    </row>
    <row r="392" spans="1:26" s="152" customFormat="1" hidden="1" x14ac:dyDescent="0.25">
      <c r="A392" s="112" t="str">
        <f>+Tabla4[[#This Row],[PISCINA]]&amp;Tabla4[[#This Row],[AGUAJE]]</f>
        <v>CH 09AGUAJE 9</v>
      </c>
      <c r="B392" s="112" t="s">
        <v>15</v>
      </c>
      <c r="C392" t="str">
        <f t="shared" si="49"/>
        <v>CH</v>
      </c>
      <c r="D392" s="194">
        <v>46071</v>
      </c>
      <c r="E392" s="172">
        <v>1692000</v>
      </c>
      <c r="F392" s="249" t="s">
        <v>417</v>
      </c>
      <c r="G392" s="190" t="s">
        <v>428</v>
      </c>
      <c r="H392" s="189" t="s">
        <v>671</v>
      </c>
      <c r="I392" s="166">
        <f>IFERROR(VLOOKUP(H392,DATOS!$E$117:$F$168,2,0),"")</f>
        <v>0</v>
      </c>
      <c r="J392" s="191">
        <v>0.76910000000000001</v>
      </c>
      <c r="K392" s="192">
        <f t="shared" si="50"/>
        <v>17</v>
      </c>
      <c r="L392" s="194">
        <v>46054</v>
      </c>
      <c r="M392" s="189">
        <f t="shared" si="51"/>
        <v>17</v>
      </c>
      <c r="N392" s="176">
        <v>0.35</v>
      </c>
      <c r="O392" s="112" t="s">
        <v>642</v>
      </c>
      <c r="P392" t="str">
        <f>+UPPER(TEXT(Tabla4[[#This Row],[transferencia]],"mmmm"))</f>
        <v>FEBRERO</v>
      </c>
      <c r="Q392" t="s">
        <v>346</v>
      </c>
      <c r="R392"/>
      <c r="S392" s="249"/>
      <c r="T392" s="249"/>
      <c r="U392" s="249"/>
      <c r="V392" s="249"/>
      <c r="W392" s="249"/>
      <c r="X392" s="249"/>
      <c r="Y392" s="249"/>
      <c r="Z392" s="249"/>
    </row>
    <row r="393" spans="1:26" s="152" customFormat="1" hidden="1" x14ac:dyDescent="0.25">
      <c r="A393" s="112" t="str">
        <f>+Tabla4[[#This Row],[PISCINA]]&amp;Tabla4[[#This Row],[AGUAJE]]</f>
        <v>TA 26AGUAJE 10</v>
      </c>
      <c r="B393" s="112" t="s">
        <v>230</v>
      </c>
      <c r="C393" s="249" t="str">
        <f t="shared" ref="C393:C397" si="52">+MID(A393,1,2)</f>
        <v>TA</v>
      </c>
      <c r="D393" s="194">
        <v>46078</v>
      </c>
      <c r="E393" s="172">
        <v>640000</v>
      </c>
      <c r="F393" s="249" t="s">
        <v>417</v>
      </c>
      <c r="G393" s="190" t="s">
        <v>687</v>
      </c>
      <c r="H393" s="189" t="s">
        <v>687</v>
      </c>
      <c r="I393" s="166" t="str">
        <f>IFERROR(VLOOKUP(H393,DATOS!$E$117:$F$168,2,0),"")</f>
        <v/>
      </c>
      <c r="J393" s="191">
        <v>0.83789999999999998</v>
      </c>
      <c r="K393" s="192">
        <f t="shared" ref="K393:K397" si="53">+D393-L393</f>
        <v>20</v>
      </c>
      <c r="L393" s="194">
        <v>46058</v>
      </c>
      <c r="M393" s="189">
        <f t="shared" ref="M393:M397" si="54">+D393-L393</f>
        <v>20</v>
      </c>
      <c r="N393" s="176">
        <v>0.5</v>
      </c>
      <c r="O393" s="112" t="s">
        <v>473</v>
      </c>
      <c r="P393" s="249" t="str">
        <f>+UPPER(TEXT(Tabla4[[#This Row],[transferencia]],"mmmm"))</f>
        <v>FEBRERO</v>
      </c>
      <c r="Q393" s="249" t="s">
        <v>347</v>
      </c>
      <c r="R393" s="249"/>
      <c r="S393" s="249"/>
      <c r="T393" s="249"/>
      <c r="U393" s="249"/>
      <c r="V393" s="249"/>
      <c r="W393" s="249"/>
      <c r="X393" s="249"/>
      <c r="Y393" s="249"/>
      <c r="Z393" s="249"/>
    </row>
    <row r="394" spans="1:26" s="152" customFormat="1" hidden="1" x14ac:dyDescent="0.25">
      <c r="A394" s="112" t="str">
        <f>+Tabla4[[#This Row],[PISCINA]]&amp;Tabla4[[#This Row],[AGUAJE]]</f>
        <v>CA 07AGUAJE 9</v>
      </c>
      <c r="B394" s="112" t="s">
        <v>213</v>
      </c>
      <c r="C394" s="249" t="str">
        <f t="shared" si="52"/>
        <v>CA</v>
      </c>
      <c r="D394" s="194">
        <v>46073</v>
      </c>
      <c r="E394" s="172">
        <v>1312400</v>
      </c>
      <c r="F394" s="249" t="s">
        <v>417</v>
      </c>
      <c r="G394" s="190" t="s">
        <v>566</v>
      </c>
      <c r="H394" s="189" t="s">
        <v>428</v>
      </c>
      <c r="I394" s="166" t="str">
        <f>IFERROR(VLOOKUP(H394,DATOS!$E$117:$F$168,2,0),"")</f>
        <v/>
      </c>
      <c r="J394" s="191">
        <v>0.65620000000000001</v>
      </c>
      <c r="K394" s="192">
        <f t="shared" si="53"/>
        <v>18</v>
      </c>
      <c r="L394" s="194">
        <v>46055</v>
      </c>
      <c r="M394" s="189">
        <f t="shared" si="54"/>
        <v>18</v>
      </c>
      <c r="N394" s="176">
        <v>0.6</v>
      </c>
      <c r="O394" s="112" t="s">
        <v>703</v>
      </c>
      <c r="P394" s="249" t="str">
        <f>+UPPER(TEXT(Tabla4[[#This Row],[transferencia]],"mmmm"))</f>
        <v>FEBRERO</v>
      </c>
      <c r="Q394" t="s">
        <v>346</v>
      </c>
      <c r="R394" s="249"/>
      <c r="S394" s="249"/>
      <c r="T394" s="249"/>
      <c r="U394" s="249"/>
      <c r="V394" s="249"/>
      <c r="W394" s="249"/>
      <c r="X394" s="249"/>
      <c r="Y394" s="249"/>
      <c r="Z394" s="249"/>
    </row>
    <row r="395" spans="1:26" s="152" customFormat="1" hidden="1" x14ac:dyDescent="0.25">
      <c r="A395" s="112" t="str">
        <f>+Tabla4[[#This Row],[PISCINA]]&amp;Tabla4[[#This Row],[AGUAJE]]</f>
        <v>CH 13AGUAJE 10</v>
      </c>
      <c r="B395" s="112" t="s">
        <v>19</v>
      </c>
      <c r="C395" t="str">
        <f t="shared" si="52"/>
        <v>CH</v>
      </c>
      <c r="D395" s="194">
        <v>46072</v>
      </c>
      <c r="E395" s="172">
        <v>1134000</v>
      </c>
      <c r="F395" s="249" t="s">
        <v>417</v>
      </c>
      <c r="G395" s="190" t="s">
        <v>566</v>
      </c>
      <c r="H395" s="189" t="s">
        <v>419</v>
      </c>
      <c r="I395" s="166" t="str">
        <f>IFERROR(VLOOKUP(H395,DATOS!$E$117:$F$168,2,0),"")</f>
        <v>H10603</v>
      </c>
      <c r="J395" s="191">
        <v>0.76080000000000003</v>
      </c>
      <c r="K395" s="192">
        <f t="shared" si="53"/>
        <v>16</v>
      </c>
      <c r="L395" s="194">
        <v>46056</v>
      </c>
      <c r="M395" s="189">
        <f t="shared" si="54"/>
        <v>16</v>
      </c>
      <c r="N395" s="176">
        <v>0.35</v>
      </c>
      <c r="O395" s="112" t="s">
        <v>483</v>
      </c>
      <c r="P395" t="str">
        <f>+UPPER(TEXT(Tabla4[[#This Row],[transferencia]],"mmmm"))</f>
        <v>FEBRERO</v>
      </c>
      <c r="Q395" t="s">
        <v>347</v>
      </c>
      <c r="R395"/>
      <c r="S395" s="249"/>
      <c r="T395" s="249"/>
      <c r="U395" s="249"/>
      <c r="V395" s="249"/>
      <c r="W395" s="249"/>
      <c r="X395" s="249"/>
      <c r="Y395" s="249"/>
      <c r="Z395" s="249"/>
    </row>
    <row r="396" spans="1:26" s="152" customFormat="1" hidden="1" x14ac:dyDescent="0.25">
      <c r="A396" s="112" t="str">
        <f>+Tabla4[[#This Row],[PISCINA]]&amp;Tabla4[[#This Row],[AGUAJE]]</f>
        <v>CH 11AGUAJE 9</v>
      </c>
      <c r="B396" s="112" t="s">
        <v>17</v>
      </c>
      <c r="C396" s="249" t="str">
        <f t="shared" si="52"/>
        <v>CH</v>
      </c>
      <c r="D396" s="194">
        <v>46072</v>
      </c>
      <c r="E396" s="172">
        <v>1148400</v>
      </c>
      <c r="F396" s="249" t="s">
        <v>417</v>
      </c>
      <c r="G396" s="190" t="s">
        <v>566</v>
      </c>
      <c r="H396" s="189" t="s">
        <v>419</v>
      </c>
      <c r="I396" s="166" t="str">
        <f>IFERROR(VLOOKUP(H396,DATOS!$E$117:$F$168,2,0),"")</f>
        <v>H10603</v>
      </c>
      <c r="J396" s="191">
        <v>0.76080000000000003</v>
      </c>
      <c r="K396" s="192">
        <f t="shared" si="53"/>
        <v>16</v>
      </c>
      <c r="L396" s="194">
        <v>46056</v>
      </c>
      <c r="M396" s="189">
        <f t="shared" si="54"/>
        <v>16</v>
      </c>
      <c r="N396" s="176">
        <v>0.35</v>
      </c>
      <c r="O396" s="112" t="s">
        <v>483</v>
      </c>
      <c r="P396" s="249" t="str">
        <f>+UPPER(TEXT(Tabla4[[#This Row],[transferencia]],"mmmm"))</f>
        <v>FEBRERO</v>
      </c>
      <c r="Q396" s="249" t="s">
        <v>346</v>
      </c>
      <c r="R396" s="249"/>
      <c r="S396" s="249"/>
      <c r="T396" s="249"/>
      <c r="U396" s="249"/>
      <c r="V396" s="249"/>
      <c r="W396" s="249"/>
      <c r="X396" s="249"/>
      <c r="Y396" s="249"/>
      <c r="Z396" s="249"/>
    </row>
    <row r="397" spans="1:26" s="152" customFormat="1" hidden="1" x14ac:dyDescent="0.25">
      <c r="A397" s="112" t="str">
        <f>+Tabla4[[#This Row],[PISCINA]]&amp;Tabla4[[#This Row],[AGUAJE]]</f>
        <v>CH 04AGUAJE 8</v>
      </c>
      <c r="B397" s="112" t="s">
        <v>10</v>
      </c>
      <c r="C397" s="249" t="str">
        <f t="shared" si="52"/>
        <v>CH</v>
      </c>
      <c r="D397" s="194">
        <v>46062</v>
      </c>
      <c r="E397" s="172">
        <v>867600</v>
      </c>
      <c r="F397" s="249" t="s">
        <v>417</v>
      </c>
      <c r="G397" s="190" t="s">
        <v>422</v>
      </c>
      <c r="H397" s="189" t="s">
        <v>431</v>
      </c>
      <c r="I397" s="166" t="str">
        <f>IFERROR(VLOOKUP(H397,DATOS!$E$117:$F$168,2,0),"")</f>
        <v>H10534B</v>
      </c>
      <c r="J397" s="191">
        <v>0.78869999999999996</v>
      </c>
      <c r="K397" s="192">
        <f t="shared" si="53"/>
        <v>18</v>
      </c>
      <c r="L397" s="194">
        <v>46044</v>
      </c>
      <c r="M397" s="189">
        <f t="shared" si="54"/>
        <v>18</v>
      </c>
      <c r="N397" s="176">
        <v>0.56000000000000005</v>
      </c>
      <c r="O397" s="112" t="s">
        <v>513</v>
      </c>
      <c r="P397" s="249" t="str">
        <f>+UPPER(TEXT(Tabla4[[#This Row],[transferencia]],"mmmm"))</f>
        <v>FEBRERO</v>
      </c>
      <c r="Q397" t="s">
        <v>334</v>
      </c>
      <c r="R397" s="249"/>
      <c r="S397" s="249"/>
      <c r="T397" s="249"/>
      <c r="U397" s="249"/>
      <c r="V397" s="249"/>
      <c r="W397" s="249"/>
      <c r="X397" s="249"/>
      <c r="Y397" s="249"/>
      <c r="Z397" s="249"/>
    </row>
    <row r="398" spans="1:26" s="152" customFormat="1" hidden="1" x14ac:dyDescent="0.25">
      <c r="A398" s="112" t="str">
        <f>+Tabla4[[#This Row],[PISCINA]]&amp;Tabla4[[#This Row],[AGUAJE]]</f>
        <v>TI 08AGUAJE 9</v>
      </c>
      <c r="B398" s="112" t="s">
        <v>237</v>
      </c>
      <c r="C398" s="249" t="str">
        <f t="shared" ref="C398:C402" si="55">+MID(A398,1,2)</f>
        <v>TI</v>
      </c>
      <c r="D398" s="194">
        <v>46075</v>
      </c>
      <c r="E398" s="172">
        <v>1116000</v>
      </c>
      <c r="F398" s="249" t="s">
        <v>417</v>
      </c>
      <c r="G398" s="190" t="s">
        <v>566</v>
      </c>
      <c r="H398" s="189" t="s">
        <v>419</v>
      </c>
      <c r="I398" s="166" t="str">
        <f>IFERROR(VLOOKUP(H398,DATOS!$E$117:$F$168,2,0),"")</f>
        <v>H10603</v>
      </c>
      <c r="J398" s="191">
        <v>0.79710000000000003</v>
      </c>
      <c r="K398" s="192">
        <f t="shared" ref="K398:K402" si="56">+D398-L398</f>
        <v>20</v>
      </c>
      <c r="L398" s="194">
        <v>46055</v>
      </c>
      <c r="M398" s="189">
        <f t="shared" ref="M398:M402" si="57">+D398-L398</f>
        <v>20</v>
      </c>
      <c r="N398" s="176">
        <v>0.9</v>
      </c>
      <c r="O398" s="112" t="s">
        <v>704</v>
      </c>
      <c r="P398" s="249" t="str">
        <f>+UPPER(TEXT(Tabla4[[#This Row],[transferencia]],"mmmm"))</f>
        <v>FEBRERO</v>
      </c>
      <c r="Q398" t="s">
        <v>346</v>
      </c>
      <c r="R398" s="249"/>
      <c r="S398" s="249"/>
      <c r="T398" s="249"/>
      <c r="U398" s="249"/>
      <c r="V398" s="249"/>
      <c r="W398" s="249"/>
      <c r="X398" s="249"/>
      <c r="Y398" s="249"/>
      <c r="Z398" s="249"/>
    </row>
    <row r="399" spans="1:26" s="152" customFormat="1" hidden="1" x14ac:dyDescent="0.25">
      <c r="A399" s="112" t="str">
        <f>+Tabla4[[#This Row],[PISCINA]]&amp;Tabla4[[#This Row],[AGUAJE]]</f>
        <v>PR 11AGUAJE 10</v>
      </c>
      <c r="B399" s="112" t="s">
        <v>229</v>
      </c>
      <c r="C399" s="249" t="str">
        <f t="shared" si="55"/>
        <v>PR</v>
      </c>
      <c r="D399" s="194">
        <v>46084</v>
      </c>
      <c r="E399" s="172">
        <v>1428000</v>
      </c>
      <c r="F399" s="249" t="s">
        <v>417</v>
      </c>
      <c r="G399" s="190" t="s">
        <v>422</v>
      </c>
      <c r="H399" s="189" t="s">
        <v>454</v>
      </c>
      <c r="I399" s="166">
        <f>IFERROR(VLOOKUP(H399,DATOS!$E$117:$F$168,2,0),"")</f>
        <v>0</v>
      </c>
      <c r="J399" s="191">
        <v>0.71040000000000003</v>
      </c>
      <c r="K399" s="192">
        <f t="shared" si="56"/>
        <v>15</v>
      </c>
      <c r="L399" s="194">
        <v>46069</v>
      </c>
      <c r="M399" s="189">
        <f t="shared" si="57"/>
        <v>15</v>
      </c>
      <c r="N399" s="176">
        <v>0.3</v>
      </c>
      <c r="O399" s="112" t="s">
        <v>644</v>
      </c>
      <c r="P399" s="249" t="str">
        <f>+UPPER(TEXT(Tabla4[[#This Row],[transferencia]],"mmmm"))</f>
        <v>MARZO</v>
      </c>
      <c r="Q399" s="289" t="s">
        <v>347</v>
      </c>
      <c r="R399" s="249"/>
      <c r="S399" s="249"/>
      <c r="T399" s="249"/>
      <c r="U399" s="249"/>
      <c r="V399" s="249"/>
      <c r="W399" s="249"/>
      <c r="X399" s="249"/>
      <c r="Y399" s="249"/>
      <c r="Z399" s="249"/>
    </row>
    <row r="400" spans="1:26" s="152" customFormat="1" hidden="1" x14ac:dyDescent="0.25">
      <c r="A400" s="112" t="str">
        <f>+Tabla4[[#This Row],[PISCINA]]&amp;Tabla4[[#This Row],[AGUAJE]]</f>
        <v>DE 06AGUAJE 9</v>
      </c>
      <c r="B400" s="112" t="s">
        <v>242</v>
      </c>
      <c r="C400" s="249" t="str">
        <f t="shared" si="55"/>
        <v>DE</v>
      </c>
      <c r="D400" s="194">
        <v>46076</v>
      </c>
      <c r="E400" s="172">
        <v>1390000</v>
      </c>
      <c r="F400" s="249" t="s">
        <v>417</v>
      </c>
      <c r="G400" s="190" t="s">
        <v>422</v>
      </c>
      <c r="H400" s="189" t="s">
        <v>528</v>
      </c>
      <c r="I400" s="166" t="str">
        <f>IFERROR(VLOOKUP(H400,DATOS!$E$117:$F$168,2,0),"")</f>
        <v>H10534A</v>
      </c>
      <c r="J400" s="191">
        <v>0.66190000000000004</v>
      </c>
      <c r="K400" s="192">
        <f t="shared" si="56"/>
        <v>24</v>
      </c>
      <c r="L400" s="194">
        <v>46052</v>
      </c>
      <c r="M400" s="189">
        <f t="shared" si="57"/>
        <v>24</v>
      </c>
      <c r="N400" s="176">
        <v>0.8</v>
      </c>
      <c r="O400" s="112" t="s">
        <v>471</v>
      </c>
      <c r="P400" s="249" t="str">
        <f>+UPPER(TEXT(Tabla4[[#This Row],[transferencia]],"mmmm"))</f>
        <v>FEBRERO</v>
      </c>
      <c r="Q400" s="249" t="s">
        <v>346</v>
      </c>
      <c r="R400" s="249"/>
      <c r="S400" s="249"/>
      <c r="T400" s="249"/>
      <c r="U400" s="249"/>
      <c r="V400" s="249"/>
      <c r="W400" s="249"/>
      <c r="X400" s="249"/>
      <c r="Y400" s="249"/>
      <c r="Z400" s="249"/>
    </row>
    <row r="401" spans="1:26" s="152" customFormat="1" hidden="1" x14ac:dyDescent="0.25">
      <c r="A401" s="112" t="str">
        <f>+Tabla4[[#This Row],[PISCINA]]&amp;Tabla4[[#This Row],[AGUAJE]]</f>
        <v>RO 10AGUAJE 10</v>
      </c>
      <c r="B401" s="112" t="s">
        <v>255</v>
      </c>
      <c r="C401" s="249" t="str">
        <f t="shared" si="55"/>
        <v>RO</v>
      </c>
      <c r="D401" s="194">
        <v>46087</v>
      </c>
      <c r="E401" s="172">
        <v>600000</v>
      </c>
      <c r="F401" s="249" t="s">
        <v>417</v>
      </c>
      <c r="G401" s="190" t="s">
        <v>418</v>
      </c>
      <c r="H401" s="190" t="s">
        <v>418</v>
      </c>
      <c r="I401" s="166" t="str">
        <f>IFERROR(VLOOKUP(H401,DATOS!$E$117:$F$168,2,0),"")</f>
        <v>H10234</v>
      </c>
      <c r="J401" s="191">
        <v>0.6</v>
      </c>
      <c r="K401" s="192">
        <f t="shared" si="56"/>
        <v>17</v>
      </c>
      <c r="L401" s="194">
        <v>46070</v>
      </c>
      <c r="M401" s="189">
        <f t="shared" si="57"/>
        <v>17</v>
      </c>
      <c r="N401" s="176">
        <v>0.51</v>
      </c>
      <c r="O401" s="112" t="s">
        <v>573</v>
      </c>
      <c r="P401" s="249" t="str">
        <f>+UPPER(TEXT(Tabla4[[#This Row],[transferencia]],"mmmm"))</f>
        <v>MARZO</v>
      </c>
      <c r="Q401" s="249" t="s">
        <v>347</v>
      </c>
      <c r="R401" s="249"/>
      <c r="S401" s="249"/>
      <c r="T401" s="249"/>
      <c r="U401" s="249"/>
      <c r="V401" s="249"/>
      <c r="W401" s="249"/>
      <c r="X401" s="249"/>
      <c r="Y401" s="249"/>
      <c r="Z401" s="249"/>
    </row>
    <row r="402" spans="1:26" s="152" customFormat="1" hidden="1" x14ac:dyDescent="0.25">
      <c r="A402" s="112" t="str">
        <f>+Tabla4[[#This Row],[PISCINA]]&amp;Tabla4[[#This Row],[AGUAJE]]</f>
        <v>PA 18</v>
      </c>
      <c r="B402" s="112" t="s">
        <v>247</v>
      </c>
      <c r="C402" s="249" t="str">
        <f t="shared" si="55"/>
        <v>PA</v>
      </c>
      <c r="D402" s="194">
        <v>46085</v>
      </c>
      <c r="E402" s="172">
        <v>3961250</v>
      </c>
      <c r="F402" s="249" t="s">
        <v>417</v>
      </c>
      <c r="G402" s="190" t="s">
        <v>422</v>
      </c>
      <c r="H402" s="189" t="s">
        <v>454</v>
      </c>
      <c r="I402" s="166">
        <f>IFERROR(VLOOKUP(H402,DATOS!$E$117:$F$168,2,0),"")</f>
        <v>0</v>
      </c>
      <c r="J402" s="191">
        <v>0.85429999999999995</v>
      </c>
      <c r="K402" s="192">
        <f t="shared" si="56"/>
        <v>16</v>
      </c>
      <c r="L402" s="194">
        <v>46069</v>
      </c>
      <c r="M402" s="189">
        <f t="shared" si="57"/>
        <v>16</v>
      </c>
      <c r="N402" s="176">
        <v>0.4</v>
      </c>
      <c r="O402" s="112" t="s">
        <v>537</v>
      </c>
      <c r="P402" s="249" t="str">
        <f>+UPPER(TEXT(Tabla4[[#This Row],[transferencia]],"mmmm"))</f>
        <v>MARZO</v>
      </c>
      <c r="Q402" s="249"/>
      <c r="R402" s="249"/>
      <c r="S402" s="249"/>
      <c r="T402" s="249"/>
      <c r="U402" s="249"/>
      <c r="V402" s="249"/>
      <c r="W402" s="249"/>
      <c r="X402" s="249"/>
      <c r="Y402" s="249"/>
      <c r="Z402" s="249"/>
    </row>
    <row r="403" spans="1:26" s="152" customFormat="1" hidden="1" x14ac:dyDescent="0.25">
      <c r="A403" s="112" t="str">
        <f>+Tabla4[[#This Row],[PISCINA]]&amp;Tabla4[[#This Row],[AGUAJE]]</f>
        <v>DE 15AGUAJE 10</v>
      </c>
      <c r="B403" s="112" t="s">
        <v>125</v>
      </c>
      <c r="C403" s="249" t="str">
        <f t="shared" ref="C403:C409" si="58">+MID(A403,1,2)</f>
        <v>DE</v>
      </c>
      <c r="D403" s="194">
        <v>46103</v>
      </c>
      <c r="E403" s="172">
        <v>1050000</v>
      </c>
      <c r="F403" t="s">
        <v>417</v>
      </c>
      <c r="G403" s="190" t="s">
        <v>566</v>
      </c>
      <c r="H403" s="189" t="s">
        <v>419</v>
      </c>
      <c r="I403" s="166" t="str">
        <f>IFERROR(VLOOKUP(H403,DATOS!$E$117:$F$168,2,0),"")</f>
        <v>H10603</v>
      </c>
      <c r="J403" s="191">
        <v>0.01</v>
      </c>
      <c r="K403" s="192">
        <f t="shared" ref="K403:K409" si="59">+D403-L403</f>
        <v>16</v>
      </c>
      <c r="L403" s="194">
        <v>46087</v>
      </c>
      <c r="M403" s="189">
        <f t="shared" ref="M403:M409" si="60">+D403-L403</f>
        <v>16</v>
      </c>
      <c r="N403" s="176">
        <v>3.2</v>
      </c>
      <c r="O403" s="112" t="s">
        <v>479</v>
      </c>
      <c r="P403" s="249" t="str">
        <f>+UPPER(TEXT(Tabla4[[#This Row],[transferencia]],"mmmm"))</f>
        <v>MARZO</v>
      </c>
      <c r="Q403" s="289" t="s">
        <v>347</v>
      </c>
      <c r="R403" s="249"/>
      <c r="S403" s="249"/>
      <c r="T403" s="249"/>
      <c r="U403" s="249"/>
      <c r="V403" s="249"/>
      <c r="W403" s="249"/>
      <c r="X403" s="249"/>
      <c r="Y403" s="249"/>
      <c r="Z403" s="249"/>
    </row>
    <row r="404" spans="1:26" s="152" customFormat="1" hidden="1" x14ac:dyDescent="0.25">
      <c r="A404" s="112" t="str">
        <f>+Tabla4[[#This Row],[PISCINA]]&amp;Tabla4[[#This Row],[AGUAJE]]</f>
        <v>CA 16AGUAJE 10</v>
      </c>
      <c r="B404" s="112" t="s">
        <v>245</v>
      </c>
      <c r="C404" s="249" t="str">
        <f t="shared" si="58"/>
        <v>CA</v>
      </c>
      <c r="D404" s="194">
        <v>46084</v>
      </c>
      <c r="E404" s="172">
        <v>1360000</v>
      </c>
      <c r="F404" s="249" t="s">
        <v>417</v>
      </c>
      <c r="G404" s="190" t="s">
        <v>422</v>
      </c>
      <c r="H404" s="189" t="s">
        <v>454</v>
      </c>
      <c r="I404" s="166">
        <f>IFERROR(VLOOKUP(H404,DATOS!$E$117:$F$168,2,0),"")</f>
        <v>0</v>
      </c>
      <c r="J404" s="191">
        <v>0.71579999999999999</v>
      </c>
      <c r="K404" s="192">
        <f t="shared" si="59"/>
        <v>15</v>
      </c>
      <c r="L404" s="194">
        <v>46069</v>
      </c>
      <c r="M404" s="189">
        <f t="shared" si="60"/>
        <v>15</v>
      </c>
      <c r="N404" s="176">
        <v>0.25</v>
      </c>
      <c r="O404" s="112" t="s">
        <v>578</v>
      </c>
      <c r="P404" s="249" t="str">
        <f>+UPPER(TEXT(Tabla4[[#This Row],[transferencia]],"mmmm"))</f>
        <v>MARZO</v>
      </c>
      <c r="Q404" s="249" t="s">
        <v>347</v>
      </c>
      <c r="R404" s="249"/>
      <c r="S404" s="249"/>
      <c r="T404" s="249"/>
      <c r="U404" s="249"/>
      <c r="V404" s="249"/>
      <c r="W404" s="249"/>
      <c r="X404" s="249"/>
      <c r="Y404" s="249"/>
      <c r="Z404" s="249"/>
    </row>
    <row r="405" spans="1:26" s="152" customFormat="1" hidden="1" x14ac:dyDescent="0.25">
      <c r="A405" s="112" t="str">
        <f>+Tabla4[[#This Row],[PISCINA]]&amp;Tabla4[[#This Row],[AGUAJE]]</f>
        <v>PR 01AGUAJE 10</v>
      </c>
      <c r="B405" s="112" t="s">
        <v>251</v>
      </c>
      <c r="C405" s="249" t="str">
        <f t="shared" si="58"/>
        <v>PR</v>
      </c>
      <c r="D405" s="194">
        <v>46089</v>
      </c>
      <c r="E405" s="172">
        <v>816000</v>
      </c>
      <c r="F405" t="s">
        <v>417</v>
      </c>
      <c r="G405" s="190" t="s">
        <v>418</v>
      </c>
      <c r="H405" s="189" t="s">
        <v>418</v>
      </c>
      <c r="I405" s="166" t="str">
        <f>IFERROR(VLOOKUP(H405,DATOS!$E$117:$F$168,2,0),"")</f>
        <v>H10234</v>
      </c>
      <c r="J405" s="191">
        <v>0.71399999999999997</v>
      </c>
      <c r="K405" s="192">
        <f t="shared" si="59"/>
        <v>19</v>
      </c>
      <c r="L405" s="194">
        <v>46070</v>
      </c>
      <c r="M405" s="189">
        <f t="shared" si="60"/>
        <v>19</v>
      </c>
      <c r="N405" s="176">
        <v>0.5</v>
      </c>
      <c r="O405" s="112" t="s">
        <v>705</v>
      </c>
      <c r="P405" s="249" t="str">
        <f>+UPPER(TEXT(Tabla4[[#This Row],[transferencia]],"mmmm"))</f>
        <v>MARZO</v>
      </c>
      <c r="Q405" s="289" t="s">
        <v>347</v>
      </c>
      <c r="R405" s="249"/>
      <c r="S405" s="249"/>
      <c r="T405" s="249"/>
      <c r="U405" s="249"/>
      <c r="V405" s="249"/>
      <c r="W405" s="249"/>
      <c r="X405" s="249"/>
      <c r="Y405" s="249"/>
      <c r="Z405" s="249"/>
    </row>
    <row r="406" spans="1:26" s="152" customFormat="1" hidden="1" x14ac:dyDescent="0.25">
      <c r="A406" s="112" t="str">
        <f>+Tabla4[[#This Row],[PISCINA]]&amp;Tabla4[[#This Row],[AGUAJE]]</f>
        <v>PR 12AGUAJE 10</v>
      </c>
      <c r="B406" s="112" t="s">
        <v>261</v>
      </c>
      <c r="C406" s="249" t="str">
        <f t="shared" si="58"/>
        <v>PR</v>
      </c>
      <c r="D406" s="194">
        <v>46089</v>
      </c>
      <c r="E406" s="172">
        <v>612000</v>
      </c>
      <c r="F406" t="s">
        <v>417</v>
      </c>
      <c r="G406" s="190" t="s">
        <v>418</v>
      </c>
      <c r="H406" s="189" t="s">
        <v>418</v>
      </c>
      <c r="I406" s="166" t="str">
        <f>IFERROR(VLOOKUP(H406,DATOS!$E$117:$F$168,2,0),"")</f>
        <v>H10234</v>
      </c>
      <c r="J406" s="191">
        <v>0.71399999999999997</v>
      </c>
      <c r="K406" s="192">
        <f t="shared" si="59"/>
        <v>19</v>
      </c>
      <c r="L406" s="194">
        <v>46070</v>
      </c>
      <c r="M406" s="189">
        <f t="shared" si="60"/>
        <v>19</v>
      </c>
      <c r="N406" s="176">
        <v>0.5</v>
      </c>
      <c r="O406" s="112" t="s">
        <v>705</v>
      </c>
      <c r="P406" s="249" t="str">
        <f>+UPPER(TEXT(Tabla4[[#This Row],[transferencia]],"mmmm"))</f>
        <v>MARZO</v>
      </c>
      <c r="Q406" s="289" t="s">
        <v>347</v>
      </c>
      <c r="R406" s="249"/>
      <c r="S406" s="249"/>
      <c r="T406" s="249"/>
      <c r="U406" s="249"/>
      <c r="V406" s="249"/>
      <c r="W406" s="249"/>
      <c r="X406" s="249"/>
      <c r="Y406" s="249"/>
      <c r="Z406" s="249"/>
    </row>
    <row r="407" spans="1:26" s="152" customFormat="1" hidden="1" x14ac:dyDescent="0.25">
      <c r="A407" s="112" t="str">
        <f>+Tabla4[[#This Row],[PISCINA]]&amp;Tabla4[[#This Row],[AGUAJE]]</f>
        <v>PA 19AGUAJE 10</v>
      </c>
      <c r="B407" s="112" t="s">
        <v>259</v>
      </c>
      <c r="C407" s="249" t="str">
        <f t="shared" si="58"/>
        <v>PA</v>
      </c>
      <c r="D407" s="194">
        <v>46090</v>
      </c>
      <c r="E407" s="172">
        <v>892000</v>
      </c>
      <c r="F407" s="249" t="s">
        <v>417</v>
      </c>
      <c r="G407" s="190" t="s">
        <v>422</v>
      </c>
      <c r="H407" s="189" t="s">
        <v>444</v>
      </c>
      <c r="I407" s="166" t="str">
        <f>IFERROR(VLOOKUP(H407,DATOS!$E$117:$F$168,2,0),"")</f>
        <v>H10598B</v>
      </c>
      <c r="J407" s="191">
        <v>0.83350000000000002</v>
      </c>
      <c r="K407" s="192">
        <f t="shared" si="59"/>
        <v>29</v>
      </c>
      <c r="L407" s="194">
        <v>46061</v>
      </c>
      <c r="M407" s="189">
        <f t="shared" si="60"/>
        <v>29</v>
      </c>
      <c r="N407" s="176">
        <v>1.4</v>
      </c>
      <c r="O407" s="112" t="s">
        <v>700</v>
      </c>
      <c r="P407" s="249" t="str">
        <f>+UPPER(TEXT(Tabla4[[#This Row],[transferencia]],"mmmm"))</f>
        <v>MARZO</v>
      </c>
      <c r="Q407" t="s">
        <v>347</v>
      </c>
      <c r="R407" s="249"/>
      <c r="S407" s="249"/>
      <c r="T407" s="249"/>
      <c r="U407" s="249"/>
      <c r="V407" s="249"/>
      <c r="W407" s="249"/>
      <c r="X407" s="249"/>
      <c r="Y407" s="249"/>
      <c r="Z407" s="249"/>
    </row>
    <row r="408" spans="1:26" s="152" customFormat="1" hidden="1" x14ac:dyDescent="0.25">
      <c r="A408" s="112" t="str">
        <f>+Tabla4[[#This Row],[PISCINA]]&amp;Tabla4[[#This Row],[AGUAJE]]</f>
        <v>WA 04AGUAJE 10</v>
      </c>
      <c r="B408" s="112" t="s">
        <v>157</v>
      </c>
      <c r="C408" s="249" t="str">
        <f t="shared" si="58"/>
        <v>WA</v>
      </c>
      <c r="D408" s="194">
        <v>46068</v>
      </c>
      <c r="E408" s="172">
        <v>1464000</v>
      </c>
      <c r="F408" s="249" t="s">
        <v>417</v>
      </c>
      <c r="G408" s="190" t="s">
        <v>418</v>
      </c>
      <c r="H408" s="189" t="s">
        <v>419</v>
      </c>
      <c r="I408" s="166" t="str">
        <f>IFERROR(VLOOKUP(H408,DATOS!$E$117:$F$168,2,0),"")</f>
        <v>H10603</v>
      </c>
      <c r="J408" s="191">
        <v>0.69710000000000005</v>
      </c>
      <c r="K408" s="192">
        <f t="shared" si="59"/>
        <v>21</v>
      </c>
      <c r="L408" s="194">
        <v>46047</v>
      </c>
      <c r="M408" s="189">
        <f t="shared" si="60"/>
        <v>21</v>
      </c>
      <c r="N408" s="176">
        <v>0.68</v>
      </c>
      <c r="O408" s="112" t="s">
        <v>158</v>
      </c>
      <c r="P408" s="249" t="str">
        <f>+UPPER(TEXT(Tabla4[[#This Row],[transferencia]],"mmmm"))</f>
        <v>FEBRERO</v>
      </c>
      <c r="Q408" s="249" t="s">
        <v>347</v>
      </c>
      <c r="R408" s="249"/>
      <c r="S408" s="249"/>
      <c r="T408" s="249"/>
      <c r="U408" s="249"/>
      <c r="V408" s="249"/>
      <c r="W408" s="249"/>
      <c r="X408" s="249"/>
      <c r="Y408" s="249"/>
      <c r="Z408" s="249"/>
    </row>
    <row r="409" spans="1:26" s="152" customFormat="1" hidden="1" x14ac:dyDescent="0.25">
      <c r="A409" s="112" t="str">
        <f>+Tabla4[[#This Row],[PISCINA]]&amp;Tabla4[[#This Row],[AGUAJE]]</f>
        <v>WA 10AGUAJE 10</v>
      </c>
      <c r="B409" s="112" t="s">
        <v>348</v>
      </c>
      <c r="C409" s="249" t="str">
        <f t="shared" si="58"/>
        <v>WA</v>
      </c>
      <c r="D409" s="194">
        <v>46067</v>
      </c>
      <c r="E409" s="172">
        <v>420000</v>
      </c>
      <c r="F409" s="249" t="s">
        <v>417</v>
      </c>
      <c r="G409" s="190" t="s">
        <v>422</v>
      </c>
      <c r="H409" s="189" t="s">
        <v>431</v>
      </c>
      <c r="I409" s="166" t="str">
        <f>IFERROR(VLOOKUP(H409,DATOS!$E$117:$F$168,2,0),"")</f>
        <v>H10534B</v>
      </c>
      <c r="J409" s="191">
        <v>0.7</v>
      </c>
      <c r="K409" s="192">
        <f t="shared" si="59"/>
        <v>22</v>
      </c>
      <c r="L409" s="194">
        <v>46045</v>
      </c>
      <c r="M409" s="189">
        <f t="shared" si="60"/>
        <v>22</v>
      </c>
      <c r="N409" s="176">
        <v>0.77</v>
      </c>
      <c r="O409" s="112" t="s">
        <v>706</v>
      </c>
      <c r="P409" s="249" t="str">
        <f>+UPPER(TEXT(Tabla4[[#This Row],[transferencia]],"mmmm"))</f>
        <v>FEBRERO</v>
      </c>
      <c r="Q409" t="s">
        <v>347</v>
      </c>
      <c r="R409" s="249"/>
      <c r="S409" s="249"/>
      <c r="T409" s="249"/>
      <c r="U409" s="249"/>
      <c r="V409" s="249"/>
      <c r="W409" s="249"/>
      <c r="X409" s="249"/>
      <c r="Y409" s="249"/>
      <c r="Z409" s="249"/>
    </row>
    <row r="410" spans="1:26" s="152" customFormat="1" hidden="1" x14ac:dyDescent="0.25">
      <c r="A410" s="112" t="str">
        <f>+Tabla4[[#This Row],[PISCINA]]&amp;Tabla4[[#This Row],[AGUAJE]]</f>
        <v>CH 12AGUAJE 10</v>
      </c>
      <c r="B410" s="112" t="s">
        <v>18</v>
      </c>
      <c r="C410" s="249" t="str">
        <f t="shared" ref="C410:C416" si="61">+MID(A410,1,2)</f>
        <v>CH</v>
      </c>
      <c r="D410" s="194">
        <v>46084</v>
      </c>
      <c r="E410" s="172">
        <v>1033600</v>
      </c>
      <c r="F410" s="249" t="s">
        <v>417</v>
      </c>
      <c r="G410" s="190" t="s">
        <v>566</v>
      </c>
      <c r="H410" s="189" t="s">
        <v>419</v>
      </c>
      <c r="I410" s="166" t="str">
        <f>IFERROR(VLOOKUP(H410,DATOS!$E$117:$F$168,2,0),"")</f>
        <v>H10603</v>
      </c>
      <c r="J410" s="191">
        <v>0.73829999999999996</v>
      </c>
      <c r="K410" s="192">
        <f t="shared" ref="K410:K416" si="62">+D410-L410</f>
        <v>20</v>
      </c>
      <c r="L410" s="194">
        <v>46064</v>
      </c>
      <c r="M410" s="189">
        <f t="shared" ref="M410:M416" si="63">+D410-L410</f>
        <v>20</v>
      </c>
      <c r="N410" s="176">
        <v>0.84</v>
      </c>
      <c r="O410" s="112" t="s">
        <v>514</v>
      </c>
      <c r="P410" s="249" t="str">
        <f>+UPPER(TEXT(Tabla4[[#This Row],[transferencia]],"mmmm"))</f>
        <v>MARZO</v>
      </c>
      <c r="Q410" s="249" t="s">
        <v>347</v>
      </c>
      <c r="R410" s="249"/>
      <c r="S410" s="249"/>
      <c r="T410" s="249"/>
      <c r="U410" s="249"/>
      <c r="V410" s="249"/>
      <c r="W410" s="249"/>
      <c r="X410" s="249"/>
      <c r="Y410" s="249"/>
      <c r="Z410" s="249"/>
    </row>
    <row r="411" spans="1:26" s="152" customFormat="1" hidden="1" x14ac:dyDescent="0.25">
      <c r="A411" s="112" t="str">
        <f>+Tabla4[[#This Row],[PISCINA]]&amp;Tabla4[[#This Row],[AGUAJE]]</f>
        <v>CH 25AGUAJE 10</v>
      </c>
      <c r="B411" s="112" t="s">
        <v>29</v>
      </c>
      <c r="C411" s="249" t="str">
        <f t="shared" si="61"/>
        <v>CH</v>
      </c>
      <c r="D411" s="194">
        <v>46083</v>
      </c>
      <c r="E411" s="172">
        <v>396000</v>
      </c>
      <c r="F411" s="249" t="s">
        <v>417</v>
      </c>
      <c r="G411" s="190" t="s">
        <v>422</v>
      </c>
      <c r="H411" s="189" t="s">
        <v>433</v>
      </c>
      <c r="I411" s="166" t="str">
        <f>IFERROR(VLOOKUP(H411,DATOS!$E$117:$F$168,2,0),"")</f>
        <v>H10586</v>
      </c>
      <c r="J411" s="191">
        <v>0.78580000000000005</v>
      </c>
      <c r="K411" s="192">
        <f t="shared" si="62"/>
        <v>20</v>
      </c>
      <c r="L411" s="194">
        <v>46063</v>
      </c>
      <c r="M411" s="189">
        <f t="shared" si="63"/>
        <v>20</v>
      </c>
      <c r="N411" s="176">
        <v>0.62</v>
      </c>
      <c r="O411" s="112" t="s">
        <v>577</v>
      </c>
      <c r="P411" s="249" t="str">
        <f>+UPPER(TEXT(Tabla4[[#This Row],[transferencia]],"mmmm"))</f>
        <v>MARZO</v>
      </c>
      <c r="Q411" s="249" t="s">
        <v>347</v>
      </c>
      <c r="R411" s="249"/>
      <c r="S411" s="249"/>
      <c r="T411" s="249"/>
      <c r="U411" s="249"/>
      <c r="V411" s="249"/>
      <c r="W411" s="249"/>
      <c r="X411" s="249"/>
      <c r="Y411" s="249"/>
      <c r="Z411" s="249"/>
    </row>
    <row r="412" spans="1:26" s="152" customFormat="1" hidden="1" x14ac:dyDescent="0.25">
      <c r="A412" s="112" t="str">
        <f>+Tabla4[[#This Row],[PISCINA]]&amp;Tabla4[[#This Row],[AGUAJE]]</f>
        <v>DE 04</v>
      </c>
      <c r="B412" s="112" t="s">
        <v>265</v>
      </c>
      <c r="C412" s="249" t="str">
        <f t="shared" si="61"/>
        <v>DE</v>
      </c>
      <c r="D412" s="194">
        <v>46094</v>
      </c>
      <c r="E412" s="172">
        <v>1396800</v>
      </c>
      <c r="F412" s="249" t="s">
        <v>417</v>
      </c>
      <c r="G412" s="190" t="s">
        <v>422</v>
      </c>
      <c r="H412" s="189" t="s">
        <v>431</v>
      </c>
      <c r="I412" s="166" t="str">
        <f>IFERROR(VLOOKUP(H412,DATOS!$E$117:$F$168,2,0),"")</f>
        <v>H10534B</v>
      </c>
      <c r="J412" s="191">
        <v>0.69840000000000002</v>
      </c>
      <c r="K412" s="192">
        <f t="shared" si="62"/>
        <v>20</v>
      </c>
      <c r="L412" s="194">
        <v>46074</v>
      </c>
      <c r="M412" s="189">
        <f t="shared" si="63"/>
        <v>20</v>
      </c>
      <c r="N412" s="176">
        <v>0.6</v>
      </c>
      <c r="O412" s="112" t="s">
        <v>301</v>
      </c>
      <c r="P412" s="249" t="str">
        <f>+UPPER(TEXT(Tabla4[[#This Row],[transferencia]],"mmmm"))</f>
        <v>MARZO</v>
      </c>
      <c r="Q412" s="249"/>
      <c r="R412" s="249"/>
      <c r="S412" s="249"/>
      <c r="T412" s="249"/>
      <c r="U412" s="249"/>
      <c r="V412" s="249"/>
      <c r="W412" s="249"/>
      <c r="X412" s="249"/>
      <c r="Y412" s="249"/>
      <c r="Z412" s="249"/>
    </row>
    <row r="413" spans="1:26" s="152" customFormat="1" hidden="1" x14ac:dyDescent="0.25">
      <c r="A413" s="112" t="str">
        <f>+Tabla4[[#This Row],[PISCINA]]&amp;Tabla4[[#This Row],[AGUAJE]]</f>
        <v>DE 16</v>
      </c>
      <c r="B413" s="112" t="s">
        <v>273</v>
      </c>
      <c r="C413" s="249" t="str">
        <f t="shared" si="61"/>
        <v>DE</v>
      </c>
      <c r="D413" s="194">
        <v>46098</v>
      </c>
      <c r="E413" s="172"/>
      <c r="F413" s="249" t="s">
        <v>417</v>
      </c>
      <c r="G413" s="190" t="s">
        <v>422</v>
      </c>
      <c r="H413" s="189" t="s">
        <v>671</v>
      </c>
      <c r="I413" s="166">
        <f>IFERROR(VLOOKUP(H413,DATOS!$E$117:$F$168,2,0),"")</f>
        <v>0</v>
      </c>
      <c r="J413" s="191"/>
      <c r="K413" s="192">
        <f t="shared" si="62"/>
        <v>46098</v>
      </c>
      <c r="L413" s="194"/>
      <c r="M413" s="189">
        <f t="shared" si="63"/>
        <v>46098</v>
      </c>
      <c r="N413" s="176"/>
      <c r="O413" s="112" t="s">
        <v>581</v>
      </c>
      <c r="P413" s="249" t="str">
        <f>+UPPER(TEXT(Tabla4[[#This Row],[transferencia]],"mmmm"))</f>
        <v>MARZO</v>
      </c>
      <c r="Q413" s="249"/>
      <c r="R413" s="249"/>
      <c r="S413" s="249"/>
      <c r="T413" s="249"/>
      <c r="U413" s="249"/>
      <c r="V413" s="249"/>
      <c r="W413" s="249"/>
      <c r="X413" s="249"/>
      <c r="Y413" s="249"/>
      <c r="Z413" s="249"/>
    </row>
    <row r="414" spans="1:26" s="152" customFormat="1" x14ac:dyDescent="0.25">
      <c r="A414" s="112" t="str">
        <f>+Tabla4[[#This Row],[PISCINA]]&amp;Tabla4[[#This Row],[AGUAJE]]</f>
        <v>PA 02AGUAJE 10</v>
      </c>
      <c r="B414" s="112" t="s">
        <v>263</v>
      </c>
      <c r="C414" s="249" t="str">
        <f t="shared" si="61"/>
        <v>PA</v>
      </c>
      <c r="D414" s="194">
        <v>46093</v>
      </c>
      <c r="E414" s="172">
        <v>424000</v>
      </c>
      <c r="F414" s="249" t="s">
        <v>417</v>
      </c>
      <c r="G414" s="190" t="s">
        <v>566</v>
      </c>
      <c r="H414" s="189" t="s">
        <v>419</v>
      </c>
      <c r="I414" s="166" t="str">
        <f>IFERROR(VLOOKUP(H414,DATOS!$E$117:$F$168,2,0),"")</f>
        <v>H10603</v>
      </c>
      <c r="J414" s="191">
        <v>0.70669999999999999</v>
      </c>
      <c r="K414" s="192">
        <f t="shared" si="62"/>
        <v>16</v>
      </c>
      <c r="L414" s="194">
        <v>46077</v>
      </c>
      <c r="M414" s="189">
        <f t="shared" si="63"/>
        <v>16</v>
      </c>
      <c r="N414" s="176">
        <v>0.45</v>
      </c>
      <c r="O414" s="112" t="s">
        <v>707</v>
      </c>
      <c r="P414" s="249" t="str">
        <f>+UPPER(TEXT(Tabla4[[#This Row],[transferencia]],"mmmm"))</f>
        <v>MARZO</v>
      </c>
      <c r="Q414" t="s">
        <v>347</v>
      </c>
      <c r="R414" s="249"/>
      <c r="S414" s="249"/>
      <c r="T414" s="249"/>
      <c r="U414" s="249"/>
      <c r="V414" s="249"/>
      <c r="W414" s="249"/>
      <c r="X414" s="249"/>
      <c r="Y414" s="249"/>
      <c r="Z414" s="249"/>
    </row>
    <row r="415" spans="1:26" s="152" customFormat="1" hidden="1" x14ac:dyDescent="0.25">
      <c r="A415" s="112" t="str">
        <f>+Tabla4[[#This Row],[PISCINA]]&amp;Tabla4[[#This Row],[AGUAJE]]</f>
        <v>TA PC 17AGUAJE 9</v>
      </c>
      <c r="B415" s="112" t="s">
        <v>204</v>
      </c>
      <c r="C415" s="249" t="str">
        <f t="shared" si="61"/>
        <v>TA</v>
      </c>
      <c r="D415" s="194">
        <v>46063</v>
      </c>
      <c r="E415" s="172">
        <v>225000</v>
      </c>
      <c r="F415" s="249" t="s">
        <v>417</v>
      </c>
      <c r="G415" s="190" t="s">
        <v>422</v>
      </c>
      <c r="H415" s="189" t="s">
        <v>419</v>
      </c>
      <c r="I415" s="166" t="str">
        <f>IFERROR(VLOOKUP(H415,DATOS!$E$117:$F$168,2,0),"")</f>
        <v>H10603</v>
      </c>
      <c r="J415" s="191">
        <v>0.73850000000000005</v>
      </c>
      <c r="K415" s="192">
        <f t="shared" si="62"/>
        <v>16</v>
      </c>
      <c r="L415" s="194">
        <v>46047</v>
      </c>
      <c r="M415" s="189">
        <f t="shared" si="63"/>
        <v>16</v>
      </c>
      <c r="N415" s="176">
        <v>0.32</v>
      </c>
      <c r="O415" s="112" t="s">
        <v>708</v>
      </c>
      <c r="P415" s="249" t="str">
        <f>+UPPER(TEXT(Tabla4[[#This Row],[transferencia]],"mmmm"))</f>
        <v>FEBRERO</v>
      </c>
      <c r="Q415" t="s">
        <v>346</v>
      </c>
      <c r="R415" s="249"/>
      <c r="S415" s="249"/>
      <c r="T415" s="249"/>
      <c r="U415" s="249"/>
      <c r="V415" s="249"/>
      <c r="W415" s="249"/>
      <c r="X415" s="249"/>
      <c r="Y415" s="249"/>
      <c r="Z415" s="249"/>
    </row>
    <row r="416" spans="1:26" s="152" customFormat="1" hidden="1" x14ac:dyDescent="0.25">
      <c r="A416" s="112" t="str">
        <f>+Tabla4[[#This Row],[PISCINA]]&amp;Tabla4[[#This Row],[AGUAJE]]</f>
        <v>WA 37AGUAJE 10</v>
      </c>
      <c r="B416" s="112" t="s">
        <v>163</v>
      </c>
      <c r="C416" s="249" t="str">
        <f t="shared" si="61"/>
        <v>WA</v>
      </c>
      <c r="D416" s="194">
        <v>46062</v>
      </c>
      <c r="E416" s="172">
        <v>2172000</v>
      </c>
      <c r="F416" s="249" t="s">
        <v>417</v>
      </c>
      <c r="G416" s="190" t="s">
        <v>418</v>
      </c>
      <c r="H416" s="190" t="s">
        <v>418</v>
      </c>
      <c r="I416" s="166" t="str">
        <f>IFERROR(VLOOKUP(H416,DATOS!$E$117:$F$168,2,0),"")</f>
        <v>H10234</v>
      </c>
      <c r="J416" s="191">
        <v>0.7006</v>
      </c>
      <c r="K416" s="192">
        <f t="shared" si="62"/>
        <v>24</v>
      </c>
      <c r="L416" s="194">
        <v>46038</v>
      </c>
      <c r="M416" s="189">
        <f t="shared" si="63"/>
        <v>24</v>
      </c>
      <c r="N416" s="176">
        <v>0.67</v>
      </c>
      <c r="O416" s="112" t="s">
        <v>709</v>
      </c>
      <c r="P416" s="249" t="str">
        <f>+UPPER(TEXT(Tabla4[[#This Row],[transferencia]],"mmmm"))</f>
        <v>FEBRERO</v>
      </c>
      <c r="Q416" s="249" t="s">
        <v>347</v>
      </c>
      <c r="R416" s="249"/>
      <c r="S416" s="249"/>
      <c r="T416" s="249"/>
      <c r="U416" s="249"/>
      <c r="V416" s="249"/>
      <c r="W416" s="249"/>
      <c r="X416" s="249"/>
      <c r="Y416" s="249"/>
      <c r="Z416" s="249"/>
    </row>
    <row r="417" spans="1:26" s="152" customFormat="1" hidden="1" x14ac:dyDescent="0.25">
      <c r="A417" s="112" t="str">
        <f>+Tabla4[[#This Row],[PISCINA]]&amp;Tabla4[[#This Row],[AGUAJE]]</f>
        <v>WA 21AGUAJE 10</v>
      </c>
      <c r="B417" s="112" t="s">
        <v>257</v>
      </c>
      <c r="C417" s="249" t="str">
        <f t="shared" ref="C417:C422" si="64">+MID(A417,1,2)</f>
        <v>WA</v>
      </c>
      <c r="D417" s="194">
        <v>46085</v>
      </c>
      <c r="E417" s="172">
        <v>675000</v>
      </c>
      <c r="F417" s="249" t="s">
        <v>417</v>
      </c>
      <c r="G417" s="190" t="s">
        <v>687</v>
      </c>
      <c r="H417" s="189" t="s">
        <v>419</v>
      </c>
      <c r="I417" s="166" t="str">
        <f>IFERROR(VLOOKUP(H417,DATOS!$E$117:$F$168,2,0),"")</f>
        <v>H10603</v>
      </c>
      <c r="J417" s="191">
        <v>0.54769999999999996</v>
      </c>
      <c r="K417" s="192">
        <f t="shared" ref="K417:K422" si="65">+D417-L417</f>
        <v>15</v>
      </c>
      <c r="L417" s="194">
        <v>46070</v>
      </c>
      <c r="M417" s="189">
        <f t="shared" ref="M417:M422" si="66">+D417-L417</f>
        <v>15</v>
      </c>
      <c r="N417" s="176">
        <v>3.15</v>
      </c>
      <c r="O417" s="112" t="s">
        <v>373</v>
      </c>
      <c r="P417" s="249" t="str">
        <f>+UPPER(TEXT(Tabla4[[#This Row],[transferencia]],"mmmm"))</f>
        <v>MARZO</v>
      </c>
      <c r="Q417" s="249" t="s">
        <v>347</v>
      </c>
      <c r="R417" s="249"/>
      <c r="S417" s="249"/>
      <c r="T417" s="249"/>
      <c r="U417" s="249"/>
      <c r="V417" s="249"/>
      <c r="W417" s="249"/>
      <c r="X417" s="249"/>
      <c r="Y417" s="249"/>
      <c r="Z417" s="249"/>
    </row>
    <row r="418" spans="1:26" s="152" customFormat="1" hidden="1" x14ac:dyDescent="0.25">
      <c r="A418" s="112" t="str">
        <f>+Tabla4[[#This Row],[PISCINA]]&amp;Tabla4[[#This Row],[AGUAJE]]</f>
        <v>PA 09AGUAJE 10</v>
      </c>
      <c r="B418" s="112" t="s">
        <v>175</v>
      </c>
      <c r="C418" s="249" t="str">
        <f t="shared" si="64"/>
        <v>PA</v>
      </c>
      <c r="D418" s="194">
        <v>46086</v>
      </c>
      <c r="E418" s="172">
        <v>488468</v>
      </c>
      <c r="F418" s="249" t="s">
        <v>417</v>
      </c>
      <c r="G418" s="190" t="s">
        <v>566</v>
      </c>
      <c r="H418" s="189" t="s">
        <v>419</v>
      </c>
      <c r="I418" s="166" t="str">
        <f>IFERROR(VLOOKUP(H418,DATOS!$E$117:$F$168,2,0),"")</f>
        <v>H10603</v>
      </c>
      <c r="J418" s="191">
        <v>0.61060000000000003</v>
      </c>
      <c r="K418" s="192">
        <f t="shared" si="65"/>
        <v>52</v>
      </c>
      <c r="L418" s="194">
        <v>46034</v>
      </c>
      <c r="M418" s="189">
        <f t="shared" si="66"/>
        <v>52</v>
      </c>
      <c r="N418" s="176">
        <v>4.7</v>
      </c>
      <c r="O418" s="112" t="s">
        <v>710</v>
      </c>
      <c r="P418" s="249" t="str">
        <f>+UPPER(TEXT(Tabla4[[#This Row],[transferencia]],"mmmm"))</f>
        <v>MARZO</v>
      </c>
      <c r="Q418" s="249" t="s">
        <v>347</v>
      </c>
      <c r="R418" s="249"/>
      <c r="S418" s="249"/>
      <c r="T418" s="249"/>
      <c r="U418" s="249"/>
      <c r="V418" s="249"/>
      <c r="W418" s="249"/>
      <c r="X418" s="249"/>
      <c r="Y418" s="249"/>
      <c r="Z418" s="249"/>
    </row>
    <row r="419" spans="1:26" s="152" customFormat="1" hidden="1" x14ac:dyDescent="0.25">
      <c r="A419" s="112" t="str">
        <f>+Tabla4[[#This Row],[PISCINA]]&amp;Tabla4[[#This Row],[AGUAJE]]</f>
        <v>CA 05</v>
      </c>
      <c r="B419" s="112" t="s">
        <v>277</v>
      </c>
      <c r="C419" s="249" t="str">
        <f t="shared" si="64"/>
        <v>CA</v>
      </c>
      <c r="D419" s="194">
        <v>46097</v>
      </c>
      <c r="E419" s="172">
        <v>1962500</v>
      </c>
      <c r="F419" s="249" t="s">
        <v>417</v>
      </c>
      <c r="G419" s="190" t="s">
        <v>422</v>
      </c>
      <c r="H419" s="189" t="s">
        <v>431</v>
      </c>
      <c r="I419" s="166" t="str">
        <f>IFERROR(VLOOKUP(H419,DATOS!$E$117:$F$168,2,0),"")</f>
        <v>H10534B</v>
      </c>
      <c r="J419" s="191">
        <v>0.75</v>
      </c>
      <c r="K419" s="192">
        <f t="shared" si="65"/>
        <v>23</v>
      </c>
      <c r="L419" s="194">
        <v>46074</v>
      </c>
      <c r="M419" s="189">
        <f t="shared" si="66"/>
        <v>23</v>
      </c>
      <c r="N419" s="176">
        <v>0.85</v>
      </c>
      <c r="O419" s="112" t="s">
        <v>711</v>
      </c>
      <c r="P419" s="249" t="str">
        <f>+UPPER(TEXT(Tabla4[[#This Row],[transferencia]],"mmmm"))</f>
        <v>MARZO</v>
      </c>
      <c r="Q419" s="249"/>
      <c r="R419" s="249"/>
      <c r="S419" s="249"/>
      <c r="T419" s="249"/>
      <c r="U419" s="249"/>
      <c r="V419" s="249"/>
      <c r="W419" s="249"/>
      <c r="X419" s="249"/>
      <c r="Y419" s="249"/>
      <c r="Z419" s="249"/>
    </row>
    <row r="420" spans="1:26" s="152" customFormat="1" hidden="1" x14ac:dyDescent="0.25">
      <c r="A420" s="112" t="str">
        <f>+Tabla4[[#This Row],[PISCINA]]&amp;Tabla4[[#This Row],[AGUAJE]]</f>
        <v>DE 10</v>
      </c>
      <c r="B420" s="112" t="s">
        <v>283</v>
      </c>
      <c r="C420" s="249" t="str">
        <f t="shared" si="64"/>
        <v>DE</v>
      </c>
      <c r="D420" s="194">
        <v>46104</v>
      </c>
      <c r="E420" s="172">
        <v>1241800</v>
      </c>
      <c r="F420" s="249" t="s">
        <v>417</v>
      </c>
      <c r="G420" s="190" t="s">
        <v>418</v>
      </c>
      <c r="H420" s="190" t="s">
        <v>418</v>
      </c>
      <c r="I420" s="166" t="str">
        <f>IFERROR(VLOOKUP(H420,DATOS!$E$117:$F$168,2,0),"")</f>
        <v>H10234</v>
      </c>
      <c r="J420" s="191">
        <v>0.82</v>
      </c>
      <c r="K420" s="192">
        <f t="shared" si="65"/>
        <v>18</v>
      </c>
      <c r="L420" s="194">
        <v>46086</v>
      </c>
      <c r="M420" s="189">
        <f t="shared" si="66"/>
        <v>18</v>
      </c>
      <c r="N420" s="176">
        <v>0.47</v>
      </c>
      <c r="O420" s="112" t="s">
        <v>712</v>
      </c>
      <c r="P420" s="249" t="str">
        <f>+UPPER(TEXT(Tabla4[[#This Row],[transferencia]],"mmmm"))</f>
        <v>MARZO</v>
      </c>
      <c r="Q420" s="249"/>
      <c r="R420" s="249"/>
      <c r="S420" s="249"/>
      <c r="T420" s="249"/>
      <c r="U420" s="249"/>
      <c r="V420" s="249"/>
      <c r="W420" s="249"/>
      <c r="X420" s="249"/>
      <c r="Y420" s="249"/>
      <c r="Z420" s="249"/>
    </row>
    <row r="421" spans="1:26" s="152" customFormat="1" hidden="1" x14ac:dyDescent="0.25">
      <c r="A421" s="112" t="str">
        <f>+Tabla4[[#This Row],[PISCINA]]&amp;Tabla4[[#This Row],[AGUAJE]]</f>
        <v>WA 33AGUAJE 10</v>
      </c>
      <c r="B421" s="112" t="s">
        <v>352</v>
      </c>
      <c r="C421" s="249" t="str">
        <f t="shared" si="64"/>
        <v>WA</v>
      </c>
      <c r="D421" s="194">
        <v>46067</v>
      </c>
      <c r="E421" s="172">
        <v>2241000</v>
      </c>
      <c r="F421" s="249" t="s">
        <v>417</v>
      </c>
      <c r="G421" s="190" t="s">
        <v>525</v>
      </c>
      <c r="H421" s="189" t="s">
        <v>713</v>
      </c>
      <c r="I421" s="166" t="str">
        <f>IFERROR(VLOOKUP(H421,DATOS!$E$117:$F$168,2,0),"")</f>
        <v>H10603/0</v>
      </c>
      <c r="J421" s="191">
        <v>0.6321</v>
      </c>
      <c r="K421" s="192">
        <f t="shared" si="65"/>
        <v>19</v>
      </c>
      <c r="L421" s="194">
        <v>46048</v>
      </c>
      <c r="M421" s="189">
        <f t="shared" si="66"/>
        <v>19</v>
      </c>
      <c r="N421" s="176">
        <v>0.47</v>
      </c>
      <c r="O421" s="112" t="s">
        <v>714</v>
      </c>
      <c r="P421" s="249" t="str">
        <f>+UPPER(TEXT(Tabla4[[#This Row],[transferencia]],"mmmm"))</f>
        <v>FEBRERO</v>
      </c>
      <c r="Q421" t="s">
        <v>347</v>
      </c>
      <c r="R421" s="249"/>
      <c r="S421" s="249"/>
      <c r="T421" s="249"/>
      <c r="U421" s="249"/>
      <c r="V421" s="249"/>
      <c r="W421" s="249"/>
      <c r="X421" s="249"/>
      <c r="Y421" s="249"/>
      <c r="Z421" s="249"/>
    </row>
    <row r="422" spans="1:26" s="152" customFormat="1" hidden="1" x14ac:dyDescent="0.25">
      <c r="A422" s="112" t="str">
        <f>+Tabla4[[#This Row],[PISCINA]]&amp;Tabla4[[#This Row],[AGUAJE]]</f>
        <v>WA 34AGUAJE 10</v>
      </c>
      <c r="B422" s="112" t="s">
        <v>377</v>
      </c>
      <c r="C422" s="249" t="str">
        <f t="shared" si="64"/>
        <v>WA</v>
      </c>
      <c r="D422" s="194">
        <v>46069</v>
      </c>
      <c r="E422" s="172">
        <v>910000</v>
      </c>
      <c r="F422" s="249" t="s">
        <v>417</v>
      </c>
      <c r="G422" s="190" t="s">
        <v>428</v>
      </c>
      <c r="H422" s="189" t="s">
        <v>450</v>
      </c>
      <c r="I422" s="166">
        <f>IFERROR(VLOOKUP(H422,DATOS!$E$117:$F$168,2,0),"")</f>
        <v>0</v>
      </c>
      <c r="J422" s="191">
        <v>0.75829999999999997</v>
      </c>
      <c r="K422" s="192">
        <f t="shared" si="65"/>
        <v>21</v>
      </c>
      <c r="L422" s="194">
        <v>46048</v>
      </c>
      <c r="M422" s="189">
        <f t="shared" si="66"/>
        <v>21</v>
      </c>
      <c r="N422" s="176">
        <v>0.55000000000000004</v>
      </c>
      <c r="O422" s="112" t="s">
        <v>211</v>
      </c>
      <c r="P422" s="249" t="str">
        <f>+UPPER(TEXT(Tabla4[[#This Row],[transferencia]],"mmmm"))</f>
        <v>FEBRERO</v>
      </c>
      <c r="Q422" s="289" t="s">
        <v>347</v>
      </c>
      <c r="R422" s="249"/>
      <c r="S422" s="249"/>
      <c r="T422" s="249"/>
      <c r="U422" s="249"/>
      <c r="V422" s="249"/>
      <c r="W422" s="249"/>
      <c r="X422" s="249"/>
      <c r="Y422" s="249"/>
      <c r="Z422" s="249"/>
    </row>
    <row r="423" spans="1:26" s="152" customFormat="1" hidden="1" x14ac:dyDescent="0.25">
      <c r="A423" s="112" t="str">
        <f>+Tabla4[[#This Row],[PISCINA]]&amp;Tabla4[[#This Row],[AGUAJE]]</f>
        <v>TA 08AGUAJE 10</v>
      </c>
      <c r="B423" s="112" t="s">
        <v>143</v>
      </c>
      <c r="C423" s="249" t="str">
        <f t="shared" ref="C423:C428" si="67">+MID(A423,1,2)</f>
        <v>TA</v>
      </c>
      <c r="D423" s="194">
        <v>46109</v>
      </c>
      <c r="E423" s="172">
        <v>1040000</v>
      </c>
      <c r="F423" s="249" t="s">
        <v>417</v>
      </c>
      <c r="G423" s="190" t="s">
        <v>566</v>
      </c>
      <c r="H423" s="189" t="s">
        <v>419</v>
      </c>
      <c r="I423" s="166" t="str">
        <f>IFERROR(VLOOKUP(H423,DATOS!$E$117:$F$168,2,0),"")</f>
        <v>H10603</v>
      </c>
      <c r="J423" s="191">
        <v>1</v>
      </c>
      <c r="K423" s="192">
        <f t="shared" ref="K423:K428" si="68">+D423-L423</f>
        <v>28</v>
      </c>
      <c r="L423" s="194">
        <v>46081</v>
      </c>
      <c r="M423" s="189">
        <f t="shared" ref="M423:M428" si="69">+D423-L423</f>
        <v>28</v>
      </c>
      <c r="N423" s="176">
        <v>7.5</v>
      </c>
      <c r="O423" s="112" t="s">
        <v>715</v>
      </c>
      <c r="P423" s="249" t="str">
        <f>+UPPER(TEXT(Tabla4[[#This Row],[transferencia]],"mmmm"))</f>
        <v>MARZO</v>
      </c>
      <c r="Q423" s="289" t="s">
        <v>347</v>
      </c>
      <c r="R423" s="249"/>
      <c r="S423" s="249"/>
      <c r="T423" s="249"/>
      <c r="U423" s="249"/>
      <c r="V423" s="249"/>
      <c r="W423" s="249"/>
      <c r="X423" s="249"/>
      <c r="Y423" s="249"/>
      <c r="Z423" s="249"/>
    </row>
    <row r="424" spans="1:26" s="152" customFormat="1" hidden="1" x14ac:dyDescent="0.25">
      <c r="A424" s="112" t="str">
        <f>+Tabla4[[#This Row],[PISCINA]]&amp;Tabla4[[#This Row],[AGUAJE]]</f>
        <v>WA 31AGUAJE 10</v>
      </c>
      <c r="B424" s="112" t="s">
        <v>351</v>
      </c>
      <c r="C424" s="249" t="str">
        <f t="shared" si="67"/>
        <v>WA</v>
      </c>
      <c r="D424" s="194">
        <v>46067</v>
      </c>
      <c r="E424" s="172">
        <v>875000</v>
      </c>
      <c r="F424" s="249" t="s">
        <v>417</v>
      </c>
      <c r="G424" s="190" t="s">
        <v>418</v>
      </c>
      <c r="H424" s="189" t="s">
        <v>419</v>
      </c>
      <c r="I424" s="166" t="str">
        <f>IFERROR(VLOOKUP(H424,DATOS!$E$117:$F$168,2,0),"")</f>
        <v>H10603</v>
      </c>
      <c r="J424" s="191">
        <v>0.54659999999999997</v>
      </c>
      <c r="K424" s="192">
        <f t="shared" si="68"/>
        <v>19</v>
      </c>
      <c r="L424" s="194">
        <v>46048</v>
      </c>
      <c r="M424" s="189">
        <f t="shared" si="69"/>
        <v>19</v>
      </c>
      <c r="N424" s="176">
        <v>0.5</v>
      </c>
      <c r="O424" s="112" t="s">
        <v>336</v>
      </c>
      <c r="P424" s="249" t="str">
        <f>+UPPER(TEXT(Tabla4[[#This Row],[transferencia]],"mmmm"))</f>
        <v>FEBRERO</v>
      </c>
      <c r="Q424" s="249" t="s">
        <v>347</v>
      </c>
      <c r="R424" s="249"/>
      <c r="S424" s="249"/>
      <c r="T424" s="249"/>
      <c r="U424" s="249"/>
      <c r="V424" s="249"/>
      <c r="W424" s="249"/>
      <c r="X424" s="249"/>
      <c r="Y424" s="249"/>
      <c r="Z424" s="249"/>
    </row>
    <row r="425" spans="1:26" s="152" customFormat="1" hidden="1" x14ac:dyDescent="0.25">
      <c r="A425" s="112" t="str">
        <f>+Tabla4[[#This Row],[PISCINA]]&amp;Tabla4[[#This Row],[AGUAJE]]</f>
        <v>DE 18</v>
      </c>
      <c r="B425" s="112" t="s">
        <v>269</v>
      </c>
      <c r="C425" s="249" t="str">
        <f t="shared" si="67"/>
        <v>DE</v>
      </c>
      <c r="D425" s="194">
        <v>46098</v>
      </c>
      <c r="E425" s="172">
        <v>1069200</v>
      </c>
      <c r="F425" s="249" t="s">
        <v>417</v>
      </c>
      <c r="G425" s="190" t="s">
        <v>422</v>
      </c>
      <c r="H425" s="189" t="s">
        <v>671</v>
      </c>
      <c r="I425" s="166">
        <f>IFERROR(VLOOKUP(H425,DATOS!$E$117:$F$168,2,0),"")</f>
        <v>0</v>
      </c>
      <c r="J425" s="191">
        <v>0.68859999999999999</v>
      </c>
      <c r="K425" s="192">
        <f t="shared" si="68"/>
        <v>23</v>
      </c>
      <c r="L425" s="194">
        <v>46075</v>
      </c>
      <c r="M425" s="189">
        <f t="shared" si="69"/>
        <v>23</v>
      </c>
      <c r="N425" s="176">
        <v>0.7</v>
      </c>
      <c r="O425" s="112" t="s">
        <v>581</v>
      </c>
      <c r="P425" s="249" t="str">
        <f>+UPPER(TEXT(Tabla4[[#This Row],[transferencia]],"mmmm"))</f>
        <v>MARZO</v>
      </c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</row>
    <row r="426" spans="1:26" s="152" customFormat="1" hidden="1" x14ac:dyDescent="0.25">
      <c r="A426" s="112" t="str">
        <f>+Tabla4[[#This Row],[PISCINA]]&amp;Tabla4[[#This Row],[AGUAJE]]</f>
        <v>WA 28AGUAJE 10</v>
      </c>
      <c r="B426" s="112" t="s">
        <v>349</v>
      </c>
      <c r="C426" s="249" t="str">
        <f t="shared" si="67"/>
        <v>WA</v>
      </c>
      <c r="D426" s="194">
        <v>46072</v>
      </c>
      <c r="E426" s="172">
        <v>1120000</v>
      </c>
      <c r="F426" s="249" t="s">
        <v>417</v>
      </c>
      <c r="G426" s="190" t="s">
        <v>422</v>
      </c>
      <c r="H426" s="189" t="s">
        <v>716</v>
      </c>
      <c r="I426" s="166" t="str">
        <f>IFERROR(VLOOKUP(H426,DATOS!$E$117:$F$168,2,0),"")</f>
        <v/>
      </c>
      <c r="J426" s="191">
        <v>0.63449999999999995</v>
      </c>
      <c r="K426" s="192">
        <f t="shared" si="68"/>
        <v>21</v>
      </c>
      <c r="L426" s="194">
        <v>46051</v>
      </c>
      <c r="M426" s="189">
        <f t="shared" si="69"/>
        <v>21</v>
      </c>
      <c r="N426" s="176">
        <v>0.72</v>
      </c>
      <c r="O426" s="112" t="s">
        <v>717</v>
      </c>
      <c r="P426" s="249" t="str">
        <f>+UPPER(TEXT(Tabla4[[#This Row],[transferencia]],"mmmm"))</f>
        <v>FEBRERO</v>
      </c>
      <c r="Q426" s="249" t="s">
        <v>347</v>
      </c>
      <c r="R426" s="249"/>
      <c r="S426" s="249"/>
      <c r="T426" s="249"/>
      <c r="U426" s="249"/>
      <c r="V426" s="249"/>
      <c r="W426" s="249"/>
      <c r="X426" s="249"/>
      <c r="Y426" s="249"/>
      <c r="Z426" s="249"/>
    </row>
    <row r="427" spans="1:26" s="152" customFormat="1" hidden="1" x14ac:dyDescent="0.25">
      <c r="A427" s="112" t="str">
        <f>+Tabla4[[#This Row],[PISCINA]]&amp;Tabla4[[#This Row],[AGUAJE]]</f>
        <v>DE 13AGUAJE 8</v>
      </c>
      <c r="B427" s="112" t="s">
        <v>252</v>
      </c>
      <c r="C427" s="249" t="str">
        <f t="shared" si="67"/>
        <v>DE</v>
      </c>
      <c r="D427" s="194">
        <v>46081</v>
      </c>
      <c r="E427" s="172">
        <v>1000000</v>
      </c>
      <c r="F427" s="249" t="s">
        <v>417</v>
      </c>
      <c r="G427" s="190" t="s">
        <v>422</v>
      </c>
      <c r="H427" s="189" t="s">
        <v>419</v>
      </c>
      <c r="I427" s="166" t="str">
        <f>IFERROR(VLOOKUP(H427,DATOS!$E$117:$F$168,2,0),"")</f>
        <v>H10603</v>
      </c>
      <c r="J427" s="191">
        <v>1</v>
      </c>
      <c r="K427" s="192">
        <f t="shared" si="68"/>
        <v>28</v>
      </c>
      <c r="L427" s="194">
        <v>46053</v>
      </c>
      <c r="M427" s="189">
        <f t="shared" si="69"/>
        <v>28</v>
      </c>
      <c r="N427" s="176">
        <v>6</v>
      </c>
      <c r="O427" s="112" t="s">
        <v>580</v>
      </c>
      <c r="P427" s="249" t="str">
        <f>+UPPER(TEXT(Tabla4[[#This Row],[transferencia]],"mmmm"))</f>
        <v>FEBRERO</v>
      </c>
      <c r="Q427" s="249" t="s">
        <v>334</v>
      </c>
      <c r="R427" s="249"/>
      <c r="S427" s="249"/>
      <c r="T427" s="249"/>
      <c r="U427" s="249"/>
      <c r="V427" s="249"/>
      <c r="W427" s="249"/>
      <c r="X427" s="249"/>
      <c r="Y427" s="249"/>
      <c r="Z427" s="249"/>
    </row>
    <row r="428" spans="1:26" s="152" customFormat="1" hidden="1" x14ac:dyDescent="0.25">
      <c r="A428" s="112" t="str">
        <f>+Tabla4[[#This Row],[PISCINA]]&amp;Tabla4[[#This Row],[AGUAJE]]</f>
        <v>WA 32AGUAJE 10</v>
      </c>
      <c r="B428" s="112" t="s">
        <v>236</v>
      </c>
      <c r="C428" s="249" t="str">
        <f t="shared" si="67"/>
        <v>WA</v>
      </c>
      <c r="D428" s="194">
        <v>46078</v>
      </c>
      <c r="E428" s="172">
        <v>1700000</v>
      </c>
      <c r="F428" s="249" t="s">
        <v>417</v>
      </c>
      <c r="G428" s="190" t="s">
        <v>422</v>
      </c>
      <c r="H428" s="189" t="s">
        <v>718</v>
      </c>
      <c r="I428" s="166" t="str">
        <f>IFERROR(VLOOKUP(H428,DATOS!$E$117:$F$168,2,0),"")</f>
        <v/>
      </c>
      <c r="J428" s="191">
        <v>0.69</v>
      </c>
      <c r="K428" s="192">
        <f t="shared" si="68"/>
        <v>27</v>
      </c>
      <c r="L428" s="194">
        <v>46051</v>
      </c>
      <c r="M428" s="189">
        <f t="shared" si="69"/>
        <v>27</v>
      </c>
      <c r="N428" s="176">
        <v>1.22</v>
      </c>
      <c r="O428" s="112" t="s">
        <v>719</v>
      </c>
      <c r="P428" s="249" t="str">
        <f>+UPPER(TEXT(Tabla4[[#This Row],[transferencia]],"mmmm"))</f>
        <v>FEBRERO</v>
      </c>
      <c r="Q428" s="289" t="s">
        <v>347</v>
      </c>
      <c r="R428" s="249"/>
      <c r="S428" s="249"/>
      <c r="T428" s="249"/>
      <c r="U428" s="249"/>
      <c r="V428" s="249"/>
      <c r="W428" s="249"/>
      <c r="X428" s="249"/>
      <c r="Y428" s="249"/>
      <c r="Z428" s="249"/>
    </row>
    <row r="429" spans="1:26" s="152" customFormat="1" hidden="1" x14ac:dyDescent="0.25">
      <c r="A429" s="112" t="str">
        <f>+Tabla4[[#This Row],[PISCINA]]&amp;Tabla4[[#This Row],[AGUAJE]]</f>
        <v>ME 17</v>
      </c>
      <c r="B429" s="112" t="s">
        <v>223</v>
      </c>
      <c r="C429" s="249" t="str">
        <f t="shared" ref="C429:C438" si="70">+MID(A429,1,2)</f>
        <v>ME</v>
      </c>
      <c r="D429" s="194">
        <v>46100</v>
      </c>
      <c r="E429" s="172">
        <v>736000</v>
      </c>
      <c r="F429" s="249" t="s">
        <v>417</v>
      </c>
      <c r="G429" s="190" t="s">
        <v>418</v>
      </c>
      <c r="H429" s="190" t="s">
        <v>418</v>
      </c>
      <c r="I429" s="166" t="str">
        <f>IFERROR(VLOOKUP(H429,DATOS!$E$117:$F$168,2,0),"")</f>
        <v>H10234</v>
      </c>
      <c r="J429" s="191">
        <v>0.5081</v>
      </c>
      <c r="K429" s="192">
        <f t="shared" ref="K429:K438" si="71">+D429-L429</f>
        <v>22</v>
      </c>
      <c r="L429" s="194">
        <v>46078</v>
      </c>
      <c r="M429" s="189">
        <f t="shared" ref="M429:M438" si="72">+D429-L429</f>
        <v>22</v>
      </c>
      <c r="N429" s="176"/>
      <c r="O429" s="112" t="s">
        <v>720</v>
      </c>
      <c r="P429" s="249" t="str">
        <f>+UPPER(TEXT(Tabla4[[#This Row],[transferencia]],"mmmm"))</f>
        <v>MARZO</v>
      </c>
      <c r="Q429" s="249"/>
      <c r="R429" s="249"/>
      <c r="S429" s="249"/>
      <c r="T429" s="249"/>
      <c r="U429" s="249"/>
      <c r="V429" s="249"/>
      <c r="W429" s="249"/>
      <c r="X429" s="249"/>
      <c r="Y429" s="249"/>
      <c r="Z429" s="249"/>
    </row>
    <row r="430" spans="1:26" s="152" customFormat="1" hidden="1" x14ac:dyDescent="0.25">
      <c r="A430" s="112" t="str">
        <f>+Tabla4[[#This Row],[PISCINA]]&amp;Tabla4[[#This Row],[AGUAJE]]</f>
        <v>TI 10AGUAJE 10</v>
      </c>
      <c r="B430" s="112" t="s">
        <v>258</v>
      </c>
      <c r="C430" s="249" t="str">
        <f t="shared" si="70"/>
        <v>TI</v>
      </c>
      <c r="D430" s="194">
        <v>46090</v>
      </c>
      <c r="E430" s="172">
        <v>1140700</v>
      </c>
      <c r="F430" s="249" t="s">
        <v>417</v>
      </c>
      <c r="G430" s="190" t="s">
        <v>418</v>
      </c>
      <c r="H430" s="190" t="s">
        <v>418</v>
      </c>
      <c r="I430" s="166" t="str">
        <f>IFERROR(VLOOKUP(H430,DATOS!$E$117:$F$168,2,0),"")</f>
        <v>H10234</v>
      </c>
      <c r="J430" s="191">
        <v>0.71289999999999998</v>
      </c>
      <c r="K430" s="192">
        <f t="shared" si="71"/>
        <v>20</v>
      </c>
      <c r="L430" s="194">
        <v>46070</v>
      </c>
      <c r="M430" s="189">
        <f t="shared" si="72"/>
        <v>20</v>
      </c>
      <c r="N430" s="176">
        <v>0.85</v>
      </c>
      <c r="O430" s="112" t="s">
        <v>646</v>
      </c>
      <c r="P430" s="249" t="str">
        <f>+UPPER(TEXT(Tabla4[[#This Row],[transferencia]],"mmmm"))</f>
        <v>MARZO</v>
      </c>
      <c r="Q430" s="289" t="s">
        <v>347</v>
      </c>
      <c r="R430" s="249"/>
      <c r="S430" s="249"/>
      <c r="T430" s="249"/>
      <c r="U430" s="249"/>
      <c r="V430" s="249"/>
      <c r="W430" s="249"/>
      <c r="X430" s="249"/>
      <c r="Y430" s="249"/>
      <c r="Z430" s="249"/>
    </row>
    <row r="431" spans="1:26" s="152" customFormat="1" hidden="1" x14ac:dyDescent="0.25">
      <c r="A431" s="112" t="str">
        <f>+Tabla4[[#This Row],[PISCINA]]&amp;Tabla4[[#This Row],[AGUAJE]]</f>
        <v>MA 10</v>
      </c>
      <c r="B431" s="112" t="s">
        <v>268</v>
      </c>
      <c r="C431" s="249" t="str">
        <f t="shared" si="70"/>
        <v>MA</v>
      </c>
      <c r="D431" s="194">
        <v>46097</v>
      </c>
      <c r="E431" s="172">
        <v>1975000</v>
      </c>
      <c r="F431" s="249" t="s">
        <v>417</v>
      </c>
      <c r="G431" s="190" t="s">
        <v>418</v>
      </c>
      <c r="H431" s="189" t="s">
        <v>418</v>
      </c>
      <c r="I431" s="166" t="str">
        <f>IFERROR(VLOOKUP(H431,DATOS!$E$117:$F$168,2,0),"")</f>
        <v>H10234</v>
      </c>
      <c r="J431" s="191">
        <v>0.91439999999999999</v>
      </c>
      <c r="K431" s="192">
        <f t="shared" si="71"/>
        <v>28</v>
      </c>
      <c r="L431" s="194">
        <v>46069</v>
      </c>
      <c r="M431" s="189">
        <f t="shared" si="72"/>
        <v>28</v>
      </c>
      <c r="N431" s="176">
        <v>0.48</v>
      </c>
      <c r="O431" s="112" t="s">
        <v>492</v>
      </c>
      <c r="P431" s="249" t="str">
        <f>+UPPER(TEXT(Tabla4[[#This Row],[transferencia]],"mmmm"))</f>
        <v>MARZO</v>
      </c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</row>
    <row r="432" spans="1:26" s="152" customFormat="1" hidden="1" x14ac:dyDescent="0.25">
      <c r="A432" s="112" t="str">
        <f>+Tabla4[[#This Row],[PISCINA]]&amp;Tabla4[[#This Row],[AGUAJE]]</f>
        <v>CH 19</v>
      </c>
      <c r="B432" s="112" t="s">
        <v>30</v>
      </c>
      <c r="C432" s="249" t="str">
        <f t="shared" si="70"/>
        <v>CH</v>
      </c>
      <c r="D432" s="194">
        <v>46094</v>
      </c>
      <c r="E432" s="172">
        <v>1900000</v>
      </c>
      <c r="F432" t="s">
        <v>417</v>
      </c>
      <c r="G432" s="190" t="s">
        <v>422</v>
      </c>
      <c r="H432" s="189" t="s">
        <v>431</v>
      </c>
      <c r="I432" s="166" t="str">
        <f>IFERROR(VLOOKUP(H432,DATOS!$E$117:$F$168,2,0),"")</f>
        <v>H10534B</v>
      </c>
      <c r="J432" s="191">
        <v>0.79169999999999996</v>
      </c>
      <c r="K432" s="192">
        <f t="shared" si="71"/>
        <v>20</v>
      </c>
      <c r="L432" s="194">
        <v>46074</v>
      </c>
      <c r="M432" s="189">
        <f t="shared" si="72"/>
        <v>20</v>
      </c>
      <c r="N432" s="176">
        <v>0.95</v>
      </c>
      <c r="O432" s="112" t="s">
        <v>470</v>
      </c>
      <c r="P432" s="249" t="str">
        <f>+UPPER(TEXT(Tabla4[[#This Row],[transferencia]],"mmmm"))</f>
        <v>MARZO</v>
      </c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</row>
    <row r="433" spans="1:26" s="152" customFormat="1" hidden="1" x14ac:dyDescent="0.25">
      <c r="A433" s="112" t="str">
        <f>+Tabla4[[#This Row],[PISCINA]]&amp;Tabla4[[#This Row],[AGUAJE]]</f>
        <v>WA 30AGUAJE 10</v>
      </c>
      <c r="B433" s="112" t="s">
        <v>214</v>
      </c>
      <c r="C433" s="249" t="str">
        <f t="shared" si="70"/>
        <v>WA</v>
      </c>
      <c r="D433" s="194">
        <v>46078</v>
      </c>
      <c r="E433" s="172">
        <v>2100000</v>
      </c>
      <c r="F433" s="249" t="s">
        <v>417</v>
      </c>
      <c r="G433" s="190" t="s">
        <v>422</v>
      </c>
      <c r="H433" s="189" t="s">
        <v>447</v>
      </c>
      <c r="I433" s="166">
        <f>IFERROR(VLOOKUP(H433,DATOS!$E$117:$F$168,2,0),"")</f>
        <v>0</v>
      </c>
      <c r="J433" s="191">
        <v>0.56910000000000005</v>
      </c>
      <c r="K433" s="192">
        <f t="shared" si="71"/>
        <v>27</v>
      </c>
      <c r="L433" s="194">
        <v>46051</v>
      </c>
      <c r="M433" s="189">
        <f t="shared" si="72"/>
        <v>27</v>
      </c>
      <c r="N433" s="176">
        <v>0.95</v>
      </c>
      <c r="O433" s="112" t="s">
        <v>519</v>
      </c>
      <c r="P433" s="249" t="str">
        <f>+UPPER(TEXT(Tabla4[[#This Row],[transferencia]],"mmmm"))</f>
        <v>FEBRERO</v>
      </c>
      <c r="Q433" s="289" t="s">
        <v>347</v>
      </c>
      <c r="R433" s="249"/>
      <c r="S433" s="249"/>
      <c r="T433" s="249"/>
      <c r="U433" s="249"/>
      <c r="V433" s="249"/>
      <c r="W433" s="249"/>
      <c r="X433" s="249"/>
      <c r="Y433" s="249"/>
      <c r="Z433" s="249"/>
    </row>
    <row r="434" spans="1:26" s="152" customFormat="1" hidden="1" x14ac:dyDescent="0.25">
      <c r="A434" s="112" t="str">
        <f>+Tabla4[[#This Row],[PISCINA]]&amp;Tabla4[[#This Row],[AGUAJE]]</f>
        <v>WA 18</v>
      </c>
      <c r="B434" s="112" t="s">
        <v>379</v>
      </c>
      <c r="C434" s="249" t="str">
        <f t="shared" si="70"/>
        <v>WA</v>
      </c>
      <c r="D434" s="194">
        <v>46074</v>
      </c>
      <c r="E434" s="172">
        <v>630000</v>
      </c>
      <c r="F434" s="249" t="s">
        <v>417</v>
      </c>
      <c r="G434" s="190" t="s">
        <v>422</v>
      </c>
      <c r="H434" s="189" t="s">
        <v>721</v>
      </c>
      <c r="I434" s="166" t="str">
        <f>IFERROR(VLOOKUP(H434,DATOS!$E$117:$F$168,2,0),"")</f>
        <v/>
      </c>
      <c r="J434" s="191">
        <v>0.69140000000000001</v>
      </c>
      <c r="K434" s="192">
        <f t="shared" si="71"/>
        <v>25</v>
      </c>
      <c r="L434" s="194">
        <v>46049</v>
      </c>
      <c r="M434" s="189">
        <f t="shared" si="72"/>
        <v>25</v>
      </c>
      <c r="N434" s="176">
        <v>0.52</v>
      </c>
      <c r="O434" s="112" t="s">
        <v>722</v>
      </c>
      <c r="P434" s="249" t="str">
        <f>+UPPER(TEXT(Tabla4[[#This Row],[transferencia]],"mmmm"))</f>
        <v>FEBRERO</v>
      </c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</row>
    <row r="435" spans="1:26" s="152" customFormat="1" hidden="1" x14ac:dyDescent="0.25">
      <c r="A435" s="112" t="str">
        <f>+Tabla4[[#This Row],[PISCINA]]&amp;Tabla4[[#This Row],[AGUAJE]]</f>
        <v>MA 01</v>
      </c>
      <c r="B435" s="112" t="s">
        <v>271</v>
      </c>
      <c r="C435" s="249" t="str">
        <f t="shared" si="70"/>
        <v>MA</v>
      </c>
      <c r="D435" s="194">
        <v>46098</v>
      </c>
      <c r="E435" s="172">
        <v>1280000</v>
      </c>
      <c r="F435" t="s">
        <v>417</v>
      </c>
      <c r="G435" s="190" t="s">
        <v>422</v>
      </c>
      <c r="H435" s="189" t="s">
        <v>423</v>
      </c>
      <c r="I435" s="166" t="str">
        <f>IFERROR(VLOOKUP(H435,DATOS!$E$117:$F$168,2,0),"")</f>
        <v>H10611</v>
      </c>
      <c r="J435" s="191">
        <v>0.78049999999999997</v>
      </c>
      <c r="K435" s="192">
        <f t="shared" si="71"/>
        <v>16</v>
      </c>
      <c r="L435" s="194">
        <v>46082</v>
      </c>
      <c r="M435" s="189">
        <f t="shared" si="72"/>
        <v>16</v>
      </c>
      <c r="N435" s="176">
        <v>0.4</v>
      </c>
      <c r="O435" s="112" t="s">
        <v>723</v>
      </c>
      <c r="P435" s="249" t="str">
        <f>+UPPER(TEXT(Tabla4[[#This Row],[transferencia]],"mmmm"))</f>
        <v>MARZO</v>
      </c>
      <c r="Q435" s="249"/>
      <c r="R435" s="249"/>
      <c r="S435" s="249"/>
      <c r="T435" s="249"/>
      <c r="U435" s="249"/>
      <c r="V435" s="249"/>
      <c r="W435" s="249"/>
      <c r="X435" s="249"/>
      <c r="Y435" s="249"/>
      <c r="Z435" s="249"/>
    </row>
    <row r="436" spans="1:26" s="152" customFormat="1" hidden="1" x14ac:dyDescent="0.25">
      <c r="A436" s="112" t="str">
        <f>+Tabla4[[#This Row],[PISCINA]]&amp;Tabla4[[#This Row],[AGUAJE]]</f>
        <v>ME 01</v>
      </c>
      <c r="B436" s="112" t="s">
        <v>281</v>
      </c>
      <c r="C436" s="249" t="str">
        <f t="shared" si="70"/>
        <v>ME</v>
      </c>
      <c r="D436" s="194">
        <v>46100</v>
      </c>
      <c r="E436" s="172">
        <v>216000</v>
      </c>
      <c r="F436" t="s">
        <v>417</v>
      </c>
      <c r="G436" s="190" t="s">
        <v>418</v>
      </c>
      <c r="H436" s="190" t="s">
        <v>418</v>
      </c>
      <c r="I436" s="166" t="str">
        <f>IFERROR(VLOOKUP(H436,DATOS!$E$117:$F$168,2,0),"")</f>
        <v>H10234</v>
      </c>
      <c r="J436" s="191">
        <v>0.5081</v>
      </c>
      <c r="K436" s="192">
        <f t="shared" si="71"/>
        <v>22</v>
      </c>
      <c r="L436" s="194">
        <v>46078</v>
      </c>
      <c r="M436" s="189">
        <f t="shared" si="72"/>
        <v>22</v>
      </c>
      <c r="N436" s="176">
        <v>0.7</v>
      </c>
      <c r="O436" s="112" t="s">
        <v>590</v>
      </c>
      <c r="P436" s="249" t="str">
        <f>+UPPER(TEXT(Tabla4[[#This Row],[transferencia]],"mmmm"))</f>
        <v>MARZO</v>
      </c>
      <c r="Q436" s="249"/>
      <c r="R436" s="249"/>
      <c r="S436" s="249"/>
      <c r="T436" s="249"/>
      <c r="U436" s="249"/>
      <c r="V436" s="249"/>
      <c r="W436" s="249"/>
      <c r="X436" s="249"/>
      <c r="Y436" s="249"/>
      <c r="Z436" s="249"/>
    </row>
    <row r="437" spans="1:26" s="152" customFormat="1" hidden="1" x14ac:dyDescent="0.25">
      <c r="A437" s="112" t="str">
        <f>+Tabla4[[#This Row],[PISCINA]]&amp;Tabla4[[#This Row],[AGUAJE]]</f>
        <v>ME 02</v>
      </c>
      <c r="B437" s="112" t="s">
        <v>278</v>
      </c>
      <c r="C437" s="249" t="str">
        <f t="shared" si="70"/>
        <v>ME</v>
      </c>
      <c r="D437" s="194">
        <v>46100</v>
      </c>
      <c r="E437" s="172">
        <v>414000</v>
      </c>
      <c r="F437" t="s">
        <v>417</v>
      </c>
      <c r="G437" s="190" t="s">
        <v>418</v>
      </c>
      <c r="H437" s="190" t="s">
        <v>418</v>
      </c>
      <c r="I437" s="166" t="str">
        <f>IFERROR(VLOOKUP(H437,DATOS!$E$117:$F$168,2,0),"")</f>
        <v>H10234</v>
      </c>
      <c r="J437" s="191">
        <v>0.5081</v>
      </c>
      <c r="K437" s="192">
        <f t="shared" si="71"/>
        <v>22</v>
      </c>
      <c r="L437" s="194">
        <v>46078</v>
      </c>
      <c r="M437" s="189">
        <f t="shared" si="72"/>
        <v>22</v>
      </c>
      <c r="N437" s="176">
        <v>0.7</v>
      </c>
      <c r="O437" s="112" t="s">
        <v>590</v>
      </c>
      <c r="P437" s="249" t="str">
        <f>+UPPER(TEXT(Tabla4[[#This Row],[transferencia]],"mmmm"))</f>
        <v>MARZO</v>
      </c>
      <c r="Q437" s="249"/>
      <c r="R437" s="249"/>
      <c r="S437" s="249"/>
      <c r="T437" s="249"/>
      <c r="U437" s="249"/>
      <c r="V437" s="249"/>
      <c r="W437" s="249"/>
      <c r="X437" s="249"/>
      <c r="Y437" s="249"/>
      <c r="Z437" s="249"/>
    </row>
    <row r="438" spans="1:26" s="152" customFormat="1" hidden="1" x14ac:dyDescent="0.25">
      <c r="A438" s="112" t="str">
        <f>+Tabla4[[#This Row],[PISCINA]]&amp;Tabla4[[#This Row],[AGUAJE]]</f>
        <v>ME 04</v>
      </c>
      <c r="B438" s="112" t="s">
        <v>274</v>
      </c>
      <c r="C438" s="249" t="str">
        <f t="shared" si="70"/>
        <v>ME</v>
      </c>
      <c r="D438" s="194">
        <v>46100</v>
      </c>
      <c r="E438" s="172">
        <v>810000</v>
      </c>
      <c r="F438" t="s">
        <v>417</v>
      </c>
      <c r="G438" s="190" t="s">
        <v>418</v>
      </c>
      <c r="H438" s="190" t="s">
        <v>418</v>
      </c>
      <c r="I438" s="166" t="str">
        <f>IFERROR(VLOOKUP(H438,DATOS!$E$117:$F$168,2,0),"")</f>
        <v>H10234</v>
      </c>
      <c r="J438" s="191">
        <v>0.5081</v>
      </c>
      <c r="K438" s="192">
        <f t="shared" si="71"/>
        <v>22</v>
      </c>
      <c r="L438" s="194">
        <v>46078</v>
      </c>
      <c r="M438" s="189">
        <f t="shared" si="72"/>
        <v>22</v>
      </c>
      <c r="N438" s="176">
        <v>0.7</v>
      </c>
      <c r="O438" s="112" t="s">
        <v>590</v>
      </c>
      <c r="P438" s="249" t="str">
        <f>+UPPER(TEXT(Tabla4[[#This Row],[transferencia]],"mmmm"))</f>
        <v>MARZO</v>
      </c>
      <c r="Q438" s="249"/>
      <c r="R438" s="249"/>
      <c r="S438" s="249"/>
      <c r="T438" s="249"/>
      <c r="U438" s="249"/>
      <c r="V438" s="249"/>
      <c r="W438" s="249"/>
      <c r="X438" s="249"/>
      <c r="Y438" s="249"/>
      <c r="Z438" s="249"/>
    </row>
    <row r="439" spans="1:26" s="152" customFormat="1" hidden="1" x14ac:dyDescent="0.25">
      <c r="A439" s="112" t="str">
        <f>+Tabla4[[#This Row],[PISCINA]]&amp;Tabla4[[#This Row],[AGUAJE]]</f>
        <v>ME 16</v>
      </c>
      <c r="B439" s="112" t="s">
        <v>262</v>
      </c>
      <c r="C439" s="249" t="str">
        <f t="shared" ref="C439:C444" si="73">+MID(A439,1,2)</f>
        <v>ME</v>
      </c>
      <c r="D439" s="194">
        <v>46109</v>
      </c>
      <c r="E439" s="172">
        <v>846000</v>
      </c>
      <c r="F439" t="s">
        <v>417</v>
      </c>
      <c r="G439" s="190" t="s">
        <v>422</v>
      </c>
      <c r="H439" s="189" t="s">
        <v>724</v>
      </c>
      <c r="I439" s="166" t="str">
        <f>IFERROR(VLOOKUP(H439,DATOS!$E$117:$F$168,2,0),"")</f>
        <v/>
      </c>
      <c r="J439" s="191">
        <v>0.46100000000000002</v>
      </c>
      <c r="K439" s="192">
        <f t="shared" ref="K439:K444" si="74">+D439-L439</f>
        <v>21</v>
      </c>
      <c r="L439" s="194">
        <v>46088</v>
      </c>
      <c r="M439" s="189">
        <f t="shared" ref="M439:M444" si="75">+D439-L439</f>
        <v>21</v>
      </c>
      <c r="N439" s="176">
        <v>0.55000000000000004</v>
      </c>
      <c r="O439" s="112" t="s">
        <v>555</v>
      </c>
      <c r="P439" s="249" t="str">
        <f>+UPPER(TEXT(Tabla4[[#This Row],[transferencia]],"mmmm"))</f>
        <v>MARZO</v>
      </c>
      <c r="Q439" s="249"/>
      <c r="R439" s="249"/>
      <c r="S439" s="249"/>
      <c r="T439" s="249"/>
      <c r="U439" s="249"/>
      <c r="V439" s="249"/>
      <c r="W439" s="249"/>
      <c r="X439" s="249"/>
      <c r="Y439" s="249"/>
      <c r="Z439" s="249"/>
    </row>
    <row r="440" spans="1:26" s="152" customFormat="1" hidden="1" x14ac:dyDescent="0.25">
      <c r="A440" s="112" t="str">
        <f>+Tabla4[[#This Row],[PISCINA]]&amp;Tabla4[[#This Row],[AGUAJE]]</f>
        <v>GT 14AGUAJE 10</v>
      </c>
      <c r="B440" s="112" t="s">
        <v>233</v>
      </c>
      <c r="C440" s="249" t="str">
        <f t="shared" si="73"/>
        <v>GT</v>
      </c>
      <c r="D440" s="194">
        <v>46084</v>
      </c>
      <c r="E440" s="172">
        <v>841600</v>
      </c>
      <c r="F440" t="s">
        <v>417</v>
      </c>
      <c r="G440" s="190" t="s">
        <v>422</v>
      </c>
      <c r="H440" s="189" t="s">
        <v>433</v>
      </c>
      <c r="I440" s="166" t="str">
        <f>IFERROR(VLOOKUP(H440,DATOS!$E$117:$F$168,2,0),"")</f>
        <v>H10586</v>
      </c>
      <c r="J440" s="191">
        <v>0.7651</v>
      </c>
      <c r="K440" s="192">
        <f t="shared" si="74"/>
        <v>21</v>
      </c>
      <c r="L440" s="194">
        <v>46063</v>
      </c>
      <c r="M440" s="189">
        <f t="shared" si="75"/>
        <v>21</v>
      </c>
      <c r="N440" s="176">
        <v>0.74</v>
      </c>
      <c r="O440" s="112" t="s">
        <v>551</v>
      </c>
      <c r="P440" s="249" t="str">
        <f>+UPPER(TEXT(Tabla4[[#This Row],[transferencia]],"mmmm"))</f>
        <v>MARZO</v>
      </c>
      <c r="Q440" t="s">
        <v>347</v>
      </c>
      <c r="R440" s="249"/>
      <c r="S440" s="249"/>
      <c r="T440" s="249"/>
      <c r="U440" s="249"/>
      <c r="V440" s="249"/>
      <c r="W440" s="249"/>
      <c r="X440" s="249"/>
      <c r="Y440" s="249"/>
      <c r="Z440" s="249"/>
    </row>
    <row r="441" spans="1:26" s="152" customFormat="1" hidden="1" x14ac:dyDescent="0.25">
      <c r="A441" s="112" t="str">
        <f>+Tabla4[[#This Row],[PISCINA]]&amp;Tabla4[[#This Row],[AGUAJE]]</f>
        <v>GT 16AGUAJE 10</v>
      </c>
      <c r="B441" s="112" t="s">
        <v>231</v>
      </c>
      <c r="C441" s="249" t="str">
        <f t="shared" si="73"/>
        <v>GT</v>
      </c>
      <c r="D441" s="194">
        <v>46083</v>
      </c>
      <c r="E441" s="172">
        <v>396000</v>
      </c>
      <c r="F441" t="s">
        <v>417</v>
      </c>
      <c r="G441" s="190" t="s">
        <v>566</v>
      </c>
      <c r="H441" s="189" t="s">
        <v>419</v>
      </c>
      <c r="I441" s="166" t="str">
        <f>IFERROR(VLOOKUP(H441,DATOS!$E$117:$F$168,2,0),"")</f>
        <v>H10603</v>
      </c>
      <c r="J441" s="191">
        <v>0.80559999999999998</v>
      </c>
      <c r="K441" s="192">
        <f t="shared" si="74"/>
        <v>19</v>
      </c>
      <c r="L441" s="194">
        <v>46064</v>
      </c>
      <c r="M441" s="189">
        <f t="shared" si="75"/>
        <v>19</v>
      </c>
      <c r="N441" s="176">
        <v>0.51</v>
      </c>
      <c r="O441" s="112" t="s">
        <v>552</v>
      </c>
      <c r="P441" s="249" t="str">
        <f>+UPPER(TEXT(Tabla4[[#This Row],[transferencia]],"mmmm"))</f>
        <v>MARZO</v>
      </c>
      <c r="Q441" s="289" t="s">
        <v>347</v>
      </c>
      <c r="R441" s="249"/>
      <c r="S441" s="249"/>
      <c r="T441" s="249"/>
      <c r="U441" s="249"/>
      <c r="V441" s="249"/>
      <c r="W441" s="249"/>
      <c r="X441" s="249"/>
      <c r="Y441" s="249"/>
      <c r="Z441" s="249"/>
    </row>
    <row r="442" spans="1:26" s="152" customFormat="1" hidden="1" x14ac:dyDescent="0.25">
      <c r="A442" s="250" t="str">
        <f>+Tabla4[[#This Row],[PISCINA]]&amp;Tabla4[[#This Row],[AGUAJE]]</f>
        <v>TI 15</v>
      </c>
      <c r="B442" s="250" t="s">
        <v>300</v>
      </c>
      <c r="C442" s="269" t="str">
        <f t="shared" si="73"/>
        <v>TI</v>
      </c>
      <c r="D442" s="251">
        <v>46105</v>
      </c>
      <c r="E442" s="252">
        <v>2106800</v>
      </c>
      <c r="F442" t="s">
        <v>417</v>
      </c>
      <c r="G442" s="190" t="s">
        <v>422</v>
      </c>
      <c r="H442" s="189" t="s">
        <v>447</v>
      </c>
      <c r="I442" s="254">
        <f>IFERROR(VLOOKUP(H442,DATOS!$E$117:$F$168,2,0),"")</f>
        <v>0</v>
      </c>
      <c r="J442" s="255">
        <v>0.81120000000000003</v>
      </c>
      <c r="K442" s="256">
        <f t="shared" si="74"/>
        <v>20</v>
      </c>
      <c r="L442" s="194">
        <v>46085</v>
      </c>
      <c r="M442" s="253">
        <f t="shared" si="75"/>
        <v>20</v>
      </c>
      <c r="N442" s="257">
        <v>0.6</v>
      </c>
      <c r="O442" s="112" t="s">
        <v>725</v>
      </c>
      <c r="P442" s="269" t="str">
        <f>+UPPER(TEXT(Tabla4[[#This Row],[transferencia]],"mmmm"))</f>
        <v>MARZO</v>
      </c>
      <c r="Q442" s="269"/>
      <c r="R442" s="269"/>
      <c r="S442" s="249"/>
      <c r="T442" s="249"/>
      <c r="U442" s="249"/>
      <c r="V442" s="249"/>
      <c r="W442" s="249"/>
      <c r="X442" s="249"/>
      <c r="Y442" s="249"/>
      <c r="Z442" s="249"/>
    </row>
    <row r="443" spans="1:26" s="152" customFormat="1" hidden="1" x14ac:dyDescent="0.25">
      <c r="A443" s="250" t="str">
        <f>+Tabla4[[#This Row],[PISCINA]]&amp;Tabla4[[#This Row],[AGUAJE]]</f>
        <v>TI 16</v>
      </c>
      <c r="B443" s="250" t="s">
        <v>303</v>
      </c>
      <c r="C443" s="269" t="str">
        <f t="shared" si="73"/>
        <v>TI</v>
      </c>
      <c r="D443" s="251">
        <v>46108</v>
      </c>
      <c r="E443" s="252">
        <v>2419200</v>
      </c>
      <c r="F443" t="s">
        <v>417</v>
      </c>
      <c r="G443" s="190" t="s">
        <v>422</v>
      </c>
      <c r="H443" s="189" t="s">
        <v>450</v>
      </c>
      <c r="I443" s="254">
        <f>IFERROR(VLOOKUP(H443,DATOS!$E$117:$F$168,2,0),"")</f>
        <v>0</v>
      </c>
      <c r="J443" s="255">
        <v>0.79310000000000003</v>
      </c>
      <c r="K443" s="256">
        <f t="shared" si="74"/>
        <v>20</v>
      </c>
      <c r="L443" s="251">
        <v>46088</v>
      </c>
      <c r="M443" s="253">
        <f t="shared" si="75"/>
        <v>20</v>
      </c>
      <c r="N443" s="257">
        <v>0.62</v>
      </c>
      <c r="O443" s="112" t="s">
        <v>660</v>
      </c>
      <c r="P443" s="269" t="str">
        <f>+UPPER(TEXT(Tabla4[[#This Row],[transferencia]],"mmmm"))</f>
        <v>MARZO</v>
      </c>
      <c r="Q443"/>
      <c r="R443" s="269"/>
      <c r="S443" s="249"/>
      <c r="T443" s="249"/>
      <c r="U443" s="249"/>
      <c r="V443" s="249"/>
      <c r="W443" s="249"/>
      <c r="X443" s="249"/>
      <c r="Y443" s="249"/>
      <c r="Z443" s="249"/>
    </row>
    <row r="444" spans="1:26" s="152" customFormat="1" hidden="1" x14ac:dyDescent="0.25">
      <c r="A444" s="250" t="str">
        <f>+Tabla4[[#This Row],[PISCINA]]&amp;Tabla4[[#This Row],[AGUAJE]]</f>
        <v>TI 19</v>
      </c>
      <c r="B444" s="250" t="s">
        <v>109</v>
      </c>
      <c r="C444" s="269" t="str">
        <f t="shared" si="73"/>
        <v>TI</v>
      </c>
      <c r="D444" s="251">
        <v>46104</v>
      </c>
      <c r="E444" s="252">
        <v>308000</v>
      </c>
      <c r="F444" t="s">
        <v>417</v>
      </c>
      <c r="G444" s="190" t="s">
        <v>422</v>
      </c>
      <c r="H444" s="189" t="s">
        <v>423</v>
      </c>
      <c r="I444" s="254" t="str">
        <f>IFERROR(VLOOKUP(H444,DATOS!$E$117:$F$168,2,0),"")</f>
        <v>H10611</v>
      </c>
      <c r="J444" s="255">
        <v>0.76829999999999998</v>
      </c>
      <c r="K444" s="256">
        <f t="shared" si="74"/>
        <v>22</v>
      </c>
      <c r="L444" s="251">
        <v>46082</v>
      </c>
      <c r="M444" s="253">
        <f t="shared" si="75"/>
        <v>22</v>
      </c>
      <c r="N444" s="257">
        <v>1.1499999999999999</v>
      </c>
      <c r="O444" s="112" t="s">
        <v>685</v>
      </c>
      <c r="P444" s="269" t="str">
        <f>+UPPER(TEXT(Tabla4[[#This Row],[transferencia]],"mmmm"))</f>
        <v>MARZO</v>
      </c>
      <c r="Q444" s="269"/>
      <c r="R444" s="269"/>
      <c r="S444" s="249"/>
      <c r="T444" s="249"/>
      <c r="U444" s="249"/>
      <c r="V444" s="249"/>
      <c r="W444" s="249"/>
      <c r="X444" s="249"/>
      <c r="Y444" s="249"/>
      <c r="Z444" s="249"/>
    </row>
    <row r="445" spans="1:26" s="152" customFormat="1" hidden="1" x14ac:dyDescent="0.25">
      <c r="A445" s="250" t="str">
        <f>+Tabla4[[#This Row],[PISCINA]]&amp;Tabla4[[#This Row],[AGUAJE]]</f>
        <v>BA 02</v>
      </c>
      <c r="B445" s="250" t="s">
        <v>207</v>
      </c>
      <c r="C445" s="269" t="str">
        <f t="shared" ref="C445:C446" si="76">+MID(A445,1,2)</f>
        <v>BA</v>
      </c>
      <c r="D445" s="251">
        <v>46076</v>
      </c>
      <c r="E445" s="252">
        <v>673333</v>
      </c>
      <c r="F445" t="s">
        <v>417</v>
      </c>
      <c r="G445" s="190" t="s">
        <v>428</v>
      </c>
      <c r="H445" s="189" t="s">
        <v>671</v>
      </c>
      <c r="I445" s="254">
        <f>IFERROR(VLOOKUP(H445,DATOS!$E$117:$F$168,2,0),"")</f>
        <v>0</v>
      </c>
      <c r="J445" s="255">
        <v>0.83830000000000005</v>
      </c>
      <c r="K445" s="256">
        <f t="shared" ref="K445:K446" si="77">+D445-L445</f>
        <v>22</v>
      </c>
      <c r="L445" s="251">
        <v>46054</v>
      </c>
      <c r="M445" s="253">
        <f t="shared" ref="M445:M446" si="78">+D445-L445</f>
        <v>22</v>
      </c>
      <c r="N445" s="257">
        <v>0.6</v>
      </c>
      <c r="O445" s="112" t="s">
        <v>726</v>
      </c>
      <c r="P445" s="269" t="str">
        <f>+UPPER(TEXT(Tabla4[[#This Row],[transferencia]],"mmmm"))</f>
        <v>FEBRERO</v>
      </c>
      <c r="Q445" s="269"/>
      <c r="R445" s="269"/>
      <c r="S445" s="249"/>
      <c r="T445" s="249"/>
      <c r="U445" s="249"/>
      <c r="V445" s="249"/>
      <c r="W445" s="249"/>
      <c r="X445" s="249"/>
      <c r="Y445" s="249"/>
      <c r="Z445" s="249"/>
    </row>
    <row r="446" spans="1:26" s="152" customFormat="1" hidden="1" x14ac:dyDescent="0.25">
      <c r="A446" s="250" t="str">
        <f>+Tabla4[[#This Row],[PISCINA]]&amp;Tabla4[[#This Row],[AGUAJE]]</f>
        <v>BA 03</v>
      </c>
      <c r="B446" s="250" t="s">
        <v>205</v>
      </c>
      <c r="C446" s="269" t="str">
        <f t="shared" si="76"/>
        <v>BA</v>
      </c>
      <c r="D446" s="251">
        <v>46076</v>
      </c>
      <c r="E446" s="252">
        <v>1718666</v>
      </c>
      <c r="F446" t="s">
        <v>417</v>
      </c>
      <c r="G446" s="190" t="s">
        <v>428</v>
      </c>
      <c r="H446" s="189" t="s">
        <v>671</v>
      </c>
      <c r="I446" s="254">
        <f>IFERROR(VLOOKUP(H446,DATOS!$E$117:$F$168,2,0),"")</f>
        <v>0</v>
      </c>
      <c r="J446" s="255">
        <v>0.83830000000000005</v>
      </c>
      <c r="K446" s="256">
        <f t="shared" si="77"/>
        <v>22</v>
      </c>
      <c r="L446" s="251">
        <v>46054</v>
      </c>
      <c r="M446" s="253">
        <f t="shared" si="78"/>
        <v>22</v>
      </c>
      <c r="N446" s="257">
        <v>0.6</v>
      </c>
      <c r="O446" s="112" t="s">
        <v>726</v>
      </c>
      <c r="P446" s="269" t="str">
        <f>+UPPER(TEXT(Tabla4[[#This Row],[transferencia]],"mmmm"))</f>
        <v>FEBRERO</v>
      </c>
      <c r="Q446" s="269"/>
      <c r="R446" s="269"/>
      <c r="S446" s="249"/>
      <c r="T446" s="249"/>
      <c r="U446" s="249"/>
      <c r="V446" s="249"/>
      <c r="W446" s="249"/>
      <c r="X446" s="249"/>
      <c r="Y446" s="249"/>
      <c r="Z446" s="249"/>
    </row>
    <row r="447" spans="1:26" s="152" customFormat="1" hidden="1" x14ac:dyDescent="0.25">
      <c r="A447" s="250" t="str">
        <f>+Tabla4[[#This Row],[PISCINA]]&amp;Tabla4[[#This Row],[AGUAJE]]</f>
        <v>PA 06</v>
      </c>
      <c r="B447" s="250" t="s">
        <v>304</v>
      </c>
      <c r="C447" s="269" t="str">
        <f t="shared" ref="C447:C454" si="79">+MID(A447,1,2)</f>
        <v>PA</v>
      </c>
      <c r="D447" s="251">
        <v>46107</v>
      </c>
      <c r="E447" s="252">
        <v>1497272</v>
      </c>
      <c r="F447" t="s">
        <v>417</v>
      </c>
      <c r="G447" s="190" t="s">
        <v>422</v>
      </c>
      <c r="H447" s="189" t="s">
        <v>423</v>
      </c>
      <c r="I447" s="254" t="str">
        <f>IFERROR(VLOOKUP(H447,DATOS!$E$117:$F$168,2,0),"")</f>
        <v>H10611</v>
      </c>
      <c r="J447" s="255">
        <v>0.78049999999999997</v>
      </c>
      <c r="K447" s="256">
        <f t="shared" ref="K447:K454" si="80">+D447-L447</f>
        <v>25</v>
      </c>
      <c r="L447" s="251">
        <v>46082</v>
      </c>
      <c r="M447" s="253">
        <f t="shared" ref="M447:M454" si="81">+D447-L447</f>
        <v>25</v>
      </c>
      <c r="N447" s="257">
        <v>1.1000000000000001</v>
      </c>
      <c r="O447" s="112" t="s">
        <v>727</v>
      </c>
      <c r="P447" s="269" t="str">
        <f>+UPPER(TEXT(Tabla4[[#This Row],[transferencia]],"mmmm"))</f>
        <v>MARZO</v>
      </c>
      <c r="Q447" s="269"/>
      <c r="R447" s="269"/>
      <c r="S447" s="249"/>
      <c r="T447" s="249"/>
      <c r="U447" s="249"/>
      <c r="V447" s="249"/>
      <c r="W447" s="249"/>
      <c r="X447" s="249"/>
      <c r="Y447" s="249"/>
      <c r="Z447" s="249"/>
    </row>
    <row r="448" spans="1:26" s="152" customFormat="1" hidden="1" x14ac:dyDescent="0.25">
      <c r="A448" s="250" t="str">
        <f>+Tabla4[[#This Row],[PISCINA]]&amp;Tabla4[[#This Row],[AGUAJE]]</f>
        <v>WA 13AGUAJE 10</v>
      </c>
      <c r="B448" s="250" t="s">
        <v>211</v>
      </c>
      <c r="C448" s="269" t="str">
        <f t="shared" si="79"/>
        <v>WA</v>
      </c>
      <c r="D448" s="194">
        <v>46074</v>
      </c>
      <c r="E448" s="252">
        <v>1647000</v>
      </c>
      <c r="F448" s="249" t="s">
        <v>417</v>
      </c>
      <c r="G448" s="190" t="s">
        <v>422</v>
      </c>
      <c r="H448" s="189" t="s">
        <v>528</v>
      </c>
      <c r="I448" s="254" t="str">
        <f>IFERROR(VLOOKUP(H448,DATOS!$E$117:$F$168,2,0),"")</f>
        <v>H10534A</v>
      </c>
      <c r="J448" s="255">
        <v>0.77739999999999998</v>
      </c>
      <c r="K448" s="256">
        <f t="shared" si="80"/>
        <v>22</v>
      </c>
      <c r="L448" s="194">
        <v>46052</v>
      </c>
      <c r="M448" s="253">
        <f t="shared" si="81"/>
        <v>22</v>
      </c>
      <c r="N448" s="257">
        <v>0.6</v>
      </c>
      <c r="O448" s="112" t="s">
        <v>728</v>
      </c>
      <c r="P448" s="269" t="str">
        <f>+UPPER(TEXT(Tabla4[[#This Row],[transferencia]],"mmmm"))</f>
        <v>FEBRERO</v>
      </c>
      <c r="Q448" s="269" t="s">
        <v>347</v>
      </c>
      <c r="R448" s="269"/>
      <c r="S448" s="249"/>
      <c r="T448" s="249"/>
      <c r="U448" s="249"/>
      <c r="V448" s="249"/>
      <c r="W448" s="249"/>
      <c r="X448" s="249"/>
      <c r="Y448" s="249"/>
      <c r="Z448" s="249"/>
    </row>
    <row r="449" spans="1:26" s="152" customFormat="1" hidden="1" x14ac:dyDescent="0.25">
      <c r="A449" s="250" t="str">
        <f>+Tabla4[[#This Row],[PISCINA]]&amp;Tabla4[[#This Row],[AGUAJE]]</f>
        <v>DO 16</v>
      </c>
      <c r="B449" s="250" t="s">
        <v>253</v>
      </c>
      <c r="C449" s="269" t="str">
        <f t="shared" si="79"/>
        <v>DO</v>
      </c>
      <c r="D449" s="251">
        <v>46089</v>
      </c>
      <c r="E449" s="252">
        <v>1054035</v>
      </c>
      <c r="F449" s="249" t="s">
        <v>417</v>
      </c>
      <c r="G449" s="190" t="s">
        <v>422</v>
      </c>
      <c r="H449" s="189" t="s">
        <v>454</v>
      </c>
      <c r="I449" s="254">
        <f>IFERROR(VLOOKUP(H449,DATOS!$E$117:$F$168,2,0),"")</f>
        <v>0</v>
      </c>
      <c r="J449" s="255"/>
      <c r="K449" s="256">
        <f t="shared" si="80"/>
        <v>39</v>
      </c>
      <c r="L449" s="251">
        <v>46050</v>
      </c>
      <c r="M449" s="253">
        <f t="shared" si="81"/>
        <v>39</v>
      </c>
      <c r="N449" s="257">
        <v>1.71</v>
      </c>
      <c r="O449" s="112" t="s">
        <v>647</v>
      </c>
      <c r="P449" s="269" t="str">
        <f>+UPPER(TEXT(Tabla4[[#This Row],[transferencia]],"mmmm"))</f>
        <v>MARZO</v>
      </c>
      <c r="Q449" s="269"/>
      <c r="R449" s="269"/>
      <c r="S449" s="249"/>
      <c r="T449" s="249"/>
      <c r="U449" s="249"/>
      <c r="V449" s="249"/>
      <c r="W449" s="249"/>
      <c r="X449" s="249"/>
      <c r="Y449" s="249"/>
      <c r="Z449" s="249"/>
    </row>
    <row r="450" spans="1:26" s="152" customFormat="1" hidden="1" x14ac:dyDescent="0.25">
      <c r="A450" s="250" t="str">
        <f>+Tabla4[[#This Row],[PISCINA]]&amp;Tabla4[[#This Row],[AGUAJE]]</f>
        <v>DO 18</v>
      </c>
      <c r="B450" s="250" t="s">
        <v>297</v>
      </c>
      <c r="C450" s="269" t="str">
        <f t="shared" si="79"/>
        <v>DO</v>
      </c>
      <c r="D450" s="251">
        <v>46107</v>
      </c>
      <c r="E450" s="252">
        <v>869767</v>
      </c>
      <c r="F450" s="249" t="s">
        <v>417</v>
      </c>
      <c r="G450" s="190" t="s">
        <v>418</v>
      </c>
      <c r="H450" s="190" t="s">
        <v>418</v>
      </c>
      <c r="I450" s="254" t="str">
        <f>IFERROR(VLOOKUP(H450,DATOS!$E$117:$F$168,2,0),"")</f>
        <v>H10234</v>
      </c>
      <c r="J450" s="255">
        <v>0.3866</v>
      </c>
      <c r="K450" s="256">
        <f t="shared" si="80"/>
        <v>28</v>
      </c>
      <c r="L450" s="251">
        <v>46079</v>
      </c>
      <c r="M450" s="253">
        <f t="shared" si="81"/>
        <v>28</v>
      </c>
      <c r="N450" s="257">
        <v>0.86</v>
      </c>
      <c r="O450" s="112" t="s">
        <v>260</v>
      </c>
      <c r="P450" s="269" t="str">
        <f>+UPPER(TEXT(Tabla4[[#This Row],[transferencia]],"mmmm"))</f>
        <v>MARZO</v>
      </c>
      <c r="Q450" s="269"/>
      <c r="R450" s="269"/>
      <c r="S450" s="249"/>
      <c r="T450" s="249"/>
      <c r="U450" s="249"/>
      <c r="V450" s="249"/>
      <c r="W450" s="249"/>
      <c r="X450" s="249"/>
      <c r="Y450" s="249"/>
      <c r="Z450" s="249"/>
    </row>
    <row r="451" spans="1:26" s="152" customFormat="1" hidden="1" x14ac:dyDescent="0.25">
      <c r="A451" s="250" t="str">
        <f>+Tabla4[[#This Row],[PISCINA]]&amp;Tabla4[[#This Row],[AGUAJE]]</f>
        <v>DO 17</v>
      </c>
      <c r="B451" s="250" t="s">
        <v>267</v>
      </c>
      <c r="C451" s="269" t="str">
        <f t="shared" si="79"/>
        <v>DO</v>
      </c>
      <c r="D451" s="251"/>
      <c r="E451" s="252"/>
      <c r="F451" s="249" t="s">
        <v>417</v>
      </c>
      <c r="G451" s="190" t="s">
        <v>422</v>
      </c>
      <c r="H451" s="189" t="s">
        <v>454</v>
      </c>
      <c r="I451" s="254">
        <f>IFERROR(VLOOKUP(H451,DATOS!$E$117:$F$168,2,0),"")</f>
        <v>0</v>
      </c>
      <c r="J451" s="255"/>
      <c r="K451" s="256">
        <f t="shared" si="80"/>
        <v>0</v>
      </c>
      <c r="L451" s="251"/>
      <c r="M451" s="253">
        <f t="shared" si="81"/>
        <v>0</v>
      </c>
      <c r="N451" s="257"/>
      <c r="O451" s="250"/>
      <c r="P451" s="269" t="str">
        <f>+UPPER(TEXT(Tabla4[[#This Row],[transferencia]],"mmmm"))</f>
        <v>ENERO</v>
      </c>
      <c r="Q451" s="269"/>
      <c r="R451" s="269"/>
      <c r="S451" s="249"/>
      <c r="T451" s="249"/>
      <c r="U451" s="249"/>
      <c r="V451" s="249"/>
      <c r="W451" s="249"/>
      <c r="X451" s="249"/>
      <c r="Y451" s="249"/>
      <c r="Z451" s="249"/>
    </row>
    <row r="452" spans="1:26" s="152" customFormat="1" hidden="1" x14ac:dyDescent="0.25">
      <c r="A452" s="250" t="str">
        <f>+Tabla4[[#This Row],[PISCINA]]&amp;Tabla4[[#This Row],[AGUAJE]]</f>
        <v>DO 29</v>
      </c>
      <c r="B452" s="250" t="s">
        <v>286</v>
      </c>
      <c r="C452" s="269" t="str">
        <f t="shared" si="79"/>
        <v>DO</v>
      </c>
      <c r="D452" s="251">
        <v>46103</v>
      </c>
      <c r="E452" s="252"/>
      <c r="F452" s="249" t="s">
        <v>417</v>
      </c>
      <c r="G452" s="190" t="s">
        <v>422</v>
      </c>
      <c r="H452" s="189" t="s">
        <v>423</v>
      </c>
      <c r="I452" s="254" t="str">
        <f>IFERROR(VLOOKUP(H452,DATOS!$E$117:$F$168,2,0),"")</f>
        <v>H10611</v>
      </c>
      <c r="J452" s="255"/>
      <c r="K452" s="256">
        <f t="shared" si="80"/>
        <v>46103</v>
      </c>
      <c r="L452" s="251"/>
      <c r="M452" s="253">
        <f t="shared" si="81"/>
        <v>46103</v>
      </c>
      <c r="N452" s="257"/>
      <c r="O452" s="250"/>
      <c r="P452" s="269" t="str">
        <f>+UPPER(TEXT(Tabla4[[#This Row],[transferencia]],"mmmm"))</f>
        <v>MARZO</v>
      </c>
      <c r="Q452" s="269"/>
      <c r="R452" s="269"/>
      <c r="S452" s="249"/>
      <c r="T452" s="249"/>
      <c r="U452" s="249"/>
      <c r="V452" s="249"/>
      <c r="W452" s="249"/>
      <c r="X452" s="249"/>
      <c r="Y452" s="249"/>
      <c r="Z452" s="249"/>
    </row>
    <row r="453" spans="1:26" s="152" customFormat="1" hidden="1" x14ac:dyDescent="0.25">
      <c r="A453" s="250" t="str">
        <f>+Tabla4[[#This Row],[PISCINA]]&amp;Tabla4[[#This Row],[AGUAJE]]</f>
        <v>GT 17AGUAJE 10</v>
      </c>
      <c r="B453" s="250" t="s">
        <v>222</v>
      </c>
      <c r="C453" s="269" t="str">
        <f t="shared" si="79"/>
        <v>GT</v>
      </c>
      <c r="D453" s="251">
        <v>46083</v>
      </c>
      <c r="E453" s="252">
        <v>973500</v>
      </c>
      <c r="F453" s="249" t="s">
        <v>417</v>
      </c>
      <c r="G453" s="190" t="s">
        <v>566</v>
      </c>
      <c r="H453" s="189" t="s">
        <v>419</v>
      </c>
      <c r="I453" s="254" t="str">
        <f>IFERROR(VLOOKUP(H453,DATOS!$E$117:$F$168,2,0),"")</f>
        <v>H10603</v>
      </c>
      <c r="J453" s="255">
        <v>0.80559999999999998</v>
      </c>
      <c r="K453" s="256">
        <f t="shared" si="80"/>
        <v>19</v>
      </c>
      <c r="L453" s="251">
        <v>46064</v>
      </c>
      <c r="M453" s="253">
        <f t="shared" si="81"/>
        <v>19</v>
      </c>
      <c r="N453" s="257">
        <v>0.51</v>
      </c>
      <c r="O453" s="250" t="s">
        <v>552</v>
      </c>
      <c r="P453" s="269" t="str">
        <f>+UPPER(TEXT(Tabla4[[#This Row],[transferencia]],"mmmm"))</f>
        <v>MARZO</v>
      </c>
      <c r="Q453" s="269" t="s">
        <v>347</v>
      </c>
      <c r="R453" s="269"/>
      <c r="S453" s="249"/>
      <c r="T453" s="249"/>
      <c r="U453" s="249"/>
      <c r="V453" s="249"/>
      <c r="W453" s="249"/>
      <c r="X453" s="249"/>
      <c r="Y453" s="249"/>
      <c r="Z453" s="249"/>
    </row>
    <row r="454" spans="1:26" s="152" customFormat="1" hidden="1" x14ac:dyDescent="0.25">
      <c r="A454" s="250" t="str">
        <f>+Tabla4[[#This Row],[PISCINA]]&amp;Tabla4[[#This Row],[AGUAJE]]</f>
        <v>GT 01AGUAJE 10</v>
      </c>
      <c r="B454" s="250" t="s">
        <v>280</v>
      </c>
      <c r="C454" s="269" t="str">
        <f t="shared" si="79"/>
        <v>GT</v>
      </c>
      <c r="D454" s="251">
        <v>46097</v>
      </c>
      <c r="E454" s="252">
        <v>675000</v>
      </c>
      <c r="F454" s="249" t="s">
        <v>417</v>
      </c>
      <c r="G454" s="190" t="s">
        <v>418</v>
      </c>
      <c r="H454" s="189" t="s">
        <v>419</v>
      </c>
      <c r="I454" s="254" t="str">
        <f>IFERROR(VLOOKUP(H454,DATOS!$E$117:$F$168,2,0),"")</f>
        <v>H10603</v>
      </c>
      <c r="J454" s="255">
        <v>0.71050000000000002</v>
      </c>
      <c r="K454" s="256">
        <f t="shared" si="80"/>
        <v>20</v>
      </c>
      <c r="L454" s="251">
        <v>46077</v>
      </c>
      <c r="M454" s="253">
        <f t="shared" si="81"/>
        <v>20</v>
      </c>
      <c r="N454" s="257">
        <v>0.53</v>
      </c>
      <c r="O454" s="112" t="s">
        <v>614</v>
      </c>
      <c r="P454" s="269" t="str">
        <f>+UPPER(TEXT(Tabla4[[#This Row],[transferencia]],"mmmm"))</f>
        <v>MARZO</v>
      </c>
      <c r="Q454" s="289" t="s">
        <v>347</v>
      </c>
      <c r="R454" s="269"/>
      <c r="S454" s="249"/>
      <c r="T454" s="249"/>
      <c r="U454" s="249"/>
      <c r="V454" s="249"/>
      <c r="W454" s="249"/>
      <c r="X454" s="249"/>
      <c r="Y454" s="249"/>
      <c r="Z454" s="249"/>
    </row>
    <row r="455" spans="1:26" s="152" customFormat="1" hidden="1" x14ac:dyDescent="0.25">
      <c r="A455" s="250" t="str">
        <f>+Tabla4[[#This Row],[PISCINA]]&amp;Tabla4[[#This Row],[AGUAJE]]</f>
        <v>RO 05</v>
      </c>
      <c r="B455" s="112" t="s">
        <v>285</v>
      </c>
      <c r="C455" s="269" t="str">
        <f t="shared" ref="C455:C460" si="82">+MID(A455,1,2)</f>
        <v>RO</v>
      </c>
      <c r="D455" s="251">
        <v>46101</v>
      </c>
      <c r="E455" s="252"/>
      <c r="F455" s="249" t="s">
        <v>417</v>
      </c>
      <c r="G455" s="190" t="s">
        <v>433</v>
      </c>
      <c r="H455" s="189" t="s">
        <v>422</v>
      </c>
      <c r="I455" s="254" t="str">
        <f>IFERROR(VLOOKUP(H455,DATOS!$E$117:$F$168,2,0),"")</f>
        <v/>
      </c>
      <c r="J455" s="255">
        <v>0.7</v>
      </c>
      <c r="K455" s="256">
        <f t="shared" ref="K455:K460" si="83">+D455-L455</f>
        <v>18</v>
      </c>
      <c r="L455" s="251">
        <v>46083</v>
      </c>
      <c r="M455" s="253">
        <f t="shared" ref="M455:M460" si="84">+D455-L455</f>
        <v>18</v>
      </c>
      <c r="N455" s="257">
        <v>0.35</v>
      </c>
      <c r="O455" s="112" t="s">
        <v>448</v>
      </c>
      <c r="P455" s="269" t="str">
        <f>+UPPER(TEXT(Tabla4[[#This Row],[transferencia]],"mmmm"))</f>
        <v>MARZO</v>
      </c>
      <c r="Q455" s="269"/>
      <c r="R455" s="269"/>
      <c r="S455" s="249"/>
      <c r="T455" s="249"/>
      <c r="U455" s="249"/>
      <c r="V455" s="249"/>
      <c r="W455" s="249"/>
      <c r="X455" s="249"/>
      <c r="Y455" s="249"/>
      <c r="Z455" s="249"/>
    </row>
    <row r="456" spans="1:26" s="152" customFormat="1" hidden="1" x14ac:dyDescent="0.25">
      <c r="A456" s="250" t="str">
        <f>+Tabla4[[#This Row],[PISCINA]]&amp;Tabla4[[#This Row],[AGUAJE]]</f>
        <v>RO 15</v>
      </c>
      <c r="B456" s="250" t="s">
        <v>294</v>
      </c>
      <c r="C456" s="269" t="str">
        <f t="shared" si="82"/>
        <v>RO</v>
      </c>
      <c r="D456" s="251">
        <v>46102</v>
      </c>
      <c r="E456" s="252">
        <v>2682000</v>
      </c>
      <c r="F456" s="249" t="s">
        <v>417</v>
      </c>
      <c r="G456" s="190" t="s">
        <v>433</v>
      </c>
      <c r="H456" s="189" t="s">
        <v>422</v>
      </c>
      <c r="I456" s="254" t="str">
        <f>IFERROR(VLOOKUP(H456,DATOS!$E$117:$F$168,2,0),"")</f>
        <v/>
      </c>
      <c r="J456" s="255">
        <v>0.58299999999999996</v>
      </c>
      <c r="K456" s="256">
        <f t="shared" si="83"/>
        <v>19</v>
      </c>
      <c r="L456" s="251">
        <v>46083</v>
      </c>
      <c r="M456" s="253">
        <f t="shared" si="84"/>
        <v>19</v>
      </c>
      <c r="N456" s="257">
        <v>0.38</v>
      </c>
      <c r="O456" s="112" t="s">
        <v>729</v>
      </c>
      <c r="P456" s="269" t="str">
        <f>+UPPER(TEXT(Tabla4[[#This Row],[transferencia]],"mmmm"))</f>
        <v>MARZO</v>
      </c>
      <c r="Q456" s="269"/>
      <c r="R456" s="269"/>
      <c r="S456" s="249"/>
      <c r="T456" s="249"/>
      <c r="U456" s="249"/>
      <c r="V456" s="249"/>
      <c r="W456" s="249"/>
      <c r="X456" s="249"/>
      <c r="Y456" s="249"/>
      <c r="Z456" s="249"/>
    </row>
    <row r="457" spans="1:26" s="152" customFormat="1" hidden="1" x14ac:dyDescent="0.25">
      <c r="A457" s="250" t="str">
        <f>+Tabla4[[#This Row],[PISCINA]]&amp;Tabla4[[#This Row],[AGUAJE]]</f>
        <v>DE 08</v>
      </c>
      <c r="B457" s="112" t="s">
        <v>276</v>
      </c>
      <c r="C457" s="269" t="str">
        <f t="shared" si="82"/>
        <v>DE</v>
      </c>
      <c r="D457" s="251">
        <v>46097</v>
      </c>
      <c r="E457" s="252">
        <v>1467000</v>
      </c>
      <c r="F457" s="249" t="s">
        <v>417</v>
      </c>
      <c r="G457" s="190" t="s">
        <v>422</v>
      </c>
      <c r="H457" s="189" t="s">
        <v>454</v>
      </c>
      <c r="I457" s="254">
        <f>IFERROR(VLOOKUP(H457,DATOS!$E$117:$F$168,2,0),"")</f>
        <v>0</v>
      </c>
      <c r="J457" s="255">
        <v>0.6986</v>
      </c>
      <c r="K457" s="256">
        <f t="shared" si="83"/>
        <v>19</v>
      </c>
      <c r="L457" s="251">
        <v>46078</v>
      </c>
      <c r="M457" s="253">
        <f t="shared" si="84"/>
        <v>19</v>
      </c>
      <c r="N457" s="257">
        <v>0.5</v>
      </c>
      <c r="O457" s="112" t="s">
        <v>586</v>
      </c>
      <c r="P457" s="269" t="str">
        <f>+UPPER(TEXT(Tabla4[[#This Row],[transferencia]],"mmmm"))</f>
        <v>MARZO</v>
      </c>
      <c r="Q457" s="269"/>
      <c r="R457" s="269"/>
      <c r="S457" s="249"/>
      <c r="T457" s="249"/>
      <c r="U457" s="249"/>
      <c r="V457" s="249"/>
      <c r="W457" s="249"/>
      <c r="X457" s="249"/>
      <c r="Y457" s="249"/>
      <c r="Z457" s="249"/>
    </row>
    <row r="458" spans="1:26" s="152" customFormat="1" hidden="1" x14ac:dyDescent="0.25">
      <c r="A458" s="250" t="str">
        <f>+Tabla4[[#This Row],[PISCINA]]&amp;Tabla4[[#This Row],[AGUAJE]]</f>
        <v>CH 07</v>
      </c>
      <c r="B458" s="250" t="s">
        <v>13</v>
      </c>
      <c r="C458" s="269" t="str">
        <f t="shared" si="82"/>
        <v>CH</v>
      </c>
      <c r="D458" s="251"/>
      <c r="E458" s="252"/>
      <c r="F458" s="249" t="s">
        <v>417</v>
      </c>
      <c r="G458" s="190" t="s">
        <v>566</v>
      </c>
      <c r="H458" s="189" t="s">
        <v>671</v>
      </c>
      <c r="I458" s="254">
        <f>IFERROR(VLOOKUP(H458,DATOS!$E$117:$F$168,2,0),"")</f>
        <v>0</v>
      </c>
      <c r="J458" s="255"/>
      <c r="K458" s="256">
        <f t="shared" si="83"/>
        <v>0</v>
      </c>
      <c r="L458" s="251"/>
      <c r="M458" s="253">
        <f t="shared" si="84"/>
        <v>0</v>
      </c>
      <c r="N458" s="257"/>
      <c r="O458" s="250"/>
      <c r="P458" s="269" t="str">
        <f>+UPPER(TEXT(Tabla4[[#This Row],[transferencia]],"mmmm"))</f>
        <v>ENERO</v>
      </c>
      <c r="Q458" s="269"/>
      <c r="R458" s="269"/>
      <c r="S458" s="249"/>
      <c r="T458" s="249"/>
      <c r="U458" s="249"/>
      <c r="V458" s="249"/>
      <c r="W458" s="249"/>
      <c r="X458" s="249"/>
      <c r="Y458" s="249"/>
      <c r="Z458" s="249"/>
    </row>
    <row r="459" spans="1:26" s="152" customFormat="1" hidden="1" x14ac:dyDescent="0.25">
      <c r="A459" s="250" t="str">
        <f>+Tabla4[[#This Row],[PISCINA]]&amp;Tabla4[[#This Row],[AGUAJE]]</f>
        <v>PI 05</v>
      </c>
      <c r="B459" s="112" t="s">
        <v>382</v>
      </c>
      <c r="C459" s="269" t="str">
        <f t="shared" si="82"/>
        <v>PI</v>
      </c>
      <c r="D459" s="251">
        <v>46110</v>
      </c>
      <c r="E459" s="252">
        <v>912000</v>
      </c>
      <c r="F459" s="249" t="s">
        <v>417</v>
      </c>
      <c r="G459" s="190" t="s">
        <v>422</v>
      </c>
      <c r="H459" s="189" t="s">
        <v>504</v>
      </c>
      <c r="I459" s="254">
        <f>IFERROR(VLOOKUP(H459,DATOS!$E$117:$F$168,2,0),"")</f>
        <v>0</v>
      </c>
      <c r="J459" s="255">
        <v>0.78159999999999996</v>
      </c>
      <c r="K459" s="256">
        <f t="shared" si="83"/>
        <v>14</v>
      </c>
      <c r="L459" s="251">
        <v>46096</v>
      </c>
      <c r="M459" s="253">
        <f t="shared" si="84"/>
        <v>14</v>
      </c>
      <c r="N459" s="257">
        <v>0.6</v>
      </c>
      <c r="O459" s="112" t="s">
        <v>730</v>
      </c>
      <c r="P459" s="269" t="str">
        <f>+UPPER(TEXT(Tabla4[[#This Row],[transferencia]],"mmmm"))</f>
        <v>MARZO</v>
      </c>
      <c r="Q459" s="269"/>
      <c r="R459" s="269"/>
      <c r="S459" s="249"/>
      <c r="T459" s="249"/>
      <c r="U459" s="249"/>
      <c r="V459" s="249"/>
      <c r="W459" s="249"/>
      <c r="X459" s="249"/>
      <c r="Y459" s="249"/>
      <c r="Z459" s="249"/>
    </row>
    <row r="460" spans="1:26" s="152" customFormat="1" hidden="1" x14ac:dyDescent="0.25">
      <c r="A460" s="250" t="str">
        <f>+Tabla4[[#This Row],[PISCINA]]&amp;Tabla4[[#This Row],[AGUAJE]]</f>
        <v>PI 06</v>
      </c>
      <c r="B460" s="250" t="s">
        <v>381</v>
      </c>
      <c r="C460" s="269" t="str">
        <f t="shared" si="82"/>
        <v>PI</v>
      </c>
      <c r="D460" s="251">
        <v>46110</v>
      </c>
      <c r="E460" s="252">
        <v>1706400</v>
      </c>
      <c r="F460" s="249" t="s">
        <v>417</v>
      </c>
      <c r="G460" s="190" t="s">
        <v>422</v>
      </c>
      <c r="H460" s="189" t="s">
        <v>504</v>
      </c>
      <c r="I460" s="254">
        <f>IFERROR(VLOOKUP(H460,DATOS!$E$117:$F$168,2,0),"")</f>
        <v>0</v>
      </c>
      <c r="J460" s="255">
        <v>0.78159999999999996</v>
      </c>
      <c r="K460" s="256">
        <f t="shared" si="83"/>
        <v>14</v>
      </c>
      <c r="L460" s="251">
        <v>46096</v>
      </c>
      <c r="M460" s="253">
        <f t="shared" si="84"/>
        <v>14</v>
      </c>
      <c r="N460" s="257">
        <v>0.6</v>
      </c>
      <c r="O460" s="112" t="s">
        <v>730</v>
      </c>
      <c r="P460" s="269" t="str">
        <f>+UPPER(TEXT(Tabla4[[#This Row],[transferencia]],"mmmm"))</f>
        <v>MARZO</v>
      </c>
      <c r="Q460" s="269"/>
      <c r="R460" s="269"/>
      <c r="S460" s="249"/>
      <c r="T460" s="249"/>
      <c r="U460" s="249"/>
      <c r="V460" s="249"/>
      <c r="W460" s="249"/>
      <c r="X460" s="249"/>
      <c r="Y460" s="249"/>
      <c r="Z460" s="249"/>
    </row>
    <row r="461" spans="1:26" s="152" customFormat="1" hidden="1" x14ac:dyDescent="0.25">
      <c r="A461" s="250" t="str">
        <f>+Tabla4[[#This Row],[PISCINA]]&amp;Tabla4[[#This Row],[AGUAJE]]</f>
        <v>RO 04</v>
      </c>
      <c r="B461" s="250" t="s">
        <v>264</v>
      </c>
      <c r="C461" s="269" t="str">
        <f t="shared" ref="C461:C468" si="85">+MID(A461,1,2)</f>
        <v>RO</v>
      </c>
      <c r="D461" s="251">
        <v>46099</v>
      </c>
      <c r="E461" s="252">
        <v>4902000</v>
      </c>
      <c r="F461" s="249" t="s">
        <v>417</v>
      </c>
      <c r="G461" s="190" t="s">
        <v>731</v>
      </c>
      <c r="H461" s="189" t="s">
        <v>732</v>
      </c>
      <c r="I461" s="254" t="str">
        <f>IFERROR(VLOOKUP(H461,DATOS!$E$117:$F$168,2,0),"")</f>
        <v/>
      </c>
      <c r="J461" s="255">
        <v>0.3</v>
      </c>
      <c r="K461" s="256">
        <f t="shared" ref="K461:K468" si="86">+D461-L461</f>
        <v>22</v>
      </c>
      <c r="L461" s="251">
        <v>46077</v>
      </c>
      <c r="M461" s="253">
        <f t="shared" ref="M461:M468" si="87">+D461-L461</f>
        <v>22</v>
      </c>
      <c r="N461" s="257">
        <v>0.22</v>
      </c>
      <c r="O461" s="112" t="s">
        <v>733</v>
      </c>
      <c r="P461" s="269" t="str">
        <f>+UPPER(TEXT(Tabla4[[#This Row],[transferencia]],"mmmm"))</f>
        <v>MARZO</v>
      </c>
      <c r="Q461" s="269"/>
      <c r="R461" s="269"/>
      <c r="S461" s="249"/>
      <c r="T461" s="249"/>
      <c r="U461" s="249"/>
      <c r="V461" s="249"/>
      <c r="W461" s="249"/>
      <c r="X461" s="249"/>
      <c r="Y461" s="249"/>
      <c r="Z461" s="249"/>
    </row>
    <row r="462" spans="1:26" s="152" customFormat="1" hidden="1" x14ac:dyDescent="0.25">
      <c r="A462" s="250" t="str">
        <f>+Tabla4[[#This Row],[PISCINA]]&amp;Tabla4[[#This Row],[AGUAJE]]</f>
        <v>PI 02</v>
      </c>
      <c r="B462" s="250" t="s">
        <v>383</v>
      </c>
      <c r="C462" s="269" t="str">
        <f t="shared" si="85"/>
        <v>PI</v>
      </c>
      <c r="D462" s="251">
        <v>46102</v>
      </c>
      <c r="E462" s="252">
        <v>1125000</v>
      </c>
      <c r="F462" s="269" t="s">
        <v>417</v>
      </c>
      <c r="G462" s="266" t="s">
        <v>422</v>
      </c>
      <c r="H462" s="253" t="s">
        <v>504</v>
      </c>
      <c r="I462" s="254">
        <f>IFERROR(VLOOKUP(H462,DATOS!$E$117:$F$168,2,0),"")</f>
        <v>0</v>
      </c>
      <c r="J462" s="255">
        <v>0.6431</v>
      </c>
      <c r="K462" s="256">
        <f t="shared" si="86"/>
        <v>21</v>
      </c>
      <c r="L462" s="251">
        <v>46081</v>
      </c>
      <c r="M462" s="253">
        <f t="shared" si="87"/>
        <v>21</v>
      </c>
      <c r="N462" s="257">
        <v>0.49</v>
      </c>
      <c r="O462" s="269" t="s">
        <v>383</v>
      </c>
      <c r="P462" s="269" t="str">
        <f>+UPPER(TEXT(Tabla4[[#This Row],[transferencia]],"mmmm"))</f>
        <v>MARZO</v>
      </c>
      <c r="Q462" s="269"/>
      <c r="R462" s="269"/>
      <c r="S462" s="249"/>
      <c r="T462" s="249"/>
      <c r="U462" s="249"/>
      <c r="V462" s="249"/>
      <c r="W462" s="249"/>
      <c r="X462" s="249"/>
      <c r="Y462" s="249"/>
      <c r="Z462" s="249"/>
    </row>
    <row r="463" spans="1:26" s="152" customFormat="1" hidden="1" x14ac:dyDescent="0.25">
      <c r="A463" s="250" t="str">
        <f>+Tabla4[[#This Row],[PISCINA]]&amp;Tabla4[[#This Row],[AGUAJE]]</f>
        <v>PI 01</v>
      </c>
      <c r="B463" s="250" t="s">
        <v>384</v>
      </c>
      <c r="C463" s="269" t="str">
        <f t="shared" si="85"/>
        <v>PI</v>
      </c>
      <c r="D463" s="251">
        <v>46110</v>
      </c>
      <c r="E463" s="252">
        <v>868500</v>
      </c>
      <c r="F463" s="269" t="s">
        <v>417</v>
      </c>
      <c r="G463" s="266" t="s">
        <v>422</v>
      </c>
      <c r="H463" s="253" t="s">
        <v>454</v>
      </c>
      <c r="I463" s="254">
        <f>IFERROR(VLOOKUP(H463,DATOS!$E$117:$F$168,2,0),"")</f>
        <v>0</v>
      </c>
      <c r="J463" s="255">
        <v>0.9</v>
      </c>
      <c r="K463" s="256">
        <f t="shared" si="86"/>
        <v>14</v>
      </c>
      <c r="L463" s="251">
        <v>46096</v>
      </c>
      <c r="M463" s="253">
        <f t="shared" si="87"/>
        <v>14</v>
      </c>
      <c r="N463" s="257">
        <v>0.6</v>
      </c>
      <c r="O463" s="269" t="s">
        <v>384</v>
      </c>
      <c r="P463" s="269" t="str">
        <f>+UPPER(TEXT(Tabla4[[#This Row],[transferencia]],"mmmm"))</f>
        <v>MARZO</v>
      </c>
      <c r="Q463" s="269"/>
      <c r="R463" s="269"/>
      <c r="S463" s="249"/>
      <c r="T463" s="249"/>
      <c r="U463" s="249"/>
      <c r="V463" s="249"/>
      <c r="W463" s="249"/>
      <c r="X463" s="249"/>
      <c r="Y463" s="249"/>
      <c r="Z463" s="249"/>
    </row>
    <row r="464" spans="1:26" s="152" customFormat="1" hidden="1" x14ac:dyDescent="0.25">
      <c r="A464" s="250" t="str">
        <f>+Tabla4[[#This Row],[PISCINA]]&amp;Tabla4[[#This Row],[AGUAJE]]</f>
        <v>CH 22AGUAJE 10</v>
      </c>
      <c r="B464" s="250" t="s">
        <v>28</v>
      </c>
      <c r="C464" s="269" t="str">
        <f t="shared" si="85"/>
        <v>CH</v>
      </c>
      <c r="D464" s="251">
        <v>46083</v>
      </c>
      <c r="E464" s="252">
        <v>1018400</v>
      </c>
      <c r="F464" t="s">
        <v>417</v>
      </c>
      <c r="G464" s="190" t="s">
        <v>422</v>
      </c>
      <c r="H464" s="253" t="s">
        <v>433</v>
      </c>
      <c r="I464" s="254" t="str">
        <f>IFERROR(VLOOKUP(H464,DATOS!$E$117:$F$168,2,0),"")</f>
        <v>H10586</v>
      </c>
      <c r="J464" s="255">
        <v>0.78580000000000005</v>
      </c>
      <c r="K464" s="256">
        <f t="shared" si="86"/>
        <v>20</v>
      </c>
      <c r="L464" s="251">
        <v>46063</v>
      </c>
      <c r="M464" s="253">
        <f t="shared" si="87"/>
        <v>20</v>
      </c>
      <c r="N464" s="257">
        <v>0.62</v>
      </c>
      <c r="O464" s="112" t="s">
        <v>436</v>
      </c>
      <c r="P464" s="269" t="str">
        <f>+UPPER(TEXT(Tabla4[[#This Row],[transferencia]],"mmmm"))</f>
        <v>MARZO</v>
      </c>
      <c r="Q464" s="269" t="s">
        <v>347</v>
      </c>
      <c r="R464" s="269"/>
      <c r="S464" s="249"/>
      <c r="T464" s="249"/>
      <c r="U464" s="249"/>
      <c r="V464" s="249"/>
      <c r="W464" s="249"/>
      <c r="X464" s="249"/>
      <c r="Y464" s="249"/>
      <c r="Z464" s="249"/>
    </row>
    <row r="465" spans="1:26" s="152" customFormat="1" hidden="1" x14ac:dyDescent="0.25">
      <c r="A465" s="250" t="str">
        <f>+Tabla4[[#This Row],[PISCINA]]&amp;Tabla4[[#This Row],[AGUAJE]]</f>
        <v>DO 27</v>
      </c>
      <c r="B465" s="250" t="s">
        <v>206</v>
      </c>
      <c r="C465" s="269" t="str">
        <f t="shared" si="85"/>
        <v>DO</v>
      </c>
      <c r="D465" s="251">
        <v>46135</v>
      </c>
      <c r="E465" s="252">
        <v>854400</v>
      </c>
      <c r="F465" s="249" t="s">
        <v>417</v>
      </c>
      <c r="G465" s="266" t="s">
        <v>418</v>
      </c>
      <c r="H465" s="253" t="s">
        <v>418</v>
      </c>
      <c r="I465" s="254" t="str">
        <f>IFERROR(VLOOKUP(H465,DATOS!$E$117:$F$168,2,0),"")</f>
        <v>H10234</v>
      </c>
      <c r="J465" s="255">
        <v>0.61639999999999995</v>
      </c>
      <c r="K465" s="256">
        <f t="shared" si="86"/>
        <v>19</v>
      </c>
      <c r="L465" s="251">
        <v>46116</v>
      </c>
      <c r="M465" s="253">
        <f t="shared" si="87"/>
        <v>19</v>
      </c>
      <c r="N465" s="257">
        <v>3.91</v>
      </c>
      <c r="O465" s="250" t="s">
        <v>734</v>
      </c>
      <c r="P465" s="269" t="str">
        <f>+UPPER(TEXT(Tabla4[[#This Row],[transferencia]],"mmmm"))</f>
        <v>ABRIL</v>
      </c>
      <c r="Q465" s="269"/>
      <c r="R465" s="269"/>
      <c r="S465" s="249"/>
      <c r="T465" s="249"/>
      <c r="U465" s="249"/>
      <c r="V465" s="249"/>
      <c r="W465" s="249"/>
      <c r="X465" s="249"/>
      <c r="Y465" s="249"/>
      <c r="Z465" s="249"/>
    </row>
    <row r="466" spans="1:26" s="152" customFormat="1" hidden="1" x14ac:dyDescent="0.25">
      <c r="A466" s="250" t="str">
        <f>+Tabla4[[#This Row],[PISCINA]]&amp;Tabla4[[#This Row],[AGUAJE]]</f>
        <v>ME 11</v>
      </c>
      <c r="B466" s="250" t="s">
        <v>266</v>
      </c>
      <c r="C466" s="269" t="str">
        <f t="shared" si="85"/>
        <v>ME</v>
      </c>
      <c r="D466" s="251">
        <v>46109</v>
      </c>
      <c r="E466" s="252">
        <v>480000</v>
      </c>
      <c r="F466" s="249" t="s">
        <v>417</v>
      </c>
      <c r="G466" s="266" t="s">
        <v>422</v>
      </c>
      <c r="H466" s="253" t="s">
        <v>724</v>
      </c>
      <c r="I466" s="254" t="str">
        <f>IFERROR(VLOOKUP(H466,DATOS!$E$117:$F$168,2,0),"")</f>
        <v/>
      </c>
      <c r="J466" s="255">
        <v>0.46100000000000002</v>
      </c>
      <c r="K466" s="256">
        <f t="shared" si="86"/>
        <v>21</v>
      </c>
      <c r="L466" s="251">
        <v>46088</v>
      </c>
      <c r="M466" s="253">
        <f t="shared" si="87"/>
        <v>21</v>
      </c>
      <c r="N466" s="257">
        <v>0.55000000000000004</v>
      </c>
      <c r="O466" s="250" t="s">
        <v>667</v>
      </c>
      <c r="P466" s="269" t="str">
        <f>+UPPER(TEXT(Tabla4[[#This Row],[transferencia]],"mmmm"))</f>
        <v>MARZO</v>
      </c>
      <c r="Q466" s="269"/>
      <c r="R466" s="269"/>
      <c r="S466" s="249"/>
      <c r="T466" s="249"/>
      <c r="U466" s="249"/>
      <c r="V466" s="249"/>
      <c r="W466" s="249"/>
      <c r="X466" s="249"/>
      <c r="Y466" s="249"/>
      <c r="Z466" s="249"/>
    </row>
    <row r="467" spans="1:26" s="152" customFormat="1" hidden="1" x14ac:dyDescent="0.25">
      <c r="A467" s="250" t="str">
        <f>+Tabla4[[#This Row],[PISCINA]]&amp;Tabla4[[#This Row],[AGUAJE]]</f>
        <v>PR 28</v>
      </c>
      <c r="B467" s="250" t="s">
        <v>106</v>
      </c>
      <c r="C467" s="269" t="str">
        <f t="shared" si="85"/>
        <v>PR</v>
      </c>
      <c r="D467" s="251">
        <v>46114</v>
      </c>
      <c r="E467" s="252">
        <v>1095000</v>
      </c>
      <c r="F467" s="249" t="s">
        <v>417</v>
      </c>
      <c r="G467" s="190" t="s">
        <v>422</v>
      </c>
      <c r="H467" s="253" t="s">
        <v>506</v>
      </c>
      <c r="I467" s="254" t="str">
        <f>IFERROR(VLOOKUP(H467,DATOS!$E$117:$F$168,2,0),"")</f>
        <v>H10533F</v>
      </c>
      <c r="J467" s="255">
        <v>0.62439999999999996</v>
      </c>
      <c r="K467" s="256">
        <f t="shared" si="86"/>
        <v>15</v>
      </c>
      <c r="L467" s="251">
        <v>46099</v>
      </c>
      <c r="M467" s="253">
        <f t="shared" si="87"/>
        <v>15</v>
      </c>
      <c r="N467" s="257">
        <v>0.4</v>
      </c>
      <c r="O467" s="250" t="s">
        <v>451</v>
      </c>
      <c r="P467" s="269" t="str">
        <f>+UPPER(TEXT(Tabla4[[#This Row],[transferencia]],"mmmm"))</f>
        <v>ABRIL</v>
      </c>
      <c r="Q467" s="269"/>
      <c r="R467" s="269"/>
      <c r="S467" s="249"/>
      <c r="T467" s="249"/>
      <c r="U467" s="249"/>
      <c r="V467" s="249"/>
      <c r="W467" s="249"/>
      <c r="X467" s="249"/>
      <c r="Y467" s="249"/>
      <c r="Z467" s="249"/>
    </row>
    <row r="468" spans="1:26" s="152" customFormat="1" hidden="1" x14ac:dyDescent="0.25">
      <c r="A468" s="250" t="str">
        <f>+Tabla4[[#This Row],[PISCINA]]&amp;Tabla4[[#This Row],[AGUAJE]]</f>
        <v>PR 30</v>
      </c>
      <c r="B468" s="250" t="s">
        <v>279</v>
      </c>
      <c r="C468" s="269" t="str">
        <f t="shared" si="85"/>
        <v>PR</v>
      </c>
      <c r="D468" s="251">
        <v>46114</v>
      </c>
      <c r="E468" s="252">
        <v>1184000</v>
      </c>
      <c r="F468" s="249" t="s">
        <v>417</v>
      </c>
      <c r="G468" s="190" t="s">
        <v>422</v>
      </c>
      <c r="H468" s="253" t="s">
        <v>506</v>
      </c>
      <c r="I468" s="254" t="str">
        <f>IFERROR(VLOOKUP(H468,DATOS!$E$117:$F$168,2,0),"")</f>
        <v>H10533F</v>
      </c>
      <c r="J468" s="255">
        <v>0.62439999999999996</v>
      </c>
      <c r="K468" s="256">
        <f t="shared" si="86"/>
        <v>15</v>
      </c>
      <c r="L468" s="251">
        <v>46099</v>
      </c>
      <c r="M468" s="253">
        <f t="shared" si="87"/>
        <v>15</v>
      </c>
      <c r="N468" s="257">
        <v>0.4</v>
      </c>
      <c r="O468" s="250" t="s">
        <v>451</v>
      </c>
      <c r="P468" s="269" t="str">
        <f>+UPPER(TEXT(Tabla4[[#This Row],[transferencia]],"mmmm"))</f>
        <v>ABRIL</v>
      </c>
      <c r="Q468" s="269"/>
      <c r="R468" s="269"/>
      <c r="S468" s="249"/>
      <c r="T468" s="249"/>
      <c r="U468" s="249"/>
      <c r="V468" s="249"/>
      <c r="W468" s="249"/>
      <c r="X468" s="249"/>
      <c r="Y468" s="249"/>
      <c r="Z468" s="249"/>
    </row>
    <row r="469" spans="1:26" s="152" customFormat="1" hidden="1" x14ac:dyDescent="0.25">
      <c r="A469" s="250" t="str">
        <f>+Tabla4[[#This Row],[PISCINA]]&amp;Tabla4[[#This Row],[AGUAJE]]</f>
        <v>CA 17</v>
      </c>
      <c r="B469" s="250" t="s">
        <v>110</v>
      </c>
      <c r="C469" s="269" t="str">
        <f t="shared" ref="C469:C475" si="88">+MID(A469,1,2)</f>
        <v>CA</v>
      </c>
      <c r="D469" s="251">
        <v>46123</v>
      </c>
      <c r="E469" s="252">
        <v>1350000</v>
      </c>
      <c r="F469" t="s">
        <v>417</v>
      </c>
      <c r="G469" s="190" t="s">
        <v>422</v>
      </c>
      <c r="H469" s="253" t="s">
        <v>431</v>
      </c>
      <c r="I469" s="254" t="str">
        <f>IFERROR(VLOOKUP(H469,DATOS!$E$117:$F$168,2,0),"")</f>
        <v>H10534B</v>
      </c>
      <c r="J469" s="255">
        <v>0.72570000000000001</v>
      </c>
      <c r="K469" s="256">
        <f t="shared" ref="K469:K475" si="89">+D469-L469</f>
        <v>22</v>
      </c>
      <c r="L469" s="251">
        <v>46101</v>
      </c>
      <c r="M469" s="253">
        <f t="shared" ref="M469:M475" si="90">+D469-L469</f>
        <v>22</v>
      </c>
      <c r="N469" s="257">
        <v>0.7</v>
      </c>
      <c r="O469" s="250" t="s">
        <v>735</v>
      </c>
      <c r="P469" s="269" t="str">
        <f>+UPPER(TEXT(Tabla4[[#This Row],[transferencia]],"mmmm"))</f>
        <v>ABRIL</v>
      </c>
      <c r="Q469" s="269"/>
      <c r="R469" s="269"/>
      <c r="S469" s="249"/>
      <c r="T469" s="249"/>
      <c r="U469" s="249"/>
      <c r="V469" s="249"/>
      <c r="W469" s="249"/>
      <c r="X469" s="249"/>
      <c r="Y469" s="249"/>
      <c r="Z469" s="249"/>
    </row>
    <row r="470" spans="1:26" s="152" customFormat="1" hidden="1" x14ac:dyDescent="0.25">
      <c r="A470" s="250" t="str">
        <f>+Tabla4[[#This Row],[PISCINA]]&amp;Tabla4[[#This Row],[AGUAJE]]</f>
        <v>DO 02AGUAJE 10</v>
      </c>
      <c r="B470" s="112" t="s">
        <v>350</v>
      </c>
      <c r="C470" s="269" t="str">
        <f t="shared" si="88"/>
        <v>DO</v>
      </c>
      <c r="D470" s="251">
        <v>46068</v>
      </c>
      <c r="E470" s="252">
        <v>850000</v>
      </c>
      <c r="F470" t="s">
        <v>417</v>
      </c>
      <c r="G470" s="266" t="s">
        <v>566</v>
      </c>
      <c r="H470" s="253" t="s">
        <v>419</v>
      </c>
      <c r="I470" s="254" t="str">
        <f>IFERROR(VLOOKUP(H470,DATOS!$E$117:$F$168,2,0),"")</f>
        <v>H10603</v>
      </c>
      <c r="J470" s="255">
        <v>0.97199999999999998</v>
      </c>
      <c r="K470" s="256">
        <f t="shared" si="89"/>
        <v>21</v>
      </c>
      <c r="L470" s="251">
        <v>46047</v>
      </c>
      <c r="M470" s="253">
        <f t="shared" si="90"/>
        <v>21</v>
      </c>
      <c r="N470" s="257">
        <v>3.32</v>
      </c>
      <c r="O470" s="250" t="s">
        <v>523</v>
      </c>
      <c r="P470" s="269" t="str">
        <f>+UPPER(TEXT(Tabla4[[#This Row],[transferencia]],"mmmm"))</f>
        <v>FEBRERO</v>
      </c>
      <c r="Q470" s="269" t="s">
        <v>347</v>
      </c>
      <c r="R470" s="269"/>
      <c r="S470" s="249"/>
      <c r="T470" s="249"/>
      <c r="U470" s="249"/>
      <c r="V470" s="249"/>
      <c r="W470" s="249"/>
      <c r="X470" s="249"/>
      <c r="Y470" s="249"/>
      <c r="Z470" s="249"/>
    </row>
    <row r="471" spans="1:26" s="152" customFormat="1" hidden="1" x14ac:dyDescent="0.25">
      <c r="A471" s="250" t="str">
        <f>+Tabla4[[#This Row],[PISCINA]]&amp;Tabla4[[#This Row],[AGUAJE]]</f>
        <v>PR 10</v>
      </c>
      <c r="B471" s="250" t="s">
        <v>288</v>
      </c>
      <c r="C471" s="269" t="str">
        <f t="shared" si="88"/>
        <v>PR</v>
      </c>
      <c r="D471" s="251">
        <v>46111</v>
      </c>
      <c r="E471" s="252">
        <v>2120000</v>
      </c>
      <c r="F471" t="s">
        <v>417</v>
      </c>
      <c r="G471" s="190" t="s">
        <v>422</v>
      </c>
      <c r="H471" s="253" t="s">
        <v>444</v>
      </c>
      <c r="I471" s="254" t="str">
        <f>IFERROR(VLOOKUP(H471,DATOS!$E$117:$F$168,2,0),"")</f>
        <v>H10598B</v>
      </c>
      <c r="J471" s="255">
        <v>0.7571</v>
      </c>
      <c r="K471" s="256">
        <f t="shared" si="89"/>
        <v>16</v>
      </c>
      <c r="L471" s="251">
        <v>46095</v>
      </c>
      <c r="M471" s="253">
        <f t="shared" si="90"/>
        <v>16</v>
      </c>
      <c r="N471" s="257">
        <v>0.32</v>
      </c>
      <c r="O471" s="250" t="s">
        <v>736</v>
      </c>
      <c r="P471" s="269" t="str">
        <f>+UPPER(TEXT(Tabla4[[#This Row],[transferencia]],"mmmm"))</f>
        <v>MARZO</v>
      </c>
      <c r="Q471" s="269"/>
      <c r="R471" s="269"/>
      <c r="S471" s="249"/>
      <c r="T471" s="249"/>
      <c r="U471" s="249"/>
      <c r="V471" s="249"/>
      <c r="W471" s="249"/>
      <c r="X471" s="249"/>
      <c r="Y471" s="249"/>
      <c r="Z471" s="249"/>
    </row>
    <row r="472" spans="1:26" s="152" customFormat="1" hidden="1" x14ac:dyDescent="0.25">
      <c r="A472" s="250" t="str">
        <f>+Tabla4[[#This Row],[PISCINA]]&amp;Tabla4[[#This Row],[AGUAJE]]</f>
        <v>PR 13</v>
      </c>
      <c r="B472" s="250" t="s">
        <v>299</v>
      </c>
      <c r="C472" s="269" t="str">
        <f t="shared" si="88"/>
        <v>PR</v>
      </c>
      <c r="D472" s="251">
        <v>46110</v>
      </c>
      <c r="E472" s="252">
        <v>2400000</v>
      </c>
      <c r="F472" t="s">
        <v>417</v>
      </c>
      <c r="G472" s="190" t="s">
        <v>422</v>
      </c>
      <c r="H472" s="253" t="s">
        <v>454</v>
      </c>
      <c r="I472" s="254">
        <f>IFERROR(VLOOKUP(H472,DATOS!$E$117:$F$168,2,0),"")</f>
        <v>0</v>
      </c>
      <c r="J472" s="255">
        <v>0.96</v>
      </c>
      <c r="K472" s="256">
        <f t="shared" si="89"/>
        <v>46110</v>
      </c>
      <c r="L472" s="251"/>
      <c r="M472" s="253">
        <f t="shared" si="90"/>
        <v>46110</v>
      </c>
      <c r="N472" s="257"/>
      <c r="O472" s="250"/>
      <c r="P472" s="269" t="str">
        <f>+UPPER(TEXT(Tabla4[[#This Row],[transferencia]],"mmmm"))</f>
        <v>MARZO</v>
      </c>
      <c r="Q472" s="269"/>
      <c r="R472" s="269"/>
      <c r="S472" s="249"/>
      <c r="T472" s="249"/>
      <c r="U472" s="249"/>
      <c r="V472" s="249"/>
      <c r="W472" s="249"/>
      <c r="X472" s="249"/>
      <c r="Y472" s="249"/>
      <c r="Z472" s="249"/>
    </row>
    <row r="473" spans="1:26" s="152" customFormat="1" hidden="1" x14ac:dyDescent="0.25">
      <c r="A473" s="250" t="str">
        <f>+Tabla4[[#This Row],[PISCINA]]&amp;Tabla4[[#This Row],[AGUAJE]]</f>
        <v>TI 20</v>
      </c>
      <c r="B473" s="250" t="s">
        <v>313</v>
      </c>
      <c r="C473" s="269" t="str">
        <f t="shared" si="88"/>
        <v>TI</v>
      </c>
      <c r="D473" s="251">
        <v>46110</v>
      </c>
      <c r="E473" s="252">
        <v>663000</v>
      </c>
      <c r="F473" t="s">
        <v>417</v>
      </c>
      <c r="G473" s="190" t="s">
        <v>418</v>
      </c>
      <c r="H473" s="190" t="s">
        <v>418</v>
      </c>
      <c r="I473" s="254" t="str">
        <f>IFERROR(VLOOKUP(H473,DATOS!$E$117:$F$168,2,0),"")</f>
        <v>H10234</v>
      </c>
      <c r="J473" s="255"/>
      <c r="K473" s="256">
        <f t="shared" si="89"/>
        <v>20</v>
      </c>
      <c r="L473" s="251">
        <v>46090</v>
      </c>
      <c r="M473" s="253">
        <f t="shared" si="90"/>
        <v>20</v>
      </c>
      <c r="N473" s="257">
        <v>0.63</v>
      </c>
      <c r="O473" s="250" t="s">
        <v>532</v>
      </c>
      <c r="P473" s="269" t="str">
        <f>+UPPER(TEXT(Tabla4[[#This Row],[transferencia]],"mmmm"))</f>
        <v>MARZO</v>
      </c>
      <c r="Q473" s="269"/>
      <c r="R473" s="269"/>
      <c r="S473" s="249"/>
      <c r="T473" s="249"/>
      <c r="U473" s="249"/>
      <c r="V473" s="249"/>
      <c r="W473" s="249"/>
      <c r="X473" s="249"/>
      <c r="Y473" s="249"/>
      <c r="Z473" s="249"/>
    </row>
    <row r="474" spans="1:26" s="152" customFormat="1" hidden="1" x14ac:dyDescent="0.25">
      <c r="A474" s="250" t="str">
        <f>+Tabla4[[#This Row],[PISCINA]]&amp;Tabla4[[#This Row],[AGUAJE]]</f>
        <v>CA 12</v>
      </c>
      <c r="B474" s="250" t="s">
        <v>316</v>
      </c>
      <c r="C474" s="269" t="str">
        <f t="shared" si="88"/>
        <v>CA</v>
      </c>
      <c r="D474" s="251">
        <v>46117</v>
      </c>
      <c r="E474" s="252">
        <v>119700</v>
      </c>
      <c r="F474" s="269" t="s">
        <v>417</v>
      </c>
      <c r="G474" s="266" t="s">
        <v>422</v>
      </c>
      <c r="H474" s="253" t="s">
        <v>506</v>
      </c>
      <c r="I474" s="254" t="str">
        <f>IFERROR(VLOOKUP(H474,DATOS!$E$117:$F$168,2,0),"")</f>
        <v>H10533F</v>
      </c>
      <c r="J474" s="255">
        <v>0.71250000000000002</v>
      </c>
      <c r="K474" s="256">
        <f t="shared" si="89"/>
        <v>18</v>
      </c>
      <c r="L474" s="251">
        <v>46099</v>
      </c>
      <c r="M474" s="253">
        <f t="shared" si="90"/>
        <v>18</v>
      </c>
      <c r="N474" s="257">
        <v>0.65</v>
      </c>
      <c r="O474" s="250" t="s">
        <v>737</v>
      </c>
      <c r="P474" s="269" t="str">
        <f>+UPPER(TEXT(Tabla4[[#This Row],[transferencia]],"mmmm"))</f>
        <v>ABRIL</v>
      </c>
      <c r="Q474" s="269"/>
      <c r="R474" s="269"/>
      <c r="S474" s="249"/>
      <c r="T474" s="249"/>
      <c r="U474" s="249"/>
      <c r="V474" s="249"/>
      <c r="W474" s="249"/>
      <c r="X474" s="249"/>
      <c r="Y474" s="249"/>
      <c r="Z474" s="249"/>
    </row>
    <row r="475" spans="1:26" s="152" customFormat="1" hidden="1" x14ac:dyDescent="0.25">
      <c r="A475" s="250" t="str">
        <f>+Tabla4[[#This Row],[PISCINA]]&amp;Tabla4[[#This Row],[AGUAJE]]</f>
        <v>CA 18</v>
      </c>
      <c r="B475" s="250" t="s">
        <v>114</v>
      </c>
      <c r="C475" s="269" t="str">
        <f t="shared" si="88"/>
        <v>CA</v>
      </c>
      <c r="D475" s="251">
        <v>46123</v>
      </c>
      <c r="E475" s="252">
        <v>990000</v>
      </c>
      <c r="F475" s="269" t="s">
        <v>417</v>
      </c>
      <c r="G475" s="266" t="s">
        <v>422</v>
      </c>
      <c r="H475" s="253" t="s">
        <v>431</v>
      </c>
      <c r="I475" s="254" t="str">
        <f>IFERROR(VLOOKUP(H475,DATOS!$E$117:$F$168,2,0),"")</f>
        <v>H10534B</v>
      </c>
      <c r="J475" s="255">
        <v>0.72570000000000001</v>
      </c>
      <c r="K475" s="256">
        <f t="shared" si="89"/>
        <v>22</v>
      </c>
      <c r="L475" s="251">
        <v>46101</v>
      </c>
      <c r="M475" s="253">
        <f t="shared" si="90"/>
        <v>22</v>
      </c>
      <c r="N475" s="257">
        <v>0.7</v>
      </c>
      <c r="O475" s="250" t="s">
        <v>735</v>
      </c>
      <c r="P475" s="269" t="str">
        <f>+UPPER(TEXT(Tabla4[[#This Row],[transferencia]],"mmmm"))</f>
        <v>ABRIL</v>
      </c>
      <c r="Q475" s="269"/>
      <c r="R475" s="269"/>
      <c r="S475" s="249"/>
      <c r="T475" s="249"/>
      <c r="U475" s="249"/>
      <c r="V475" s="249"/>
      <c r="W475" s="249"/>
      <c r="X475" s="249"/>
      <c r="Y475" s="249"/>
      <c r="Z475" s="249"/>
    </row>
    <row r="476" spans="1:26" s="152" customFormat="1" hidden="1" x14ac:dyDescent="0.25">
      <c r="A476" s="250" t="str">
        <f>+Tabla4[[#This Row],[PISCINA]]&amp;Tabla4[[#This Row],[AGUAJE]]</f>
        <v>TI 12</v>
      </c>
      <c r="B476" s="250" t="s">
        <v>322</v>
      </c>
      <c r="C476" s="269" t="str">
        <f t="shared" ref="C476:C484" si="91">+MID(A476,1,2)</f>
        <v>TI</v>
      </c>
      <c r="D476" s="251">
        <v>46116</v>
      </c>
      <c r="E476" s="252">
        <v>704850</v>
      </c>
      <c r="F476" t="s">
        <v>417</v>
      </c>
      <c r="G476" s="266" t="s">
        <v>422</v>
      </c>
      <c r="H476" s="253" t="s">
        <v>444</v>
      </c>
      <c r="I476" s="254" t="str">
        <f>IFERROR(VLOOKUP(H476,DATOS!$E$117:$F$168,2,0),"")</f>
        <v>H10598B</v>
      </c>
      <c r="J476" s="255">
        <v>0.78320000000000001</v>
      </c>
      <c r="K476" s="256">
        <f t="shared" ref="K476:K484" si="92">+D476-L476</f>
        <v>20</v>
      </c>
      <c r="L476" s="251">
        <v>46096</v>
      </c>
      <c r="M476" s="253">
        <f t="shared" ref="M476:M484" si="93">+D476-L476</f>
        <v>20</v>
      </c>
      <c r="N476" s="257">
        <v>0.8</v>
      </c>
      <c r="O476" s="250" t="s">
        <v>620</v>
      </c>
      <c r="P476" s="269" t="str">
        <f>+UPPER(TEXT(Tabla4[[#This Row],[transferencia]],"mmmm"))</f>
        <v>ABRIL</v>
      </c>
      <c r="Q476" s="269"/>
      <c r="R476" s="269"/>
      <c r="S476" s="249"/>
      <c r="T476" s="249"/>
      <c r="U476" s="249"/>
      <c r="V476" s="249"/>
      <c r="W476" s="249"/>
      <c r="X476" s="249"/>
      <c r="Y476" s="249"/>
      <c r="Z476" s="249"/>
    </row>
    <row r="477" spans="1:26" s="152" customFormat="1" hidden="1" x14ac:dyDescent="0.25">
      <c r="A477" s="250" t="str">
        <f>+Tabla4[[#This Row],[PISCINA]]&amp;Tabla4[[#This Row],[AGUAJE]]</f>
        <v>CA 10</v>
      </c>
      <c r="B477" s="250" t="s">
        <v>136</v>
      </c>
      <c r="C477" s="269" t="str">
        <f t="shared" si="91"/>
        <v>CA</v>
      </c>
      <c r="D477" s="251">
        <v>46119</v>
      </c>
      <c r="E477" s="252">
        <v>554600</v>
      </c>
      <c r="F477" t="s">
        <v>417</v>
      </c>
      <c r="G477" s="266" t="s">
        <v>422</v>
      </c>
      <c r="H477" s="253" t="s">
        <v>528</v>
      </c>
      <c r="I477" s="254" t="str">
        <f>IFERROR(VLOOKUP(H477,DATOS!$E$117:$F$168,2,0),"")</f>
        <v>H10534A</v>
      </c>
      <c r="J477" s="255">
        <v>0.69330000000000003</v>
      </c>
      <c r="K477" s="256">
        <f t="shared" si="92"/>
        <v>15</v>
      </c>
      <c r="L477" s="251">
        <v>46104</v>
      </c>
      <c r="M477" s="253">
        <f t="shared" si="93"/>
        <v>15</v>
      </c>
      <c r="N477" s="257">
        <v>0.45</v>
      </c>
      <c r="O477" s="112" t="s">
        <v>656</v>
      </c>
      <c r="P477" s="269" t="str">
        <f>+UPPER(TEXT(Tabla4[[#This Row],[transferencia]],"mmmm"))</f>
        <v>ABRIL</v>
      </c>
      <c r="Q477" s="269"/>
      <c r="R477" s="269"/>
      <c r="S477" s="249"/>
      <c r="T477" s="249"/>
      <c r="U477" s="249"/>
      <c r="V477" s="249"/>
      <c r="W477" s="249"/>
      <c r="X477" s="249"/>
      <c r="Y477" s="249"/>
      <c r="Z477" s="249"/>
    </row>
    <row r="478" spans="1:26" s="152" customFormat="1" hidden="1" x14ac:dyDescent="0.25">
      <c r="A478" s="250" t="str">
        <f>+Tabla4[[#This Row],[PISCINA]]&amp;Tabla4[[#This Row],[AGUAJE]]</f>
        <v>CA 21</v>
      </c>
      <c r="B478" s="250" t="s">
        <v>320</v>
      </c>
      <c r="C478" s="269" t="str">
        <f t="shared" si="91"/>
        <v>CA</v>
      </c>
      <c r="D478" s="251">
        <v>46117</v>
      </c>
      <c r="E478" s="252">
        <v>840000</v>
      </c>
      <c r="F478" t="s">
        <v>417</v>
      </c>
      <c r="G478" s="190" t="s">
        <v>422</v>
      </c>
      <c r="H478" s="253" t="s">
        <v>506</v>
      </c>
      <c r="I478" s="254" t="str">
        <f>IFERROR(VLOOKUP(H478,DATOS!$E$117:$F$168,2,0),"")</f>
        <v>H10533F</v>
      </c>
      <c r="J478" s="255">
        <v>0.7</v>
      </c>
      <c r="K478" s="256">
        <f t="shared" si="92"/>
        <v>18</v>
      </c>
      <c r="L478" s="251">
        <v>46099</v>
      </c>
      <c r="M478" s="253">
        <f t="shared" si="93"/>
        <v>18</v>
      </c>
      <c r="N478" s="257">
        <v>0.5</v>
      </c>
      <c r="O478" s="250" t="s">
        <v>623</v>
      </c>
      <c r="P478" s="269" t="str">
        <f>+UPPER(TEXT(Tabla4[[#This Row],[transferencia]],"mmmm"))</f>
        <v>ABRIL</v>
      </c>
      <c r="Q478" s="269"/>
      <c r="R478" s="269"/>
      <c r="S478" s="249"/>
      <c r="T478" s="249"/>
      <c r="U478" s="249"/>
      <c r="V478" s="249"/>
      <c r="W478" s="249"/>
      <c r="X478" s="249"/>
      <c r="Y478" s="249"/>
      <c r="Z478" s="249"/>
    </row>
    <row r="479" spans="1:26" s="152" customFormat="1" hidden="1" x14ac:dyDescent="0.25">
      <c r="A479" s="250" t="str">
        <f>+Tabla4[[#This Row],[PISCINA]]&amp;Tabla4[[#This Row],[AGUAJE]]</f>
        <v>DE 01</v>
      </c>
      <c r="B479" s="250" t="s">
        <v>296</v>
      </c>
      <c r="C479" s="269" t="str">
        <f t="shared" si="91"/>
        <v>DE</v>
      </c>
      <c r="D479" s="251">
        <v>46112</v>
      </c>
      <c r="E479" s="252">
        <v>1368000</v>
      </c>
      <c r="F479" t="s">
        <v>417</v>
      </c>
      <c r="G479" s="266" t="s">
        <v>422</v>
      </c>
      <c r="H479" s="253" t="s">
        <v>738</v>
      </c>
      <c r="I479" s="254">
        <f>IFERROR(VLOOKUP(H479,DATOS!$E$117:$F$168,2,0),"")</f>
        <v>0</v>
      </c>
      <c r="J479" s="255">
        <v>0.68400000000000005</v>
      </c>
      <c r="K479" s="256">
        <f t="shared" si="92"/>
        <v>20</v>
      </c>
      <c r="L479" s="251">
        <v>46092</v>
      </c>
      <c r="M479" s="253">
        <f t="shared" si="93"/>
        <v>20</v>
      </c>
      <c r="N479" s="257">
        <v>0.55000000000000004</v>
      </c>
      <c r="O479" s="250" t="s">
        <v>595</v>
      </c>
      <c r="P479" s="269" t="str">
        <f>+UPPER(TEXT(Tabla4[[#This Row],[transferencia]],"mmmm"))</f>
        <v>MARZO</v>
      </c>
      <c r="Q479" s="269"/>
      <c r="R479" s="269"/>
      <c r="S479" s="249"/>
      <c r="T479" s="249"/>
      <c r="U479" s="249"/>
      <c r="V479" s="249"/>
      <c r="W479" s="249"/>
      <c r="X479" s="249"/>
      <c r="Y479" s="249"/>
      <c r="Z479" s="249"/>
    </row>
    <row r="480" spans="1:26" s="152" customFormat="1" hidden="1" x14ac:dyDescent="0.25">
      <c r="A480" s="250" t="str">
        <f>+Tabla4[[#This Row],[PISCINA]]&amp;Tabla4[[#This Row],[AGUAJE]]</f>
        <v>ME 10</v>
      </c>
      <c r="B480" s="250" t="s">
        <v>282</v>
      </c>
      <c r="C480" s="269" t="str">
        <f t="shared" si="91"/>
        <v>ME</v>
      </c>
      <c r="D480" s="251">
        <v>46109</v>
      </c>
      <c r="E480" s="252">
        <v>1360000</v>
      </c>
      <c r="F480" t="s">
        <v>417</v>
      </c>
      <c r="G480" s="266" t="s">
        <v>422</v>
      </c>
      <c r="H480" s="253" t="s">
        <v>724</v>
      </c>
      <c r="I480" s="254" t="str">
        <f>IFERROR(VLOOKUP(H480,DATOS!$E$117:$F$168,2,0),"")</f>
        <v/>
      </c>
      <c r="J480" s="255">
        <v>0.46100000000000002</v>
      </c>
      <c r="K480" s="256">
        <f t="shared" si="92"/>
        <v>21</v>
      </c>
      <c r="L480" s="251">
        <v>46088</v>
      </c>
      <c r="M480" s="253">
        <f t="shared" si="93"/>
        <v>21</v>
      </c>
      <c r="N480" s="257">
        <v>0.55000000000000004</v>
      </c>
      <c r="O480" s="112" t="s">
        <v>593</v>
      </c>
      <c r="P480" s="269" t="str">
        <f>+UPPER(TEXT(Tabla4[[#This Row],[transferencia]],"mmmm"))</f>
        <v>MARZO</v>
      </c>
      <c r="Q480" s="269"/>
      <c r="R480" s="269"/>
      <c r="S480" s="249"/>
      <c r="T480" s="249"/>
      <c r="U480" s="249"/>
      <c r="V480" s="249"/>
      <c r="W480" s="249"/>
      <c r="X480" s="249"/>
      <c r="Y480" s="249"/>
      <c r="Z480" s="249"/>
    </row>
    <row r="481" spans="1:26" s="152" customFormat="1" hidden="1" x14ac:dyDescent="0.25">
      <c r="A481" s="250" t="str">
        <f>+Tabla4[[#This Row],[PISCINA]]&amp;Tabla4[[#This Row],[AGUAJE]]</f>
        <v>TA 12</v>
      </c>
      <c r="B481" s="250" t="s">
        <v>293</v>
      </c>
      <c r="C481" s="269" t="str">
        <f t="shared" si="91"/>
        <v>TA</v>
      </c>
      <c r="D481" s="251">
        <v>46111</v>
      </c>
      <c r="E481" s="252">
        <v>1120000</v>
      </c>
      <c r="F481" t="s">
        <v>417</v>
      </c>
      <c r="G481" s="266" t="s">
        <v>422</v>
      </c>
      <c r="H481" s="253" t="s">
        <v>454</v>
      </c>
      <c r="I481" s="254">
        <f>IFERROR(VLOOKUP(H481,DATOS!$E$117:$F$168,2,0),"")</f>
        <v>0</v>
      </c>
      <c r="J481" s="255">
        <v>0.8</v>
      </c>
      <c r="K481" s="256">
        <f t="shared" si="92"/>
        <v>15</v>
      </c>
      <c r="L481" s="251">
        <v>46096</v>
      </c>
      <c r="M481" s="253">
        <f t="shared" si="93"/>
        <v>15</v>
      </c>
      <c r="N481" s="257">
        <v>0.26</v>
      </c>
      <c r="O481" s="250" t="s">
        <v>617</v>
      </c>
      <c r="P481" s="269" t="str">
        <f>+UPPER(TEXT(Tabla4[[#This Row],[transferencia]],"mmmm"))</f>
        <v>MARZO</v>
      </c>
      <c r="Q481" s="269"/>
      <c r="R481" s="269"/>
      <c r="S481" s="249"/>
      <c r="T481" s="249"/>
      <c r="U481" s="249"/>
      <c r="V481" s="249"/>
      <c r="W481" s="249"/>
      <c r="X481" s="249"/>
      <c r="Y481" s="249"/>
      <c r="Z481" s="249"/>
    </row>
    <row r="482" spans="1:26" s="152" customFormat="1" hidden="1" x14ac:dyDescent="0.25">
      <c r="A482" s="250" t="str">
        <f>+Tabla4[[#This Row],[PISCINA]]&amp;Tabla4[[#This Row],[AGUAJE]]</f>
        <v>CA 03</v>
      </c>
      <c r="B482" s="250" t="s">
        <v>200</v>
      </c>
      <c r="C482" s="269" t="str">
        <f t="shared" si="91"/>
        <v>CA</v>
      </c>
      <c r="D482" s="251">
        <v>46147</v>
      </c>
      <c r="E482" s="252">
        <v>1705700</v>
      </c>
      <c r="F482" s="249" t="s">
        <v>417</v>
      </c>
      <c r="G482" s="190" t="s">
        <v>422</v>
      </c>
      <c r="H482" s="253" t="s">
        <v>433</v>
      </c>
      <c r="I482" s="254" t="str">
        <f>IFERROR(VLOOKUP(H482,DATOS!$E$117:$F$168,2,0),"")</f>
        <v>H10586</v>
      </c>
      <c r="J482" s="255">
        <v>0.66669999999999996</v>
      </c>
      <c r="K482" s="256">
        <f t="shared" si="92"/>
        <v>20</v>
      </c>
      <c r="L482" s="251">
        <v>46127</v>
      </c>
      <c r="M482" s="253">
        <f t="shared" si="93"/>
        <v>20</v>
      </c>
      <c r="N482" s="257">
        <v>0.7</v>
      </c>
      <c r="O482" s="112" t="s">
        <v>507</v>
      </c>
      <c r="P482" s="269" t="str">
        <f>+UPPER(TEXT(Tabla4[[#This Row],[transferencia]],"mmmm"))</f>
        <v>MAYO</v>
      </c>
      <c r="Q482" s="269"/>
      <c r="R482" s="269"/>
      <c r="S482" s="249"/>
      <c r="T482" s="249"/>
      <c r="U482" s="249"/>
      <c r="V482" s="249"/>
      <c r="W482" s="249"/>
      <c r="X482" s="249"/>
      <c r="Y482" s="249"/>
      <c r="Z482" s="249"/>
    </row>
    <row r="483" spans="1:26" s="152" customFormat="1" hidden="1" x14ac:dyDescent="0.25">
      <c r="A483" s="250" t="str">
        <f>+Tabla4[[#This Row],[PISCINA]]&amp;Tabla4[[#This Row],[AGUAJE]]</f>
        <v>RO 11</v>
      </c>
      <c r="B483" s="250" t="s">
        <v>129</v>
      </c>
      <c r="C483" s="269" t="str">
        <f t="shared" si="91"/>
        <v>RO</v>
      </c>
      <c r="D483" s="251">
        <v>46125</v>
      </c>
      <c r="E483" s="252">
        <v>420000</v>
      </c>
      <c r="F483" t="s">
        <v>417</v>
      </c>
      <c r="G483" s="266" t="s">
        <v>418</v>
      </c>
      <c r="H483" s="253" t="s">
        <v>419</v>
      </c>
      <c r="I483" s="254" t="str">
        <f>IFERROR(VLOOKUP(H483,DATOS!$E$117:$F$168,2,0),"")</f>
        <v>H10603</v>
      </c>
      <c r="J483" s="255">
        <v>0.7</v>
      </c>
      <c r="K483" s="256">
        <f t="shared" si="92"/>
        <v>20</v>
      </c>
      <c r="L483" s="251">
        <v>46105</v>
      </c>
      <c r="M483" s="253">
        <f t="shared" si="93"/>
        <v>20</v>
      </c>
      <c r="N483" s="257">
        <v>0.75</v>
      </c>
      <c r="O483" s="112" t="s">
        <v>440</v>
      </c>
      <c r="P483" s="269" t="str">
        <f>+UPPER(TEXT(Tabla4[[#This Row],[transferencia]],"mmmm"))</f>
        <v>ABRIL</v>
      </c>
      <c r="Q483" s="269"/>
      <c r="R483" s="269"/>
      <c r="S483" s="249"/>
      <c r="T483" s="249"/>
      <c r="U483" s="249"/>
      <c r="V483" s="249"/>
      <c r="W483" s="249"/>
      <c r="X483" s="249"/>
      <c r="Y483" s="249"/>
      <c r="Z483" s="249"/>
    </row>
    <row r="484" spans="1:26" s="152" customFormat="1" hidden="1" x14ac:dyDescent="0.25">
      <c r="A484" s="250" t="str">
        <f>+Tabla4[[#This Row],[PISCINA]]&amp;Tabla4[[#This Row],[AGUAJE]]</f>
        <v>TI 05</v>
      </c>
      <c r="B484" s="250" t="s">
        <v>315</v>
      </c>
      <c r="C484" s="269" t="str">
        <f t="shared" si="91"/>
        <v>TI</v>
      </c>
      <c r="D484" s="251">
        <v>46115</v>
      </c>
      <c r="E484" s="252">
        <v>1958400</v>
      </c>
      <c r="F484" t="s">
        <v>417</v>
      </c>
      <c r="G484" s="266" t="s">
        <v>422</v>
      </c>
      <c r="H484" s="253" t="s">
        <v>444</v>
      </c>
      <c r="I484" s="254" t="str">
        <f>IFERROR(VLOOKUP(H484,DATOS!$E$117:$F$168,2,0),"")</f>
        <v>H10598B</v>
      </c>
      <c r="J484" s="255">
        <v>0.7994</v>
      </c>
      <c r="K484" s="256">
        <f t="shared" si="92"/>
        <v>20</v>
      </c>
      <c r="L484" s="251">
        <v>46095</v>
      </c>
      <c r="M484" s="253">
        <f t="shared" si="93"/>
        <v>20</v>
      </c>
      <c r="N484" s="257">
        <v>0.68</v>
      </c>
      <c r="O484" s="250" t="s">
        <v>646</v>
      </c>
      <c r="P484" s="269" t="str">
        <f>+UPPER(TEXT(Tabla4[[#This Row],[transferencia]],"mmmm"))</f>
        <v>ABRIL</v>
      </c>
      <c r="Q484" s="269"/>
      <c r="R484" s="269"/>
      <c r="S484" s="249"/>
      <c r="T484" s="249"/>
      <c r="U484" s="249"/>
      <c r="V484" s="249"/>
      <c r="W484" s="249"/>
      <c r="X484" s="249"/>
      <c r="Y484" s="249"/>
      <c r="Z484" s="249"/>
    </row>
    <row r="485" spans="1:26" s="152" customFormat="1" hidden="1" x14ac:dyDescent="0.25">
      <c r="A485" s="250" t="str">
        <f>+Tabla4[[#This Row],[PISCINA]]&amp;Tabla4[[#This Row],[AGUAJE]]</f>
        <v>CA 13</v>
      </c>
      <c r="B485" s="250" t="s">
        <v>317</v>
      </c>
      <c r="C485" s="269" t="str">
        <f t="shared" ref="C485:C490" si="94">+MID(A485,1,2)</f>
        <v>CA</v>
      </c>
      <c r="D485" s="251">
        <v>46117</v>
      </c>
      <c r="E485" s="252">
        <v>165300</v>
      </c>
      <c r="F485" s="249" t="s">
        <v>417</v>
      </c>
      <c r="G485" s="190" t="s">
        <v>422</v>
      </c>
      <c r="H485" s="253" t="s">
        <v>506</v>
      </c>
      <c r="I485" s="254" t="str">
        <f>IFERROR(VLOOKUP(H485,DATOS!$E$117:$F$168,2,0),"")</f>
        <v>H10533F</v>
      </c>
      <c r="J485" s="255">
        <v>0.71250000000000002</v>
      </c>
      <c r="K485" s="256">
        <f t="shared" ref="K485:K490" si="95">+D485-L485</f>
        <v>18</v>
      </c>
      <c r="L485" s="251">
        <v>46099</v>
      </c>
      <c r="M485" s="253">
        <f t="shared" ref="M485:M490" si="96">+D485-L485</f>
        <v>18</v>
      </c>
      <c r="N485" s="257">
        <v>0.65</v>
      </c>
      <c r="O485" s="250" t="s">
        <v>573</v>
      </c>
      <c r="P485" s="269" t="str">
        <f>+UPPER(TEXT(Tabla4[[#This Row],[transferencia]],"mmmm"))</f>
        <v>ABRIL</v>
      </c>
      <c r="Q485" s="269"/>
      <c r="R485" s="269"/>
      <c r="S485" s="249"/>
      <c r="T485" s="249"/>
      <c r="U485" s="249"/>
      <c r="V485" s="249"/>
      <c r="W485" s="249"/>
      <c r="X485" s="249"/>
      <c r="Y485" s="249"/>
      <c r="Z485" s="249"/>
    </row>
    <row r="486" spans="1:26" s="152" customFormat="1" hidden="1" x14ac:dyDescent="0.25">
      <c r="A486" s="250" t="str">
        <f>+Tabla4[[#This Row],[PISCINA]]&amp;Tabla4[[#This Row],[AGUAJE]]</f>
        <v>PA 17</v>
      </c>
      <c r="B486" s="250" t="s">
        <v>306</v>
      </c>
      <c r="C486" s="269" t="str">
        <f t="shared" si="94"/>
        <v>PA</v>
      </c>
      <c r="D486" s="251">
        <v>46114</v>
      </c>
      <c r="E486" s="252">
        <v>1162000</v>
      </c>
      <c r="F486" s="249" t="s">
        <v>417</v>
      </c>
      <c r="G486" s="190" t="s">
        <v>422</v>
      </c>
      <c r="H486" s="189" t="s">
        <v>506</v>
      </c>
      <c r="I486" s="254" t="str">
        <f>IFERROR(VLOOKUP(H486,DATOS!$E$117:$F$168,2,0),"")</f>
        <v>H10533F</v>
      </c>
      <c r="J486" s="255">
        <v>0.91600000000000004</v>
      </c>
      <c r="K486" s="256">
        <f t="shared" si="95"/>
        <v>15</v>
      </c>
      <c r="L486" s="251">
        <v>46099</v>
      </c>
      <c r="M486" s="253">
        <f t="shared" si="96"/>
        <v>15</v>
      </c>
      <c r="N486" s="257">
        <v>0.3</v>
      </c>
      <c r="O486" s="112" t="s">
        <v>598</v>
      </c>
      <c r="P486" s="269" t="str">
        <f>+UPPER(TEXT(Tabla4[[#This Row],[transferencia]],"mmmm"))</f>
        <v>ABRIL</v>
      </c>
      <c r="Q486" s="269"/>
      <c r="R486" s="269"/>
      <c r="S486" s="249"/>
      <c r="T486" s="249"/>
      <c r="U486" s="249"/>
      <c r="V486" s="249"/>
      <c r="W486" s="249"/>
      <c r="X486" s="249"/>
      <c r="Y486" s="249"/>
      <c r="Z486" s="249"/>
    </row>
    <row r="487" spans="1:26" s="152" customFormat="1" hidden="1" x14ac:dyDescent="0.25">
      <c r="A487" s="291" t="str">
        <f>+Tabla4[[#This Row],[PISCINA]]&amp;Tabla4[[#This Row],[AGUAJE]]</f>
        <v>CA 14</v>
      </c>
      <c r="B487" s="292" t="s">
        <v>295</v>
      </c>
      <c r="C487" s="293" t="str">
        <f t="shared" si="94"/>
        <v>CA</v>
      </c>
      <c r="D487" s="294">
        <v>46123</v>
      </c>
      <c r="E487" s="252">
        <v>1350000</v>
      </c>
      <c r="F487" s="249" t="s">
        <v>417</v>
      </c>
      <c r="G487" s="190" t="s">
        <v>422</v>
      </c>
      <c r="H487" s="304" t="s">
        <v>431</v>
      </c>
      <c r="I487" s="297" t="str">
        <f>IFERROR(VLOOKUP(H487,DATOS!$E$117:$F$168,2,0),"")</f>
        <v>H10534B</v>
      </c>
      <c r="J487" s="298">
        <v>0.72499999999999998</v>
      </c>
      <c r="K487" s="299">
        <f t="shared" si="95"/>
        <v>22</v>
      </c>
      <c r="L487" s="294">
        <v>46101</v>
      </c>
      <c r="M487" s="296">
        <f t="shared" si="96"/>
        <v>22</v>
      </c>
      <c r="N487" s="300">
        <v>0.7</v>
      </c>
      <c r="O487" s="303" t="s">
        <v>735</v>
      </c>
      <c r="P487" s="293" t="str">
        <f>+UPPER(TEXT(Tabla4[[#This Row],[transferencia]],"mmmm"))</f>
        <v>ABRIL</v>
      </c>
      <c r="Q487" s="302"/>
      <c r="R487" s="302"/>
      <c r="S487" s="249"/>
      <c r="T487" s="249"/>
      <c r="U487" s="249"/>
      <c r="V487" s="249"/>
      <c r="W487" s="249"/>
      <c r="X487" s="249"/>
      <c r="Y487" s="249"/>
      <c r="Z487" s="249"/>
    </row>
    <row r="488" spans="1:26" s="152" customFormat="1" hidden="1" x14ac:dyDescent="0.25">
      <c r="A488" s="291" t="str">
        <f>+Tabla4[[#This Row],[PISCINA]]&amp;Tabla4[[#This Row],[AGUAJE]]</f>
        <v>DE 02</v>
      </c>
      <c r="B488" s="292" t="s">
        <v>301</v>
      </c>
      <c r="C488" s="293" t="str">
        <f t="shared" si="94"/>
        <v>DE</v>
      </c>
      <c r="D488" s="294">
        <v>46119</v>
      </c>
      <c r="E488" s="252">
        <v>950000</v>
      </c>
      <c r="F488" s="249" t="s">
        <v>417</v>
      </c>
      <c r="G488" s="190" t="s">
        <v>422</v>
      </c>
      <c r="H488" s="253" t="s">
        <v>419</v>
      </c>
      <c r="I488" s="297" t="str">
        <f>IFERROR(VLOOKUP(H488,DATOS!$E$117:$F$168,2,0),"")</f>
        <v>H10603</v>
      </c>
      <c r="J488" s="298">
        <v>0.72819999999999996</v>
      </c>
      <c r="K488" s="299">
        <f t="shared" si="95"/>
        <v>21</v>
      </c>
      <c r="L488" s="294">
        <v>46098</v>
      </c>
      <c r="M488" s="296">
        <f t="shared" si="96"/>
        <v>21</v>
      </c>
      <c r="N488" s="300">
        <v>0.85</v>
      </c>
      <c r="O488" s="303" t="s">
        <v>628</v>
      </c>
      <c r="P488" s="293" t="str">
        <f>+UPPER(TEXT(Tabla4[[#This Row],[transferencia]],"mmmm"))</f>
        <v>ABRIL</v>
      </c>
      <c r="Q488" s="302"/>
      <c r="R488" s="302"/>
      <c r="S488" s="249"/>
      <c r="T488" s="249"/>
      <c r="U488" s="249"/>
      <c r="V488" s="249"/>
      <c r="W488" s="249"/>
      <c r="X488" s="249"/>
      <c r="Y488" s="249"/>
      <c r="Z488" s="249"/>
    </row>
    <row r="489" spans="1:26" s="152" customFormat="1" hidden="1" x14ac:dyDescent="0.25">
      <c r="A489" s="291" t="str">
        <f>+Tabla4[[#This Row],[PISCINA]]&amp;Tabla4[[#This Row],[AGUAJE]]</f>
        <v>TA 18</v>
      </c>
      <c r="B489" s="292" t="s">
        <v>305</v>
      </c>
      <c r="C489" s="293" t="str">
        <f t="shared" si="94"/>
        <v>TA</v>
      </c>
      <c r="D489" s="294">
        <v>46109</v>
      </c>
      <c r="E489" s="252">
        <v>1387000</v>
      </c>
      <c r="F489" s="249" t="s">
        <v>417</v>
      </c>
      <c r="G489" s="305" t="s">
        <v>687</v>
      </c>
      <c r="H489" s="304" t="s">
        <v>428</v>
      </c>
      <c r="I489" s="297" t="str">
        <f>IFERROR(VLOOKUP(H489,DATOS!$E$117:$F$168,2,0),"")</f>
        <v/>
      </c>
      <c r="J489" s="298">
        <v>0.57789999999999997</v>
      </c>
      <c r="K489" s="299">
        <f t="shared" si="95"/>
        <v>20</v>
      </c>
      <c r="L489" s="294">
        <v>46089</v>
      </c>
      <c r="M489" s="296">
        <f t="shared" si="96"/>
        <v>20</v>
      </c>
      <c r="N489" s="300">
        <v>0.33</v>
      </c>
      <c r="O489" s="303" t="s">
        <v>609</v>
      </c>
      <c r="P489" s="293" t="str">
        <f>+UPPER(TEXT(Tabla4[[#This Row],[transferencia]],"mmmm"))</f>
        <v>MARZO</v>
      </c>
      <c r="Q489" s="302"/>
      <c r="R489" s="302"/>
      <c r="S489" s="249"/>
      <c r="T489" s="249"/>
      <c r="U489" s="249"/>
      <c r="V489" s="249"/>
      <c r="W489" s="249"/>
      <c r="X489" s="249"/>
      <c r="Y489" s="249"/>
      <c r="Z489" s="249"/>
    </row>
    <row r="490" spans="1:26" s="152" customFormat="1" hidden="1" x14ac:dyDescent="0.25">
      <c r="A490" s="291" t="str">
        <f>+Tabla4[[#This Row],[PISCINA]]&amp;Tabla4[[#This Row],[AGUAJE]]</f>
        <v>GT 12</v>
      </c>
      <c r="B490" s="292" t="s">
        <v>312</v>
      </c>
      <c r="C490" s="293" t="str">
        <f t="shared" si="94"/>
        <v>GT</v>
      </c>
      <c r="D490" s="294">
        <v>46113</v>
      </c>
      <c r="E490" s="252">
        <v>1280000</v>
      </c>
      <c r="F490" s="249" t="s">
        <v>417</v>
      </c>
      <c r="G490" s="190" t="s">
        <v>422</v>
      </c>
      <c r="H490" s="304" t="s">
        <v>738</v>
      </c>
      <c r="I490" s="297">
        <f>IFERROR(VLOOKUP(H490,DATOS!$E$117:$F$168,2,0),"")</f>
        <v>0</v>
      </c>
      <c r="J490" s="298">
        <v>0.74550000000000005</v>
      </c>
      <c r="K490" s="299">
        <f t="shared" si="95"/>
        <v>21</v>
      </c>
      <c r="L490" s="294">
        <v>46092</v>
      </c>
      <c r="M490" s="296">
        <f t="shared" si="96"/>
        <v>21</v>
      </c>
      <c r="N490" s="300">
        <v>0.75</v>
      </c>
      <c r="O490" s="303" t="s">
        <v>690</v>
      </c>
      <c r="P490" s="293" t="str">
        <f>+UPPER(TEXT(Tabla4[[#This Row],[transferencia]],"mmmm"))</f>
        <v>ABRIL</v>
      </c>
      <c r="Q490" s="302"/>
      <c r="R490" s="302"/>
      <c r="S490" s="249"/>
      <c r="T490" s="249"/>
      <c r="U490" s="249"/>
      <c r="V490" s="249"/>
      <c r="W490" s="249"/>
      <c r="X490" s="249"/>
      <c r="Y490" s="249"/>
      <c r="Z490" s="249"/>
    </row>
    <row r="491" spans="1:26" s="152" customFormat="1" hidden="1" x14ac:dyDescent="0.25">
      <c r="A491" s="291" t="str">
        <f>+Tabla4[[#This Row],[PISCINA]]&amp;Tabla4[[#This Row],[AGUAJE]]</f>
        <v>DO 22</v>
      </c>
      <c r="B491" s="301" t="s">
        <v>323</v>
      </c>
      <c r="C491" s="293" t="str">
        <f t="shared" ref="C491:C497" si="97">+MID(A491,1,2)</f>
        <v>DO</v>
      </c>
      <c r="D491" s="294">
        <v>46122</v>
      </c>
      <c r="E491" s="252">
        <v>1404250</v>
      </c>
      <c r="F491" s="249" t="s">
        <v>417</v>
      </c>
      <c r="G491" s="190" t="s">
        <v>422</v>
      </c>
      <c r="H491" s="304" t="s">
        <v>431</v>
      </c>
      <c r="I491" s="297" t="str">
        <f>IFERROR(VLOOKUP(H491,DATOS!$E$117:$F$168,2,0),"")</f>
        <v>H10534B</v>
      </c>
      <c r="J491" s="298">
        <v>0.70209999999999995</v>
      </c>
      <c r="K491" s="299">
        <f t="shared" ref="K491:K497" si="98">+D491-L491</f>
        <v>21</v>
      </c>
      <c r="L491" s="306">
        <v>46101</v>
      </c>
      <c r="M491" s="296">
        <f t="shared" ref="M491:M497" si="99">+D491-L491</f>
        <v>21</v>
      </c>
      <c r="N491" s="300">
        <v>0.62</v>
      </c>
      <c r="O491" s="303" t="s">
        <v>622</v>
      </c>
      <c r="P491" s="293" t="str">
        <f>+UPPER(TEXT(Tabla4[[#This Row],[transferencia]],"mmmm"))</f>
        <v>ABRIL</v>
      </c>
      <c r="Q491" s="302"/>
      <c r="R491" s="302"/>
      <c r="S491" s="249"/>
      <c r="T491" s="249"/>
      <c r="U491" s="249"/>
      <c r="V491" s="249"/>
      <c r="W491" s="249"/>
      <c r="X491" s="249"/>
      <c r="Y491" s="249"/>
      <c r="Z491" s="249"/>
    </row>
    <row r="492" spans="1:26" s="152" customFormat="1" hidden="1" x14ac:dyDescent="0.25">
      <c r="A492" s="291" t="str">
        <f>+Tabla4[[#This Row],[PISCINA]]&amp;Tabla4[[#This Row],[AGUAJE]]</f>
        <v>CH 03AGUAJE 10</v>
      </c>
      <c r="B492" s="301" t="s">
        <v>9</v>
      </c>
      <c r="C492" s="293" t="str">
        <f t="shared" si="97"/>
        <v>CH</v>
      </c>
      <c r="D492" s="294">
        <v>46100</v>
      </c>
      <c r="E492" s="252">
        <v>1161000</v>
      </c>
      <c r="F492" s="249" t="s">
        <v>417</v>
      </c>
      <c r="G492" s="305" t="s">
        <v>566</v>
      </c>
      <c r="H492" s="304" t="s">
        <v>671</v>
      </c>
      <c r="I492" s="297">
        <f>IFERROR(VLOOKUP(H492,DATOS!$E$117:$F$168,2,0),"")</f>
        <v>0</v>
      </c>
      <c r="J492" s="298">
        <v>0.77400000000000002</v>
      </c>
      <c r="K492" s="299">
        <f t="shared" si="98"/>
        <v>25</v>
      </c>
      <c r="L492" s="294">
        <v>46075</v>
      </c>
      <c r="M492" s="296">
        <f t="shared" si="99"/>
        <v>25</v>
      </c>
      <c r="N492" s="300">
        <v>1.06</v>
      </c>
      <c r="O492" s="303" t="s">
        <v>1171</v>
      </c>
      <c r="P492" s="293" t="str">
        <f>+UPPER(TEXT(Tabla4[[#This Row],[transferencia]],"mmmm"))</f>
        <v>MARZO</v>
      </c>
      <c r="Q492" s="315" t="s">
        <v>347</v>
      </c>
      <c r="R492" s="302"/>
      <c r="S492" s="249"/>
      <c r="T492" s="249"/>
      <c r="U492" s="249"/>
      <c r="V492" s="249"/>
      <c r="W492" s="249"/>
      <c r="X492" s="249"/>
      <c r="Y492" s="249"/>
      <c r="Z492" s="249"/>
    </row>
    <row r="493" spans="1:26" s="152" customFormat="1" hidden="1" x14ac:dyDescent="0.25">
      <c r="A493" s="291" t="str">
        <f>+Tabla4[[#This Row],[PISCINA]]&amp;Tabla4[[#This Row],[AGUAJE]]</f>
        <v>PR 18</v>
      </c>
      <c r="B493" s="301" t="s">
        <v>284</v>
      </c>
      <c r="C493" s="293" t="str">
        <f t="shared" si="97"/>
        <v>PR</v>
      </c>
      <c r="D493" s="294">
        <v>46105</v>
      </c>
      <c r="E493" s="252">
        <v>860000</v>
      </c>
      <c r="F493" s="249" t="s">
        <v>417</v>
      </c>
      <c r="G493" s="190" t="s">
        <v>422</v>
      </c>
      <c r="H493" s="304" t="s">
        <v>454</v>
      </c>
      <c r="I493" s="297">
        <f>IFERROR(VLOOKUP(H493,DATOS!$E$117:$F$168,2,0),"")</f>
        <v>0</v>
      </c>
      <c r="J493" s="298">
        <v>0.80859999999999999</v>
      </c>
      <c r="K493" s="299">
        <f t="shared" si="98"/>
        <v>15</v>
      </c>
      <c r="L493" s="294">
        <v>46090</v>
      </c>
      <c r="M493" s="296">
        <f t="shared" si="99"/>
        <v>15</v>
      </c>
      <c r="N493" s="300">
        <v>0.28999999999999998</v>
      </c>
      <c r="O493" s="303" t="s">
        <v>1180</v>
      </c>
      <c r="P493" s="293" t="str">
        <f>+UPPER(TEXT(Tabla4[[#This Row],[transferencia]],"mmmm"))</f>
        <v>MARZO</v>
      </c>
      <c r="Q493" s="302"/>
      <c r="R493" s="302"/>
      <c r="S493" s="249"/>
      <c r="T493" s="249"/>
      <c r="U493" s="249"/>
      <c r="V493" s="249"/>
      <c r="W493" s="249"/>
      <c r="X493" s="249"/>
      <c r="Y493" s="249"/>
      <c r="Z493" s="249"/>
    </row>
    <row r="494" spans="1:26" s="152" customFormat="1" hidden="1" x14ac:dyDescent="0.25">
      <c r="A494" s="291" t="str">
        <f>+Tabla4[[#This Row],[PISCINA]]&amp;Tabla4[[#This Row],[AGUAJE]]</f>
        <v>WA 17</v>
      </c>
      <c r="B494" s="301" t="s">
        <v>371</v>
      </c>
      <c r="C494" s="293" t="str">
        <f t="shared" si="97"/>
        <v>WA</v>
      </c>
      <c r="D494" s="294">
        <v>46097</v>
      </c>
      <c r="E494" s="252">
        <v>875000</v>
      </c>
      <c r="F494" s="249" t="s">
        <v>417</v>
      </c>
      <c r="G494" s="305" t="s">
        <v>566</v>
      </c>
      <c r="H494" s="304" t="s">
        <v>419</v>
      </c>
      <c r="I494" s="297" t="str">
        <f>IFERROR(VLOOKUP(H494,DATOS!$E$117:$F$168,2,0),"")</f>
        <v>H10603</v>
      </c>
      <c r="J494" s="298">
        <v>0.75380000000000003</v>
      </c>
      <c r="K494" s="299">
        <f t="shared" si="98"/>
        <v>20</v>
      </c>
      <c r="L494" s="294">
        <v>46077</v>
      </c>
      <c r="M494" s="296">
        <f t="shared" si="99"/>
        <v>20</v>
      </c>
      <c r="N494" s="300">
        <v>1.0249999999999999</v>
      </c>
      <c r="O494" s="303" t="s">
        <v>1181</v>
      </c>
      <c r="P494" s="293" t="str">
        <f>+UPPER(TEXT(Tabla4[[#This Row],[transferencia]],"mmmm"))</f>
        <v>MARZO</v>
      </c>
      <c r="Q494" s="302"/>
      <c r="R494" s="302"/>
      <c r="S494" s="249"/>
      <c r="T494" s="249"/>
      <c r="U494" s="249"/>
      <c r="V494" s="249"/>
      <c r="W494" s="249"/>
      <c r="X494" s="249"/>
      <c r="Y494" s="249"/>
      <c r="Z494" s="249"/>
    </row>
    <row r="495" spans="1:26" s="152" customFormat="1" hidden="1" x14ac:dyDescent="0.25">
      <c r="A495" s="291" t="str">
        <f>+Tabla4[[#This Row],[PISCINA]]&amp;Tabla4[[#This Row],[AGUAJE]]</f>
        <v>DE 23</v>
      </c>
      <c r="B495" s="301" t="s">
        <v>302</v>
      </c>
      <c r="C495" s="293" t="str">
        <f t="shared" si="97"/>
        <v>DE</v>
      </c>
      <c r="D495" s="294">
        <v>46119</v>
      </c>
      <c r="E495" s="252">
        <v>990000</v>
      </c>
      <c r="F495" s="249" t="s">
        <v>417</v>
      </c>
      <c r="G495" s="190" t="s">
        <v>422</v>
      </c>
      <c r="H495" s="304" t="s">
        <v>419</v>
      </c>
      <c r="I495" s="297" t="str">
        <f>IFERROR(VLOOKUP(H495,DATOS!$E$117:$F$168,2,0),"")</f>
        <v>H10603</v>
      </c>
      <c r="J495" s="298">
        <v>0.72819999999999996</v>
      </c>
      <c r="K495" s="299">
        <f t="shared" si="98"/>
        <v>21</v>
      </c>
      <c r="L495" s="294">
        <v>46098</v>
      </c>
      <c r="M495" s="296">
        <f t="shared" si="99"/>
        <v>21</v>
      </c>
      <c r="N495" s="300">
        <v>0.85</v>
      </c>
      <c r="O495" s="303" t="s">
        <v>628</v>
      </c>
      <c r="P495" s="293" t="str">
        <f>+UPPER(TEXT(Tabla4[[#This Row],[transferencia]],"mmmm"))</f>
        <v>ABRIL</v>
      </c>
      <c r="Q495" s="302"/>
      <c r="R495" s="302"/>
      <c r="S495" s="249"/>
      <c r="T495" s="249"/>
      <c r="U495" s="249"/>
      <c r="V495" s="249"/>
      <c r="W495" s="249"/>
      <c r="X495" s="249"/>
      <c r="Y495" s="249"/>
      <c r="Z495" s="249"/>
    </row>
    <row r="496" spans="1:26" s="152" customFormat="1" hidden="1" x14ac:dyDescent="0.25">
      <c r="A496" s="291" t="str">
        <f>+Tabla4[[#This Row],[PISCINA]]&amp;Tabla4[[#This Row],[AGUAJE]]</f>
        <v>DO 30</v>
      </c>
      <c r="B496" s="301" t="s">
        <v>152</v>
      </c>
      <c r="C496" s="293" t="str">
        <f t="shared" si="97"/>
        <v>DO</v>
      </c>
      <c r="D496" s="294">
        <v>46136</v>
      </c>
      <c r="E496" s="252">
        <v>1373011</v>
      </c>
      <c r="F496" s="249" t="s">
        <v>417</v>
      </c>
      <c r="G496" s="305" t="s">
        <v>687</v>
      </c>
      <c r="H496" s="304" t="s">
        <v>687</v>
      </c>
      <c r="I496" s="297" t="str">
        <f>IFERROR(VLOOKUP(H496,DATOS!$E$117:$F$168,2,0),"")</f>
        <v/>
      </c>
      <c r="J496" s="298">
        <v>0.61639999999999995</v>
      </c>
      <c r="K496" s="299">
        <f t="shared" si="98"/>
        <v>20</v>
      </c>
      <c r="L496" s="294">
        <v>46116</v>
      </c>
      <c r="M496" s="296">
        <f t="shared" si="99"/>
        <v>20</v>
      </c>
      <c r="N496" s="300">
        <v>4.05</v>
      </c>
      <c r="O496" s="303" t="s">
        <v>308</v>
      </c>
      <c r="P496" s="293" t="str">
        <f>+UPPER(TEXT(Tabla4[[#This Row],[transferencia]],"mmmm"))</f>
        <v>ABRIL</v>
      </c>
      <c r="Q496" s="302"/>
      <c r="R496" s="302"/>
      <c r="S496" s="249"/>
      <c r="T496" s="249"/>
      <c r="U496" s="249"/>
      <c r="V496" s="249"/>
      <c r="W496" s="249"/>
      <c r="X496" s="249"/>
      <c r="Y496" s="249"/>
      <c r="Z496" s="249"/>
    </row>
    <row r="497" spans="1:26" s="152" customFormat="1" hidden="1" x14ac:dyDescent="0.25">
      <c r="A497" s="291" t="str">
        <f>+Tabla4[[#This Row],[PISCINA]]&amp;Tabla4[[#This Row],[AGUAJE]]</f>
        <v>RO 14</v>
      </c>
      <c r="B497" s="301" t="s">
        <v>198</v>
      </c>
      <c r="C497" s="293" t="str">
        <f t="shared" si="97"/>
        <v>RO</v>
      </c>
      <c r="D497" s="294">
        <v>46129</v>
      </c>
      <c r="E497" s="252">
        <v>1534500</v>
      </c>
      <c r="F497" s="249" t="s">
        <v>417</v>
      </c>
      <c r="G497" s="305" t="s">
        <v>428</v>
      </c>
      <c r="H497" s="304" t="s">
        <v>687</v>
      </c>
      <c r="I497" s="297" t="str">
        <f>IFERROR(VLOOKUP(H497,DATOS!$E$117:$F$168,2,0),"")</f>
        <v/>
      </c>
      <c r="J497" s="298">
        <v>0.80759999999999998</v>
      </c>
      <c r="K497" s="299">
        <f t="shared" si="98"/>
        <v>13</v>
      </c>
      <c r="L497" s="294">
        <v>46116</v>
      </c>
      <c r="M497" s="296">
        <f t="shared" si="99"/>
        <v>13</v>
      </c>
      <c r="N497" s="300">
        <v>0.23</v>
      </c>
      <c r="O497" s="303" t="s">
        <v>692</v>
      </c>
      <c r="P497" s="293" t="str">
        <f>+UPPER(TEXT(Tabla4[[#This Row],[transferencia]],"mmmm"))</f>
        <v>ABRIL</v>
      </c>
      <c r="Q497" s="302"/>
      <c r="R497" s="302"/>
      <c r="S497" s="249"/>
      <c r="T497" s="249"/>
      <c r="U497" s="249"/>
      <c r="V497" s="249"/>
      <c r="W497" s="249"/>
      <c r="X497" s="249"/>
      <c r="Y497" s="249"/>
      <c r="Z497" s="249"/>
    </row>
    <row r="498" spans="1:26" s="152" customFormat="1" x14ac:dyDescent="0.25">
      <c r="A498" s="291"/>
      <c r="B498" s="301"/>
      <c r="C498" s="293"/>
      <c r="D498" s="294"/>
      <c r="E498" s="252"/>
      <c r="F498" s="293"/>
      <c r="G498" s="295"/>
      <c r="H498" s="296"/>
      <c r="I498" s="297"/>
      <c r="J498" s="298"/>
      <c r="K498" s="299"/>
      <c r="L498" s="294"/>
      <c r="M498" s="296"/>
      <c r="N498" s="300"/>
      <c r="O498" s="301"/>
      <c r="P498" s="293"/>
      <c r="Q498" s="302"/>
      <c r="R498" s="302"/>
      <c r="S498" s="249"/>
      <c r="T498" s="249"/>
      <c r="U498" s="249"/>
      <c r="V498" s="249"/>
      <c r="W498" s="249"/>
      <c r="X498" s="249"/>
      <c r="Y498" s="249"/>
      <c r="Z498" s="249"/>
    </row>
    <row r="499" spans="1:26" s="152" customFormat="1" x14ac:dyDescent="0.25">
      <c r="A499" s="291"/>
      <c r="B499" s="301"/>
      <c r="C499" s="293"/>
      <c r="D499" s="294"/>
      <c r="E499" s="252"/>
      <c r="F499" s="293"/>
      <c r="G499" s="295"/>
      <c r="H499" s="296"/>
      <c r="I499" s="297"/>
      <c r="J499" s="298"/>
      <c r="K499" s="299"/>
      <c r="L499" s="294"/>
      <c r="M499" s="296"/>
      <c r="N499" s="300"/>
      <c r="O499" s="301"/>
      <c r="P499" s="293"/>
      <c r="Q499" s="302"/>
      <c r="R499" s="302"/>
      <c r="S499" s="249"/>
      <c r="T499" s="249"/>
      <c r="U499" s="249"/>
      <c r="V499" s="249"/>
      <c r="W499" s="249"/>
      <c r="X499" s="249"/>
      <c r="Y499" s="249"/>
      <c r="Z499" s="249"/>
    </row>
    <row r="500" spans="1:26" s="152" customFormat="1" x14ac:dyDescent="0.25">
      <c r="A500" s="291"/>
      <c r="B500" s="301"/>
      <c r="C500" s="293"/>
      <c r="D500" s="294"/>
      <c r="E500" s="252"/>
      <c r="F500" s="293"/>
      <c r="G500" s="295"/>
      <c r="H500" s="296"/>
      <c r="I500" s="297"/>
      <c r="J500" s="298"/>
      <c r="K500" s="299"/>
      <c r="L500" s="294"/>
      <c r="M500" s="296"/>
      <c r="N500" s="300"/>
      <c r="O500" s="301"/>
      <c r="P500" s="293"/>
      <c r="Q500" s="302"/>
      <c r="R500" s="302"/>
      <c r="S500" s="249"/>
      <c r="T500" s="249"/>
      <c r="U500" s="249"/>
      <c r="V500" s="249"/>
      <c r="W500" s="249"/>
      <c r="X500" s="249"/>
      <c r="Y500" s="249"/>
      <c r="Z500" s="249"/>
    </row>
    <row r="501" spans="1:26" s="152" customFormat="1" x14ac:dyDescent="0.25">
      <c r="A501" s="291"/>
      <c r="B501" s="301"/>
      <c r="C501" s="293"/>
      <c r="D501" s="294"/>
      <c r="E501" s="252"/>
      <c r="F501" s="293"/>
      <c r="G501" s="295"/>
      <c r="H501" s="296"/>
      <c r="I501" s="297"/>
      <c r="J501" s="298"/>
      <c r="K501" s="299"/>
      <c r="L501" s="294"/>
      <c r="M501" s="296"/>
      <c r="N501" s="300"/>
      <c r="O501" s="301"/>
      <c r="P501" s="293"/>
      <c r="Q501" s="302"/>
      <c r="R501" s="302"/>
      <c r="S501" s="249"/>
      <c r="T501" s="249"/>
      <c r="U501" s="249"/>
      <c r="V501" s="249"/>
      <c r="W501" s="249"/>
      <c r="X501" s="249"/>
      <c r="Y501" s="249"/>
      <c r="Z501" s="249"/>
    </row>
    <row r="502" spans="1:26" s="152" customFormat="1" x14ac:dyDescent="0.25">
      <c r="A502" s="291"/>
      <c r="B502" s="301"/>
      <c r="C502" s="293"/>
      <c r="D502" s="294"/>
      <c r="E502" s="252"/>
      <c r="F502" s="293"/>
      <c r="G502" s="295"/>
      <c r="H502" s="296"/>
      <c r="I502" s="297"/>
      <c r="J502" s="298"/>
      <c r="K502" s="299"/>
      <c r="L502" s="294"/>
      <c r="M502" s="296"/>
      <c r="N502" s="300"/>
      <c r="O502" s="301"/>
      <c r="P502" s="293"/>
      <c r="Q502" s="302"/>
      <c r="R502" s="302"/>
      <c r="S502" s="249"/>
      <c r="T502" s="249"/>
      <c r="U502" s="249"/>
      <c r="V502" s="249"/>
      <c r="W502" s="249"/>
      <c r="X502" s="249"/>
      <c r="Y502" s="249"/>
      <c r="Z502" s="249"/>
    </row>
    <row r="503" spans="1:26" s="152" customFormat="1" x14ac:dyDescent="0.25">
      <c r="A503" s="291"/>
      <c r="B503" s="301"/>
      <c r="C503" s="293"/>
      <c r="D503" s="294"/>
      <c r="E503" s="252"/>
      <c r="F503" s="293"/>
      <c r="G503" s="295"/>
      <c r="H503" s="296"/>
      <c r="I503" s="297"/>
      <c r="J503" s="298"/>
      <c r="K503" s="299"/>
      <c r="L503" s="294"/>
      <c r="M503" s="296"/>
      <c r="N503" s="300"/>
      <c r="O503" s="301"/>
      <c r="P503" s="293"/>
      <c r="Q503" s="302"/>
      <c r="R503" s="302"/>
      <c r="S503" s="249"/>
      <c r="T503" s="249"/>
      <c r="U503" s="249"/>
      <c r="V503" s="249"/>
      <c r="W503" s="249"/>
      <c r="X503" s="249"/>
      <c r="Y503" s="249"/>
      <c r="Z503" s="249"/>
    </row>
    <row r="504" spans="1:26" s="152" customFormat="1" x14ac:dyDescent="0.25">
      <c r="A504" s="291"/>
      <c r="B504" s="301"/>
      <c r="C504" s="293"/>
      <c r="D504" s="294"/>
      <c r="E504" s="252"/>
      <c r="F504" s="293"/>
      <c r="G504" s="295"/>
      <c r="H504" s="296"/>
      <c r="I504" s="297"/>
      <c r="J504" s="298"/>
      <c r="K504" s="299"/>
      <c r="L504" s="294"/>
      <c r="M504" s="296"/>
      <c r="N504" s="300"/>
      <c r="O504" s="301"/>
      <c r="P504" s="293"/>
      <c r="Q504" s="302"/>
      <c r="R504" s="302"/>
      <c r="S504" s="249"/>
      <c r="T504" s="249"/>
      <c r="U504" s="249"/>
      <c r="V504" s="249"/>
      <c r="W504" s="249"/>
      <c r="X504" s="249"/>
      <c r="Y504" s="249"/>
      <c r="Z504" s="249"/>
    </row>
    <row r="505" spans="1:26" s="152" customFormat="1" x14ac:dyDescent="0.25">
      <c r="A505" s="291"/>
      <c r="B505" s="301"/>
      <c r="C505" s="293"/>
      <c r="D505" s="294"/>
      <c r="E505" s="252"/>
      <c r="F505" s="293"/>
      <c r="G505" s="295"/>
      <c r="H505" s="296"/>
      <c r="I505" s="297"/>
      <c r="J505" s="298"/>
      <c r="K505" s="299"/>
      <c r="L505" s="294"/>
      <c r="M505" s="296"/>
      <c r="N505" s="300"/>
      <c r="O505" s="301"/>
      <c r="P505" s="293"/>
      <c r="Q505" s="302"/>
      <c r="R505" s="302"/>
      <c r="S505" s="249"/>
      <c r="T505" s="249"/>
      <c r="U505" s="249"/>
      <c r="V505" s="249"/>
      <c r="W505" s="249"/>
      <c r="X505" s="249"/>
      <c r="Y505" s="249"/>
      <c r="Z505" s="249"/>
    </row>
    <row r="506" spans="1:26" s="152" customFormat="1" x14ac:dyDescent="0.25">
      <c r="A506" s="291"/>
      <c r="B506" s="301"/>
      <c r="C506" s="293"/>
      <c r="D506" s="294"/>
      <c r="E506" s="252"/>
      <c r="F506" s="293"/>
      <c r="G506" s="295"/>
      <c r="H506" s="296"/>
      <c r="I506" s="297"/>
      <c r="J506" s="298"/>
      <c r="K506" s="299"/>
      <c r="L506" s="294"/>
      <c r="M506" s="296"/>
      <c r="N506" s="300"/>
      <c r="O506" s="301"/>
      <c r="P506" s="293"/>
      <c r="Q506" s="302"/>
      <c r="R506" s="302"/>
      <c r="S506" s="249"/>
      <c r="T506" s="249"/>
      <c r="U506" s="249"/>
      <c r="V506" s="249"/>
      <c r="W506" s="249"/>
      <c r="X506" s="249"/>
      <c r="Y506" s="249"/>
      <c r="Z506" s="249"/>
    </row>
    <row r="507" spans="1:26" s="152" customFormat="1" x14ac:dyDescent="0.25">
      <c r="A507" s="291"/>
      <c r="B507" s="301"/>
      <c r="C507" s="293"/>
      <c r="D507" s="294"/>
      <c r="E507" s="252"/>
      <c r="F507" s="293"/>
      <c r="G507" s="295"/>
      <c r="H507" s="296"/>
      <c r="I507" s="297"/>
      <c r="J507" s="298"/>
      <c r="K507" s="299"/>
      <c r="L507" s="294"/>
      <c r="M507" s="296"/>
      <c r="N507" s="300"/>
      <c r="O507" s="301"/>
      <c r="P507" s="293"/>
      <c r="Q507" s="302"/>
      <c r="R507" s="302"/>
      <c r="S507" s="249"/>
      <c r="T507" s="249"/>
      <c r="U507" s="249"/>
      <c r="V507" s="249"/>
      <c r="W507" s="249"/>
      <c r="X507" s="249"/>
      <c r="Y507" s="249"/>
      <c r="Z507" s="249"/>
    </row>
    <row r="508" spans="1:26" s="152" customFormat="1" x14ac:dyDescent="0.25">
      <c r="A508" s="291"/>
      <c r="B508" s="301"/>
      <c r="C508" s="293"/>
      <c r="D508" s="294"/>
      <c r="E508" s="252"/>
      <c r="F508" s="293"/>
      <c r="G508" s="295"/>
      <c r="H508" s="296"/>
      <c r="I508" s="297"/>
      <c r="J508" s="298"/>
      <c r="K508" s="299"/>
      <c r="L508" s="294"/>
      <c r="M508" s="296"/>
      <c r="N508" s="300"/>
      <c r="O508" s="301"/>
      <c r="P508" s="293"/>
      <c r="Q508" s="302"/>
      <c r="R508" s="302"/>
      <c r="S508" s="249"/>
      <c r="T508" s="249"/>
      <c r="U508" s="249"/>
      <c r="V508" s="249"/>
      <c r="W508" s="249"/>
      <c r="X508" s="249"/>
      <c r="Y508" s="249"/>
      <c r="Z508" s="249"/>
    </row>
    <row r="509" spans="1:26" s="152" customFormat="1" x14ac:dyDescent="0.25">
      <c r="A509" s="291"/>
      <c r="B509" s="301"/>
      <c r="C509" s="293"/>
      <c r="D509" s="294"/>
      <c r="E509" s="252"/>
      <c r="F509" s="293"/>
      <c r="G509" s="295"/>
      <c r="H509" s="296"/>
      <c r="I509" s="297"/>
      <c r="J509" s="298"/>
      <c r="K509" s="299"/>
      <c r="L509" s="294"/>
      <c r="M509" s="296"/>
      <c r="N509" s="300"/>
      <c r="O509" s="301"/>
      <c r="P509" s="293"/>
      <c r="Q509" s="302"/>
      <c r="R509" s="302"/>
      <c r="S509" s="249"/>
      <c r="T509" s="249"/>
      <c r="U509" s="249"/>
      <c r="V509" s="249"/>
      <c r="W509" s="249"/>
      <c r="X509" s="249"/>
      <c r="Y509" s="249"/>
      <c r="Z509" s="249"/>
    </row>
    <row r="510" spans="1:26" s="152" customFormat="1" x14ac:dyDescent="0.25">
      <c r="A510" s="291"/>
      <c r="B510" s="301"/>
      <c r="C510" s="293"/>
      <c r="D510" s="294"/>
      <c r="E510" s="252"/>
      <c r="F510" s="293"/>
      <c r="G510" s="295"/>
      <c r="H510" s="296"/>
      <c r="I510" s="297"/>
      <c r="J510" s="298"/>
      <c r="K510" s="299"/>
      <c r="L510" s="294"/>
      <c r="M510" s="296"/>
      <c r="N510" s="300"/>
      <c r="O510" s="301"/>
      <c r="P510" s="293"/>
      <c r="Q510" s="302"/>
      <c r="R510" s="302"/>
      <c r="S510" s="249"/>
      <c r="T510" s="249"/>
      <c r="U510" s="249"/>
      <c r="V510" s="249"/>
      <c r="W510" s="249"/>
      <c r="X510" s="249"/>
      <c r="Y510" s="249"/>
      <c r="Z510" s="249"/>
    </row>
    <row r="511" spans="1:26" s="152" customFormat="1" x14ac:dyDescent="0.25">
      <c r="A511" s="291"/>
      <c r="B511" s="301"/>
      <c r="C511" s="293"/>
      <c r="D511" s="294"/>
      <c r="E511" s="252"/>
      <c r="F511" s="293"/>
      <c r="G511" s="295"/>
      <c r="H511" s="296"/>
      <c r="I511" s="297"/>
      <c r="J511" s="298"/>
      <c r="K511" s="299"/>
      <c r="L511" s="294"/>
      <c r="M511" s="296"/>
      <c r="N511" s="300"/>
      <c r="O511" s="301"/>
      <c r="P511" s="293"/>
      <c r="Q511" s="302"/>
      <c r="R511" s="302"/>
      <c r="S511" s="249"/>
      <c r="T511" s="249"/>
      <c r="U511" s="249"/>
      <c r="V511" s="249"/>
      <c r="W511" s="249"/>
      <c r="X511" s="249"/>
      <c r="Y511" s="249"/>
      <c r="Z511" s="249"/>
    </row>
    <row r="512" spans="1:26" s="152" customFormat="1" x14ac:dyDescent="0.25">
      <c r="A512" s="291"/>
      <c r="B512" s="301"/>
      <c r="C512" s="293"/>
      <c r="D512" s="294"/>
      <c r="E512" s="252"/>
      <c r="F512" s="293"/>
      <c r="G512" s="295"/>
      <c r="H512" s="296"/>
      <c r="I512" s="297"/>
      <c r="J512" s="298"/>
      <c r="K512" s="299"/>
      <c r="L512" s="294"/>
      <c r="M512" s="296"/>
      <c r="N512" s="300"/>
      <c r="O512" s="301"/>
      <c r="P512" s="293"/>
      <c r="Q512" s="302"/>
      <c r="R512" s="302"/>
      <c r="S512" s="249"/>
      <c r="T512" s="249"/>
      <c r="U512" s="249"/>
      <c r="V512" s="249"/>
      <c r="W512" s="249"/>
      <c r="X512" s="249"/>
      <c r="Y512" s="249"/>
      <c r="Z512" s="249"/>
    </row>
    <row r="513" spans="1:26" s="152" customFormat="1" x14ac:dyDescent="0.25">
      <c r="A513" s="291"/>
      <c r="B513" s="301"/>
      <c r="C513" s="293"/>
      <c r="D513" s="294"/>
      <c r="E513" s="252"/>
      <c r="F513" s="293"/>
      <c r="G513" s="295"/>
      <c r="H513" s="296"/>
      <c r="I513" s="297"/>
      <c r="J513" s="298"/>
      <c r="K513" s="299"/>
      <c r="L513" s="294"/>
      <c r="M513" s="296"/>
      <c r="N513" s="300"/>
      <c r="O513" s="301"/>
      <c r="P513" s="293"/>
      <c r="Q513" s="302"/>
      <c r="R513" s="302"/>
      <c r="S513" s="249"/>
      <c r="T513" s="249"/>
      <c r="U513" s="249"/>
      <c r="V513" s="249"/>
      <c r="W513" s="249"/>
      <c r="X513" s="249"/>
      <c r="Y513" s="249"/>
      <c r="Z513" s="249"/>
    </row>
    <row r="514" spans="1:26" s="152" customFormat="1" x14ac:dyDescent="0.25">
      <c r="A514" s="291"/>
      <c r="B514" s="301"/>
      <c r="C514" s="293"/>
      <c r="D514" s="294"/>
      <c r="E514" s="252"/>
      <c r="F514" s="293"/>
      <c r="G514" s="295"/>
      <c r="H514" s="296"/>
      <c r="I514" s="297"/>
      <c r="J514" s="298"/>
      <c r="K514" s="299"/>
      <c r="L514" s="294"/>
      <c r="M514" s="296"/>
      <c r="N514" s="300"/>
      <c r="O514" s="301"/>
      <c r="P514" s="293"/>
      <c r="Q514" s="302"/>
      <c r="R514" s="302"/>
      <c r="S514" s="249"/>
      <c r="T514" s="249"/>
      <c r="U514" s="249"/>
      <c r="V514" s="249"/>
      <c r="W514" s="249"/>
      <c r="X514" s="249"/>
      <c r="Y514" s="249"/>
      <c r="Z514" s="249"/>
    </row>
    <row r="515" spans="1:26" s="152" customFormat="1" x14ac:dyDescent="0.25">
      <c r="A515" s="291"/>
      <c r="B515" s="301"/>
      <c r="C515" s="293"/>
      <c r="D515" s="294"/>
      <c r="E515" s="252"/>
      <c r="F515" s="293"/>
      <c r="G515" s="295"/>
      <c r="H515" s="296"/>
      <c r="I515" s="297"/>
      <c r="J515" s="298"/>
      <c r="K515" s="299"/>
      <c r="L515" s="294"/>
      <c r="M515" s="296"/>
      <c r="N515" s="300"/>
      <c r="O515" s="301"/>
      <c r="P515" s="293"/>
      <c r="Q515" s="302"/>
      <c r="R515" s="302"/>
      <c r="S515" s="249"/>
      <c r="T515" s="249"/>
      <c r="U515" s="249"/>
      <c r="V515" s="249"/>
      <c r="W515" s="249"/>
      <c r="X515" s="249"/>
      <c r="Y515" s="249"/>
      <c r="Z515" s="249"/>
    </row>
    <row r="516" spans="1:26" s="152" customFormat="1" x14ac:dyDescent="0.25">
      <c r="A516" s="291"/>
      <c r="B516" s="301"/>
      <c r="C516" s="293"/>
      <c r="D516" s="294"/>
      <c r="E516" s="252"/>
      <c r="F516" s="293"/>
      <c r="G516" s="295"/>
      <c r="H516" s="296"/>
      <c r="I516" s="297"/>
      <c r="J516" s="298"/>
      <c r="K516" s="299"/>
      <c r="L516" s="294"/>
      <c r="M516" s="296"/>
      <c r="N516" s="300"/>
      <c r="O516" s="301"/>
      <c r="P516" s="293"/>
      <c r="Q516" s="302"/>
      <c r="R516" s="302"/>
      <c r="S516" s="249"/>
      <c r="T516" s="249"/>
      <c r="U516" s="249"/>
      <c r="V516" s="249"/>
      <c r="W516" s="249"/>
      <c r="X516" s="249"/>
      <c r="Y516" s="249"/>
      <c r="Z516" s="249"/>
    </row>
    <row r="517" spans="1:26" s="152" customFormat="1" x14ac:dyDescent="0.25">
      <c r="A517" s="291"/>
      <c r="B517" s="301"/>
      <c r="C517" s="293"/>
      <c r="D517" s="294"/>
      <c r="E517" s="252"/>
      <c r="F517" s="293"/>
      <c r="G517" s="295"/>
      <c r="H517" s="296"/>
      <c r="I517" s="297"/>
      <c r="J517" s="298"/>
      <c r="K517" s="299"/>
      <c r="L517" s="294"/>
      <c r="M517" s="296"/>
      <c r="N517" s="300"/>
      <c r="O517" s="301"/>
      <c r="P517" s="293"/>
      <c r="Q517" s="302"/>
      <c r="R517" s="302"/>
      <c r="S517" s="249"/>
      <c r="T517" s="249"/>
      <c r="U517" s="249"/>
      <c r="V517" s="249"/>
      <c r="W517" s="249"/>
      <c r="X517" s="249"/>
      <c r="Y517" s="249"/>
      <c r="Z517" s="249"/>
    </row>
    <row r="518" spans="1:26" s="152" customFormat="1" x14ac:dyDescent="0.25">
      <c r="A518" s="291"/>
      <c r="B518" s="301"/>
      <c r="C518" s="293"/>
      <c r="D518" s="294"/>
      <c r="E518" s="252"/>
      <c r="F518" s="293"/>
      <c r="G518" s="295"/>
      <c r="H518" s="296"/>
      <c r="I518" s="297"/>
      <c r="J518" s="298"/>
      <c r="K518" s="299"/>
      <c r="L518" s="294"/>
      <c r="M518" s="296"/>
      <c r="N518" s="300"/>
      <c r="O518" s="301"/>
      <c r="P518" s="293"/>
      <c r="Q518" s="302"/>
      <c r="R518" s="302"/>
      <c r="S518" s="249"/>
      <c r="T518" s="249"/>
      <c r="U518" s="249"/>
      <c r="V518" s="249"/>
      <c r="W518" s="249"/>
      <c r="X518" s="249"/>
      <c r="Y518" s="249"/>
      <c r="Z518" s="249"/>
    </row>
    <row r="519" spans="1:26" s="152" customFormat="1" x14ac:dyDescent="0.25">
      <c r="A519" s="291"/>
      <c r="B519" s="301"/>
      <c r="C519" s="293"/>
      <c r="D519" s="294"/>
      <c r="E519" s="252"/>
      <c r="F519" s="293"/>
      <c r="G519" s="295"/>
      <c r="H519" s="296"/>
      <c r="I519" s="297"/>
      <c r="J519" s="298"/>
      <c r="K519" s="299"/>
      <c r="L519" s="294"/>
      <c r="M519" s="296"/>
      <c r="N519" s="300"/>
      <c r="O519" s="301"/>
      <c r="P519" s="293"/>
      <c r="Q519" s="302"/>
      <c r="R519" s="302"/>
      <c r="S519" s="249"/>
      <c r="T519" s="249"/>
      <c r="U519" s="249"/>
      <c r="V519" s="249"/>
      <c r="W519" s="249"/>
      <c r="X519" s="249"/>
      <c r="Y519" s="249"/>
      <c r="Z519" s="249"/>
    </row>
    <row r="520" spans="1:26" s="152" customFormat="1" x14ac:dyDescent="0.25">
      <c r="A520" s="291"/>
      <c r="B520" s="301"/>
      <c r="C520" s="293"/>
      <c r="D520" s="294"/>
      <c r="E520" s="252"/>
      <c r="F520" s="293"/>
      <c r="G520" s="295"/>
      <c r="H520" s="296"/>
      <c r="I520" s="297"/>
      <c r="J520" s="298"/>
      <c r="K520" s="299"/>
      <c r="L520" s="294"/>
      <c r="M520" s="296"/>
      <c r="N520" s="300"/>
      <c r="O520" s="301"/>
      <c r="P520" s="293"/>
      <c r="Q520" s="302"/>
      <c r="R520" s="302"/>
      <c r="S520" s="249"/>
      <c r="T520" s="249"/>
      <c r="U520" s="249"/>
      <c r="V520" s="249"/>
      <c r="W520" s="249"/>
      <c r="X520" s="249"/>
      <c r="Y520" s="249"/>
      <c r="Z520" s="249"/>
    </row>
    <row r="521" spans="1:26" s="152" customFormat="1" x14ac:dyDescent="0.25">
      <c r="A521" s="291"/>
      <c r="B521" s="301"/>
      <c r="C521" s="293"/>
      <c r="D521" s="294"/>
      <c r="E521" s="252"/>
      <c r="F521" s="293"/>
      <c r="G521" s="295"/>
      <c r="H521" s="296"/>
      <c r="I521" s="297"/>
      <c r="J521" s="298"/>
      <c r="K521" s="299"/>
      <c r="L521" s="294"/>
      <c r="M521" s="296"/>
      <c r="N521" s="300"/>
      <c r="O521" s="301"/>
      <c r="P521" s="293"/>
      <c r="Q521" s="302"/>
      <c r="R521" s="302"/>
      <c r="S521" s="249"/>
      <c r="T521" s="249"/>
      <c r="U521" s="249"/>
      <c r="V521" s="249"/>
      <c r="W521" s="249"/>
      <c r="X521" s="249"/>
      <c r="Y521" s="249"/>
      <c r="Z521" s="249"/>
    </row>
    <row r="522" spans="1:26" s="152" customFormat="1" x14ac:dyDescent="0.25">
      <c r="A522" s="291"/>
      <c r="B522" s="301"/>
      <c r="C522" s="293"/>
      <c r="D522" s="294"/>
      <c r="E522" s="252"/>
      <c r="F522" s="293"/>
      <c r="G522" s="295"/>
      <c r="H522" s="296"/>
      <c r="I522" s="297"/>
      <c r="J522" s="298"/>
      <c r="K522" s="299"/>
      <c r="L522" s="294"/>
      <c r="M522" s="296"/>
      <c r="N522" s="300"/>
      <c r="O522" s="301"/>
      <c r="P522" s="293"/>
      <c r="Q522" s="302"/>
      <c r="R522" s="302"/>
      <c r="S522" s="249"/>
      <c r="T522" s="249"/>
      <c r="U522" s="249"/>
      <c r="V522" s="249"/>
      <c r="W522" s="249"/>
      <c r="X522" s="249"/>
      <c r="Y522" s="249"/>
      <c r="Z522" s="249"/>
    </row>
    <row r="523" spans="1:26" s="152" customFormat="1" x14ac:dyDescent="0.25">
      <c r="A523" s="291"/>
      <c r="B523" s="301"/>
      <c r="C523" s="293"/>
      <c r="D523" s="294"/>
      <c r="E523" s="252"/>
      <c r="F523" s="293"/>
      <c r="G523" s="295"/>
      <c r="H523" s="296"/>
      <c r="I523" s="297"/>
      <c r="J523" s="298"/>
      <c r="K523" s="299"/>
      <c r="L523" s="294"/>
      <c r="M523" s="296"/>
      <c r="N523" s="300"/>
      <c r="O523" s="301"/>
      <c r="P523" s="293"/>
      <c r="Q523" s="302"/>
      <c r="R523" s="302"/>
      <c r="S523" s="249"/>
      <c r="T523" s="249"/>
      <c r="U523" s="249"/>
      <c r="V523" s="249"/>
      <c r="W523" s="249"/>
      <c r="X523" s="249"/>
      <c r="Y523" s="249"/>
      <c r="Z523" s="249"/>
    </row>
    <row r="524" spans="1:26" s="152" customFormat="1" x14ac:dyDescent="0.25">
      <c r="A524" s="291"/>
      <c r="B524" s="301"/>
      <c r="C524" s="293"/>
      <c r="D524" s="294"/>
      <c r="E524" s="252"/>
      <c r="F524" s="293"/>
      <c r="G524" s="295"/>
      <c r="H524" s="296"/>
      <c r="I524" s="297"/>
      <c r="J524" s="298"/>
      <c r="K524" s="299"/>
      <c r="L524" s="294"/>
      <c r="M524" s="296"/>
      <c r="N524" s="300"/>
      <c r="O524" s="301"/>
      <c r="P524" s="293"/>
      <c r="Q524" s="302"/>
      <c r="R524" s="302"/>
      <c r="S524" s="249"/>
      <c r="T524" s="249"/>
      <c r="U524" s="249"/>
      <c r="V524" s="249"/>
      <c r="W524" s="249"/>
      <c r="X524" s="249"/>
      <c r="Y524" s="249"/>
      <c r="Z524" s="249"/>
    </row>
    <row r="525" spans="1:26" s="152" customFormat="1" x14ac:dyDescent="0.25">
      <c r="A525" s="250"/>
      <c r="B525" s="250"/>
      <c r="C525" s="269"/>
      <c r="D525" s="251"/>
      <c r="E525" s="252"/>
      <c r="F525" s="269"/>
      <c r="G525" s="266"/>
      <c r="H525" s="253"/>
      <c r="I525" s="254"/>
      <c r="J525" s="255"/>
      <c r="K525" s="256"/>
      <c r="L525" s="251"/>
      <c r="M525" s="253"/>
      <c r="N525" s="257"/>
      <c r="O525" s="250"/>
      <c r="P525" s="269"/>
      <c r="Q525" s="269"/>
      <c r="R525" s="269"/>
      <c r="S525" s="249"/>
      <c r="T525" s="249"/>
      <c r="U525" s="249"/>
      <c r="V525" s="249"/>
      <c r="W525" s="249"/>
      <c r="X525" s="249"/>
      <c r="Y525" s="249"/>
      <c r="Z525" s="249"/>
    </row>
    <row r="526" spans="1:26" s="152" customFormat="1" x14ac:dyDescent="0.25">
      <c r="A526" s="249"/>
      <c r="B526"/>
      <c r="C526" s="249"/>
      <c r="D526" s="249"/>
      <c r="E526" s="158" t="s">
        <v>739</v>
      </c>
      <c r="F526" s="164"/>
      <c r="G526" s="44">
        <v>11550</v>
      </c>
      <c r="H526" s="260"/>
      <c r="I526" s="258"/>
      <c r="J526" s="249"/>
      <c r="K526" s="249"/>
      <c r="L526" s="249"/>
      <c r="M526" s="259"/>
      <c r="N526" s="249"/>
      <c r="O526" s="261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</row>
    <row r="527" spans="1:26" s="152" customFormat="1" x14ac:dyDescent="0.25">
      <c r="A527" s="249"/>
      <c r="B527" s="249"/>
      <c r="C527" s="249"/>
      <c r="D527" s="249"/>
      <c r="E527" s="159" t="s">
        <v>740</v>
      </c>
      <c r="F527" s="164"/>
      <c r="G527" s="260">
        <f>+G526*454</f>
        <v>5243700</v>
      </c>
      <c r="H527" s="249"/>
      <c r="I527" s="258"/>
      <c r="J527" s="260"/>
      <c r="K527" s="249"/>
      <c r="L527" s="259"/>
      <c r="M527" s="25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</row>
    <row r="528" spans="1:26" s="152" customFormat="1" x14ac:dyDescent="0.25">
      <c r="A528" s="249"/>
      <c r="B528" s="249"/>
      <c r="C528" s="249"/>
      <c r="D528" s="249"/>
      <c r="E528" s="159" t="s">
        <v>393</v>
      </c>
      <c r="F528" s="164"/>
      <c r="G528" s="262">
        <v>20</v>
      </c>
      <c r="H528" s="249"/>
      <c r="I528" s="258"/>
      <c r="J528" s="249"/>
      <c r="K528" s="249"/>
      <c r="L528" s="259"/>
      <c r="M528" s="259"/>
      <c r="N528" s="249"/>
      <c r="O528" s="261"/>
      <c r="P528" s="249"/>
      <c r="Q528" s="249"/>
      <c r="R528" s="249"/>
      <c r="S528" s="249"/>
      <c r="T528" s="249"/>
      <c r="U528" s="249"/>
      <c r="V528" s="249"/>
      <c r="W528" s="249"/>
      <c r="X528" s="249"/>
      <c r="Y528" s="249"/>
      <c r="Z528" s="249"/>
    </row>
    <row r="529" spans="1:26" s="152" customFormat="1" x14ac:dyDescent="0.25">
      <c r="A529" s="249"/>
      <c r="B529" s="249"/>
      <c r="C529" s="249"/>
      <c r="D529" s="249"/>
      <c r="E529" s="159" t="s">
        <v>741</v>
      </c>
      <c r="F529" s="164"/>
      <c r="G529" s="260">
        <f>G527/G528</f>
        <v>262185</v>
      </c>
      <c r="H529" s="249"/>
      <c r="I529" s="258"/>
      <c r="J529" s="249"/>
      <c r="K529" s="249"/>
      <c r="L529" s="259"/>
      <c r="M529" s="25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</row>
    <row r="530" spans="1:26" s="152" customFormat="1" x14ac:dyDescent="0.25">
      <c r="A530" s="249"/>
      <c r="B530" s="249"/>
      <c r="C530" s="249"/>
      <c r="D530" s="249"/>
      <c r="E530" s="159" t="s">
        <v>68</v>
      </c>
      <c r="F530" s="164"/>
      <c r="G530" s="197">
        <v>1368000</v>
      </c>
      <c r="H530" s="249"/>
      <c r="I530" s="258"/>
      <c r="J530" s="263"/>
      <c r="K530" s="249"/>
      <c r="L530" s="259"/>
      <c r="M530" s="25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</row>
    <row r="531" spans="1:26" s="152" customFormat="1" x14ac:dyDescent="0.25">
      <c r="A531" s="249"/>
      <c r="B531" s="249"/>
      <c r="C531" s="249"/>
      <c r="D531" s="249"/>
      <c r="E531" s="160" t="s">
        <v>91</v>
      </c>
      <c r="F531" s="164"/>
      <c r="G531" s="157">
        <f>+G529/G530</f>
        <v>0.19165570175438595</v>
      </c>
      <c r="H531" s="249"/>
      <c r="I531" s="258"/>
      <c r="J531" s="249"/>
      <c r="K531" s="249"/>
      <c r="L531" s="249"/>
      <c r="M531" s="25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</row>
    <row r="532" spans="1:26" s="152" customFormat="1" x14ac:dyDescent="0.25">
      <c r="A532" s="249"/>
      <c r="B532" s="249"/>
      <c r="C532" t="s">
        <v>742</v>
      </c>
      <c r="D532" s="249"/>
      <c r="E532" s="249"/>
      <c r="F532" s="249"/>
      <c r="G532" s="264"/>
      <c r="H532" s="249"/>
      <c r="I532" s="258"/>
      <c r="J532" s="264"/>
      <c r="K532" s="249"/>
      <c r="L532" s="249"/>
      <c r="M532" s="259"/>
      <c r="N532" s="249"/>
      <c r="O532" s="249"/>
      <c r="P532" s="249"/>
      <c r="Q532" s="249"/>
      <c r="R532" s="249"/>
      <c r="S532" s="249"/>
      <c r="T532" s="249"/>
      <c r="U532" s="249"/>
      <c r="V532" s="249"/>
      <c r="W532" s="249"/>
      <c r="X532" s="249"/>
      <c r="Y532" s="249"/>
      <c r="Z532" s="249"/>
    </row>
    <row r="533" spans="1:26" s="152" customFormat="1" x14ac:dyDescent="0.25">
      <c r="A533" s="249"/>
      <c r="B533" s="249"/>
      <c r="C533" s="249"/>
      <c r="D533" s="249"/>
      <c r="E533" s="249"/>
      <c r="F533" s="249"/>
      <c r="G533" s="264"/>
      <c r="H533" s="249"/>
      <c r="I533" s="258"/>
      <c r="J533" s="249"/>
      <c r="K533" s="249"/>
      <c r="L533" s="249"/>
      <c r="M533" s="25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</row>
    <row r="534" spans="1:26" s="152" customFormat="1" x14ac:dyDescent="0.25">
      <c r="A534" s="249"/>
      <c r="B534" s="249"/>
      <c r="C534" s="249"/>
      <c r="D534" s="249"/>
      <c r="E534" s="249"/>
      <c r="F534" s="249"/>
      <c r="G534" s="264"/>
      <c r="H534" s="249"/>
      <c r="I534" s="258"/>
      <c r="J534" s="249"/>
      <c r="K534" s="249"/>
      <c r="L534" s="249"/>
      <c r="M534" s="259"/>
      <c r="N534" s="249"/>
      <c r="O534" s="249"/>
      <c r="P534" s="249"/>
      <c r="Q534" s="249"/>
      <c r="R534" s="249"/>
      <c r="S534" s="249"/>
      <c r="T534" s="249"/>
      <c r="U534" s="249"/>
      <c r="V534" s="249"/>
      <c r="W534" s="249"/>
      <c r="X534" s="249"/>
      <c r="Y534" s="249"/>
      <c r="Z534" s="249"/>
    </row>
    <row r="535" spans="1:26" s="152" customFormat="1" x14ac:dyDescent="0.25">
      <c r="A535" s="249"/>
      <c r="B535" s="249"/>
      <c r="C535" s="249"/>
      <c r="D535" s="249" t="s">
        <v>742</v>
      </c>
      <c r="E535" s="249"/>
      <c r="F535" s="249"/>
      <c r="G535" s="264"/>
      <c r="H535" s="249"/>
      <c r="I535" s="258"/>
      <c r="J535" s="249"/>
      <c r="K535" s="249"/>
      <c r="L535" s="249"/>
      <c r="M535" s="259"/>
      <c r="N535" s="249"/>
      <c r="O535" s="249"/>
      <c r="P535" s="249"/>
      <c r="Q535" s="249"/>
      <c r="R535" s="249"/>
      <c r="S535" s="249"/>
      <c r="T535" s="249"/>
      <c r="U535" s="249"/>
      <c r="V535" s="249"/>
      <c r="W535" s="249"/>
      <c r="X535" s="249"/>
      <c r="Y535" s="249"/>
      <c r="Z535" s="249"/>
    </row>
    <row r="536" spans="1:26" s="152" customFormat="1" x14ac:dyDescent="0.25">
      <c r="A536" s="249"/>
      <c r="B536" s="249"/>
      <c r="C536" s="249"/>
      <c r="D536" s="249"/>
      <c r="E536" s="249"/>
      <c r="F536" s="249"/>
      <c r="G536" s="264"/>
      <c r="H536" s="249"/>
      <c r="I536" s="258"/>
      <c r="J536"/>
      <c r="K536" s="249"/>
      <c r="L536" s="249"/>
      <c r="M536" s="259"/>
      <c r="N536" s="249"/>
      <c r="O536" s="249"/>
      <c r="P536" s="249"/>
      <c r="Q536" s="249"/>
      <c r="R536" s="249"/>
      <c r="S536" s="249"/>
      <c r="T536" s="249"/>
      <c r="U536" s="249"/>
      <c r="V536" s="249"/>
      <c r="W536" s="249"/>
      <c r="X536" s="249"/>
      <c r="Y536" s="249"/>
      <c r="Z536" s="249"/>
    </row>
    <row r="537" spans="1:26" s="152" customFormat="1" x14ac:dyDescent="0.25">
      <c r="A537" s="249"/>
      <c r="B537" s="249"/>
      <c r="C537" s="249"/>
      <c r="D537" s="249"/>
      <c r="E537" s="249"/>
      <c r="F537" s="249"/>
      <c r="G537" s="264"/>
      <c r="H537" s="249"/>
      <c r="I537" s="258"/>
      <c r="J537" s="249"/>
      <c r="K537" s="249"/>
      <c r="L537" s="249"/>
      <c r="M537" s="259"/>
      <c r="N537" s="249"/>
      <c r="O537" s="249"/>
      <c r="P537" s="249"/>
      <c r="Q537" s="249"/>
      <c r="R537" s="249"/>
      <c r="S537" s="249"/>
      <c r="T537" s="249"/>
      <c r="U537" s="249"/>
      <c r="V537" s="249"/>
      <c r="W537" s="249"/>
      <c r="X537" s="249"/>
      <c r="Y537" s="249"/>
      <c r="Z537" s="249"/>
    </row>
    <row r="538" spans="1:26" s="152" customFormat="1" x14ac:dyDescent="0.25">
      <c r="A538" s="249"/>
      <c r="B538" s="249"/>
      <c r="C538" s="249"/>
      <c r="D538" s="249"/>
      <c r="E538" s="249"/>
      <c r="F538" s="249"/>
      <c r="G538" s="249"/>
      <c r="H538" s="249"/>
      <c r="I538" s="258"/>
      <c r="J538" s="249"/>
      <c r="K538" s="249"/>
      <c r="L538" s="249"/>
      <c r="M538" s="259"/>
      <c r="N538" s="249"/>
      <c r="O538" s="249"/>
      <c r="P538" s="249"/>
      <c r="Q538" s="249"/>
      <c r="R538" s="249"/>
      <c r="S538" s="249"/>
      <c r="T538" s="249"/>
      <c r="U538" s="249"/>
      <c r="V538" s="249"/>
      <c r="W538" s="249"/>
      <c r="X538" s="249"/>
      <c r="Y538" s="249"/>
      <c r="Z538" s="249"/>
    </row>
    <row r="539" spans="1:26" s="152" customFormat="1" x14ac:dyDescent="0.25">
      <c r="A539" s="249"/>
      <c r="B539" s="249"/>
      <c r="C539" s="249"/>
      <c r="D539" s="249"/>
      <c r="E539" s="249"/>
      <c r="F539" s="249"/>
      <c r="G539" s="249"/>
      <c r="H539" s="249"/>
      <c r="I539" s="258"/>
      <c r="J539" s="249"/>
      <c r="K539" s="249"/>
      <c r="L539" s="249"/>
      <c r="M539" s="259"/>
      <c r="N539" s="249"/>
      <c r="O539" s="249"/>
      <c r="P539" s="249"/>
      <c r="Q539" s="249"/>
      <c r="R539" s="249"/>
      <c r="S539" s="249"/>
      <c r="T539" s="249"/>
      <c r="U539" s="249"/>
      <c r="V539" s="249"/>
      <c r="W539" s="249"/>
      <c r="X539" s="249"/>
      <c r="Y539" s="249"/>
      <c r="Z539" s="249"/>
    </row>
    <row r="540" spans="1:26" s="152" customFormat="1" x14ac:dyDescent="0.25">
      <c r="A540" s="249"/>
      <c r="B540" s="249"/>
      <c r="C540" s="249"/>
      <c r="D540" s="249"/>
      <c r="E540" s="249"/>
      <c r="F540" s="249"/>
      <c r="G540" s="249"/>
      <c r="H540" s="249"/>
      <c r="I540" s="258"/>
      <c r="J540" s="249"/>
      <c r="K540" s="249"/>
      <c r="L540" s="249"/>
      <c r="M540" s="259"/>
      <c r="N540" s="249"/>
      <c r="O540" s="249"/>
      <c r="P540" s="249"/>
      <c r="Q540" s="249"/>
      <c r="R540" s="249"/>
      <c r="S540" s="249"/>
      <c r="T540" s="249"/>
      <c r="U540" s="249"/>
      <c r="V540" s="249"/>
      <c r="W540" s="249"/>
      <c r="X540" s="249"/>
      <c r="Y540" s="249"/>
      <c r="Z540" s="249"/>
    </row>
    <row r="541" spans="1:26" s="152" customFormat="1" x14ac:dyDescent="0.25">
      <c r="A541" s="249"/>
      <c r="B541" s="249"/>
      <c r="C541" s="249"/>
      <c r="D541" s="249"/>
      <c r="E541" s="249"/>
      <c r="F541" s="249"/>
      <c r="G541" s="249"/>
      <c r="H541" s="249"/>
      <c r="I541" s="258"/>
      <c r="J541" s="249"/>
      <c r="K541" s="249"/>
      <c r="L541" s="249"/>
      <c r="M541" s="259"/>
      <c r="N541" s="249"/>
      <c r="O541" s="249"/>
      <c r="P541" s="249"/>
      <c r="Q541" s="249"/>
      <c r="R541" s="249"/>
      <c r="S541" s="249"/>
      <c r="T541" s="249"/>
      <c r="U541" s="249"/>
      <c r="V541" s="249"/>
      <c r="W541" s="249"/>
      <c r="X541" s="249"/>
      <c r="Y541" s="249"/>
      <c r="Z541" s="249"/>
    </row>
    <row r="542" spans="1:26" s="152" customFormat="1" x14ac:dyDescent="0.25">
      <c r="A542" s="249"/>
      <c r="B542" s="249"/>
      <c r="C542" s="249"/>
      <c r="D542" s="249"/>
      <c r="E542" s="249"/>
      <c r="F542" s="249"/>
      <c r="G542" s="249"/>
      <c r="H542" s="249"/>
      <c r="I542" s="258"/>
      <c r="J542" s="249"/>
      <c r="K542" s="249"/>
      <c r="L542" s="249"/>
      <c r="M542" s="259"/>
      <c r="N542" s="249"/>
      <c r="O542" s="249"/>
      <c r="P542" s="249"/>
      <c r="Q542" s="249"/>
      <c r="R542" s="249"/>
      <c r="S542" s="249"/>
      <c r="T542" s="249"/>
      <c r="U542" s="249"/>
      <c r="V542" s="249"/>
      <c r="W542" s="249"/>
      <c r="X542" s="249"/>
      <c r="Y542" s="249"/>
      <c r="Z542" s="249"/>
    </row>
    <row r="543" spans="1:26" s="152" customFormat="1" x14ac:dyDescent="0.25">
      <c r="A543" s="249"/>
      <c r="B543" s="249"/>
      <c r="C543" s="249"/>
      <c r="D543" s="249"/>
      <c r="E543" s="249"/>
      <c r="F543" s="249"/>
      <c r="G543" s="249"/>
      <c r="H543" s="249"/>
      <c r="I543" s="258"/>
      <c r="J543" s="249"/>
      <c r="K543" s="249"/>
      <c r="L543" s="249"/>
      <c r="M543" s="259"/>
      <c r="N543" s="249"/>
      <c r="O543" s="249"/>
      <c r="P543" s="249"/>
      <c r="Q543" s="249"/>
      <c r="R543" s="249"/>
      <c r="S543" s="249"/>
      <c r="T543" s="249"/>
      <c r="U543" s="249"/>
      <c r="V543" s="249"/>
      <c r="W543" s="249"/>
      <c r="X543" s="249"/>
      <c r="Y543" s="249"/>
      <c r="Z543" s="249"/>
    </row>
    <row r="544" spans="1:26" s="152" customFormat="1" x14ac:dyDescent="0.25">
      <c r="A544" s="249"/>
      <c r="B544" s="249"/>
      <c r="C544" s="249"/>
      <c r="D544" s="249"/>
      <c r="E544" s="249"/>
      <c r="F544" s="249"/>
      <c r="G544" s="249"/>
      <c r="H544" s="249"/>
      <c r="I544" s="258"/>
      <c r="J544" s="249"/>
      <c r="K544" s="249"/>
      <c r="L544" s="249"/>
      <c r="M544" s="259"/>
      <c r="N544" s="249"/>
      <c r="O544" s="249"/>
      <c r="P544" s="249"/>
      <c r="Q544" s="249"/>
      <c r="R544" s="249"/>
      <c r="S544" s="249"/>
      <c r="T544" s="249"/>
      <c r="U544" s="249"/>
      <c r="V544" s="249"/>
      <c r="W544" s="249"/>
      <c r="X544" s="249"/>
      <c r="Y544" s="249"/>
      <c r="Z544" s="249"/>
    </row>
    <row r="545" spans="1:26" s="152" customFormat="1" x14ac:dyDescent="0.25">
      <c r="A545" s="249"/>
      <c r="B545" s="249"/>
      <c r="C545" s="249"/>
      <c r="D545" s="249"/>
      <c r="E545" s="249"/>
      <c r="F545" s="249"/>
      <c r="G545" s="249"/>
      <c r="H545" s="249"/>
      <c r="I545" s="258"/>
      <c r="J545" s="249"/>
      <c r="K545" s="249"/>
      <c r="L545" s="249"/>
      <c r="M545" s="259"/>
      <c r="N545" s="249"/>
      <c r="O545" s="249"/>
      <c r="P545" s="249"/>
      <c r="Q545" s="249"/>
      <c r="R545" s="249"/>
      <c r="S545" s="249"/>
      <c r="T545" s="249"/>
      <c r="U545" s="249"/>
      <c r="V545" s="249"/>
      <c r="W545" s="249"/>
      <c r="X545" s="249"/>
      <c r="Y545" s="249"/>
      <c r="Z545" s="249"/>
    </row>
    <row r="546" spans="1:26" s="152" customFormat="1" x14ac:dyDescent="0.25">
      <c r="A546" s="249"/>
      <c r="B546" s="249"/>
      <c r="C546" s="249"/>
      <c r="D546" s="249"/>
      <c r="E546" s="249"/>
      <c r="F546" s="249"/>
      <c r="G546" s="249"/>
      <c r="H546" s="249"/>
      <c r="I546" s="258"/>
      <c r="J546" s="249"/>
      <c r="K546" s="249"/>
      <c r="L546" s="249"/>
      <c r="M546" s="259"/>
      <c r="N546" s="249"/>
      <c r="O546" s="249"/>
      <c r="P546" s="249"/>
      <c r="Q546" s="249"/>
      <c r="R546" s="249"/>
      <c r="S546" s="249"/>
      <c r="T546" s="249"/>
      <c r="U546" s="249"/>
      <c r="V546" s="249"/>
      <c r="W546" s="249"/>
      <c r="X546" s="249"/>
      <c r="Y546" s="249"/>
      <c r="Z546" s="249"/>
    </row>
    <row r="547" spans="1:26" s="152" customFormat="1" x14ac:dyDescent="0.25">
      <c r="A547" s="249"/>
      <c r="B547" s="249"/>
      <c r="C547" s="249"/>
      <c r="D547" s="249"/>
      <c r="E547" s="249"/>
      <c r="F547" s="249"/>
      <c r="G547" s="249"/>
      <c r="H547" s="249"/>
      <c r="I547" s="258"/>
      <c r="J547" s="249"/>
      <c r="K547" s="249"/>
      <c r="L547" s="249"/>
      <c r="M547" s="259"/>
      <c r="N547" s="249"/>
      <c r="O547" s="249"/>
      <c r="P547" s="249"/>
      <c r="Q547" s="249"/>
      <c r="R547" s="249"/>
      <c r="S547" s="249"/>
      <c r="T547" s="249"/>
      <c r="U547" s="249"/>
      <c r="V547" s="249"/>
      <c r="W547" s="249"/>
      <c r="X547" s="249"/>
      <c r="Y547" s="249"/>
      <c r="Z547" s="249"/>
    </row>
    <row r="548" spans="1:26" s="152" customFormat="1" x14ac:dyDescent="0.25">
      <c r="A548" s="249"/>
      <c r="B548" s="249"/>
      <c r="C548" s="249"/>
      <c r="D548" s="249"/>
      <c r="E548" s="249"/>
      <c r="F548" s="249"/>
      <c r="G548" s="249"/>
      <c r="H548" s="249"/>
      <c r="I548" s="258"/>
      <c r="J548" s="249"/>
      <c r="K548" s="249"/>
      <c r="L548" s="249"/>
      <c r="M548" s="259"/>
      <c r="N548" s="249"/>
      <c r="O548" s="249"/>
      <c r="P548" s="249"/>
      <c r="Q548" s="249"/>
      <c r="R548" s="249"/>
      <c r="S548" s="249"/>
      <c r="T548" s="249"/>
      <c r="U548" s="249"/>
      <c r="V548" s="249"/>
      <c r="W548" s="249"/>
      <c r="X548" s="249"/>
      <c r="Y548" s="249"/>
      <c r="Z548" s="249"/>
    </row>
    <row r="549" spans="1:26" s="152" customFormat="1" x14ac:dyDescent="0.25">
      <c r="A549" s="249"/>
      <c r="B549" s="249"/>
      <c r="C549" s="249"/>
      <c r="D549" s="249"/>
      <c r="E549" s="249"/>
      <c r="F549" s="249"/>
      <c r="G549" s="249"/>
      <c r="H549" s="249"/>
      <c r="I549" s="258"/>
      <c r="J549" s="249"/>
      <c r="K549" s="249"/>
      <c r="L549" s="249"/>
      <c r="M549" s="259"/>
      <c r="N549" s="249"/>
      <c r="O549" s="249"/>
      <c r="P549" s="249"/>
      <c r="Q549" s="249"/>
      <c r="R549" s="249"/>
      <c r="S549" s="249"/>
      <c r="T549" s="249"/>
      <c r="U549" s="249"/>
      <c r="V549" s="249"/>
      <c r="W549" s="249"/>
      <c r="X549" s="249"/>
      <c r="Y549" s="249"/>
      <c r="Z549" s="249"/>
    </row>
    <row r="550" spans="1:26" s="152" customFormat="1" x14ac:dyDescent="0.25">
      <c r="A550" s="249"/>
      <c r="B550" s="249"/>
      <c r="C550" s="249"/>
      <c r="D550" s="249"/>
      <c r="E550" s="249"/>
      <c r="F550" s="249"/>
      <c r="G550" s="249"/>
      <c r="H550" s="249"/>
      <c r="I550" s="258"/>
      <c r="J550" s="249"/>
      <c r="K550" s="249"/>
      <c r="L550" s="249"/>
      <c r="M550" s="259"/>
      <c r="N550" s="249"/>
      <c r="O550" s="249"/>
      <c r="P550" s="249"/>
      <c r="Q550" s="249"/>
      <c r="R550" s="249"/>
      <c r="S550" s="249"/>
      <c r="T550" s="249"/>
      <c r="U550" s="249"/>
      <c r="V550" s="249"/>
      <c r="W550" s="249"/>
      <c r="X550" s="249"/>
      <c r="Y550" s="249"/>
      <c r="Z550" s="249"/>
    </row>
    <row r="551" spans="1:26" s="152" customFormat="1" x14ac:dyDescent="0.25">
      <c r="A551" s="249"/>
      <c r="B551" s="249"/>
      <c r="C551" s="249"/>
      <c r="D551" s="249"/>
      <c r="E551" s="249"/>
      <c r="F551" s="249"/>
      <c r="G551" s="249"/>
      <c r="H551" s="249"/>
      <c r="I551" s="258"/>
      <c r="J551" s="249"/>
      <c r="K551" s="249"/>
      <c r="L551" s="249"/>
      <c r="M551" s="259"/>
      <c r="N551" s="249"/>
      <c r="O551" s="249"/>
      <c r="P551" s="249"/>
      <c r="Q551" s="249"/>
      <c r="R551" s="249"/>
      <c r="S551" s="249"/>
      <c r="T551" s="249"/>
      <c r="U551" s="249"/>
      <c r="V551" s="249"/>
      <c r="W551" s="249"/>
      <c r="X551" s="249"/>
      <c r="Y551" s="249"/>
      <c r="Z551" s="249"/>
    </row>
    <row r="552" spans="1:26" s="152" customFormat="1" x14ac:dyDescent="0.25">
      <c r="A552" s="249"/>
      <c r="B552" s="249"/>
      <c r="C552" s="249"/>
      <c r="D552" s="249"/>
      <c r="E552" s="249"/>
      <c r="F552" s="249"/>
      <c r="G552" s="249"/>
      <c r="H552" s="249"/>
      <c r="I552" s="258"/>
      <c r="J552" s="249"/>
      <c r="K552" s="249"/>
      <c r="L552" s="249"/>
      <c r="M552" s="259"/>
      <c r="N552" s="249"/>
      <c r="O552" s="249"/>
      <c r="P552" s="249"/>
      <c r="Q552" s="249"/>
      <c r="R552" s="249"/>
      <c r="S552" s="249"/>
      <c r="T552" s="249"/>
      <c r="U552" s="249"/>
      <c r="V552" s="249"/>
      <c r="W552" s="249"/>
      <c r="X552" s="249"/>
      <c r="Y552" s="249"/>
      <c r="Z552" s="249"/>
    </row>
    <row r="553" spans="1:26" s="152" customFormat="1" x14ac:dyDescent="0.25">
      <c r="A553" s="249"/>
      <c r="B553" s="249"/>
      <c r="C553" s="249"/>
      <c r="D553" s="249"/>
      <c r="E553" s="249"/>
      <c r="F553" s="249"/>
      <c r="G553" s="249"/>
      <c r="H553" s="249"/>
      <c r="I553" s="258"/>
      <c r="J553" s="249"/>
      <c r="K553" s="249"/>
      <c r="L553" s="249"/>
      <c r="M553" s="25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</row>
    <row r="554" spans="1:26" s="152" customFormat="1" x14ac:dyDescent="0.25">
      <c r="A554" s="249"/>
      <c r="B554" s="249"/>
      <c r="C554" s="249"/>
      <c r="D554" s="249"/>
      <c r="E554" s="249"/>
      <c r="F554" s="249"/>
      <c r="G554" s="249"/>
      <c r="H554" s="249"/>
      <c r="I554" s="258"/>
      <c r="J554" s="249"/>
      <c r="K554" s="249"/>
      <c r="L554" s="249"/>
      <c r="M554" s="25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9"/>
    </row>
    <row r="555" spans="1:26" s="152" customFormat="1" x14ac:dyDescent="0.25">
      <c r="A555" s="249"/>
      <c r="B555" s="249"/>
      <c r="C555" s="249"/>
      <c r="D555" s="249"/>
      <c r="E555" s="249"/>
      <c r="F555" s="249"/>
      <c r="G555" s="249"/>
      <c r="H555" s="249"/>
      <c r="I555" s="258"/>
      <c r="J555" s="249"/>
      <c r="K555" s="249"/>
      <c r="L555" s="249"/>
      <c r="M555" s="259"/>
      <c r="N555" s="249"/>
      <c r="O555" s="249"/>
      <c r="P555" s="249"/>
      <c r="Q555" s="249"/>
      <c r="R555" s="249"/>
      <c r="S555" s="249"/>
      <c r="T555" s="249"/>
      <c r="U555" s="249"/>
      <c r="V555" s="249"/>
      <c r="W555" s="249"/>
      <c r="X555" s="249"/>
      <c r="Y555" s="249"/>
      <c r="Z555" s="249"/>
    </row>
    <row r="556" spans="1:26" s="152" customFormat="1" x14ac:dyDescent="0.25">
      <c r="A556" s="249"/>
      <c r="B556" s="249"/>
      <c r="C556" s="249"/>
      <c r="D556" s="249"/>
      <c r="E556" s="249"/>
      <c r="F556" s="249"/>
      <c r="G556" s="249"/>
      <c r="H556" s="249"/>
      <c r="I556" s="258"/>
      <c r="J556" s="249"/>
      <c r="K556" s="249"/>
      <c r="L556" s="249"/>
      <c r="M556" s="25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</row>
    <row r="557" spans="1:26" s="152" customFormat="1" x14ac:dyDescent="0.25">
      <c r="A557" s="249"/>
      <c r="B557" s="249"/>
      <c r="C557" s="249"/>
      <c r="D557" s="249"/>
      <c r="E557" s="249"/>
      <c r="F557" s="249"/>
      <c r="G557" s="249"/>
      <c r="H557" s="249"/>
      <c r="I557" s="258"/>
      <c r="J557" s="249"/>
      <c r="K557" s="249"/>
      <c r="L557" s="249"/>
      <c r="M557" s="25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</row>
    <row r="558" spans="1:26" s="152" customFormat="1" x14ac:dyDescent="0.25">
      <c r="A558" s="249"/>
      <c r="B558" s="249"/>
      <c r="C558" s="249"/>
      <c r="D558" s="249"/>
      <c r="E558" s="249"/>
      <c r="F558" s="249"/>
      <c r="G558" s="249"/>
      <c r="H558" s="249"/>
      <c r="I558" s="258"/>
      <c r="J558" s="249"/>
      <c r="K558" s="249"/>
      <c r="L558" s="249"/>
      <c r="M558" s="25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</row>
    <row r="559" spans="1:26" s="152" customFormat="1" x14ac:dyDescent="0.25">
      <c r="A559" s="249"/>
      <c r="B559" s="249"/>
      <c r="C559" s="249"/>
      <c r="D559" s="249"/>
      <c r="E559" s="249"/>
      <c r="F559" s="249"/>
      <c r="G559" s="249"/>
      <c r="H559" s="249"/>
      <c r="I559" s="258"/>
      <c r="J559" s="249"/>
      <c r="K559" s="249"/>
      <c r="L559" s="249"/>
      <c r="M559" s="25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</row>
    <row r="560" spans="1:26" s="152" customFormat="1" x14ac:dyDescent="0.25">
      <c r="A560" s="249"/>
      <c r="B560" s="249"/>
      <c r="C560" s="249"/>
      <c r="D560" s="249"/>
      <c r="E560" s="249"/>
      <c r="F560" s="249"/>
      <c r="G560" s="249"/>
      <c r="H560" s="249"/>
      <c r="I560" s="258"/>
      <c r="J560" s="249"/>
      <c r="K560" s="249"/>
      <c r="L560" s="249"/>
      <c r="M560" s="25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</row>
    <row r="561" spans="1:26" s="152" customFormat="1" x14ac:dyDescent="0.25">
      <c r="A561" s="249"/>
      <c r="B561" s="249"/>
      <c r="C561" s="249"/>
      <c r="D561" s="249"/>
      <c r="E561" s="249"/>
      <c r="F561" s="249"/>
      <c r="G561" s="249"/>
      <c r="H561" s="249"/>
      <c r="I561" s="258"/>
      <c r="J561" s="249"/>
      <c r="K561" s="249"/>
      <c r="L561" s="249"/>
      <c r="M561" s="259"/>
      <c r="N561" s="249"/>
      <c r="O561" s="249"/>
      <c r="P561" s="249"/>
      <c r="Q561" s="249"/>
      <c r="R561" s="249"/>
      <c r="S561" s="249"/>
      <c r="T561" s="249"/>
      <c r="U561" s="249"/>
      <c r="V561" s="249"/>
      <c r="W561" s="249"/>
      <c r="X561" s="249"/>
      <c r="Y561" s="249"/>
      <c r="Z561" s="249"/>
    </row>
    <row r="562" spans="1:26" s="152" customFormat="1" x14ac:dyDescent="0.25">
      <c r="A562" s="249"/>
      <c r="B562" s="249"/>
      <c r="C562" s="249"/>
      <c r="D562" s="249"/>
      <c r="E562" s="249"/>
      <c r="F562" s="249"/>
      <c r="G562" s="249"/>
      <c r="H562" s="249"/>
      <c r="I562" s="258"/>
      <c r="J562" s="249"/>
      <c r="K562" s="249"/>
      <c r="L562" s="249"/>
      <c r="M562" s="25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</row>
    <row r="563" spans="1:26" s="152" customFormat="1" x14ac:dyDescent="0.25">
      <c r="A563" s="249"/>
      <c r="B563" s="249"/>
      <c r="C563" s="249"/>
      <c r="D563" s="249"/>
      <c r="E563" s="249"/>
      <c r="F563" s="249"/>
      <c r="G563" s="249"/>
      <c r="H563" s="249"/>
      <c r="I563" s="258"/>
      <c r="J563" s="249"/>
      <c r="K563" s="249"/>
      <c r="L563" s="249"/>
      <c r="M563" s="25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</row>
    <row r="564" spans="1:26" s="152" customFormat="1" x14ac:dyDescent="0.25">
      <c r="A564" s="249"/>
      <c r="B564" s="249"/>
      <c r="C564" s="249"/>
      <c r="D564" s="249"/>
      <c r="E564" s="249"/>
      <c r="F564" s="249"/>
      <c r="G564" s="249"/>
      <c r="H564" s="249"/>
      <c r="I564" s="258"/>
      <c r="J564" s="249"/>
      <c r="K564" s="249"/>
      <c r="L564" s="249"/>
      <c r="M564" s="25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</row>
    <row r="565" spans="1:26" s="152" customFormat="1" x14ac:dyDescent="0.25">
      <c r="A565" s="249"/>
      <c r="B565" s="249"/>
      <c r="C565" s="249"/>
      <c r="D565" s="249"/>
      <c r="E565" s="249"/>
      <c r="F565" s="249"/>
      <c r="G565" s="249"/>
      <c r="H565" s="249"/>
      <c r="I565" s="258"/>
      <c r="J565" s="249"/>
      <c r="K565" s="249"/>
      <c r="L565" s="249"/>
      <c r="M565" s="259"/>
      <c r="N565" s="249"/>
      <c r="O565" s="249"/>
      <c r="P565" s="249"/>
      <c r="Q565" s="249"/>
      <c r="R565" s="249"/>
      <c r="S565" s="249"/>
      <c r="T565" s="249"/>
      <c r="U565" s="249"/>
      <c r="V565" s="249"/>
      <c r="W565" s="249"/>
      <c r="X565" s="249"/>
      <c r="Y565" s="249"/>
      <c r="Z565" s="249"/>
    </row>
    <row r="566" spans="1:26" s="152" customFormat="1" x14ac:dyDescent="0.25">
      <c r="A566" s="249"/>
      <c r="B566" s="249"/>
      <c r="C566" s="249"/>
      <c r="D566" s="249"/>
      <c r="E566" s="249"/>
      <c r="F566" s="249"/>
      <c r="G566" s="249"/>
      <c r="H566" s="249"/>
      <c r="I566" s="258"/>
      <c r="J566" s="249"/>
      <c r="K566" s="249"/>
      <c r="L566" s="249"/>
      <c r="M566" s="25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</row>
    <row r="567" spans="1:26" s="152" customFormat="1" x14ac:dyDescent="0.25">
      <c r="A567" s="249"/>
      <c r="B567" s="249"/>
      <c r="C567" s="249"/>
      <c r="D567" s="249"/>
      <c r="E567" s="249"/>
      <c r="F567" s="249"/>
      <c r="G567" s="249"/>
      <c r="H567" s="249"/>
      <c r="I567" s="258"/>
      <c r="J567" s="249"/>
      <c r="K567" s="249"/>
      <c r="L567" s="249"/>
      <c r="M567" s="259"/>
      <c r="N567" s="249"/>
      <c r="O567" s="249"/>
      <c r="P567" s="249"/>
      <c r="Q567" s="249"/>
      <c r="R567" s="249"/>
      <c r="S567" s="249"/>
      <c r="T567" s="249"/>
      <c r="U567" s="249"/>
      <c r="V567" s="249"/>
      <c r="W567" s="249"/>
      <c r="X567" s="249"/>
      <c r="Y567" s="249"/>
      <c r="Z567" s="249"/>
    </row>
    <row r="568" spans="1:26" s="152" customFormat="1" x14ac:dyDescent="0.25">
      <c r="A568" s="249"/>
      <c r="B568" s="249"/>
      <c r="C568" s="249"/>
      <c r="D568" s="249"/>
      <c r="E568" s="249"/>
      <c r="F568" s="249"/>
      <c r="G568" s="249"/>
      <c r="H568" s="249"/>
      <c r="I568" s="258"/>
      <c r="J568" s="249"/>
      <c r="K568" s="249"/>
      <c r="L568" s="249"/>
      <c r="M568" s="259"/>
      <c r="N568" s="249"/>
      <c r="O568" s="249"/>
      <c r="P568" s="249"/>
      <c r="Q568" s="249"/>
      <c r="R568" s="249"/>
      <c r="S568" s="249"/>
      <c r="T568" s="249"/>
      <c r="U568" s="249"/>
      <c r="V568" s="249"/>
      <c r="W568" s="249"/>
      <c r="X568" s="249"/>
      <c r="Y568" s="249"/>
      <c r="Z568" s="249"/>
    </row>
    <row r="569" spans="1:26" s="152" customFormat="1" x14ac:dyDescent="0.25">
      <c r="A569" s="249"/>
      <c r="B569" s="249"/>
      <c r="C569" s="249"/>
      <c r="D569" s="249"/>
      <c r="E569" s="249"/>
      <c r="F569" s="249"/>
      <c r="G569" s="249"/>
      <c r="H569" s="249"/>
      <c r="I569" s="258"/>
      <c r="J569" s="249"/>
      <c r="K569" s="249"/>
      <c r="L569" s="249"/>
      <c r="M569" s="259"/>
      <c r="N569" s="249"/>
      <c r="O569" s="249"/>
      <c r="P569" s="249"/>
      <c r="Q569" s="249"/>
      <c r="R569" s="249"/>
      <c r="S569" s="249"/>
      <c r="T569" s="249"/>
      <c r="U569" s="249"/>
      <c r="V569" s="249"/>
      <c r="W569" s="249"/>
      <c r="X569" s="249"/>
      <c r="Y569" s="249"/>
      <c r="Z569" s="249"/>
    </row>
    <row r="570" spans="1:26" s="152" customFormat="1" x14ac:dyDescent="0.25">
      <c r="A570" s="249"/>
      <c r="B570" s="249"/>
      <c r="C570" s="249"/>
      <c r="D570" s="249"/>
      <c r="E570" s="249"/>
      <c r="F570" s="249"/>
      <c r="G570" s="249"/>
      <c r="H570" s="249"/>
      <c r="I570" s="258"/>
      <c r="J570" s="249"/>
      <c r="K570" s="249"/>
      <c r="L570" s="249"/>
      <c r="M570" s="259"/>
      <c r="N570" s="249"/>
      <c r="O570" s="249"/>
      <c r="P570" s="249"/>
      <c r="Q570" s="249"/>
      <c r="R570" s="249"/>
      <c r="S570" s="249"/>
      <c r="T570" s="249"/>
      <c r="U570" s="249"/>
      <c r="V570" s="249"/>
      <c r="W570" s="249"/>
      <c r="X570" s="249"/>
      <c r="Y570" s="249"/>
      <c r="Z570" s="249"/>
    </row>
    <row r="571" spans="1:26" s="152" customFormat="1" x14ac:dyDescent="0.25">
      <c r="A571" s="249"/>
      <c r="B571" s="249"/>
      <c r="C571" s="249"/>
      <c r="D571" s="249"/>
      <c r="E571" s="249"/>
      <c r="F571" s="249"/>
      <c r="G571" s="249"/>
      <c r="H571" s="249"/>
      <c r="I571" s="258"/>
      <c r="J571" s="249"/>
      <c r="K571" s="249"/>
      <c r="L571" s="249"/>
      <c r="M571" s="259"/>
      <c r="N571" s="249"/>
      <c r="O571" s="249"/>
      <c r="P571" s="249"/>
      <c r="Q571" s="249"/>
      <c r="R571" s="249"/>
      <c r="S571" s="249"/>
      <c r="T571" s="249"/>
      <c r="U571" s="249"/>
      <c r="V571" s="249"/>
      <c r="W571" s="249"/>
      <c r="X571" s="249"/>
      <c r="Y571" s="249"/>
      <c r="Z571" s="249"/>
    </row>
    <row r="572" spans="1:26" s="152" customFormat="1" x14ac:dyDescent="0.25">
      <c r="A572" s="249"/>
      <c r="B572" s="249"/>
      <c r="C572" s="249"/>
      <c r="D572" s="249"/>
      <c r="E572" s="249"/>
      <c r="F572" s="249"/>
      <c r="G572" s="249"/>
      <c r="H572" s="249"/>
      <c r="I572" s="258"/>
      <c r="J572" s="249"/>
      <c r="K572" s="249"/>
      <c r="L572" s="249"/>
      <c r="M572" s="259"/>
      <c r="N572" s="249"/>
      <c r="O572" s="249"/>
      <c r="P572" s="249"/>
      <c r="Q572" s="249"/>
      <c r="R572" s="249"/>
      <c r="S572" s="249"/>
      <c r="T572" s="249"/>
      <c r="U572" s="249"/>
      <c r="V572" s="249"/>
      <c r="W572" s="249"/>
      <c r="X572" s="249"/>
      <c r="Y572" s="249"/>
      <c r="Z572" s="249"/>
    </row>
    <row r="573" spans="1:26" s="152" customFormat="1" x14ac:dyDescent="0.25">
      <c r="A573" s="249"/>
      <c r="B573" s="249"/>
      <c r="C573" s="249"/>
      <c r="D573" s="249"/>
      <c r="E573" s="249"/>
      <c r="F573" s="249"/>
      <c r="G573" s="249"/>
      <c r="H573" s="249"/>
      <c r="I573" s="258"/>
      <c r="J573" s="249"/>
      <c r="K573" s="249"/>
      <c r="L573" s="249"/>
      <c r="M573" s="259"/>
      <c r="N573" s="249"/>
      <c r="O573" s="249"/>
      <c r="P573" s="249"/>
      <c r="Q573" s="249"/>
      <c r="R573" s="249"/>
      <c r="S573" s="249"/>
      <c r="T573" s="249"/>
      <c r="U573" s="249"/>
      <c r="V573" s="249"/>
      <c r="W573" s="249"/>
      <c r="X573" s="249"/>
      <c r="Y573" s="249"/>
      <c r="Z573" s="249"/>
    </row>
    <row r="574" spans="1:26" s="152" customFormat="1" x14ac:dyDescent="0.25">
      <c r="A574" s="249"/>
      <c r="B574" s="249"/>
      <c r="C574" s="249"/>
      <c r="D574" s="249"/>
      <c r="E574" s="249"/>
      <c r="F574" s="249"/>
      <c r="G574" s="249"/>
      <c r="H574" s="249"/>
      <c r="I574" s="258"/>
      <c r="J574" s="249"/>
      <c r="K574" s="249"/>
      <c r="L574" s="249"/>
      <c r="M574" s="259"/>
      <c r="N574" s="249"/>
      <c r="O574" s="249"/>
      <c r="P574" s="249"/>
      <c r="Q574" s="249"/>
      <c r="R574" s="249"/>
      <c r="S574" s="249"/>
      <c r="T574" s="249"/>
      <c r="U574" s="249"/>
      <c r="V574" s="249"/>
      <c r="W574" s="249"/>
      <c r="X574" s="249"/>
      <c r="Y574" s="249"/>
      <c r="Z574" s="249"/>
    </row>
    <row r="575" spans="1:26" s="152" customFormat="1" x14ac:dyDescent="0.25">
      <c r="A575" s="249"/>
      <c r="B575" s="249"/>
      <c r="C575" s="249"/>
      <c r="D575" s="249"/>
      <c r="E575" s="249"/>
      <c r="F575" s="249"/>
      <c r="G575" s="249"/>
      <c r="H575" s="249"/>
      <c r="I575" s="258"/>
      <c r="J575" s="249"/>
      <c r="K575" s="249"/>
      <c r="L575" s="249"/>
      <c r="M575" s="259"/>
      <c r="N575" s="249"/>
      <c r="O575" s="249"/>
      <c r="P575" s="249"/>
      <c r="Q575" s="249"/>
      <c r="R575" s="249"/>
      <c r="S575" s="249"/>
      <c r="T575" s="249"/>
      <c r="U575" s="249"/>
      <c r="V575" s="249"/>
      <c r="W575" s="249"/>
      <c r="X575" s="249"/>
      <c r="Y575" s="249"/>
      <c r="Z575" s="249"/>
    </row>
    <row r="576" spans="1:26" s="152" customFormat="1" x14ac:dyDescent="0.25">
      <c r="A576" s="249"/>
      <c r="B576" s="249"/>
      <c r="C576" s="249"/>
      <c r="D576" s="249"/>
      <c r="E576" s="249"/>
      <c r="F576" s="249"/>
      <c r="G576" s="249"/>
      <c r="H576" s="249"/>
      <c r="I576" s="258"/>
      <c r="J576" s="249"/>
      <c r="K576" s="249"/>
      <c r="L576" s="249"/>
      <c r="M576" s="259"/>
      <c r="N576" s="249"/>
      <c r="O576" s="249"/>
      <c r="P576" s="249"/>
      <c r="Q576" s="249"/>
      <c r="R576" s="249"/>
      <c r="S576" s="249"/>
      <c r="T576" s="249"/>
      <c r="U576" s="249"/>
      <c r="V576" s="249"/>
      <c r="W576" s="249"/>
      <c r="X576" s="249"/>
      <c r="Y576" s="249"/>
      <c r="Z576" s="249"/>
    </row>
    <row r="577" spans="1:26" s="152" customFormat="1" x14ac:dyDescent="0.25">
      <c r="A577" s="249"/>
      <c r="B577" s="249"/>
      <c r="C577" s="249"/>
      <c r="D577" s="249"/>
      <c r="E577" s="249"/>
      <c r="F577" s="249"/>
      <c r="G577" s="249"/>
      <c r="H577" s="249"/>
      <c r="I577" s="258"/>
      <c r="J577" s="249"/>
      <c r="K577" s="249"/>
      <c r="L577" s="249"/>
      <c r="M577" s="259"/>
      <c r="N577" s="249"/>
      <c r="O577" s="249"/>
      <c r="P577" s="249"/>
      <c r="Q577" s="249"/>
      <c r="R577" s="249"/>
      <c r="S577" s="249"/>
      <c r="T577" s="249"/>
      <c r="U577" s="249"/>
      <c r="V577" s="249"/>
      <c r="W577" s="249"/>
      <c r="X577" s="249"/>
      <c r="Y577" s="249"/>
      <c r="Z577" s="249"/>
    </row>
    <row r="578" spans="1:26" s="152" customFormat="1" x14ac:dyDescent="0.25">
      <c r="A578" s="249"/>
      <c r="B578" s="249"/>
      <c r="C578" s="249"/>
      <c r="D578" s="249"/>
      <c r="E578" s="249"/>
      <c r="F578" s="249"/>
      <c r="G578" s="249"/>
      <c r="H578" s="249"/>
      <c r="I578" s="258"/>
      <c r="J578" s="249"/>
      <c r="K578" s="249"/>
      <c r="L578" s="249"/>
      <c r="M578" s="259"/>
      <c r="N578" s="249"/>
      <c r="O578" s="249"/>
      <c r="P578" s="249"/>
      <c r="Q578" s="249"/>
      <c r="R578" s="249"/>
      <c r="S578" s="249"/>
      <c r="T578" s="249"/>
      <c r="U578" s="249"/>
      <c r="V578" s="249"/>
      <c r="W578" s="249"/>
      <c r="X578" s="249"/>
      <c r="Y578" s="249"/>
      <c r="Z578" s="249"/>
    </row>
    <row r="579" spans="1:26" s="152" customFormat="1" x14ac:dyDescent="0.25">
      <c r="A579" s="249"/>
      <c r="B579" s="249"/>
      <c r="C579" s="249"/>
      <c r="D579" s="249"/>
      <c r="E579" s="249"/>
      <c r="F579" s="249"/>
      <c r="G579" s="249"/>
      <c r="H579" s="249"/>
      <c r="I579" s="258"/>
      <c r="J579" s="249"/>
      <c r="K579" s="249"/>
      <c r="L579" s="249"/>
      <c r="M579" s="259"/>
      <c r="N579" s="249"/>
      <c r="O579" s="249"/>
      <c r="P579" s="249"/>
      <c r="Q579" s="249"/>
      <c r="R579" s="249"/>
      <c r="S579" s="249"/>
      <c r="T579" s="249"/>
      <c r="U579" s="249"/>
      <c r="V579" s="249"/>
      <c r="W579" s="249"/>
      <c r="X579" s="249"/>
      <c r="Y579" s="249"/>
      <c r="Z579" s="249"/>
    </row>
    <row r="580" spans="1:26" s="152" customFormat="1" x14ac:dyDescent="0.25">
      <c r="A580" s="249"/>
      <c r="B580" s="249"/>
      <c r="C580" s="249"/>
      <c r="D580" s="249"/>
      <c r="E580" s="249"/>
      <c r="F580" s="249"/>
      <c r="G580" s="249"/>
      <c r="H580" s="249"/>
      <c r="I580" s="258"/>
      <c r="J580" s="249"/>
      <c r="K580" s="249"/>
      <c r="L580" s="249"/>
      <c r="M580" s="259"/>
      <c r="N580" s="249"/>
      <c r="O580" s="249"/>
      <c r="P580" s="249"/>
      <c r="Q580" s="249"/>
      <c r="R580" s="249"/>
      <c r="S580" s="249"/>
      <c r="T580" s="249"/>
      <c r="U580" s="249"/>
      <c r="V580" s="249"/>
      <c r="W580" s="249"/>
      <c r="X580" s="249"/>
      <c r="Y580" s="249"/>
      <c r="Z580" s="249"/>
    </row>
    <row r="581" spans="1:26" s="152" customFormat="1" x14ac:dyDescent="0.25">
      <c r="A581" s="249"/>
      <c r="B581" s="249"/>
      <c r="C581" s="249"/>
      <c r="D581" s="249"/>
      <c r="E581" s="249"/>
      <c r="F581" s="249"/>
      <c r="G581" s="249"/>
      <c r="H581" s="249"/>
      <c r="I581" s="258"/>
      <c r="J581" s="249"/>
      <c r="K581" s="249"/>
      <c r="L581" s="249"/>
      <c r="M581" s="259"/>
      <c r="N581" s="249"/>
      <c r="O581" s="249"/>
      <c r="P581" s="249"/>
      <c r="Q581" s="249"/>
      <c r="R581" s="249"/>
      <c r="S581" s="249"/>
      <c r="T581" s="249"/>
      <c r="U581" s="249"/>
      <c r="V581" s="249"/>
      <c r="W581" s="249"/>
      <c r="X581" s="249"/>
      <c r="Y581" s="249"/>
      <c r="Z581" s="249"/>
    </row>
    <row r="582" spans="1:26" s="152" customFormat="1" x14ac:dyDescent="0.25">
      <c r="A582" s="249"/>
      <c r="B582" s="249"/>
      <c r="C582" s="249"/>
      <c r="D582" s="249"/>
      <c r="E582" s="249"/>
      <c r="F582" s="249"/>
      <c r="G582" s="249"/>
      <c r="H582" s="249"/>
      <c r="I582" s="258"/>
      <c r="J582" s="249"/>
      <c r="K582" s="249"/>
      <c r="L582" s="249"/>
      <c r="M582" s="259"/>
      <c r="N582" s="249"/>
      <c r="O582" s="249"/>
      <c r="P582" s="249"/>
      <c r="Q582" s="249"/>
      <c r="R582" s="249"/>
      <c r="S582" s="249"/>
      <c r="T582" s="249"/>
      <c r="U582" s="249"/>
      <c r="V582" s="249"/>
      <c r="W582" s="249"/>
      <c r="X582" s="249"/>
      <c r="Y582" s="249"/>
      <c r="Z582" s="249"/>
    </row>
    <row r="583" spans="1:26" s="152" customFormat="1" x14ac:dyDescent="0.25">
      <c r="A583" s="249"/>
      <c r="B583" s="249"/>
      <c r="C583" s="249"/>
      <c r="D583" s="249"/>
      <c r="E583" s="249"/>
      <c r="F583" s="249"/>
      <c r="G583" s="249"/>
      <c r="H583" s="249"/>
      <c r="I583" s="258"/>
      <c r="J583" s="249"/>
      <c r="K583" s="249"/>
      <c r="L583" s="249"/>
      <c r="M583" s="259"/>
      <c r="N583" s="249"/>
      <c r="O583" s="249"/>
      <c r="P583" s="249"/>
      <c r="Q583" s="249"/>
      <c r="R583" s="249"/>
      <c r="S583" s="249"/>
      <c r="T583" s="249"/>
      <c r="U583" s="249"/>
      <c r="V583" s="249"/>
      <c r="W583" s="249"/>
      <c r="X583" s="249"/>
      <c r="Y583" s="249"/>
      <c r="Z583" s="249"/>
    </row>
    <row r="584" spans="1:26" s="152" customFormat="1" x14ac:dyDescent="0.25">
      <c r="A584" s="249"/>
      <c r="B584" s="249"/>
      <c r="C584" s="249"/>
      <c r="D584" s="249"/>
      <c r="E584" s="249"/>
      <c r="F584" s="249"/>
      <c r="G584" s="249"/>
      <c r="H584" s="249"/>
      <c r="I584" s="258"/>
      <c r="J584" s="249"/>
      <c r="K584" s="249"/>
      <c r="L584" s="249"/>
      <c r="M584" s="259"/>
      <c r="N584" s="249"/>
      <c r="O584" s="249"/>
      <c r="P584" s="249"/>
      <c r="Q584" s="249"/>
      <c r="R584" s="249"/>
      <c r="S584" s="249"/>
      <c r="T584" s="249"/>
      <c r="U584" s="249"/>
      <c r="V584" s="249"/>
      <c r="W584" s="249"/>
      <c r="X584" s="249"/>
      <c r="Y584" s="249"/>
      <c r="Z584" s="249"/>
    </row>
    <row r="585" spans="1:26" s="152" customFormat="1" x14ac:dyDescent="0.25">
      <c r="A585" s="249"/>
      <c r="B585" s="249"/>
      <c r="C585" s="249"/>
      <c r="D585" s="249"/>
      <c r="E585" s="249"/>
      <c r="F585" s="249"/>
      <c r="G585" s="249"/>
      <c r="H585" s="249"/>
      <c r="I585" s="258"/>
      <c r="J585" s="249"/>
      <c r="K585" s="249"/>
      <c r="L585" s="249"/>
      <c r="M585" s="259"/>
      <c r="N585" s="249"/>
      <c r="O585" s="249"/>
      <c r="P585" s="249"/>
      <c r="Q585" s="249"/>
      <c r="R585" s="249"/>
      <c r="S585" s="249"/>
      <c r="T585" s="249"/>
      <c r="U585" s="249"/>
      <c r="V585" s="249"/>
      <c r="W585" s="249"/>
      <c r="X585" s="249"/>
      <c r="Y585" s="249"/>
      <c r="Z585" s="249"/>
    </row>
    <row r="586" spans="1:26" s="152" customFormat="1" x14ac:dyDescent="0.25">
      <c r="A586" s="249"/>
      <c r="B586" s="249"/>
      <c r="C586" s="249"/>
      <c r="D586" s="249"/>
      <c r="E586" s="249"/>
      <c r="F586" s="249"/>
      <c r="G586" s="249"/>
      <c r="H586" s="249"/>
      <c r="I586" s="258"/>
      <c r="J586" s="249"/>
      <c r="K586" s="249"/>
      <c r="L586" s="249"/>
      <c r="M586" s="25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</row>
    <row r="587" spans="1:26" s="152" customFormat="1" x14ac:dyDescent="0.25">
      <c r="A587" s="249"/>
      <c r="B587" s="249"/>
      <c r="C587" s="249"/>
      <c r="D587" s="249"/>
      <c r="E587" s="249"/>
      <c r="F587" s="249"/>
      <c r="G587" s="249"/>
      <c r="H587" s="249"/>
      <c r="I587" s="258"/>
      <c r="J587" s="249"/>
      <c r="K587" s="249"/>
      <c r="L587" s="249"/>
      <c r="M587" s="25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9"/>
    </row>
    <row r="588" spans="1:26" s="152" customFormat="1" x14ac:dyDescent="0.25">
      <c r="A588" s="249"/>
      <c r="B588" s="249"/>
      <c r="C588" s="249"/>
      <c r="D588" s="249"/>
      <c r="E588" s="249"/>
      <c r="F588" s="249"/>
      <c r="G588" s="249"/>
      <c r="H588" s="249"/>
      <c r="I588" s="258"/>
      <c r="J588" s="249"/>
      <c r="K588" s="249"/>
      <c r="L588" s="249"/>
      <c r="M588" s="259"/>
      <c r="N588" s="249"/>
      <c r="O588" s="249"/>
      <c r="P588" s="249"/>
      <c r="Q588" s="249"/>
      <c r="R588" s="249"/>
      <c r="S588" s="249"/>
      <c r="T588" s="249"/>
      <c r="U588" s="249"/>
      <c r="V588" s="249"/>
      <c r="W588" s="249"/>
      <c r="X588" s="249"/>
      <c r="Y588" s="249"/>
      <c r="Z588" s="249"/>
    </row>
    <row r="589" spans="1:26" s="152" customFormat="1" x14ac:dyDescent="0.25">
      <c r="A589" s="249"/>
      <c r="B589" s="249"/>
      <c r="C589" s="249"/>
      <c r="D589" s="249"/>
      <c r="E589" s="249"/>
      <c r="F589" s="249"/>
      <c r="G589" s="249"/>
      <c r="H589" s="249"/>
      <c r="I589" s="258"/>
      <c r="J589" s="249"/>
      <c r="K589" s="249"/>
      <c r="L589" s="249"/>
      <c r="M589" s="25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</row>
    <row r="590" spans="1:26" s="152" customFormat="1" x14ac:dyDescent="0.25">
      <c r="A590" s="249"/>
      <c r="B590" s="249"/>
      <c r="C590" s="249"/>
      <c r="D590" s="249"/>
      <c r="E590" s="249"/>
      <c r="F590" s="249"/>
      <c r="G590" s="249"/>
      <c r="H590" s="249"/>
      <c r="I590" s="258"/>
      <c r="J590" s="249"/>
      <c r="K590" s="249"/>
      <c r="L590" s="249"/>
      <c r="M590" s="25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</row>
    <row r="591" spans="1:26" s="152" customFormat="1" x14ac:dyDescent="0.25">
      <c r="A591" s="249"/>
      <c r="B591" s="249"/>
      <c r="C591" s="249"/>
      <c r="D591" s="249"/>
      <c r="E591" s="249"/>
      <c r="F591" s="249"/>
      <c r="G591" s="249"/>
      <c r="H591" s="249"/>
      <c r="I591" s="258"/>
      <c r="J591" s="249"/>
      <c r="K591" s="249"/>
      <c r="L591" s="249"/>
      <c r="M591" s="25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</row>
    <row r="592" spans="1:26" s="152" customFormat="1" x14ac:dyDescent="0.25">
      <c r="A592" s="249"/>
      <c r="B592" s="249"/>
      <c r="C592" s="249"/>
      <c r="D592" s="249"/>
      <c r="E592" s="249"/>
      <c r="F592" s="249"/>
      <c r="G592" s="249"/>
      <c r="H592" s="249"/>
      <c r="I592" s="258"/>
      <c r="J592" s="249"/>
      <c r="K592" s="249"/>
      <c r="L592" s="249"/>
      <c r="M592" s="25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</row>
    <row r="593" spans="1:26" s="152" customFormat="1" x14ac:dyDescent="0.25">
      <c r="A593" s="249"/>
      <c r="B593" s="249"/>
      <c r="C593" s="249"/>
      <c r="D593" s="249"/>
      <c r="E593" s="249"/>
      <c r="F593" s="249"/>
      <c r="G593" s="249"/>
      <c r="H593" s="249"/>
      <c r="I593" s="258"/>
      <c r="J593" s="249"/>
      <c r="K593" s="249"/>
      <c r="L593" s="249"/>
      <c r="M593" s="25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</row>
    <row r="594" spans="1:26" s="152" customFormat="1" x14ac:dyDescent="0.25">
      <c r="A594" s="249"/>
      <c r="B594" s="249"/>
      <c r="C594" s="249"/>
      <c r="D594" s="249"/>
      <c r="E594" s="249"/>
      <c r="F594" s="249"/>
      <c r="G594" s="249"/>
      <c r="H594" s="249"/>
      <c r="I594" s="258"/>
      <c r="J594" s="249"/>
      <c r="K594" s="249"/>
      <c r="L594" s="249"/>
      <c r="M594" s="259"/>
      <c r="N594" s="249"/>
      <c r="O594" s="249"/>
      <c r="P594" s="249"/>
      <c r="Q594" s="249"/>
      <c r="R594" s="249"/>
      <c r="S594" s="249"/>
      <c r="T594" s="249"/>
      <c r="U594" s="249"/>
      <c r="V594" s="249"/>
      <c r="W594" s="249"/>
      <c r="X594" s="249"/>
      <c r="Y594" s="249"/>
      <c r="Z594" s="249"/>
    </row>
    <row r="595" spans="1:26" s="152" customFormat="1" x14ac:dyDescent="0.25">
      <c r="A595" s="249"/>
      <c r="B595" s="249"/>
      <c r="C595" s="249"/>
      <c r="D595" s="249"/>
      <c r="E595" s="249"/>
      <c r="F595" s="249"/>
      <c r="G595" s="249"/>
      <c r="H595" s="249"/>
      <c r="I595" s="258"/>
      <c r="J595" s="249"/>
      <c r="K595" s="249"/>
      <c r="L595" s="249"/>
      <c r="M595" s="25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</row>
    <row r="596" spans="1:26" s="152" customFormat="1" x14ac:dyDescent="0.25">
      <c r="A596" s="249"/>
      <c r="B596" s="249"/>
      <c r="C596" s="249"/>
      <c r="D596" s="249"/>
      <c r="E596" s="249"/>
      <c r="F596" s="249"/>
      <c r="G596" s="249"/>
      <c r="H596" s="249"/>
      <c r="I596" s="258"/>
      <c r="J596" s="249"/>
      <c r="K596" s="249"/>
      <c r="L596" s="249"/>
      <c r="M596" s="25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</row>
    <row r="597" spans="1:26" s="152" customFormat="1" x14ac:dyDescent="0.25">
      <c r="A597" s="249"/>
      <c r="B597" s="249"/>
      <c r="C597" s="249"/>
      <c r="D597" s="249"/>
      <c r="E597" s="249"/>
      <c r="F597" s="249"/>
      <c r="G597" s="249"/>
      <c r="H597" s="249"/>
      <c r="I597" s="258"/>
      <c r="J597" s="249"/>
      <c r="K597" s="249"/>
      <c r="L597" s="249"/>
      <c r="M597" s="25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</row>
    <row r="598" spans="1:26" s="152" customFormat="1" x14ac:dyDescent="0.25">
      <c r="A598" s="249"/>
      <c r="B598" s="249"/>
      <c r="C598" s="249"/>
      <c r="D598" s="249"/>
      <c r="E598" s="249"/>
      <c r="F598" s="249"/>
      <c r="G598" s="249"/>
      <c r="H598" s="249"/>
      <c r="I598" s="258"/>
      <c r="J598" s="249"/>
      <c r="K598" s="249"/>
      <c r="L598" s="249"/>
      <c r="M598" s="259"/>
      <c r="N598" s="249"/>
      <c r="O598" s="249"/>
      <c r="P598" s="249"/>
      <c r="Q598" s="249"/>
      <c r="R598" s="249"/>
      <c r="S598" s="249"/>
      <c r="T598" s="249"/>
      <c r="U598" s="249"/>
      <c r="V598" s="249"/>
      <c r="W598" s="249"/>
      <c r="X598" s="249"/>
      <c r="Y598" s="249"/>
      <c r="Z598" s="249"/>
    </row>
    <row r="599" spans="1:26" s="152" customFormat="1" x14ac:dyDescent="0.25">
      <c r="A599" s="249"/>
      <c r="B599" s="249"/>
      <c r="C599" s="249"/>
      <c r="D599" s="249"/>
      <c r="E599" s="249"/>
      <c r="F599" s="249"/>
      <c r="G599" s="249"/>
      <c r="H599" s="249"/>
      <c r="I599" s="258"/>
      <c r="J599" s="249"/>
      <c r="K599" s="249"/>
      <c r="L599" s="249"/>
      <c r="M599" s="25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</row>
    <row r="600" spans="1:26" s="152" customFormat="1" x14ac:dyDescent="0.25">
      <c r="A600" s="249"/>
      <c r="B600" s="249"/>
      <c r="C600" s="249"/>
      <c r="D600" s="249"/>
      <c r="E600" s="249"/>
      <c r="F600" s="249"/>
      <c r="G600" s="249"/>
      <c r="H600" s="249"/>
      <c r="I600" s="258"/>
      <c r="J600" s="249"/>
      <c r="K600" s="249"/>
      <c r="L600" s="249"/>
      <c r="M600" s="259"/>
      <c r="N600" s="249"/>
      <c r="O600" s="249"/>
      <c r="P600" s="249"/>
      <c r="Q600" s="249"/>
      <c r="R600" s="249"/>
      <c r="S600" s="249"/>
      <c r="T600" s="249"/>
      <c r="U600" s="249"/>
      <c r="V600" s="249"/>
      <c r="W600" s="249"/>
      <c r="X600" s="249"/>
      <c r="Y600" s="249"/>
      <c r="Z600" s="249"/>
    </row>
    <row r="601" spans="1:26" s="152" customFormat="1" x14ac:dyDescent="0.25">
      <c r="A601" s="249"/>
      <c r="B601" s="249"/>
      <c r="C601" s="249"/>
      <c r="D601" s="249"/>
      <c r="E601" s="249"/>
      <c r="F601" s="249"/>
      <c r="G601" s="249"/>
      <c r="H601" s="249"/>
      <c r="I601" s="258"/>
      <c r="J601" s="249"/>
      <c r="K601" s="249"/>
      <c r="L601" s="249"/>
      <c r="M601" s="259"/>
      <c r="N601" s="249"/>
      <c r="O601" s="249"/>
      <c r="P601" s="249"/>
      <c r="Q601" s="249"/>
      <c r="R601" s="249"/>
      <c r="S601" s="249"/>
      <c r="T601" s="249"/>
      <c r="U601" s="249"/>
      <c r="V601" s="249"/>
      <c r="W601" s="249"/>
      <c r="X601" s="249"/>
      <c r="Y601" s="249"/>
      <c r="Z601" s="249"/>
    </row>
    <row r="602" spans="1:26" s="152" customFormat="1" x14ac:dyDescent="0.25">
      <c r="A602" s="249"/>
      <c r="B602" s="249"/>
      <c r="C602" s="249"/>
      <c r="D602" s="249"/>
      <c r="E602" s="249"/>
      <c r="F602" s="249"/>
      <c r="G602" s="249"/>
      <c r="H602" s="249"/>
      <c r="I602" s="258"/>
      <c r="J602" s="249"/>
      <c r="K602" s="249"/>
      <c r="L602" s="249"/>
      <c r="M602" s="259"/>
      <c r="N602" s="249"/>
      <c r="O602" s="249"/>
      <c r="P602" s="249"/>
      <c r="Q602" s="249"/>
      <c r="R602" s="249"/>
      <c r="S602" s="249"/>
      <c r="T602" s="249"/>
      <c r="U602" s="249"/>
      <c r="V602" s="249"/>
      <c r="W602" s="249"/>
      <c r="X602" s="249"/>
      <c r="Y602" s="249"/>
      <c r="Z602" s="249"/>
    </row>
    <row r="603" spans="1:26" s="152" customFormat="1" x14ac:dyDescent="0.25">
      <c r="A603" s="249"/>
      <c r="B603" s="249"/>
      <c r="C603" s="249"/>
      <c r="D603" s="249"/>
      <c r="E603" s="249"/>
      <c r="F603" s="249"/>
      <c r="G603" s="249"/>
      <c r="H603" s="249"/>
      <c r="I603" s="258"/>
      <c r="J603" s="249"/>
      <c r="K603" s="249"/>
      <c r="L603" s="249"/>
      <c r="M603" s="259"/>
      <c r="N603" s="249"/>
      <c r="O603" s="249"/>
      <c r="P603" s="249"/>
      <c r="Q603" s="249"/>
      <c r="R603" s="249"/>
      <c r="S603" s="249"/>
      <c r="T603" s="249"/>
      <c r="U603" s="249"/>
      <c r="V603" s="249"/>
      <c r="W603" s="249"/>
      <c r="X603" s="249"/>
      <c r="Y603" s="249"/>
      <c r="Z603" s="249"/>
    </row>
    <row r="604" spans="1:26" s="152" customFormat="1" x14ac:dyDescent="0.25">
      <c r="A604" s="249"/>
      <c r="B604" s="249"/>
      <c r="C604" s="249"/>
      <c r="D604" s="249"/>
      <c r="E604" s="249"/>
      <c r="F604" s="249"/>
      <c r="G604" s="249"/>
      <c r="H604" s="249"/>
      <c r="I604" s="258"/>
      <c r="J604" s="249"/>
      <c r="K604" s="249"/>
      <c r="L604" s="249"/>
      <c r="M604" s="259"/>
      <c r="N604" s="249"/>
      <c r="O604" s="249"/>
      <c r="P604" s="249"/>
      <c r="Q604" s="249"/>
      <c r="R604" s="249"/>
      <c r="S604" s="249"/>
      <c r="T604" s="249"/>
      <c r="U604" s="249"/>
      <c r="V604" s="249"/>
      <c r="W604" s="249"/>
      <c r="X604" s="249"/>
      <c r="Y604" s="249"/>
      <c r="Z604" s="249"/>
    </row>
    <row r="605" spans="1:26" s="152" customFormat="1" x14ac:dyDescent="0.25">
      <c r="A605" s="249"/>
      <c r="B605" s="249"/>
      <c r="C605" s="249"/>
      <c r="D605" s="249"/>
      <c r="E605" s="249"/>
      <c r="F605" s="249"/>
      <c r="G605" s="249"/>
      <c r="H605" s="249"/>
      <c r="I605" s="258"/>
      <c r="J605" s="249"/>
      <c r="K605" s="249"/>
      <c r="L605" s="249"/>
      <c r="M605" s="259"/>
      <c r="N605" s="249"/>
      <c r="O605" s="249"/>
      <c r="P605" s="249"/>
      <c r="Q605" s="249"/>
      <c r="R605" s="249"/>
      <c r="S605" s="249"/>
      <c r="T605" s="249"/>
      <c r="U605" s="249"/>
      <c r="V605" s="249"/>
      <c r="W605" s="249"/>
      <c r="X605" s="249"/>
      <c r="Y605" s="249"/>
      <c r="Z605" s="249"/>
    </row>
    <row r="606" spans="1:26" s="152" customFormat="1" x14ac:dyDescent="0.25">
      <c r="A606" s="249"/>
      <c r="B606" s="249"/>
      <c r="C606" s="249"/>
      <c r="D606" s="249"/>
      <c r="E606" s="249"/>
      <c r="F606" s="249"/>
      <c r="G606" s="249"/>
      <c r="H606" s="249"/>
      <c r="I606" s="258"/>
      <c r="J606" s="249"/>
      <c r="K606" s="249"/>
      <c r="L606" s="249"/>
      <c r="M606" s="259"/>
      <c r="N606" s="249"/>
      <c r="O606" s="249"/>
      <c r="P606" s="249"/>
      <c r="Q606" s="249"/>
      <c r="R606" s="249"/>
      <c r="S606" s="249"/>
      <c r="T606" s="249"/>
      <c r="U606" s="249"/>
      <c r="V606" s="249"/>
      <c r="W606" s="249"/>
      <c r="X606" s="249"/>
      <c r="Y606" s="249"/>
      <c r="Z606" s="249"/>
    </row>
    <row r="607" spans="1:26" s="152" customFormat="1" x14ac:dyDescent="0.25">
      <c r="A607" s="249"/>
      <c r="B607" s="249"/>
      <c r="C607" s="249"/>
      <c r="D607" s="249"/>
      <c r="E607" s="249"/>
      <c r="F607" s="249"/>
      <c r="G607" s="249"/>
      <c r="H607" s="249"/>
      <c r="I607" s="258"/>
      <c r="J607" s="249"/>
      <c r="K607" s="249"/>
      <c r="L607" s="249"/>
      <c r="M607" s="259"/>
      <c r="N607" s="249"/>
      <c r="O607" s="249"/>
      <c r="P607" s="249"/>
      <c r="Q607" s="249"/>
      <c r="R607" s="249"/>
      <c r="S607" s="249"/>
      <c r="T607" s="249"/>
      <c r="U607" s="249"/>
      <c r="V607" s="249"/>
      <c r="W607" s="249"/>
      <c r="X607" s="249"/>
      <c r="Y607" s="249"/>
      <c r="Z607" s="249"/>
    </row>
    <row r="608" spans="1:26" s="152" customFormat="1" x14ac:dyDescent="0.25">
      <c r="A608" s="249"/>
      <c r="B608" s="249"/>
      <c r="C608" s="249"/>
      <c r="D608" s="249"/>
      <c r="E608" s="249"/>
      <c r="F608" s="249"/>
      <c r="G608" s="249"/>
      <c r="H608" s="249"/>
      <c r="I608" s="258"/>
      <c r="J608" s="249"/>
      <c r="K608" s="249"/>
      <c r="L608" s="249"/>
      <c r="M608" s="259"/>
      <c r="N608" s="249"/>
      <c r="O608" s="249"/>
      <c r="P608" s="249"/>
      <c r="Q608" s="249"/>
      <c r="R608" s="249"/>
      <c r="S608" s="249"/>
      <c r="T608" s="249"/>
      <c r="U608" s="249"/>
      <c r="V608" s="249"/>
      <c r="W608" s="249"/>
      <c r="X608" s="249"/>
      <c r="Y608" s="249"/>
      <c r="Z608" s="249"/>
    </row>
    <row r="609" spans="1:26" s="152" customFormat="1" x14ac:dyDescent="0.25">
      <c r="A609" s="249"/>
      <c r="B609" s="249"/>
      <c r="C609" s="249"/>
      <c r="D609" s="249"/>
      <c r="E609" s="249"/>
      <c r="F609" s="249"/>
      <c r="G609" s="249"/>
      <c r="H609" s="249"/>
      <c r="I609" s="258"/>
      <c r="J609" s="249"/>
      <c r="K609" s="249"/>
      <c r="L609" s="249"/>
      <c r="M609" s="259"/>
      <c r="N609" s="249"/>
      <c r="O609" s="249"/>
      <c r="P609" s="249"/>
      <c r="Q609" s="249"/>
      <c r="R609" s="249"/>
      <c r="S609" s="249"/>
      <c r="T609" s="249"/>
      <c r="U609" s="249"/>
      <c r="V609" s="249"/>
      <c r="W609" s="249"/>
      <c r="X609" s="249"/>
      <c r="Y609" s="249"/>
      <c r="Z609" s="249"/>
    </row>
    <row r="610" spans="1:26" s="152" customFormat="1" x14ac:dyDescent="0.25">
      <c r="A610" s="249"/>
      <c r="B610" s="249"/>
      <c r="C610" s="249"/>
      <c r="D610" s="249"/>
      <c r="E610" s="249"/>
      <c r="F610" s="249"/>
      <c r="G610" s="249"/>
      <c r="H610" s="249"/>
      <c r="I610" s="258"/>
      <c r="J610" s="249"/>
      <c r="K610" s="249"/>
      <c r="L610" s="249"/>
      <c r="M610" s="259"/>
      <c r="N610" s="249"/>
      <c r="O610" s="249"/>
      <c r="P610" s="249"/>
      <c r="Q610" s="249"/>
      <c r="R610" s="249"/>
      <c r="S610" s="249"/>
      <c r="T610" s="249"/>
      <c r="U610" s="249"/>
      <c r="V610" s="249"/>
      <c r="W610" s="249"/>
      <c r="X610" s="249"/>
      <c r="Y610" s="249"/>
      <c r="Z610" s="249"/>
    </row>
    <row r="611" spans="1:26" s="152" customFormat="1" x14ac:dyDescent="0.25">
      <c r="A611" s="249"/>
      <c r="B611" s="249"/>
      <c r="C611" s="249"/>
      <c r="D611" s="249"/>
      <c r="E611" s="249"/>
      <c r="F611" s="249"/>
      <c r="G611" s="249"/>
      <c r="H611" s="249"/>
      <c r="I611" s="258"/>
      <c r="J611" s="249"/>
      <c r="K611" s="249"/>
      <c r="L611" s="249"/>
      <c r="M611" s="259"/>
      <c r="N611" s="249"/>
      <c r="O611" s="249"/>
      <c r="P611" s="249"/>
      <c r="Q611" s="249"/>
      <c r="R611" s="249"/>
      <c r="S611" s="249"/>
      <c r="T611" s="249"/>
      <c r="U611" s="249"/>
      <c r="V611" s="249"/>
      <c r="W611" s="249"/>
      <c r="X611" s="249"/>
      <c r="Y611" s="249"/>
      <c r="Z611" s="249"/>
    </row>
    <row r="612" spans="1:26" s="152" customFormat="1" x14ac:dyDescent="0.25">
      <c r="A612" s="249"/>
      <c r="B612" s="249"/>
      <c r="C612" s="249"/>
      <c r="D612" s="249"/>
      <c r="E612" s="249"/>
      <c r="F612" s="249"/>
      <c r="G612" s="249"/>
      <c r="H612" s="249"/>
      <c r="I612" s="258"/>
      <c r="J612" s="249"/>
      <c r="K612" s="249"/>
      <c r="L612" s="249"/>
      <c r="M612" s="259"/>
      <c r="N612" s="249"/>
      <c r="O612" s="249"/>
      <c r="P612" s="249"/>
      <c r="Q612" s="249"/>
      <c r="R612" s="249"/>
      <c r="S612" s="249"/>
      <c r="T612" s="249"/>
      <c r="U612" s="249"/>
      <c r="V612" s="249"/>
      <c r="W612" s="249"/>
      <c r="X612" s="249"/>
      <c r="Y612" s="249"/>
      <c r="Z612" s="249"/>
    </row>
    <row r="613" spans="1:26" s="152" customFormat="1" x14ac:dyDescent="0.25">
      <c r="A613" s="249"/>
      <c r="B613" s="249"/>
      <c r="C613" s="249"/>
      <c r="D613" s="249"/>
      <c r="E613" s="249"/>
      <c r="F613" s="249"/>
      <c r="G613" s="249"/>
      <c r="H613" s="249"/>
      <c r="I613" s="258"/>
      <c r="J613" s="249"/>
      <c r="K613" s="249"/>
      <c r="L613" s="249"/>
      <c r="M613" s="259"/>
      <c r="N613" s="249"/>
      <c r="O613" s="249"/>
      <c r="P613" s="249"/>
      <c r="Q613" s="249"/>
      <c r="R613" s="249"/>
      <c r="S613" s="249"/>
      <c r="T613" s="249"/>
      <c r="U613" s="249"/>
      <c r="V613" s="249"/>
      <c r="W613" s="249"/>
      <c r="X613" s="249"/>
      <c r="Y613" s="249"/>
      <c r="Z613" s="249"/>
    </row>
    <row r="614" spans="1:26" s="152" customFormat="1" x14ac:dyDescent="0.25">
      <c r="A614" s="249"/>
      <c r="B614" s="249"/>
      <c r="C614" s="249"/>
      <c r="D614" s="249"/>
      <c r="E614" s="249"/>
      <c r="F614" s="249"/>
      <c r="G614" s="249"/>
      <c r="H614" s="249"/>
      <c r="I614" s="258"/>
      <c r="J614" s="249"/>
      <c r="K614" s="249"/>
      <c r="L614" s="249"/>
      <c r="M614" s="259"/>
      <c r="N614" s="249"/>
      <c r="O614" s="249"/>
      <c r="P614" s="249"/>
      <c r="Q614" s="249"/>
      <c r="R614" s="249"/>
      <c r="S614" s="249"/>
      <c r="T614" s="249"/>
      <c r="U614" s="249"/>
      <c r="V614" s="249"/>
      <c r="W614" s="249"/>
      <c r="X614" s="249"/>
      <c r="Y614" s="249"/>
      <c r="Z614" s="249"/>
    </row>
    <row r="615" spans="1:26" s="152" customFormat="1" x14ac:dyDescent="0.25">
      <c r="A615" s="249"/>
      <c r="B615" s="249"/>
      <c r="C615" s="249"/>
      <c r="D615" s="249"/>
      <c r="E615" s="249"/>
      <c r="F615" s="249"/>
      <c r="G615" s="249"/>
      <c r="H615" s="249"/>
      <c r="I615" s="258"/>
      <c r="J615" s="249"/>
      <c r="K615" s="249"/>
      <c r="L615" s="249"/>
      <c r="M615" s="259"/>
      <c r="N615" s="249"/>
      <c r="O615" s="249"/>
      <c r="P615" s="249"/>
      <c r="Q615" s="249"/>
      <c r="R615" s="249"/>
      <c r="S615" s="249"/>
      <c r="T615" s="249"/>
      <c r="U615" s="249"/>
      <c r="V615" s="249"/>
      <c r="W615" s="249"/>
      <c r="X615" s="249"/>
      <c r="Y615" s="249"/>
      <c r="Z615" s="249"/>
    </row>
    <row r="616" spans="1:26" s="152" customFormat="1" x14ac:dyDescent="0.25">
      <c r="A616" s="249"/>
      <c r="B616" s="249"/>
      <c r="C616" s="249"/>
      <c r="D616" s="249"/>
      <c r="E616" s="249"/>
      <c r="F616" s="249"/>
      <c r="G616" s="249"/>
      <c r="H616" s="249"/>
      <c r="I616" s="258"/>
      <c r="J616" s="249"/>
      <c r="K616" s="249"/>
      <c r="L616" s="249"/>
      <c r="M616" s="259"/>
      <c r="N616" s="249"/>
      <c r="O616" s="249"/>
      <c r="P616" s="249"/>
      <c r="Q616" s="249"/>
      <c r="R616" s="249"/>
      <c r="S616" s="249"/>
      <c r="T616" s="249"/>
      <c r="U616" s="249"/>
      <c r="V616" s="249"/>
      <c r="W616" s="249"/>
      <c r="X616" s="249"/>
      <c r="Y616" s="249"/>
      <c r="Z616" s="249"/>
    </row>
    <row r="617" spans="1:26" s="152" customFormat="1" x14ac:dyDescent="0.25">
      <c r="A617" s="249"/>
      <c r="B617" s="249"/>
      <c r="C617" s="249"/>
      <c r="D617" s="249"/>
      <c r="E617" s="249"/>
      <c r="F617" s="249"/>
      <c r="G617" s="249"/>
      <c r="H617" s="249"/>
      <c r="I617" s="258"/>
      <c r="J617" s="249"/>
      <c r="K617" s="249"/>
      <c r="L617" s="249"/>
      <c r="M617" s="259"/>
      <c r="N617" s="249"/>
      <c r="O617" s="249"/>
      <c r="P617" s="249"/>
      <c r="Q617" s="249"/>
      <c r="R617" s="249"/>
      <c r="S617" s="249"/>
      <c r="T617" s="249"/>
      <c r="U617" s="249"/>
      <c r="V617" s="249"/>
      <c r="W617" s="249"/>
      <c r="X617" s="249"/>
      <c r="Y617" s="249"/>
      <c r="Z617" s="249"/>
    </row>
    <row r="618" spans="1:26" s="152" customFormat="1" x14ac:dyDescent="0.25">
      <c r="A618" s="249"/>
      <c r="B618" s="249"/>
      <c r="C618" s="249"/>
      <c r="D618" s="249"/>
      <c r="E618" s="249"/>
      <c r="F618" s="249"/>
      <c r="G618" s="249"/>
      <c r="H618" s="249"/>
      <c r="I618" s="258"/>
      <c r="J618" s="249"/>
      <c r="K618" s="249"/>
      <c r="L618" s="249"/>
      <c r="M618" s="259"/>
      <c r="N618" s="249"/>
      <c r="O618" s="249"/>
      <c r="P618" s="249"/>
      <c r="Q618" s="249"/>
      <c r="R618" s="249"/>
      <c r="S618" s="249"/>
      <c r="T618" s="249"/>
      <c r="U618" s="249"/>
      <c r="V618" s="249"/>
      <c r="W618" s="249"/>
      <c r="X618" s="249"/>
      <c r="Y618" s="249"/>
      <c r="Z618" s="249"/>
    </row>
    <row r="619" spans="1:26" s="152" customFormat="1" x14ac:dyDescent="0.25">
      <c r="A619" s="249"/>
      <c r="B619" s="249"/>
      <c r="C619" s="249"/>
      <c r="D619" s="249"/>
      <c r="E619" s="249"/>
      <c r="F619" s="249"/>
      <c r="G619" s="249"/>
      <c r="H619" s="249"/>
      <c r="I619" s="258"/>
      <c r="J619" s="249"/>
      <c r="K619" s="249"/>
      <c r="L619" s="249"/>
      <c r="M619" s="25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</row>
    <row r="620" spans="1:26" s="152" customFormat="1" x14ac:dyDescent="0.25">
      <c r="A620" s="249"/>
      <c r="B620" s="249"/>
      <c r="C620" s="249"/>
      <c r="D620" s="249"/>
      <c r="E620" s="249"/>
      <c r="F620" s="249"/>
      <c r="G620" s="249"/>
      <c r="H620" s="249"/>
      <c r="I620" s="258"/>
      <c r="J620" s="249"/>
      <c r="K620" s="249"/>
      <c r="L620" s="249"/>
      <c r="M620" s="25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9"/>
    </row>
    <row r="621" spans="1:26" s="152" customFormat="1" x14ac:dyDescent="0.25">
      <c r="A621" s="249"/>
      <c r="B621" s="249"/>
      <c r="C621" s="249"/>
      <c r="D621" s="249"/>
      <c r="E621" s="249"/>
      <c r="F621" s="249"/>
      <c r="G621" s="249"/>
      <c r="H621" s="249"/>
      <c r="I621" s="258"/>
      <c r="J621" s="249"/>
      <c r="K621" s="249"/>
      <c r="L621" s="249"/>
      <c r="M621" s="259"/>
      <c r="N621" s="249"/>
      <c r="O621" s="249"/>
      <c r="P621" s="249"/>
      <c r="Q621" s="249"/>
      <c r="R621" s="249"/>
      <c r="S621" s="249"/>
      <c r="T621" s="249"/>
      <c r="U621" s="249"/>
      <c r="V621" s="249"/>
      <c r="W621" s="249"/>
      <c r="X621" s="249"/>
      <c r="Y621" s="249"/>
      <c r="Z621" s="249"/>
    </row>
    <row r="622" spans="1:26" s="152" customFormat="1" x14ac:dyDescent="0.25">
      <c r="A622" s="249"/>
      <c r="B622" s="249"/>
      <c r="C622" s="249"/>
      <c r="D622" s="249"/>
      <c r="E622" s="249"/>
      <c r="F622" s="249"/>
      <c r="G622" s="249"/>
      <c r="H622" s="249"/>
      <c r="I622" s="258"/>
      <c r="J622" s="249"/>
      <c r="K622" s="249"/>
      <c r="L622" s="249"/>
      <c r="M622" s="25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</row>
    <row r="623" spans="1:26" s="152" customFormat="1" x14ac:dyDescent="0.25">
      <c r="A623" s="249"/>
      <c r="B623" s="249"/>
      <c r="C623" s="249"/>
      <c r="D623" s="249"/>
      <c r="E623" s="249"/>
      <c r="F623" s="249"/>
      <c r="G623" s="249"/>
      <c r="H623" s="249"/>
      <c r="I623" s="258"/>
      <c r="J623" s="249"/>
      <c r="K623" s="249"/>
      <c r="L623" s="249"/>
      <c r="M623" s="25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</row>
    <row r="624" spans="1:26" s="152" customFormat="1" x14ac:dyDescent="0.25">
      <c r="A624" s="249"/>
      <c r="B624" s="249"/>
      <c r="C624" s="249"/>
      <c r="D624" s="249"/>
      <c r="E624" s="249"/>
      <c r="F624" s="249"/>
      <c r="G624" s="249"/>
      <c r="H624" s="249"/>
      <c r="I624" s="258"/>
      <c r="J624" s="249"/>
      <c r="K624" s="249"/>
      <c r="L624" s="249"/>
      <c r="M624" s="25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</row>
    <row r="625" spans="1:26" s="152" customFormat="1" x14ac:dyDescent="0.25">
      <c r="A625" s="249"/>
      <c r="B625" s="249"/>
      <c r="C625" s="249"/>
      <c r="D625" s="249"/>
      <c r="E625" s="249"/>
      <c r="F625" s="249"/>
      <c r="G625" s="249"/>
      <c r="H625" s="249"/>
      <c r="I625" s="258"/>
      <c r="J625" s="249"/>
      <c r="K625" s="249"/>
      <c r="L625" s="249"/>
      <c r="M625" s="25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</row>
    <row r="626" spans="1:26" s="152" customFormat="1" x14ac:dyDescent="0.25">
      <c r="A626" s="249"/>
      <c r="B626" s="249"/>
      <c r="C626" s="249"/>
      <c r="D626" s="249"/>
      <c r="E626" s="249"/>
      <c r="F626" s="249"/>
      <c r="G626" s="249"/>
      <c r="H626" s="249"/>
      <c r="I626" s="258"/>
      <c r="J626" s="249"/>
      <c r="K626" s="249"/>
      <c r="L626" s="249"/>
      <c r="M626" s="25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</row>
    <row r="627" spans="1:26" s="152" customFormat="1" x14ac:dyDescent="0.25">
      <c r="A627" s="249"/>
      <c r="B627" s="249"/>
      <c r="C627" s="249"/>
      <c r="D627" s="249"/>
      <c r="E627" s="249"/>
      <c r="F627" s="249"/>
      <c r="G627" s="249"/>
      <c r="H627" s="249"/>
      <c r="I627" s="258"/>
      <c r="J627" s="249"/>
      <c r="K627" s="249"/>
      <c r="L627" s="249"/>
      <c r="M627" s="259"/>
      <c r="N627" s="249"/>
      <c r="O627" s="249"/>
      <c r="P627" s="249"/>
      <c r="Q627" s="249"/>
      <c r="R627" s="249"/>
      <c r="S627" s="249"/>
      <c r="T627" s="249"/>
      <c r="U627" s="249"/>
      <c r="V627" s="249"/>
      <c r="W627" s="249"/>
      <c r="X627" s="249"/>
      <c r="Y627" s="249"/>
      <c r="Z627" s="249"/>
    </row>
    <row r="628" spans="1:26" s="152" customFormat="1" x14ac:dyDescent="0.25">
      <c r="A628" s="249"/>
      <c r="B628" s="249"/>
      <c r="C628" s="249"/>
      <c r="D628" s="249"/>
      <c r="E628" s="249"/>
      <c r="F628" s="249"/>
      <c r="G628" s="249"/>
      <c r="H628" s="249"/>
      <c r="I628" s="258"/>
      <c r="J628" s="249"/>
      <c r="K628" s="249"/>
      <c r="L628" s="249"/>
      <c r="M628" s="25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</row>
    <row r="629" spans="1:26" s="152" customFormat="1" x14ac:dyDescent="0.25">
      <c r="A629" s="249"/>
      <c r="B629" s="249"/>
      <c r="C629" s="249"/>
      <c r="D629" s="249"/>
      <c r="E629" s="249"/>
      <c r="F629" s="249"/>
      <c r="G629" s="249"/>
      <c r="H629" s="249"/>
      <c r="I629" s="258"/>
      <c r="J629" s="249"/>
      <c r="K629" s="249"/>
      <c r="L629" s="249"/>
      <c r="M629" s="25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</row>
    <row r="630" spans="1:26" s="152" customFormat="1" x14ac:dyDescent="0.25">
      <c r="A630" s="249"/>
      <c r="B630" s="249"/>
      <c r="C630" s="249"/>
      <c r="D630" s="249"/>
      <c r="E630" s="249"/>
      <c r="F630" s="249"/>
      <c r="G630" s="249"/>
      <c r="H630" s="249"/>
      <c r="I630" s="258"/>
      <c r="J630" s="249"/>
      <c r="K630" s="249"/>
      <c r="L630" s="249"/>
      <c r="M630" s="25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</row>
    <row r="631" spans="1:26" s="152" customFormat="1" x14ac:dyDescent="0.25">
      <c r="A631" s="249"/>
      <c r="B631" s="249"/>
      <c r="C631" s="249"/>
      <c r="D631" s="249"/>
      <c r="E631" s="249"/>
      <c r="F631" s="249"/>
      <c r="G631" s="249"/>
      <c r="H631" s="249"/>
      <c r="I631" s="258"/>
      <c r="J631" s="249"/>
      <c r="K631" s="249"/>
      <c r="L631" s="249"/>
      <c r="M631" s="259"/>
      <c r="N631" s="249"/>
      <c r="O631" s="249"/>
      <c r="P631" s="249"/>
      <c r="Q631" s="249"/>
      <c r="R631" s="249"/>
      <c r="S631" s="249"/>
      <c r="T631" s="249"/>
      <c r="U631" s="249"/>
      <c r="V631" s="249"/>
      <c r="W631" s="249"/>
      <c r="X631" s="249"/>
      <c r="Y631" s="249"/>
      <c r="Z631" s="249"/>
    </row>
    <row r="632" spans="1:26" s="152" customFormat="1" x14ac:dyDescent="0.25">
      <c r="A632" s="249"/>
      <c r="B632" s="249"/>
      <c r="C632" s="249"/>
      <c r="D632" s="249"/>
      <c r="E632" s="249"/>
      <c r="F632" s="249"/>
      <c r="G632" s="249"/>
      <c r="H632" s="249"/>
      <c r="I632" s="258"/>
      <c r="J632" s="249"/>
      <c r="K632" s="249"/>
      <c r="L632" s="249"/>
      <c r="M632" s="25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</row>
    <row r="633" spans="1:26" s="152" customFormat="1" x14ac:dyDescent="0.25">
      <c r="A633" s="249"/>
      <c r="B633" s="249"/>
      <c r="C633" s="249"/>
      <c r="D633" s="249"/>
      <c r="E633" s="249"/>
      <c r="F633" s="249"/>
      <c r="G633" s="249"/>
      <c r="H633" s="249"/>
      <c r="I633" s="258"/>
      <c r="J633" s="249"/>
      <c r="K633" s="249"/>
      <c r="L633" s="249"/>
      <c r="M633" s="259"/>
      <c r="N633" s="249"/>
      <c r="O633" s="249"/>
      <c r="P633" s="249"/>
      <c r="Q633" s="249"/>
      <c r="R633" s="249"/>
      <c r="S633" s="249"/>
      <c r="T633" s="249"/>
      <c r="U633" s="249"/>
      <c r="V633" s="249"/>
      <c r="W633" s="249"/>
      <c r="X633" s="249"/>
      <c r="Y633" s="249"/>
      <c r="Z633" s="249"/>
    </row>
    <row r="634" spans="1:26" s="152" customFormat="1" x14ac:dyDescent="0.25">
      <c r="A634" s="249"/>
      <c r="B634" s="249"/>
      <c r="C634" s="249"/>
      <c r="D634" s="249"/>
      <c r="E634" s="249"/>
      <c r="F634" s="249"/>
      <c r="G634" s="249"/>
      <c r="H634" s="249"/>
      <c r="I634" s="258"/>
      <c r="J634" s="249"/>
      <c r="K634" s="249"/>
      <c r="L634" s="249"/>
      <c r="M634" s="259"/>
      <c r="N634" s="249"/>
      <c r="O634" s="249"/>
      <c r="P634" s="249"/>
      <c r="Q634" s="249"/>
      <c r="R634" s="249"/>
      <c r="S634" s="249"/>
      <c r="T634" s="249"/>
      <c r="U634" s="249"/>
      <c r="V634" s="249"/>
      <c r="W634" s="249"/>
      <c r="X634" s="249"/>
      <c r="Y634" s="249"/>
      <c r="Z634" s="249"/>
    </row>
    <row r="635" spans="1:26" s="152" customFormat="1" x14ac:dyDescent="0.25">
      <c r="A635" s="249"/>
      <c r="B635" s="249"/>
      <c r="C635" s="249"/>
      <c r="D635" s="249"/>
      <c r="E635" s="249"/>
      <c r="F635" s="249"/>
      <c r="G635" s="249"/>
      <c r="H635" s="249"/>
      <c r="I635" s="258"/>
      <c r="J635" s="249"/>
      <c r="K635" s="249"/>
      <c r="L635" s="249"/>
      <c r="M635" s="259"/>
      <c r="N635" s="249"/>
      <c r="O635" s="249"/>
      <c r="P635" s="249"/>
      <c r="Q635" s="249"/>
      <c r="R635" s="249"/>
      <c r="S635" s="249"/>
      <c r="T635" s="249"/>
      <c r="U635" s="249"/>
      <c r="V635" s="249"/>
      <c r="W635" s="249"/>
      <c r="X635" s="249"/>
      <c r="Y635" s="249"/>
      <c r="Z635" s="249"/>
    </row>
    <row r="636" spans="1:26" s="152" customFormat="1" x14ac:dyDescent="0.25">
      <c r="A636" s="249"/>
      <c r="B636" s="249"/>
      <c r="C636" s="249"/>
      <c r="D636" s="249"/>
      <c r="E636" s="249"/>
      <c r="F636" s="249"/>
      <c r="G636" s="249"/>
      <c r="H636" s="249"/>
      <c r="I636" s="258"/>
      <c r="J636" s="249"/>
      <c r="K636" s="249"/>
      <c r="L636" s="249"/>
      <c r="M636" s="259"/>
      <c r="N636" s="249"/>
      <c r="O636" s="249"/>
      <c r="P636" s="249"/>
      <c r="Q636" s="249"/>
      <c r="R636" s="249"/>
      <c r="S636" s="249"/>
      <c r="T636" s="249"/>
      <c r="U636" s="249"/>
      <c r="V636" s="249"/>
      <c r="W636" s="249"/>
      <c r="X636" s="249"/>
      <c r="Y636" s="249"/>
      <c r="Z636" s="249"/>
    </row>
    <row r="637" spans="1:26" s="152" customFormat="1" x14ac:dyDescent="0.25">
      <c r="A637" s="249"/>
      <c r="B637" s="249"/>
      <c r="C637" s="249"/>
      <c r="D637" s="249"/>
      <c r="E637" s="249"/>
      <c r="F637" s="249"/>
      <c r="G637" s="249"/>
      <c r="H637" s="249"/>
      <c r="I637" s="258"/>
      <c r="J637" s="249"/>
      <c r="K637" s="249"/>
      <c r="L637" s="249"/>
      <c r="M637" s="259"/>
      <c r="N637" s="249"/>
      <c r="O637" s="249"/>
      <c r="P637" s="249"/>
      <c r="Q637" s="249"/>
      <c r="R637" s="249"/>
      <c r="S637" s="249"/>
      <c r="T637" s="249"/>
      <c r="U637" s="249"/>
      <c r="V637" s="249"/>
      <c r="W637" s="249"/>
      <c r="X637" s="249"/>
      <c r="Y637" s="249"/>
      <c r="Z637" s="249"/>
    </row>
    <row r="638" spans="1:26" s="152" customFormat="1" x14ac:dyDescent="0.25">
      <c r="A638" s="249"/>
      <c r="B638" s="249"/>
      <c r="C638" s="249"/>
      <c r="D638" s="249"/>
      <c r="E638" s="249"/>
      <c r="F638" s="249"/>
      <c r="G638" s="249"/>
      <c r="H638" s="249"/>
      <c r="I638" s="258"/>
      <c r="J638" s="249"/>
      <c r="K638" s="249"/>
      <c r="L638" s="249"/>
      <c r="M638" s="259"/>
      <c r="N638" s="249"/>
      <c r="O638" s="249"/>
      <c r="P638" s="249"/>
      <c r="Q638" s="249"/>
      <c r="R638" s="249"/>
      <c r="S638" s="249"/>
      <c r="T638" s="249"/>
      <c r="U638" s="249"/>
      <c r="V638" s="249"/>
      <c r="W638" s="249"/>
      <c r="X638" s="249"/>
      <c r="Y638" s="249"/>
      <c r="Z638" s="249"/>
    </row>
    <row r="639" spans="1:26" s="152" customFormat="1" x14ac:dyDescent="0.25">
      <c r="A639" s="249"/>
      <c r="B639" s="249"/>
      <c r="C639" s="249"/>
      <c r="D639" s="249"/>
      <c r="E639" s="249"/>
      <c r="F639" s="249"/>
      <c r="G639" s="249"/>
      <c r="H639" s="249"/>
      <c r="I639" s="258"/>
      <c r="J639" s="249"/>
      <c r="K639" s="249"/>
      <c r="L639" s="249"/>
      <c r="M639" s="259"/>
      <c r="N639" s="249"/>
      <c r="O639" s="249"/>
      <c r="P639" s="249"/>
      <c r="Q639" s="249"/>
      <c r="R639" s="249"/>
      <c r="S639" s="249"/>
      <c r="T639" s="249"/>
      <c r="U639" s="249"/>
      <c r="V639" s="249"/>
      <c r="W639" s="249"/>
      <c r="X639" s="249"/>
      <c r="Y639" s="249"/>
      <c r="Z639" s="249"/>
    </row>
    <row r="640" spans="1:26" s="152" customFormat="1" x14ac:dyDescent="0.25">
      <c r="A640" s="249"/>
      <c r="B640" s="249"/>
      <c r="C640" s="249"/>
      <c r="D640" s="249"/>
      <c r="E640" s="249"/>
      <c r="F640" s="249"/>
      <c r="G640" s="249"/>
      <c r="H640" s="249"/>
      <c r="I640" s="258"/>
      <c r="J640" s="249"/>
      <c r="K640" s="249"/>
      <c r="L640" s="249"/>
      <c r="M640" s="259"/>
      <c r="N640" s="249"/>
      <c r="O640" s="249"/>
      <c r="P640" s="249"/>
      <c r="Q640" s="249"/>
      <c r="R640" s="249"/>
      <c r="S640" s="249"/>
      <c r="T640" s="249"/>
      <c r="U640" s="249"/>
      <c r="V640" s="249"/>
      <c r="W640" s="249"/>
      <c r="X640" s="249"/>
      <c r="Y640" s="249"/>
      <c r="Z640" s="249"/>
    </row>
    <row r="641" spans="1:26" s="152" customFormat="1" x14ac:dyDescent="0.25">
      <c r="A641" s="249"/>
      <c r="B641" s="249"/>
      <c r="C641" s="249"/>
      <c r="D641" s="249"/>
      <c r="E641" s="249"/>
      <c r="F641" s="249"/>
      <c r="G641" s="249"/>
      <c r="H641" s="249"/>
      <c r="I641" s="258"/>
      <c r="J641" s="249"/>
      <c r="K641" s="249"/>
      <c r="L641" s="249"/>
      <c r="M641" s="259"/>
      <c r="N641" s="249"/>
      <c r="O641" s="249"/>
      <c r="P641" s="249"/>
      <c r="Q641" s="249"/>
      <c r="R641" s="249"/>
      <c r="S641" s="249"/>
      <c r="T641" s="249"/>
      <c r="U641" s="249"/>
      <c r="V641" s="249"/>
      <c r="W641" s="249"/>
      <c r="X641" s="249"/>
      <c r="Y641" s="249"/>
      <c r="Z641" s="249"/>
    </row>
    <row r="642" spans="1:26" s="152" customFormat="1" x14ac:dyDescent="0.25">
      <c r="A642" s="249"/>
      <c r="B642" s="249"/>
      <c r="C642" s="249"/>
      <c r="D642" s="249"/>
      <c r="E642" s="249"/>
      <c r="F642" s="249"/>
      <c r="G642" s="249"/>
      <c r="H642" s="249"/>
      <c r="I642" s="258"/>
      <c r="J642" s="249"/>
      <c r="K642" s="249"/>
      <c r="L642" s="249"/>
      <c r="M642" s="259"/>
      <c r="N642" s="249"/>
      <c r="O642" s="249"/>
      <c r="P642" s="249"/>
      <c r="Q642" s="249"/>
      <c r="R642" s="249"/>
      <c r="S642" s="249"/>
      <c r="T642" s="249"/>
      <c r="U642" s="249"/>
      <c r="V642" s="249"/>
      <c r="W642" s="249"/>
      <c r="X642" s="249"/>
      <c r="Y642" s="249"/>
      <c r="Z642" s="249"/>
    </row>
    <row r="643" spans="1:26" s="152" customFormat="1" x14ac:dyDescent="0.25">
      <c r="A643" s="249"/>
      <c r="B643" s="249"/>
      <c r="C643" s="249"/>
      <c r="D643" s="249"/>
      <c r="E643" s="249"/>
      <c r="F643" s="249"/>
      <c r="G643" s="249"/>
      <c r="H643" s="249"/>
      <c r="I643" s="258"/>
      <c r="J643" s="249"/>
      <c r="K643" s="249"/>
      <c r="L643" s="249"/>
      <c r="M643" s="259"/>
      <c r="N643" s="249"/>
      <c r="O643" s="249"/>
      <c r="P643" s="249"/>
      <c r="Q643" s="249"/>
      <c r="R643" s="249"/>
      <c r="S643" s="249"/>
      <c r="T643" s="249"/>
      <c r="U643" s="249"/>
      <c r="V643" s="249"/>
      <c r="W643" s="249"/>
      <c r="X643" s="249"/>
      <c r="Y643" s="249"/>
      <c r="Z643" s="249"/>
    </row>
    <row r="644" spans="1:26" s="152" customFormat="1" x14ac:dyDescent="0.25">
      <c r="A644" s="249"/>
      <c r="B644" s="249"/>
      <c r="C644" s="249"/>
      <c r="D644" s="249"/>
      <c r="E644" s="249"/>
      <c r="F644" s="249"/>
      <c r="G644" s="249"/>
      <c r="H644" s="249"/>
      <c r="I644" s="258"/>
      <c r="J644" s="249"/>
      <c r="K644" s="249"/>
      <c r="L644" s="249"/>
      <c r="M644" s="259"/>
      <c r="N644" s="249"/>
      <c r="O644" s="249"/>
      <c r="P644" s="249"/>
      <c r="Q644" s="249"/>
      <c r="R644" s="249"/>
      <c r="S644" s="249"/>
      <c r="T644" s="249"/>
      <c r="U644" s="249"/>
      <c r="V644" s="249"/>
      <c r="W644" s="249"/>
      <c r="X644" s="249"/>
      <c r="Y644" s="249"/>
      <c r="Z644" s="249"/>
    </row>
    <row r="645" spans="1:26" s="152" customFormat="1" x14ac:dyDescent="0.25">
      <c r="A645" s="249"/>
      <c r="B645" s="249"/>
      <c r="C645" s="249"/>
      <c r="D645" s="249"/>
      <c r="E645" s="249"/>
      <c r="F645" s="249"/>
      <c r="G645" s="249"/>
      <c r="H645" s="249"/>
      <c r="I645" s="258"/>
      <c r="J645" s="249"/>
      <c r="K645" s="249"/>
      <c r="L645" s="249"/>
      <c r="M645" s="259"/>
      <c r="N645" s="249"/>
      <c r="O645" s="249"/>
      <c r="P645" s="249"/>
      <c r="Q645" s="249"/>
      <c r="R645" s="249"/>
      <c r="S645" s="249"/>
      <c r="T645" s="249"/>
      <c r="U645" s="249"/>
      <c r="V645" s="249"/>
      <c r="W645" s="249"/>
      <c r="X645" s="249"/>
      <c r="Y645" s="249"/>
      <c r="Z645" s="249"/>
    </row>
    <row r="646" spans="1:26" s="152" customFormat="1" x14ac:dyDescent="0.25">
      <c r="A646" s="249"/>
      <c r="B646" s="249"/>
      <c r="C646" s="249"/>
      <c r="D646" s="249"/>
      <c r="E646" s="249"/>
      <c r="F646" s="249"/>
      <c r="G646" s="249"/>
      <c r="H646" s="249"/>
      <c r="I646" s="258"/>
      <c r="J646" s="249"/>
      <c r="K646" s="249"/>
      <c r="L646" s="249"/>
      <c r="M646" s="259"/>
      <c r="N646" s="249"/>
      <c r="O646" s="249"/>
      <c r="P646" s="249"/>
      <c r="Q646" s="249"/>
      <c r="R646" s="249"/>
      <c r="S646" s="249"/>
      <c r="T646" s="249"/>
      <c r="U646" s="249"/>
      <c r="V646" s="249"/>
      <c r="W646" s="249"/>
      <c r="X646" s="249"/>
      <c r="Y646" s="249"/>
      <c r="Z646" s="249"/>
    </row>
    <row r="647" spans="1:26" s="152" customFormat="1" x14ac:dyDescent="0.25">
      <c r="A647" s="249"/>
      <c r="B647" s="249"/>
      <c r="C647" s="249"/>
      <c r="D647" s="249"/>
      <c r="E647" s="249"/>
      <c r="F647" s="249"/>
      <c r="G647" s="249"/>
      <c r="H647" s="249"/>
      <c r="I647" s="258"/>
      <c r="J647" s="249"/>
      <c r="K647" s="249"/>
      <c r="L647" s="249"/>
      <c r="M647" s="259"/>
      <c r="N647" s="249"/>
      <c r="O647" s="249"/>
      <c r="P647" s="249"/>
      <c r="Q647" s="249"/>
      <c r="R647" s="249"/>
      <c r="S647" s="249"/>
      <c r="T647" s="249"/>
      <c r="U647" s="249"/>
      <c r="V647" s="249"/>
      <c r="W647" s="249"/>
      <c r="X647" s="249"/>
      <c r="Y647" s="249"/>
      <c r="Z647" s="249"/>
    </row>
    <row r="648" spans="1:26" s="152" customFormat="1" x14ac:dyDescent="0.25">
      <c r="A648" s="249"/>
      <c r="B648" s="249"/>
      <c r="C648" s="249"/>
      <c r="D648" s="249"/>
      <c r="E648" s="249"/>
      <c r="F648" s="249"/>
      <c r="G648" s="249"/>
      <c r="H648" s="249"/>
      <c r="I648" s="258"/>
      <c r="J648" s="249"/>
      <c r="K648" s="249"/>
      <c r="L648" s="249"/>
      <c r="M648" s="259"/>
      <c r="N648" s="249"/>
      <c r="O648" s="249"/>
      <c r="P648" s="249"/>
      <c r="Q648" s="249"/>
      <c r="R648" s="249"/>
      <c r="S648" s="249"/>
      <c r="T648" s="249"/>
      <c r="U648" s="249"/>
      <c r="V648" s="249"/>
      <c r="W648" s="249"/>
      <c r="X648" s="249"/>
      <c r="Y648" s="249"/>
      <c r="Z648" s="249"/>
    </row>
    <row r="649" spans="1:26" s="152" customFormat="1" x14ac:dyDescent="0.25">
      <c r="A649" s="249"/>
      <c r="B649" s="249"/>
      <c r="C649" s="249"/>
      <c r="D649" s="249"/>
      <c r="E649" s="249"/>
      <c r="F649" s="249"/>
      <c r="G649" s="249"/>
      <c r="H649" s="249"/>
      <c r="I649" s="258"/>
      <c r="J649" s="249"/>
      <c r="K649" s="249"/>
      <c r="L649" s="249"/>
      <c r="M649" s="259"/>
      <c r="N649" s="249"/>
      <c r="O649" s="249"/>
      <c r="P649" s="249"/>
      <c r="Q649" s="249"/>
      <c r="R649" s="249"/>
      <c r="S649" s="249"/>
      <c r="T649" s="249"/>
      <c r="U649" s="249"/>
      <c r="V649" s="249"/>
      <c r="W649" s="249"/>
      <c r="X649" s="249"/>
      <c r="Y649" s="249"/>
      <c r="Z649" s="249"/>
    </row>
    <row r="650" spans="1:26" s="152" customFormat="1" x14ac:dyDescent="0.25">
      <c r="A650" s="249"/>
      <c r="B650" s="249"/>
      <c r="C650" s="249"/>
      <c r="D650" s="249"/>
      <c r="E650" s="249"/>
      <c r="F650" s="249"/>
      <c r="G650" s="249"/>
      <c r="H650" s="249"/>
      <c r="I650" s="258"/>
      <c r="J650" s="249"/>
      <c r="K650" s="249"/>
      <c r="L650" s="249"/>
      <c r="M650" s="259"/>
      <c r="N650" s="249"/>
      <c r="O650" s="249"/>
      <c r="P650" s="249"/>
      <c r="Q650" s="249"/>
      <c r="R650" s="249"/>
      <c r="S650" s="249"/>
      <c r="T650" s="249"/>
      <c r="U650" s="249"/>
      <c r="V650" s="249"/>
      <c r="W650" s="249"/>
      <c r="X650" s="249"/>
      <c r="Y650" s="249"/>
      <c r="Z650" s="249"/>
    </row>
    <row r="651" spans="1:26" s="152" customFormat="1" x14ac:dyDescent="0.25">
      <c r="A651" s="249"/>
      <c r="B651" s="249"/>
      <c r="C651" s="249"/>
      <c r="D651" s="249"/>
      <c r="E651" s="249"/>
      <c r="F651" s="249"/>
      <c r="G651" s="249"/>
      <c r="H651" s="249"/>
      <c r="I651" s="258"/>
      <c r="J651" s="249"/>
      <c r="K651" s="249"/>
      <c r="L651" s="249"/>
      <c r="M651" s="259"/>
      <c r="N651" s="249"/>
      <c r="O651" s="249"/>
      <c r="P651" s="249"/>
      <c r="Q651" s="249"/>
      <c r="R651" s="249"/>
      <c r="S651" s="249"/>
      <c r="T651" s="249"/>
      <c r="U651" s="249"/>
      <c r="V651" s="249"/>
      <c r="W651" s="249"/>
      <c r="X651" s="249"/>
      <c r="Y651" s="249"/>
      <c r="Z651" s="249"/>
    </row>
    <row r="652" spans="1:26" s="152" customFormat="1" x14ac:dyDescent="0.25">
      <c r="A652" s="249"/>
      <c r="B652" s="249"/>
      <c r="C652" s="249"/>
      <c r="D652" s="249"/>
      <c r="E652" s="249"/>
      <c r="F652" s="249"/>
      <c r="G652" s="249"/>
      <c r="H652" s="249"/>
      <c r="I652" s="258"/>
      <c r="J652" s="249"/>
      <c r="K652" s="249"/>
      <c r="L652" s="249"/>
      <c r="M652" s="25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</row>
    <row r="653" spans="1:26" s="152" customFormat="1" x14ac:dyDescent="0.25">
      <c r="A653" s="249"/>
      <c r="B653" s="249"/>
      <c r="C653" s="249"/>
      <c r="D653" s="249"/>
      <c r="E653" s="249"/>
      <c r="F653" s="249"/>
      <c r="G653" s="249"/>
      <c r="H653" s="249"/>
      <c r="I653" s="258"/>
      <c r="J653" s="249"/>
      <c r="K653" s="249"/>
      <c r="L653" s="249"/>
      <c r="M653" s="25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9"/>
    </row>
    <row r="654" spans="1:26" s="152" customFormat="1" x14ac:dyDescent="0.25">
      <c r="A654" s="249"/>
      <c r="B654" s="249"/>
      <c r="C654" s="249"/>
      <c r="D654" s="249"/>
      <c r="E654" s="249"/>
      <c r="F654" s="249"/>
      <c r="G654" s="249"/>
      <c r="H654" s="249"/>
      <c r="I654" s="258"/>
      <c r="J654" s="249"/>
      <c r="K654" s="249"/>
      <c r="L654" s="249"/>
      <c r="M654" s="259"/>
      <c r="N654" s="249"/>
      <c r="O654" s="249"/>
      <c r="P654" s="249"/>
      <c r="Q654" s="249"/>
      <c r="R654" s="249"/>
      <c r="S654" s="249"/>
      <c r="T654" s="249"/>
      <c r="U654" s="249"/>
      <c r="V654" s="249"/>
      <c r="W654" s="249"/>
      <c r="X654" s="249"/>
      <c r="Y654" s="249"/>
      <c r="Z654" s="249"/>
    </row>
    <row r="655" spans="1:26" s="152" customFormat="1" x14ac:dyDescent="0.25">
      <c r="A655" s="249"/>
      <c r="B655" s="249"/>
      <c r="C655" s="249"/>
      <c r="D655" s="249"/>
      <c r="E655" s="249"/>
      <c r="F655" s="249"/>
      <c r="G655" s="249"/>
      <c r="H655" s="249"/>
      <c r="I655" s="258"/>
      <c r="J655" s="249"/>
      <c r="K655" s="249"/>
      <c r="L655" s="249"/>
      <c r="M655" s="25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</row>
    <row r="656" spans="1:26" s="152" customFormat="1" x14ac:dyDescent="0.25">
      <c r="A656" s="249"/>
      <c r="B656" s="249"/>
      <c r="C656" s="249"/>
      <c r="D656" s="249"/>
      <c r="E656" s="249"/>
      <c r="F656" s="249"/>
      <c r="G656" s="249"/>
      <c r="H656" s="249"/>
      <c r="I656" s="258"/>
      <c r="J656" s="249"/>
      <c r="K656" s="249"/>
      <c r="L656" s="249"/>
      <c r="M656" s="25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</row>
    <row r="657" spans="1:26" s="152" customFormat="1" x14ac:dyDescent="0.25">
      <c r="A657" s="249"/>
      <c r="B657" s="249"/>
      <c r="C657" s="249"/>
      <c r="D657" s="249"/>
      <c r="E657" s="249"/>
      <c r="F657" s="249"/>
      <c r="G657" s="249"/>
      <c r="H657" s="249"/>
      <c r="I657" s="258"/>
      <c r="J657" s="249"/>
      <c r="K657" s="249"/>
      <c r="L657" s="249"/>
      <c r="M657" s="25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</row>
    <row r="658" spans="1:26" s="152" customFormat="1" x14ac:dyDescent="0.25">
      <c r="A658" s="249"/>
      <c r="B658" s="249"/>
      <c r="C658" s="249"/>
      <c r="D658" s="249"/>
      <c r="E658" s="249"/>
      <c r="F658" s="249"/>
      <c r="G658" s="249"/>
      <c r="H658" s="249"/>
      <c r="I658" s="258"/>
      <c r="J658" s="249"/>
      <c r="K658" s="249"/>
      <c r="L658" s="249"/>
      <c r="M658" s="25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</row>
    <row r="659" spans="1:26" s="152" customFormat="1" x14ac:dyDescent="0.25">
      <c r="A659" s="249"/>
      <c r="B659" s="249"/>
      <c r="C659" s="249"/>
      <c r="D659" s="249"/>
      <c r="E659" s="249"/>
      <c r="F659" s="249"/>
      <c r="G659" s="249"/>
      <c r="H659" s="249"/>
      <c r="I659" s="258"/>
      <c r="J659" s="249"/>
      <c r="K659" s="249"/>
      <c r="L659" s="249"/>
      <c r="M659" s="25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</row>
    <row r="660" spans="1:26" s="152" customFormat="1" x14ac:dyDescent="0.25">
      <c r="A660" s="249"/>
      <c r="B660" s="249"/>
      <c r="C660" s="249"/>
      <c r="D660" s="249"/>
      <c r="E660" s="249"/>
      <c r="F660" s="249"/>
      <c r="G660" s="249"/>
      <c r="H660" s="249"/>
      <c r="I660" s="258"/>
      <c r="J660" s="249"/>
      <c r="K660" s="249"/>
      <c r="L660" s="249"/>
      <c r="M660" s="259"/>
      <c r="N660" s="249"/>
      <c r="O660" s="249"/>
      <c r="P660" s="249"/>
      <c r="Q660" s="249"/>
      <c r="R660" s="249"/>
      <c r="S660" s="249"/>
      <c r="T660" s="249"/>
      <c r="U660" s="249"/>
      <c r="V660" s="249"/>
      <c r="W660" s="249"/>
      <c r="X660" s="249"/>
      <c r="Y660" s="249"/>
      <c r="Z660" s="249"/>
    </row>
    <row r="661" spans="1:26" s="152" customFormat="1" x14ac:dyDescent="0.25">
      <c r="A661" s="249"/>
      <c r="B661" s="249"/>
      <c r="C661" s="249"/>
      <c r="D661" s="249"/>
      <c r="E661" s="249"/>
      <c r="F661" s="249"/>
      <c r="G661" s="249"/>
      <c r="H661" s="249"/>
      <c r="I661" s="258"/>
      <c r="J661" s="249"/>
      <c r="K661" s="249"/>
      <c r="L661" s="249"/>
      <c r="M661" s="25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</row>
    <row r="662" spans="1:26" s="152" customFormat="1" x14ac:dyDescent="0.25">
      <c r="A662" s="249"/>
      <c r="B662" s="249"/>
      <c r="C662" s="249"/>
      <c r="D662" s="249"/>
      <c r="E662" s="249"/>
      <c r="F662" s="249"/>
      <c r="G662" s="249"/>
      <c r="H662" s="249"/>
      <c r="I662" s="258"/>
      <c r="J662" s="249"/>
      <c r="K662" s="249"/>
      <c r="L662" s="249"/>
      <c r="M662" s="25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</row>
    <row r="663" spans="1:26" s="152" customFormat="1" x14ac:dyDescent="0.25">
      <c r="A663" s="249"/>
      <c r="B663" s="249"/>
      <c r="C663" s="249"/>
      <c r="D663" s="249"/>
      <c r="E663" s="249"/>
      <c r="F663" s="249"/>
      <c r="G663" s="249"/>
      <c r="H663" s="249"/>
      <c r="I663" s="258"/>
      <c r="J663" s="249"/>
      <c r="K663" s="249"/>
      <c r="L663" s="249"/>
      <c r="M663" s="25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</row>
    <row r="664" spans="1:26" s="152" customFormat="1" x14ac:dyDescent="0.25">
      <c r="A664" s="249"/>
      <c r="B664" s="249"/>
      <c r="C664" s="249"/>
      <c r="D664" s="249"/>
      <c r="E664" s="249"/>
      <c r="F664" s="249"/>
      <c r="G664" s="249"/>
      <c r="H664" s="249"/>
      <c r="I664" s="258"/>
      <c r="J664" s="249"/>
      <c r="K664" s="249"/>
      <c r="L664" s="249"/>
      <c r="M664" s="259"/>
      <c r="N664" s="249"/>
      <c r="O664" s="249"/>
      <c r="P664" s="249"/>
      <c r="Q664" s="249"/>
      <c r="R664" s="249"/>
      <c r="S664" s="249"/>
      <c r="T664" s="249"/>
      <c r="U664" s="249"/>
      <c r="V664" s="249"/>
      <c r="W664" s="249"/>
      <c r="X664" s="249"/>
      <c r="Y664" s="249"/>
      <c r="Z664" s="249"/>
    </row>
    <row r="665" spans="1:26" s="152" customFormat="1" x14ac:dyDescent="0.25">
      <c r="A665" s="249"/>
      <c r="B665" s="249"/>
      <c r="C665" s="249"/>
      <c r="D665" s="249"/>
      <c r="E665" s="249"/>
      <c r="F665" s="249"/>
      <c r="G665" s="249"/>
      <c r="H665" s="249"/>
      <c r="I665" s="258"/>
      <c r="J665" s="249"/>
      <c r="K665" s="249"/>
      <c r="L665" s="249"/>
      <c r="M665" s="25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</row>
    <row r="666" spans="1:26" s="152" customFormat="1" x14ac:dyDescent="0.25">
      <c r="A666" s="249"/>
      <c r="B666" s="249"/>
      <c r="C666" s="249"/>
      <c r="D666" s="249"/>
      <c r="E666" s="249"/>
      <c r="F666" s="249"/>
      <c r="G666" s="249"/>
      <c r="H666" s="249"/>
      <c r="I666" s="258"/>
      <c r="J666" s="249"/>
      <c r="K666" s="249"/>
      <c r="L666" s="249"/>
      <c r="M666" s="259"/>
      <c r="N666" s="249"/>
      <c r="O666" s="249"/>
      <c r="P666" s="249"/>
      <c r="Q666" s="249"/>
      <c r="R666" s="249"/>
      <c r="S666" s="249"/>
      <c r="T666" s="249"/>
      <c r="U666" s="249"/>
      <c r="V666" s="249"/>
      <c r="W666" s="249"/>
      <c r="X666" s="249"/>
      <c r="Y666" s="249"/>
      <c r="Z666" s="249"/>
    </row>
    <row r="667" spans="1:26" s="152" customFormat="1" x14ac:dyDescent="0.25">
      <c r="A667" s="249"/>
      <c r="B667" s="249"/>
      <c r="C667" s="249"/>
      <c r="D667" s="249"/>
      <c r="E667" s="249"/>
      <c r="F667" s="249"/>
      <c r="G667" s="249"/>
      <c r="H667" s="249"/>
      <c r="I667" s="258"/>
      <c r="J667" s="249"/>
      <c r="K667" s="249"/>
      <c r="L667" s="249"/>
      <c r="M667" s="259"/>
      <c r="N667" s="249"/>
      <c r="O667" s="249"/>
      <c r="P667" s="249"/>
      <c r="Q667" s="249"/>
      <c r="R667" s="249"/>
      <c r="S667" s="249"/>
      <c r="T667" s="249"/>
      <c r="U667" s="249"/>
      <c r="V667" s="249"/>
      <c r="W667" s="249"/>
      <c r="X667" s="249"/>
      <c r="Y667" s="249"/>
      <c r="Z667" s="249"/>
    </row>
    <row r="668" spans="1:26" s="152" customFormat="1" x14ac:dyDescent="0.25">
      <c r="A668" s="249"/>
      <c r="B668" s="249"/>
      <c r="C668" s="249"/>
      <c r="D668" s="249"/>
      <c r="E668" s="249"/>
      <c r="F668" s="249"/>
      <c r="G668" s="249"/>
      <c r="H668" s="249"/>
      <c r="I668" s="258"/>
      <c r="J668" s="249"/>
      <c r="K668" s="249"/>
      <c r="L668" s="249"/>
      <c r="M668" s="259"/>
      <c r="N668" s="249"/>
      <c r="O668" s="249"/>
      <c r="P668" s="249"/>
      <c r="Q668" s="249"/>
      <c r="R668" s="249"/>
      <c r="S668" s="249"/>
      <c r="T668" s="249"/>
      <c r="U668" s="249"/>
      <c r="V668" s="249"/>
      <c r="W668" s="249"/>
      <c r="X668" s="249"/>
      <c r="Y668" s="249"/>
      <c r="Z668" s="249"/>
    </row>
    <row r="669" spans="1:26" s="152" customFormat="1" x14ac:dyDescent="0.25">
      <c r="A669" s="249"/>
      <c r="B669" s="249"/>
      <c r="C669" s="249"/>
      <c r="D669" s="249"/>
      <c r="E669" s="249"/>
      <c r="F669" s="249"/>
      <c r="G669" s="249"/>
      <c r="H669" s="249"/>
      <c r="I669" s="258"/>
      <c r="J669" s="249"/>
      <c r="K669" s="249"/>
      <c r="L669" s="249"/>
      <c r="M669" s="259"/>
      <c r="N669" s="249"/>
      <c r="O669" s="249"/>
      <c r="P669" s="249"/>
      <c r="Q669" s="249"/>
      <c r="R669" s="249"/>
      <c r="S669" s="249"/>
      <c r="T669" s="249"/>
      <c r="U669" s="249"/>
      <c r="V669" s="249"/>
      <c r="W669" s="249"/>
      <c r="X669" s="249"/>
      <c r="Y669" s="249"/>
      <c r="Z669" s="249"/>
    </row>
    <row r="670" spans="1:26" s="152" customFormat="1" x14ac:dyDescent="0.25">
      <c r="A670" s="249"/>
      <c r="B670" s="249"/>
      <c r="C670" s="249"/>
      <c r="D670" s="249"/>
      <c r="E670" s="249"/>
      <c r="F670" s="249"/>
      <c r="G670" s="249"/>
      <c r="H670" s="249"/>
      <c r="I670" s="258"/>
      <c r="J670" s="249"/>
      <c r="K670" s="249"/>
      <c r="L670" s="249"/>
      <c r="M670" s="259"/>
      <c r="N670" s="249"/>
      <c r="O670" s="249"/>
      <c r="P670" s="249"/>
      <c r="Q670" s="249"/>
      <c r="R670" s="249"/>
      <c r="S670" s="249"/>
      <c r="T670" s="249"/>
      <c r="U670" s="249"/>
      <c r="V670" s="249"/>
      <c r="W670" s="249"/>
      <c r="X670" s="249"/>
      <c r="Y670" s="249"/>
      <c r="Z670" s="249"/>
    </row>
    <row r="671" spans="1:26" s="152" customFormat="1" x14ac:dyDescent="0.25">
      <c r="A671" s="249"/>
      <c r="B671" s="249"/>
      <c r="C671" s="249"/>
      <c r="D671" s="249"/>
      <c r="E671" s="249"/>
      <c r="F671" s="249"/>
      <c r="G671" s="249"/>
      <c r="H671" s="249"/>
      <c r="I671" s="258"/>
      <c r="J671" s="249"/>
      <c r="K671" s="249"/>
      <c r="L671" s="249"/>
      <c r="M671" s="259"/>
      <c r="N671" s="249"/>
      <c r="O671" s="249"/>
      <c r="P671" s="249"/>
      <c r="Q671" s="249"/>
      <c r="R671" s="249"/>
      <c r="S671" s="249"/>
      <c r="T671" s="249"/>
      <c r="U671" s="249"/>
      <c r="V671" s="249"/>
      <c r="W671" s="249"/>
      <c r="X671" s="249"/>
      <c r="Y671" s="249"/>
      <c r="Z671" s="249"/>
    </row>
    <row r="672" spans="1:26" s="152" customFormat="1" x14ac:dyDescent="0.25">
      <c r="A672" s="249"/>
      <c r="B672" s="249"/>
      <c r="C672" s="249"/>
      <c r="D672" s="249"/>
      <c r="E672" s="249"/>
      <c r="F672" s="249"/>
      <c r="G672" s="249"/>
      <c r="H672" s="249"/>
      <c r="I672" s="258"/>
      <c r="J672" s="249"/>
      <c r="K672" s="249"/>
      <c r="L672" s="249"/>
      <c r="M672" s="259"/>
      <c r="N672" s="249"/>
      <c r="O672" s="249"/>
      <c r="P672" s="249"/>
      <c r="Q672" s="249"/>
      <c r="R672" s="249"/>
      <c r="S672" s="249"/>
      <c r="T672" s="249"/>
      <c r="U672" s="249"/>
      <c r="V672" s="249"/>
      <c r="W672" s="249"/>
      <c r="X672" s="249"/>
      <c r="Y672" s="249"/>
      <c r="Z672" s="249"/>
    </row>
    <row r="673" spans="1:26" s="152" customFormat="1" x14ac:dyDescent="0.25">
      <c r="A673" s="249"/>
      <c r="B673" s="249"/>
      <c r="C673" s="249"/>
      <c r="D673" s="249"/>
      <c r="E673" s="249"/>
      <c r="F673" s="249"/>
      <c r="G673" s="249"/>
      <c r="H673" s="249"/>
      <c r="I673" s="258"/>
      <c r="J673" s="249"/>
      <c r="K673" s="249"/>
      <c r="L673" s="249"/>
      <c r="M673" s="259"/>
      <c r="N673" s="249"/>
      <c r="O673" s="249"/>
      <c r="P673" s="249"/>
      <c r="Q673" s="249"/>
      <c r="R673" s="249"/>
      <c r="S673" s="249"/>
      <c r="T673" s="249"/>
      <c r="U673" s="249"/>
      <c r="V673" s="249"/>
      <c r="W673" s="249"/>
      <c r="X673" s="249"/>
      <c r="Y673" s="249"/>
      <c r="Z673" s="249"/>
    </row>
    <row r="674" spans="1:26" s="152" customFormat="1" x14ac:dyDescent="0.25">
      <c r="A674" s="249"/>
      <c r="B674" s="249"/>
      <c r="C674" s="249"/>
      <c r="D674" s="249"/>
      <c r="E674" s="249"/>
      <c r="F674" s="249"/>
      <c r="G674" s="249"/>
      <c r="H674" s="249"/>
      <c r="I674" s="258"/>
      <c r="J674" s="249"/>
      <c r="K674" s="249"/>
      <c r="L674" s="249"/>
      <c r="M674" s="259"/>
      <c r="N674" s="249"/>
      <c r="O674" s="249"/>
      <c r="P674" s="249"/>
      <c r="Q674" s="249"/>
      <c r="R674" s="249"/>
      <c r="S674" s="249"/>
      <c r="T674" s="249"/>
      <c r="U674" s="249"/>
      <c r="V674" s="249"/>
      <c r="W674" s="249"/>
      <c r="X674" s="249"/>
      <c r="Y674" s="249"/>
      <c r="Z674" s="249"/>
    </row>
    <row r="675" spans="1:26" s="152" customFormat="1" x14ac:dyDescent="0.25">
      <c r="A675" s="249"/>
      <c r="B675" s="249"/>
      <c r="C675" s="249"/>
      <c r="D675" s="249"/>
      <c r="E675" s="249"/>
      <c r="F675" s="249"/>
      <c r="G675" s="249"/>
      <c r="H675" s="249"/>
      <c r="I675" s="258"/>
      <c r="J675" s="249"/>
      <c r="K675" s="249"/>
      <c r="L675" s="249"/>
      <c r="M675" s="259"/>
      <c r="N675" s="249"/>
      <c r="O675" s="249"/>
      <c r="P675" s="249"/>
      <c r="Q675" s="249"/>
      <c r="R675" s="249"/>
      <c r="S675" s="249"/>
      <c r="T675" s="249"/>
      <c r="U675" s="249"/>
      <c r="V675" s="249"/>
      <c r="W675" s="249"/>
      <c r="X675" s="249"/>
      <c r="Y675" s="249"/>
      <c r="Z675" s="249"/>
    </row>
    <row r="676" spans="1:26" s="152" customFormat="1" x14ac:dyDescent="0.25">
      <c r="A676" s="249"/>
      <c r="B676" s="249"/>
      <c r="C676" s="249"/>
      <c r="D676" s="249"/>
      <c r="E676" s="249"/>
      <c r="F676" s="249"/>
      <c r="G676" s="249"/>
      <c r="H676" s="249"/>
      <c r="I676" s="258"/>
      <c r="J676" s="249"/>
      <c r="K676" s="249"/>
      <c r="L676" s="249"/>
      <c r="M676" s="259"/>
      <c r="N676" s="249"/>
      <c r="O676" s="249"/>
      <c r="P676" s="249"/>
      <c r="Q676" s="249"/>
      <c r="R676" s="249"/>
      <c r="S676" s="249"/>
      <c r="T676" s="249"/>
      <c r="U676" s="249"/>
      <c r="V676" s="249"/>
      <c r="W676" s="249"/>
      <c r="X676" s="249"/>
      <c r="Y676" s="249"/>
      <c r="Z676" s="249"/>
    </row>
    <row r="677" spans="1:26" s="152" customFormat="1" x14ac:dyDescent="0.25">
      <c r="A677" s="249"/>
      <c r="B677" s="249"/>
      <c r="C677" s="249"/>
      <c r="D677" s="249"/>
      <c r="E677" s="249"/>
      <c r="F677" s="249"/>
      <c r="G677" s="249"/>
      <c r="H677" s="249"/>
      <c r="I677" s="258"/>
      <c r="J677" s="249"/>
      <c r="K677" s="249"/>
      <c r="L677" s="249"/>
      <c r="M677" s="259"/>
      <c r="N677" s="249"/>
      <c r="O677" s="249"/>
      <c r="P677" s="249"/>
      <c r="Q677" s="249"/>
      <c r="R677" s="249"/>
      <c r="S677" s="249"/>
      <c r="T677" s="249"/>
      <c r="U677" s="249"/>
      <c r="V677" s="249"/>
      <c r="W677" s="249"/>
      <c r="X677" s="249"/>
      <c r="Y677" s="249"/>
      <c r="Z677" s="249"/>
    </row>
    <row r="678" spans="1:26" s="152" customFormat="1" x14ac:dyDescent="0.25">
      <c r="A678" s="249"/>
      <c r="B678" s="249"/>
      <c r="C678" s="249"/>
      <c r="D678" s="249"/>
      <c r="E678" s="249"/>
      <c r="F678" s="249"/>
      <c r="G678" s="249"/>
      <c r="H678" s="249"/>
      <c r="I678" s="258"/>
      <c r="J678" s="249"/>
      <c r="K678" s="249"/>
      <c r="L678" s="249"/>
      <c r="M678" s="259"/>
      <c r="N678" s="249"/>
      <c r="O678" s="249"/>
      <c r="P678" s="249"/>
      <c r="Q678" s="249"/>
      <c r="R678" s="249"/>
      <c r="S678" s="249"/>
      <c r="T678" s="249"/>
      <c r="U678" s="249"/>
      <c r="V678" s="249"/>
      <c r="W678" s="249"/>
      <c r="X678" s="249"/>
      <c r="Y678" s="249"/>
      <c r="Z678" s="249"/>
    </row>
    <row r="679" spans="1:26" s="152" customFormat="1" x14ac:dyDescent="0.25">
      <c r="A679" s="249"/>
      <c r="B679" s="249"/>
      <c r="C679" s="249"/>
      <c r="D679" s="249"/>
      <c r="E679" s="249"/>
      <c r="F679" s="249"/>
      <c r="G679" s="249"/>
      <c r="H679" s="249"/>
      <c r="I679" s="258"/>
      <c r="J679" s="249"/>
      <c r="K679" s="249"/>
      <c r="L679" s="249"/>
      <c r="M679" s="259"/>
      <c r="N679" s="249"/>
      <c r="O679" s="249"/>
      <c r="P679" s="249"/>
      <c r="Q679" s="249"/>
      <c r="R679" s="249"/>
      <c r="S679" s="249"/>
      <c r="T679" s="249"/>
      <c r="U679" s="249"/>
      <c r="V679" s="249"/>
      <c r="W679" s="249"/>
      <c r="X679" s="249"/>
      <c r="Y679" s="249"/>
      <c r="Z679" s="249"/>
    </row>
    <row r="680" spans="1:26" s="152" customFormat="1" x14ac:dyDescent="0.25">
      <c r="A680" s="249"/>
      <c r="B680" s="249"/>
      <c r="C680" s="249"/>
      <c r="D680" s="249"/>
      <c r="E680" s="249"/>
      <c r="F680" s="249"/>
      <c r="G680" s="249"/>
      <c r="H680" s="249"/>
      <c r="I680" s="258"/>
      <c r="J680" s="249"/>
      <c r="K680" s="249"/>
      <c r="L680" s="249"/>
      <c r="M680" s="259"/>
      <c r="N680" s="249"/>
      <c r="O680" s="249"/>
      <c r="P680" s="249"/>
      <c r="Q680" s="249"/>
      <c r="R680" s="249"/>
      <c r="S680" s="249"/>
      <c r="T680" s="249"/>
      <c r="U680" s="249"/>
      <c r="V680" s="249"/>
      <c r="W680" s="249"/>
      <c r="X680" s="249"/>
      <c r="Y680" s="249"/>
      <c r="Z680" s="249"/>
    </row>
    <row r="681" spans="1:26" s="152" customFormat="1" x14ac:dyDescent="0.25">
      <c r="A681" s="249"/>
      <c r="B681" s="249"/>
      <c r="C681" s="249"/>
      <c r="D681" s="249"/>
      <c r="E681" s="249"/>
      <c r="F681" s="249"/>
      <c r="G681" s="249"/>
      <c r="H681" s="249"/>
      <c r="I681" s="258"/>
      <c r="J681" s="249"/>
      <c r="K681" s="249"/>
      <c r="L681" s="249"/>
      <c r="M681" s="259"/>
      <c r="N681" s="249"/>
      <c r="O681" s="249"/>
      <c r="P681" s="249"/>
      <c r="Q681" s="249"/>
      <c r="R681" s="249"/>
      <c r="S681" s="249"/>
      <c r="T681" s="249"/>
      <c r="U681" s="249"/>
      <c r="V681" s="249"/>
      <c r="W681" s="249"/>
      <c r="X681" s="249"/>
      <c r="Y681" s="249"/>
      <c r="Z681" s="249"/>
    </row>
    <row r="682" spans="1:26" s="152" customFormat="1" x14ac:dyDescent="0.25">
      <c r="A682" s="249"/>
      <c r="B682" s="249"/>
      <c r="C682" s="249"/>
      <c r="D682" s="249"/>
      <c r="E682" s="249"/>
      <c r="F682" s="249"/>
      <c r="G682" s="249"/>
      <c r="H682" s="249"/>
      <c r="I682" s="258"/>
      <c r="J682" s="249"/>
      <c r="K682" s="249"/>
      <c r="L682" s="249"/>
      <c r="M682" s="259"/>
      <c r="N682" s="249"/>
      <c r="O682" s="249"/>
      <c r="P682" s="249"/>
      <c r="Q682" s="249"/>
      <c r="R682" s="249"/>
      <c r="S682" s="249"/>
      <c r="T682" s="249"/>
      <c r="U682" s="249"/>
      <c r="V682" s="249"/>
      <c r="W682" s="249"/>
      <c r="X682" s="249"/>
      <c r="Y682" s="249"/>
      <c r="Z682" s="249"/>
    </row>
    <row r="683" spans="1:26" s="152" customFormat="1" x14ac:dyDescent="0.25">
      <c r="A683" s="249"/>
      <c r="B683" s="249"/>
      <c r="C683" s="249"/>
      <c r="D683" s="249"/>
      <c r="E683" s="249"/>
      <c r="F683" s="249"/>
      <c r="G683" s="249"/>
      <c r="H683" s="249"/>
      <c r="I683" s="258"/>
      <c r="J683" s="249"/>
      <c r="K683" s="249"/>
      <c r="L683" s="249"/>
      <c r="M683" s="259"/>
      <c r="N683" s="249"/>
      <c r="O683" s="249"/>
      <c r="P683" s="249"/>
      <c r="Q683" s="249"/>
      <c r="R683" s="249"/>
      <c r="S683" s="249"/>
      <c r="T683" s="249"/>
      <c r="U683" s="249"/>
      <c r="V683" s="249"/>
      <c r="W683" s="249"/>
      <c r="X683" s="249"/>
      <c r="Y683" s="249"/>
      <c r="Z683" s="249"/>
    </row>
    <row r="684" spans="1:26" s="152" customFormat="1" x14ac:dyDescent="0.25">
      <c r="A684" s="249"/>
      <c r="B684" s="249"/>
      <c r="C684" s="249"/>
      <c r="D684" s="249"/>
      <c r="E684" s="249"/>
      <c r="F684" s="249"/>
      <c r="G684" s="249"/>
      <c r="H684" s="249"/>
      <c r="I684" s="258"/>
      <c r="J684" s="249"/>
      <c r="K684" s="249"/>
      <c r="L684" s="249"/>
      <c r="M684" s="259"/>
      <c r="N684" s="249"/>
      <c r="O684" s="249"/>
      <c r="P684" s="249"/>
      <c r="Q684" s="249"/>
      <c r="R684" s="249"/>
      <c r="S684" s="249"/>
      <c r="T684" s="249"/>
      <c r="U684" s="249"/>
      <c r="V684" s="249"/>
      <c r="W684" s="249"/>
      <c r="X684" s="249"/>
      <c r="Y684" s="249"/>
      <c r="Z684" s="249"/>
    </row>
    <row r="685" spans="1:26" s="152" customFormat="1" x14ac:dyDescent="0.25">
      <c r="A685" s="249"/>
      <c r="B685" s="249"/>
      <c r="C685" s="249"/>
      <c r="D685" s="249"/>
      <c r="E685" s="249"/>
      <c r="F685" s="249"/>
      <c r="G685" s="249"/>
      <c r="H685" s="249"/>
      <c r="I685" s="258"/>
      <c r="J685" s="249"/>
      <c r="K685" s="249"/>
      <c r="L685" s="249"/>
      <c r="M685" s="25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</row>
    <row r="686" spans="1:26" s="152" customFormat="1" x14ac:dyDescent="0.25">
      <c r="A686" s="249"/>
      <c r="B686" s="249"/>
      <c r="C686" s="249"/>
      <c r="D686" s="249"/>
      <c r="E686" s="249"/>
      <c r="F686" s="249"/>
      <c r="G686" s="249"/>
      <c r="H686" s="249"/>
      <c r="I686" s="258"/>
      <c r="J686" s="249"/>
      <c r="K686" s="249"/>
      <c r="L686" s="249"/>
      <c r="M686" s="25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9"/>
    </row>
    <row r="687" spans="1:26" s="152" customFormat="1" x14ac:dyDescent="0.25">
      <c r="A687" s="249"/>
      <c r="B687" s="249"/>
      <c r="C687" s="249"/>
      <c r="D687" s="249"/>
      <c r="E687" s="249"/>
      <c r="F687" s="249"/>
      <c r="G687" s="249"/>
      <c r="H687" s="249"/>
      <c r="I687" s="258"/>
      <c r="J687" s="249"/>
      <c r="K687" s="249"/>
      <c r="L687" s="249"/>
      <c r="M687" s="259"/>
      <c r="N687" s="249"/>
      <c r="O687" s="249"/>
      <c r="P687" s="249"/>
      <c r="Q687" s="249"/>
      <c r="R687" s="249"/>
      <c r="S687" s="249"/>
      <c r="T687" s="249"/>
      <c r="U687" s="249"/>
      <c r="V687" s="249"/>
      <c r="W687" s="249"/>
      <c r="X687" s="249"/>
      <c r="Y687" s="249"/>
      <c r="Z687" s="249"/>
    </row>
    <row r="688" spans="1:26" s="152" customFormat="1" x14ac:dyDescent="0.25">
      <c r="A688" s="249"/>
      <c r="B688" s="249"/>
      <c r="C688" s="249"/>
      <c r="D688" s="249"/>
      <c r="E688" s="249"/>
      <c r="F688" s="249"/>
      <c r="G688" s="249"/>
      <c r="H688" s="249"/>
      <c r="I688" s="258"/>
      <c r="J688" s="249"/>
      <c r="K688" s="249"/>
      <c r="L688" s="249"/>
      <c r="M688" s="25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</row>
    <row r="689" spans="1:26" s="152" customFormat="1" x14ac:dyDescent="0.25">
      <c r="A689" s="249"/>
      <c r="B689" s="249"/>
      <c r="C689" s="249"/>
      <c r="D689" s="249"/>
      <c r="E689" s="249"/>
      <c r="F689" s="249"/>
      <c r="G689" s="249"/>
      <c r="H689" s="249"/>
      <c r="I689" s="258"/>
      <c r="J689" s="249"/>
      <c r="K689" s="249"/>
      <c r="L689" s="249"/>
      <c r="M689" s="25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</row>
    <row r="690" spans="1:26" s="152" customFormat="1" x14ac:dyDescent="0.25">
      <c r="A690" s="249"/>
      <c r="B690" s="249"/>
      <c r="C690" s="249"/>
      <c r="D690" s="249"/>
      <c r="E690" s="249"/>
      <c r="F690" s="249"/>
      <c r="G690" s="249"/>
      <c r="H690" s="249"/>
      <c r="I690" s="258"/>
      <c r="J690" s="249"/>
      <c r="K690" s="249"/>
      <c r="L690" s="249"/>
      <c r="M690" s="25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</row>
    <row r="691" spans="1:26" s="152" customFormat="1" x14ac:dyDescent="0.25">
      <c r="A691" s="249"/>
      <c r="B691" s="249"/>
      <c r="C691" s="249"/>
      <c r="D691" s="249"/>
      <c r="E691" s="249"/>
      <c r="F691" s="249"/>
      <c r="G691" s="249"/>
      <c r="H691" s="249"/>
      <c r="I691" s="258"/>
      <c r="J691" s="249"/>
      <c r="K691" s="249"/>
      <c r="L691" s="249"/>
      <c r="M691" s="25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</row>
    <row r="692" spans="1:26" s="152" customFormat="1" x14ac:dyDescent="0.25">
      <c r="A692" s="249"/>
      <c r="B692" s="249"/>
      <c r="C692" s="249"/>
      <c r="D692" s="249"/>
      <c r="E692" s="249"/>
      <c r="F692" s="249"/>
      <c r="G692" s="249"/>
      <c r="H692" s="249"/>
      <c r="I692" s="258"/>
      <c r="J692" s="249"/>
      <c r="K692" s="249"/>
      <c r="L692" s="249"/>
      <c r="M692" s="25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</row>
    <row r="693" spans="1:26" s="152" customFormat="1" x14ac:dyDescent="0.25">
      <c r="A693" s="249"/>
      <c r="B693" s="249"/>
      <c r="C693" s="249"/>
      <c r="D693" s="249"/>
      <c r="E693" s="249"/>
      <c r="F693" s="249"/>
      <c r="G693" s="249"/>
      <c r="H693" s="249"/>
      <c r="I693" s="258"/>
      <c r="J693" s="249"/>
      <c r="K693" s="249"/>
      <c r="L693" s="249"/>
      <c r="M693" s="259"/>
      <c r="N693" s="249"/>
      <c r="O693" s="249"/>
      <c r="P693" s="249"/>
      <c r="Q693" s="249"/>
      <c r="R693" s="249"/>
      <c r="S693" s="249"/>
      <c r="T693" s="249"/>
      <c r="U693" s="249"/>
      <c r="V693" s="249"/>
      <c r="W693" s="249"/>
      <c r="X693" s="249"/>
      <c r="Y693" s="249"/>
      <c r="Z693" s="249"/>
    </row>
    <row r="694" spans="1:26" s="152" customFormat="1" x14ac:dyDescent="0.25">
      <c r="A694" s="249"/>
      <c r="B694" s="249"/>
      <c r="C694" s="249"/>
      <c r="D694" s="249"/>
      <c r="E694" s="249"/>
      <c r="F694" s="249"/>
      <c r="G694" s="249"/>
      <c r="H694" s="249"/>
      <c r="I694" s="258"/>
      <c r="J694" s="249"/>
      <c r="K694" s="249"/>
      <c r="L694" s="249"/>
      <c r="M694" s="25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</row>
    <row r="695" spans="1:26" s="152" customFormat="1" x14ac:dyDescent="0.25">
      <c r="A695" s="249"/>
      <c r="B695" s="249"/>
      <c r="C695" s="249"/>
      <c r="D695" s="249"/>
      <c r="E695" s="249"/>
      <c r="F695" s="249"/>
      <c r="G695" s="249"/>
      <c r="H695" s="249"/>
      <c r="I695" s="258"/>
      <c r="J695" s="249"/>
      <c r="K695" s="249"/>
      <c r="L695" s="249"/>
      <c r="M695" s="25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</row>
    <row r="696" spans="1:26" s="152" customFormat="1" x14ac:dyDescent="0.25">
      <c r="A696" s="249"/>
      <c r="B696" s="249"/>
      <c r="C696" s="249"/>
      <c r="D696" s="249"/>
      <c r="E696" s="249"/>
      <c r="F696" s="249"/>
      <c r="G696" s="249"/>
      <c r="H696" s="249"/>
      <c r="I696" s="258"/>
      <c r="J696" s="249"/>
      <c r="K696" s="249"/>
      <c r="L696" s="249"/>
      <c r="M696" s="25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</row>
    <row r="697" spans="1:26" s="152" customFormat="1" x14ac:dyDescent="0.25">
      <c r="A697" s="249"/>
      <c r="B697" s="249"/>
      <c r="C697" s="249"/>
      <c r="D697" s="249"/>
      <c r="E697" s="249"/>
      <c r="F697" s="249"/>
      <c r="G697" s="249"/>
      <c r="H697" s="249"/>
      <c r="I697" s="258"/>
      <c r="J697" s="249"/>
      <c r="K697" s="249"/>
      <c r="L697" s="249"/>
      <c r="M697" s="259"/>
      <c r="N697" s="249"/>
      <c r="O697" s="249"/>
      <c r="P697" s="249"/>
      <c r="Q697" s="249"/>
      <c r="R697" s="249"/>
      <c r="S697" s="249"/>
      <c r="T697" s="249"/>
      <c r="U697" s="249"/>
      <c r="V697" s="249"/>
      <c r="W697" s="249"/>
      <c r="X697" s="249"/>
      <c r="Y697" s="249"/>
      <c r="Z697" s="249"/>
    </row>
    <row r="698" spans="1:26" s="152" customFormat="1" x14ac:dyDescent="0.25">
      <c r="A698" s="249"/>
      <c r="B698" s="249"/>
      <c r="C698" s="249"/>
      <c r="D698" s="249"/>
      <c r="E698" s="249"/>
      <c r="F698" s="249"/>
      <c r="G698" s="249"/>
      <c r="H698" s="249"/>
      <c r="I698" s="258"/>
      <c r="J698" s="249"/>
      <c r="K698" s="249"/>
      <c r="L698" s="249"/>
      <c r="M698" s="25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</row>
    <row r="699" spans="1:26" s="152" customFormat="1" x14ac:dyDescent="0.25">
      <c r="A699" s="249"/>
      <c r="B699" s="249"/>
      <c r="C699" s="249"/>
      <c r="D699" s="249"/>
      <c r="E699" s="249"/>
      <c r="F699" s="249"/>
      <c r="G699" s="249"/>
      <c r="H699" s="249"/>
      <c r="I699" s="258"/>
      <c r="J699" s="249"/>
      <c r="K699" s="249"/>
      <c r="L699" s="249"/>
      <c r="M699" s="259"/>
      <c r="N699" s="249"/>
      <c r="O699" s="249"/>
      <c r="P699" s="249"/>
      <c r="Q699" s="249"/>
      <c r="R699" s="249"/>
      <c r="S699" s="249"/>
      <c r="T699" s="249"/>
      <c r="U699" s="249"/>
      <c r="V699" s="249"/>
      <c r="W699" s="249"/>
      <c r="X699" s="249"/>
      <c r="Y699" s="249"/>
      <c r="Z699" s="249"/>
    </row>
    <row r="700" spans="1:26" s="152" customFormat="1" x14ac:dyDescent="0.25">
      <c r="A700" s="249"/>
      <c r="B700" s="249"/>
      <c r="C700" s="249"/>
      <c r="D700" s="249"/>
      <c r="E700" s="249"/>
      <c r="F700" s="249"/>
      <c r="G700" s="249"/>
      <c r="H700" s="249"/>
      <c r="I700" s="258"/>
      <c r="J700" s="249"/>
      <c r="K700" s="249"/>
      <c r="L700" s="249"/>
      <c r="M700" s="259"/>
      <c r="N700" s="249"/>
      <c r="O700" s="249"/>
      <c r="P700" s="249"/>
      <c r="Q700" s="249"/>
      <c r="R700" s="249"/>
      <c r="S700" s="249"/>
      <c r="T700" s="249"/>
      <c r="U700" s="249"/>
      <c r="V700" s="249"/>
      <c r="W700" s="249"/>
      <c r="X700" s="249"/>
      <c r="Y700" s="249"/>
      <c r="Z700" s="249"/>
    </row>
    <row r="701" spans="1:26" s="152" customFormat="1" x14ac:dyDescent="0.25">
      <c r="A701" s="249"/>
      <c r="B701" s="249"/>
      <c r="C701" s="249"/>
      <c r="D701" s="249"/>
      <c r="E701" s="249"/>
      <c r="F701" s="249"/>
      <c r="G701" s="249"/>
      <c r="H701" s="249"/>
      <c r="I701" s="258"/>
      <c r="J701" s="249"/>
      <c r="K701" s="249"/>
      <c r="L701" s="249"/>
      <c r="M701" s="259"/>
      <c r="N701" s="249"/>
      <c r="O701" s="249"/>
      <c r="P701" s="249"/>
      <c r="Q701" s="249"/>
      <c r="R701" s="249"/>
      <c r="S701" s="249"/>
      <c r="T701" s="249"/>
      <c r="U701" s="249"/>
      <c r="V701" s="249"/>
      <c r="W701" s="249"/>
      <c r="X701" s="249"/>
      <c r="Y701" s="249"/>
      <c r="Z701" s="249"/>
    </row>
    <row r="702" spans="1:26" s="152" customFormat="1" x14ac:dyDescent="0.25">
      <c r="A702" s="249"/>
      <c r="B702" s="249"/>
      <c r="C702" s="249"/>
      <c r="D702" s="249"/>
      <c r="E702" s="249"/>
      <c r="F702" s="249"/>
      <c r="G702" s="249"/>
      <c r="H702" s="249"/>
      <c r="I702" s="258"/>
      <c r="J702" s="249"/>
      <c r="K702" s="249"/>
      <c r="L702" s="249"/>
      <c r="M702" s="259"/>
      <c r="N702" s="249"/>
      <c r="O702" s="249"/>
      <c r="P702" s="249"/>
      <c r="Q702" s="249"/>
      <c r="R702" s="249"/>
      <c r="S702" s="249"/>
      <c r="T702" s="249"/>
      <c r="U702" s="249"/>
      <c r="V702" s="249"/>
      <c r="W702" s="249"/>
      <c r="X702" s="249"/>
      <c r="Y702" s="249"/>
      <c r="Z702" s="249"/>
    </row>
    <row r="703" spans="1:26" s="152" customFormat="1" x14ac:dyDescent="0.25">
      <c r="A703" s="249"/>
      <c r="B703" s="249"/>
      <c r="C703" s="249"/>
      <c r="D703" s="249"/>
      <c r="E703" s="249"/>
      <c r="F703" s="249"/>
      <c r="G703" s="249"/>
      <c r="H703" s="249"/>
      <c r="I703" s="258"/>
      <c r="J703" s="249"/>
      <c r="K703" s="249"/>
      <c r="L703" s="249"/>
      <c r="M703" s="259"/>
      <c r="N703" s="249"/>
      <c r="O703" s="249"/>
      <c r="P703" s="249"/>
      <c r="Q703" s="249"/>
      <c r="R703" s="249"/>
      <c r="S703" s="249"/>
      <c r="T703" s="249"/>
      <c r="U703" s="249"/>
      <c r="V703" s="249"/>
      <c r="W703" s="249"/>
      <c r="X703" s="249"/>
      <c r="Y703" s="249"/>
      <c r="Z703" s="249"/>
    </row>
    <row r="704" spans="1:26" s="152" customFormat="1" x14ac:dyDescent="0.25">
      <c r="A704" s="249"/>
      <c r="B704" s="249"/>
      <c r="C704" s="249"/>
      <c r="D704" s="249"/>
      <c r="E704" s="249"/>
      <c r="F704" s="249"/>
      <c r="G704" s="249"/>
      <c r="H704" s="249"/>
      <c r="I704" s="258"/>
      <c r="J704" s="249"/>
      <c r="K704" s="249"/>
      <c r="L704" s="249"/>
      <c r="M704" s="259"/>
      <c r="N704" s="249"/>
      <c r="O704" s="249"/>
      <c r="P704" s="249"/>
      <c r="Q704" s="249"/>
      <c r="R704" s="249"/>
      <c r="S704" s="249"/>
      <c r="T704" s="249"/>
      <c r="U704" s="249"/>
      <c r="V704" s="249"/>
      <c r="W704" s="249"/>
      <c r="X704" s="249"/>
      <c r="Y704" s="249"/>
      <c r="Z704" s="249"/>
    </row>
    <row r="705" spans="1:26" s="152" customFormat="1" x14ac:dyDescent="0.25">
      <c r="A705" s="249"/>
      <c r="B705" s="249"/>
      <c r="C705" s="249"/>
      <c r="D705" s="249"/>
      <c r="E705" s="249"/>
      <c r="F705" s="249"/>
      <c r="G705" s="249"/>
      <c r="H705" s="249"/>
      <c r="I705" s="258"/>
      <c r="J705" s="249"/>
      <c r="K705" s="249"/>
      <c r="L705" s="249"/>
      <c r="M705" s="259"/>
      <c r="N705" s="249"/>
      <c r="O705" s="249"/>
      <c r="P705" s="249"/>
      <c r="Q705" s="249"/>
      <c r="R705" s="249"/>
      <c r="S705" s="249"/>
      <c r="T705" s="249"/>
      <c r="U705" s="249"/>
      <c r="V705" s="249"/>
      <c r="W705" s="249"/>
      <c r="X705" s="249"/>
      <c r="Y705" s="249"/>
      <c r="Z705" s="249"/>
    </row>
    <row r="706" spans="1:26" s="152" customFormat="1" x14ac:dyDescent="0.25">
      <c r="A706" s="249"/>
      <c r="B706" s="249"/>
      <c r="C706" s="249"/>
      <c r="D706" s="249"/>
      <c r="E706" s="249"/>
      <c r="F706" s="249"/>
      <c r="G706" s="249"/>
      <c r="H706" s="249"/>
      <c r="I706" s="258"/>
      <c r="J706" s="249"/>
      <c r="K706" s="249"/>
      <c r="L706" s="249"/>
      <c r="M706" s="259"/>
      <c r="N706" s="249"/>
      <c r="O706" s="249"/>
      <c r="P706" s="249"/>
      <c r="Q706" s="249"/>
      <c r="R706" s="249"/>
      <c r="S706" s="249"/>
      <c r="T706" s="249"/>
      <c r="U706" s="249"/>
      <c r="V706" s="249"/>
      <c r="W706" s="249"/>
      <c r="X706" s="249"/>
      <c r="Y706" s="249"/>
      <c r="Z706" s="249"/>
    </row>
    <row r="707" spans="1:26" s="152" customFormat="1" x14ac:dyDescent="0.25">
      <c r="A707" s="249"/>
      <c r="B707" s="249"/>
      <c r="C707" s="249"/>
      <c r="D707" s="249"/>
      <c r="E707" s="249"/>
      <c r="F707" s="249"/>
      <c r="G707" s="249"/>
      <c r="H707" s="249"/>
      <c r="I707" s="258"/>
      <c r="J707" s="249"/>
      <c r="K707" s="249"/>
      <c r="L707" s="249"/>
      <c r="M707" s="259"/>
      <c r="N707" s="249"/>
      <c r="O707" s="249"/>
      <c r="P707" s="249"/>
      <c r="Q707" s="249"/>
      <c r="R707" s="249"/>
      <c r="S707" s="249"/>
      <c r="T707" s="249"/>
      <c r="U707" s="249"/>
      <c r="V707" s="249"/>
      <c r="W707" s="249"/>
      <c r="X707" s="249"/>
      <c r="Y707" s="249"/>
      <c r="Z707" s="249"/>
    </row>
    <row r="708" spans="1:26" s="152" customFormat="1" x14ac:dyDescent="0.25">
      <c r="A708" s="249"/>
      <c r="B708" s="249"/>
      <c r="C708" s="249"/>
      <c r="D708" s="249"/>
      <c r="E708" s="249"/>
      <c r="F708" s="249"/>
      <c r="G708" s="249"/>
      <c r="H708" s="249"/>
      <c r="I708" s="258"/>
      <c r="J708" s="249"/>
      <c r="K708" s="249"/>
      <c r="L708" s="249"/>
      <c r="M708" s="259"/>
      <c r="N708" s="249"/>
      <c r="O708" s="249"/>
      <c r="P708" s="249"/>
      <c r="Q708" s="249"/>
      <c r="R708" s="249"/>
      <c r="S708" s="249"/>
      <c r="T708" s="249"/>
      <c r="U708" s="249"/>
      <c r="V708" s="249"/>
      <c r="W708" s="249"/>
      <c r="X708" s="249"/>
      <c r="Y708" s="249"/>
      <c r="Z708" s="249"/>
    </row>
    <row r="709" spans="1:26" s="152" customFormat="1" x14ac:dyDescent="0.25">
      <c r="A709" s="249"/>
      <c r="B709" s="249"/>
      <c r="C709" s="249"/>
      <c r="D709" s="249"/>
      <c r="E709" s="249"/>
      <c r="F709" s="249"/>
      <c r="G709" s="249"/>
      <c r="H709" s="249"/>
      <c r="I709" s="258"/>
      <c r="J709" s="249"/>
      <c r="K709" s="249"/>
      <c r="L709" s="249"/>
      <c r="M709" s="259"/>
      <c r="N709" s="249"/>
      <c r="O709" s="249"/>
      <c r="P709" s="249"/>
      <c r="Q709" s="249"/>
      <c r="R709" s="249"/>
      <c r="S709" s="249"/>
      <c r="T709" s="249"/>
      <c r="U709" s="249"/>
      <c r="V709" s="249"/>
      <c r="W709" s="249"/>
      <c r="X709" s="249"/>
      <c r="Y709" s="249"/>
      <c r="Z709" s="249"/>
    </row>
    <row r="710" spans="1:26" s="152" customFormat="1" x14ac:dyDescent="0.25">
      <c r="A710" s="249"/>
      <c r="B710" s="249"/>
      <c r="C710" s="249"/>
      <c r="D710" s="249"/>
      <c r="E710" s="249"/>
      <c r="F710" s="249"/>
      <c r="G710" s="249"/>
      <c r="H710" s="249"/>
      <c r="I710" s="258"/>
      <c r="J710" s="249"/>
      <c r="K710" s="249"/>
      <c r="L710" s="249"/>
      <c r="M710" s="259"/>
      <c r="N710" s="249"/>
      <c r="O710" s="249"/>
      <c r="P710" s="249"/>
      <c r="Q710" s="249"/>
      <c r="R710" s="249"/>
      <c r="S710" s="249"/>
      <c r="T710" s="249"/>
      <c r="U710" s="249"/>
      <c r="V710" s="249"/>
      <c r="W710" s="249"/>
      <c r="X710" s="249"/>
      <c r="Y710" s="249"/>
      <c r="Z710" s="249"/>
    </row>
    <row r="711" spans="1:26" s="152" customFormat="1" x14ac:dyDescent="0.25">
      <c r="A711" s="249"/>
      <c r="B711" s="249"/>
      <c r="C711" s="249"/>
      <c r="D711" s="249"/>
      <c r="E711" s="249"/>
      <c r="F711" s="249"/>
      <c r="G711" s="249"/>
      <c r="H711" s="249"/>
      <c r="I711" s="258"/>
      <c r="J711" s="249"/>
      <c r="K711" s="249"/>
      <c r="L711" s="249"/>
      <c r="M711" s="259"/>
      <c r="N711" s="249"/>
      <c r="O711" s="249"/>
      <c r="P711" s="249"/>
      <c r="Q711" s="249"/>
      <c r="R711" s="249"/>
      <c r="S711" s="249"/>
      <c r="T711" s="249"/>
      <c r="U711" s="249"/>
      <c r="V711" s="249"/>
      <c r="W711" s="249"/>
      <c r="X711" s="249"/>
      <c r="Y711" s="249"/>
      <c r="Z711" s="249"/>
    </row>
    <row r="712" spans="1:26" s="152" customFormat="1" x14ac:dyDescent="0.25">
      <c r="A712" s="249"/>
      <c r="B712" s="249"/>
      <c r="C712" s="249"/>
      <c r="D712" s="249"/>
      <c r="E712" s="249"/>
      <c r="F712" s="249"/>
      <c r="G712" s="249"/>
      <c r="H712" s="249"/>
      <c r="I712" s="258"/>
      <c r="J712" s="249"/>
      <c r="K712" s="249"/>
      <c r="L712" s="249"/>
      <c r="M712" s="259"/>
      <c r="N712" s="249"/>
      <c r="O712" s="249"/>
      <c r="P712" s="249"/>
      <c r="Q712" s="249"/>
      <c r="R712" s="249"/>
      <c r="S712" s="249"/>
      <c r="T712" s="249"/>
      <c r="U712" s="249"/>
      <c r="V712" s="249"/>
      <c r="W712" s="249"/>
      <c r="X712" s="249"/>
      <c r="Y712" s="249"/>
      <c r="Z712" s="249"/>
    </row>
    <row r="713" spans="1:26" s="152" customFormat="1" x14ac:dyDescent="0.25">
      <c r="A713" s="249"/>
      <c r="B713" s="249"/>
      <c r="C713" s="249"/>
      <c r="D713" s="249"/>
      <c r="E713" s="249"/>
      <c r="F713" s="249"/>
      <c r="G713" s="249"/>
      <c r="H713" s="249"/>
      <c r="I713" s="258"/>
      <c r="J713" s="249"/>
      <c r="K713" s="249"/>
      <c r="L713" s="249"/>
      <c r="M713" s="259"/>
      <c r="N713" s="249"/>
      <c r="O713" s="249"/>
      <c r="P713" s="249"/>
      <c r="Q713" s="249"/>
      <c r="R713" s="249"/>
      <c r="S713" s="249"/>
      <c r="T713" s="249"/>
      <c r="U713" s="249"/>
      <c r="V713" s="249"/>
      <c r="W713" s="249"/>
      <c r="X713" s="249"/>
      <c r="Y713" s="249"/>
      <c r="Z713" s="249"/>
    </row>
    <row r="714" spans="1:26" s="152" customFormat="1" x14ac:dyDescent="0.25">
      <c r="A714" s="249"/>
      <c r="B714" s="249"/>
      <c r="C714" s="249"/>
      <c r="D714" s="249"/>
      <c r="E714" s="249"/>
      <c r="F714" s="249"/>
      <c r="G714" s="249"/>
      <c r="H714" s="249"/>
      <c r="I714" s="258"/>
      <c r="J714" s="249"/>
      <c r="K714" s="249"/>
      <c r="L714" s="249"/>
      <c r="M714" s="259"/>
      <c r="N714" s="249"/>
      <c r="O714" s="249"/>
      <c r="P714" s="249"/>
      <c r="Q714" s="249"/>
      <c r="R714" s="249"/>
      <c r="S714" s="249"/>
      <c r="T714" s="249"/>
      <c r="U714" s="249"/>
      <c r="V714" s="249"/>
      <c r="W714" s="249"/>
      <c r="X714" s="249"/>
      <c r="Y714" s="249"/>
      <c r="Z714" s="249"/>
    </row>
    <row r="715" spans="1:26" s="152" customFormat="1" x14ac:dyDescent="0.25">
      <c r="A715" s="249"/>
      <c r="B715" s="249"/>
      <c r="C715" s="249"/>
      <c r="D715" s="249"/>
      <c r="E715" s="249"/>
      <c r="F715" s="249"/>
      <c r="G715" s="249"/>
      <c r="H715" s="249"/>
      <c r="I715" s="258"/>
      <c r="J715" s="249"/>
      <c r="K715" s="249"/>
      <c r="L715" s="249"/>
      <c r="M715" s="259"/>
      <c r="N715" s="249"/>
      <c r="O715" s="249"/>
      <c r="P715" s="249"/>
      <c r="Q715" s="249"/>
      <c r="R715" s="249"/>
      <c r="S715" s="249"/>
      <c r="T715" s="249"/>
      <c r="U715" s="249"/>
      <c r="V715" s="249"/>
      <c r="W715" s="249"/>
      <c r="X715" s="249"/>
      <c r="Y715" s="249"/>
      <c r="Z715" s="249"/>
    </row>
    <row r="716" spans="1:26" s="152" customFormat="1" x14ac:dyDescent="0.25">
      <c r="A716" s="249"/>
      <c r="B716" s="249"/>
      <c r="C716" s="249"/>
      <c r="D716" s="249"/>
      <c r="E716" s="249"/>
      <c r="F716" s="249"/>
      <c r="G716" s="249"/>
      <c r="H716" s="249"/>
      <c r="I716" s="258"/>
      <c r="J716" s="249"/>
      <c r="K716" s="249"/>
      <c r="L716" s="249"/>
      <c r="M716" s="259"/>
      <c r="N716" s="249"/>
      <c r="O716" s="249"/>
      <c r="P716" s="249"/>
      <c r="Q716" s="249"/>
      <c r="R716" s="249"/>
      <c r="S716" s="249"/>
      <c r="T716" s="249"/>
      <c r="U716" s="249"/>
      <c r="V716" s="249"/>
      <c r="W716" s="249"/>
      <c r="X716" s="249"/>
      <c r="Y716" s="249"/>
      <c r="Z716" s="249"/>
    </row>
    <row r="717" spans="1:26" s="152" customFormat="1" x14ac:dyDescent="0.25">
      <c r="A717" s="249"/>
      <c r="B717" s="249"/>
      <c r="C717" s="249"/>
      <c r="D717" s="249"/>
      <c r="E717" s="249"/>
      <c r="F717" s="249"/>
      <c r="G717" s="249"/>
      <c r="H717" s="249"/>
      <c r="I717" s="258"/>
      <c r="J717" s="249"/>
      <c r="K717" s="249"/>
      <c r="L717" s="249"/>
      <c r="M717" s="259"/>
      <c r="N717" s="249"/>
      <c r="O717" s="249"/>
      <c r="P717" s="249"/>
      <c r="Q717" s="249"/>
      <c r="R717" s="249"/>
      <c r="S717" s="249"/>
      <c r="T717" s="249"/>
      <c r="U717" s="249"/>
      <c r="V717" s="249"/>
      <c r="W717" s="249"/>
      <c r="X717" s="249"/>
      <c r="Y717" s="249"/>
      <c r="Z717" s="249"/>
    </row>
    <row r="718" spans="1:26" s="152" customFormat="1" x14ac:dyDescent="0.25">
      <c r="A718" s="249"/>
      <c r="B718" s="249"/>
      <c r="C718" s="249"/>
      <c r="D718" s="249"/>
      <c r="E718" s="249"/>
      <c r="F718" s="249"/>
      <c r="G718" s="249"/>
      <c r="H718" s="249"/>
      <c r="I718" s="258"/>
      <c r="J718" s="249"/>
      <c r="K718" s="249"/>
      <c r="L718" s="249"/>
      <c r="M718" s="25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</row>
    <row r="719" spans="1:26" s="152" customFormat="1" x14ac:dyDescent="0.25">
      <c r="A719" s="249"/>
      <c r="B719" s="249"/>
      <c r="C719" s="249"/>
      <c r="D719" s="249"/>
      <c r="E719" s="249"/>
      <c r="F719" s="249"/>
      <c r="G719" s="249"/>
      <c r="H719" s="249"/>
      <c r="I719" s="258"/>
      <c r="J719" s="249"/>
      <c r="K719" s="249"/>
      <c r="L719" s="249"/>
      <c r="M719" s="25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9"/>
    </row>
    <row r="720" spans="1:26" s="152" customFormat="1" x14ac:dyDescent="0.25">
      <c r="A720" s="249"/>
      <c r="B720" s="249"/>
      <c r="C720" s="249"/>
      <c r="D720" s="249"/>
      <c r="E720" s="249"/>
      <c r="F720" s="249"/>
      <c r="G720" s="249"/>
      <c r="H720" s="249"/>
      <c r="I720" s="258"/>
      <c r="J720" s="249"/>
      <c r="K720" s="249"/>
      <c r="L720" s="249"/>
      <c r="M720" s="259"/>
      <c r="N720" s="249"/>
      <c r="O720" s="249"/>
      <c r="P720" s="249"/>
      <c r="Q720" s="249"/>
      <c r="R720" s="249"/>
      <c r="S720" s="249"/>
      <c r="T720" s="249"/>
      <c r="U720" s="249"/>
      <c r="V720" s="249"/>
      <c r="W720" s="249"/>
      <c r="X720" s="249"/>
      <c r="Y720" s="249"/>
      <c r="Z720" s="249"/>
    </row>
    <row r="721" spans="1:26" s="152" customFormat="1" x14ac:dyDescent="0.25">
      <c r="A721" s="249"/>
      <c r="B721" s="249"/>
      <c r="C721" s="249"/>
      <c r="D721" s="249"/>
      <c r="E721" s="249"/>
      <c r="F721" s="249"/>
      <c r="G721" s="249"/>
      <c r="H721" s="249"/>
      <c r="I721" s="258"/>
      <c r="J721" s="249"/>
      <c r="K721" s="249"/>
      <c r="L721" s="249"/>
      <c r="M721" s="25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</row>
    <row r="722" spans="1:26" s="152" customFormat="1" x14ac:dyDescent="0.25">
      <c r="A722" s="249"/>
      <c r="B722" s="249"/>
      <c r="C722" s="249"/>
      <c r="D722" s="249"/>
      <c r="E722" s="249"/>
      <c r="F722" s="249"/>
      <c r="G722" s="249"/>
      <c r="H722" s="249"/>
      <c r="I722" s="258"/>
      <c r="J722" s="249"/>
      <c r="K722" s="249"/>
      <c r="L722" s="249"/>
      <c r="M722" s="25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</row>
    <row r="723" spans="1:26" s="152" customFormat="1" x14ac:dyDescent="0.25">
      <c r="A723" s="249"/>
      <c r="B723" s="249"/>
      <c r="C723" s="249"/>
      <c r="D723" s="249"/>
      <c r="E723" s="249"/>
      <c r="F723" s="249"/>
      <c r="G723" s="249"/>
      <c r="H723" s="249"/>
      <c r="I723" s="258"/>
      <c r="J723" s="249"/>
      <c r="K723" s="249"/>
      <c r="L723" s="249"/>
      <c r="M723" s="25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</row>
    <row r="724" spans="1:26" s="152" customFormat="1" x14ac:dyDescent="0.25">
      <c r="A724" s="249"/>
      <c r="B724" s="249"/>
      <c r="C724" s="249"/>
      <c r="D724" s="249"/>
      <c r="E724" s="249"/>
      <c r="F724" s="249"/>
      <c r="G724" s="249"/>
      <c r="H724" s="249"/>
      <c r="I724" s="258"/>
      <c r="J724" s="249"/>
      <c r="K724" s="249"/>
      <c r="L724" s="249"/>
      <c r="M724" s="25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</row>
    <row r="725" spans="1:26" s="152" customFormat="1" x14ac:dyDescent="0.25">
      <c r="A725" s="249"/>
      <c r="B725" s="249"/>
      <c r="C725" s="249"/>
      <c r="D725" s="249"/>
      <c r="E725" s="249"/>
      <c r="F725" s="249"/>
      <c r="G725" s="249"/>
      <c r="H725" s="249"/>
      <c r="I725" s="258"/>
      <c r="J725" s="249"/>
      <c r="K725" s="249"/>
      <c r="L725" s="249"/>
      <c r="M725" s="25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</row>
    <row r="726" spans="1:26" s="152" customFormat="1" x14ac:dyDescent="0.25">
      <c r="A726" s="249"/>
      <c r="B726" s="249"/>
      <c r="C726" s="249"/>
      <c r="D726" s="249"/>
      <c r="E726" s="249"/>
      <c r="F726" s="249"/>
      <c r="G726" s="249"/>
      <c r="H726" s="249"/>
      <c r="I726" s="258"/>
      <c r="J726" s="249"/>
      <c r="K726" s="249"/>
      <c r="L726" s="249"/>
      <c r="M726" s="259"/>
      <c r="N726" s="249"/>
      <c r="O726" s="249"/>
      <c r="P726" s="249"/>
      <c r="Q726" s="249"/>
      <c r="R726" s="249"/>
      <c r="S726" s="249"/>
      <c r="T726" s="249"/>
      <c r="U726" s="249"/>
      <c r="V726" s="249"/>
      <c r="W726" s="249"/>
      <c r="X726" s="249"/>
      <c r="Y726" s="249"/>
      <c r="Z726" s="249"/>
    </row>
    <row r="727" spans="1:26" s="152" customFormat="1" x14ac:dyDescent="0.25">
      <c r="A727" s="249"/>
      <c r="B727" s="249"/>
      <c r="C727" s="249"/>
      <c r="D727" s="249"/>
      <c r="E727" s="249"/>
      <c r="F727" s="249"/>
      <c r="G727" s="249"/>
      <c r="H727" s="249"/>
      <c r="I727" s="258"/>
      <c r="J727" s="249"/>
      <c r="K727" s="249"/>
      <c r="L727" s="249"/>
      <c r="M727" s="25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</row>
    <row r="728" spans="1:26" s="152" customFormat="1" x14ac:dyDescent="0.25">
      <c r="A728" s="249"/>
      <c r="B728" s="249"/>
      <c r="C728" s="249"/>
      <c r="D728" s="249"/>
      <c r="E728" s="249"/>
      <c r="F728" s="249"/>
      <c r="G728" s="249"/>
      <c r="H728" s="249"/>
      <c r="I728" s="258"/>
      <c r="J728" s="249"/>
      <c r="K728" s="249"/>
      <c r="L728" s="249"/>
      <c r="M728" s="25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</row>
    <row r="729" spans="1:26" s="152" customFormat="1" x14ac:dyDescent="0.25">
      <c r="A729" s="249"/>
      <c r="B729" s="249"/>
      <c r="C729" s="249"/>
      <c r="D729" s="249"/>
      <c r="E729" s="249"/>
      <c r="F729" s="249"/>
      <c r="G729" s="249"/>
      <c r="H729" s="249"/>
      <c r="I729" s="258"/>
      <c r="J729" s="249"/>
      <c r="K729" s="249"/>
      <c r="L729" s="249"/>
      <c r="M729" s="25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</row>
    <row r="730" spans="1:26" s="152" customFormat="1" x14ac:dyDescent="0.25">
      <c r="A730" s="249"/>
      <c r="B730" s="249"/>
      <c r="C730" s="249"/>
      <c r="D730" s="249"/>
      <c r="E730" s="249"/>
      <c r="F730" s="249"/>
      <c r="G730" s="249"/>
      <c r="H730" s="249"/>
      <c r="I730" s="258"/>
      <c r="J730" s="249"/>
      <c r="K730" s="249"/>
      <c r="L730" s="249"/>
      <c r="M730" s="259"/>
      <c r="N730" s="249"/>
      <c r="O730" s="249"/>
      <c r="P730" s="249"/>
      <c r="Q730" s="249"/>
      <c r="R730" s="249"/>
      <c r="S730" s="249"/>
      <c r="T730" s="249"/>
      <c r="U730" s="249"/>
      <c r="V730" s="249"/>
      <c r="W730" s="249"/>
      <c r="X730" s="249"/>
      <c r="Y730" s="249"/>
      <c r="Z730" s="249"/>
    </row>
    <row r="731" spans="1:26" s="152" customFormat="1" x14ac:dyDescent="0.25">
      <c r="A731" s="249"/>
      <c r="B731" s="249"/>
      <c r="C731" s="249"/>
      <c r="D731" s="249"/>
      <c r="E731" s="249"/>
      <c r="F731" s="249"/>
      <c r="G731" s="249"/>
      <c r="H731" s="249"/>
      <c r="I731" s="258"/>
      <c r="J731" s="249"/>
      <c r="K731" s="249"/>
      <c r="L731" s="249"/>
      <c r="M731" s="25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</row>
    <row r="732" spans="1:26" s="152" customFormat="1" x14ac:dyDescent="0.25">
      <c r="A732" s="249"/>
      <c r="B732" s="249"/>
      <c r="C732" s="249"/>
      <c r="D732" s="249"/>
      <c r="E732" s="249"/>
      <c r="F732" s="249"/>
      <c r="G732" s="249"/>
      <c r="H732" s="249"/>
      <c r="I732" s="258"/>
      <c r="J732" s="249"/>
      <c r="K732" s="249"/>
      <c r="L732" s="249"/>
      <c r="M732" s="259"/>
      <c r="N732" s="249"/>
      <c r="O732" s="249"/>
      <c r="P732" s="249"/>
      <c r="Q732" s="249"/>
      <c r="R732" s="249"/>
      <c r="S732" s="249"/>
      <c r="T732" s="249"/>
      <c r="U732" s="249"/>
      <c r="V732" s="249"/>
      <c r="W732" s="249"/>
      <c r="X732" s="249"/>
      <c r="Y732" s="249"/>
      <c r="Z732" s="249"/>
    </row>
    <row r="733" spans="1:26" s="152" customFormat="1" x14ac:dyDescent="0.25">
      <c r="A733" s="249"/>
      <c r="B733" s="249"/>
      <c r="C733" s="249"/>
      <c r="D733" s="249"/>
      <c r="E733" s="249"/>
      <c r="F733" s="249"/>
      <c r="G733" s="249"/>
      <c r="H733" s="249"/>
      <c r="I733" s="258"/>
      <c r="J733" s="249"/>
      <c r="K733" s="249"/>
      <c r="L733" s="249"/>
      <c r="M733" s="259"/>
      <c r="N733" s="249"/>
      <c r="O733" s="249"/>
      <c r="P733" s="249"/>
      <c r="Q733" s="249"/>
      <c r="R733" s="249"/>
      <c r="S733" s="249"/>
      <c r="T733" s="249"/>
      <c r="U733" s="249"/>
      <c r="V733" s="249"/>
      <c r="W733" s="249"/>
      <c r="X733" s="249"/>
      <c r="Y733" s="249"/>
      <c r="Z733" s="249"/>
    </row>
    <row r="734" spans="1:26" s="152" customFormat="1" x14ac:dyDescent="0.25">
      <c r="A734" s="249"/>
      <c r="B734" s="249"/>
      <c r="C734" s="249"/>
      <c r="D734" s="249"/>
      <c r="E734" s="249"/>
      <c r="F734" s="249"/>
      <c r="G734" s="249"/>
      <c r="H734" s="249"/>
      <c r="I734" s="258"/>
      <c r="J734" s="249"/>
      <c r="K734" s="249"/>
      <c r="L734" s="249"/>
      <c r="M734" s="259"/>
      <c r="N734" s="249"/>
      <c r="O734" s="249"/>
      <c r="P734" s="249"/>
      <c r="Q734" s="249"/>
      <c r="R734" s="249"/>
      <c r="S734" s="249"/>
      <c r="T734" s="249"/>
      <c r="U734" s="249"/>
      <c r="V734" s="249"/>
      <c r="W734" s="249"/>
      <c r="X734" s="249"/>
      <c r="Y734" s="249"/>
      <c r="Z734" s="249"/>
    </row>
    <row r="735" spans="1:26" s="152" customFormat="1" x14ac:dyDescent="0.25">
      <c r="A735" s="249"/>
      <c r="B735" s="249"/>
      <c r="C735" s="249"/>
      <c r="D735" s="249"/>
      <c r="E735" s="249"/>
      <c r="F735" s="249"/>
      <c r="G735" s="249"/>
      <c r="H735" s="249"/>
      <c r="I735" s="258"/>
      <c r="J735" s="249"/>
      <c r="K735" s="249"/>
      <c r="L735" s="249"/>
      <c r="M735" s="259"/>
      <c r="N735" s="249"/>
      <c r="O735" s="249"/>
      <c r="P735" s="249"/>
      <c r="Q735" s="249"/>
      <c r="R735" s="249"/>
      <c r="S735" s="249"/>
      <c r="T735" s="249"/>
      <c r="U735" s="249"/>
      <c r="V735" s="249"/>
      <c r="W735" s="249"/>
      <c r="X735" s="249"/>
      <c r="Y735" s="249"/>
      <c r="Z735" s="249"/>
    </row>
    <row r="736" spans="1:26" s="152" customFormat="1" x14ac:dyDescent="0.25">
      <c r="A736" s="249"/>
      <c r="B736" s="249"/>
      <c r="C736" s="249"/>
      <c r="D736" s="249"/>
      <c r="E736" s="249"/>
      <c r="F736" s="249"/>
      <c r="G736" s="249"/>
      <c r="H736" s="249"/>
      <c r="I736" s="258"/>
      <c r="J736" s="249"/>
      <c r="K736" s="249"/>
      <c r="L736" s="249"/>
      <c r="M736" s="259"/>
      <c r="N736" s="249"/>
      <c r="O736" s="249"/>
      <c r="P736" s="249"/>
      <c r="Q736" s="249"/>
      <c r="R736" s="249"/>
      <c r="S736" s="249"/>
      <c r="T736" s="249"/>
      <c r="U736" s="249"/>
      <c r="V736" s="249"/>
      <c r="W736" s="249"/>
      <c r="X736" s="249"/>
      <c r="Y736" s="249"/>
      <c r="Z736" s="249"/>
    </row>
    <row r="737" spans="1:26" s="152" customFormat="1" x14ac:dyDescent="0.25">
      <c r="A737" s="249"/>
      <c r="B737" s="249"/>
      <c r="C737" s="249"/>
      <c r="D737" s="249"/>
      <c r="E737" s="249"/>
      <c r="F737" s="249"/>
      <c r="G737" s="249"/>
      <c r="H737" s="249"/>
      <c r="I737" s="258"/>
      <c r="J737" s="249"/>
      <c r="K737" s="249"/>
      <c r="L737" s="249"/>
      <c r="M737" s="259"/>
      <c r="N737" s="249"/>
      <c r="O737" s="249"/>
      <c r="P737" s="249"/>
      <c r="Q737" s="249"/>
      <c r="R737" s="249"/>
      <c r="S737" s="249"/>
      <c r="T737" s="249"/>
      <c r="U737" s="249"/>
      <c r="V737" s="249"/>
      <c r="W737" s="249"/>
      <c r="X737" s="249"/>
      <c r="Y737" s="249"/>
      <c r="Z737" s="249"/>
    </row>
    <row r="738" spans="1:26" s="152" customFormat="1" x14ac:dyDescent="0.25">
      <c r="A738" s="249"/>
      <c r="B738" s="249"/>
      <c r="C738" s="249"/>
      <c r="D738" s="249"/>
      <c r="E738" s="249"/>
      <c r="F738" s="249"/>
      <c r="G738" s="249"/>
      <c r="H738" s="249"/>
      <c r="I738" s="258"/>
      <c r="J738" s="249"/>
      <c r="K738" s="249"/>
      <c r="L738" s="249"/>
      <c r="M738" s="259"/>
      <c r="N738" s="249"/>
      <c r="O738" s="249"/>
      <c r="P738" s="249"/>
      <c r="Q738" s="249"/>
      <c r="R738" s="249"/>
      <c r="S738" s="249"/>
      <c r="T738" s="249"/>
      <c r="U738" s="249"/>
      <c r="V738" s="249"/>
      <c r="W738" s="249"/>
      <c r="X738" s="249"/>
      <c r="Y738" s="249"/>
      <c r="Z738" s="249"/>
    </row>
    <row r="739" spans="1:26" s="152" customFormat="1" x14ac:dyDescent="0.25">
      <c r="A739" s="249"/>
      <c r="B739" s="249"/>
      <c r="C739" s="249"/>
      <c r="D739" s="249"/>
      <c r="E739" s="249"/>
      <c r="F739" s="249"/>
      <c r="G739" s="249"/>
      <c r="H739" s="249"/>
      <c r="I739" s="258"/>
      <c r="J739" s="249"/>
      <c r="K739" s="249"/>
      <c r="L739" s="249"/>
      <c r="M739" s="259"/>
      <c r="N739" s="249"/>
      <c r="O739" s="249"/>
      <c r="P739" s="249"/>
      <c r="Q739" s="249"/>
      <c r="R739" s="249"/>
      <c r="S739" s="249"/>
      <c r="T739" s="249"/>
      <c r="U739" s="249"/>
      <c r="V739" s="249"/>
      <c r="W739" s="249"/>
      <c r="X739" s="249"/>
      <c r="Y739" s="249"/>
      <c r="Z739" s="249"/>
    </row>
    <row r="740" spans="1:26" s="152" customFormat="1" x14ac:dyDescent="0.25">
      <c r="A740" s="249"/>
      <c r="B740" s="249"/>
      <c r="C740" s="249"/>
      <c r="D740" s="249"/>
      <c r="E740" s="249"/>
      <c r="F740" s="249"/>
      <c r="G740" s="249"/>
      <c r="H740" s="249"/>
      <c r="I740" s="258"/>
      <c r="J740" s="249"/>
      <c r="K740" s="249"/>
      <c r="L740" s="249"/>
      <c r="M740" s="259"/>
      <c r="N740" s="249"/>
      <c r="O740" s="249"/>
      <c r="P740" s="249"/>
      <c r="Q740" s="249"/>
      <c r="R740" s="249"/>
      <c r="S740" s="249"/>
      <c r="T740" s="249"/>
      <c r="U740" s="249"/>
      <c r="V740" s="249"/>
      <c r="W740" s="249"/>
      <c r="X740" s="249"/>
      <c r="Y740" s="249"/>
      <c r="Z740" s="249"/>
    </row>
    <row r="741" spans="1:26" s="152" customFormat="1" x14ac:dyDescent="0.25">
      <c r="A741" s="249"/>
      <c r="B741" s="249"/>
      <c r="C741" s="249"/>
      <c r="D741" s="249"/>
      <c r="E741" s="249"/>
      <c r="F741" s="249"/>
      <c r="G741" s="249"/>
      <c r="H741" s="249"/>
      <c r="I741" s="258"/>
      <c r="J741" s="249"/>
      <c r="K741" s="249"/>
      <c r="L741" s="249"/>
      <c r="M741" s="259"/>
      <c r="N741" s="249"/>
      <c r="O741" s="249"/>
      <c r="P741" s="249"/>
      <c r="Q741" s="249"/>
      <c r="R741" s="249"/>
      <c r="S741" s="249"/>
      <c r="T741" s="249"/>
      <c r="U741" s="249"/>
      <c r="V741" s="249"/>
      <c r="W741" s="249"/>
      <c r="X741" s="249"/>
      <c r="Y741" s="249"/>
      <c r="Z741" s="249"/>
    </row>
    <row r="742" spans="1:26" s="152" customFormat="1" x14ac:dyDescent="0.25">
      <c r="A742" s="249"/>
      <c r="B742" s="249"/>
      <c r="C742" s="249"/>
      <c r="D742" s="249"/>
      <c r="E742" s="249"/>
      <c r="F742" s="249"/>
      <c r="G742" s="249"/>
      <c r="H742" s="249"/>
      <c r="I742" s="258"/>
      <c r="J742" s="249"/>
      <c r="K742" s="249"/>
      <c r="L742" s="249"/>
      <c r="M742" s="259"/>
      <c r="N742" s="249"/>
      <c r="O742" s="249"/>
      <c r="P742" s="249"/>
      <c r="Q742" s="249"/>
      <c r="R742" s="249"/>
      <c r="S742" s="249"/>
      <c r="T742" s="249"/>
      <c r="U742" s="249"/>
      <c r="V742" s="249"/>
      <c r="W742" s="249"/>
      <c r="X742" s="249"/>
      <c r="Y742" s="249"/>
      <c r="Z742" s="249"/>
    </row>
    <row r="743" spans="1:26" s="152" customFormat="1" x14ac:dyDescent="0.25">
      <c r="A743" s="249"/>
      <c r="B743" s="249"/>
      <c r="C743" s="249"/>
      <c r="D743" s="249"/>
      <c r="E743" s="249"/>
      <c r="F743" s="249"/>
      <c r="G743" s="249"/>
      <c r="H743" s="249"/>
      <c r="I743" s="258"/>
      <c r="J743" s="249"/>
      <c r="K743" s="249"/>
      <c r="L743" s="249"/>
      <c r="M743" s="259"/>
      <c r="N743" s="249"/>
      <c r="O743" s="249"/>
      <c r="P743" s="249"/>
      <c r="Q743" s="249"/>
      <c r="R743" s="249"/>
      <c r="S743" s="249"/>
      <c r="T743" s="249"/>
      <c r="U743" s="249"/>
      <c r="V743" s="249"/>
      <c r="W743" s="249"/>
      <c r="X743" s="249"/>
      <c r="Y743" s="249"/>
      <c r="Z743" s="249"/>
    </row>
    <row r="744" spans="1:26" s="152" customFormat="1" x14ac:dyDescent="0.25">
      <c r="A744" s="249"/>
      <c r="B744" s="249"/>
      <c r="C744" s="249"/>
      <c r="D744" s="249"/>
      <c r="E744" s="249"/>
      <c r="F744" s="249"/>
      <c r="G744" s="249"/>
      <c r="H744" s="249"/>
      <c r="I744" s="258"/>
      <c r="J744" s="249"/>
      <c r="K744" s="249"/>
      <c r="L744" s="249"/>
      <c r="M744" s="259"/>
      <c r="N744" s="249"/>
      <c r="O744" s="249"/>
      <c r="P744" s="249"/>
      <c r="Q744" s="249"/>
      <c r="R744" s="249"/>
      <c r="S744" s="249"/>
      <c r="T744" s="249"/>
      <c r="U744" s="249"/>
      <c r="V744" s="249"/>
      <c r="W744" s="249"/>
      <c r="X744" s="249"/>
      <c r="Y744" s="249"/>
      <c r="Z744" s="249"/>
    </row>
    <row r="745" spans="1:26" s="152" customFormat="1" x14ac:dyDescent="0.25">
      <c r="A745" s="249"/>
      <c r="B745" s="249"/>
      <c r="C745" s="249"/>
      <c r="D745" s="249"/>
      <c r="E745" s="249"/>
      <c r="F745" s="249"/>
      <c r="G745" s="249"/>
      <c r="H745" s="249"/>
      <c r="I745" s="258"/>
      <c r="J745" s="249"/>
      <c r="K745" s="249"/>
      <c r="L745" s="249"/>
      <c r="M745" s="259"/>
      <c r="N745" s="249"/>
      <c r="O745" s="249"/>
      <c r="P745" s="249"/>
      <c r="Q745" s="249"/>
      <c r="R745" s="249"/>
      <c r="S745" s="249"/>
      <c r="T745" s="249"/>
      <c r="U745" s="249"/>
      <c r="V745" s="249"/>
      <c r="W745" s="249"/>
      <c r="X745" s="249"/>
      <c r="Y745" s="249"/>
      <c r="Z745" s="249"/>
    </row>
    <row r="746" spans="1:26" s="152" customFormat="1" x14ac:dyDescent="0.25">
      <c r="A746" s="249"/>
      <c r="B746" s="249"/>
      <c r="C746" s="249"/>
      <c r="D746" s="249"/>
      <c r="E746" s="249"/>
      <c r="F746" s="249"/>
      <c r="G746" s="249"/>
      <c r="H746" s="249"/>
      <c r="I746" s="258"/>
      <c r="J746" s="249"/>
      <c r="K746" s="249"/>
      <c r="L746" s="249"/>
      <c r="M746" s="259"/>
      <c r="N746" s="249"/>
      <c r="O746" s="249"/>
      <c r="P746" s="249"/>
      <c r="Q746" s="249"/>
      <c r="R746" s="249"/>
      <c r="S746" s="249"/>
      <c r="T746" s="249"/>
      <c r="U746" s="249"/>
      <c r="V746" s="249"/>
      <c r="W746" s="249"/>
      <c r="X746" s="249"/>
      <c r="Y746" s="249"/>
      <c r="Z746" s="249"/>
    </row>
    <row r="747" spans="1:26" s="152" customFormat="1" x14ac:dyDescent="0.25">
      <c r="A747" s="249"/>
      <c r="B747" s="249"/>
      <c r="C747" s="249"/>
      <c r="D747" s="249"/>
      <c r="E747" s="249"/>
      <c r="F747" s="249"/>
      <c r="G747" s="249"/>
      <c r="H747" s="249"/>
      <c r="I747" s="258"/>
      <c r="J747" s="249"/>
      <c r="K747" s="249"/>
      <c r="L747" s="249"/>
      <c r="M747" s="259"/>
      <c r="N747" s="249"/>
      <c r="O747" s="249"/>
      <c r="P747" s="249"/>
      <c r="Q747" s="249"/>
      <c r="R747" s="249"/>
      <c r="S747" s="249"/>
      <c r="T747" s="249"/>
      <c r="U747" s="249"/>
      <c r="V747" s="249"/>
      <c r="W747" s="249"/>
      <c r="X747" s="249"/>
      <c r="Y747" s="249"/>
      <c r="Z747" s="249"/>
    </row>
    <row r="748" spans="1:26" s="152" customFormat="1" x14ac:dyDescent="0.25">
      <c r="A748" s="249"/>
      <c r="B748" s="249"/>
      <c r="C748" s="249"/>
      <c r="D748" s="249"/>
      <c r="E748" s="249"/>
      <c r="F748" s="249"/>
      <c r="G748" s="249"/>
      <c r="H748" s="249"/>
      <c r="I748" s="258"/>
      <c r="J748" s="249"/>
      <c r="K748" s="249"/>
      <c r="L748" s="249"/>
      <c r="M748" s="259"/>
      <c r="N748" s="249"/>
      <c r="O748" s="249"/>
      <c r="P748" s="249"/>
      <c r="Q748" s="249"/>
      <c r="R748" s="249"/>
      <c r="S748" s="249"/>
      <c r="T748" s="249"/>
      <c r="U748" s="249"/>
      <c r="V748" s="249"/>
      <c r="W748" s="249"/>
      <c r="X748" s="249"/>
      <c r="Y748" s="249"/>
      <c r="Z748" s="249"/>
    </row>
    <row r="749" spans="1:26" s="152" customFormat="1" x14ac:dyDescent="0.25">
      <c r="A749" s="249"/>
      <c r="B749" s="249"/>
      <c r="C749" s="249"/>
      <c r="D749" s="249"/>
      <c r="E749" s="249"/>
      <c r="F749" s="249"/>
      <c r="G749" s="249"/>
      <c r="H749" s="249"/>
      <c r="I749" s="258"/>
      <c r="J749" s="249"/>
      <c r="K749" s="249"/>
      <c r="L749" s="249"/>
      <c r="M749" s="259"/>
      <c r="N749" s="249"/>
      <c r="O749" s="249"/>
      <c r="P749" s="249"/>
      <c r="Q749" s="249"/>
      <c r="R749" s="249"/>
      <c r="S749" s="249"/>
      <c r="T749" s="249"/>
      <c r="U749" s="249"/>
      <c r="V749" s="249"/>
      <c r="W749" s="249"/>
      <c r="X749" s="249"/>
      <c r="Y749" s="249"/>
      <c r="Z749" s="249"/>
    </row>
    <row r="750" spans="1:26" s="152" customFormat="1" x14ac:dyDescent="0.25">
      <c r="A750" s="249"/>
      <c r="B750" s="249"/>
      <c r="C750" s="249"/>
      <c r="D750" s="249"/>
      <c r="E750" s="249"/>
      <c r="F750" s="249"/>
      <c r="G750" s="249"/>
      <c r="H750" s="249"/>
      <c r="I750" s="258"/>
      <c r="J750" s="249"/>
      <c r="K750" s="249"/>
      <c r="L750" s="249"/>
      <c r="M750" s="259"/>
      <c r="N750" s="249"/>
      <c r="O750" s="249"/>
      <c r="P750" s="249"/>
      <c r="Q750" s="249"/>
      <c r="R750" s="249"/>
      <c r="S750" s="249"/>
      <c r="T750" s="249"/>
      <c r="U750" s="249"/>
      <c r="V750" s="249"/>
      <c r="W750" s="249"/>
      <c r="X750" s="249"/>
      <c r="Y750" s="249"/>
      <c r="Z750" s="249"/>
    </row>
    <row r="751" spans="1:26" s="152" customFormat="1" x14ac:dyDescent="0.25">
      <c r="A751" s="249"/>
      <c r="B751" s="249"/>
      <c r="C751" s="249"/>
      <c r="D751" s="249"/>
      <c r="E751" s="249"/>
      <c r="F751" s="249"/>
      <c r="G751" s="249"/>
      <c r="H751" s="249"/>
      <c r="I751" s="258"/>
      <c r="J751" s="249"/>
      <c r="K751" s="249"/>
      <c r="L751" s="249"/>
      <c r="M751" s="25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</row>
    <row r="752" spans="1:26" s="152" customFormat="1" x14ac:dyDescent="0.25">
      <c r="A752" s="249"/>
      <c r="B752" s="249"/>
      <c r="C752" s="249"/>
      <c r="D752" s="249"/>
      <c r="E752" s="249"/>
      <c r="F752" s="249"/>
      <c r="G752" s="249"/>
      <c r="H752" s="249"/>
      <c r="I752" s="258"/>
      <c r="J752" s="249"/>
      <c r="K752" s="249"/>
      <c r="L752" s="249"/>
      <c r="M752" s="25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9"/>
    </row>
    <row r="753" spans="1:26" s="152" customFormat="1" x14ac:dyDescent="0.25">
      <c r="A753" s="249"/>
      <c r="B753" s="249"/>
      <c r="C753" s="249"/>
      <c r="D753" s="249"/>
      <c r="E753" s="249"/>
      <c r="F753" s="249"/>
      <c r="G753" s="249"/>
      <c r="H753" s="249"/>
      <c r="I753" s="258"/>
      <c r="J753" s="249"/>
      <c r="K753" s="249"/>
      <c r="L753" s="249"/>
      <c r="M753" s="259"/>
      <c r="N753" s="249"/>
      <c r="O753" s="249"/>
      <c r="P753" s="249"/>
      <c r="Q753" s="249"/>
      <c r="R753" s="249"/>
      <c r="S753" s="249"/>
      <c r="T753" s="249"/>
      <c r="U753" s="249"/>
      <c r="V753" s="249"/>
      <c r="W753" s="249"/>
      <c r="X753" s="249"/>
      <c r="Y753" s="249"/>
      <c r="Z753" s="249"/>
    </row>
    <row r="754" spans="1:26" s="152" customFormat="1" x14ac:dyDescent="0.25">
      <c r="A754" s="249"/>
      <c r="B754" s="249"/>
      <c r="C754" s="249"/>
      <c r="D754" s="249"/>
      <c r="E754" s="249"/>
      <c r="F754" s="249"/>
      <c r="G754" s="249"/>
      <c r="H754" s="249"/>
      <c r="I754" s="258"/>
      <c r="J754" s="249"/>
      <c r="K754" s="249"/>
      <c r="L754" s="249"/>
      <c r="M754" s="25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</row>
    <row r="755" spans="1:26" s="152" customFormat="1" x14ac:dyDescent="0.25">
      <c r="A755" s="249"/>
      <c r="B755" s="249"/>
      <c r="C755" s="249"/>
      <c r="D755" s="249"/>
      <c r="E755" s="249"/>
      <c r="F755" s="249"/>
      <c r="G755" s="249"/>
      <c r="H755" s="249"/>
      <c r="I755" s="258"/>
      <c r="J755" s="249"/>
      <c r="K755" s="249"/>
      <c r="L755" s="249"/>
      <c r="M755" s="25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</row>
    <row r="756" spans="1:26" s="152" customFormat="1" x14ac:dyDescent="0.25">
      <c r="A756" s="249"/>
      <c r="B756" s="249"/>
      <c r="C756" s="249"/>
      <c r="D756" s="249"/>
      <c r="E756" s="249"/>
      <c r="F756" s="249"/>
      <c r="G756" s="249"/>
      <c r="H756" s="249"/>
      <c r="I756" s="258"/>
      <c r="J756" s="249"/>
      <c r="K756" s="249"/>
      <c r="L756" s="249"/>
      <c r="M756" s="25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</row>
    <row r="757" spans="1:26" s="152" customFormat="1" x14ac:dyDescent="0.25">
      <c r="A757" s="249"/>
      <c r="B757" s="249"/>
      <c r="C757" s="249"/>
      <c r="D757" s="249"/>
      <c r="E757" s="249"/>
      <c r="F757" s="249"/>
      <c r="G757" s="249"/>
      <c r="H757" s="249"/>
      <c r="I757" s="258"/>
      <c r="J757" s="249"/>
      <c r="K757" s="249"/>
      <c r="L757" s="249"/>
      <c r="M757" s="25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</row>
    <row r="758" spans="1:26" s="152" customFormat="1" x14ac:dyDescent="0.25">
      <c r="A758" s="249"/>
      <c r="B758" s="249"/>
      <c r="C758" s="249"/>
      <c r="D758" s="249"/>
      <c r="E758" s="249"/>
      <c r="F758" s="249"/>
      <c r="G758" s="249"/>
      <c r="H758" s="249"/>
      <c r="I758" s="258"/>
      <c r="J758" s="249"/>
      <c r="K758" s="249"/>
      <c r="L758" s="249"/>
      <c r="M758" s="25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</row>
    <row r="759" spans="1:26" s="152" customFormat="1" x14ac:dyDescent="0.25">
      <c r="A759" s="249"/>
      <c r="B759" s="249"/>
      <c r="C759" s="249"/>
      <c r="D759" s="249"/>
      <c r="E759" s="249"/>
      <c r="F759" s="249"/>
      <c r="G759" s="249"/>
      <c r="H759" s="249"/>
      <c r="I759" s="258"/>
      <c r="J759" s="249"/>
      <c r="K759" s="249"/>
      <c r="L759" s="249"/>
      <c r="M759" s="259"/>
      <c r="N759" s="249"/>
      <c r="O759" s="249"/>
      <c r="P759" s="249"/>
      <c r="Q759" s="249"/>
      <c r="R759" s="249"/>
      <c r="S759" s="249"/>
      <c r="T759" s="249"/>
      <c r="U759" s="249"/>
      <c r="V759" s="249"/>
      <c r="W759" s="249"/>
      <c r="X759" s="249"/>
      <c r="Y759" s="249"/>
      <c r="Z759" s="249"/>
    </row>
    <row r="760" spans="1:26" s="152" customFormat="1" x14ac:dyDescent="0.25">
      <c r="A760" s="249"/>
      <c r="B760" s="249"/>
      <c r="C760" s="249"/>
      <c r="D760" s="249"/>
      <c r="E760" s="249"/>
      <c r="F760" s="249"/>
      <c r="G760" s="249"/>
      <c r="H760" s="249"/>
      <c r="I760" s="258"/>
      <c r="J760" s="249"/>
      <c r="K760" s="249"/>
      <c r="L760" s="249"/>
      <c r="M760" s="25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</row>
    <row r="761" spans="1:26" s="152" customFormat="1" x14ac:dyDescent="0.25">
      <c r="A761" s="249"/>
      <c r="B761" s="249"/>
      <c r="C761" s="249"/>
      <c r="D761" s="249"/>
      <c r="E761" s="249"/>
      <c r="F761" s="249"/>
      <c r="G761" s="249"/>
      <c r="H761" s="249"/>
      <c r="I761" s="258"/>
      <c r="J761" s="249"/>
      <c r="K761" s="249"/>
      <c r="L761" s="249"/>
      <c r="M761" s="25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</row>
    <row r="762" spans="1:26" s="152" customFormat="1" x14ac:dyDescent="0.25">
      <c r="A762" s="249"/>
      <c r="B762" s="249"/>
      <c r="C762" s="249"/>
      <c r="D762" s="249"/>
      <c r="E762" s="249"/>
      <c r="F762" s="249"/>
      <c r="G762" s="249"/>
      <c r="H762" s="249"/>
      <c r="I762" s="258"/>
      <c r="J762" s="249"/>
      <c r="K762" s="249"/>
      <c r="L762" s="249"/>
      <c r="M762" s="25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</row>
    <row r="763" spans="1:26" s="152" customFormat="1" x14ac:dyDescent="0.25">
      <c r="A763" s="249"/>
      <c r="B763" s="249"/>
      <c r="C763" s="249"/>
      <c r="D763" s="249"/>
      <c r="E763" s="249"/>
      <c r="F763" s="249"/>
      <c r="G763" s="249"/>
      <c r="H763" s="249"/>
      <c r="I763" s="258"/>
      <c r="J763" s="249"/>
      <c r="K763" s="249"/>
      <c r="L763" s="249"/>
      <c r="M763" s="259"/>
      <c r="N763" s="249"/>
      <c r="O763" s="249"/>
      <c r="P763" s="249"/>
      <c r="Q763" s="249"/>
      <c r="R763" s="249"/>
      <c r="S763" s="249"/>
      <c r="T763" s="249"/>
      <c r="U763" s="249"/>
      <c r="V763" s="249"/>
      <c r="W763" s="249"/>
      <c r="X763" s="249"/>
      <c r="Y763" s="249"/>
      <c r="Z763" s="249"/>
    </row>
    <row r="764" spans="1:26" s="152" customFormat="1" x14ac:dyDescent="0.25">
      <c r="A764" s="249"/>
      <c r="B764" s="249"/>
      <c r="C764" s="249"/>
      <c r="D764" s="249"/>
      <c r="E764" s="249"/>
      <c r="F764" s="249"/>
      <c r="G764" s="249"/>
      <c r="H764" s="249"/>
      <c r="I764" s="258"/>
      <c r="J764" s="249"/>
      <c r="K764" s="249"/>
      <c r="L764" s="249"/>
      <c r="M764" s="25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</row>
    <row r="765" spans="1:26" s="152" customFormat="1" x14ac:dyDescent="0.25">
      <c r="A765" s="249"/>
      <c r="B765" s="249"/>
      <c r="C765" s="249"/>
      <c r="D765" s="249"/>
      <c r="E765" s="249"/>
      <c r="F765" s="249"/>
      <c r="G765" s="249"/>
      <c r="H765" s="249"/>
      <c r="I765" s="258"/>
      <c r="J765" s="249"/>
      <c r="K765" s="249"/>
      <c r="L765" s="249"/>
      <c r="M765" s="259"/>
      <c r="N765" s="249"/>
      <c r="O765" s="249"/>
      <c r="P765" s="249"/>
      <c r="Q765" s="249"/>
      <c r="R765" s="249"/>
      <c r="S765" s="249"/>
      <c r="T765" s="249"/>
      <c r="U765" s="249"/>
      <c r="V765" s="249"/>
      <c r="W765" s="249"/>
      <c r="X765" s="249"/>
      <c r="Y765" s="249"/>
      <c r="Z765" s="249"/>
    </row>
    <row r="766" spans="1:26" s="152" customFormat="1" x14ac:dyDescent="0.25">
      <c r="A766" s="249"/>
      <c r="B766" s="249"/>
      <c r="C766" s="249"/>
      <c r="D766" s="249"/>
      <c r="E766" s="249"/>
      <c r="F766" s="249"/>
      <c r="G766" s="249"/>
      <c r="H766" s="249"/>
      <c r="I766" s="258"/>
      <c r="J766" s="249"/>
      <c r="K766" s="249"/>
      <c r="L766" s="249"/>
      <c r="M766" s="259"/>
      <c r="N766" s="249"/>
      <c r="O766" s="249"/>
      <c r="P766" s="249"/>
      <c r="Q766" s="249"/>
      <c r="R766" s="249"/>
      <c r="S766" s="249"/>
      <c r="T766" s="249"/>
      <c r="U766" s="249"/>
      <c r="V766" s="249"/>
      <c r="W766" s="249"/>
      <c r="X766" s="249"/>
      <c r="Y766" s="249"/>
      <c r="Z766" s="249"/>
    </row>
    <row r="767" spans="1:26" s="152" customFormat="1" x14ac:dyDescent="0.25">
      <c r="A767" s="249"/>
      <c r="B767" s="249"/>
      <c r="C767" s="249"/>
      <c r="D767" s="249"/>
      <c r="E767" s="249"/>
      <c r="F767" s="249"/>
      <c r="G767" s="249"/>
      <c r="H767" s="249"/>
      <c r="I767" s="258"/>
      <c r="J767" s="249"/>
      <c r="K767" s="249"/>
      <c r="L767" s="249"/>
      <c r="M767" s="259"/>
      <c r="N767" s="249"/>
      <c r="O767" s="249"/>
      <c r="P767" s="249"/>
      <c r="Q767" s="249"/>
      <c r="R767" s="249"/>
      <c r="S767" s="249"/>
      <c r="T767" s="249"/>
      <c r="U767" s="249"/>
      <c r="V767" s="249"/>
      <c r="W767" s="249"/>
      <c r="X767" s="249"/>
      <c r="Y767" s="249"/>
      <c r="Z767" s="249"/>
    </row>
    <row r="768" spans="1:26" s="152" customFormat="1" x14ac:dyDescent="0.25">
      <c r="A768" s="249"/>
      <c r="B768" s="249"/>
      <c r="C768" s="249"/>
      <c r="D768" s="249"/>
      <c r="E768" s="249"/>
      <c r="F768" s="249"/>
      <c r="G768" s="249"/>
      <c r="H768" s="249"/>
      <c r="I768" s="258"/>
      <c r="J768" s="249"/>
      <c r="K768" s="249"/>
      <c r="L768" s="249"/>
      <c r="M768" s="259"/>
      <c r="N768" s="249"/>
      <c r="O768" s="249"/>
      <c r="P768" s="249"/>
      <c r="Q768" s="249"/>
      <c r="R768" s="249"/>
      <c r="S768" s="249"/>
      <c r="T768" s="249"/>
      <c r="U768" s="249"/>
      <c r="V768" s="249"/>
      <c r="W768" s="249"/>
      <c r="X768" s="249"/>
      <c r="Y768" s="249"/>
      <c r="Z768" s="249"/>
    </row>
    <row r="769" spans="1:26" s="152" customFormat="1" x14ac:dyDescent="0.25">
      <c r="A769" s="249"/>
      <c r="B769" s="249"/>
      <c r="C769" s="249"/>
      <c r="D769" s="249"/>
      <c r="E769" s="249"/>
      <c r="F769" s="249"/>
      <c r="G769" s="249"/>
      <c r="H769" s="249"/>
      <c r="I769" s="258"/>
      <c r="J769" s="249"/>
      <c r="K769" s="249"/>
      <c r="L769" s="249"/>
      <c r="M769" s="259"/>
      <c r="N769" s="249"/>
      <c r="O769" s="249"/>
      <c r="P769" s="249"/>
      <c r="Q769" s="249"/>
      <c r="R769" s="249"/>
      <c r="S769" s="249"/>
      <c r="T769" s="249"/>
      <c r="U769" s="249"/>
      <c r="V769" s="249"/>
      <c r="W769" s="249"/>
      <c r="X769" s="249"/>
      <c r="Y769" s="249"/>
      <c r="Z769" s="249"/>
    </row>
    <row r="770" spans="1:26" s="152" customFormat="1" x14ac:dyDescent="0.25">
      <c r="A770" s="249"/>
      <c r="B770" s="249"/>
      <c r="C770" s="249"/>
      <c r="D770" s="249"/>
      <c r="E770" s="249"/>
      <c r="F770" s="249"/>
      <c r="G770" s="249"/>
      <c r="H770" s="249"/>
      <c r="I770" s="258"/>
      <c r="J770" s="249"/>
      <c r="K770" s="249"/>
      <c r="L770" s="249"/>
      <c r="M770" s="259"/>
      <c r="N770" s="249"/>
      <c r="O770" s="249"/>
      <c r="P770" s="249"/>
      <c r="Q770" s="249"/>
      <c r="R770" s="249"/>
      <c r="S770" s="249"/>
      <c r="T770" s="249"/>
      <c r="U770" s="249"/>
      <c r="V770" s="249"/>
      <c r="W770" s="249"/>
      <c r="X770" s="249"/>
      <c r="Y770" s="249"/>
      <c r="Z770" s="249"/>
    </row>
    <row r="771" spans="1:26" s="152" customFormat="1" x14ac:dyDescent="0.25">
      <c r="A771" s="249"/>
      <c r="B771" s="249"/>
      <c r="C771" s="249"/>
      <c r="D771" s="249"/>
      <c r="E771" s="249"/>
      <c r="F771" s="249"/>
      <c r="G771" s="249"/>
      <c r="H771" s="249"/>
      <c r="I771" s="258"/>
      <c r="J771" s="249"/>
      <c r="K771" s="249"/>
      <c r="L771" s="249"/>
      <c r="M771" s="259"/>
      <c r="N771" s="249"/>
      <c r="O771" s="249"/>
      <c r="P771" s="249"/>
      <c r="Q771" s="249"/>
      <c r="R771" s="249"/>
      <c r="S771" s="249"/>
      <c r="T771" s="249"/>
      <c r="U771" s="249"/>
      <c r="V771" s="249"/>
      <c r="W771" s="249"/>
      <c r="X771" s="249"/>
      <c r="Y771" s="249"/>
      <c r="Z771" s="249"/>
    </row>
    <row r="772" spans="1:26" s="152" customFormat="1" x14ac:dyDescent="0.25">
      <c r="A772" s="249"/>
      <c r="B772" s="249"/>
      <c r="C772" s="249"/>
      <c r="D772" s="249"/>
      <c r="E772" s="249"/>
      <c r="F772" s="249"/>
      <c r="G772" s="249"/>
      <c r="H772" s="249"/>
      <c r="I772" s="258"/>
      <c r="J772" s="249"/>
      <c r="K772" s="249"/>
      <c r="L772" s="249"/>
      <c r="M772" s="259"/>
      <c r="N772" s="249"/>
      <c r="O772" s="249"/>
      <c r="P772" s="249"/>
      <c r="Q772" s="249"/>
      <c r="R772" s="249"/>
      <c r="S772" s="249"/>
      <c r="T772" s="249"/>
      <c r="U772" s="249"/>
      <c r="V772" s="249"/>
      <c r="W772" s="249"/>
      <c r="X772" s="249"/>
      <c r="Y772" s="249"/>
      <c r="Z772" s="249"/>
    </row>
    <row r="773" spans="1:26" s="152" customFormat="1" x14ac:dyDescent="0.25">
      <c r="A773" s="249"/>
      <c r="B773" s="249"/>
      <c r="C773" s="249"/>
      <c r="D773" s="249"/>
      <c r="E773" s="249"/>
      <c r="F773" s="249"/>
      <c r="G773" s="249"/>
      <c r="H773" s="249"/>
      <c r="I773" s="258"/>
      <c r="J773" s="249"/>
      <c r="K773" s="249"/>
      <c r="L773" s="249"/>
      <c r="M773" s="259"/>
      <c r="N773" s="249"/>
      <c r="O773" s="249"/>
      <c r="P773" s="249"/>
      <c r="Q773" s="249"/>
      <c r="R773" s="249"/>
      <c r="S773" s="249"/>
      <c r="T773" s="249"/>
      <c r="U773" s="249"/>
      <c r="V773" s="249"/>
      <c r="W773" s="249"/>
      <c r="X773" s="249"/>
      <c r="Y773" s="249"/>
      <c r="Z773" s="249"/>
    </row>
    <row r="774" spans="1:26" s="152" customFormat="1" x14ac:dyDescent="0.25">
      <c r="A774" s="249"/>
      <c r="B774" s="249"/>
      <c r="C774" s="249"/>
      <c r="D774" s="249"/>
      <c r="E774" s="249"/>
      <c r="F774" s="249"/>
      <c r="G774" s="249"/>
      <c r="H774" s="249"/>
      <c r="I774" s="258"/>
      <c r="J774" s="249"/>
      <c r="K774" s="249"/>
      <c r="L774" s="249"/>
      <c r="M774" s="259"/>
      <c r="N774" s="249"/>
      <c r="O774" s="249"/>
      <c r="P774" s="249"/>
      <c r="Q774" s="249"/>
      <c r="R774" s="249"/>
      <c r="S774" s="249"/>
      <c r="T774" s="249"/>
      <c r="U774" s="249"/>
      <c r="V774" s="249"/>
      <c r="W774" s="249"/>
      <c r="X774" s="249"/>
      <c r="Y774" s="249"/>
      <c r="Z774" s="249"/>
    </row>
    <row r="775" spans="1:26" s="152" customFormat="1" x14ac:dyDescent="0.25">
      <c r="A775" s="249"/>
      <c r="B775" s="249"/>
      <c r="C775" s="249"/>
      <c r="D775" s="249"/>
      <c r="E775" s="249"/>
      <c r="F775" s="249"/>
      <c r="G775" s="249"/>
      <c r="H775" s="249"/>
      <c r="I775" s="258"/>
      <c r="J775" s="249"/>
      <c r="K775" s="249"/>
      <c r="L775" s="249"/>
      <c r="M775" s="259"/>
      <c r="N775" s="249"/>
      <c r="O775" s="249"/>
      <c r="P775" s="249"/>
      <c r="Q775" s="249"/>
      <c r="R775" s="249"/>
      <c r="S775" s="249"/>
      <c r="T775" s="249"/>
      <c r="U775" s="249"/>
      <c r="V775" s="249"/>
      <c r="W775" s="249"/>
      <c r="X775" s="249"/>
      <c r="Y775" s="249"/>
      <c r="Z775" s="249"/>
    </row>
    <row r="776" spans="1:26" s="152" customFormat="1" x14ac:dyDescent="0.25">
      <c r="A776" s="249"/>
      <c r="B776" s="249"/>
      <c r="C776" s="249"/>
      <c r="D776" s="249"/>
      <c r="E776" s="249"/>
      <c r="F776" s="249"/>
      <c r="G776" s="249"/>
      <c r="H776" s="249"/>
      <c r="I776" s="258"/>
      <c r="J776" s="249"/>
      <c r="K776" s="249"/>
      <c r="L776" s="249"/>
      <c r="M776" s="259"/>
      <c r="N776" s="249"/>
      <c r="O776" s="249"/>
      <c r="P776" s="249"/>
      <c r="Q776" s="249"/>
      <c r="R776" s="249"/>
      <c r="S776" s="249"/>
      <c r="T776" s="249"/>
      <c r="U776" s="249"/>
      <c r="V776" s="249"/>
      <c r="W776" s="249"/>
      <c r="X776" s="249"/>
      <c r="Y776" s="249"/>
      <c r="Z776" s="249"/>
    </row>
    <row r="777" spans="1:26" s="152" customFormat="1" x14ac:dyDescent="0.25">
      <c r="A777" s="249"/>
      <c r="B777" s="249"/>
      <c r="C777" s="249"/>
      <c r="D777" s="249"/>
      <c r="E777" s="249"/>
      <c r="F777" s="249"/>
      <c r="G777" s="249"/>
      <c r="H777" s="249"/>
      <c r="I777" s="258"/>
      <c r="J777" s="249"/>
      <c r="K777" s="249"/>
      <c r="L777" s="249"/>
      <c r="M777" s="259"/>
      <c r="N777" s="249"/>
      <c r="O777" s="249"/>
      <c r="P777" s="249"/>
      <c r="Q777" s="249"/>
      <c r="R777" s="249"/>
      <c r="S777" s="249"/>
      <c r="T777" s="249"/>
      <c r="U777" s="249"/>
      <c r="V777" s="249"/>
      <c r="W777" s="249"/>
      <c r="X777" s="249"/>
      <c r="Y777" s="249"/>
      <c r="Z777" s="249"/>
    </row>
    <row r="778" spans="1:26" s="152" customFormat="1" x14ac:dyDescent="0.25">
      <c r="A778" s="249"/>
      <c r="B778" s="249"/>
      <c r="C778" s="249"/>
      <c r="D778" s="249"/>
      <c r="E778" s="249"/>
      <c r="F778" s="249"/>
      <c r="G778" s="249"/>
      <c r="H778" s="249"/>
      <c r="I778" s="258"/>
      <c r="J778" s="249"/>
      <c r="K778" s="249"/>
      <c r="L778" s="249"/>
      <c r="M778" s="259"/>
      <c r="N778" s="249"/>
      <c r="O778" s="249"/>
      <c r="P778" s="249"/>
      <c r="Q778" s="249"/>
      <c r="R778" s="249"/>
      <c r="S778" s="249"/>
      <c r="T778" s="249"/>
      <c r="U778" s="249"/>
      <c r="V778" s="249"/>
      <c r="W778" s="249"/>
      <c r="X778" s="249"/>
      <c r="Y778" s="249"/>
      <c r="Z778" s="249"/>
    </row>
    <row r="779" spans="1:26" s="152" customFormat="1" x14ac:dyDescent="0.25">
      <c r="A779" s="249"/>
      <c r="B779" s="249"/>
      <c r="C779" s="249"/>
      <c r="D779" s="249"/>
      <c r="E779" s="249"/>
      <c r="F779" s="249"/>
      <c r="G779" s="249"/>
      <c r="H779" s="249"/>
      <c r="I779" s="258"/>
      <c r="J779" s="249"/>
      <c r="K779" s="249"/>
      <c r="L779" s="249"/>
      <c r="M779" s="259"/>
      <c r="N779" s="249"/>
      <c r="O779" s="249"/>
      <c r="P779" s="249"/>
      <c r="Q779" s="249"/>
      <c r="R779" s="249"/>
      <c r="S779" s="249"/>
      <c r="T779" s="249"/>
      <c r="U779" s="249"/>
      <c r="V779" s="249"/>
      <c r="W779" s="249"/>
      <c r="X779" s="249"/>
      <c r="Y779" s="249"/>
      <c r="Z779" s="249"/>
    </row>
    <row r="780" spans="1:26" s="152" customFormat="1" x14ac:dyDescent="0.25">
      <c r="A780" s="249"/>
      <c r="B780" s="249"/>
      <c r="C780" s="249"/>
      <c r="D780" s="249"/>
      <c r="E780" s="249"/>
      <c r="F780" s="249"/>
      <c r="G780" s="249"/>
      <c r="H780" s="249"/>
      <c r="I780" s="258"/>
      <c r="J780" s="249"/>
      <c r="K780" s="249"/>
      <c r="L780" s="249"/>
      <c r="M780" s="259"/>
      <c r="N780" s="249"/>
      <c r="O780" s="249"/>
      <c r="P780" s="249"/>
      <c r="Q780" s="249"/>
      <c r="R780" s="249"/>
      <c r="S780" s="249"/>
      <c r="T780" s="249"/>
      <c r="U780" s="249"/>
      <c r="V780" s="249"/>
      <c r="W780" s="249"/>
      <c r="X780" s="249"/>
      <c r="Y780" s="249"/>
      <c r="Z780" s="249"/>
    </row>
    <row r="781" spans="1:26" s="152" customFormat="1" x14ac:dyDescent="0.25">
      <c r="A781" s="249"/>
      <c r="B781" s="249"/>
      <c r="C781" s="249"/>
      <c r="D781" s="249"/>
      <c r="E781" s="249"/>
      <c r="F781" s="249"/>
      <c r="G781" s="249"/>
      <c r="H781" s="249"/>
      <c r="I781" s="258"/>
      <c r="J781" s="249"/>
      <c r="K781" s="249"/>
      <c r="L781" s="249"/>
      <c r="M781" s="259"/>
      <c r="N781" s="249"/>
      <c r="O781" s="249"/>
      <c r="P781" s="249"/>
      <c r="Q781" s="249"/>
      <c r="R781" s="249"/>
      <c r="S781" s="249"/>
      <c r="T781" s="249"/>
      <c r="U781" s="249"/>
      <c r="V781" s="249"/>
      <c r="W781" s="249"/>
      <c r="X781" s="249"/>
      <c r="Y781" s="249"/>
      <c r="Z781" s="249"/>
    </row>
    <row r="782" spans="1:26" s="152" customFormat="1" x14ac:dyDescent="0.25">
      <c r="A782" s="249"/>
      <c r="B782" s="249"/>
      <c r="C782" s="249"/>
      <c r="D782" s="249"/>
      <c r="E782" s="249"/>
      <c r="F782" s="249"/>
      <c r="G782" s="249"/>
      <c r="H782" s="249"/>
      <c r="I782" s="258"/>
      <c r="J782" s="249"/>
      <c r="K782" s="249"/>
      <c r="L782" s="249"/>
      <c r="M782" s="259"/>
      <c r="N782" s="249"/>
      <c r="O782" s="249"/>
      <c r="P782" s="249"/>
      <c r="Q782" s="249"/>
      <c r="R782" s="249"/>
      <c r="S782" s="249"/>
      <c r="T782" s="249"/>
      <c r="U782" s="249"/>
      <c r="V782" s="249"/>
      <c r="W782" s="249"/>
      <c r="X782" s="249"/>
      <c r="Y782" s="249"/>
      <c r="Z782" s="249"/>
    </row>
    <row r="783" spans="1:26" s="152" customFormat="1" x14ac:dyDescent="0.25">
      <c r="A783" s="249"/>
      <c r="B783" s="249"/>
      <c r="C783" s="249"/>
      <c r="D783" s="249"/>
      <c r="E783" s="249"/>
      <c r="F783" s="249"/>
      <c r="G783" s="249"/>
      <c r="H783" s="249"/>
      <c r="I783" s="258"/>
      <c r="J783" s="249"/>
      <c r="K783" s="249"/>
      <c r="L783" s="249"/>
      <c r="M783" s="259"/>
      <c r="N783" s="249"/>
      <c r="O783" s="249"/>
      <c r="P783" s="249"/>
      <c r="Q783" s="249"/>
      <c r="R783" s="249"/>
      <c r="S783" s="249"/>
      <c r="T783" s="249"/>
      <c r="U783" s="249"/>
      <c r="V783" s="249"/>
      <c r="W783" s="249"/>
      <c r="X783" s="249"/>
      <c r="Y783" s="249"/>
      <c r="Z783" s="249"/>
    </row>
    <row r="784" spans="1:26" s="152" customFormat="1" x14ac:dyDescent="0.25">
      <c r="A784" s="249"/>
      <c r="B784" s="249"/>
      <c r="C784" s="249"/>
      <c r="D784" s="249"/>
      <c r="E784" s="249"/>
      <c r="F784" s="249"/>
      <c r="G784" s="249"/>
      <c r="H784" s="249"/>
      <c r="I784" s="258"/>
      <c r="J784" s="249"/>
      <c r="K784" s="249"/>
      <c r="L784" s="249"/>
      <c r="M784" s="25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</row>
    <row r="785" spans="1:26" s="152" customFormat="1" x14ac:dyDescent="0.25">
      <c r="A785" s="249"/>
      <c r="B785" s="249"/>
      <c r="C785" s="249"/>
      <c r="D785" s="249"/>
      <c r="E785" s="249"/>
      <c r="F785" s="249"/>
      <c r="G785" s="249"/>
      <c r="H785" s="249"/>
      <c r="I785" s="258"/>
      <c r="J785" s="249"/>
      <c r="K785" s="249"/>
      <c r="L785" s="249"/>
      <c r="M785" s="25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9"/>
    </row>
    <row r="786" spans="1:26" s="152" customFormat="1" x14ac:dyDescent="0.25">
      <c r="A786" s="249"/>
      <c r="B786" s="249"/>
      <c r="C786" s="249"/>
      <c r="D786" s="249"/>
      <c r="E786" s="249"/>
      <c r="F786" s="249"/>
      <c r="G786" s="249"/>
      <c r="H786" s="249"/>
      <c r="I786" s="258"/>
      <c r="J786" s="249"/>
      <c r="K786" s="249"/>
      <c r="L786" s="249"/>
      <c r="M786" s="259"/>
      <c r="N786" s="249"/>
      <c r="O786" s="249"/>
      <c r="P786" s="249"/>
      <c r="Q786" s="249"/>
      <c r="R786" s="249"/>
      <c r="S786" s="249"/>
      <c r="T786" s="249"/>
      <c r="U786" s="249"/>
      <c r="V786" s="249"/>
      <c r="W786" s="249"/>
      <c r="X786" s="249"/>
      <c r="Y786" s="249"/>
      <c r="Z786" s="249"/>
    </row>
    <row r="787" spans="1:26" s="152" customFormat="1" x14ac:dyDescent="0.25">
      <c r="A787" s="249"/>
      <c r="B787" s="249"/>
      <c r="C787" s="249"/>
      <c r="D787" s="249"/>
      <c r="E787" s="249"/>
      <c r="F787" s="249"/>
      <c r="G787" s="249"/>
      <c r="H787" s="249"/>
      <c r="I787" s="258"/>
      <c r="J787" s="249"/>
      <c r="K787" s="249"/>
      <c r="L787" s="249"/>
      <c r="M787" s="25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</row>
    <row r="788" spans="1:26" s="152" customFormat="1" x14ac:dyDescent="0.25">
      <c r="A788" s="249"/>
      <c r="B788" s="249"/>
      <c r="C788" s="249"/>
      <c r="D788" s="249"/>
      <c r="E788" s="249"/>
      <c r="F788" s="249"/>
      <c r="G788" s="249"/>
      <c r="H788" s="249"/>
      <c r="I788" s="258"/>
      <c r="J788" s="249"/>
      <c r="K788" s="249"/>
      <c r="L788" s="249"/>
      <c r="M788" s="25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</row>
    <row r="789" spans="1:26" s="152" customFormat="1" x14ac:dyDescent="0.25">
      <c r="A789" s="249"/>
      <c r="B789" s="249"/>
      <c r="C789" s="249"/>
      <c r="D789" s="249"/>
      <c r="E789" s="249"/>
      <c r="F789" s="249"/>
      <c r="G789" s="249"/>
      <c r="H789" s="249"/>
      <c r="I789" s="258"/>
      <c r="J789" s="249"/>
      <c r="K789" s="249"/>
      <c r="L789" s="249"/>
      <c r="M789" s="25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</row>
    <row r="790" spans="1:26" s="152" customFormat="1" x14ac:dyDescent="0.25">
      <c r="A790" s="249"/>
      <c r="B790" s="249"/>
      <c r="C790" s="249"/>
      <c r="D790" s="249"/>
      <c r="E790" s="249"/>
      <c r="F790" s="249"/>
      <c r="G790" s="249"/>
      <c r="H790" s="249"/>
      <c r="I790" s="258"/>
      <c r="J790" s="249"/>
      <c r="K790" s="249"/>
      <c r="L790" s="249"/>
      <c r="M790" s="25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</row>
    <row r="791" spans="1:26" s="152" customFormat="1" x14ac:dyDescent="0.25">
      <c r="A791" s="249"/>
      <c r="B791" s="249"/>
      <c r="C791" s="249"/>
      <c r="D791" s="249"/>
      <c r="E791" s="249"/>
      <c r="F791" s="249"/>
      <c r="G791" s="249"/>
      <c r="H791" s="249"/>
      <c r="I791" s="258"/>
      <c r="J791" s="249"/>
      <c r="K791" s="249"/>
      <c r="L791" s="249"/>
      <c r="M791" s="25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</row>
    <row r="792" spans="1:26" s="152" customFormat="1" x14ac:dyDescent="0.25">
      <c r="A792" s="249"/>
      <c r="B792" s="249"/>
      <c r="C792" s="249"/>
      <c r="D792" s="249"/>
      <c r="E792" s="249"/>
      <c r="F792" s="249"/>
      <c r="G792" s="249"/>
      <c r="H792" s="249"/>
      <c r="I792" s="258"/>
      <c r="J792" s="249"/>
      <c r="K792" s="249"/>
      <c r="L792" s="249"/>
      <c r="M792" s="259"/>
      <c r="N792" s="249"/>
      <c r="O792" s="249"/>
      <c r="P792" s="249"/>
      <c r="Q792" s="249"/>
      <c r="R792" s="249"/>
      <c r="S792" s="249"/>
      <c r="T792" s="249"/>
      <c r="U792" s="249"/>
      <c r="V792" s="249"/>
      <c r="W792" s="249"/>
      <c r="X792" s="249"/>
      <c r="Y792" s="249"/>
      <c r="Z792" s="249"/>
    </row>
    <row r="793" spans="1:26" s="152" customFormat="1" x14ac:dyDescent="0.25">
      <c r="A793" s="249"/>
      <c r="B793" s="249"/>
      <c r="C793" s="249"/>
      <c r="D793" s="249"/>
      <c r="E793" s="249"/>
      <c r="F793" s="249"/>
      <c r="G793" s="249"/>
      <c r="H793" s="249"/>
      <c r="I793" s="258"/>
      <c r="J793" s="249"/>
      <c r="K793" s="249"/>
      <c r="L793" s="249"/>
      <c r="M793" s="25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</row>
    <row r="794" spans="1:26" s="152" customFormat="1" x14ac:dyDescent="0.25">
      <c r="A794" s="249"/>
      <c r="B794" s="249"/>
      <c r="C794" s="249"/>
      <c r="D794" s="249"/>
      <c r="E794" s="249"/>
      <c r="F794" s="249"/>
      <c r="G794" s="249"/>
      <c r="H794" s="249"/>
      <c r="I794" s="258"/>
      <c r="J794" s="249"/>
      <c r="K794" s="249"/>
      <c r="L794" s="249"/>
      <c r="M794" s="25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</row>
    <row r="795" spans="1:26" s="152" customFormat="1" x14ac:dyDescent="0.25">
      <c r="A795" s="249"/>
      <c r="B795" s="249"/>
      <c r="C795" s="249"/>
      <c r="D795" s="249"/>
      <c r="E795" s="249"/>
      <c r="F795" s="249"/>
      <c r="G795" s="249"/>
      <c r="H795" s="249"/>
      <c r="I795" s="258"/>
      <c r="J795" s="249"/>
      <c r="K795" s="249"/>
      <c r="L795" s="249"/>
      <c r="M795" s="25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</row>
    <row r="796" spans="1:26" s="152" customFormat="1" x14ac:dyDescent="0.25">
      <c r="A796" s="249"/>
      <c r="B796" s="249"/>
      <c r="C796" s="249"/>
      <c r="D796" s="249"/>
      <c r="E796" s="249"/>
      <c r="F796" s="249"/>
      <c r="G796" s="249"/>
      <c r="H796" s="249"/>
      <c r="I796" s="258"/>
      <c r="J796" s="249"/>
      <c r="K796" s="249"/>
      <c r="L796" s="249"/>
      <c r="M796" s="259"/>
      <c r="N796" s="249"/>
      <c r="O796" s="249"/>
      <c r="P796" s="249"/>
      <c r="Q796" s="249"/>
      <c r="R796" s="249"/>
      <c r="S796" s="249"/>
      <c r="T796" s="249"/>
      <c r="U796" s="249"/>
      <c r="V796" s="249"/>
      <c r="W796" s="249"/>
      <c r="X796" s="249"/>
      <c r="Y796" s="249"/>
      <c r="Z796" s="249"/>
    </row>
    <row r="797" spans="1:26" s="152" customFormat="1" x14ac:dyDescent="0.25">
      <c r="A797" s="249"/>
      <c r="B797" s="249"/>
      <c r="C797" s="249"/>
      <c r="D797" s="249"/>
      <c r="E797" s="249"/>
      <c r="F797" s="249"/>
      <c r="G797" s="249"/>
      <c r="H797" s="249"/>
      <c r="I797" s="258"/>
      <c r="J797" s="249"/>
      <c r="K797" s="249"/>
      <c r="L797" s="249"/>
      <c r="M797" s="25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</row>
    <row r="798" spans="1:26" s="152" customFormat="1" x14ac:dyDescent="0.25">
      <c r="A798" s="249"/>
      <c r="B798" s="249"/>
      <c r="C798" s="249"/>
      <c r="D798" s="249"/>
      <c r="E798" s="249"/>
      <c r="F798" s="249"/>
      <c r="G798" s="249"/>
      <c r="H798" s="249"/>
      <c r="I798" s="258"/>
      <c r="J798" s="249"/>
      <c r="K798" s="249"/>
      <c r="L798" s="249"/>
      <c r="M798" s="259"/>
      <c r="N798" s="249"/>
      <c r="O798" s="249"/>
      <c r="P798" s="249"/>
      <c r="Q798" s="249"/>
      <c r="R798" s="249"/>
      <c r="S798" s="249"/>
      <c r="T798" s="249"/>
      <c r="U798" s="249"/>
      <c r="V798" s="249"/>
      <c r="W798" s="249"/>
      <c r="X798" s="249"/>
      <c r="Y798" s="249"/>
      <c r="Z798" s="249"/>
    </row>
    <row r="799" spans="1:26" s="152" customFormat="1" x14ac:dyDescent="0.25">
      <c r="A799" s="249"/>
      <c r="B799" s="249"/>
      <c r="C799" s="249"/>
      <c r="D799" s="249"/>
      <c r="E799" s="249"/>
      <c r="F799" s="249"/>
      <c r="G799" s="249"/>
      <c r="H799" s="249"/>
      <c r="I799" s="258"/>
      <c r="J799" s="249"/>
      <c r="K799" s="249"/>
      <c r="L799" s="249"/>
      <c r="M799" s="259"/>
      <c r="N799" s="249"/>
      <c r="O799" s="249"/>
      <c r="P799" s="249"/>
      <c r="Q799" s="249"/>
      <c r="R799" s="249"/>
      <c r="S799" s="249"/>
      <c r="T799" s="249"/>
      <c r="U799" s="249"/>
      <c r="V799" s="249"/>
      <c r="W799" s="249"/>
      <c r="X799" s="249"/>
      <c r="Y799" s="249"/>
      <c r="Z799" s="249"/>
    </row>
    <row r="800" spans="1:26" s="152" customFormat="1" x14ac:dyDescent="0.25">
      <c r="A800" s="249"/>
      <c r="B800" s="249"/>
      <c r="C800" s="249"/>
      <c r="D800" s="249"/>
      <c r="E800" s="249"/>
      <c r="F800" s="249"/>
      <c r="G800" s="249"/>
      <c r="H800" s="249"/>
      <c r="I800" s="258"/>
      <c r="J800" s="249"/>
      <c r="K800" s="249"/>
      <c r="L800" s="249"/>
      <c r="M800" s="259"/>
      <c r="N800" s="249"/>
      <c r="O800" s="249"/>
      <c r="P800" s="249"/>
      <c r="Q800" s="249"/>
      <c r="R800" s="249"/>
      <c r="S800" s="249"/>
      <c r="T800" s="249"/>
      <c r="U800" s="249"/>
      <c r="V800" s="249"/>
      <c r="W800" s="249"/>
      <c r="X800" s="249"/>
      <c r="Y800" s="249"/>
      <c r="Z800" s="249"/>
    </row>
    <row r="801" spans="1:26" s="152" customFormat="1" x14ac:dyDescent="0.25">
      <c r="A801" s="249"/>
      <c r="B801" s="249"/>
      <c r="C801" s="249"/>
      <c r="D801" s="249"/>
      <c r="E801" s="249"/>
      <c r="F801" s="249"/>
      <c r="G801" s="249"/>
      <c r="H801" s="249"/>
      <c r="I801" s="258"/>
      <c r="J801" s="249"/>
      <c r="K801" s="249"/>
      <c r="L801" s="249"/>
      <c r="M801" s="259"/>
      <c r="N801" s="249"/>
      <c r="O801" s="249"/>
      <c r="P801" s="249"/>
      <c r="Q801" s="249"/>
      <c r="R801" s="249"/>
      <c r="S801" s="249"/>
      <c r="T801" s="249"/>
      <c r="U801" s="249"/>
      <c r="V801" s="249"/>
      <c r="W801" s="249"/>
      <c r="X801" s="249"/>
      <c r="Y801" s="249"/>
      <c r="Z801" s="249"/>
    </row>
    <row r="802" spans="1:26" s="152" customFormat="1" x14ac:dyDescent="0.25">
      <c r="A802" s="249"/>
      <c r="B802" s="249"/>
      <c r="C802" s="249"/>
      <c r="D802" s="249"/>
      <c r="E802" s="249"/>
      <c r="F802" s="249"/>
      <c r="G802" s="249"/>
      <c r="H802" s="249"/>
      <c r="I802" s="258"/>
      <c r="J802" s="249"/>
      <c r="K802" s="249"/>
      <c r="L802" s="249"/>
      <c r="M802" s="259"/>
      <c r="N802" s="249"/>
      <c r="O802" s="249"/>
      <c r="P802" s="249"/>
      <c r="Q802" s="249"/>
      <c r="R802" s="249"/>
      <c r="S802" s="249"/>
      <c r="T802" s="249"/>
      <c r="U802" s="249"/>
      <c r="V802" s="249"/>
      <c r="W802" s="249"/>
      <c r="X802" s="249"/>
      <c r="Y802" s="249"/>
      <c r="Z802" s="249"/>
    </row>
    <row r="803" spans="1:26" s="152" customFormat="1" x14ac:dyDescent="0.25">
      <c r="A803" s="249"/>
      <c r="B803" s="249"/>
      <c r="C803" s="249"/>
      <c r="D803" s="249"/>
      <c r="E803" s="249"/>
      <c r="F803" s="249"/>
      <c r="G803" s="249"/>
      <c r="H803" s="249"/>
      <c r="I803" s="258"/>
      <c r="J803" s="249"/>
      <c r="K803" s="249"/>
      <c r="L803" s="249"/>
      <c r="M803" s="259"/>
      <c r="N803" s="249"/>
      <c r="O803" s="249"/>
      <c r="P803" s="249"/>
      <c r="Q803" s="249"/>
      <c r="R803" s="249"/>
      <c r="S803" s="249"/>
      <c r="T803" s="249"/>
      <c r="U803" s="249"/>
      <c r="V803" s="249"/>
      <c r="W803" s="249"/>
      <c r="X803" s="249"/>
      <c r="Y803" s="249"/>
      <c r="Z803" s="249"/>
    </row>
    <row r="804" spans="1:26" s="152" customFormat="1" x14ac:dyDescent="0.25">
      <c r="A804" s="249"/>
      <c r="B804" s="249"/>
      <c r="C804" s="249"/>
      <c r="D804" s="249"/>
      <c r="E804" s="249"/>
      <c r="F804" s="249"/>
      <c r="G804" s="249"/>
      <c r="H804" s="249"/>
      <c r="I804" s="258"/>
      <c r="J804" s="249"/>
      <c r="K804" s="249"/>
      <c r="L804" s="249"/>
      <c r="M804" s="259"/>
      <c r="N804" s="249"/>
      <c r="O804" s="249"/>
      <c r="P804" s="249"/>
      <c r="Q804" s="249"/>
      <c r="R804" s="249"/>
      <c r="S804" s="249"/>
      <c r="T804" s="249"/>
      <c r="U804" s="249"/>
      <c r="V804" s="249"/>
      <c r="W804" s="249"/>
      <c r="X804" s="249"/>
      <c r="Y804" s="249"/>
      <c r="Z804" s="249"/>
    </row>
    <row r="805" spans="1:26" s="152" customFormat="1" x14ac:dyDescent="0.25">
      <c r="A805" s="249"/>
      <c r="B805" s="249"/>
      <c r="C805" s="249"/>
      <c r="D805" s="249"/>
      <c r="E805" s="249"/>
      <c r="F805" s="249"/>
      <c r="G805" s="249"/>
      <c r="H805" s="249"/>
      <c r="I805" s="258"/>
      <c r="J805" s="249"/>
      <c r="K805" s="249"/>
      <c r="L805" s="249"/>
      <c r="M805" s="259"/>
      <c r="N805" s="249"/>
      <c r="O805" s="249"/>
      <c r="P805" s="249"/>
      <c r="Q805" s="249"/>
      <c r="R805" s="249"/>
      <c r="S805" s="249"/>
      <c r="T805" s="249"/>
      <c r="U805" s="249"/>
      <c r="V805" s="249"/>
      <c r="W805" s="249"/>
      <c r="X805" s="249"/>
      <c r="Y805" s="249"/>
      <c r="Z805" s="249"/>
    </row>
    <row r="806" spans="1:26" s="152" customFormat="1" x14ac:dyDescent="0.25">
      <c r="A806" s="249"/>
      <c r="B806" s="249"/>
      <c r="C806" s="249"/>
      <c r="D806" s="249"/>
      <c r="E806" s="249"/>
      <c r="F806" s="249"/>
      <c r="G806" s="249"/>
      <c r="H806" s="249"/>
      <c r="I806" s="258"/>
      <c r="J806" s="249"/>
      <c r="K806" s="249"/>
      <c r="L806" s="249"/>
      <c r="M806" s="259"/>
      <c r="N806" s="249"/>
      <c r="O806" s="249"/>
      <c r="P806" s="249"/>
      <c r="Q806" s="249"/>
      <c r="R806" s="249"/>
      <c r="S806" s="249"/>
      <c r="T806" s="249"/>
      <c r="U806" s="249"/>
      <c r="V806" s="249"/>
      <c r="W806" s="249"/>
      <c r="X806" s="249"/>
      <c r="Y806" s="249"/>
      <c r="Z806" s="249"/>
    </row>
    <row r="807" spans="1:26" s="152" customFormat="1" x14ac:dyDescent="0.25">
      <c r="A807" s="249"/>
      <c r="B807" s="249"/>
      <c r="C807" s="249"/>
      <c r="D807" s="249"/>
      <c r="E807" s="249"/>
      <c r="F807" s="249"/>
      <c r="G807" s="249"/>
      <c r="H807" s="249"/>
      <c r="I807" s="258"/>
      <c r="J807" s="249"/>
      <c r="K807" s="249"/>
      <c r="L807" s="249"/>
      <c r="M807" s="259"/>
      <c r="N807" s="249"/>
      <c r="O807" s="249"/>
      <c r="P807" s="249"/>
      <c r="Q807" s="249"/>
      <c r="R807" s="249"/>
      <c r="S807" s="249"/>
      <c r="T807" s="249"/>
      <c r="U807" s="249"/>
      <c r="V807" s="249"/>
      <c r="W807" s="249"/>
      <c r="X807" s="249"/>
      <c r="Y807" s="249"/>
      <c r="Z807" s="249"/>
    </row>
    <row r="808" spans="1:26" s="152" customFormat="1" x14ac:dyDescent="0.25">
      <c r="A808" s="249"/>
      <c r="B808" s="249"/>
      <c r="C808" s="249"/>
      <c r="D808" s="249"/>
      <c r="E808" s="249"/>
      <c r="F808" s="249"/>
      <c r="G808" s="249"/>
      <c r="H808" s="249"/>
      <c r="I808" s="258"/>
      <c r="J808" s="249"/>
      <c r="K808" s="249"/>
      <c r="L808" s="249"/>
      <c r="M808" s="259"/>
      <c r="N808" s="249"/>
      <c r="O808" s="249"/>
      <c r="P808" s="249"/>
      <c r="Q808" s="249"/>
      <c r="R808" s="249"/>
      <c r="S808" s="249"/>
      <c r="T808" s="249"/>
      <c r="U808" s="249"/>
      <c r="V808" s="249"/>
      <c r="W808" s="249"/>
      <c r="X808" s="249"/>
      <c r="Y808" s="249"/>
      <c r="Z808" s="249"/>
    </row>
    <row r="809" spans="1:26" s="152" customFormat="1" x14ac:dyDescent="0.25">
      <c r="A809" s="249"/>
      <c r="B809" s="249"/>
      <c r="C809" s="249"/>
      <c r="D809" s="249"/>
      <c r="E809" s="249"/>
      <c r="F809" s="249"/>
      <c r="G809" s="249"/>
      <c r="H809" s="249"/>
      <c r="I809" s="258"/>
      <c r="J809" s="249"/>
      <c r="K809" s="249"/>
      <c r="L809" s="249"/>
      <c r="M809" s="259"/>
      <c r="N809" s="249"/>
      <c r="O809" s="249"/>
      <c r="P809" s="249"/>
      <c r="Q809" s="249"/>
      <c r="R809" s="249"/>
      <c r="S809" s="249"/>
      <c r="T809" s="249"/>
      <c r="U809" s="249"/>
      <c r="V809" s="249"/>
      <c r="W809" s="249"/>
      <c r="X809" s="249"/>
      <c r="Y809" s="249"/>
      <c r="Z809" s="249"/>
    </row>
    <row r="810" spans="1:26" s="152" customFormat="1" x14ac:dyDescent="0.25">
      <c r="A810" s="249"/>
      <c r="B810" s="249"/>
      <c r="C810" s="249"/>
      <c r="D810" s="249"/>
      <c r="E810" s="249"/>
      <c r="F810" s="249"/>
      <c r="G810" s="249"/>
      <c r="H810" s="249"/>
      <c r="I810" s="258"/>
      <c r="J810" s="249"/>
      <c r="K810" s="249"/>
      <c r="L810" s="249"/>
      <c r="M810" s="259"/>
      <c r="N810" s="249"/>
      <c r="O810" s="249"/>
      <c r="P810" s="249"/>
      <c r="Q810" s="249"/>
      <c r="R810" s="249"/>
      <c r="S810" s="249"/>
      <c r="T810" s="249"/>
      <c r="U810" s="249"/>
      <c r="V810" s="249"/>
      <c r="W810" s="249"/>
      <c r="X810" s="249"/>
      <c r="Y810" s="249"/>
      <c r="Z810" s="249"/>
    </row>
    <row r="811" spans="1:26" s="152" customFormat="1" x14ac:dyDescent="0.25">
      <c r="A811" s="249"/>
      <c r="B811" s="249"/>
      <c r="C811" s="249"/>
      <c r="D811" s="249"/>
      <c r="E811" s="249"/>
      <c r="F811" s="249"/>
      <c r="G811" s="249"/>
      <c r="H811" s="249"/>
      <c r="I811" s="258"/>
      <c r="J811" s="249"/>
      <c r="K811" s="249"/>
      <c r="L811" s="249"/>
      <c r="M811" s="259"/>
      <c r="N811" s="249"/>
      <c r="O811" s="249"/>
      <c r="P811" s="249"/>
      <c r="Q811" s="249"/>
      <c r="R811" s="249"/>
      <c r="S811" s="249"/>
      <c r="T811" s="249"/>
      <c r="U811" s="249"/>
      <c r="V811" s="249"/>
      <c r="W811" s="249"/>
      <c r="X811" s="249"/>
      <c r="Y811" s="249"/>
      <c r="Z811" s="249"/>
    </row>
    <row r="812" spans="1:26" s="152" customFormat="1" x14ac:dyDescent="0.25">
      <c r="A812" s="249"/>
      <c r="B812" s="249"/>
      <c r="C812" s="249"/>
      <c r="D812" s="249"/>
      <c r="E812" s="249"/>
      <c r="F812" s="249"/>
      <c r="G812" s="249"/>
      <c r="H812" s="249"/>
      <c r="I812" s="258"/>
      <c r="J812" s="249"/>
      <c r="K812" s="249"/>
      <c r="L812" s="249"/>
      <c r="M812" s="259"/>
      <c r="N812" s="249"/>
      <c r="O812" s="249"/>
      <c r="P812" s="249"/>
      <c r="Q812" s="249"/>
      <c r="R812" s="249"/>
      <c r="S812" s="249"/>
      <c r="T812" s="249"/>
      <c r="U812" s="249"/>
      <c r="V812" s="249"/>
      <c r="W812" s="249"/>
      <c r="X812" s="249"/>
      <c r="Y812" s="249"/>
      <c r="Z812" s="249"/>
    </row>
    <row r="813" spans="1:26" s="152" customFormat="1" x14ac:dyDescent="0.25">
      <c r="A813" s="249"/>
      <c r="B813" s="249"/>
      <c r="C813" s="249"/>
      <c r="D813" s="249"/>
      <c r="E813" s="249"/>
      <c r="F813" s="249"/>
      <c r="G813" s="249"/>
      <c r="H813" s="249"/>
      <c r="I813" s="258"/>
      <c r="J813" s="249"/>
      <c r="K813" s="249"/>
      <c r="L813" s="249"/>
      <c r="M813" s="259"/>
      <c r="N813" s="249"/>
      <c r="O813" s="249"/>
      <c r="P813" s="249"/>
      <c r="Q813" s="249"/>
      <c r="R813" s="249"/>
      <c r="S813" s="249"/>
      <c r="T813" s="249"/>
      <c r="U813" s="249"/>
      <c r="V813" s="249"/>
      <c r="W813" s="249"/>
      <c r="X813" s="249"/>
      <c r="Y813" s="249"/>
      <c r="Z813" s="249"/>
    </row>
    <row r="814" spans="1:26" s="152" customFormat="1" x14ac:dyDescent="0.25">
      <c r="A814" s="249"/>
      <c r="B814" s="249"/>
      <c r="C814" s="249"/>
      <c r="D814" s="249"/>
      <c r="E814" s="249"/>
      <c r="F814" s="249"/>
      <c r="G814" s="249"/>
      <c r="H814" s="249"/>
      <c r="I814" s="258"/>
      <c r="J814" s="249"/>
      <c r="K814" s="249"/>
      <c r="L814" s="249"/>
      <c r="M814" s="259"/>
      <c r="N814" s="249"/>
      <c r="O814" s="249"/>
      <c r="P814" s="249"/>
      <c r="Q814" s="249"/>
      <c r="R814" s="249"/>
      <c r="S814" s="249"/>
      <c r="T814" s="249"/>
      <c r="U814" s="249"/>
      <c r="V814" s="249"/>
      <c r="W814" s="249"/>
      <c r="X814" s="249"/>
      <c r="Y814" s="249"/>
      <c r="Z814" s="249"/>
    </row>
    <row r="815" spans="1:26" s="152" customFormat="1" x14ac:dyDescent="0.25">
      <c r="A815" s="249"/>
      <c r="B815" s="249"/>
      <c r="C815" s="249"/>
      <c r="D815" s="249"/>
      <c r="E815" s="249"/>
      <c r="F815" s="249"/>
      <c r="G815" s="249"/>
      <c r="H815" s="249"/>
      <c r="I815" s="258"/>
      <c r="J815" s="249"/>
      <c r="K815" s="249"/>
      <c r="L815" s="249"/>
      <c r="M815" s="259"/>
      <c r="N815" s="249"/>
      <c r="O815" s="249"/>
      <c r="P815" s="249"/>
      <c r="Q815" s="249"/>
      <c r="R815" s="249"/>
      <c r="S815" s="249"/>
      <c r="T815" s="249"/>
      <c r="U815" s="249"/>
      <c r="V815" s="249"/>
      <c r="W815" s="249"/>
      <c r="X815" s="249"/>
      <c r="Y815" s="249"/>
      <c r="Z815" s="249"/>
    </row>
    <row r="816" spans="1:26" s="152" customFormat="1" x14ac:dyDescent="0.25">
      <c r="A816" s="249"/>
      <c r="B816" s="249"/>
      <c r="C816" s="249"/>
      <c r="D816" s="249"/>
      <c r="E816" s="249"/>
      <c r="F816" s="249"/>
      <c r="G816" s="249"/>
      <c r="H816" s="249"/>
      <c r="I816" s="258"/>
      <c r="J816" s="249"/>
      <c r="K816" s="249"/>
      <c r="L816" s="249"/>
      <c r="M816" s="259"/>
      <c r="N816" s="249"/>
      <c r="O816" s="249"/>
      <c r="P816" s="249"/>
      <c r="Q816" s="249"/>
      <c r="R816" s="249"/>
      <c r="S816" s="249"/>
      <c r="T816" s="249"/>
      <c r="U816" s="249"/>
      <c r="V816" s="249"/>
      <c r="W816" s="249"/>
      <c r="X816" s="249"/>
      <c r="Y816" s="249"/>
      <c r="Z816" s="249"/>
    </row>
    <row r="817" spans="1:26" s="152" customFormat="1" x14ac:dyDescent="0.25">
      <c r="A817" s="249"/>
      <c r="B817" s="249"/>
      <c r="C817" s="249"/>
      <c r="D817" s="249"/>
      <c r="E817" s="249"/>
      <c r="F817" s="249"/>
      <c r="G817" s="249"/>
      <c r="H817" s="249"/>
      <c r="I817" s="258"/>
      <c r="J817" s="249"/>
      <c r="K817" s="249"/>
      <c r="L817" s="249"/>
      <c r="M817" s="25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</row>
    <row r="818" spans="1:26" s="152" customFormat="1" x14ac:dyDescent="0.25">
      <c r="A818" s="249"/>
      <c r="B818" s="249"/>
      <c r="C818" s="249"/>
      <c r="D818" s="249"/>
      <c r="E818" s="249"/>
      <c r="F818" s="249"/>
      <c r="G818" s="249"/>
      <c r="H818" s="249"/>
      <c r="I818" s="258"/>
      <c r="J818" s="249"/>
      <c r="K818" s="249"/>
      <c r="L818" s="249"/>
      <c r="M818" s="25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9"/>
    </row>
    <row r="819" spans="1:26" s="152" customFormat="1" x14ac:dyDescent="0.25">
      <c r="A819" s="249"/>
      <c r="B819" s="249"/>
      <c r="C819" s="249"/>
      <c r="D819" s="249"/>
      <c r="E819" s="249"/>
      <c r="F819" s="249"/>
      <c r="G819" s="249"/>
      <c r="H819" s="249"/>
      <c r="I819" s="258"/>
      <c r="J819" s="249"/>
      <c r="K819" s="249"/>
      <c r="L819" s="249"/>
      <c r="M819" s="259"/>
      <c r="N819" s="249"/>
      <c r="O819" s="249"/>
      <c r="P819" s="249"/>
      <c r="Q819" s="249"/>
      <c r="R819" s="249"/>
      <c r="S819" s="249"/>
      <c r="T819" s="249"/>
      <c r="U819" s="249"/>
      <c r="V819" s="249"/>
      <c r="W819" s="249"/>
      <c r="X819" s="249"/>
      <c r="Y819" s="249"/>
      <c r="Z819" s="249"/>
    </row>
    <row r="820" spans="1:26" s="152" customFormat="1" x14ac:dyDescent="0.25">
      <c r="A820" s="249"/>
      <c r="B820" s="249"/>
      <c r="C820" s="249"/>
      <c r="D820" s="249"/>
      <c r="E820" s="249"/>
      <c r="F820" s="249"/>
      <c r="G820" s="249"/>
      <c r="H820" s="249"/>
      <c r="I820" s="258"/>
      <c r="J820" s="249"/>
      <c r="K820" s="249"/>
      <c r="L820" s="249"/>
      <c r="M820" s="25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</row>
    <row r="821" spans="1:26" s="152" customFormat="1" x14ac:dyDescent="0.25">
      <c r="A821" s="249"/>
      <c r="B821" s="249"/>
      <c r="C821" s="249"/>
      <c r="D821" s="249"/>
      <c r="E821" s="249"/>
      <c r="F821" s="249"/>
      <c r="G821" s="249"/>
      <c r="H821" s="249"/>
      <c r="I821" s="258"/>
      <c r="J821" s="249"/>
      <c r="K821" s="249"/>
      <c r="L821" s="249"/>
      <c r="M821" s="25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</row>
    <row r="822" spans="1:26" s="152" customFormat="1" x14ac:dyDescent="0.25">
      <c r="A822" s="249"/>
      <c r="B822" s="249"/>
      <c r="C822" s="249"/>
      <c r="D822" s="249"/>
      <c r="E822" s="249"/>
      <c r="F822" s="249"/>
      <c r="G822" s="249"/>
      <c r="H822" s="249"/>
      <c r="I822" s="258"/>
      <c r="J822" s="249"/>
      <c r="K822" s="249"/>
      <c r="L822" s="249"/>
      <c r="M822" s="25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</row>
    <row r="823" spans="1:26" s="152" customFormat="1" x14ac:dyDescent="0.25">
      <c r="A823" s="249"/>
      <c r="B823" s="249"/>
      <c r="C823" s="249"/>
      <c r="D823" s="249"/>
      <c r="E823" s="249"/>
      <c r="F823" s="249"/>
      <c r="G823" s="249"/>
      <c r="H823" s="249"/>
      <c r="I823" s="258"/>
      <c r="J823" s="249"/>
      <c r="K823" s="249"/>
      <c r="L823" s="249"/>
      <c r="M823" s="25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</row>
    <row r="824" spans="1:26" s="152" customFormat="1" x14ac:dyDescent="0.25">
      <c r="A824" s="249"/>
      <c r="B824" s="249"/>
      <c r="C824" s="249"/>
      <c r="D824" s="249"/>
      <c r="E824" s="249"/>
      <c r="F824" s="249"/>
      <c r="G824" s="249"/>
      <c r="H824" s="249"/>
      <c r="I824" s="258"/>
      <c r="J824" s="249"/>
      <c r="K824" s="249"/>
      <c r="L824" s="249"/>
      <c r="M824" s="25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</row>
    <row r="825" spans="1:26" s="152" customFormat="1" x14ac:dyDescent="0.25">
      <c r="A825" s="249"/>
      <c r="B825" s="249"/>
      <c r="C825" s="249"/>
      <c r="D825" s="249"/>
      <c r="E825" s="249"/>
      <c r="F825" s="249"/>
      <c r="G825" s="249"/>
      <c r="H825" s="249"/>
      <c r="I825" s="258"/>
      <c r="J825" s="249"/>
      <c r="K825" s="249"/>
      <c r="L825" s="249"/>
      <c r="M825" s="259"/>
      <c r="N825" s="249"/>
      <c r="O825" s="249"/>
      <c r="P825" s="249"/>
      <c r="Q825" s="249"/>
      <c r="R825" s="249"/>
      <c r="S825" s="249"/>
      <c r="T825" s="249"/>
      <c r="U825" s="249"/>
      <c r="V825" s="249"/>
      <c r="W825" s="249"/>
      <c r="X825" s="249"/>
      <c r="Y825" s="249"/>
      <c r="Z825" s="249"/>
    </row>
    <row r="826" spans="1:26" s="152" customFormat="1" x14ac:dyDescent="0.25">
      <c r="A826" s="249"/>
      <c r="B826" s="249"/>
      <c r="C826" s="249"/>
      <c r="D826" s="249"/>
      <c r="E826" s="249"/>
      <c r="F826" s="249"/>
      <c r="G826" s="249"/>
      <c r="H826" s="249"/>
      <c r="I826" s="258"/>
      <c r="J826" s="249"/>
      <c r="K826" s="249"/>
      <c r="L826" s="249"/>
      <c r="M826" s="25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</row>
    <row r="827" spans="1:26" s="152" customFormat="1" x14ac:dyDescent="0.25">
      <c r="A827" s="249"/>
      <c r="B827" s="249"/>
      <c r="C827" s="249"/>
      <c r="D827" s="249"/>
      <c r="E827" s="249"/>
      <c r="F827" s="249"/>
      <c r="G827" s="249"/>
      <c r="H827" s="249"/>
      <c r="I827" s="258"/>
      <c r="J827" s="249"/>
      <c r="K827" s="249"/>
      <c r="L827" s="249"/>
      <c r="M827" s="25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</row>
    <row r="828" spans="1:26" s="152" customFormat="1" x14ac:dyDescent="0.25">
      <c r="A828" s="249"/>
      <c r="B828" s="249"/>
      <c r="C828" s="249"/>
      <c r="D828" s="249"/>
      <c r="E828" s="249"/>
      <c r="F828" s="249"/>
      <c r="G828" s="249"/>
      <c r="H828" s="249"/>
      <c r="I828" s="258"/>
      <c r="J828" s="249"/>
      <c r="K828" s="249"/>
      <c r="L828" s="249"/>
      <c r="M828" s="25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</row>
    <row r="829" spans="1:26" s="152" customFormat="1" x14ac:dyDescent="0.25">
      <c r="A829" s="249"/>
      <c r="B829" s="249"/>
      <c r="C829" s="249"/>
      <c r="D829" s="249"/>
      <c r="E829" s="249"/>
      <c r="F829" s="249"/>
      <c r="G829" s="249"/>
      <c r="H829" s="249"/>
      <c r="I829" s="258"/>
      <c r="J829" s="249"/>
      <c r="K829" s="249"/>
      <c r="L829" s="249"/>
      <c r="M829" s="259"/>
      <c r="N829" s="249"/>
      <c r="O829" s="249"/>
      <c r="P829" s="249"/>
      <c r="Q829" s="249"/>
      <c r="R829" s="249"/>
      <c r="S829" s="249"/>
      <c r="T829" s="249"/>
      <c r="U829" s="249"/>
      <c r="V829" s="249"/>
      <c r="W829" s="249"/>
      <c r="X829" s="249"/>
      <c r="Y829" s="249"/>
      <c r="Z829" s="249"/>
    </row>
    <row r="830" spans="1:26" s="152" customFormat="1" x14ac:dyDescent="0.25">
      <c r="A830" s="249"/>
      <c r="B830" s="249"/>
      <c r="C830" s="249"/>
      <c r="D830" s="249"/>
      <c r="E830" s="249"/>
      <c r="F830" s="249"/>
      <c r="G830" s="249"/>
      <c r="H830" s="249"/>
      <c r="I830" s="258"/>
      <c r="J830" s="249"/>
      <c r="K830" s="249"/>
      <c r="L830" s="249"/>
      <c r="M830" s="25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</row>
    <row r="831" spans="1:26" s="152" customFormat="1" x14ac:dyDescent="0.25">
      <c r="A831" s="249"/>
      <c r="B831" s="249"/>
      <c r="C831" s="249"/>
      <c r="D831" s="249"/>
      <c r="E831" s="249"/>
      <c r="F831" s="249"/>
      <c r="G831" s="249"/>
      <c r="H831" s="249"/>
      <c r="I831" s="258"/>
      <c r="J831" s="249"/>
      <c r="K831" s="249"/>
      <c r="L831" s="249"/>
      <c r="M831" s="259"/>
      <c r="N831" s="249"/>
      <c r="O831" s="249"/>
      <c r="P831" s="249"/>
      <c r="Q831" s="249"/>
      <c r="R831" s="249"/>
      <c r="S831" s="249"/>
      <c r="T831" s="249"/>
      <c r="U831" s="249"/>
      <c r="V831" s="249"/>
      <c r="W831" s="249"/>
      <c r="X831" s="249"/>
      <c r="Y831" s="249"/>
      <c r="Z831" s="249"/>
    </row>
    <row r="832" spans="1:26" s="152" customFormat="1" x14ac:dyDescent="0.25">
      <c r="A832" s="249"/>
      <c r="B832" s="249"/>
      <c r="C832" s="249"/>
      <c r="D832" s="249"/>
      <c r="E832" s="249"/>
      <c r="F832" s="249"/>
      <c r="G832" s="249"/>
      <c r="H832" s="249"/>
      <c r="I832" s="258"/>
      <c r="J832" s="249"/>
      <c r="K832" s="249"/>
      <c r="L832" s="249"/>
      <c r="M832" s="259"/>
      <c r="N832" s="249"/>
      <c r="O832" s="249"/>
      <c r="P832" s="249"/>
      <c r="Q832" s="249"/>
      <c r="R832" s="249"/>
      <c r="S832" s="249"/>
      <c r="T832" s="249"/>
      <c r="U832" s="249"/>
      <c r="V832" s="249"/>
      <c r="W832" s="249"/>
      <c r="X832" s="249"/>
      <c r="Y832" s="249"/>
      <c r="Z832" s="249"/>
    </row>
    <row r="833" spans="1:26" s="152" customFormat="1" x14ac:dyDescent="0.25">
      <c r="A833" s="249"/>
      <c r="B833" s="249"/>
      <c r="C833" s="249"/>
      <c r="D833" s="249"/>
      <c r="E833" s="249"/>
      <c r="F833" s="249"/>
      <c r="G833" s="249"/>
      <c r="H833" s="249"/>
      <c r="I833" s="258"/>
      <c r="J833" s="249"/>
      <c r="K833" s="249"/>
      <c r="L833" s="249"/>
      <c r="M833" s="259"/>
      <c r="N833" s="249"/>
      <c r="O833" s="249"/>
      <c r="P833" s="249"/>
      <c r="Q833" s="249"/>
      <c r="R833" s="249"/>
      <c r="S833" s="249"/>
      <c r="T833" s="249"/>
      <c r="U833" s="249"/>
      <c r="V833" s="249"/>
      <c r="W833" s="249"/>
      <c r="X833" s="249"/>
      <c r="Y833" s="249"/>
      <c r="Z833" s="249"/>
    </row>
    <row r="834" spans="1:26" s="152" customFormat="1" x14ac:dyDescent="0.25">
      <c r="A834" s="249"/>
      <c r="B834" s="249"/>
      <c r="C834" s="249"/>
      <c r="D834" s="249"/>
      <c r="E834" s="249"/>
      <c r="F834" s="249"/>
      <c r="G834" s="249"/>
      <c r="H834" s="249"/>
      <c r="I834" s="258"/>
      <c r="J834" s="249"/>
      <c r="K834" s="249"/>
      <c r="L834" s="249"/>
      <c r="M834" s="259"/>
      <c r="N834" s="249"/>
      <c r="O834" s="249"/>
      <c r="P834" s="249"/>
      <c r="Q834" s="249"/>
      <c r="R834" s="249"/>
      <c r="S834" s="249"/>
      <c r="T834" s="249"/>
      <c r="U834" s="249"/>
      <c r="V834" s="249"/>
      <c r="W834" s="249"/>
      <c r="X834" s="249"/>
      <c r="Y834" s="249"/>
      <c r="Z834" s="249"/>
    </row>
    <row r="835" spans="1:26" s="152" customFormat="1" x14ac:dyDescent="0.25">
      <c r="A835" s="249"/>
      <c r="B835" s="249"/>
      <c r="C835" s="249"/>
      <c r="D835" s="249"/>
      <c r="E835" s="249"/>
      <c r="F835" s="249"/>
      <c r="G835" s="249"/>
      <c r="H835" s="249"/>
      <c r="I835" s="258"/>
      <c r="J835" s="249"/>
      <c r="K835" s="249"/>
      <c r="L835" s="249"/>
      <c r="M835" s="259"/>
      <c r="N835" s="249"/>
      <c r="O835" s="249"/>
      <c r="P835" s="249"/>
      <c r="Q835" s="249"/>
      <c r="R835" s="249"/>
      <c r="S835" s="249"/>
      <c r="T835" s="249"/>
      <c r="U835" s="249"/>
      <c r="V835" s="249"/>
      <c r="W835" s="249"/>
      <c r="X835" s="249"/>
      <c r="Y835" s="249"/>
      <c r="Z835" s="249"/>
    </row>
    <row r="836" spans="1:26" s="152" customFormat="1" x14ac:dyDescent="0.25">
      <c r="A836" s="249"/>
      <c r="B836" s="249"/>
      <c r="C836" s="249"/>
      <c r="D836" s="249"/>
      <c r="E836" s="249"/>
      <c r="F836" s="249"/>
      <c r="G836" s="249"/>
      <c r="H836" s="249"/>
      <c r="I836" s="258"/>
      <c r="J836" s="249"/>
      <c r="K836" s="249"/>
      <c r="L836" s="249"/>
      <c r="M836" s="259"/>
      <c r="N836" s="249"/>
      <c r="O836" s="249"/>
      <c r="P836" s="249"/>
      <c r="Q836" s="249"/>
      <c r="R836" s="249"/>
      <c r="S836" s="249"/>
      <c r="T836" s="249"/>
      <c r="U836" s="249"/>
      <c r="V836" s="249"/>
      <c r="W836" s="249"/>
      <c r="X836" s="249"/>
      <c r="Y836" s="249"/>
      <c r="Z836" s="249"/>
    </row>
    <row r="837" spans="1:26" s="152" customFormat="1" x14ac:dyDescent="0.25">
      <c r="A837" s="249"/>
      <c r="B837" s="249"/>
      <c r="C837" s="249"/>
      <c r="D837" s="249"/>
      <c r="E837" s="249"/>
      <c r="F837" s="249"/>
      <c r="G837" s="249"/>
      <c r="H837" s="249"/>
      <c r="I837" s="258"/>
      <c r="J837" s="249"/>
      <c r="K837" s="249"/>
      <c r="L837" s="249"/>
      <c r="M837" s="259"/>
      <c r="N837" s="249"/>
      <c r="O837" s="249"/>
      <c r="P837" s="249"/>
      <c r="Q837" s="249"/>
      <c r="R837" s="249"/>
      <c r="S837" s="249"/>
      <c r="T837" s="249"/>
      <c r="U837" s="249"/>
      <c r="V837" s="249"/>
      <c r="W837" s="249"/>
      <c r="X837" s="249"/>
      <c r="Y837" s="249"/>
      <c r="Z837" s="249"/>
    </row>
    <row r="838" spans="1:26" s="152" customFormat="1" x14ac:dyDescent="0.25">
      <c r="A838" s="249"/>
      <c r="B838" s="249"/>
      <c r="C838" s="249"/>
      <c r="D838" s="249"/>
      <c r="E838" s="249"/>
      <c r="F838" s="249"/>
      <c r="G838" s="249"/>
      <c r="H838" s="249"/>
      <c r="I838" s="258"/>
      <c r="J838" s="249"/>
      <c r="K838" s="249"/>
      <c r="L838" s="249"/>
      <c r="M838" s="259"/>
      <c r="N838" s="249"/>
      <c r="O838" s="249"/>
      <c r="P838" s="249"/>
      <c r="Q838" s="249"/>
      <c r="R838" s="249"/>
      <c r="S838" s="249"/>
      <c r="T838" s="249"/>
      <c r="U838" s="249"/>
      <c r="V838" s="249"/>
      <c r="W838" s="249"/>
      <c r="X838" s="249"/>
      <c r="Y838" s="249"/>
      <c r="Z838" s="249"/>
    </row>
    <row r="839" spans="1:26" s="152" customFormat="1" x14ac:dyDescent="0.25">
      <c r="A839" s="249"/>
      <c r="B839" s="249"/>
      <c r="C839" s="249"/>
      <c r="D839" s="249"/>
      <c r="E839" s="249"/>
      <c r="F839" s="249"/>
      <c r="G839" s="249"/>
      <c r="H839" s="249"/>
      <c r="I839" s="258"/>
      <c r="J839" s="249"/>
      <c r="K839" s="249"/>
      <c r="L839" s="249"/>
      <c r="M839" s="259"/>
      <c r="N839" s="249"/>
      <c r="O839" s="249"/>
      <c r="P839" s="249"/>
      <c r="Q839" s="249"/>
      <c r="R839" s="249"/>
      <c r="S839" s="249"/>
      <c r="T839" s="249"/>
      <c r="U839" s="249"/>
      <c r="V839" s="249"/>
      <c r="W839" s="249"/>
      <c r="X839" s="249"/>
      <c r="Y839" s="249"/>
      <c r="Z839" s="249"/>
    </row>
    <row r="840" spans="1:26" s="152" customFormat="1" x14ac:dyDescent="0.25">
      <c r="A840" s="249"/>
      <c r="B840" s="249"/>
      <c r="C840" s="249"/>
      <c r="D840" s="249"/>
      <c r="E840" s="249"/>
      <c r="F840" s="249"/>
      <c r="G840" s="249"/>
      <c r="H840" s="249"/>
      <c r="I840" s="258"/>
      <c r="J840" s="249"/>
      <c r="K840" s="249"/>
      <c r="L840" s="249"/>
      <c r="M840" s="259"/>
      <c r="N840" s="249"/>
      <c r="O840" s="249"/>
      <c r="P840" s="249"/>
      <c r="Q840" s="249"/>
      <c r="R840" s="249"/>
      <c r="S840" s="249"/>
      <c r="T840" s="249"/>
      <c r="U840" s="249"/>
      <c r="V840" s="249"/>
      <c r="W840" s="249"/>
      <c r="X840" s="249"/>
      <c r="Y840" s="249"/>
      <c r="Z840" s="249"/>
    </row>
    <row r="841" spans="1:26" s="152" customFormat="1" x14ac:dyDescent="0.25">
      <c r="A841" s="249"/>
      <c r="B841" s="249"/>
      <c r="C841" s="249"/>
      <c r="D841" s="249"/>
      <c r="E841" s="249"/>
      <c r="F841" s="249"/>
      <c r="G841" s="249"/>
      <c r="H841" s="249"/>
      <c r="I841" s="258"/>
      <c r="J841" s="249"/>
      <c r="K841" s="249"/>
      <c r="L841" s="249"/>
      <c r="M841" s="259"/>
      <c r="N841" s="249"/>
      <c r="O841" s="249"/>
      <c r="P841" s="249"/>
      <c r="Q841" s="249"/>
      <c r="R841" s="249"/>
      <c r="S841" s="249"/>
      <c r="T841" s="249"/>
      <c r="U841" s="249"/>
      <c r="V841" s="249"/>
      <c r="W841" s="249"/>
      <c r="X841" s="249"/>
      <c r="Y841" s="249"/>
      <c r="Z841" s="249"/>
    </row>
    <row r="842" spans="1:26" s="152" customFormat="1" x14ac:dyDescent="0.25">
      <c r="A842" s="249"/>
      <c r="B842" s="249"/>
      <c r="C842" s="249"/>
      <c r="D842" s="249"/>
      <c r="E842" s="249"/>
      <c r="F842" s="249"/>
      <c r="G842" s="249"/>
      <c r="H842" s="249"/>
      <c r="I842" s="258"/>
      <c r="J842" s="249"/>
      <c r="K842" s="249"/>
      <c r="L842" s="249"/>
      <c r="M842" s="259"/>
      <c r="N842" s="249"/>
      <c r="O842" s="249"/>
      <c r="P842" s="249"/>
      <c r="Q842" s="249"/>
      <c r="R842" s="249"/>
      <c r="S842" s="249"/>
      <c r="T842" s="249"/>
      <c r="U842" s="249"/>
      <c r="V842" s="249"/>
      <c r="W842" s="249"/>
      <c r="X842" s="249"/>
      <c r="Y842" s="249"/>
      <c r="Z842" s="249"/>
    </row>
    <row r="843" spans="1:26" s="152" customFormat="1" x14ac:dyDescent="0.25">
      <c r="A843" s="249"/>
      <c r="B843" s="249"/>
      <c r="C843" s="249"/>
      <c r="D843" s="249"/>
      <c r="E843" s="249"/>
      <c r="F843" s="249"/>
      <c r="G843" s="249"/>
      <c r="H843" s="249"/>
      <c r="I843" s="258"/>
      <c r="J843" s="249"/>
      <c r="K843" s="249"/>
      <c r="L843" s="249"/>
      <c r="M843" s="259"/>
      <c r="N843" s="249"/>
      <c r="O843" s="249"/>
      <c r="P843" s="249"/>
      <c r="Q843" s="249"/>
      <c r="R843" s="249"/>
      <c r="S843" s="249"/>
      <c r="T843" s="249"/>
      <c r="U843" s="249"/>
      <c r="V843" s="249"/>
      <c r="W843" s="249"/>
      <c r="X843" s="249"/>
      <c r="Y843" s="249"/>
      <c r="Z843" s="249"/>
    </row>
    <row r="844" spans="1:26" s="152" customFormat="1" x14ac:dyDescent="0.25">
      <c r="A844" s="249"/>
      <c r="B844" s="249"/>
      <c r="C844" s="249"/>
      <c r="D844" s="249"/>
      <c r="E844" s="249"/>
      <c r="F844" s="249"/>
      <c r="G844" s="249"/>
      <c r="H844" s="249"/>
      <c r="I844" s="258"/>
      <c r="J844" s="249"/>
      <c r="K844" s="249"/>
      <c r="L844" s="249"/>
      <c r="M844" s="259"/>
      <c r="N844" s="249"/>
      <c r="O844" s="249"/>
      <c r="P844" s="249"/>
      <c r="Q844" s="249"/>
      <c r="R844" s="249"/>
      <c r="S844" s="249"/>
      <c r="T844" s="249"/>
      <c r="U844" s="249"/>
      <c r="V844" s="249"/>
      <c r="W844" s="249"/>
      <c r="X844" s="249"/>
      <c r="Y844" s="249"/>
      <c r="Z844" s="249"/>
    </row>
    <row r="845" spans="1:26" s="152" customFormat="1" x14ac:dyDescent="0.25">
      <c r="A845" s="249"/>
      <c r="B845" s="249"/>
      <c r="C845" s="249"/>
      <c r="D845" s="249"/>
      <c r="E845" s="249"/>
      <c r="F845" s="249"/>
      <c r="G845" s="249"/>
      <c r="H845" s="249"/>
      <c r="I845" s="258"/>
      <c r="J845" s="249"/>
      <c r="K845" s="249"/>
      <c r="L845" s="249"/>
      <c r="M845" s="259"/>
      <c r="N845" s="249"/>
      <c r="O845" s="249"/>
      <c r="P845" s="249"/>
      <c r="Q845" s="249"/>
      <c r="R845" s="249"/>
      <c r="S845" s="249"/>
      <c r="T845" s="249"/>
      <c r="U845" s="249"/>
      <c r="V845" s="249"/>
      <c r="W845" s="249"/>
      <c r="X845" s="249"/>
      <c r="Y845" s="249"/>
      <c r="Z845" s="249"/>
    </row>
    <row r="846" spans="1:26" s="152" customFormat="1" x14ac:dyDescent="0.25">
      <c r="A846" s="249"/>
      <c r="B846" s="249"/>
      <c r="C846" s="249"/>
      <c r="D846" s="249"/>
      <c r="E846" s="249"/>
      <c r="F846" s="249"/>
      <c r="G846" s="249"/>
      <c r="H846" s="249"/>
      <c r="I846" s="258"/>
      <c r="J846" s="249"/>
      <c r="K846" s="249"/>
      <c r="L846" s="249"/>
      <c r="M846" s="259"/>
      <c r="N846" s="249"/>
      <c r="O846" s="249"/>
      <c r="P846" s="249"/>
      <c r="Q846" s="249"/>
      <c r="R846" s="249"/>
      <c r="S846" s="249"/>
      <c r="T846" s="249"/>
      <c r="U846" s="249"/>
      <c r="V846" s="249"/>
      <c r="W846" s="249"/>
      <c r="X846" s="249"/>
      <c r="Y846" s="249"/>
      <c r="Z846" s="249"/>
    </row>
    <row r="847" spans="1:26" s="152" customFormat="1" x14ac:dyDescent="0.25">
      <c r="A847" s="249"/>
      <c r="B847" s="249"/>
      <c r="C847" s="249"/>
      <c r="D847" s="249"/>
      <c r="E847" s="249"/>
      <c r="F847" s="249"/>
      <c r="G847" s="249"/>
      <c r="H847" s="249"/>
      <c r="I847" s="258"/>
      <c r="J847" s="249"/>
      <c r="K847" s="249"/>
      <c r="L847" s="249"/>
      <c r="M847" s="259"/>
      <c r="N847" s="249"/>
      <c r="O847" s="249"/>
      <c r="P847" s="249"/>
      <c r="Q847" s="249"/>
      <c r="R847" s="249"/>
      <c r="S847" s="249"/>
      <c r="T847" s="249"/>
      <c r="U847" s="249"/>
      <c r="V847" s="249"/>
      <c r="W847" s="249"/>
      <c r="X847" s="249"/>
      <c r="Y847" s="249"/>
      <c r="Z847" s="249"/>
    </row>
    <row r="848" spans="1:26" s="152" customFormat="1" x14ac:dyDescent="0.25">
      <c r="A848" s="249"/>
      <c r="B848" s="249"/>
      <c r="C848" s="249"/>
      <c r="D848" s="249"/>
      <c r="E848" s="249"/>
      <c r="F848" s="249"/>
      <c r="G848" s="249"/>
      <c r="H848" s="249"/>
      <c r="I848" s="258"/>
      <c r="J848" s="249"/>
      <c r="K848" s="249"/>
      <c r="L848" s="249"/>
      <c r="M848" s="259"/>
      <c r="N848" s="249"/>
      <c r="O848" s="249"/>
      <c r="P848" s="249"/>
      <c r="Q848" s="249"/>
      <c r="R848" s="249"/>
      <c r="S848" s="249"/>
      <c r="T848" s="249"/>
      <c r="U848" s="249"/>
      <c r="V848" s="249"/>
      <c r="W848" s="249"/>
      <c r="X848" s="249"/>
      <c r="Y848" s="249"/>
      <c r="Z848" s="249"/>
    </row>
    <row r="849" spans="1:26" s="152" customFormat="1" x14ac:dyDescent="0.25">
      <c r="A849" s="249"/>
      <c r="B849" s="249"/>
      <c r="C849" s="249"/>
      <c r="D849" s="249"/>
      <c r="E849" s="249"/>
      <c r="F849" s="249"/>
      <c r="G849" s="249"/>
      <c r="H849" s="249"/>
      <c r="I849" s="258"/>
      <c r="J849" s="249"/>
      <c r="K849" s="249"/>
      <c r="L849" s="249"/>
      <c r="M849" s="259"/>
      <c r="N849" s="249"/>
      <c r="O849" s="249"/>
      <c r="P849" s="249"/>
      <c r="Q849" s="249"/>
      <c r="R849" s="249"/>
      <c r="S849" s="249"/>
      <c r="T849" s="249"/>
      <c r="U849" s="249"/>
      <c r="V849" s="249"/>
      <c r="W849" s="249"/>
      <c r="X849" s="249"/>
      <c r="Y849" s="249"/>
      <c r="Z849" s="249"/>
    </row>
    <row r="850" spans="1:26" s="152" customFormat="1" x14ac:dyDescent="0.25">
      <c r="A850" s="249"/>
      <c r="B850" s="249"/>
      <c r="C850" s="249"/>
      <c r="D850" s="249"/>
      <c r="E850" s="249"/>
      <c r="F850" s="249"/>
      <c r="G850" s="249"/>
      <c r="H850" s="249"/>
      <c r="I850" s="258"/>
      <c r="J850" s="249"/>
      <c r="K850" s="249"/>
      <c r="L850" s="249"/>
      <c r="M850" s="25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</row>
    <row r="851" spans="1:26" s="152" customFormat="1" x14ac:dyDescent="0.25">
      <c r="A851" s="249"/>
      <c r="B851" s="249"/>
      <c r="C851" s="249"/>
      <c r="D851" s="249"/>
      <c r="E851" s="249"/>
      <c r="F851" s="249"/>
      <c r="G851" s="249"/>
      <c r="H851" s="249"/>
      <c r="I851" s="258"/>
      <c r="J851" s="249"/>
      <c r="K851" s="249"/>
      <c r="L851" s="249"/>
      <c r="M851" s="25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9"/>
    </row>
    <row r="852" spans="1:26" s="152" customFormat="1" x14ac:dyDescent="0.25">
      <c r="A852" s="249"/>
      <c r="B852" s="249"/>
      <c r="C852" s="249"/>
      <c r="D852" s="249"/>
      <c r="E852" s="249"/>
      <c r="F852" s="249"/>
      <c r="G852" s="249"/>
      <c r="H852" s="249"/>
      <c r="I852" s="258"/>
      <c r="J852" s="249"/>
      <c r="K852" s="249"/>
      <c r="L852" s="249"/>
      <c r="M852" s="259"/>
      <c r="N852" s="249"/>
      <c r="O852" s="249"/>
      <c r="P852" s="249"/>
      <c r="Q852" s="249"/>
      <c r="R852" s="249"/>
      <c r="S852" s="249"/>
      <c r="T852" s="249"/>
      <c r="U852" s="249"/>
      <c r="V852" s="249"/>
      <c r="W852" s="249"/>
      <c r="X852" s="249"/>
      <c r="Y852" s="249"/>
      <c r="Z852" s="249"/>
    </row>
    <row r="853" spans="1:26" s="152" customFormat="1" x14ac:dyDescent="0.25">
      <c r="A853" s="249"/>
      <c r="B853" s="249"/>
      <c r="C853" s="249"/>
      <c r="D853" s="249"/>
      <c r="E853" s="249"/>
      <c r="F853" s="249"/>
      <c r="G853" s="249"/>
      <c r="H853" s="249"/>
      <c r="I853" s="258"/>
      <c r="J853" s="249"/>
      <c r="K853" s="249"/>
      <c r="L853" s="249"/>
      <c r="M853" s="25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</row>
    <row r="854" spans="1:26" s="152" customFormat="1" x14ac:dyDescent="0.25">
      <c r="A854" s="249"/>
      <c r="B854" s="249"/>
      <c r="C854" s="249"/>
      <c r="D854" s="249"/>
      <c r="E854" s="249"/>
      <c r="F854" s="249"/>
      <c r="G854" s="249"/>
      <c r="H854" s="249"/>
      <c r="I854" s="258"/>
      <c r="J854" s="249"/>
      <c r="K854" s="249"/>
      <c r="L854" s="249"/>
      <c r="M854" s="25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</row>
    <row r="855" spans="1:26" s="152" customFormat="1" x14ac:dyDescent="0.25">
      <c r="A855" s="249"/>
      <c r="B855" s="249"/>
      <c r="C855" s="249"/>
      <c r="D855" s="249"/>
      <c r="E855" s="249"/>
      <c r="F855" s="249"/>
      <c r="G855" s="249"/>
      <c r="H855" s="249"/>
      <c r="I855" s="258"/>
      <c r="J855" s="249"/>
      <c r="K855" s="249"/>
      <c r="L855" s="249"/>
      <c r="M855" s="25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</row>
    <row r="856" spans="1:26" s="152" customFormat="1" x14ac:dyDescent="0.25">
      <c r="A856" s="249"/>
      <c r="B856" s="249"/>
      <c r="C856" s="249"/>
      <c r="D856" s="249"/>
      <c r="E856" s="249"/>
      <c r="F856" s="249"/>
      <c r="G856" s="249"/>
      <c r="H856" s="249"/>
      <c r="I856" s="258"/>
      <c r="J856" s="249"/>
      <c r="K856" s="249"/>
      <c r="L856" s="249"/>
      <c r="M856" s="25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</row>
    <row r="857" spans="1:26" s="152" customFormat="1" x14ac:dyDescent="0.25">
      <c r="A857" s="249"/>
      <c r="B857" s="249"/>
      <c r="C857" s="249"/>
      <c r="D857" s="249"/>
      <c r="E857" s="249"/>
      <c r="F857" s="249"/>
      <c r="G857" s="249"/>
      <c r="H857" s="249"/>
      <c r="I857" s="258"/>
      <c r="J857" s="249"/>
      <c r="K857" s="249"/>
      <c r="L857" s="249"/>
      <c r="M857" s="25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</row>
    <row r="858" spans="1:26" s="152" customFormat="1" x14ac:dyDescent="0.25">
      <c r="A858" s="249"/>
      <c r="B858" s="249"/>
      <c r="C858" s="249"/>
      <c r="D858" s="249"/>
      <c r="E858" s="249"/>
      <c r="F858" s="249"/>
      <c r="G858" s="249"/>
      <c r="H858" s="249"/>
      <c r="I858" s="258"/>
      <c r="J858" s="249"/>
      <c r="K858" s="249"/>
      <c r="L858" s="249"/>
      <c r="M858" s="259"/>
      <c r="N858" s="249"/>
      <c r="O858" s="249"/>
      <c r="P858" s="249"/>
      <c r="Q858" s="249"/>
      <c r="R858" s="249"/>
      <c r="S858" s="249"/>
      <c r="T858" s="249"/>
      <c r="U858" s="249"/>
      <c r="V858" s="249"/>
      <c r="W858" s="249"/>
      <c r="X858" s="249"/>
      <c r="Y858" s="249"/>
      <c r="Z858" s="249"/>
    </row>
    <row r="859" spans="1:26" s="152" customFormat="1" x14ac:dyDescent="0.25">
      <c r="A859" s="249"/>
      <c r="B859" s="249"/>
      <c r="C859" s="249"/>
      <c r="D859" s="249"/>
      <c r="E859" s="249"/>
      <c r="F859" s="249"/>
      <c r="G859" s="249"/>
      <c r="H859" s="249"/>
      <c r="I859" s="258"/>
      <c r="J859" s="249"/>
      <c r="K859" s="249"/>
      <c r="L859" s="249"/>
      <c r="M859" s="25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</row>
    <row r="860" spans="1:26" s="152" customFormat="1" x14ac:dyDescent="0.25">
      <c r="A860" s="249"/>
      <c r="B860" s="249"/>
      <c r="C860" s="249"/>
      <c r="D860" s="249"/>
      <c r="E860" s="249"/>
      <c r="F860" s="249"/>
      <c r="G860" s="249"/>
      <c r="H860" s="249"/>
      <c r="I860" s="258"/>
      <c r="J860" s="249"/>
      <c r="K860" s="249"/>
      <c r="L860" s="249"/>
      <c r="M860" s="25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</row>
    <row r="861" spans="1:26" s="152" customFormat="1" x14ac:dyDescent="0.25">
      <c r="A861" s="249"/>
      <c r="B861" s="249"/>
      <c r="C861" s="249"/>
      <c r="D861" s="249"/>
      <c r="E861" s="249"/>
      <c r="F861" s="249"/>
      <c r="G861" s="249"/>
      <c r="H861" s="249"/>
      <c r="I861" s="258"/>
      <c r="J861" s="249"/>
      <c r="K861" s="249"/>
      <c r="L861" s="249"/>
      <c r="M861" s="25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</row>
    <row r="862" spans="1:26" s="152" customFormat="1" x14ac:dyDescent="0.25">
      <c r="A862" s="249"/>
      <c r="B862" s="249"/>
      <c r="C862" s="249"/>
      <c r="D862" s="249"/>
      <c r="E862" s="249"/>
      <c r="F862" s="249"/>
      <c r="G862" s="249"/>
      <c r="H862" s="249"/>
      <c r="I862" s="258"/>
      <c r="J862" s="249"/>
      <c r="K862" s="249"/>
      <c r="L862" s="249"/>
      <c r="M862" s="259"/>
      <c r="N862" s="249"/>
      <c r="O862" s="249"/>
      <c r="P862" s="249"/>
      <c r="Q862" s="249"/>
      <c r="R862" s="249"/>
      <c r="S862" s="249"/>
      <c r="T862" s="249"/>
      <c r="U862" s="249"/>
      <c r="V862" s="249"/>
      <c r="W862" s="249"/>
      <c r="X862" s="249"/>
      <c r="Y862" s="249"/>
      <c r="Z862" s="249"/>
    </row>
    <row r="863" spans="1:26" s="152" customFormat="1" x14ac:dyDescent="0.25">
      <c r="A863" s="249"/>
      <c r="B863" s="249"/>
      <c r="C863" s="249"/>
      <c r="D863" s="249"/>
      <c r="E863" s="249"/>
      <c r="F863" s="249"/>
      <c r="G863" s="249"/>
      <c r="H863" s="249"/>
      <c r="I863" s="258"/>
      <c r="J863" s="249"/>
      <c r="K863" s="249"/>
      <c r="L863" s="249"/>
      <c r="M863" s="25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</row>
    <row r="864" spans="1:26" s="152" customFormat="1" x14ac:dyDescent="0.25">
      <c r="A864" s="249"/>
      <c r="B864" s="249"/>
      <c r="C864" s="249"/>
      <c r="D864" s="249"/>
      <c r="E864" s="249"/>
      <c r="F864" s="249"/>
      <c r="G864" s="249"/>
      <c r="H864" s="249"/>
      <c r="I864" s="258"/>
      <c r="J864" s="249"/>
      <c r="K864" s="249"/>
      <c r="L864" s="249"/>
      <c r="M864" s="259"/>
      <c r="N864" s="249"/>
      <c r="O864" s="249"/>
      <c r="P864" s="249"/>
      <c r="Q864" s="249"/>
      <c r="R864" s="249"/>
      <c r="S864" s="249"/>
      <c r="T864" s="249"/>
      <c r="U864" s="249"/>
      <c r="V864" s="249"/>
      <c r="W864" s="249"/>
      <c r="X864" s="249"/>
      <c r="Y864" s="249"/>
      <c r="Z864" s="249"/>
    </row>
    <row r="865" spans="1:26" s="152" customFormat="1" x14ac:dyDescent="0.25">
      <c r="A865" s="249"/>
      <c r="B865" s="249"/>
      <c r="C865" s="249"/>
      <c r="D865" s="249"/>
      <c r="E865" s="249"/>
      <c r="F865" s="249"/>
      <c r="G865" s="249"/>
      <c r="H865" s="249"/>
      <c r="I865" s="258"/>
      <c r="J865" s="249"/>
      <c r="K865" s="249"/>
      <c r="L865" s="249"/>
      <c r="M865" s="259"/>
      <c r="N865" s="249"/>
      <c r="O865" s="249"/>
      <c r="P865" s="249"/>
      <c r="Q865" s="249"/>
      <c r="R865" s="249"/>
      <c r="S865" s="249"/>
      <c r="T865" s="249"/>
      <c r="U865" s="249"/>
      <c r="V865" s="249"/>
      <c r="W865" s="249"/>
      <c r="X865" s="249"/>
      <c r="Y865" s="249"/>
      <c r="Z865" s="249"/>
    </row>
    <row r="866" spans="1:26" s="152" customFormat="1" x14ac:dyDescent="0.25">
      <c r="A866" s="249"/>
      <c r="B866" s="249"/>
      <c r="C866" s="249"/>
      <c r="D866" s="249"/>
      <c r="E866" s="249"/>
      <c r="F866" s="249"/>
      <c r="G866" s="249"/>
      <c r="H866" s="249"/>
      <c r="I866" s="258"/>
      <c r="J866" s="249"/>
      <c r="K866" s="249"/>
      <c r="L866" s="249"/>
      <c r="M866" s="259"/>
      <c r="N866" s="249"/>
      <c r="O866" s="249"/>
      <c r="P866" s="249"/>
      <c r="Q866" s="249"/>
      <c r="R866" s="249"/>
      <c r="S866" s="249"/>
      <c r="T866" s="249"/>
      <c r="U866" s="249"/>
      <c r="V866" s="249"/>
      <c r="W866" s="249"/>
      <c r="X866" s="249"/>
      <c r="Y866" s="249"/>
      <c r="Z866" s="249"/>
    </row>
    <row r="867" spans="1:26" s="152" customFormat="1" x14ac:dyDescent="0.25">
      <c r="A867" s="249"/>
      <c r="B867" s="249"/>
      <c r="C867" s="249"/>
      <c r="D867" s="249"/>
      <c r="E867" s="249"/>
      <c r="F867" s="249"/>
      <c r="G867" s="249"/>
      <c r="H867" s="249"/>
      <c r="I867" s="258"/>
      <c r="J867" s="249"/>
      <c r="K867" s="249"/>
      <c r="L867" s="249"/>
      <c r="M867" s="259"/>
      <c r="N867" s="249"/>
      <c r="O867" s="249"/>
      <c r="P867" s="249"/>
      <c r="Q867" s="249"/>
      <c r="R867" s="249"/>
      <c r="S867" s="249"/>
      <c r="T867" s="249"/>
      <c r="U867" s="249"/>
      <c r="V867" s="249"/>
      <c r="W867" s="249"/>
      <c r="X867" s="249"/>
      <c r="Y867" s="249"/>
      <c r="Z867" s="249"/>
    </row>
    <row r="868" spans="1:26" s="152" customFormat="1" x14ac:dyDescent="0.25">
      <c r="A868" s="249"/>
      <c r="B868" s="249"/>
      <c r="C868" s="249"/>
      <c r="D868" s="249"/>
      <c r="E868" s="249"/>
      <c r="F868" s="249"/>
      <c r="G868" s="249"/>
      <c r="H868" s="249"/>
      <c r="I868" s="258"/>
      <c r="J868" s="249"/>
      <c r="K868" s="249"/>
      <c r="L868" s="249"/>
      <c r="M868" s="259"/>
      <c r="N868" s="249"/>
      <c r="O868" s="249"/>
      <c r="P868" s="249"/>
      <c r="Q868" s="249"/>
      <c r="R868" s="249"/>
      <c r="S868" s="249"/>
      <c r="T868" s="249"/>
      <c r="U868" s="249"/>
      <c r="V868" s="249"/>
      <c r="W868" s="249"/>
      <c r="X868" s="249"/>
      <c r="Y868" s="249"/>
      <c r="Z868" s="249"/>
    </row>
    <row r="869" spans="1:26" s="152" customFormat="1" x14ac:dyDescent="0.25">
      <c r="A869" s="249"/>
      <c r="B869" s="249"/>
      <c r="C869" s="249"/>
      <c r="D869" s="249"/>
      <c r="E869" s="249"/>
      <c r="F869" s="249"/>
      <c r="G869" s="249"/>
      <c r="H869" s="249"/>
      <c r="I869" s="258"/>
      <c r="J869" s="249"/>
      <c r="K869" s="249"/>
      <c r="L869" s="249"/>
      <c r="M869" s="259"/>
      <c r="N869" s="249"/>
      <c r="O869" s="249"/>
      <c r="P869" s="249"/>
      <c r="Q869" s="249"/>
      <c r="R869" s="249"/>
      <c r="S869" s="249"/>
      <c r="T869" s="249"/>
      <c r="U869" s="249"/>
      <c r="V869" s="249"/>
      <c r="W869" s="249"/>
      <c r="X869" s="249"/>
      <c r="Y869" s="249"/>
      <c r="Z869" s="249"/>
    </row>
    <row r="870" spans="1:26" s="152" customFormat="1" x14ac:dyDescent="0.25">
      <c r="A870" s="249"/>
      <c r="B870" s="249"/>
      <c r="C870" s="249"/>
      <c r="D870" s="249"/>
      <c r="E870" s="249"/>
      <c r="F870" s="249"/>
      <c r="G870" s="249"/>
      <c r="H870" s="249"/>
      <c r="I870" s="258"/>
      <c r="J870" s="249"/>
      <c r="K870" s="249"/>
      <c r="L870" s="249"/>
      <c r="M870" s="259"/>
      <c r="N870" s="249"/>
      <c r="O870" s="249"/>
      <c r="P870" s="249"/>
      <c r="Q870" s="249"/>
      <c r="R870" s="249"/>
      <c r="S870" s="249"/>
      <c r="T870" s="249"/>
      <c r="U870" s="249"/>
      <c r="V870" s="249"/>
      <c r="W870" s="249"/>
      <c r="X870" s="249"/>
      <c r="Y870" s="249"/>
      <c r="Z870" s="249"/>
    </row>
    <row r="871" spans="1:26" s="152" customFormat="1" x14ac:dyDescent="0.25">
      <c r="A871" s="249"/>
      <c r="B871" s="249"/>
      <c r="C871" s="249"/>
      <c r="D871" s="249"/>
      <c r="E871" s="249"/>
      <c r="F871" s="249"/>
      <c r="G871" s="249"/>
      <c r="H871" s="249"/>
      <c r="I871" s="258"/>
      <c r="J871" s="249"/>
      <c r="K871" s="249"/>
      <c r="L871" s="249"/>
      <c r="M871" s="259"/>
      <c r="N871" s="249"/>
      <c r="O871" s="249"/>
      <c r="P871" s="249"/>
      <c r="Q871" s="249"/>
      <c r="R871" s="249"/>
      <c r="S871" s="249"/>
      <c r="T871" s="249"/>
      <c r="U871" s="249"/>
      <c r="V871" s="249"/>
      <c r="W871" s="249"/>
      <c r="X871" s="249"/>
      <c r="Y871" s="249"/>
      <c r="Z871" s="249"/>
    </row>
    <row r="872" spans="1:26" s="152" customFormat="1" x14ac:dyDescent="0.25">
      <c r="A872" s="249"/>
      <c r="B872" s="249"/>
      <c r="C872" s="249"/>
      <c r="D872" s="249"/>
      <c r="E872" s="249"/>
      <c r="F872" s="249"/>
      <c r="G872" s="249"/>
      <c r="H872" s="249"/>
      <c r="I872" s="258"/>
      <c r="J872" s="249"/>
      <c r="K872" s="249"/>
      <c r="L872" s="249"/>
      <c r="M872" s="259"/>
      <c r="N872" s="249"/>
      <c r="O872" s="249"/>
      <c r="P872" s="249"/>
      <c r="Q872" s="249"/>
      <c r="R872" s="249"/>
      <c r="S872" s="249"/>
      <c r="T872" s="249"/>
      <c r="U872" s="249"/>
      <c r="V872" s="249"/>
      <c r="W872" s="249"/>
      <c r="X872" s="249"/>
      <c r="Y872" s="249"/>
      <c r="Z872" s="249"/>
    </row>
    <row r="873" spans="1:26" s="152" customFormat="1" x14ac:dyDescent="0.25">
      <c r="A873" s="249"/>
      <c r="B873" s="249"/>
      <c r="C873" s="249"/>
      <c r="D873" s="249"/>
      <c r="E873" s="249"/>
      <c r="F873" s="249"/>
      <c r="G873" s="249"/>
      <c r="H873" s="249"/>
      <c r="I873" s="258"/>
      <c r="J873" s="249"/>
      <c r="K873" s="249"/>
      <c r="L873" s="249"/>
      <c r="M873" s="259"/>
      <c r="N873" s="249"/>
      <c r="O873" s="249"/>
      <c r="P873" s="249"/>
      <c r="Q873" s="249"/>
      <c r="R873" s="249"/>
      <c r="S873" s="249"/>
      <c r="T873" s="249"/>
      <c r="U873" s="249"/>
      <c r="V873" s="249"/>
      <c r="W873" s="249"/>
      <c r="X873" s="249"/>
      <c r="Y873" s="249"/>
      <c r="Z873" s="249"/>
    </row>
    <row r="874" spans="1:26" s="152" customFormat="1" x14ac:dyDescent="0.25">
      <c r="A874" s="249"/>
      <c r="B874" s="249"/>
      <c r="C874" s="249"/>
      <c r="D874" s="249"/>
      <c r="E874" s="249"/>
      <c r="F874" s="249"/>
      <c r="G874" s="249"/>
      <c r="H874" s="249"/>
      <c r="I874" s="258"/>
      <c r="J874" s="249"/>
      <c r="K874" s="249"/>
      <c r="L874" s="249"/>
      <c r="M874" s="259"/>
      <c r="N874" s="249"/>
      <c r="O874" s="249"/>
      <c r="P874" s="249"/>
      <c r="Q874" s="249"/>
      <c r="R874" s="249"/>
      <c r="S874" s="249"/>
      <c r="T874" s="249"/>
      <c r="U874" s="249"/>
      <c r="V874" s="249"/>
      <c r="W874" s="249"/>
      <c r="X874" s="249"/>
      <c r="Y874" s="249"/>
      <c r="Z874" s="249"/>
    </row>
    <row r="875" spans="1:26" s="152" customFormat="1" x14ac:dyDescent="0.25">
      <c r="A875" s="249"/>
      <c r="B875" s="249"/>
      <c r="C875" s="249"/>
      <c r="D875" s="249"/>
      <c r="E875" s="249"/>
      <c r="F875" s="249"/>
      <c r="G875" s="249"/>
      <c r="H875" s="249"/>
      <c r="I875" s="258"/>
      <c r="J875" s="249"/>
      <c r="K875" s="249"/>
      <c r="L875" s="249"/>
      <c r="M875" s="259"/>
      <c r="N875" s="249"/>
      <c r="O875" s="249"/>
      <c r="P875" s="249"/>
      <c r="Q875" s="249"/>
      <c r="R875" s="249"/>
      <c r="S875" s="249"/>
      <c r="T875" s="249"/>
      <c r="U875" s="249"/>
      <c r="V875" s="249"/>
      <c r="W875" s="249"/>
      <c r="X875" s="249"/>
      <c r="Y875" s="249"/>
      <c r="Z875" s="249"/>
    </row>
    <row r="876" spans="1:26" s="152" customFormat="1" x14ac:dyDescent="0.25">
      <c r="A876" s="249"/>
      <c r="B876" s="249"/>
      <c r="C876" s="249"/>
      <c r="D876" s="249"/>
      <c r="E876" s="249"/>
      <c r="F876" s="249"/>
      <c r="G876" s="249"/>
      <c r="H876" s="249"/>
      <c r="I876" s="258"/>
      <c r="J876" s="249"/>
      <c r="K876" s="249"/>
      <c r="L876" s="249"/>
      <c r="M876" s="259"/>
      <c r="N876" s="249"/>
      <c r="O876" s="249"/>
      <c r="P876" s="249"/>
      <c r="Q876" s="249"/>
      <c r="R876" s="249"/>
      <c r="S876" s="249"/>
      <c r="T876" s="249"/>
      <c r="U876" s="249"/>
      <c r="V876" s="249"/>
      <c r="W876" s="249"/>
      <c r="X876" s="249"/>
      <c r="Y876" s="249"/>
      <c r="Z876" s="249"/>
    </row>
    <row r="877" spans="1:26" s="152" customFormat="1" x14ac:dyDescent="0.25">
      <c r="A877" s="249"/>
      <c r="B877" s="249"/>
      <c r="C877" s="249"/>
      <c r="D877" s="249"/>
      <c r="E877" s="249"/>
      <c r="F877" s="249"/>
      <c r="G877" s="249"/>
      <c r="H877" s="249"/>
      <c r="I877" s="258"/>
      <c r="J877" s="249"/>
      <c r="K877" s="249"/>
      <c r="L877" s="249"/>
      <c r="M877" s="259"/>
      <c r="N877" s="249"/>
      <c r="O877" s="249"/>
      <c r="P877" s="249"/>
      <c r="Q877" s="249"/>
      <c r="R877" s="249"/>
      <c r="S877" s="249"/>
      <c r="T877" s="249"/>
      <c r="U877" s="249"/>
      <c r="V877" s="249"/>
      <c r="W877" s="249"/>
      <c r="X877" s="249"/>
      <c r="Y877" s="249"/>
      <c r="Z877" s="249"/>
    </row>
    <row r="878" spans="1:26" s="152" customFormat="1" x14ac:dyDescent="0.25">
      <c r="A878" s="249"/>
      <c r="B878" s="249"/>
      <c r="C878" s="249"/>
      <c r="D878" s="249"/>
      <c r="E878" s="249"/>
      <c r="F878" s="249"/>
      <c r="G878" s="249"/>
      <c r="H878" s="249"/>
      <c r="I878" s="258"/>
      <c r="J878" s="249"/>
      <c r="K878" s="249"/>
      <c r="L878" s="249"/>
      <c r="M878" s="259"/>
      <c r="N878" s="249"/>
      <c r="O878" s="249"/>
      <c r="P878" s="249"/>
      <c r="Q878" s="249"/>
      <c r="R878" s="249"/>
      <c r="S878" s="249"/>
      <c r="T878" s="249"/>
      <c r="U878" s="249"/>
      <c r="V878" s="249"/>
      <c r="W878" s="249"/>
      <c r="X878" s="249"/>
      <c r="Y878" s="249"/>
      <c r="Z878" s="249"/>
    </row>
    <row r="879" spans="1:26" s="152" customFormat="1" x14ac:dyDescent="0.25">
      <c r="A879" s="249"/>
      <c r="B879" s="249"/>
      <c r="C879" s="249"/>
      <c r="D879" s="249"/>
      <c r="E879" s="249"/>
      <c r="F879" s="249"/>
      <c r="G879" s="249"/>
      <c r="H879" s="249"/>
      <c r="I879" s="258"/>
      <c r="J879" s="249"/>
      <c r="K879" s="249"/>
      <c r="L879" s="249"/>
      <c r="M879" s="259"/>
      <c r="N879" s="249"/>
      <c r="O879" s="249"/>
      <c r="P879" s="249"/>
      <c r="Q879" s="249"/>
      <c r="R879" s="249"/>
      <c r="S879" s="249"/>
      <c r="T879" s="249"/>
      <c r="U879" s="249"/>
      <c r="V879" s="249"/>
      <c r="W879" s="249"/>
      <c r="X879" s="249"/>
      <c r="Y879" s="249"/>
      <c r="Z879" s="249"/>
    </row>
    <row r="880" spans="1:26" s="152" customFormat="1" x14ac:dyDescent="0.25">
      <c r="A880" s="249"/>
      <c r="B880" s="249"/>
      <c r="C880" s="249"/>
      <c r="D880" s="249"/>
      <c r="E880" s="249"/>
      <c r="F880" s="249"/>
      <c r="G880" s="249"/>
      <c r="H880" s="249"/>
      <c r="I880" s="258"/>
      <c r="J880" s="249"/>
      <c r="K880" s="249"/>
      <c r="L880" s="249"/>
      <c r="M880" s="259"/>
      <c r="N880" s="249"/>
      <c r="O880" s="249"/>
      <c r="P880" s="249"/>
      <c r="Q880" s="249"/>
      <c r="R880" s="249"/>
      <c r="S880" s="249"/>
      <c r="T880" s="249"/>
      <c r="U880" s="249"/>
      <c r="V880" s="249"/>
      <c r="W880" s="249"/>
      <c r="X880" s="249"/>
      <c r="Y880" s="249"/>
      <c r="Z880" s="249"/>
    </row>
    <row r="881" spans="1:26" s="152" customFormat="1" x14ac:dyDescent="0.25">
      <c r="A881" s="249"/>
      <c r="B881" s="249"/>
      <c r="C881" s="249"/>
      <c r="D881" s="249"/>
      <c r="E881" s="249"/>
      <c r="F881" s="249"/>
      <c r="G881" s="249"/>
      <c r="H881" s="249"/>
      <c r="I881" s="258"/>
      <c r="J881" s="249"/>
      <c r="K881" s="249"/>
      <c r="L881" s="249"/>
      <c r="M881" s="259"/>
      <c r="N881" s="249"/>
      <c r="O881" s="249"/>
      <c r="P881" s="249"/>
      <c r="Q881" s="249"/>
      <c r="R881" s="249"/>
      <c r="S881" s="249"/>
      <c r="T881" s="249"/>
      <c r="U881" s="249"/>
      <c r="V881" s="249"/>
      <c r="W881" s="249"/>
      <c r="X881" s="249"/>
      <c r="Y881" s="249"/>
      <c r="Z881" s="249"/>
    </row>
    <row r="882" spans="1:26" s="152" customFormat="1" x14ac:dyDescent="0.25">
      <c r="A882" s="249"/>
      <c r="B882" s="249"/>
      <c r="C882" s="249"/>
      <c r="D882" s="249"/>
      <c r="E882" s="249"/>
      <c r="F882" s="249"/>
      <c r="G882" s="249"/>
      <c r="H882" s="249"/>
      <c r="I882" s="258"/>
      <c r="J882" s="249"/>
      <c r="K882" s="249"/>
      <c r="L882" s="249"/>
      <c r="M882" s="259"/>
      <c r="N882" s="249"/>
      <c r="O882" s="249"/>
      <c r="P882" s="249"/>
      <c r="Q882" s="249"/>
      <c r="R882" s="249"/>
      <c r="S882" s="249"/>
      <c r="T882" s="249"/>
      <c r="U882" s="249"/>
      <c r="V882" s="249"/>
      <c r="W882" s="249"/>
      <c r="X882" s="249"/>
      <c r="Y882" s="249"/>
      <c r="Z882" s="249"/>
    </row>
    <row r="883" spans="1:26" s="152" customFormat="1" x14ac:dyDescent="0.25">
      <c r="A883" s="249"/>
      <c r="B883" s="249"/>
      <c r="C883" s="249"/>
      <c r="D883" s="249"/>
      <c r="E883" s="249"/>
      <c r="F883" s="249"/>
      <c r="G883" s="249"/>
      <c r="H883" s="249"/>
      <c r="I883" s="258"/>
      <c r="J883" s="249"/>
      <c r="K883" s="249"/>
      <c r="L883" s="249"/>
      <c r="M883" s="25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</row>
    <row r="884" spans="1:26" s="152" customFormat="1" x14ac:dyDescent="0.25">
      <c r="A884" s="249"/>
      <c r="B884" s="249"/>
      <c r="C884" s="249"/>
      <c r="D884" s="249"/>
      <c r="E884" s="249"/>
      <c r="F884" s="249"/>
      <c r="G884" s="249"/>
      <c r="H884" s="249"/>
      <c r="I884" s="258"/>
      <c r="J884" s="249"/>
      <c r="K884" s="249"/>
      <c r="L884" s="249"/>
      <c r="M884" s="25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9"/>
    </row>
    <row r="885" spans="1:26" s="152" customFormat="1" x14ac:dyDescent="0.25">
      <c r="A885" s="249"/>
      <c r="B885" s="249"/>
      <c r="C885" s="249"/>
      <c r="D885" s="249"/>
      <c r="E885" s="249"/>
      <c r="F885" s="249"/>
      <c r="G885" s="249"/>
      <c r="H885" s="249"/>
      <c r="I885" s="258"/>
      <c r="J885" s="249"/>
      <c r="K885" s="249"/>
      <c r="L885" s="249"/>
      <c r="M885" s="259"/>
      <c r="N885" s="249"/>
      <c r="O885" s="249"/>
      <c r="P885" s="249"/>
      <c r="Q885" s="249"/>
      <c r="R885" s="249"/>
      <c r="S885" s="249"/>
      <c r="T885" s="249"/>
      <c r="U885" s="249"/>
      <c r="V885" s="249"/>
      <c r="W885" s="249"/>
      <c r="X885" s="249"/>
      <c r="Y885" s="249"/>
      <c r="Z885" s="249"/>
    </row>
    <row r="886" spans="1:26" s="152" customFormat="1" x14ac:dyDescent="0.25">
      <c r="A886" s="249"/>
      <c r="B886" s="249"/>
      <c r="C886" s="249"/>
      <c r="D886" s="249"/>
      <c r="E886" s="249"/>
      <c r="F886" s="249"/>
      <c r="G886" s="249"/>
      <c r="H886" s="249"/>
      <c r="I886" s="258"/>
      <c r="J886" s="249"/>
      <c r="K886" s="249"/>
      <c r="L886" s="249"/>
      <c r="M886" s="25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</row>
    <row r="887" spans="1:26" s="152" customFormat="1" x14ac:dyDescent="0.25">
      <c r="A887" s="249"/>
      <c r="B887" s="249"/>
      <c r="C887" s="249"/>
      <c r="D887" s="249"/>
      <c r="E887" s="249"/>
      <c r="F887" s="249"/>
      <c r="G887" s="249"/>
      <c r="H887" s="249"/>
      <c r="I887" s="258"/>
      <c r="J887" s="249"/>
      <c r="K887" s="249"/>
      <c r="L887" s="249"/>
      <c r="M887" s="25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</row>
    <row r="888" spans="1:26" s="152" customFormat="1" x14ac:dyDescent="0.25">
      <c r="A888" s="249"/>
      <c r="B888" s="249"/>
      <c r="C888" s="249"/>
      <c r="D888" s="249"/>
      <c r="E888" s="249"/>
      <c r="F888" s="249"/>
      <c r="G888" s="249"/>
      <c r="H888" s="249"/>
      <c r="I888" s="258"/>
      <c r="J888" s="249"/>
      <c r="K888" s="249"/>
      <c r="L888" s="249"/>
      <c r="M888" s="25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</row>
    <row r="889" spans="1:26" s="152" customFormat="1" x14ac:dyDescent="0.25">
      <c r="A889" s="249"/>
      <c r="B889" s="249"/>
      <c r="C889" s="249"/>
      <c r="D889" s="249"/>
      <c r="E889" s="249"/>
      <c r="F889" s="249"/>
      <c r="G889" s="249"/>
      <c r="H889" s="249"/>
      <c r="I889" s="258"/>
      <c r="J889" s="249"/>
      <c r="K889" s="249"/>
      <c r="L889" s="249"/>
      <c r="M889" s="25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</row>
    <row r="890" spans="1:26" s="152" customFormat="1" x14ac:dyDescent="0.25">
      <c r="A890" s="249"/>
      <c r="B890" s="249"/>
      <c r="C890" s="249"/>
      <c r="D890" s="249"/>
      <c r="E890" s="249"/>
      <c r="F890" s="249"/>
      <c r="G890" s="249"/>
      <c r="H890" s="249"/>
      <c r="I890" s="258"/>
      <c r="J890" s="249"/>
      <c r="K890" s="249"/>
      <c r="L890" s="249"/>
      <c r="M890" s="25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</row>
    <row r="891" spans="1:26" s="152" customFormat="1" x14ac:dyDescent="0.25">
      <c r="A891" s="249"/>
      <c r="B891" s="249"/>
      <c r="C891" s="249"/>
      <c r="D891" s="249"/>
      <c r="E891" s="249"/>
      <c r="F891" s="249"/>
      <c r="G891" s="249"/>
      <c r="H891" s="249"/>
      <c r="I891" s="258"/>
      <c r="J891" s="249"/>
      <c r="K891" s="249"/>
      <c r="L891" s="249"/>
      <c r="M891" s="259"/>
      <c r="N891" s="249"/>
      <c r="O891" s="249"/>
      <c r="P891" s="249"/>
      <c r="Q891" s="249"/>
      <c r="R891" s="249"/>
      <c r="S891" s="249"/>
      <c r="T891" s="249"/>
      <c r="U891" s="249"/>
      <c r="V891" s="249"/>
      <c r="W891" s="249"/>
      <c r="X891" s="249"/>
      <c r="Y891" s="249"/>
      <c r="Z891" s="249"/>
    </row>
    <row r="892" spans="1:26" s="152" customFormat="1" x14ac:dyDescent="0.25">
      <c r="A892" s="249"/>
      <c r="B892" s="249"/>
      <c r="C892" s="249"/>
      <c r="D892" s="249"/>
      <c r="E892" s="249"/>
      <c r="F892" s="249"/>
      <c r="G892" s="249"/>
      <c r="H892" s="249"/>
      <c r="I892" s="258"/>
      <c r="J892" s="249"/>
      <c r="K892" s="249"/>
      <c r="L892" s="249"/>
      <c r="M892" s="25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</row>
    <row r="893" spans="1:26" s="152" customFormat="1" x14ac:dyDescent="0.25">
      <c r="A893" s="249"/>
      <c r="B893" s="249"/>
      <c r="C893" s="249"/>
      <c r="D893" s="249"/>
      <c r="E893" s="249"/>
      <c r="F893" s="249"/>
      <c r="G893" s="249"/>
      <c r="H893" s="249"/>
      <c r="I893" s="258"/>
      <c r="J893" s="249"/>
      <c r="K893" s="249"/>
      <c r="L893" s="249"/>
      <c r="M893" s="25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</row>
    <row r="894" spans="1:26" s="152" customFormat="1" x14ac:dyDescent="0.25">
      <c r="A894" s="249"/>
      <c r="B894" s="249"/>
      <c r="C894" s="249"/>
      <c r="D894" s="249"/>
      <c r="E894" s="249"/>
      <c r="F894" s="249"/>
      <c r="G894" s="249"/>
      <c r="H894" s="249"/>
      <c r="I894" s="258"/>
      <c r="J894" s="249"/>
      <c r="K894" s="249"/>
      <c r="L894" s="249"/>
      <c r="M894" s="25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</row>
    <row r="895" spans="1:26" s="152" customFormat="1" x14ac:dyDescent="0.25">
      <c r="A895" s="249"/>
      <c r="B895" s="249"/>
      <c r="C895" s="249"/>
      <c r="D895" s="249"/>
      <c r="E895" s="249"/>
      <c r="F895" s="249"/>
      <c r="G895" s="249"/>
      <c r="H895" s="249"/>
      <c r="I895" s="258"/>
      <c r="J895" s="249"/>
      <c r="K895" s="249"/>
      <c r="L895" s="249"/>
      <c r="M895" s="259"/>
      <c r="N895" s="249"/>
      <c r="O895" s="249"/>
      <c r="P895" s="249"/>
      <c r="Q895" s="249"/>
      <c r="R895" s="249"/>
      <c r="S895" s="249"/>
      <c r="T895" s="249"/>
      <c r="U895" s="249"/>
      <c r="V895" s="249"/>
      <c r="W895" s="249"/>
      <c r="X895" s="249"/>
      <c r="Y895" s="249"/>
      <c r="Z895" s="249"/>
    </row>
    <row r="896" spans="1:26" s="152" customFormat="1" x14ac:dyDescent="0.25">
      <c r="A896" s="249"/>
      <c r="B896" s="249"/>
      <c r="C896" s="249"/>
      <c r="D896" s="249"/>
      <c r="E896" s="249"/>
      <c r="F896" s="249"/>
      <c r="G896" s="249"/>
      <c r="H896" s="249"/>
      <c r="I896" s="258"/>
      <c r="J896" s="249"/>
      <c r="K896" s="249"/>
      <c r="L896" s="249"/>
      <c r="M896" s="25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</row>
    <row r="897" spans="1:26" s="152" customFormat="1" x14ac:dyDescent="0.25">
      <c r="A897" s="249"/>
      <c r="B897" s="249"/>
      <c r="C897" s="249"/>
      <c r="D897" s="249"/>
      <c r="E897" s="249"/>
      <c r="F897" s="249"/>
      <c r="G897" s="249"/>
      <c r="H897" s="249"/>
      <c r="I897" s="258"/>
      <c r="J897" s="249"/>
      <c r="K897" s="249"/>
      <c r="L897" s="249"/>
      <c r="M897" s="259"/>
      <c r="N897" s="249"/>
      <c r="O897" s="249"/>
      <c r="P897" s="249"/>
      <c r="Q897" s="249"/>
      <c r="R897" s="249"/>
      <c r="S897" s="249"/>
      <c r="T897" s="249"/>
      <c r="U897" s="249"/>
      <c r="V897" s="249"/>
      <c r="W897" s="249"/>
      <c r="X897" s="249"/>
      <c r="Y897" s="249"/>
      <c r="Z897" s="249"/>
    </row>
    <row r="898" spans="1:26" s="152" customFormat="1" x14ac:dyDescent="0.25">
      <c r="A898" s="249"/>
      <c r="B898" s="249"/>
      <c r="C898" s="249"/>
      <c r="D898" s="249"/>
      <c r="E898" s="249"/>
      <c r="F898" s="249"/>
      <c r="G898" s="249"/>
      <c r="H898" s="249"/>
      <c r="I898" s="258"/>
      <c r="J898" s="249"/>
      <c r="K898" s="249"/>
      <c r="L898" s="249"/>
      <c r="M898" s="259"/>
      <c r="N898" s="249"/>
      <c r="O898" s="249"/>
      <c r="P898" s="249"/>
      <c r="Q898" s="249"/>
      <c r="R898" s="249"/>
      <c r="S898" s="249"/>
      <c r="T898" s="249"/>
      <c r="U898" s="249"/>
      <c r="V898" s="249"/>
      <c r="W898" s="249"/>
      <c r="X898" s="249"/>
      <c r="Y898" s="249"/>
      <c r="Z898" s="249"/>
    </row>
    <row r="899" spans="1:26" s="152" customFormat="1" x14ac:dyDescent="0.25">
      <c r="A899" s="249"/>
      <c r="B899" s="249"/>
      <c r="C899" s="249"/>
      <c r="D899" s="249"/>
      <c r="E899" s="249"/>
      <c r="F899" s="249"/>
      <c r="G899" s="249"/>
      <c r="H899" s="249"/>
      <c r="I899" s="258"/>
      <c r="J899" s="249"/>
      <c r="K899" s="249"/>
      <c r="L899" s="249"/>
      <c r="M899" s="259"/>
      <c r="N899" s="249"/>
      <c r="O899" s="249"/>
      <c r="P899" s="249"/>
      <c r="Q899" s="249"/>
      <c r="R899" s="249"/>
      <c r="S899" s="249"/>
      <c r="T899" s="249"/>
      <c r="U899" s="249"/>
      <c r="V899" s="249"/>
      <c r="W899" s="249"/>
      <c r="X899" s="249"/>
      <c r="Y899" s="249"/>
      <c r="Z899" s="249"/>
    </row>
    <row r="900" spans="1:26" s="152" customFormat="1" x14ac:dyDescent="0.25">
      <c r="A900" s="249"/>
      <c r="B900" s="249"/>
      <c r="C900" s="249"/>
      <c r="D900" s="249"/>
      <c r="E900" s="249"/>
      <c r="F900" s="249"/>
      <c r="G900" s="249"/>
      <c r="H900" s="249"/>
      <c r="I900" s="258"/>
      <c r="J900" s="249"/>
      <c r="K900" s="249"/>
      <c r="L900" s="249"/>
      <c r="M900" s="259"/>
      <c r="N900" s="249"/>
      <c r="O900" s="249"/>
      <c r="P900" s="249"/>
      <c r="Q900" s="249"/>
      <c r="R900" s="249"/>
      <c r="S900" s="249"/>
      <c r="T900" s="249"/>
      <c r="U900" s="249"/>
      <c r="V900" s="249"/>
      <c r="W900" s="249"/>
      <c r="X900" s="249"/>
      <c r="Y900" s="249"/>
      <c r="Z900" s="249"/>
    </row>
    <row r="901" spans="1:26" s="152" customFormat="1" x14ac:dyDescent="0.25">
      <c r="A901" s="249"/>
      <c r="B901" s="249"/>
      <c r="C901" s="249"/>
      <c r="D901" s="249"/>
      <c r="E901" s="249"/>
      <c r="F901" s="249"/>
      <c r="G901" s="249"/>
      <c r="H901" s="249"/>
      <c r="I901" s="258"/>
      <c r="J901" s="249"/>
      <c r="K901" s="249"/>
      <c r="L901" s="249"/>
      <c r="M901" s="259"/>
      <c r="N901" s="249"/>
      <c r="O901" s="249"/>
      <c r="P901" s="249"/>
      <c r="Q901" s="249"/>
      <c r="R901" s="249"/>
      <c r="S901" s="249"/>
      <c r="T901" s="249"/>
      <c r="U901" s="249"/>
      <c r="V901" s="249"/>
      <c r="W901" s="249"/>
      <c r="X901" s="249"/>
      <c r="Y901" s="249"/>
      <c r="Z901" s="249"/>
    </row>
    <row r="902" spans="1:26" s="152" customFormat="1" x14ac:dyDescent="0.25">
      <c r="A902" s="249"/>
      <c r="B902" s="249"/>
      <c r="C902" s="249"/>
      <c r="D902" s="249"/>
      <c r="E902" s="249"/>
      <c r="F902" s="249"/>
      <c r="G902" s="249"/>
      <c r="H902" s="249"/>
      <c r="I902" s="258"/>
      <c r="J902" s="249"/>
      <c r="K902" s="249"/>
      <c r="L902" s="249"/>
      <c r="M902" s="259"/>
      <c r="N902" s="249"/>
      <c r="O902" s="249"/>
      <c r="P902" s="249"/>
      <c r="Q902" s="249"/>
      <c r="R902" s="249"/>
      <c r="S902" s="249"/>
      <c r="T902" s="249"/>
      <c r="U902" s="249"/>
      <c r="V902" s="249"/>
      <c r="W902" s="249"/>
      <c r="X902" s="249"/>
      <c r="Y902" s="249"/>
      <c r="Z902" s="249"/>
    </row>
    <row r="903" spans="1:26" s="152" customFormat="1" x14ac:dyDescent="0.25">
      <c r="A903" s="249"/>
      <c r="B903" s="249"/>
      <c r="C903" s="249"/>
      <c r="D903" s="249"/>
      <c r="E903" s="249"/>
      <c r="F903" s="249"/>
      <c r="G903" s="249"/>
      <c r="H903" s="249"/>
      <c r="I903" s="258"/>
      <c r="J903" s="249"/>
      <c r="K903" s="249"/>
      <c r="L903" s="249"/>
      <c r="M903" s="259"/>
      <c r="N903" s="249"/>
      <c r="O903" s="249"/>
      <c r="P903" s="249"/>
      <c r="Q903" s="249"/>
      <c r="R903" s="249"/>
      <c r="S903" s="249"/>
      <c r="T903" s="249"/>
      <c r="U903" s="249"/>
      <c r="V903" s="249"/>
      <c r="W903" s="249"/>
      <c r="X903" s="249"/>
      <c r="Y903" s="249"/>
      <c r="Z903" s="249"/>
    </row>
    <row r="904" spans="1:26" s="152" customFormat="1" x14ac:dyDescent="0.25">
      <c r="A904" s="249"/>
      <c r="B904" s="249"/>
      <c r="C904" s="249"/>
      <c r="D904" s="249"/>
      <c r="E904" s="249"/>
      <c r="F904" s="249"/>
      <c r="G904" s="249"/>
      <c r="H904" s="249"/>
      <c r="I904" s="258"/>
      <c r="J904" s="249"/>
      <c r="K904" s="249"/>
      <c r="L904" s="249"/>
      <c r="M904" s="259"/>
      <c r="N904" s="249"/>
      <c r="O904" s="249"/>
      <c r="P904" s="249"/>
      <c r="Q904" s="249"/>
      <c r="R904" s="249"/>
      <c r="S904" s="249"/>
      <c r="T904" s="249"/>
      <c r="U904" s="249"/>
      <c r="V904" s="249"/>
      <c r="W904" s="249"/>
      <c r="X904" s="249"/>
      <c r="Y904" s="249"/>
      <c r="Z904" s="249"/>
    </row>
    <row r="905" spans="1:26" s="152" customFormat="1" x14ac:dyDescent="0.25">
      <c r="A905" s="249"/>
      <c r="B905" s="249"/>
      <c r="C905" s="249"/>
      <c r="D905" s="249"/>
      <c r="E905" s="249"/>
      <c r="F905" s="249"/>
      <c r="G905" s="249"/>
      <c r="H905" s="249"/>
      <c r="I905" s="258"/>
      <c r="J905" s="249"/>
      <c r="K905" s="249"/>
      <c r="L905" s="249"/>
      <c r="M905" s="259"/>
      <c r="N905" s="249"/>
      <c r="O905" s="249"/>
      <c r="P905" s="249"/>
      <c r="Q905" s="249"/>
      <c r="R905" s="249"/>
      <c r="S905" s="249"/>
      <c r="T905" s="249"/>
      <c r="U905" s="249"/>
      <c r="V905" s="249"/>
      <c r="W905" s="249"/>
      <c r="X905" s="249"/>
      <c r="Y905" s="249"/>
      <c r="Z905" s="249"/>
    </row>
    <row r="906" spans="1:26" s="152" customFormat="1" x14ac:dyDescent="0.25">
      <c r="A906" s="249"/>
      <c r="B906" s="249"/>
      <c r="C906" s="249"/>
      <c r="D906" s="249"/>
      <c r="E906" s="249"/>
      <c r="F906" s="249"/>
      <c r="G906" s="249"/>
      <c r="H906" s="249"/>
      <c r="I906" s="258"/>
      <c r="J906" s="249"/>
      <c r="K906" s="249"/>
      <c r="L906" s="249"/>
      <c r="M906" s="259"/>
      <c r="N906" s="249"/>
      <c r="O906" s="249"/>
      <c r="P906" s="249"/>
      <c r="Q906" s="249"/>
      <c r="R906" s="249"/>
      <c r="S906" s="249"/>
      <c r="T906" s="249"/>
      <c r="U906" s="249"/>
      <c r="V906" s="249"/>
      <c r="W906" s="249"/>
      <c r="X906" s="249"/>
      <c r="Y906" s="249"/>
      <c r="Z906" s="249"/>
    </row>
    <row r="907" spans="1:26" s="152" customFormat="1" x14ac:dyDescent="0.25">
      <c r="A907" s="249"/>
      <c r="B907" s="249"/>
      <c r="C907" s="249"/>
      <c r="D907" s="249"/>
      <c r="E907" s="249"/>
      <c r="F907" s="249"/>
      <c r="G907" s="249"/>
      <c r="H907" s="249"/>
      <c r="I907" s="258"/>
      <c r="J907" s="249"/>
      <c r="K907" s="249"/>
      <c r="L907" s="249"/>
      <c r="M907" s="259"/>
      <c r="N907" s="249"/>
      <c r="O907" s="249"/>
      <c r="P907" s="249"/>
      <c r="Q907" s="249"/>
      <c r="R907" s="249"/>
      <c r="S907" s="249"/>
      <c r="T907" s="249"/>
      <c r="U907" s="249"/>
      <c r="V907" s="249"/>
      <c r="W907" s="249"/>
      <c r="X907" s="249"/>
      <c r="Y907" s="249"/>
      <c r="Z907" s="249"/>
    </row>
    <row r="908" spans="1:26" s="152" customFormat="1" x14ac:dyDescent="0.25">
      <c r="A908" s="249"/>
      <c r="B908" s="249"/>
      <c r="C908" s="249"/>
      <c r="D908" s="249"/>
      <c r="E908" s="249"/>
      <c r="F908" s="249"/>
      <c r="G908" s="249"/>
      <c r="H908" s="249"/>
      <c r="I908" s="258"/>
      <c r="J908" s="249"/>
      <c r="K908" s="249"/>
      <c r="L908" s="249"/>
      <c r="M908" s="259"/>
      <c r="N908" s="249"/>
      <c r="O908" s="249"/>
      <c r="P908" s="249"/>
      <c r="Q908" s="249"/>
      <c r="R908" s="249"/>
      <c r="S908" s="249"/>
      <c r="T908" s="249"/>
      <c r="U908" s="249"/>
      <c r="V908" s="249"/>
      <c r="W908" s="249"/>
      <c r="X908" s="249"/>
      <c r="Y908" s="249"/>
      <c r="Z908" s="249"/>
    </row>
    <row r="909" spans="1:26" s="152" customFormat="1" x14ac:dyDescent="0.25">
      <c r="A909" s="249"/>
      <c r="B909" s="249"/>
      <c r="C909" s="249"/>
      <c r="D909" s="249"/>
      <c r="E909" s="249"/>
      <c r="F909" s="249"/>
      <c r="G909" s="249"/>
      <c r="H909" s="249"/>
      <c r="I909" s="258"/>
      <c r="J909" s="249"/>
      <c r="K909" s="249"/>
      <c r="L909" s="249"/>
      <c r="M909" s="259"/>
      <c r="N909" s="249"/>
      <c r="O909" s="249"/>
      <c r="P909" s="249"/>
      <c r="Q909" s="249"/>
      <c r="R909" s="249"/>
      <c r="S909" s="249"/>
      <c r="T909" s="249"/>
      <c r="U909" s="249"/>
      <c r="V909" s="249"/>
      <c r="W909" s="249"/>
      <c r="X909" s="249"/>
      <c r="Y909" s="249"/>
      <c r="Z909" s="249"/>
    </row>
    <row r="910" spans="1:26" s="152" customFormat="1" x14ac:dyDescent="0.25">
      <c r="A910" s="249"/>
      <c r="B910" s="249"/>
      <c r="C910" s="249"/>
      <c r="D910" s="249"/>
      <c r="E910" s="249"/>
      <c r="F910" s="249"/>
      <c r="G910" s="249"/>
      <c r="H910" s="249"/>
      <c r="I910" s="258"/>
      <c r="J910" s="249"/>
      <c r="K910" s="249"/>
      <c r="L910" s="249"/>
      <c r="M910" s="259"/>
      <c r="N910" s="249"/>
      <c r="O910" s="249"/>
      <c r="P910" s="249"/>
      <c r="Q910" s="249"/>
      <c r="R910" s="249"/>
      <c r="S910" s="249"/>
      <c r="T910" s="249"/>
      <c r="U910" s="249"/>
      <c r="V910" s="249"/>
      <c r="W910" s="249"/>
      <c r="X910" s="249"/>
      <c r="Y910" s="249"/>
      <c r="Z910" s="249"/>
    </row>
    <row r="911" spans="1:26" s="152" customFormat="1" x14ac:dyDescent="0.25">
      <c r="A911" s="249"/>
      <c r="B911" s="249"/>
      <c r="C911" s="249"/>
      <c r="D911" s="249"/>
      <c r="E911" s="249"/>
      <c r="F911" s="249"/>
      <c r="G911" s="249"/>
      <c r="H911" s="249"/>
      <c r="I911" s="258"/>
      <c r="J911" s="249"/>
      <c r="K911" s="249"/>
      <c r="L911" s="249"/>
      <c r="M911" s="259"/>
      <c r="N911" s="249"/>
      <c r="O911" s="249"/>
      <c r="P911" s="249"/>
      <c r="Q911" s="249"/>
      <c r="R911" s="249"/>
      <c r="S911" s="249"/>
      <c r="T911" s="249"/>
      <c r="U911" s="249"/>
      <c r="V911" s="249"/>
      <c r="W911" s="249"/>
      <c r="X911" s="249"/>
      <c r="Y911" s="249"/>
      <c r="Z911" s="249"/>
    </row>
    <row r="912" spans="1:26" s="152" customFormat="1" x14ac:dyDescent="0.25">
      <c r="A912" s="249"/>
      <c r="B912" s="249"/>
      <c r="C912" s="249"/>
      <c r="D912" s="249"/>
      <c r="E912" s="249"/>
      <c r="F912" s="249"/>
      <c r="G912" s="249"/>
      <c r="H912" s="249"/>
      <c r="I912" s="258"/>
      <c r="J912" s="249"/>
      <c r="K912" s="249"/>
      <c r="L912" s="249"/>
      <c r="M912" s="259"/>
      <c r="N912" s="249"/>
      <c r="O912" s="249"/>
      <c r="P912" s="249"/>
      <c r="Q912" s="249"/>
      <c r="R912" s="249"/>
      <c r="S912" s="249"/>
      <c r="T912" s="249"/>
      <c r="U912" s="249"/>
      <c r="V912" s="249"/>
      <c r="W912" s="249"/>
      <c r="X912" s="249"/>
      <c r="Y912" s="249"/>
      <c r="Z912" s="249"/>
    </row>
    <row r="913" spans="1:26" s="152" customFormat="1" x14ac:dyDescent="0.25">
      <c r="A913" s="249"/>
      <c r="B913" s="249"/>
      <c r="C913" s="249"/>
      <c r="D913" s="249"/>
      <c r="E913" s="249"/>
      <c r="F913" s="249"/>
      <c r="G913" s="249"/>
      <c r="H913" s="249"/>
      <c r="I913" s="258"/>
      <c r="J913" s="249"/>
      <c r="K913" s="249"/>
      <c r="L913" s="249"/>
      <c r="M913" s="259"/>
      <c r="N913" s="249"/>
      <c r="O913" s="249"/>
      <c r="P913" s="249"/>
      <c r="Q913" s="249"/>
      <c r="R913" s="249"/>
      <c r="S913" s="249"/>
      <c r="T913" s="249"/>
      <c r="U913" s="249"/>
      <c r="V913" s="249"/>
      <c r="W913" s="249"/>
      <c r="X913" s="249"/>
      <c r="Y913" s="249"/>
      <c r="Z913" s="249"/>
    </row>
    <row r="914" spans="1:26" s="152" customFormat="1" x14ac:dyDescent="0.25">
      <c r="A914" s="249"/>
      <c r="B914" s="249"/>
      <c r="C914" s="249"/>
      <c r="D914" s="249"/>
      <c r="E914" s="249"/>
      <c r="F914" s="249"/>
      <c r="G914" s="249"/>
      <c r="H914" s="249"/>
      <c r="I914" s="258"/>
      <c r="J914" s="249"/>
      <c r="K914" s="249"/>
      <c r="L914" s="249"/>
      <c r="M914" s="259"/>
      <c r="N914" s="249"/>
      <c r="O914" s="249"/>
      <c r="P914" s="249"/>
      <c r="Q914" s="249"/>
      <c r="R914" s="249"/>
      <c r="S914" s="249"/>
      <c r="T914" s="249"/>
      <c r="U914" s="249"/>
      <c r="V914" s="249"/>
      <c r="W914" s="249"/>
      <c r="X914" s="249"/>
      <c r="Y914" s="249"/>
      <c r="Z914" s="249"/>
    </row>
    <row r="915" spans="1:26" s="152" customFormat="1" x14ac:dyDescent="0.25">
      <c r="A915" s="249"/>
      <c r="B915" s="249"/>
      <c r="C915" s="249"/>
      <c r="D915" s="249"/>
      <c r="E915" s="249"/>
      <c r="F915" s="249"/>
      <c r="G915" s="249"/>
      <c r="H915" s="249"/>
      <c r="I915" s="258"/>
      <c r="J915" s="249"/>
      <c r="K915" s="249"/>
      <c r="L915" s="249"/>
      <c r="M915" s="259"/>
      <c r="N915" s="249"/>
      <c r="O915" s="249"/>
      <c r="P915" s="249"/>
      <c r="Q915" s="249"/>
      <c r="R915" s="249"/>
      <c r="S915" s="249"/>
      <c r="T915" s="249"/>
      <c r="U915" s="249"/>
      <c r="V915" s="249"/>
      <c r="W915" s="249"/>
      <c r="X915" s="249"/>
      <c r="Y915" s="249"/>
      <c r="Z915" s="249"/>
    </row>
    <row r="916" spans="1:26" s="152" customFormat="1" x14ac:dyDescent="0.25">
      <c r="A916" s="249"/>
      <c r="B916" s="249"/>
      <c r="C916" s="249"/>
      <c r="D916" s="249"/>
      <c r="E916" s="249"/>
      <c r="F916" s="249"/>
      <c r="G916" s="249"/>
      <c r="H916" s="249"/>
      <c r="I916" s="258"/>
      <c r="J916" s="249"/>
      <c r="K916" s="249"/>
      <c r="L916" s="249"/>
      <c r="M916" s="25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</row>
    <row r="917" spans="1:26" s="152" customFormat="1" x14ac:dyDescent="0.25">
      <c r="A917" s="249"/>
      <c r="B917" s="249"/>
      <c r="C917" s="249"/>
      <c r="D917" s="249"/>
      <c r="E917" s="249"/>
      <c r="F917" s="249"/>
      <c r="G917" s="249"/>
      <c r="H917" s="249"/>
      <c r="I917" s="258"/>
      <c r="J917" s="249"/>
      <c r="K917" s="249"/>
      <c r="L917" s="249"/>
      <c r="M917" s="25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9"/>
    </row>
    <row r="918" spans="1:26" s="152" customFormat="1" x14ac:dyDescent="0.25">
      <c r="A918" s="249"/>
      <c r="B918" s="249"/>
      <c r="C918" s="249"/>
      <c r="D918" s="249"/>
      <c r="E918" s="249"/>
      <c r="F918" s="249"/>
      <c r="G918" s="249"/>
      <c r="H918" s="249"/>
      <c r="I918" s="258"/>
      <c r="J918" s="249"/>
      <c r="K918" s="249"/>
      <c r="L918" s="249"/>
      <c r="M918" s="259"/>
      <c r="N918" s="249"/>
      <c r="O918" s="249"/>
      <c r="P918" s="249"/>
      <c r="Q918" s="249"/>
      <c r="R918" s="249"/>
      <c r="S918" s="249"/>
      <c r="T918" s="249"/>
      <c r="U918" s="249"/>
      <c r="V918" s="249"/>
      <c r="W918" s="249"/>
      <c r="X918" s="249"/>
      <c r="Y918" s="249"/>
      <c r="Z918" s="249"/>
    </row>
    <row r="919" spans="1:26" s="152" customFormat="1" x14ac:dyDescent="0.25">
      <c r="A919" s="249"/>
      <c r="B919" s="249"/>
      <c r="C919" s="249"/>
      <c r="D919" s="249"/>
      <c r="E919" s="249"/>
      <c r="F919" s="249"/>
      <c r="G919" s="249"/>
      <c r="H919" s="249"/>
      <c r="I919" s="258"/>
      <c r="J919" s="249"/>
      <c r="K919" s="249"/>
      <c r="L919" s="249"/>
      <c r="M919" s="25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</row>
    <row r="920" spans="1:26" s="152" customFormat="1" x14ac:dyDescent="0.25">
      <c r="A920" s="249"/>
      <c r="B920" s="249"/>
      <c r="C920" s="249"/>
      <c r="D920" s="249"/>
      <c r="E920" s="249"/>
      <c r="F920" s="249"/>
      <c r="G920" s="249"/>
      <c r="H920" s="249"/>
      <c r="I920" s="258"/>
      <c r="J920" s="249"/>
      <c r="K920" s="249"/>
      <c r="L920" s="249"/>
      <c r="M920" s="25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</row>
    <row r="921" spans="1:26" s="152" customFormat="1" x14ac:dyDescent="0.25">
      <c r="A921" s="249"/>
      <c r="B921" s="249"/>
      <c r="C921" s="249"/>
      <c r="D921" s="249"/>
      <c r="E921" s="249"/>
      <c r="F921" s="249"/>
      <c r="G921" s="249"/>
      <c r="H921" s="249"/>
      <c r="I921" s="258"/>
      <c r="J921" s="249"/>
      <c r="K921" s="249"/>
      <c r="L921" s="249"/>
      <c r="M921" s="25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</row>
    <row r="922" spans="1:26" s="152" customFormat="1" x14ac:dyDescent="0.25">
      <c r="A922" s="249"/>
      <c r="B922" s="249"/>
      <c r="C922" s="249"/>
      <c r="D922" s="249"/>
      <c r="E922" s="249"/>
      <c r="F922" s="249"/>
      <c r="G922" s="249"/>
      <c r="H922" s="249"/>
      <c r="I922" s="258"/>
      <c r="J922" s="249"/>
      <c r="K922" s="249"/>
      <c r="L922" s="249"/>
      <c r="M922" s="25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</row>
    <row r="923" spans="1:26" s="152" customFormat="1" x14ac:dyDescent="0.25">
      <c r="A923" s="249"/>
      <c r="B923" s="249"/>
      <c r="C923" s="249"/>
      <c r="D923" s="249"/>
      <c r="E923" s="249"/>
      <c r="F923" s="249"/>
      <c r="G923" s="249"/>
      <c r="H923" s="249"/>
      <c r="I923" s="258"/>
      <c r="J923" s="249"/>
      <c r="K923" s="249"/>
      <c r="L923" s="249"/>
      <c r="M923" s="25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</row>
    <row r="924" spans="1:26" s="152" customFormat="1" x14ac:dyDescent="0.25">
      <c r="A924" s="249"/>
      <c r="B924" s="249"/>
      <c r="C924" s="249"/>
      <c r="D924" s="249"/>
      <c r="E924" s="249"/>
      <c r="F924" s="249"/>
      <c r="G924" s="249"/>
      <c r="H924" s="249"/>
      <c r="I924" s="258"/>
      <c r="J924" s="249"/>
      <c r="K924" s="249"/>
      <c r="L924" s="249"/>
      <c r="M924" s="259"/>
      <c r="N924" s="249"/>
      <c r="O924" s="249"/>
      <c r="P924" s="249"/>
      <c r="Q924" s="249"/>
      <c r="R924" s="249"/>
      <c r="S924" s="249"/>
      <c r="T924" s="249"/>
      <c r="U924" s="249"/>
      <c r="V924" s="249"/>
      <c r="W924" s="249"/>
      <c r="X924" s="249"/>
      <c r="Y924" s="249"/>
      <c r="Z924" s="249"/>
    </row>
    <row r="925" spans="1:26" s="152" customFormat="1" x14ac:dyDescent="0.25">
      <c r="A925" s="249"/>
      <c r="B925" s="249"/>
      <c r="C925" s="249"/>
      <c r="D925" s="249"/>
      <c r="E925" s="249"/>
      <c r="F925" s="249"/>
      <c r="G925" s="249"/>
      <c r="H925" s="249"/>
      <c r="I925" s="258"/>
      <c r="J925" s="249"/>
      <c r="K925" s="249"/>
      <c r="L925" s="249"/>
      <c r="M925" s="25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</row>
    <row r="926" spans="1:26" s="152" customFormat="1" x14ac:dyDescent="0.25">
      <c r="A926" s="249"/>
      <c r="B926" s="249"/>
      <c r="C926" s="249"/>
      <c r="D926" s="249"/>
      <c r="E926" s="249"/>
      <c r="F926" s="249"/>
      <c r="G926" s="249"/>
      <c r="H926" s="249"/>
      <c r="I926" s="258"/>
      <c r="J926" s="249"/>
      <c r="K926" s="249"/>
      <c r="L926" s="249"/>
      <c r="M926" s="25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</row>
    <row r="927" spans="1:26" s="152" customFormat="1" x14ac:dyDescent="0.25">
      <c r="A927" s="249"/>
      <c r="B927" s="249"/>
      <c r="C927" s="249"/>
      <c r="D927" s="249"/>
      <c r="E927" s="249"/>
      <c r="F927" s="249"/>
      <c r="G927" s="249"/>
      <c r="H927" s="249"/>
      <c r="I927" s="258"/>
      <c r="J927" s="249"/>
      <c r="K927" s="249"/>
      <c r="L927" s="249"/>
      <c r="M927" s="25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</row>
    <row r="928" spans="1:26" s="152" customFormat="1" x14ac:dyDescent="0.25">
      <c r="A928" s="249"/>
      <c r="B928" s="249"/>
      <c r="C928" s="249"/>
      <c r="D928" s="249"/>
      <c r="E928" s="249"/>
      <c r="F928" s="249"/>
      <c r="G928" s="249"/>
      <c r="H928" s="249"/>
      <c r="I928" s="258"/>
      <c r="J928" s="249"/>
      <c r="K928" s="249"/>
      <c r="L928" s="249"/>
      <c r="M928" s="259"/>
      <c r="N928" s="249"/>
      <c r="O928" s="249"/>
      <c r="P928" s="249"/>
      <c r="Q928" s="249"/>
      <c r="R928" s="249"/>
      <c r="S928" s="249"/>
      <c r="T928" s="249"/>
      <c r="U928" s="249"/>
      <c r="V928" s="249"/>
      <c r="W928" s="249"/>
      <c r="X928" s="249"/>
      <c r="Y928" s="249"/>
      <c r="Z928" s="249"/>
    </row>
    <row r="929" spans="1:26" s="152" customFormat="1" x14ac:dyDescent="0.25">
      <c r="A929" s="249"/>
      <c r="B929" s="249"/>
      <c r="C929" s="249"/>
      <c r="D929" s="249"/>
      <c r="E929" s="249"/>
      <c r="F929" s="249"/>
      <c r="G929" s="249"/>
      <c r="H929" s="249"/>
      <c r="I929" s="258"/>
      <c r="J929" s="249"/>
      <c r="K929" s="249"/>
      <c r="L929" s="249"/>
      <c r="M929" s="25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</row>
    <row r="930" spans="1:26" s="152" customFormat="1" x14ac:dyDescent="0.25">
      <c r="A930" s="249"/>
      <c r="B930" s="249"/>
      <c r="C930" s="249"/>
      <c r="D930" s="249"/>
      <c r="E930" s="249"/>
      <c r="F930" s="249"/>
      <c r="G930" s="249"/>
      <c r="H930" s="249"/>
      <c r="I930" s="258"/>
      <c r="J930" s="249"/>
      <c r="K930" s="249"/>
      <c r="L930" s="249"/>
      <c r="M930" s="259"/>
      <c r="N930" s="249"/>
      <c r="O930" s="249"/>
      <c r="P930" s="249"/>
      <c r="Q930" s="249"/>
      <c r="R930" s="249"/>
      <c r="S930" s="249"/>
      <c r="T930" s="249"/>
      <c r="U930" s="249"/>
      <c r="V930" s="249"/>
      <c r="W930" s="249"/>
      <c r="X930" s="249"/>
      <c r="Y930" s="249"/>
      <c r="Z930" s="249"/>
    </row>
    <row r="931" spans="1:26" s="152" customFormat="1" x14ac:dyDescent="0.25">
      <c r="A931" s="249"/>
      <c r="B931" s="249"/>
      <c r="C931" s="249"/>
      <c r="D931" s="249"/>
      <c r="E931" s="249"/>
      <c r="F931" s="249"/>
      <c r="G931" s="249"/>
      <c r="H931" s="249"/>
      <c r="I931" s="258"/>
      <c r="J931" s="249"/>
      <c r="K931" s="249"/>
      <c r="L931" s="249"/>
      <c r="M931" s="259"/>
      <c r="N931" s="249"/>
      <c r="O931" s="249"/>
      <c r="P931" s="249"/>
      <c r="Q931" s="249"/>
      <c r="R931" s="249"/>
      <c r="S931" s="249"/>
      <c r="T931" s="249"/>
      <c r="U931" s="249"/>
      <c r="V931" s="249"/>
      <c r="W931" s="249"/>
      <c r="X931" s="249"/>
      <c r="Y931" s="249"/>
      <c r="Z931" s="249"/>
    </row>
    <row r="932" spans="1:26" s="152" customFormat="1" x14ac:dyDescent="0.25">
      <c r="A932" s="249"/>
      <c r="B932" s="249"/>
      <c r="C932" s="249"/>
      <c r="D932" s="249"/>
      <c r="E932" s="249"/>
      <c r="F932" s="249"/>
      <c r="G932" s="249"/>
      <c r="H932" s="249"/>
      <c r="I932" s="258"/>
      <c r="J932" s="249"/>
      <c r="K932" s="249"/>
      <c r="L932" s="249"/>
      <c r="M932" s="259"/>
      <c r="N932" s="249"/>
      <c r="O932" s="249"/>
      <c r="P932" s="249"/>
      <c r="Q932" s="249"/>
      <c r="R932" s="249"/>
      <c r="S932" s="249"/>
      <c r="T932" s="249"/>
      <c r="U932" s="249"/>
      <c r="V932" s="249"/>
      <c r="W932" s="249"/>
      <c r="X932" s="249"/>
      <c r="Y932" s="249"/>
      <c r="Z932" s="249"/>
    </row>
    <row r="933" spans="1:26" s="152" customFormat="1" x14ac:dyDescent="0.25">
      <c r="A933" s="249"/>
      <c r="B933" s="249"/>
      <c r="C933" s="249"/>
      <c r="D933" s="249"/>
      <c r="E933" s="249"/>
      <c r="F933" s="249"/>
      <c r="G933" s="249"/>
      <c r="H933" s="249"/>
      <c r="I933" s="258"/>
      <c r="J933" s="249"/>
      <c r="K933" s="249"/>
      <c r="L933" s="249"/>
      <c r="M933" s="259"/>
      <c r="N933" s="249"/>
      <c r="O933" s="249"/>
      <c r="P933" s="249"/>
      <c r="Q933" s="249"/>
      <c r="R933" s="249"/>
      <c r="S933" s="249"/>
      <c r="T933" s="249"/>
      <c r="U933" s="249"/>
      <c r="V933" s="249"/>
      <c r="W933" s="249"/>
      <c r="X933" s="249"/>
      <c r="Y933" s="249"/>
      <c r="Z933" s="249"/>
    </row>
    <row r="934" spans="1:26" s="152" customFormat="1" x14ac:dyDescent="0.25">
      <c r="A934" s="249"/>
      <c r="B934" s="249"/>
      <c r="C934" s="249"/>
      <c r="D934" s="249"/>
      <c r="E934" s="249"/>
      <c r="F934" s="249"/>
      <c r="G934" s="249"/>
      <c r="H934" s="249"/>
      <c r="I934" s="258"/>
      <c r="J934" s="249"/>
      <c r="K934" s="249"/>
      <c r="L934" s="249"/>
      <c r="M934" s="259"/>
      <c r="N934" s="249"/>
      <c r="O934" s="249"/>
      <c r="P934" s="249"/>
      <c r="Q934" s="249"/>
      <c r="R934" s="249"/>
      <c r="S934" s="249"/>
      <c r="T934" s="249"/>
      <c r="U934" s="249"/>
      <c r="V934" s="249"/>
      <c r="W934" s="249"/>
      <c r="X934" s="249"/>
      <c r="Y934" s="249"/>
      <c r="Z934" s="249"/>
    </row>
    <row r="935" spans="1:26" s="152" customFormat="1" x14ac:dyDescent="0.25">
      <c r="A935" s="249"/>
      <c r="B935" s="249"/>
      <c r="C935" s="249"/>
      <c r="D935" s="249"/>
      <c r="E935" s="249"/>
      <c r="F935" s="249"/>
      <c r="G935" s="249"/>
      <c r="H935" s="249"/>
      <c r="I935" s="258"/>
      <c r="J935" s="249"/>
      <c r="K935" s="249"/>
      <c r="L935" s="249"/>
      <c r="M935" s="259"/>
      <c r="N935" s="249"/>
      <c r="O935" s="249"/>
      <c r="P935" s="249"/>
      <c r="Q935" s="249"/>
      <c r="R935" s="249"/>
      <c r="S935" s="249"/>
      <c r="T935" s="249"/>
      <c r="U935" s="249"/>
      <c r="V935" s="249"/>
      <c r="W935" s="249"/>
      <c r="X935" s="249"/>
      <c r="Y935" s="249"/>
      <c r="Z935" s="249"/>
    </row>
    <row r="936" spans="1:26" s="152" customFormat="1" x14ac:dyDescent="0.25">
      <c r="A936" s="249"/>
      <c r="B936" s="249"/>
      <c r="C936" s="249"/>
      <c r="D936" s="249"/>
      <c r="E936" s="249"/>
      <c r="F936" s="249"/>
      <c r="G936" s="249"/>
      <c r="H936" s="249"/>
      <c r="I936" s="258"/>
      <c r="J936" s="249"/>
      <c r="K936" s="249"/>
      <c r="L936" s="249"/>
      <c r="M936" s="259"/>
      <c r="N936" s="249"/>
      <c r="O936" s="249"/>
      <c r="P936" s="249"/>
      <c r="Q936" s="249"/>
      <c r="R936" s="249"/>
      <c r="S936" s="249"/>
      <c r="T936" s="249"/>
      <c r="U936" s="249"/>
      <c r="V936" s="249"/>
      <c r="W936" s="249"/>
      <c r="X936" s="249"/>
      <c r="Y936" s="249"/>
      <c r="Z936" s="249"/>
    </row>
    <row r="937" spans="1:26" s="152" customFormat="1" x14ac:dyDescent="0.25">
      <c r="A937" s="249"/>
      <c r="B937" s="249"/>
      <c r="C937" s="249"/>
      <c r="D937" s="249"/>
      <c r="E937" s="249"/>
      <c r="F937" s="249"/>
      <c r="G937" s="249"/>
      <c r="H937" s="249"/>
      <c r="I937" s="258"/>
      <c r="J937" s="249"/>
      <c r="K937" s="249"/>
      <c r="L937" s="249"/>
      <c r="M937" s="259"/>
      <c r="N937" s="249"/>
      <c r="O937" s="249"/>
      <c r="P937" s="249"/>
      <c r="Q937" s="249"/>
      <c r="R937" s="249"/>
      <c r="S937" s="249"/>
      <c r="T937" s="249"/>
      <c r="U937" s="249"/>
      <c r="V937" s="249"/>
      <c r="W937" s="249"/>
      <c r="X937" s="249"/>
      <c r="Y937" s="249"/>
      <c r="Z937" s="249"/>
    </row>
    <row r="938" spans="1:26" s="152" customFormat="1" x14ac:dyDescent="0.25">
      <c r="A938" s="249"/>
      <c r="B938" s="249"/>
      <c r="C938" s="249"/>
      <c r="D938" s="249"/>
      <c r="E938" s="249"/>
      <c r="F938" s="249"/>
      <c r="G938" s="249"/>
      <c r="H938" s="249"/>
      <c r="I938" s="258"/>
      <c r="J938" s="249"/>
      <c r="K938" s="249"/>
      <c r="L938" s="249"/>
      <c r="M938" s="259"/>
      <c r="N938" s="249"/>
      <c r="O938" s="249"/>
      <c r="P938" s="249"/>
      <c r="Q938" s="249"/>
      <c r="R938" s="249"/>
      <c r="S938" s="249"/>
      <c r="T938" s="249"/>
      <c r="U938" s="249"/>
      <c r="V938" s="249"/>
      <c r="W938" s="249"/>
      <c r="X938" s="249"/>
      <c r="Y938" s="249"/>
      <c r="Z938" s="249"/>
    </row>
    <row r="939" spans="1:26" s="152" customFormat="1" x14ac:dyDescent="0.25">
      <c r="A939" s="249"/>
      <c r="B939" s="249"/>
      <c r="C939" s="249"/>
      <c r="D939" s="249"/>
      <c r="E939" s="249"/>
      <c r="F939" s="249"/>
      <c r="G939" s="249"/>
      <c r="H939" s="249"/>
      <c r="I939" s="258"/>
      <c r="J939" s="249"/>
      <c r="K939" s="249"/>
      <c r="L939" s="249"/>
      <c r="M939" s="259"/>
      <c r="N939" s="249"/>
      <c r="O939" s="249"/>
      <c r="P939" s="249"/>
      <c r="Q939" s="249"/>
      <c r="R939" s="249"/>
      <c r="S939" s="249"/>
      <c r="T939" s="249"/>
      <c r="U939" s="249"/>
      <c r="V939" s="249"/>
      <c r="W939" s="249"/>
      <c r="X939" s="249"/>
      <c r="Y939" s="249"/>
      <c r="Z939" s="249"/>
    </row>
    <row r="940" spans="1:26" s="152" customFormat="1" x14ac:dyDescent="0.25">
      <c r="A940" s="249"/>
      <c r="B940" s="249"/>
      <c r="C940" s="249"/>
      <c r="D940" s="249"/>
      <c r="E940" s="249"/>
      <c r="F940" s="249"/>
      <c r="G940" s="249"/>
      <c r="H940" s="249"/>
      <c r="I940" s="258"/>
      <c r="J940" s="249"/>
      <c r="K940" s="249"/>
      <c r="L940" s="249"/>
      <c r="M940" s="259"/>
      <c r="N940" s="249"/>
      <c r="O940" s="249"/>
      <c r="P940" s="249"/>
      <c r="Q940" s="249"/>
      <c r="R940" s="249"/>
      <c r="S940" s="249"/>
      <c r="T940" s="249"/>
      <c r="U940" s="249"/>
      <c r="V940" s="249"/>
      <c r="W940" s="249"/>
      <c r="X940" s="249"/>
      <c r="Y940" s="249"/>
      <c r="Z940" s="249"/>
    </row>
    <row r="941" spans="1:26" s="152" customFormat="1" x14ac:dyDescent="0.25">
      <c r="A941" s="249"/>
      <c r="B941" s="249"/>
      <c r="C941" s="249"/>
      <c r="D941" s="249"/>
      <c r="E941" s="249"/>
      <c r="F941" s="249"/>
      <c r="G941" s="249"/>
      <c r="H941" s="249"/>
      <c r="I941" s="258"/>
      <c r="J941" s="249"/>
      <c r="K941" s="249"/>
      <c r="L941" s="249"/>
      <c r="M941" s="259"/>
      <c r="N941" s="249"/>
      <c r="O941" s="249"/>
      <c r="P941" s="249"/>
      <c r="Q941" s="249"/>
      <c r="R941" s="249"/>
      <c r="S941" s="249"/>
      <c r="T941" s="249"/>
      <c r="U941" s="249"/>
      <c r="V941" s="249"/>
      <c r="W941" s="249"/>
      <c r="X941" s="249"/>
      <c r="Y941" s="249"/>
      <c r="Z941" s="249"/>
    </row>
    <row r="942" spans="1:26" s="152" customFormat="1" x14ac:dyDescent="0.25">
      <c r="A942" s="249"/>
      <c r="B942" s="249"/>
      <c r="C942" s="249"/>
      <c r="D942" s="249"/>
      <c r="E942" s="249"/>
      <c r="F942" s="249"/>
      <c r="G942" s="249"/>
      <c r="H942" s="249"/>
      <c r="I942" s="258"/>
      <c r="J942" s="249"/>
      <c r="K942" s="249"/>
      <c r="L942" s="249"/>
      <c r="M942" s="259"/>
      <c r="N942" s="249"/>
      <c r="O942" s="249"/>
      <c r="P942" s="249"/>
      <c r="Q942" s="249"/>
      <c r="R942" s="249"/>
      <c r="S942" s="249"/>
      <c r="T942" s="249"/>
      <c r="U942" s="249"/>
      <c r="V942" s="249"/>
      <c r="W942" s="249"/>
      <c r="X942" s="249"/>
      <c r="Y942" s="249"/>
      <c r="Z942" s="249"/>
    </row>
    <row r="943" spans="1:26" s="152" customFormat="1" x14ac:dyDescent="0.25">
      <c r="A943" s="249"/>
      <c r="B943" s="249"/>
      <c r="C943" s="249"/>
      <c r="D943" s="249"/>
      <c r="E943" s="249"/>
      <c r="F943" s="249"/>
      <c r="G943" s="249"/>
      <c r="H943" s="249"/>
      <c r="I943" s="258"/>
      <c r="J943" s="249"/>
      <c r="K943" s="249"/>
      <c r="L943" s="249"/>
      <c r="M943" s="259"/>
      <c r="N943" s="249"/>
      <c r="O943" s="249"/>
      <c r="P943" s="249"/>
      <c r="Q943" s="249"/>
      <c r="R943" s="249"/>
      <c r="S943" s="249"/>
      <c r="T943" s="249"/>
      <c r="U943" s="249"/>
      <c r="V943" s="249"/>
      <c r="W943" s="249"/>
      <c r="X943" s="249"/>
      <c r="Y943" s="249"/>
      <c r="Z943" s="249"/>
    </row>
    <row r="944" spans="1:26" s="152" customFormat="1" x14ac:dyDescent="0.25">
      <c r="A944" s="249"/>
      <c r="B944" s="249"/>
      <c r="C944" s="249"/>
      <c r="D944" s="249"/>
      <c r="E944" s="249"/>
      <c r="F944" s="249"/>
      <c r="G944" s="249"/>
      <c r="H944" s="249"/>
      <c r="I944" s="258"/>
      <c r="J944" s="249"/>
      <c r="K944" s="249"/>
      <c r="L944" s="249"/>
      <c r="M944" s="259"/>
      <c r="N944" s="249"/>
      <c r="O944" s="249"/>
      <c r="P944" s="249"/>
      <c r="Q944" s="249"/>
      <c r="R944" s="249"/>
      <c r="S944" s="249"/>
      <c r="T944" s="249"/>
      <c r="U944" s="249"/>
      <c r="V944" s="249"/>
      <c r="W944" s="249"/>
      <c r="X944" s="249"/>
      <c r="Y944" s="249"/>
      <c r="Z944" s="249"/>
    </row>
    <row r="945" spans="1:26" s="152" customFormat="1" x14ac:dyDescent="0.25">
      <c r="A945" s="249"/>
      <c r="B945" s="249"/>
      <c r="C945" s="249"/>
      <c r="D945" s="249"/>
      <c r="E945" s="249"/>
      <c r="F945" s="249"/>
      <c r="G945" s="249"/>
      <c r="H945" s="249"/>
      <c r="I945" s="258"/>
      <c r="J945" s="249"/>
      <c r="K945" s="249"/>
      <c r="L945" s="249"/>
      <c r="M945" s="259"/>
      <c r="N945" s="249"/>
      <c r="O945" s="249"/>
      <c r="P945" s="249"/>
      <c r="Q945" s="249"/>
      <c r="R945" s="249"/>
      <c r="S945" s="249"/>
      <c r="T945" s="249"/>
      <c r="U945" s="249"/>
      <c r="V945" s="249"/>
      <c r="W945" s="249"/>
      <c r="X945" s="249"/>
      <c r="Y945" s="249"/>
      <c r="Z945" s="249"/>
    </row>
    <row r="946" spans="1:26" s="152" customFormat="1" x14ac:dyDescent="0.25">
      <c r="A946" s="249"/>
      <c r="B946" s="249"/>
      <c r="C946" s="249"/>
      <c r="D946" s="249"/>
      <c r="E946" s="249"/>
      <c r="F946" s="249"/>
      <c r="G946" s="249"/>
      <c r="H946" s="249"/>
      <c r="I946" s="258"/>
      <c r="J946" s="249"/>
      <c r="K946" s="249"/>
      <c r="L946" s="249"/>
      <c r="M946" s="259"/>
      <c r="N946" s="249"/>
      <c r="O946" s="249"/>
      <c r="P946" s="249"/>
      <c r="Q946" s="249"/>
      <c r="R946" s="249"/>
      <c r="S946" s="249"/>
      <c r="T946" s="249"/>
      <c r="U946" s="249"/>
      <c r="V946" s="249"/>
      <c r="W946" s="249"/>
      <c r="X946" s="249"/>
      <c r="Y946" s="249"/>
      <c r="Z946" s="249"/>
    </row>
    <row r="947" spans="1:26" s="152" customFormat="1" x14ac:dyDescent="0.25">
      <c r="A947" s="249"/>
      <c r="B947" s="249"/>
      <c r="C947" s="249"/>
      <c r="D947" s="249"/>
      <c r="E947" s="249"/>
      <c r="F947" s="249"/>
      <c r="G947" s="249"/>
      <c r="H947" s="249"/>
      <c r="I947" s="258"/>
      <c r="J947" s="249"/>
      <c r="K947" s="249"/>
      <c r="L947" s="249"/>
      <c r="M947" s="259"/>
      <c r="N947" s="249"/>
      <c r="O947" s="249"/>
      <c r="P947" s="249"/>
      <c r="Q947" s="249"/>
      <c r="R947" s="249"/>
      <c r="S947" s="249"/>
      <c r="T947" s="249"/>
      <c r="U947" s="249"/>
      <c r="V947" s="249"/>
      <c r="W947" s="249"/>
      <c r="X947" s="249"/>
      <c r="Y947" s="249"/>
      <c r="Z947" s="249"/>
    </row>
    <row r="948" spans="1:26" s="152" customFormat="1" x14ac:dyDescent="0.25">
      <c r="A948" s="249"/>
      <c r="B948" s="249"/>
      <c r="C948" s="249"/>
      <c r="D948" s="249"/>
      <c r="E948" s="249"/>
      <c r="F948" s="249"/>
      <c r="G948" s="249"/>
      <c r="H948" s="249"/>
      <c r="I948" s="258"/>
      <c r="J948" s="249"/>
      <c r="K948" s="249"/>
      <c r="L948" s="249"/>
      <c r="M948" s="259"/>
      <c r="N948" s="249"/>
      <c r="O948" s="249"/>
      <c r="P948" s="249"/>
      <c r="Q948" s="249"/>
      <c r="R948" s="249"/>
      <c r="S948" s="249"/>
      <c r="T948" s="249"/>
      <c r="U948" s="249"/>
      <c r="V948" s="249"/>
      <c r="W948" s="249"/>
      <c r="X948" s="249"/>
      <c r="Y948" s="249"/>
      <c r="Z948" s="249"/>
    </row>
    <row r="949" spans="1:26" s="152" customFormat="1" x14ac:dyDescent="0.25">
      <c r="A949" s="249"/>
      <c r="B949" s="249"/>
      <c r="C949" s="249"/>
      <c r="D949" s="249"/>
      <c r="E949" s="249"/>
      <c r="F949" s="249"/>
      <c r="G949" s="249"/>
      <c r="H949" s="249"/>
      <c r="I949" s="258"/>
      <c r="J949" s="249"/>
      <c r="K949" s="249"/>
      <c r="L949" s="249"/>
      <c r="M949" s="25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</row>
    <row r="950" spans="1:26" s="152" customFormat="1" x14ac:dyDescent="0.25">
      <c r="A950" s="249"/>
      <c r="B950" s="249"/>
      <c r="C950" s="249"/>
      <c r="D950" s="249"/>
      <c r="E950" s="249"/>
      <c r="F950" s="249"/>
      <c r="G950" s="249"/>
      <c r="H950" s="249"/>
      <c r="I950" s="258"/>
      <c r="J950" s="249"/>
      <c r="K950" s="249"/>
      <c r="L950" s="249"/>
      <c r="M950" s="25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9"/>
    </row>
    <row r="951" spans="1:26" s="152" customFormat="1" x14ac:dyDescent="0.25">
      <c r="A951" s="249"/>
      <c r="B951" s="249"/>
      <c r="C951" s="249"/>
      <c r="D951" s="249"/>
      <c r="E951" s="249"/>
      <c r="F951" s="249"/>
      <c r="G951" s="249"/>
      <c r="H951" s="249"/>
      <c r="I951" s="258"/>
      <c r="J951" s="249"/>
      <c r="K951" s="249"/>
      <c r="L951" s="249"/>
      <c r="M951" s="259"/>
      <c r="N951" s="249"/>
      <c r="O951" s="249"/>
      <c r="P951" s="249"/>
      <c r="Q951" s="249"/>
      <c r="R951" s="249"/>
      <c r="S951" s="249"/>
      <c r="T951" s="249"/>
      <c r="U951" s="249"/>
      <c r="V951" s="249"/>
      <c r="W951" s="249"/>
      <c r="X951" s="249"/>
      <c r="Y951" s="249"/>
      <c r="Z951" s="249"/>
    </row>
    <row r="952" spans="1:26" s="152" customFormat="1" x14ac:dyDescent="0.25">
      <c r="A952" s="249"/>
      <c r="B952" s="249"/>
      <c r="C952" s="249"/>
      <c r="D952" s="249"/>
      <c r="E952" s="249"/>
      <c r="F952" s="249"/>
      <c r="G952" s="249"/>
      <c r="H952" s="249"/>
      <c r="I952" s="258"/>
      <c r="J952" s="249"/>
      <c r="K952" s="249"/>
      <c r="L952" s="249"/>
      <c r="M952" s="25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</row>
    <row r="953" spans="1:26" s="152" customFormat="1" x14ac:dyDescent="0.25">
      <c r="A953" s="249"/>
      <c r="B953" s="249"/>
      <c r="C953" s="249"/>
      <c r="D953" s="249"/>
      <c r="E953" s="249"/>
      <c r="F953" s="249"/>
      <c r="G953" s="249"/>
      <c r="H953" s="249"/>
      <c r="I953" s="258"/>
      <c r="J953" s="249"/>
      <c r="K953" s="249"/>
      <c r="L953" s="249"/>
      <c r="M953" s="25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</row>
    <row r="954" spans="1:26" s="152" customFormat="1" x14ac:dyDescent="0.25">
      <c r="A954" s="249"/>
      <c r="B954" s="249"/>
      <c r="C954" s="249"/>
      <c r="D954" s="249"/>
      <c r="E954" s="249"/>
      <c r="F954" s="249"/>
      <c r="G954" s="249"/>
      <c r="H954" s="249"/>
      <c r="I954" s="258"/>
      <c r="J954" s="249"/>
      <c r="K954" s="249"/>
      <c r="L954" s="249"/>
      <c r="M954" s="25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</row>
    <row r="955" spans="1:26" s="152" customFormat="1" x14ac:dyDescent="0.25">
      <c r="A955" s="249"/>
      <c r="B955" s="249"/>
      <c r="C955" s="249"/>
      <c r="D955" s="249"/>
      <c r="E955" s="249"/>
      <c r="F955" s="249"/>
      <c r="G955" s="249"/>
      <c r="H955" s="249"/>
      <c r="I955" s="258"/>
      <c r="J955" s="249"/>
      <c r="K955" s="249"/>
      <c r="L955" s="249"/>
      <c r="M955" s="25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</row>
    <row r="956" spans="1:26" s="152" customFormat="1" x14ac:dyDescent="0.25">
      <c r="A956" s="249"/>
      <c r="B956" s="249"/>
      <c r="C956" s="249"/>
      <c r="D956" s="249"/>
      <c r="E956" s="249"/>
      <c r="F956" s="249"/>
      <c r="G956" s="249"/>
      <c r="H956" s="249"/>
      <c r="I956" s="258"/>
      <c r="J956" s="249"/>
      <c r="K956" s="249"/>
      <c r="L956" s="249"/>
      <c r="M956" s="25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</row>
    <row r="957" spans="1:26" s="152" customFormat="1" x14ac:dyDescent="0.25">
      <c r="A957" s="249"/>
      <c r="B957" s="249"/>
      <c r="C957" s="249"/>
      <c r="D957" s="249"/>
      <c r="E957" s="249"/>
      <c r="F957" s="249"/>
      <c r="G957" s="249"/>
      <c r="H957" s="249"/>
      <c r="I957" s="258"/>
      <c r="J957" s="249"/>
      <c r="K957" s="249"/>
      <c r="L957" s="249"/>
      <c r="M957" s="259"/>
      <c r="N957" s="249"/>
      <c r="O957" s="249"/>
      <c r="P957" s="249"/>
      <c r="Q957" s="249"/>
      <c r="R957" s="249"/>
      <c r="S957" s="249"/>
      <c r="T957" s="249"/>
      <c r="U957" s="249"/>
      <c r="V957" s="249"/>
      <c r="W957" s="249"/>
      <c r="X957" s="249"/>
      <c r="Y957" s="249"/>
      <c r="Z957" s="249"/>
    </row>
    <row r="958" spans="1:26" s="152" customFormat="1" x14ac:dyDescent="0.25">
      <c r="A958" s="249"/>
      <c r="B958" s="249"/>
      <c r="C958" s="249"/>
      <c r="D958" s="249"/>
      <c r="E958" s="249"/>
      <c r="F958" s="249"/>
      <c r="G958" s="249"/>
      <c r="H958" s="249"/>
      <c r="I958" s="258"/>
      <c r="J958" s="249"/>
      <c r="K958" s="249"/>
      <c r="L958" s="249"/>
      <c r="M958" s="25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</row>
    <row r="959" spans="1:26" s="152" customFormat="1" x14ac:dyDescent="0.25">
      <c r="A959" s="249"/>
      <c r="B959" s="249"/>
      <c r="C959" s="249"/>
      <c r="D959" s="249"/>
      <c r="E959" s="249"/>
      <c r="F959" s="249"/>
      <c r="G959" s="249"/>
      <c r="H959" s="249"/>
      <c r="I959" s="258"/>
      <c r="J959" s="249"/>
      <c r="K959" s="249"/>
      <c r="L959" s="249"/>
      <c r="M959" s="25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</row>
    <row r="960" spans="1:26" s="152" customFormat="1" x14ac:dyDescent="0.25">
      <c r="A960" s="249"/>
      <c r="B960" s="249"/>
      <c r="C960" s="249"/>
      <c r="D960" s="249"/>
      <c r="E960" s="249"/>
      <c r="F960" s="249"/>
      <c r="G960" s="249"/>
      <c r="H960" s="249"/>
      <c r="I960" s="258"/>
      <c r="J960" s="249"/>
      <c r="K960" s="249"/>
      <c r="L960" s="249"/>
      <c r="M960" s="25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</row>
    <row r="961" spans="1:26" s="152" customFormat="1" x14ac:dyDescent="0.25">
      <c r="A961" s="249"/>
      <c r="B961" s="249"/>
      <c r="C961" s="249"/>
      <c r="D961" s="249"/>
      <c r="E961" s="249"/>
      <c r="F961" s="249"/>
      <c r="G961" s="249"/>
      <c r="H961" s="249"/>
      <c r="I961" s="258"/>
      <c r="J961" s="249"/>
      <c r="K961" s="249"/>
      <c r="L961" s="249"/>
      <c r="M961" s="259"/>
      <c r="N961" s="249"/>
      <c r="O961" s="249"/>
      <c r="P961" s="249"/>
      <c r="Q961" s="249"/>
      <c r="R961" s="249"/>
      <c r="S961" s="249"/>
      <c r="T961" s="249"/>
      <c r="U961" s="249"/>
      <c r="V961" s="249"/>
      <c r="W961" s="249"/>
      <c r="X961" s="249"/>
      <c r="Y961" s="249"/>
      <c r="Z961" s="249"/>
    </row>
    <row r="962" spans="1:26" s="152" customFormat="1" x14ac:dyDescent="0.25">
      <c r="A962" s="249"/>
      <c r="B962" s="249"/>
      <c r="C962" s="249"/>
      <c r="D962" s="249"/>
      <c r="E962" s="249"/>
      <c r="F962" s="249"/>
      <c r="G962" s="249"/>
      <c r="H962" s="249"/>
      <c r="I962" s="258"/>
      <c r="J962" s="249"/>
      <c r="K962" s="249"/>
      <c r="L962" s="249"/>
      <c r="M962" s="25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</row>
    <row r="963" spans="1:26" s="152" customFormat="1" x14ac:dyDescent="0.25">
      <c r="A963" s="249"/>
      <c r="B963" s="249"/>
      <c r="C963" s="249"/>
      <c r="D963" s="249"/>
      <c r="E963" s="249"/>
      <c r="F963" s="249"/>
      <c r="G963" s="249"/>
      <c r="H963" s="249"/>
      <c r="I963" s="258"/>
      <c r="J963" s="249"/>
      <c r="K963" s="249"/>
      <c r="L963" s="249"/>
      <c r="M963" s="259"/>
      <c r="N963" s="249"/>
      <c r="O963" s="249"/>
      <c r="P963" s="249"/>
      <c r="Q963" s="249"/>
      <c r="R963" s="249"/>
      <c r="S963" s="249"/>
      <c r="T963" s="249"/>
      <c r="U963" s="249"/>
      <c r="V963" s="249"/>
      <c r="W963" s="249"/>
      <c r="X963" s="249"/>
      <c r="Y963" s="249"/>
      <c r="Z963" s="249"/>
    </row>
    <row r="964" spans="1:26" s="152" customFormat="1" x14ac:dyDescent="0.25">
      <c r="A964" s="249"/>
      <c r="B964" s="249"/>
      <c r="C964" s="249"/>
      <c r="D964" s="249"/>
      <c r="E964" s="249"/>
      <c r="F964" s="249"/>
      <c r="G964" s="249"/>
      <c r="H964" s="249"/>
      <c r="I964" s="258"/>
      <c r="J964" s="249"/>
      <c r="K964" s="249"/>
      <c r="L964" s="249"/>
      <c r="M964" s="259"/>
      <c r="N964" s="249"/>
      <c r="O964" s="249"/>
      <c r="P964" s="249"/>
      <c r="Q964" s="249"/>
      <c r="R964" s="249"/>
      <c r="S964" s="249"/>
      <c r="T964" s="249"/>
      <c r="U964" s="249"/>
      <c r="V964" s="249"/>
      <c r="W964" s="249"/>
      <c r="X964" s="249"/>
      <c r="Y964" s="249"/>
      <c r="Z964" s="249"/>
    </row>
    <row r="965" spans="1:26" s="152" customFormat="1" x14ac:dyDescent="0.25">
      <c r="A965" s="249"/>
      <c r="B965" s="249"/>
      <c r="C965" s="249"/>
      <c r="D965" s="249"/>
      <c r="E965" s="249"/>
      <c r="F965" s="249"/>
      <c r="G965" s="249"/>
      <c r="H965" s="249"/>
      <c r="I965" s="258"/>
      <c r="J965" s="249"/>
      <c r="K965" s="249"/>
      <c r="L965" s="249"/>
      <c r="M965" s="259"/>
      <c r="N965" s="249"/>
      <c r="O965" s="249"/>
      <c r="P965" s="249"/>
      <c r="Q965" s="249"/>
      <c r="R965" s="249"/>
      <c r="S965" s="249"/>
      <c r="T965" s="249"/>
      <c r="U965" s="249"/>
      <c r="V965" s="249"/>
      <c r="W965" s="249"/>
      <c r="X965" s="249"/>
      <c r="Y965" s="249"/>
      <c r="Z965" s="249"/>
    </row>
    <row r="966" spans="1:26" s="152" customFormat="1" x14ac:dyDescent="0.25">
      <c r="A966" s="249"/>
      <c r="B966" s="249"/>
      <c r="C966" s="249"/>
      <c r="D966" s="249"/>
      <c r="E966" s="249"/>
      <c r="F966" s="249"/>
      <c r="G966" s="249"/>
      <c r="H966" s="249"/>
      <c r="I966" s="258"/>
      <c r="J966" s="249"/>
      <c r="K966" s="249"/>
      <c r="L966" s="249"/>
      <c r="M966" s="259"/>
      <c r="N966" s="249"/>
      <c r="O966" s="249"/>
      <c r="P966" s="249"/>
      <c r="Q966" s="249"/>
      <c r="R966" s="249"/>
      <c r="S966" s="249"/>
      <c r="T966" s="249"/>
      <c r="U966" s="249"/>
      <c r="V966" s="249"/>
      <c r="W966" s="249"/>
      <c r="X966" s="249"/>
      <c r="Y966" s="249"/>
      <c r="Z966" s="249"/>
    </row>
    <row r="967" spans="1:26" s="152" customFormat="1" x14ac:dyDescent="0.25">
      <c r="A967" s="249"/>
      <c r="B967" s="249"/>
      <c r="C967" s="249"/>
      <c r="D967" s="249"/>
      <c r="E967" s="249"/>
      <c r="F967" s="249"/>
      <c r="G967" s="249"/>
      <c r="H967" s="249"/>
      <c r="I967" s="258"/>
      <c r="J967" s="249"/>
      <c r="K967" s="249"/>
      <c r="L967" s="249"/>
      <c r="M967" s="259"/>
      <c r="N967" s="249"/>
      <c r="O967" s="249"/>
      <c r="P967" s="249"/>
      <c r="Q967" s="249"/>
      <c r="R967" s="249"/>
      <c r="S967" s="249"/>
      <c r="T967" s="249"/>
      <c r="U967" s="249"/>
      <c r="V967" s="249"/>
      <c r="W967" s="249"/>
      <c r="X967" s="249"/>
      <c r="Y967" s="249"/>
      <c r="Z967" s="249"/>
    </row>
    <row r="968" spans="1:26" s="152" customFormat="1" x14ac:dyDescent="0.25">
      <c r="A968" s="249"/>
      <c r="B968" s="249"/>
      <c r="C968" s="249"/>
      <c r="D968" s="249"/>
      <c r="E968" s="249"/>
      <c r="F968" s="249"/>
      <c r="G968" s="249"/>
      <c r="H968" s="249"/>
      <c r="I968" s="258"/>
      <c r="J968" s="249"/>
      <c r="K968" s="249"/>
      <c r="L968" s="249"/>
      <c r="M968" s="259"/>
      <c r="N968" s="249"/>
      <c r="O968" s="249"/>
      <c r="P968" s="249"/>
      <c r="Q968" s="249"/>
      <c r="R968" s="249"/>
      <c r="S968" s="249"/>
      <c r="T968" s="249"/>
      <c r="U968" s="249"/>
      <c r="V968" s="249"/>
      <c r="W968" s="249"/>
      <c r="X968" s="249"/>
      <c r="Y968" s="249"/>
      <c r="Z968" s="249"/>
    </row>
    <row r="969" spans="1:26" s="152" customFormat="1" x14ac:dyDescent="0.25">
      <c r="A969" s="249"/>
      <c r="B969" s="249"/>
      <c r="C969" s="249"/>
      <c r="D969" s="249"/>
      <c r="E969" s="249"/>
      <c r="F969" s="249"/>
      <c r="G969" s="249"/>
      <c r="H969" s="249"/>
      <c r="I969" s="258"/>
      <c r="J969" s="249"/>
      <c r="K969" s="249"/>
      <c r="L969" s="249"/>
      <c r="M969" s="259"/>
      <c r="N969" s="249"/>
      <c r="O969" s="249"/>
      <c r="P969" s="249"/>
      <c r="Q969" s="249"/>
      <c r="R969" s="249"/>
      <c r="S969" s="249"/>
      <c r="T969" s="249"/>
      <c r="U969" s="249"/>
      <c r="V969" s="249"/>
      <c r="W969" s="249"/>
      <c r="X969" s="249"/>
      <c r="Y969" s="249"/>
      <c r="Z969" s="249"/>
    </row>
    <row r="970" spans="1:26" s="152" customFormat="1" x14ac:dyDescent="0.25">
      <c r="A970" s="249"/>
      <c r="B970" s="249"/>
      <c r="C970" s="249"/>
      <c r="D970" s="249"/>
      <c r="E970" s="249"/>
      <c r="F970" s="249"/>
      <c r="G970" s="249"/>
      <c r="H970" s="249"/>
      <c r="I970" s="258"/>
      <c r="J970" s="249"/>
      <c r="K970" s="249"/>
      <c r="L970" s="249"/>
      <c r="M970" s="259"/>
      <c r="N970" s="249"/>
      <c r="O970" s="249"/>
      <c r="P970" s="249"/>
      <c r="Q970" s="249"/>
      <c r="R970" s="249"/>
      <c r="S970" s="249"/>
      <c r="T970" s="249"/>
      <c r="U970" s="249"/>
      <c r="V970" s="249"/>
      <c r="W970" s="249"/>
      <c r="X970" s="249"/>
      <c r="Y970" s="249"/>
      <c r="Z970" s="249"/>
    </row>
    <row r="971" spans="1:26" s="152" customFormat="1" x14ac:dyDescent="0.25">
      <c r="A971" s="249"/>
      <c r="B971" s="249"/>
      <c r="C971" s="249"/>
      <c r="D971" s="249"/>
      <c r="E971" s="249"/>
      <c r="F971" s="249"/>
      <c r="G971" s="249"/>
      <c r="H971" s="249"/>
      <c r="I971" s="258"/>
      <c r="J971" s="249"/>
      <c r="K971" s="249"/>
      <c r="L971" s="249"/>
      <c r="M971" s="259"/>
      <c r="N971" s="249"/>
      <c r="O971" s="249"/>
      <c r="P971" s="249"/>
      <c r="Q971" s="249"/>
      <c r="R971" s="249"/>
      <c r="S971" s="249"/>
      <c r="T971" s="249"/>
      <c r="U971" s="249"/>
      <c r="V971" s="249"/>
      <c r="W971" s="249"/>
      <c r="X971" s="249"/>
      <c r="Y971" s="249"/>
      <c r="Z971" s="249"/>
    </row>
    <row r="972" spans="1:26" s="152" customFormat="1" x14ac:dyDescent="0.25">
      <c r="A972" s="249"/>
      <c r="B972" s="249"/>
      <c r="C972" s="249"/>
      <c r="D972" s="249"/>
      <c r="E972" s="249"/>
      <c r="F972" s="249"/>
      <c r="G972" s="249"/>
      <c r="H972" s="249"/>
      <c r="I972" s="258"/>
      <c r="J972" s="249"/>
      <c r="K972" s="249"/>
      <c r="L972" s="249"/>
      <c r="M972" s="259"/>
      <c r="N972" s="249"/>
      <c r="O972" s="249"/>
      <c r="P972" s="249"/>
      <c r="Q972" s="249"/>
      <c r="R972" s="249"/>
      <c r="S972" s="249"/>
      <c r="T972" s="249"/>
      <c r="U972" s="249"/>
      <c r="V972" s="249"/>
      <c r="W972" s="249"/>
      <c r="X972" s="249"/>
      <c r="Y972" s="249"/>
      <c r="Z972" s="249"/>
    </row>
    <row r="973" spans="1:26" s="152" customFormat="1" x14ac:dyDescent="0.25">
      <c r="A973" s="249"/>
      <c r="B973" s="249"/>
      <c r="C973" s="249"/>
      <c r="D973" s="249"/>
      <c r="E973" s="249"/>
      <c r="F973" s="249"/>
      <c r="G973" s="249"/>
      <c r="H973" s="249"/>
      <c r="I973" s="258"/>
      <c r="J973" s="249"/>
      <c r="K973" s="249"/>
      <c r="L973" s="249"/>
      <c r="M973" s="259"/>
      <c r="N973" s="249"/>
      <c r="O973" s="249"/>
      <c r="P973" s="249"/>
      <c r="Q973" s="249"/>
      <c r="R973" s="249"/>
      <c r="S973" s="249"/>
      <c r="T973" s="249"/>
      <c r="U973" s="249"/>
      <c r="V973" s="249"/>
      <c r="W973" s="249"/>
      <c r="X973" s="249"/>
      <c r="Y973" s="249"/>
      <c r="Z973" s="249"/>
    </row>
    <row r="974" spans="1:26" s="152" customFormat="1" x14ac:dyDescent="0.25">
      <c r="A974" s="249"/>
      <c r="B974" s="249"/>
      <c r="C974" s="249"/>
      <c r="D974" s="249"/>
      <c r="E974" s="249"/>
      <c r="F974" s="249"/>
      <c r="G974" s="249"/>
      <c r="H974" s="249"/>
      <c r="I974" s="258"/>
      <c r="J974" s="249"/>
      <c r="K974" s="249"/>
      <c r="L974" s="249"/>
      <c r="M974" s="259"/>
      <c r="N974" s="249"/>
      <c r="O974" s="249"/>
      <c r="P974" s="249"/>
      <c r="Q974" s="249"/>
      <c r="R974" s="249"/>
      <c r="S974" s="249"/>
      <c r="T974" s="249"/>
      <c r="U974" s="249"/>
      <c r="V974" s="249"/>
      <c r="W974" s="249"/>
      <c r="X974" s="249"/>
      <c r="Y974" s="249"/>
      <c r="Z974" s="249"/>
    </row>
    <row r="975" spans="1:26" s="152" customFormat="1" x14ac:dyDescent="0.25">
      <c r="A975" s="249"/>
      <c r="B975" s="249"/>
      <c r="C975" s="249"/>
      <c r="D975" s="249"/>
      <c r="E975" s="249"/>
      <c r="F975" s="249"/>
      <c r="G975" s="249"/>
      <c r="H975" s="249"/>
      <c r="I975" s="258"/>
      <c r="J975" s="249"/>
      <c r="K975" s="249"/>
      <c r="L975" s="249"/>
      <c r="M975" s="259"/>
      <c r="N975" s="249"/>
      <c r="O975" s="249"/>
      <c r="P975" s="249"/>
      <c r="Q975" s="249"/>
      <c r="R975" s="249"/>
      <c r="S975" s="249"/>
      <c r="T975" s="249"/>
      <c r="U975" s="249"/>
      <c r="V975" s="249"/>
      <c r="W975" s="249"/>
      <c r="X975" s="249"/>
      <c r="Y975" s="249"/>
      <c r="Z975" s="249"/>
    </row>
    <row r="976" spans="1:26" s="152" customFormat="1" x14ac:dyDescent="0.25">
      <c r="A976" s="249"/>
      <c r="B976" s="249"/>
      <c r="C976" s="249"/>
      <c r="D976" s="249"/>
      <c r="E976" s="249"/>
      <c r="F976" s="249"/>
      <c r="G976" s="249"/>
      <c r="H976" s="249"/>
      <c r="I976" s="258"/>
      <c r="J976" s="249"/>
      <c r="K976" s="249"/>
      <c r="L976" s="249"/>
      <c r="M976" s="259"/>
      <c r="N976" s="249"/>
      <c r="O976" s="249"/>
      <c r="P976" s="249"/>
      <c r="Q976" s="249"/>
      <c r="R976" s="249"/>
      <c r="S976" s="249"/>
      <c r="T976" s="249"/>
      <c r="U976" s="249"/>
      <c r="V976" s="249"/>
      <c r="W976" s="249"/>
      <c r="X976" s="249"/>
      <c r="Y976" s="249"/>
      <c r="Z976" s="249"/>
    </row>
    <row r="977" spans="1:26" s="152" customFormat="1" x14ac:dyDescent="0.25">
      <c r="A977" s="249"/>
      <c r="B977" s="249"/>
      <c r="C977" s="249"/>
      <c r="D977" s="249"/>
      <c r="E977" s="249"/>
      <c r="F977" s="249"/>
      <c r="G977" s="249"/>
      <c r="H977" s="249"/>
      <c r="I977" s="258"/>
      <c r="J977" s="249"/>
      <c r="K977" s="249"/>
      <c r="L977" s="249"/>
      <c r="M977" s="259"/>
      <c r="N977" s="249"/>
      <c r="O977" s="249"/>
      <c r="P977" s="249"/>
      <c r="Q977" s="249"/>
      <c r="R977" s="249"/>
      <c r="S977" s="249"/>
      <c r="T977" s="249"/>
      <c r="U977" s="249"/>
      <c r="V977" s="249"/>
      <c r="W977" s="249"/>
      <c r="X977" s="249"/>
      <c r="Y977" s="249"/>
      <c r="Z977" s="249"/>
    </row>
    <row r="978" spans="1:26" s="152" customFormat="1" x14ac:dyDescent="0.25">
      <c r="A978" s="249"/>
      <c r="B978" s="249"/>
      <c r="C978" s="249"/>
      <c r="D978" s="249"/>
      <c r="E978" s="249"/>
      <c r="F978" s="249"/>
      <c r="G978" s="249"/>
      <c r="H978" s="249"/>
      <c r="I978" s="258"/>
      <c r="J978" s="249"/>
      <c r="K978" s="249"/>
      <c r="L978" s="249"/>
      <c r="M978" s="259"/>
      <c r="N978" s="249"/>
      <c r="O978" s="249"/>
      <c r="P978" s="249"/>
      <c r="Q978" s="249"/>
      <c r="R978" s="249"/>
      <c r="S978" s="249"/>
      <c r="T978" s="249"/>
      <c r="U978" s="249"/>
      <c r="V978" s="249"/>
      <c r="W978" s="249"/>
      <c r="X978" s="249"/>
      <c r="Y978" s="249"/>
      <c r="Z978" s="249"/>
    </row>
    <row r="979" spans="1:26" s="152" customFormat="1" x14ac:dyDescent="0.25">
      <c r="A979" s="249"/>
      <c r="B979" s="249"/>
      <c r="C979" s="249"/>
      <c r="D979" s="249"/>
      <c r="E979" s="249"/>
      <c r="F979" s="249"/>
      <c r="G979" s="249"/>
      <c r="H979" s="249"/>
      <c r="I979" s="258"/>
      <c r="J979" s="249"/>
      <c r="K979" s="249"/>
      <c r="L979" s="249"/>
      <c r="M979" s="259"/>
      <c r="N979" s="249"/>
      <c r="O979" s="249"/>
      <c r="P979" s="249"/>
      <c r="Q979" s="249"/>
      <c r="R979" s="249"/>
      <c r="S979" s="249"/>
      <c r="T979" s="249"/>
      <c r="U979" s="249"/>
      <c r="V979" s="249"/>
      <c r="W979" s="249"/>
      <c r="X979" s="249"/>
      <c r="Y979" s="249"/>
      <c r="Z979" s="249"/>
    </row>
    <row r="980" spans="1:26" s="152" customFormat="1" x14ac:dyDescent="0.25">
      <c r="A980" s="249"/>
      <c r="B980" s="249"/>
      <c r="C980" s="249"/>
      <c r="D980" s="249"/>
      <c r="E980" s="249"/>
      <c r="F980" s="249"/>
      <c r="G980" s="249"/>
      <c r="H980" s="249"/>
      <c r="I980" s="258"/>
      <c r="J980" s="249"/>
      <c r="K980" s="249"/>
      <c r="L980" s="249"/>
      <c r="M980" s="259"/>
      <c r="N980" s="249"/>
      <c r="O980" s="249"/>
      <c r="P980" s="249"/>
      <c r="Q980" s="249"/>
      <c r="R980" s="249"/>
      <c r="S980" s="249"/>
      <c r="T980" s="249"/>
      <c r="U980" s="249"/>
      <c r="V980" s="249"/>
      <c r="W980" s="249"/>
      <c r="X980" s="249"/>
      <c r="Y980" s="249"/>
      <c r="Z980" s="249"/>
    </row>
    <row r="981" spans="1:26" s="152" customFormat="1" x14ac:dyDescent="0.25">
      <c r="A981" s="249"/>
      <c r="B981" s="249"/>
      <c r="C981" s="249"/>
      <c r="D981" s="249"/>
      <c r="E981" s="249"/>
      <c r="F981" s="249"/>
      <c r="G981" s="249"/>
      <c r="H981" s="249"/>
      <c r="I981" s="258"/>
      <c r="J981" s="249"/>
      <c r="K981" s="249"/>
      <c r="L981" s="249"/>
      <c r="M981" s="259"/>
      <c r="N981" s="249"/>
      <c r="O981" s="249"/>
      <c r="P981" s="249"/>
      <c r="Q981" s="249"/>
      <c r="R981" s="249"/>
      <c r="S981" s="249"/>
      <c r="T981" s="249"/>
      <c r="U981" s="249"/>
      <c r="V981" s="249"/>
      <c r="W981" s="249"/>
      <c r="X981" s="249"/>
      <c r="Y981" s="249"/>
      <c r="Z981" s="249"/>
    </row>
    <row r="982" spans="1:26" s="152" customFormat="1" x14ac:dyDescent="0.25">
      <c r="A982" s="249"/>
      <c r="B982" s="249"/>
      <c r="C982" s="249"/>
      <c r="D982" s="249"/>
      <c r="E982" s="249"/>
      <c r="F982" s="249"/>
      <c r="G982" s="249"/>
      <c r="H982" s="249"/>
      <c r="I982" s="258"/>
      <c r="J982" s="249"/>
      <c r="K982" s="249"/>
      <c r="L982" s="249"/>
      <c r="M982" s="25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</row>
    <row r="983" spans="1:26" s="152" customFormat="1" x14ac:dyDescent="0.25">
      <c r="A983" s="249"/>
      <c r="B983" s="249"/>
      <c r="C983" s="249"/>
      <c r="D983" s="249"/>
      <c r="E983" s="249"/>
      <c r="F983" s="249"/>
      <c r="G983" s="249"/>
      <c r="H983" s="249"/>
      <c r="I983" s="258"/>
      <c r="J983" s="249"/>
      <c r="K983" s="249"/>
      <c r="L983" s="249"/>
      <c r="M983" s="25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9"/>
    </row>
    <row r="984" spans="1:26" s="152" customFormat="1" x14ac:dyDescent="0.25">
      <c r="A984" s="249"/>
      <c r="B984" s="249"/>
      <c r="C984" s="249"/>
      <c r="D984" s="249"/>
      <c r="E984" s="249"/>
      <c r="F984" s="249"/>
      <c r="G984" s="249"/>
      <c r="H984" s="249"/>
      <c r="I984" s="258"/>
      <c r="J984" s="249"/>
      <c r="K984" s="249"/>
      <c r="L984" s="249"/>
      <c r="M984" s="259"/>
      <c r="N984" s="249"/>
      <c r="O984" s="249"/>
      <c r="P984" s="249"/>
      <c r="Q984" s="249"/>
      <c r="R984" s="249"/>
      <c r="S984" s="249"/>
      <c r="T984" s="249"/>
      <c r="U984" s="249"/>
      <c r="V984" s="249"/>
      <c r="W984" s="249"/>
      <c r="X984" s="249"/>
      <c r="Y984" s="249"/>
      <c r="Z984" s="249"/>
    </row>
    <row r="985" spans="1:26" s="152" customFormat="1" x14ac:dyDescent="0.25">
      <c r="A985" s="249"/>
      <c r="B985" s="249"/>
      <c r="C985" s="249"/>
      <c r="D985" s="249"/>
      <c r="E985" s="249"/>
      <c r="F985" s="249"/>
      <c r="G985" s="249"/>
      <c r="H985" s="249"/>
      <c r="I985" s="258"/>
      <c r="J985" s="249"/>
      <c r="K985" s="249"/>
      <c r="L985" s="249"/>
      <c r="M985" s="25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</row>
    <row r="986" spans="1:26" s="152" customFormat="1" x14ac:dyDescent="0.25">
      <c r="A986" s="249"/>
      <c r="B986" s="249"/>
      <c r="C986" s="249"/>
      <c r="D986" s="249"/>
      <c r="E986" s="249"/>
      <c r="F986" s="249"/>
      <c r="G986" s="249"/>
      <c r="H986" s="249"/>
      <c r="I986" s="258"/>
      <c r="J986" s="249"/>
      <c r="K986" s="249"/>
      <c r="L986" s="249"/>
      <c r="M986" s="25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</row>
    <row r="987" spans="1:26" s="152" customFormat="1" x14ac:dyDescent="0.25">
      <c r="A987" s="249"/>
      <c r="B987" s="249"/>
      <c r="C987" s="249"/>
      <c r="D987" s="249"/>
      <c r="E987" s="249"/>
      <c r="F987" s="249"/>
      <c r="G987" s="249"/>
      <c r="H987" s="249"/>
      <c r="I987" s="258"/>
      <c r="J987" s="249"/>
      <c r="K987" s="249"/>
      <c r="L987" s="249"/>
      <c r="M987" s="25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</row>
    <row r="988" spans="1:26" s="152" customFormat="1" x14ac:dyDescent="0.25">
      <c r="A988" s="249"/>
      <c r="B988" s="249"/>
      <c r="C988" s="249"/>
      <c r="D988" s="249"/>
      <c r="E988" s="249"/>
      <c r="F988" s="249"/>
      <c r="G988" s="249"/>
      <c r="H988" s="249"/>
      <c r="I988" s="258"/>
      <c r="J988" s="249"/>
      <c r="K988" s="249"/>
      <c r="L988" s="249"/>
      <c r="M988" s="25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</row>
    <row r="989" spans="1:26" s="152" customFormat="1" x14ac:dyDescent="0.25">
      <c r="A989" s="249"/>
      <c r="B989" s="249"/>
      <c r="C989" s="249"/>
      <c r="D989" s="249"/>
      <c r="E989" s="249"/>
      <c r="F989" s="249"/>
      <c r="G989" s="249"/>
      <c r="H989" s="249"/>
      <c r="I989" s="258"/>
      <c r="J989" s="249"/>
      <c r="K989" s="249"/>
      <c r="L989" s="249"/>
      <c r="M989" s="25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</row>
    <row r="990" spans="1:26" s="152" customFormat="1" x14ac:dyDescent="0.25">
      <c r="A990" s="249"/>
      <c r="B990" s="249"/>
      <c r="C990" s="249"/>
      <c r="D990" s="249"/>
      <c r="E990" s="249"/>
      <c r="F990" s="249"/>
      <c r="G990" s="249"/>
      <c r="H990" s="249"/>
      <c r="I990" s="258"/>
      <c r="J990" s="249"/>
      <c r="K990" s="249"/>
      <c r="L990" s="249"/>
      <c r="M990" s="259"/>
      <c r="N990" s="249"/>
      <c r="O990" s="249"/>
      <c r="P990" s="249"/>
      <c r="Q990" s="249"/>
      <c r="R990" s="249"/>
      <c r="S990" s="249"/>
      <c r="T990" s="249"/>
      <c r="U990" s="249"/>
      <c r="V990" s="249"/>
      <c r="W990" s="249"/>
      <c r="X990" s="249"/>
      <c r="Y990" s="249"/>
      <c r="Z990" s="249"/>
    </row>
    <row r="991" spans="1:26" s="152" customFormat="1" x14ac:dyDescent="0.25">
      <c r="A991" s="249"/>
      <c r="B991" s="249"/>
      <c r="C991" s="249"/>
      <c r="D991" s="249"/>
      <c r="E991" s="249"/>
      <c r="F991" s="249"/>
      <c r="G991" s="249"/>
      <c r="H991" s="249"/>
      <c r="I991" s="258"/>
      <c r="J991" s="249"/>
      <c r="K991" s="249"/>
      <c r="L991" s="249"/>
      <c r="M991" s="25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</row>
    <row r="992" spans="1:26" s="152" customFormat="1" x14ac:dyDescent="0.25">
      <c r="A992" s="249"/>
      <c r="B992" s="249"/>
      <c r="C992" s="249"/>
      <c r="D992" s="249"/>
      <c r="E992" s="249"/>
      <c r="F992" s="249"/>
      <c r="G992" s="249"/>
      <c r="H992" s="249"/>
      <c r="I992" s="258"/>
      <c r="J992" s="249"/>
      <c r="K992" s="249"/>
      <c r="L992" s="249"/>
      <c r="M992" s="25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</row>
    <row r="993" spans="1:26" s="152" customFormat="1" x14ac:dyDescent="0.25">
      <c r="A993" s="249"/>
      <c r="B993" s="249"/>
      <c r="C993" s="249"/>
      <c r="D993" s="249"/>
      <c r="E993" s="249"/>
      <c r="F993" s="249"/>
      <c r="G993" s="249"/>
      <c r="H993" s="249"/>
      <c r="I993" s="258"/>
      <c r="J993" s="249"/>
      <c r="K993" s="249"/>
      <c r="L993" s="249"/>
      <c r="M993" s="25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</row>
    <row r="994" spans="1:26" s="152" customFormat="1" x14ac:dyDescent="0.25">
      <c r="A994" s="249"/>
      <c r="B994" s="249"/>
      <c r="C994" s="249"/>
      <c r="D994" s="249"/>
      <c r="E994" s="249"/>
      <c r="F994" s="249"/>
      <c r="G994" s="249"/>
      <c r="H994" s="249"/>
      <c r="I994" s="258"/>
      <c r="J994" s="249"/>
      <c r="K994" s="249"/>
      <c r="L994" s="249"/>
      <c r="M994" s="259"/>
      <c r="N994" s="249"/>
      <c r="O994" s="249"/>
      <c r="P994" s="249"/>
      <c r="Q994" s="249"/>
      <c r="R994" s="249"/>
      <c r="S994" s="249"/>
      <c r="T994" s="249"/>
      <c r="U994" s="249"/>
      <c r="V994" s="249"/>
      <c r="W994" s="249"/>
      <c r="X994" s="249"/>
      <c r="Y994" s="249"/>
      <c r="Z994" s="249"/>
    </row>
    <row r="995" spans="1:26" s="152" customFormat="1" x14ac:dyDescent="0.25">
      <c r="A995" s="249"/>
      <c r="B995" s="249"/>
      <c r="C995" s="249"/>
      <c r="D995" s="249"/>
      <c r="E995" s="249"/>
      <c r="F995" s="249"/>
      <c r="G995" s="249"/>
      <c r="H995" s="249"/>
      <c r="I995" s="258"/>
      <c r="J995" s="249"/>
      <c r="K995" s="249"/>
      <c r="L995" s="249"/>
      <c r="M995" s="25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</row>
    <row r="996" spans="1:26" s="152" customFormat="1" x14ac:dyDescent="0.25">
      <c r="A996" s="249"/>
      <c r="B996" s="249"/>
      <c r="C996" s="249"/>
      <c r="D996" s="249"/>
      <c r="E996" s="249"/>
      <c r="F996" s="249"/>
      <c r="G996" s="249"/>
      <c r="H996" s="249"/>
      <c r="I996" s="258"/>
      <c r="J996" s="249"/>
      <c r="K996" s="249"/>
      <c r="L996" s="249"/>
      <c r="M996" s="259"/>
      <c r="N996" s="249"/>
      <c r="O996" s="249"/>
      <c r="P996" s="249"/>
      <c r="Q996" s="249"/>
      <c r="R996" s="249"/>
      <c r="S996" s="249"/>
      <c r="T996" s="249"/>
      <c r="U996" s="249"/>
      <c r="V996" s="249"/>
      <c r="W996" s="249"/>
      <c r="X996" s="249"/>
      <c r="Y996" s="249"/>
      <c r="Z996" s="249"/>
    </row>
    <row r="997" spans="1:26" s="152" customFormat="1" x14ac:dyDescent="0.25">
      <c r="A997" s="249"/>
      <c r="B997" s="249"/>
      <c r="C997" s="249"/>
      <c r="D997" s="249"/>
      <c r="E997" s="249"/>
      <c r="F997" s="249"/>
      <c r="G997" s="249"/>
      <c r="H997" s="249"/>
      <c r="I997" s="258"/>
      <c r="J997" s="249"/>
      <c r="K997" s="249"/>
      <c r="L997" s="249"/>
      <c r="M997" s="259"/>
      <c r="N997" s="249"/>
      <c r="O997" s="249"/>
      <c r="P997" s="249"/>
      <c r="Q997" s="249"/>
      <c r="R997" s="249"/>
      <c r="S997" s="249"/>
      <c r="T997" s="249"/>
      <c r="U997" s="249"/>
      <c r="V997" s="249"/>
      <c r="W997" s="249"/>
      <c r="X997" s="249"/>
      <c r="Y997" s="249"/>
      <c r="Z997" s="249"/>
    </row>
    <row r="998" spans="1:26" s="152" customFormat="1" x14ac:dyDescent="0.25">
      <c r="A998" s="249"/>
      <c r="B998" s="249"/>
      <c r="C998" s="249"/>
      <c r="D998" s="249"/>
      <c r="E998" s="249"/>
      <c r="F998" s="249"/>
      <c r="G998" s="249"/>
      <c r="H998" s="249"/>
      <c r="I998" s="258"/>
      <c r="J998" s="249"/>
      <c r="K998" s="249"/>
      <c r="L998" s="249"/>
      <c r="M998" s="259"/>
      <c r="N998" s="249"/>
      <c r="O998" s="249"/>
      <c r="P998" s="249"/>
      <c r="Q998" s="249"/>
      <c r="R998" s="249"/>
      <c r="S998" s="249"/>
      <c r="T998" s="249"/>
      <c r="U998" s="249"/>
      <c r="V998" s="249"/>
      <c r="W998" s="249"/>
      <c r="X998" s="249"/>
      <c r="Y998" s="249"/>
      <c r="Z998" s="249"/>
    </row>
    <row r="999" spans="1:26" s="152" customFormat="1" x14ac:dyDescent="0.25">
      <c r="A999" s="249"/>
      <c r="B999" s="249"/>
      <c r="C999" s="249"/>
      <c r="D999" s="249"/>
      <c r="E999" s="249"/>
      <c r="F999" s="249"/>
      <c r="G999" s="249"/>
      <c r="H999" s="249"/>
      <c r="I999" s="258"/>
      <c r="J999" s="249"/>
      <c r="K999" s="249"/>
      <c r="L999" s="249"/>
      <c r="M999" s="259"/>
      <c r="N999" s="249"/>
      <c r="O999" s="249"/>
      <c r="P999" s="249"/>
      <c r="Q999" s="249"/>
      <c r="R999" s="249"/>
      <c r="S999" s="249"/>
      <c r="T999" s="249"/>
      <c r="U999" s="249"/>
      <c r="V999" s="249"/>
      <c r="W999" s="249"/>
      <c r="X999" s="249"/>
      <c r="Y999" s="249"/>
      <c r="Z999" s="249"/>
    </row>
    <row r="1000" spans="1:26" s="152" customFormat="1" x14ac:dyDescent="0.25">
      <c r="A1000" s="249"/>
      <c r="B1000" s="249"/>
      <c r="C1000" s="249"/>
      <c r="D1000" s="249"/>
      <c r="E1000" s="249"/>
      <c r="F1000" s="249"/>
      <c r="G1000" s="249"/>
      <c r="H1000" s="249"/>
      <c r="I1000" s="258"/>
      <c r="J1000" s="249"/>
      <c r="K1000" s="249"/>
      <c r="L1000" s="249"/>
      <c r="M1000" s="259"/>
      <c r="N1000" s="249"/>
      <c r="O1000" s="249"/>
      <c r="P1000" s="249"/>
      <c r="Q1000" s="249"/>
      <c r="R1000" s="249"/>
      <c r="S1000" s="249"/>
      <c r="T1000" s="249"/>
      <c r="U1000" s="249"/>
      <c r="V1000" s="249"/>
      <c r="W1000" s="249"/>
      <c r="X1000" s="249"/>
      <c r="Y1000" s="249"/>
      <c r="Z1000" s="249"/>
    </row>
    <row r="1001" spans="1:26" s="152" customFormat="1" x14ac:dyDescent="0.25">
      <c r="A1001" s="249"/>
      <c r="B1001" s="249"/>
      <c r="C1001" s="249"/>
      <c r="D1001" s="249"/>
      <c r="E1001" s="249"/>
      <c r="F1001" s="249"/>
      <c r="G1001" s="249"/>
      <c r="H1001" s="249"/>
      <c r="I1001" s="258"/>
      <c r="J1001" s="249"/>
      <c r="K1001" s="249"/>
      <c r="L1001" s="249"/>
      <c r="M1001" s="259"/>
      <c r="N1001" s="249"/>
      <c r="O1001" s="249"/>
      <c r="P1001" s="249"/>
      <c r="Q1001" s="249"/>
      <c r="R1001" s="249"/>
      <c r="S1001" s="249"/>
      <c r="T1001" s="249"/>
      <c r="U1001" s="249"/>
      <c r="V1001" s="249"/>
      <c r="W1001" s="249"/>
      <c r="X1001" s="249"/>
      <c r="Y1001" s="249"/>
      <c r="Z1001" s="249"/>
    </row>
    <row r="1002" spans="1:26" s="152" customFormat="1" x14ac:dyDescent="0.25">
      <c r="A1002" s="249"/>
      <c r="B1002" s="249"/>
      <c r="C1002" s="249"/>
      <c r="D1002" s="249"/>
      <c r="E1002" s="249"/>
      <c r="F1002" s="249"/>
      <c r="G1002" s="249"/>
      <c r="H1002" s="249"/>
      <c r="I1002" s="258"/>
      <c r="J1002" s="249"/>
      <c r="K1002" s="249"/>
      <c r="L1002" s="249"/>
      <c r="M1002" s="259"/>
      <c r="N1002" s="249"/>
      <c r="O1002" s="249"/>
      <c r="P1002" s="249"/>
      <c r="Q1002" s="249"/>
      <c r="R1002" s="249"/>
      <c r="S1002" s="249"/>
      <c r="T1002" s="249"/>
      <c r="U1002" s="249"/>
      <c r="V1002" s="249"/>
      <c r="W1002" s="249"/>
      <c r="X1002" s="249"/>
      <c r="Y1002" s="249"/>
      <c r="Z1002" s="249"/>
    </row>
    <row r="1003" spans="1:26" s="152" customFormat="1" x14ac:dyDescent="0.25">
      <c r="A1003" s="249"/>
      <c r="B1003" s="249"/>
      <c r="C1003" s="249"/>
      <c r="D1003" s="249"/>
      <c r="E1003" s="249"/>
      <c r="F1003" s="249"/>
      <c r="G1003" s="249"/>
      <c r="H1003" s="249"/>
      <c r="I1003" s="258"/>
      <c r="J1003" s="249"/>
      <c r="K1003" s="249"/>
      <c r="L1003" s="249"/>
      <c r="M1003" s="259"/>
      <c r="N1003" s="249"/>
      <c r="O1003" s="249"/>
      <c r="P1003" s="249"/>
      <c r="Q1003" s="249"/>
      <c r="R1003" s="249"/>
      <c r="S1003" s="249"/>
      <c r="T1003" s="249"/>
      <c r="U1003" s="249"/>
      <c r="V1003" s="249"/>
      <c r="W1003" s="249"/>
      <c r="X1003" s="249"/>
      <c r="Y1003" s="249"/>
      <c r="Z1003" s="249"/>
    </row>
    <row r="1004" spans="1:26" s="152" customFormat="1" x14ac:dyDescent="0.25">
      <c r="A1004" s="249"/>
      <c r="B1004" s="249"/>
      <c r="C1004" s="249"/>
      <c r="D1004" s="249"/>
      <c r="E1004" s="249"/>
      <c r="F1004" s="249"/>
      <c r="G1004" s="249"/>
      <c r="H1004" s="249"/>
      <c r="I1004" s="258"/>
      <c r="J1004" s="249"/>
      <c r="K1004" s="249"/>
      <c r="L1004" s="249"/>
      <c r="M1004" s="259"/>
      <c r="N1004" s="249"/>
      <c r="O1004" s="249"/>
      <c r="P1004" s="249"/>
      <c r="Q1004" s="249"/>
      <c r="R1004" s="249"/>
      <c r="S1004" s="249"/>
      <c r="T1004" s="249"/>
      <c r="U1004" s="249"/>
      <c r="V1004" s="249"/>
      <c r="W1004" s="249"/>
      <c r="X1004" s="249"/>
      <c r="Y1004" s="249"/>
      <c r="Z1004" s="249"/>
    </row>
    <row r="1005" spans="1:26" s="152" customFormat="1" x14ac:dyDescent="0.25">
      <c r="A1005" s="249"/>
      <c r="B1005" s="249"/>
      <c r="C1005" s="249"/>
      <c r="D1005" s="249"/>
      <c r="E1005" s="249"/>
      <c r="F1005" s="249"/>
      <c r="G1005" s="249"/>
      <c r="H1005" s="249"/>
      <c r="I1005" s="258"/>
      <c r="J1005" s="249"/>
      <c r="K1005" s="249"/>
      <c r="L1005" s="249"/>
      <c r="M1005" s="259"/>
      <c r="N1005" s="249"/>
      <c r="O1005" s="249"/>
      <c r="P1005" s="249"/>
      <c r="Q1005" s="249"/>
      <c r="R1005" s="249"/>
      <c r="S1005" s="249"/>
      <c r="T1005" s="249"/>
      <c r="U1005" s="249"/>
      <c r="V1005" s="249"/>
      <c r="W1005" s="249"/>
      <c r="X1005" s="249"/>
      <c r="Y1005" s="249"/>
      <c r="Z1005" s="249"/>
    </row>
    <row r="1006" spans="1:26" s="152" customFormat="1" x14ac:dyDescent="0.25">
      <c r="A1006" s="249"/>
      <c r="B1006" s="249"/>
      <c r="C1006" s="249"/>
      <c r="D1006" s="249"/>
      <c r="E1006" s="249"/>
      <c r="F1006" s="249"/>
      <c r="G1006" s="249"/>
      <c r="H1006" s="249"/>
      <c r="I1006" s="258"/>
      <c r="J1006" s="249"/>
      <c r="K1006" s="249"/>
      <c r="L1006" s="249"/>
      <c r="M1006" s="259"/>
      <c r="N1006" s="249"/>
      <c r="O1006" s="249"/>
      <c r="P1006" s="249"/>
      <c r="Q1006" s="249"/>
      <c r="R1006" s="249"/>
      <c r="S1006" s="249"/>
      <c r="T1006" s="249"/>
      <c r="U1006" s="249"/>
      <c r="V1006" s="249"/>
      <c r="W1006" s="249"/>
      <c r="X1006" s="249"/>
      <c r="Y1006" s="249"/>
      <c r="Z1006" s="249"/>
    </row>
    <row r="1007" spans="1:26" s="152" customFormat="1" x14ac:dyDescent="0.25">
      <c r="A1007" s="249"/>
      <c r="B1007" s="249"/>
      <c r="C1007" s="249"/>
      <c r="D1007" s="249"/>
      <c r="E1007" s="249"/>
      <c r="F1007" s="249"/>
      <c r="G1007" s="249"/>
      <c r="H1007" s="249"/>
      <c r="I1007" s="258"/>
      <c r="J1007" s="249"/>
      <c r="K1007" s="249"/>
      <c r="L1007" s="249"/>
      <c r="M1007" s="259"/>
      <c r="N1007" s="249"/>
      <c r="O1007" s="249"/>
      <c r="P1007" s="249"/>
      <c r="Q1007" s="249"/>
      <c r="R1007" s="249"/>
      <c r="S1007" s="249"/>
      <c r="T1007" s="249"/>
      <c r="U1007" s="249"/>
      <c r="V1007" s="249"/>
      <c r="W1007" s="249"/>
      <c r="X1007" s="249"/>
      <c r="Y1007" s="249"/>
      <c r="Z1007" s="249"/>
    </row>
    <row r="1008" spans="1:26" s="152" customFormat="1" x14ac:dyDescent="0.25">
      <c r="A1008" s="249"/>
      <c r="B1008" s="249"/>
      <c r="C1008" s="249"/>
      <c r="D1008" s="249"/>
      <c r="E1008" s="249"/>
      <c r="F1008" s="249"/>
      <c r="G1008" s="249"/>
      <c r="H1008" s="249"/>
      <c r="I1008" s="258"/>
      <c r="J1008" s="249"/>
      <c r="K1008" s="249"/>
      <c r="L1008" s="249"/>
      <c r="M1008" s="259"/>
      <c r="N1008" s="249"/>
      <c r="O1008" s="249"/>
      <c r="P1008" s="249"/>
      <c r="Q1008" s="249"/>
      <c r="R1008" s="249"/>
      <c r="S1008" s="249"/>
      <c r="T1008" s="249"/>
      <c r="U1008" s="249"/>
      <c r="V1008" s="249"/>
      <c r="W1008" s="249"/>
      <c r="X1008" s="249"/>
      <c r="Y1008" s="249"/>
      <c r="Z1008" s="249"/>
    </row>
    <row r="1009" spans="1:26" s="152" customFormat="1" x14ac:dyDescent="0.25">
      <c r="A1009" s="249"/>
      <c r="B1009" s="249"/>
      <c r="C1009" s="249"/>
      <c r="D1009" s="249"/>
      <c r="E1009" s="249"/>
      <c r="F1009" s="249"/>
      <c r="G1009" s="249"/>
      <c r="H1009" s="249"/>
      <c r="I1009" s="258"/>
      <c r="J1009" s="249"/>
      <c r="K1009" s="249"/>
      <c r="L1009" s="249"/>
      <c r="M1009" s="259"/>
      <c r="N1009" s="249"/>
      <c r="O1009" s="249"/>
      <c r="P1009" s="249"/>
      <c r="Q1009" s="249"/>
      <c r="R1009" s="249"/>
      <c r="S1009" s="249"/>
      <c r="T1009" s="249"/>
      <c r="U1009" s="249"/>
      <c r="V1009" s="249"/>
      <c r="W1009" s="249"/>
      <c r="X1009" s="249"/>
      <c r="Y1009" s="249"/>
      <c r="Z1009" s="249"/>
    </row>
    <row r="1010" spans="1:26" s="152" customFormat="1" x14ac:dyDescent="0.25">
      <c r="A1010" s="249"/>
      <c r="B1010" s="249"/>
      <c r="C1010" s="249"/>
      <c r="D1010" s="249"/>
      <c r="E1010" s="249"/>
      <c r="F1010" s="249"/>
      <c r="G1010" s="249"/>
      <c r="H1010" s="249"/>
      <c r="I1010" s="258"/>
      <c r="J1010" s="249"/>
      <c r="K1010" s="249"/>
      <c r="L1010" s="249"/>
      <c r="M1010" s="259"/>
      <c r="N1010" s="249"/>
      <c r="O1010" s="249"/>
      <c r="P1010" s="249"/>
      <c r="Q1010" s="249"/>
      <c r="R1010" s="249"/>
      <c r="S1010" s="249"/>
      <c r="T1010" s="249"/>
      <c r="U1010" s="249"/>
      <c r="V1010" s="249"/>
      <c r="W1010" s="249"/>
      <c r="X1010" s="249"/>
      <c r="Y1010" s="249"/>
      <c r="Z1010" s="249"/>
    </row>
    <row r="1011" spans="1:26" s="152" customFormat="1" x14ac:dyDescent="0.25">
      <c r="A1011" s="249"/>
      <c r="B1011" s="249"/>
      <c r="C1011" s="249"/>
      <c r="D1011" s="249"/>
      <c r="E1011" s="249"/>
      <c r="F1011" s="249"/>
      <c r="G1011" s="249"/>
      <c r="H1011" s="249"/>
      <c r="I1011" s="258"/>
      <c r="J1011" s="249"/>
      <c r="K1011" s="249"/>
      <c r="L1011" s="249"/>
      <c r="M1011" s="259"/>
      <c r="N1011" s="249"/>
      <c r="O1011" s="249"/>
      <c r="P1011" s="249"/>
      <c r="Q1011" s="249"/>
      <c r="R1011" s="249"/>
      <c r="S1011" s="249"/>
      <c r="T1011" s="249"/>
      <c r="U1011" s="249"/>
      <c r="V1011" s="249"/>
      <c r="W1011" s="249"/>
      <c r="X1011" s="249"/>
      <c r="Y1011" s="249"/>
      <c r="Z1011" s="249"/>
    </row>
    <row r="1012" spans="1:26" s="152" customFormat="1" x14ac:dyDescent="0.25">
      <c r="A1012" s="249"/>
      <c r="B1012" s="249"/>
      <c r="C1012" s="249"/>
      <c r="D1012" s="249"/>
      <c r="E1012" s="249"/>
      <c r="F1012" s="249"/>
      <c r="G1012" s="249"/>
      <c r="H1012" s="249"/>
      <c r="I1012" s="258"/>
      <c r="J1012" s="249"/>
      <c r="K1012" s="249"/>
      <c r="L1012" s="249"/>
      <c r="M1012" s="259"/>
      <c r="N1012" s="249"/>
      <c r="O1012" s="249"/>
      <c r="P1012" s="249"/>
      <c r="Q1012" s="249"/>
      <c r="R1012" s="249"/>
      <c r="S1012" s="249"/>
      <c r="T1012" s="249"/>
      <c r="U1012" s="249"/>
      <c r="V1012" s="249"/>
      <c r="W1012" s="249"/>
      <c r="X1012" s="249"/>
      <c r="Y1012" s="249"/>
      <c r="Z1012" s="249"/>
    </row>
    <row r="1013" spans="1:26" s="152" customFormat="1" x14ac:dyDescent="0.25">
      <c r="A1013" s="249"/>
      <c r="B1013" s="249"/>
      <c r="C1013" s="249"/>
      <c r="D1013" s="249"/>
      <c r="E1013" s="249"/>
      <c r="F1013" s="249"/>
      <c r="G1013" s="249"/>
      <c r="H1013" s="249"/>
      <c r="I1013" s="258"/>
      <c r="J1013" s="249"/>
      <c r="K1013" s="249"/>
      <c r="L1013" s="249"/>
      <c r="M1013" s="259"/>
      <c r="N1013" s="249"/>
      <c r="O1013" s="249"/>
      <c r="P1013" s="249"/>
      <c r="Q1013" s="249"/>
      <c r="R1013" s="249"/>
      <c r="S1013" s="249"/>
      <c r="T1013" s="249"/>
      <c r="U1013" s="249"/>
      <c r="V1013" s="249"/>
      <c r="W1013" s="249"/>
      <c r="X1013" s="249"/>
      <c r="Y1013" s="249"/>
      <c r="Z1013" s="249"/>
    </row>
    <row r="1014" spans="1:26" s="152" customFormat="1" x14ac:dyDescent="0.25">
      <c r="A1014" s="249"/>
      <c r="B1014" s="249"/>
      <c r="C1014" s="249"/>
      <c r="D1014" s="249"/>
      <c r="E1014" s="249"/>
      <c r="F1014" s="249"/>
      <c r="G1014" s="249"/>
      <c r="H1014" s="249"/>
      <c r="I1014" s="258"/>
      <c r="J1014" s="249"/>
      <c r="K1014" s="249"/>
      <c r="L1014" s="249"/>
      <c r="M1014" s="259"/>
      <c r="N1014" s="249"/>
      <c r="O1014" s="249"/>
      <c r="P1014" s="249"/>
      <c r="Q1014" s="249"/>
      <c r="R1014" s="249"/>
      <c r="S1014" s="249"/>
      <c r="T1014" s="249"/>
      <c r="U1014" s="249"/>
      <c r="V1014" s="249"/>
      <c r="W1014" s="249"/>
      <c r="X1014" s="249"/>
      <c r="Y1014" s="249"/>
      <c r="Z1014" s="249"/>
    </row>
    <row r="1015" spans="1:26" s="152" customFormat="1" x14ac:dyDescent="0.25">
      <c r="A1015" s="249"/>
      <c r="B1015" s="249"/>
      <c r="C1015" s="249"/>
      <c r="D1015" s="249"/>
      <c r="E1015" s="249"/>
      <c r="F1015" s="249"/>
      <c r="G1015" s="249"/>
      <c r="H1015" s="249"/>
      <c r="I1015" s="258"/>
      <c r="J1015" s="249"/>
      <c r="K1015" s="249"/>
      <c r="L1015" s="249"/>
      <c r="M1015" s="25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</row>
    <row r="1016" spans="1:26" s="152" customFormat="1" x14ac:dyDescent="0.25">
      <c r="A1016" s="249"/>
      <c r="B1016" s="249"/>
      <c r="C1016" s="249"/>
      <c r="D1016" s="249"/>
      <c r="E1016" s="249"/>
      <c r="F1016" s="249"/>
      <c r="G1016" s="249"/>
      <c r="H1016" s="249"/>
      <c r="I1016" s="258"/>
      <c r="J1016" s="249"/>
      <c r="K1016" s="249"/>
      <c r="L1016" s="249"/>
      <c r="M1016" s="25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9"/>
    </row>
    <row r="1017" spans="1:26" s="152" customFormat="1" x14ac:dyDescent="0.25">
      <c r="A1017" s="249"/>
      <c r="B1017" s="249"/>
      <c r="C1017" s="249"/>
      <c r="D1017" s="249"/>
      <c r="E1017" s="249"/>
      <c r="F1017" s="249"/>
      <c r="G1017" s="249"/>
      <c r="H1017" s="249"/>
      <c r="I1017" s="258"/>
      <c r="J1017" s="249"/>
      <c r="K1017" s="249"/>
      <c r="L1017" s="249"/>
      <c r="M1017" s="259"/>
      <c r="N1017" s="249"/>
      <c r="O1017" s="249"/>
      <c r="P1017" s="249"/>
      <c r="Q1017" s="249"/>
      <c r="R1017" s="249"/>
      <c r="S1017" s="249"/>
      <c r="T1017" s="249"/>
      <c r="U1017" s="249"/>
      <c r="V1017" s="249"/>
      <c r="W1017" s="249"/>
      <c r="X1017" s="249"/>
      <c r="Y1017" s="249"/>
      <c r="Z1017" s="249"/>
    </row>
    <row r="1018" spans="1:26" s="152" customFormat="1" x14ac:dyDescent="0.25">
      <c r="A1018" s="249"/>
      <c r="B1018" s="249"/>
      <c r="C1018" s="249"/>
      <c r="D1018" s="249"/>
      <c r="E1018" s="249"/>
      <c r="F1018" s="249"/>
      <c r="G1018" s="249"/>
      <c r="H1018" s="249"/>
      <c r="I1018" s="258"/>
      <c r="J1018" s="249"/>
      <c r="K1018" s="249"/>
      <c r="L1018" s="249"/>
      <c r="M1018" s="25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</row>
    <row r="1019" spans="1:26" s="152" customFormat="1" x14ac:dyDescent="0.25">
      <c r="A1019" s="249"/>
      <c r="B1019" s="249"/>
      <c r="C1019" s="249"/>
      <c r="D1019" s="249"/>
      <c r="E1019" s="249"/>
      <c r="F1019" s="249"/>
      <c r="G1019" s="249"/>
      <c r="H1019" s="249"/>
      <c r="I1019" s="258"/>
      <c r="J1019" s="249"/>
      <c r="K1019" s="249"/>
      <c r="L1019" s="249"/>
      <c r="M1019" s="25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</row>
    <row r="1020" spans="1:26" s="152" customFormat="1" x14ac:dyDescent="0.25">
      <c r="A1020" s="249"/>
      <c r="B1020" s="249"/>
      <c r="C1020" s="249"/>
      <c r="D1020" s="249"/>
      <c r="E1020" s="249"/>
      <c r="F1020" s="249"/>
      <c r="G1020" s="249"/>
      <c r="H1020" s="249"/>
      <c r="I1020" s="258"/>
      <c r="J1020" s="249"/>
      <c r="K1020" s="249"/>
      <c r="L1020" s="249"/>
      <c r="M1020" s="25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</row>
    <row r="1021" spans="1:26" s="152" customFormat="1" x14ac:dyDescent="0.25">
      <c r="A1021" s="249"/>
      <c r="B1021" s="249"/>
      <c r="C1021" s="249"/>
      <c r="D1021" s="249"/>
      <c r="E1021" s="249"/>
      <c r="F1021" s="249"/>
      <c r="G1021" s="249"/>
      <c r="H1021" s="249"/>
      <c r="I1021" s="258"/>
      <c r="J1021" s="249"/>
      <c r="K1021" s="249"/>
      <c r="L1021" s="249"/>
      <c r="M1021" s="25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</row>
    <row r="1022" spans="1:26" s="152" customFormat="1" x14ac:dyDescent="0.25">
      <c r="A1022" s="249"/>
      <c r="B1022" s="249"/>
      <c r="C1022" s="249"/>
      <c r="D1022" s="249"/>
      <c r="E1022" s="249"/>
      <c r="F1022" s="249"/>
      <c r="G1022" s="249"/>
      <c r="H1022" s="249"/>
      <c r="I1022" s="258"/>
      <c r="J1022" s="249"/>
      <c r="K1022" s="249"/>
      <c r="L1022" s="249"/>
      <c r="M1022" s="25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</row>
    <row r="1023" spans="1:26" s="152" customFormat="1" x14ac:dyDescent="0.25">
      <c r="A1023" s="249"/>
      <c r="B1023" s="249"/>
      <c r="C1023" s="249"/>
      <c r="D1023" s="249"/>
      <c r="E1023" s="249"/>
      <c r="F1023" s="249"/>
      <c r="G1023" s="249"/>
      <c r="H1023" s="249"/>
      <c r="I1023" s="258"/>
      <c r="J1023" s="249"/>
      <c r="K1023" s="249"/>
      <c r="L1023" s="249"/>
      <c r="M1023" s="259"/>
      <c r="N1023" s="249"/>
      <c r="O1023" s="249"/>
      <c r="P1023" s="249"/>
      <c r="Q1023" s="249"/>
      <c r="R1023" s="249"/>
      <c r="S1023" s="249"/>
      <c r="T1023" s="249"/>
      <c r="U1023" s="249"/>
      <c r="V1023" s="249"/>
      <c r="W1023" s="249"/>
      <c r="X1023" s="249"/>
      <c r="Y1023" s="249"/>
      <c r="Z1023" s="249"/>
    </row>
    <row r="1024" spans="1:26" s="152" customFormat="1" x14ac:dyDescent="0.25">
      <c r="A1024" s="249"/>
      <c r="B1024" s="249"/>
      <c r="C1024" s="249"/>
      <c r="D1024" s="249"/>
      <c r="E1024" s="249"/>
      <c r="F1024" s="249"/>
      <c r="G1024" s="249"/>
      <c r="H1024" s="249"/>
      <c r="I1024" s="258"/>
      <c r="J1024" s="249"/>
      <c r="K1024" s="249"/>
      <c r="L1024" s="249"/>
      <c r="M1024" s="25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</row>
    <row r="1025" spans="1:26" s="152" customFormat="1" x14ac:dyDescent="0.25">
      <c r="A1025" s="249"/>
      <c r="B1025" s="249"/>
      <c r="C1025" s="249"/>
      <c r="D1025" s="249"/>
      <c r="E1025" s="249"/>
      <c r="F1025" s="249"/>
      <c r="G1025" s="249"/>
      <c r="H1025" s="249"/>
      <c r="I1025" s="258"/>
      <c r="J1025" s="249"/>
      <c r="K1025" s="249"/>
      <c r="L1025" s="249"/>
      <c r="M1025" s="25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</row>
    <row r="1026" spans="1:26" s="152" customFormat="1" x14ac:dyDescent="0.25">
      <c r="A1026" s="249"/>
      <c r="B1026" s="249"/>
      <c r="C1026" s="249"/>
      <c r="D1026" s="249"/>
      <c r="E1026" s="249"/>
      <c r="F1026" s="249"/>
      <c r="G1026" s="249"/>
      <c r="H1026" s="249"/>
      <c r="I1026" s="258"/>
      <c r="J1026" s="249"/>
      <c r="K1026" s="249"/>
      <c r="L1026" s="249"/>
      <c r="M1026" s="25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</row>
    <row r="1027" spans="1:26" s="152" customFormat="1" x14ac:dyDescent="0.25">
      <c r="A1027" s="249"/>
      <c r="B1027" s="249"/>
      <c r="C1027" s="249"/>
      <c r="D1027" s="249"/>
      <c r="E1027" s="249"/>
      <c r="F1027" s="249"/>
      <c r="G1027" s="249"/>
      <c r="H1027" s="249"/>
      <c r="I1027" s="258"/>
      <c r="J1027" s="249"/>
      <c r="K1027" s="249"/>
      <c r="L1027" s="249"/>
      <c r="M1027" s="259"/>
      <c r="N1027" s="249"/>
      <c r="O1027" s="249"/>
      <c r="P1027" s="249"/>
      <c r="Q1027" s="249"/>
      <c r="R1027" s="249"/>
      <c r="S1027" s="249"/>
      <c r="T1027" s="249"/>
      <c r="U1027" s="249"/>
      <c r="V1027" s="249"/>
      <c r="W1027" s="249"/>
      <c r="X1027" s="249"/>
      <c r="Y1027" s="249"/>
      <c r="Z1027" s="249"/>
    </row>
    <row r="1028" spans="1:26" s="152" customFormat="1" x14ac:dyDescent="0.25">
      <c r="A1028" s="249"/>
      <c r="B1028" s="249"/>
      <c r="C1028" s="249"/>
      <c r="D1028" s="249"/>
      <c r="E1028" s="249"/>
      <c r="F1028" s="249"/>
      <c r="G1028" s="249"/>
      <c r="H1028" s="249"/>
      <c r="I1028" s="258"/>
      <c r="J1028" s="249"/>
      <c r="K1028" s="249"/>
      <c r="L1028" s="249"/>
      <c r="M1028" s="25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</row>
    <row r="1029" spans="1:26" s="152" customFormat="1" x14ac:dyDescent="0.25">
      <c r="A1029" s="249"/>
      <c r="B1029" s="249"/>
      <c r="C1029" s="249"/>
      <c r="D1029" s="249"/>
      <c r="E1029" s="249"/>
      <c r="F1029" s="249"/>
      <c r="G1029" s="249"/>
      <c r="H1029" s="249"/>
      <c r="I1029" s="258"/>
      <c r="J1029" s="249"/>
      <c r="K1029" s="249"/>
      <c r="L1029" s="249"/>
      <c r="M1029" s="259"/>
      <c r="N1029" s="249"/>
      <c r="O1029" s="249"/>
      <c r="P1029" s="249"/>
      <c r="Q1029" s="249"/>
      <c r="R1029" s="249"/>
      <c r="S1029" s="249"/>
      <c r="T1029" s="249"/>
      <c r="U1029" s="249"/>
      <c r="V1029" s="249"/>
      <c r="W1029" s="249"/>
      <c r="X1029" s="249"/>
      <c r="Y1029" s="249"/>
      <c r="Z1029" s="249"/>
    </row>
    <row r="1030" spans="1:26" s="152" customFormat="1" x14ac:dyDescent="0.25">
      <c r="A1030" s="249"/>
      <c r="B1030" s="249"/>
      <c r="C1030" s="249"/>
      <c r="D1030" s="249"/>
      <c r="E1030" s="249"/>
      <c r="F1030" s="249"/>
      <c r="G1030" s="249"/>
      <c r="H1030" s="249"/>
      <c r="I1030" s="258"/>
      <c r="J1030" s="249"/>
      <c r="K1030" s="249"/>
      <c r="L1030" s="249"/>
      <c r="M1030" s="259"/>
      <c r="N1030" s="249"/>
      <c r="O1030" s="249"/>
      <c r="P1030" s="249"/>
      <c r="Q1030" s="249"/>
      <c r="R1030" s="249"/>
      <c r="S1030" s="249"/>
      <c r="T1030" s="249"/>
      <c r="U1030" s="249"/>
      <c r="V1030" s="249"/>
      <c r="W1030" s="249"/>
      <c r="X1030" s="249"/>
      <c r="Y1030" s="249"/>
      <c r="Z1030" s="249"/>
    </row>
    <row r="1031" spans="1:26" s="152" customFormat="1" x14ac:dyDescent="0.25">
      <c r="A1031" s="249"/>
      <c r="B1031" s="249"/>
      <c r="C1031" s="249"/>
      <c r="D1031" s="249"/>
      <c r="E1031" s="249"/>
      <c r="F1031" s="249"/>
      <c r="G1031" s="249"/>
      <c r="H1031" s="249"/>
      <c r="I1031" s="258"/>
      <c r="J1031" s="249"/>
      <c r="K1031" s="249"/>
      <c r="L1031" s="249"/>
      <c r="M1031" s="259"/>
      <c r="N1031" s="249"/>
      <c r="O1031" s="249"/>
      <c r="P1031" s="249"/>
      <c r="Q1031" s="249"/>
      <c r="R1031" s="249"/>
      <c r="S1031" s="249"/>
      <c r="T1031" s="249"/>
      <c r="U1031" s="249"/>
      <c r="V1031" s="249"/>
      <c r="W1031" s="249"/>
      <c r="X1031" s="249"/>
      <c r="Y1031" s="249"/>
      <c r="Z1031" s="249"/>
    </row>
    <row r="1032" spans="1:26" s="152" customFormat="1" x14ac:dyDescent="0.25">
      <c r="A1032" s="249"/>
      <c r="B1032" s="249"/>
      <c r="C1032" s="249"/>
      <c r="D1032" s="249"/>
      <c r="E1032" s="249"/>
      <c r="F1032" s="249"/>
      <c r="G1032" s="249"/>
      <c r="H1032" s="249"/>
      <c r="I1032" s="258"/>
      <c r="J1032" s="249"/>
      <c r="K1032" s="249"/>
      <c r="L1032" s="249"/>
      <c r="M1032" s="259"/>
      <c r="N1032" s="249"/>
      <c r="O1032" s="249"/>
      <c r="P1032" s="249"/>
      <c r="Q1032" s="249"/>
      <c r="R1032" s="249"/>
      <c r="S1032" s="249"/>
      <c r="T1032" s="249"/>
      <c r="U1032" s="249"/>
      <c r="V1032" s="249"/>
      <c r="W1032" s="249"/>
      <c r="X1032" s="249"/>
      <c r="Y1032" s="249"/>
      <c r="Z1032" s="249"/>
    </row>
    <row r="1033" spans="1:26" s="152" customFormat="1" x14ac:dyDescent="0.25">
      <c r="A1033" s="249"/>
      <c r="B1033" s="249"/>
      <c r="C1033" s="249"/>
      <c r="D1033" s="249"/>
      <c r="E1033" s="249"/>
      <c r="F1033" s="249"/>
      <c r="G1033" s="249"/>
      <c r="H1033" s="249"/>
      <c r="I1033" s="258"/>
      <c r="J1033" s="249"/>
      <c r="K1033" s="249"/>
      <c r="L1033" s="249"/>
      <c r="M1033" s="259"/>
      <c r="N1033" s="249"/>
      <c r="O1033" s="249"/>
      <c r="P1033" s="249"/>
      <c r="Q1033" s="249"/>
      <c r="R1033" s="249"/>
      <c r="S1033" s="249"/>
      <c r="T1033" s="249"/>
      <c r="U1033" s="249"/>
      <c r="V1033" s="249"/>
      <c r="W1033" s="249"/>
      <c r="X1033" s="249"/>
      <c r="Y1033" s="249"/>
      <c r="Z1033" s="249"/>
    </row>
    <row r="1034" spans="1:26" s="152" customFormat="1" x14ac:dyDescent="0.25">
      <c r="A1034" s="249"/>
      <c r="B1034" s="249"/>
      <c r="C1034" s="249"/>
      <c r="D1034" s="249"/>
      <c r="E1034" s="249"/>
      <c r="F1034" s="249"/>
      <c r="G1034" s="249"/>
      <c r="H1034" s="249"/>
      <c r="I1034" s="258"/>
      <c r="J1034" s="249"/>
      <c r="K1034" s="249"/>
      <c r="L1034" s="249"/>
      <c r="M1034" s="259"/>
      <c r="N1034" s="249"/>
      <c r="O1034" s="249"/>
      <c r="P1034" s="249"/>
      <c r="Q1034" s="249"/>
      <c r="R1034" s="249"/>
      <c r="S1034" s="249"/>
      <c r="T1034" s="249"/>
      <c r="U1034" s="249"/>
      <c r="V1034" s="249"/>
      <c r="W1034" s="249"/>
      <c r="X1034" s="249"/>
      <c r="Y1034" s="249"/>
      <c r="Z1034" s="249"/>
    </row>
    <row r="1035" spans="1:26" s="152" customFormat="1" x14ac:dyDescent="0.25">
      <c r="A1035" s="249"/>
      <c r="B1035" s="249"/>
      <c r="C1035" s="249"/>
      <c r="D1035" s="249"/>
      <c r="E1035" s="249"/>
      <c r="F1035" s="249"/>
      <c r="G1035" s="249"/>
      <c r="H1035" s="249"/>
      <c r="I1035" s="258"/>
      <c r="J1035" s="249"/>
      <c r="K1035" s="249"/>
      <c r="L1035" s="249"/>
      <c r="M1035" s="259"/>
      <c r="N1035" s="249"/>
      <c r="O1035" s="249"/>
      <c r="P1035" s="249"/>
      <c r="Q1035" s="249"/>
      <c r="R1035" s="249"/>
      <c r="S1035" s="249"/>
      <c r="T1035" s="249"/>
      <c r="U1035" s="249"/>
      <c r="V1035" s="249"/>
      <c r="W1035" s="249"/>
      <c r="X1035" s="249"/>
      <c r="Y1035" s="249"/>
      <c r="Z1035" s="249"/>
    </row>
    <row r="1036" spans="1:26" s="152" customFormat="1" x14ac:dyDescent="0.25">
      <c r="A1036" s="249"/>
      <c r="B1036" s="249"/>
      <c r="C1036" s="249"/>
      <c r="D1036" s="249"/>
      <c r="E1036" s="249"/>
      <c r="F1036" s="249"/>
      <c r="G1036" s="249"/>
      <c r="H1036" s="249"/>
      <c r="I1036" s="258"/>
      <c r="J1036" s="249"/>
      <c r="K1036" s="249"/>
      <c r="L1036" s="249"/>
      <c r="M1036" s="259"/>
      <c r="N1036" s="249"/>
      <c r="O1036" s="249"/>
      <c r="P1036" s="249"/>
      <c r="Q1036" s="249"/>
      <c r="R1036" s="249"/>
      <c r="S1036" s="249"/>
      <c r="T1036" s="249"/>
      <c r="U1036" s="249"/>
      <c r="V1036" s="249"/>
      <c r="W1036" s="249"/>
      <c r="X1036" s="249"/>
      <c r="Y1036" s="249"/>
      <c r="Z1036" s="249"/>
    </row>
    <row r="1037" spans="1:26" s="152" customFormat="1" x14ac:dyDescent="0.25">
      <c r="A1037" s="249"/>
      <c r="B1037" s="249"/>
      <c r="C1037" s="249"/>
      <c r="D1037" s="249"/>
      <c r="E1037" s="249"/>
      <c r="F1037" s="249"/>
      <c r="G1037" s="249"/>
      <c r="H1037" s="249"/>
      <c r="I1037" s="258"/>
      <c r="J1037" s="249"/>
      <c r="K1037" s="249"/>
      <c r="L1037" s="249"/>
      <c r="M1037" s="259"/>
      <c r="N1037" s="249"/>
      <c r="O1037" s="249"/>
      <c r="P1037" s="249"/>
      <c r="Q1037" s="249"/>
      <c r="R1037" s="249"/>
      <c r="S1037" s="249"/>
      <c r="T1037" s="249"/>
      <c r="U1037" s="249"/>
      <c r="V1037" s="249"/>
      <c r="W1037" s="249"/>
      <c r="X1037" s="249"/>
      <c r="Y1037" s="249"/>
      <c r="Z1037" s="249"/>
    </row>
    <row r="1038" spans="1:26" s="152" customFormat="1" x14ac:dyDescent="0.25">
      <c r="A1038" s="249"/>
      <c r="B1038" s="249"/>
      <c r="C1038" s="249"/>
      <c r="D1038" s="249"/>
      <c r="E1038" s="249"/>
      <c r="F1038" s="249"/>
      <c r="G1038" s="249"/>
      <c r="H1038" s="249"/>
      <c r="I1038" s="258"/>
      <c r="J1038" s="249"/>
      <c r="K1038" s="249"/>
      <c r="L1038" s="249"/>
      <c r="M1038" s="259"/>
      <c r="N1038" s="249"/>
      <c r="O1038" s="249"/>
      <c r="P1038" s="249"/>
      <c r="Q1038" s="249"/>
      <c r="R1038" s="249"/>
      <c r="S1038" s="249"/>
      <c r="T1038" s="249"/>
      <c r="U1038" s="249"/>
      <c r="V1038" s="249"/>
      <c r="W1038" s="249"/>
      <c r="X1038" s="249"/>
      <c r="Y1038" s="249"/>
      <c r="Z1038" s="249"/>
    </row>
    <row r="1039" spans="1:26" s="152" customFormat="1" x14ac:dyDescent="0.25">
      <c r="A1039" s="249"/>
      <c r="B1039" s="249"/>
      <c r="C1039" s="249"/>
      <c r="D1039" s="249"/>
      <c r="E1039" s="249"/>
      <c r="F1039" s="249"/>
      <c r="G1039" s="249"/>
      <c r="H1039" s="249"/>
      <c r="I1039" s="258"/>
      <c r="J1039" s="249"/>
      <c r="K1039" s="249"/>
      <c r="L1039" s="249"/>
      <c r="M1039" s="259"/>
      <c r="N1039" s="249"/>
      <c r="O1039" s="249"/>
      <c r="P1039" s="249"/>
      <c r="Q1039" s="249"/>
      <c r="R1039" s="249"/>
      <c r="S1039" s="249"/>
      <c r="T1039" s="249"/>
      <c r="U1039" s="249"/>
      <c r="V1039" s="249"/>
      <c r="W1039" s="249"/>
      <c r="X1039" s="249"/>
      <c r="Y1039" s="249"/>
      <c r="Z1039" s="249"/>
    </row>
    <row r="1040" spans="1:26" s="152" customFormat="1" x14ac:dyDescent="0.25">
      <c r="A1040" s="249"/>
      <c r="B1040" s="249"/>
      <c r="C1040" s="249"/>
      <c r="D1040" s="249"/>
      <c r="E1040" s="249"/>
      <c r="F1040" s="249"/>
      <c r="G1040" s="249"/>
      <c r="H1040" s="249"/>
      <c r="I1040" s="258"/>
      <c r="J1040" s="249"/>
      <c r="K1040" s="249"/>
      <c r="L1040" s="249"/>
      <c r="M1040" s="259"/>
      <c r="N1040" s="249"/>
      <c r="O1040" s="249"/>
      <c r="P1040" s="249"/>
      <c r="Q1040" s="249"/>
      <c r="R1040" s="249"/>
      <c r="S1040" s="249"/>
      <c r="T1040" s="249"/>
      <c r="U1040" s="249"/>
      <c r="V1040" s="249"/>
      <c r="W1040" s="249"/>
      <c r="X1040" s="249"/>
      <c r="Y1040" s="249"/>
      <c r="Z1040" s="249"/>
    </row>
    <row r="1041" spans="1:26" s="152" customFormat="1" x14ac:dyDescent="0.25">
      <c r="A1041" s="249"/>
      <c r="B1041" s="249"/>
      <c r="C1041" s="249"/>
      <c r="D1041" s="249"/>
      <c r="E1041" s="249"/>
      <c r="F1041" s="249"/>
      <c r="G1041" s="249"/>
      <c r="H1041" s="249"/>
      <c r="I1041" s="258"/>
      <c r="J1041" s="249"/>
      <c r="K1041" s="249"/>
      <c r="L1041" s="249"/>
      <c r="M1041" s="259"/>
      <c r="N1041" s="249"/>
      <c r="O1041" s="249"/>
      <c r="P1041" s="249"/>
      <c r="Q1041" s="249"/>
      <c r="R1041" s="249"/>
      <c r="S1041" s="249"/>
      <c r="T1041" s="249"/>
      <c r="U1041" s="249"/>
      <c r="V1041" s="249"/>
      <c r="W1041" s="249"/>
      <c r="X1041" s="249"/>
      <c r="Y1041" s="249"/>
      <c r="Z1041" s="249"/>
    </row>
    <row r="1042" spans="1:26" s="152" customFormat="1" x14ac:dyDescent="0.25">
      <c r="A1042" s="249"/>
      <c r="B1042" s="249"/>
      <c r="C1042" s="249"/>
      <c r="D1042" s="249"/>
      <c r="E1042" s="249"/>
      <c r="F1042" s="249"/>
      <c r="G1042" s="249"/>
      <c r="H1042" s="249"/>
      <c r="I1042" s="258"/>
      <c r="J1042" s="249"/>
      <c r="K1042" s="249"/>
      <c r="L1042" s="249"/>
      <c r="M1042" s="259"/>
      <c r="N1042" s="249"/>
      <c r="O1042" s="249"/>
      <c r="P1042" s="249"/>
      <c r="Q1042" s="249"/>
      <c r="R1042" s="249"/>
      <c r="S1042" s="249"/>
      <c r="T1042" s="249"/>
      <c r="U1042" s="249"/>
      <c r="V1042" s="249"/>
      <c r="W1042" s="249"/>
      <c r="X1042" s="249"/>
      <c r="Y1042" s="249"/>
      <c r="Z1042" s="249"/>
    </row>
    <row r="1043" spans="1:26" s="152" customFormat="1" x14ac:dyDescent="0.25">
      <c r="A1043" s="249"/>
      <c r="B1043" s="249"/>
      <c r="C1043" s="249"/>
      <c r="D1043" s="249"/>
      <c r="E1043" s="249"/>
      <c r="F1043" s="249"/>
      <c r="G1043" s="249"/>
      <c r="H1043" s="249"/>
      <c r="I1043" s="258"/>
      <c r="J1043" s="249"/>
      <c r="K1043" s="249"/>
      <c r="L1043" s="249"/>
      <c r="M1043" s="259"/>
      <c r="N1043" s="249"/>
      <c r="O1043" s="249"/>
      <c r="P1043" s="249"/>
      <c r="Q1043" s="249"/>
      <c r="R1043" s="249"/>
      <c r="S1043" s="249"/>
      <c r="T1043" s="249"/>
      <c r="U1043" s="249"/>
      <c r="V1043" s="249"/>
      <c r="W1043" s="249"/>
      <c r="X1043" s="249"/>
      <c r="Y1043" s="249"/>
      <c r="Z1043" s="249"/>
    </row>
    <row r="1044" spans="1:26" s="152" customFormat="1" x14ac:dyDescent="0.25">
      <c r="A1044" s="249"/>
      <c r="B1044" s="249"/>
      <c r="C1044" s="249"/>
      <c r="D1044" s="249"/>
      <c r="E1044" s="249"/>
      <c r="F1044" s="249"/>
      <c r="G1044" s="249"/>
      <c r="H1044" s="249"/>
      <c r="I1044" s="258"/>
      <c r="J1044" s="249"/>
      <c r="K1044" s="249"/>
      <c r="L1044" s="249"/>
      <c r="M1044" s="259"/>
      <c r="N1044" s="249"/>
      <c r="O1044" s="249"/>
      <c r="P1044" s="249"/>
      <c r="Q1044" s="249"/>
      <c r="R1044" s="249"/>
      <c r="S1044" s="249"/>
      <c r="T1044" s="249"/>
      <c r="U1044" s="249"/>
      <c r="V1044" s="249"/>
      <c r="W1044" s="249"/>
      <c r="X1044" s="249"/>
      <c r="Y1044" s="249"/>
      <c r="Z1044" s="249"/>
    </row>
    <row r="1045" spans="1:26" s="152" customFormat="1" x14ac:dyDescent="0.25">
      <c r="A1045" s="249"/>
      <c r="B1045" s="249"/>
      <c r="C1045" s="249"/>
      <c r="D1045" s="249"/>
      <c r="E1045" s="249"/>
      <c r="F1045" s="249"/>
      <c r="G1045" s="249"/>
      <c r="H1045" s="249"/>
      <c r="I1045" s="258"/>
      <c r="J1045" s="249"/>
      <c r="K1045" s="249"/>
      <c r="L1045" s="249"/>
      <c r="M1045" s="259"/>
      <c r="N1045" s="249"/>
      <c r="O1045" s="249"/>
      <c r="P1045" s="249"/>
      <c r="Q1045" s="249"/>
      <c r="R1045" s="249"/>
      <c r="S1045" s="249"/>
      <c r="T1045" s="249"/>
      <c r="U1045" s="249"/>
      <c r="V1045" s="249"/>
      <c r="W1045" s="249"/>
      <c r="X1045" s="249"/>
      <c r="Y1045" s="249"/>
      <c r="Z1045" s="249"/>
    </row>
    <row r="1046" spans="1:26" s="152" customFormat="1" x14ac:dyDescent="0.25">
      <c r="A1046" s="249"/>
      <c r="B1046" s="249"/>
      <c r="C1046" s="249"/>
      <c r="D1046" s="249"/>
      <c r="E1046" s="249"/>
      <c r="F1046" s="249"/>
      <c r="G1046" s="249"/>
      <c r="H1046" s="249"/>
      <c r="I1046" s="258"/>
      <c r="J1046" s="249"/>
      <c r="K1046" s="249"/>
      <c r="L1046" s="249"/>
      <c r="M1046" s="259"/>
      <c r="N1046" s="249"/>
      <c r="O1046" s="249"/>
      <c r="P1046" s="249"/>
      <c r="Q1046" s="249"/>
      <c r="R1046" s="249"/>
      <c r="S1046" s="249"/>
      <c r="T1046" s="249"/>
      <c r="U1046" s="249"/>
      <c r="V1046" s="249"/>
      <c r="W1046" s="249"/>
      <c r="X1046" s="249"/>
      <c r="Y1046" s="249"/>
      <c r="Z1046" s="249"/>
    </row>
    <row r="1047" spans="1:26" s="152" customFormat="1" x14ac:dyDescent="0.25">
      <c r="A1047" s="249"/>
      <c r="B1047" s="249"/>
      <c r="C1047" s="249"/>
      <c r="D1047" s="249"/>
      <c r="E1047" s="249"/>
      <c r="F1047" s="249"/>
      <c r="G1047" s="249"/>
      <c r="H1047" s="249"/>
      <c r="I1047" s="258"/>
      <c r="J1047" s="249"/>
      <c r="K1047" s="249"/>
      <c r="L1047" s="249"/>
      <c r="M1047" s="259"/>
      <c r="N1047" s="249"/>
      <c r="O1047" s="249"/>
      <c r="P1047" s="249"/>
      <c r="Q1047" s="249"/>
      <c r="R1047" s="249"/>
      <c r="S1047" s="249"/>
      <c r="T1047" s="249"/>
      <c r="U1047" s="249"/>
      <c r="V1047" s="249"/>
      <c r="W1047" s="249"/>
      <c r="X1047" s="249"/>
      <c r="Y1047" s="249"/>
      <c r="Z1047" s="249"/>
    </row>
    <row r="1048" spans="1:26" s="152" customFormat="1" x14ac:dyDescent="0.25">
      <c r="A1048" s="249"/>
      <c r="B1048" s="249"/>
      <c r="C1048" s="249"/>
      <c r="D1048" s="249"/>
      <c r="E1048" s="249"/>
      <c r="F1048" s="249"/>
      <c r="G1048" s="249"/>
      <c r="H1048" s="249"/>
      <c r="I1048" s="258"/>
      <c r="J1048" s="249"/>
      <c r="K1048" s="249"/>
      <c r="L1048" s="249"/>
      <c r="M1048" s="25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</row>
    <row r="1049" spans="1:26" s="152" customFormat="1" x14ac:dyDescent="0.25">
      <c r="A1049" s="249"/>
      <c r="B1049" s="249"/>
      <c r="C1049" s="249"/>
      <c r="D1049" s="249"/>
      <c r="E1049" s="249"/>
      <c r="F1049" s="249"/>
      <c r="G1049" s="249"/>
      <c r="H1049" s="249"/>
      <c r="I1049" s="258"/>
      <c r="J1049" s="249"/>
      <c r="K1049" s="249"/>
      <c r="L1049" s="249"/>
      <c r="M1049" s="25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9"/>
    </row>
    <row r="1050" spans="1:26" s="152" customFormat="1" x14ac:dyDescent="0.25">
      <c r="A1050" s="249"/>
      <c r="B1050" s="249"/>
      <c r="C1050" s="249"/>
      <c r="D1050" s="249"/>
      <c r="E1050" s="249"/>
      <c r="F1050" s="249"/>
      <c r="G1050" s="249"/>
      <c r="H1050" s="249"/>
      <c r="I1050" s="258"/>
      <c r="J1050" s="249"/>
      <c r="K1050" s="249"/>
      <c r="L1050" s="249"/>
      <c r="M1050" s="259"/>
      <c r="N1050" s="249"/>
      <c r="O1050" s="249"/>
      <c r="P1050" s="249"/>
      <c r="Q1050" s="249"/>
      <c r="R1050" s="249"/>
      <c r="S1050" s="249"/>
      <c r="T1050" s="249"/>
      <c r="U1050" s="249"/>
      <c r="V1050" s="249"/>
      <c r="W1050" s="249"/>
      <c r="X1050" s="249"/>
      <c r="Y1050" s="249"/>
      <c r="Z1050" s="249"/>
    </row>
    <row r="1051" spans="1:26" s="152" customFormat="1" x14ac:dyDescent="0.25">
      <c r="A1051" s="249"/>
      <c r="B1051" s="249"/>
      <c r="C1051" s="249"/>
      <c r="D1051" s="249"/>
      <c r="E1051" s="249"/>
      <c r="F1051" s="249"/>
      <c r="G1051" s="249"/>
      <c r="H1051" s="249"/>
      <c r="I1051" s="258"/>
      <c r="J1051" s="249"/>
      <c r="K1051" s="249"/>
      <c r="L1051" s="249"/>
      <c r="M1051" s="25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</row>
    <row r="1052" spans="1:26" s="152" customFormat="1" x14ac:dyDescent="0.25">
      <c r="A1052" s="249"/>
      <c r="B1052" s="249"/>
      <c r="C1052" s="249"/>
      <c r="D1052" s="249"/>
      <c r="E1052" s="249"/>
      <c r="F1052" s="249"/>
      <c r="G1052" s="249"/>
      <c r="H1052" s="249"/>
      <c r="I1052" s="258"/>
      <c r="J1052" s="249"/>
      <c r="K1052" s="249"/>
      <c r="L1052" s="249"/>
      <c r="M1052" s="25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</row>
    <row r="1053" spans="1:26" s="152" customFormat="1" x14ac:dyDescent="0.25">
      <c r="A1053" s="249"/>
      <c r="B1053" s="249"/>
      <c r="C1053" s="249"/>
      <c r="D1053" s="249"/>
      <c r="E1053" s="249"/>
      <c r="F1053" s="249"/>
      <c r="G1053" s="249"/>
      <c r="H1053" s="249"/>
      <c r="I1053" s="258"/>
      <c r="J1053" s="249"/>
      <c r="K1053" s="249"/>
      <c r="L1053" s="249"/>
      <c r="M1053" s="25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</row>
    <row r="1054" spans="1:26" s="152" customFormat="1" x14ac:dyDescent="0.25">
      <c r="A1054" s="249"/>
      <c r="B1054" s="249"/>
      <c r="C1054" s="249"/>
      <c r="D1054" s="249"/>
      <c r="E1054" s="249"/>
      <c r="F1054" s="249"/>
      <c r="G1054" s="249"/>
      <c r="H1054" s="249"/>
      <c r="I1054" s="258"/>
      <c r="J1054" s="249"/>
      <c r="K1054" s="249"/>
      <c r="L1054" s="249"/>
      <c r="M1054" s="25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</row>
    <row r="1055" spans="1:26" s="152" customFormat="1" x14ac:dyDescent="0.25">
      <c r="A1055" s="249"/>
      <c r="B1055" s="249"/>
      <c r="C1055" s="249"/>
      <c r="D1055" s="249"/>
      <c r="E1055" s="249"/>
      <c r="F1055" s="249"/>
      <c r="G1055" s="249"/>
      <c r="H1055" s="249"/>
      <c r="I1055" s="258"/>
      <c r="J1055" s="249"/>
      <c r="K1055" s="249"/>
      <c r="L1055" s="249"/>
      <c r="M1055" s="25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</row>
    <row r="1056" spans="1:26" s="152" customFormat="1" x14ac:dyDescent="0.25">
      <c r="A1056" s="249"/>
      <c r="B1056" s="249"/>
      <c r="C1056" s="249"/>
      <c r="D1056" s="249"/>
      <c r="E1056" s="249"/>
      <c r="F1056" s="249"/>
      <c r="G1056" s="249"/>
      <c r="H1056" s="249"/>
      <c r="I1056" s="258"/>
      <c r="J1056" s="249"/>
      <c r="K1056" s="249"/>
      <c r="L1056" s="249"/>
      <c r="M1056" s="259"/>
      <c r="N1056" s="249"/>
      <c r="O1056" s="249"/>
      <c r="P1056" s="249"/>
      <c r="Q1056" s="249"/>
      <c r="R1056" s="249"/>
      <c r="S1056" s="249"/>
      <c r="T1056" s="249"/>
      <c r="U1056" s="249"/>
      <c r="V1056" s="249"/>
      <c r="W1056" s="249"/>
      <c r="X1056" s="249"/>
      <c r="Y1056" s="249"/>
      <c r="Z1056" s="249"/>
    </row>
    <row r="1057" spans="1:26" s="152" customFormat="1" x14ac:dyDescent="0.25">
      <c r="A1057" s="249"/>
      <c r="B1057" s="249"/>
      <c r="C1057" s="249"/>
      <c r="D1057" s="249"/>
      <c r="E1057" s="249"/>
      <c r="F1057" s="249"/>
      <c r="G1057" s="249"/>
      <c r="H1057" s="249"/>
      <c r="I1057" s="258"/>
      <c r="J1057" s="249"/>
      <c r="K1057" s="249"/>
      <c r="L1057" s="249"/>
      <c r="M1057" s="25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</row>
    <row r="1058" spans="1:26" s="152" customFormat="1" x14ac:dyDescent="0.25">
      <c r="A1058" s="249"/>
      <c r="B1058" s="249"/>
      <c r="C1058" s="249"/>
      <c r="D1058" s="249"/>
      <c r="E1058" s="249"/>
      <c r="F1058" s="249"/>
      <c r="G1058" s="249"/>
      <c r="H1058" s="249"/>
      <c r="I1058" s="258"/>
      <c r="J1058" s="249"/>
      <c r="K1058" s="249"/>
      <c r="L1058" s="249"/>
      <c r="M1058" s="25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</row>
    <row r="1059" spans="1:26" s="152" customFormat="1" x14ac:dyDescent="0.25">
      <c r="A1059" s="249"/>
      <c r="B1059" s="249"/>
      <c r="C1059" s="249"/>
      <c r="D1059" s="249"/>
      <c r="E1059" s="249"/>
      <c r="F1059" s="249"/>
      <c r="G1059" s="249"/>
      <c r="H1059" s="249"/>
      <c r="I1059" s="258"/>
      <c r="J1059" s="249"/>
      <c r="K1059" s="249"/>
      <c r="L1059" s="249"/>
      <c r="M1059" s="25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</row>
    <row r="1060" spans="1:26" s="152" customFormat="1" x14ac:dyDescent="0.25">
      <c r="A1060" s="249"/>
      <c r="B1060" s="249"/>
      <c r="C1060" s="249"/>
      <c r="D1060" s="249"/>
      <c r="E1060" s="249"/>
      <c r="F1060" s="249"/>
      <c r="G1060" s="249"/>
      <c r="H1060" s="249"/>
      <c r="I1060" s="258"/>
      <c r="J1060" s="249"/>
      <c r="K1060" s="249"/>
      <c r="L1060" s="249"/>
      <c r="M1060" s="259"/>
      <c r="N1060" s="249"/>
      <c r="O1060" s="249"/>
      <c r="P1060" s="249"/>
      <c r="Q1060" s="249"/>
      <c r="R1060" s="249"/>
      <c r="S1060" s="249"/>
      <c r="T1060" s="249"/>
      <c r="U1060" s="249"/>
      <c r="V1060" s="249"/>
      <c r="W1060" s="249"/>
      <c r="X1060" s="249"/>
      <c r="Y1060" s="249"/>
      <c r="Z1060" s="249"/>
    </row>
    <row r="1061" spans="1:26" s="152" customFormat="1" x14ac:dyDescent="0.25">
      <c r="A1061" s="249"/>
      <c r="B1061" s="249"/>
      <c r="C1061" s="249"/>
      <c r="D1061" s="249"/>
      <c r="E1061" s="249"/>
      <c r="F1061" s="249"/>
      <c r="G1061" s="249"/>
      <c r="H1061" s="249"/>
      <c r="I1061" s="258"/>
      <c r="J1061" s="249"/>
      <c r="K1061" s="249"/>
      <c r="L1061" s="249"/>
      <c r="M1061" s="25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</row>
    <row r="1062" spans="1:26" s="152" customFormat="1" x14ac:dyDescent="0.25">
      <c r="A1062" s="249"/>
      <c r="B1062" s="249"/>
      <c r="C1062" s="249"/>
      <c r="D1062" s="249"/>
      <c r="E1062" s="249"/>
      <c r="F1062" s="249"/>
      <c r="G1062" s="249"/>
      <c r="H1062" s="249"/>
      <c r="I1062" s="258"/>
      <c r="J1062" s="249"/>
      <c r="K1062" s="249"/>
      <c r="L1062" s="249"/>
      <c r="M1062" s="259"/>
      <c r="N1062" s="249"/>
      <c r="O1062" s="249"/>
      <c r="P1062" s="249"/>
      <c r="Q1062" s="249"/>
      <c r="R1062" s="249"/>
      <c r="S1062" s="249"/>
      <c r="T1062" s="249"/>
      <c r="U1062" s="249"/>
      <c r="V1062" s="249"/>
      <c r="W1062" s="249"/>
      <c r="X1062" s="249"/>
      <c r="Y1062" s="249"/>
      <c r="Z1062" s="249"/>
    </row>
    <row r="1063" spans="1:26" s="152" customFormat="1" x14ac:dyDescent="0.25">
      <c r="A1063" s="249"/>
      <c r="B1063" s="249"/>
      <c r="C1063" s="249"/>
      <c r="D1063" s="249"/>
      <c r="E1063" s="249"/>
      <c r="F1063" s="249"/>
      <c r="G1063" s="249"/>
      <c r="H1063" s="249"/>
      <c r="I1063" s="258"/>
      <c r="J1063" s="249"/>
      <c r="K1063" s="249"/>
      <c r="L1063" s="249"/>
      <c r="M1063" s="259"/>
      <c r="N1063" s="249"/>
      <c r="O1063" s="249"/>
      <c r="P1063" s="249"/>
      <c r="Q1063" s="249"/>
      <c r="R1063" s="249"/>
      <c r="S1063" s="249"/>
      <c r="T1063" s="249"/>
      <c r="U1063" s="249"/>
      <c r="V1063" s="249"/>
      <c r="W1063" s="249"/>
      <c r="X1063" s="249"/>
      <c r="Y1063" s="249"/>
      <c r="Z1063" s="249"/>
    </row>
    <row r="1064" spans="1:26" s="152" customFormat="1" x14ac:dyDescent="0.25">
      <c r="A1064" s="249"/>
      <c r="B1064" s="249"/>
      <c r="C1064" s="249"/>
      <c r="D1064" s="249"/>
      <c r="E1064" s="249"/>
      <c r="F1064" s="249"/>
      <c r="G1064" s="249"/>
      <c r="H1064" s="249"/>
      <c r="I1064" s="258"/>
      <c r="J1064" s="249"/>
      <c r="K1064" s="249"/>
      <c r="L1064" s="249"/>
      <c r="M1064" s="259"/>
      <c r="N1064" s="249"/>
      <c r="O1064" s="249"/>
      <c r="P1064" s="249"/>
      <c r="Q1064" s="249"/>
      <c r="R1064" s="249"/>
      <c r="S1064" s="249"/>
      <c r="T1064" s="249"/>
      <c r="U1064" s="249"/>
      <c r="V1064" s="249"/>
      <c r="W1064" s="249"/>
      <c r="X1064" s="249"/>
      <c r="Y1064" s="249"/>
      <c r="Z1064" s="249"/>
    </row>
    <row r="1065" spans="1:26" s="152" customFormat="1" x14ac:dyDescent="0.25">
      <c r="A1065" s="249"/>
      <c r="B1065" s="249"/>
      <c r="C1065" s="249"/>
      <c r="D1065" s="249"/>
      <c r="E1065" s="249"/>
      <c r="F1065" s="249"/>
      <c r="G1065" s="249"/>
      <c r="H1065" s="249"/>
      <c r="I1065" s="258"/>
      <c r="J1065" s="249"/>
      <c r="K1065" s="249"/>
      <c r="L1065" s="249"/>
      <c r="M1065" s="259"/>
      <c r="N1065" s="249"/>
      <c r="O1065" s="249"/>
      <c r="P1065" s="249"/>
      <c r="Q1065" s="249"/>
      <c r="R1065" s="249"/>
      <c r="S1065" s="249"/>
      <c r="T1065" s="249"/>
      <c r="U1065" s="249"/>
      <c r="V1065" s="249"/>
      <c r="W1065" s="249"/>
      <c r="X1065" s="249"/>
      <c r="Y1065" s="249"/>
      <c r="Z1065" s="249"/>
    </row>
    <row r="1066" spans="1:26" s="152" customFormat="1" x14ac:dyDescent="0.25">
      <c r="A1066" s="249"/>
      <c r="B1066" s="249"/>
      <c r="C1066" s="249"/>
      <c r="D1066" s="249"/>
      <c r="E1066" s="249"/>
      <c r="F1066" s="249"/>
      <c r="G1066" s="249"/>
      <c r="H1066" s="249"/>
      <c r="I1066" s="258"/>
      <c r="J1066" s="249"/>
      <c r="K1066" s="249"/>
      <c r="L1066" s="249"/>
      <c r="M1066" s="259"/>
      <c r="N1066" s="249"/>
      <c r="O1066" s="249"/>
      <c r="P1066" s="249"/>
      <c r="Q1066" s="249"/>
      <c r="R1066" s="249"/>
      <c r="S1066" s="249"/>
      <c r="T1066" s="249"/>
      <c r="U1066" s="249"/>
      <c r="V1066" s="249"/>
      <c r="W1066" s="249"/>
      <c r="X1066" s="249"/>
      <c r="Y1066" s="249"/>
      <c r="Z1066" s="249"/>
    </row>
    <row r="1067" spans="1:26" s="152" customFormat="1" x14ac:dyDescent="0.25">
      <c r="A1067" s="249"/>
      <c r="B1067" s="249"/>
      <c r="C1067" s="249"/>
      <c r="D1067" s="249"/>
      <c r="E1067" s="249"/>
      <c r="F1067" s="249"/>
      <c r="G1067" s="249"/>
      <c r="H1067" s="249"/>
      <c r="I1067" s="258"/>
      <c r="J1067" s="249"/>
      <c r="K1067" s="249"/>
      <c r="L1067" s="249"/>
      <c r="M1067" s="259"/>
      <c r="N1067" s="249"/>
      <c r="O1067" s="249"/>
      <c r="P1067" s="249"/>
      <c r="Q1067" s="249"/>
      <c r="R1067" s="249"/>
      <c r="S1067" s="249"/>
      <c r="T1067" s="249"/>
      <c r="U1067" s="249"/>
      <c r="V1067" s="249"/>
      <c r="W1067" s="249"/>
      <c r="X1067" s="249"/>
      <c r="Y1067" s="249"/>
      <c r="Z1067" s="249"/>
    </row>
    <row r="1068" spans="1:26" s="152" customFormat="1" x14ac:dyDescent="0.25">
      <c r="A1068" s="249"/>
      <c r="B1068" s="249"/>
      <c r="C1068" s="249"/>
      <c r="D1068" s="249"/>
      <c r="E1068" s="249"/>
      <c r="F1068" s="249"/>
      <c r="G1068" s="249"/>
      <c r="H1068" s="249"/>
      <c r="I1068" s="258"/>
      <c r="J1068" s="249"/>
      <c r="K1068" s="249"/>
      <c r="L1068" s="249"/>
      <c r="M1068" s="259"/>
      <c r="N1068" s="249"/>
      <c r="O1068" s="249"/>
      <c r="P1068" s="249"/>
      <c r="Q1068" s="249"/>
      <c r="R1068" s="249"/>
      <c r="S1068" s="249"/>
      <c r="T1068" s="249"/>
      <c r="U1068" s="249"/>
      <c r="V1068" s="249"/>
      <c r="W1068" s="249"/>
      <c r="X1068" s="249"/>
      <c r="Y1068" s="249"/>
      <c r="Z1068" s="249"/>
    </row>
    <row r="1069" spans="1:26" s="152" customFormat="1" x14ac:dyDescent="0.25">
      <c r="A1069" s="249"/>
      <c r="B1069" s="249"/>
      <c r="C1069" s="249"/>
      <c r="D1069" s="249"/>
      <c r="E1069" s="249"/>
      <c r="F1069" s="249"/>
      <c r="G1069" s="249"/>
      <c r="H1069" s="249"/>
      <c r="I1069" s="258"/>
      <c r="J1069" s="249"/>
      <c r="K1069" s="249"/>
      <c r="L1069" s="249"/>
      <c r="M1069" s="259"/>
      <c r="N1069" s="249"/>
      <c r="O1069" s="249"/>
      <c r="P1069" s="249"/>
      <c r="Q1069" s="249"/>
      <c r="R1069" s="249"/>
      <c r="S1069" s="249"/>
      <c r="T1069" s="249"/>
      <c r="U1069" s="249"/>
      <c r="V1069" s="249"/>
      <c r="W1069" s="249"/>
      <c r="X1069" s="249"/>
      <c r="Y1069" s="249"/>
      <c r="Z1069" s="249"/>
    </row>
    <row r="1070" spans="1:26" s="152" customFormat="1" x14ac:dyDescent="0.25">
      <c r="A1070" s="249"/>
      <c r="B1070" s="249"/>
      <c r="C1070" s="249"/>
      <c r="D1070" s="249"/>
      <c r="E1070" s="249"/>
      <c r="F1070" s="249"/>
      <c r="G1070" s="249"/>
      <c r="H1070" s="249"/>
      <c r="I1070" s="258"/>
      <c r="J1070" s="249"/>
      <c r="K1070" s="249"/>
      <c r="L1070" s="249"/>
      <c r="M1070" s="259"/>
      <c r="N1070" s="249"/>
      <c r="O1070" s="249"/>
      <c r="P1070" s="249"/>
      <c r="Q1070" s="249"/>
      <c r="R1070" s="249"/>
      <c r="S1070" s="249"/>
      <c r="T1070" s="249"/>
      <c r="U1070" s="249"/>
      <c r="V1070" s="249"/>
      <c r="W1070" s="249"/>
      <c r="X1070" s="249"/>
      <c r="Y1070" s="249"/>
      <c r="Z1070" s="249"/>
    </row>
    <row r="1071" spans="1:26" s="152" customFormat="1" x14ac:dyDescent="0.25">
      <c r="A1071" s="249"/>
      <c r="B1071" s="249"/>
      <c r="C1071" s="249"/>
      <c r="D1071" s="249"/>
      <c r="E1071" s="249"/>
      <c r="F1071" s="249"/>
      <c r="G1071" s="249"/>
      <c r="H1071" s="249"/>
      <c r="I1071" s="258"/>
      <c r="J1071" s="249"/>
      <c r="K1071" s="249"/>
      <c r="L1071" s="249"/>
      <c r="M1071" s="259"/>
      <c r="N1071" s="249"/>
      <c r="O1071" s="249"/>
      <c r="P1071" s="249"/>
      <c r="Q1071" s="249"/>
      <c r="R1071" s="249"/>
      <c r="S1071" s="249"/>
      <c r="T1071" s="249"/>
      <c r="U1071" s="249"/>
      <c r="V1071" s="249"/>
      <c r="W1071" s="249"/>
      <c r="X1071" s="249"/>
      <c r="Y1071" s="249"/>
      <c r="Z1071" s="249"/>
    </row>
    <row r="1072" spans="1:26" s="152" customFormat="1" x14ac:dyDescent="0.25">
      <c r="A1072" s="249"/>
      <c r="B1072" s="249"/>
      <c r="C1072" s="249"/>
      <c r="D1072" s="249"/>
      <c r="E1072" s="249"/>
      <c r="F1072" s="249"/>
      <c r="G1072" s="249"/>
      <c r="H1072" s="249"/>
      <c r="I1072" s="258"/>
      <c r="J1072" s="249"/>
      <c r="K1072" s="249"/>
      <c r="L1072" s="249"/>
      <c r="M1072" s="259"/>
      <c r="N1072" s="249"/>
      <c r="O1072" s="249"/>
      <c r="P1072" s="249"/>
      <c r="Q1072" s="249"/>
      <c r="R1072" s="249"/>
      <c r="S1072" s="249"/>
      <c r="T1072" s="249"/>
      <c r="U1072" s="249"/>
      <c r="V1072" s="249"/>
      <c r="W1072" s="249"/>
      <c r="X1072" s="249"/>
      <c r="Y1072" s="249"/>
      <c r="Z1072" s="249"/>
    </row>
    <row r="1073" spans="1:26" s="152" customFormat="1" x14ac:dyDescent="0.25">
      <c r="A1073" s="249"/>
      <c r="B1073" s="249"/>
      <c r="C1073" s="249"/>
      <c r="D1073" s="249"/>
      <c r="E1073" s="249"/>
      <c r="F1073" s="249"/>
      <c r="G1073" s="249"/>
      <c r="H1073" s="249"/>
      <c r="I1073" s="258"/>
      <c r="J1073" s="249"/>
      <c r="K1073" s="249"/>
      <c r="L1073" s="249"/>
      <c r="M1073" s="259"/>
      <c r="N1073" s="249"/>
      <c r="O1073" s="249"/>
      <c r="P1073" s="249"/>
      <c r="Q1073" s="249"/>
      <c r="R1073" s="249"/>
      <c r="S1073" s="249"/>
      <c r="T1073" s="249"/>
      <c r="U1073" s="249"/>
      <c r="V1073" s="249"/>
      <c r="W1073" s="249"/>
      <c r="X1073" s="249"/>
      <c r="Y1073" s="249"/>
      <c r="Z1073" s="249"/>
    </row>
    <row r="1074" spans="1:26" s="152" customFormat="1" x14ac:dyDescent="0.25">
      <c r="A1074" s="249"/>
      <c r="B1074" s="249"/>
      <c r="C1074" s="249"/>
      <c r="D1074" s="249"/>
      <c r="E1074" s="249"/>
      <c r="F1074" s="249"/>
      <c r="G1074" s="249"/>
      <c r="H1074" s="249"/>
      <c r="I1074" s="258"/>
      <c r="J1074" s="249"/>
      <c r="K1074" s="249"/>
      <c r="L1074" s="249"/>
      <c r="M1074" s="259"/>
      <c r="N1074" s="249"/>
      <c r="O1074" s="249"/>
      <c r="P1074" s="249"/>
      <c r="Q1074" s="249"/>
      <c r="R1074" s="249"/>
      <c r="S1074" s="249"/>
      <c r="T1074" s="249"/>
      <c r="U1074" s="249"/>
      <c r="V1074" s="249"/>
      <c r="W1074" s="249"/>
      <c r="X1074" s="249"/>
      <c r="Y1074" s="249"/>
      <c r="Z1074" s="249"/>
    </row>
    <row r="1075" spans="1:26" s="152" customFormat="1" x14ac:dyDescent="0.25">
      <c r="A1075" s="249"/>
      <c r="B1075" s="249"/>
      <c r="C1075" s="249"/>
      <c r="D1075" s="249"/>
      <c r="E1075" s="249"/>
      <c r="F1075" s="249"/>
      <c r="G1075" s="249"/>
      <c r="H1075" s="249"/>
      <c r="I1075" s="258"/>
      <c r="J1075" s="249"/>
      <c r="K1075" s="249"/>
      <c r="L1075" s="249"/>
      <c r="M1075" s="259"/>
      <c r="N1075" s="249"/>
      <c r="O1075" s="249"/>
      <c r="P1075" s="249"/>
      <c r="Q1075" s="249"/>
      <c r="R1075" s="249"/>
      <c r="S1075" s="249"/>
      <c r="T1075" s="249"/>
      <c r="U1075" s="249"/>
      <c r="V1075" s="249"/>
      <c r="W1075" s="249"/>
      <c r="X1075" s="249"/>
      <c r="Y1075" s="249"/>
      <c r="Z1075" s="249"/>
    </row>
    <row r="1076" spans="1:26" s="152" customFormat="1" x14ac:dyDescent="0.25">
      <c r="A1076" s="249"/>
      <c r="B1076" s="249"/>
      <c r="C1076" s="249"/>
      <c r="D1076" s="249"/>
      <c r="E1076" s="249"/>
      <c r="F1076" s="249"/>
      <c r="G1076" s="249"/>
      <c r="H1076" s="249"/>
      <c r="I1076" s="258"/>
      <c r="J1076" s="249"/>
      <c r="K1076" s="249"/>
      <c r="L1076" s="249"/>
      <c r="M1076" s="259"/>
      <c r="N1076" s="249"/>
      <c r="O1076" s="249"/>
      <c r="P1076" s="249"/>
      <c r="Q1076" s="249"/>
      <c r="R1076" s="249"/>
      <c r="S1076" s="249"/>
      <c r="T1076" s="249"/>
      <c r="U1076" s="249"/>
      <c r="V1076" s="249"/>
      <c r="W1076" s="249"/>
      <c r="X1076" s="249"/>
      <c r="Y1076" s="249"/>
      <c r="Z1076" s="249"/>
    </row>
    <row r="1077" spans="1:26" s="152" customFormat="1" x14ac:dyDescent="0.25">
      <c r="A1077" s="249"/>
      <c r="B1077" s="249"/>
      <c r="C1077" s="249"/>
      <c r="D1077" s="249"/>
      <c r="E1077" s="249"/>
      <c r="F1077" s="249"/>
      <c r="G1077" s="249"/>
      <c r="H1077" s="249"/>
      <c r="I1077" s="258"/>
      <c r="J1077" s="249"/>
      <c r="K1077" s="249"/>
      <c r="L1077" s="249"/>
      <c r="M1077" s="259"/>
      <c r="N1077" s="249"/>
      <c r="O1077" s="249"/>
      <c r="P1077" s="249"/>
      <c r="Q1077" s="249"/>
      <c r="R1077" s="249"/>
      <c r="S1077" s="249"/>
      <c r="T1077" s="249"/>
      <c r="U1077" s="249"/>
      <c r="V1077" s="249"/>
      <c r="W1077" s="249"/>
      <c r="X1077" s="249"/>
      <c r="Y1077" s="249"/>
      <c r="Z1077" s="249"/>
    </row>
    <row r="1078" spans="1:26" s="152" customFormat="1" x14ac:dyDescent="0.25">
      <c r="A1078" s="249"/>
      <c r="B1078" s="249"/>
      <c r="C1078" s="249"/>
      <c r="D1078" s="249"/>
      <c r="E1078" s="249"/>
      <c r="F1078" s="249"/>
      <c r="G1078" s="249"/>
      <c r="H1078" s="249"/>
      <c r="I1078" s="258"/>
      <c r="J1078" s="249"/>
      <c r="K1078" s="249"/>
      <c r="L1078" s="249"/>
      <c r="M1078" s="259"/>
      <c r="N1078" s="249"/>
      <c r="O1078" s="249"/>
      <c r="P1078" s="249"/>
      <c r="Q1078" s="249"/>
      <c r="R1078" s="249"/>
      <c r="S1078" s="249"/>
      <c r="T1078" s="249"/>
      <c r="U1078" s="249"/>
      <c r="V1078" s="249"/>
      <c r="W1078" s="249"/>
      <c r="X1078" s="249"/>
      <c r="Y1078" s="249"/>
      <c r="Z1078" s="249"/>
    </row>
    <row r="1079" spans="1:26" s="152" customFormat="1" x14ac:dyDescent="0.25">
      <c r="A1079" s="249"/>
      <c r="B1079" s="249"/>
      <c r="C1079" s="249"/>
      <c r="D1079" s="249"/>
      <c r="E1079" s="249"/>
      <c r="F1079" s="249"/>
      <c r="G1079" s="249"/>
      <c r="H1079" s="249"/>
      <c r="I1079" s="258"/>
      <c r="J1079" s="249"/>
      <c r="K1079" s="249"/>
      <c r="L1079" s="249"/>
      <c r="M1079" s="259"/>
      <c r="N1079" s="249"/>
      <c r="O1079" s="249"/>
      <c r="P1079" s="249"/>
      <c r="Q1079" s="249"/>
      <c r="R1079" s="249"/>
      <c r="S1079" s="249"/>
      <c r="T1079" s="249"/>
      <c r="U1079" s="249"/>
      <c r="V1079" s="249"/>
      <c r="W1079" s="249"/>
      <c r="X1079" s="249"/>
      <c r="Y1079" s="249"/>
      <c r="Z1079" s="249"/>
    </row>
    <row r="1080" spans="1:26" s="152" customFormat="1" x14ac:dyDescent="0.25">
      <c r="A1080" s="249"/>
      <c r="B1080" s="249"/>
      <c r="C1080" s="249"/>
      <c r="D1080" s="249"/>
      <c r="E1080" s="249"/>
      <c r="F1080" s="249"/>
      <c r="G1080" s="249"/>
      <c r="H1080" s="249"/>
      <c r="I1080" s="258"/>
      <c r="J1080" s="249"/>
      <c r="K1080" s="249"/>
      <c r="L1080" s="249"/>
      <c r="M1080" s="259"/>
      <c r="N1080" s="249"/>
      <c r="O1080" s="249"/>
      <c r="P1080" s="249"/>
      <c r="Q1080" s="249"/>
      <c r="R1080" s="249"/>
      <c r="S1080" s="249"/>
      <c r="T1080" s="249"/>
      <c r="U1080" s="249"/>
      <c r="V1080" s="249"/>
      <c r="W1080" s="249"/>
      <c r="X1080" s="249"/>
      <c r="Y1080" s="249"/>
      <c r="Z1080" s="249"/>
    </row>
    <row r="1081" spans="1:26" s="152" customFormat="1" x14ac:dyDescent="0.25">
      <c r="A1081" s="249"/>
      <c r="B1081" s="249"/>
      <c r="C1081" s="249"/>
      <c r="D1081" s="249"/>
      <c r="E1081" s="249"/>
      <c r="F1081" s="249"/>
      <c r="G1081" s="249"/>
      <c r="H1081" s="249"/>
      <c r="I1081" s="258"/>
      <c r="J1081" s="249"/>
      <c r="K1081" s="249"/>
      <c r="L1081" s="249"/>
      <c r="M1081" s="25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</row>
    <row r="1082" spans="1:26" s="152" customFormat="1" x14ac:dyDescent="0.25">
      <c r="A1082" s="249"/>
      <c r="B1082" s="249"/>
      <c r="C1082" s="249"/>
      <c r="D1082" s="249"/>
      <c r="E1082" s="249"/>
      <c r="F1082" s="249"/>
      <c r="G1082" s="249"/>
      <c r="H1082" s="249"/>
      <c r="I1082" s="258"/>
      <c r="J1082" s="249"/>
      <c r="K1082" s="249"/>
      <c r="L1082" s="249"/>
      <c r="M1082" s="25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9"/>
    </row>
    <row r="1083" spans="1:26" s="152" customFormat="1" x14ac:dyDescent="0.25">
      <c r="A1083" s="249"/>
      <c r="B1083" s="249"/>
      <c r="C1083" s="249"/>
      <c r="D1083" s="249"/>
      <c r="E1083" s="249"/>
      <c r="F1083" s="249"/>
      <c r="G1083" s="249"/>
      <c r="H1083" s="249"/>
      <c r="I1083" s="258"/>
      <c r="J1083" s="249"/>
      <c r="K1083" s="249"/>
      <c r="L1083" s="249"/>
      <c r="M1083" s="259"/>
      <c r="N1083" s="249"/>
      <c r="O1083" s="249"/>
      <c r="P1083" s="249"/>
      <c r="Q1083" s="249"/>
      <c r="R1083" s="249"/>
      <c r="S1083" s="249"/>
      <c r="T1083" s="249"/>
      <c r="U1083" s="249"/>
      <c r="V1083" s="249"/>
      <c r="W1083" s="249"/>
      <c r="X1083" s="249"/>
      <c r="Y1083" s="249"/>
      <c r="Z1083" s="249"/>
    </row>
    <row r="1084" spans="1:26" s="152" customFormat="1" x14ac:dyDescent="0.25">
      <c r="A1084" s="249"/>
      <c r="B1084" s="249"/>
      <c r="C1084" s="249"/>
      <c r="D1084" s="249"/>
      <c r="E1084" s="249"/>
      <c r="F1084" s="249"/>
      <c r="G1084" s="249"/>
      <c r="H1084" s="249"/>
      <c r="I1084" s="258"/>
      <c r="J1084" s="249"/>
      <c r="K1084" s="249"/>
      <c r="L1084" s="249"/>
      <c r="M1084" s="25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</row>
    <row r="1085" spans="1:26" s="152" customFormat="1" x14ac:dyDescent="0.25">
      <c r="A1085" s="249"/>
      <c r="B1085" s="249"/>
      <c r="C1085" s="249"/>
      <c r="D1085" s="249"/>
      <c r="E1085" s="249"/>
      <c r="F1085" s="249"/>
      <c r="G1085" s="249"/>
      <c r="H1085" s="249"/>
      <c r="I1085" s="258"/>
      <c r="J1085" s="249"/>
      <c r="K1085" s="249"/>
      <c r="L1085" s="249"/>
      <c r="M1085" s="25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</row>
    <row r="1086" spans="1:26" s="152" customFormat="1" x14ac:dyDescent="0.25">
      <c r="A1086" s="249"/>
      <c r="B1086" s="249"/>
      <c r="C1086" s="249"/>
      <c r="D1086" s="249"/>
      <c r="E1086" s="249"/>
      <c r="F1086" s="249"/>
      <c r="G1086" s="249"/>
      <c r="H1086" s="249"/>
      <c r="I1086" s="258"/>
      <c r="J1086" s="249"/>
      <c r="K1086" s="249"/>
      <c r="L1086" s="249"/>
      <c r="M1086" s="25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</row>
    <row r="1087" spans="1:26" s="152" customFormat="1" x14ac:dyDescent="0.25">
      <c r="A1087" s="249"/>
      <c r="B1087" s="249"/>
      <c r="C1087" s="249"/>
      <c r="D1087" s="249"/>
      <c r="E1087" s="249"/>
      <c r="F1087" s="249"/>
      <c r="G1087" s="249"/>
      <c r="H1087" s="249"/>
      <c r="I1087" s="258"/>
      <c r="J1087" s="249"/>
      <c r="K1087" s="249"/>
      <c r="L1087" s="249"/>
      <c r="M1087" s="25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</row>
    <row r="1088" spans="1:26" s="152" customFormat="1" x14ac:dyDescent="0.25">
      <c r="A1088" s="249"/>
      <c r="B1088" s="249"/>
      <c r="C1088" s="249"/>
      <c r="D1088" s="249"/>
      <c r="E1088" s="249"/>
      <c r="F1088" s="249"/>
      <c r="G1088" s="249"/>
      <c r="H1088" s="249"/>
      <c r="I1088" s="258"/>
      <c r="J1088" s="249"/>
      <c r="K1088" s="249"/>
      <c r="L1088" s="249"/>
      <c r="M1088" s="25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</row>
    <row r="1089" spans="1:26" s="152" customFormat="1" x14ac:dyDescent="0.25">
      <c r="A1089" s="249"/>
      <c r="B1089" s="249"/>
      <c r="C1089" s="249"/>
      <c r="D1089" s="249"/>
      <c r="E1089" s="249"/>
      <c r="F1089" s="249"/>
      <c r="G1089" s="249"/>
      <c r="H1089" s="249"/>
      <c r="I1089" s="258"/>
      <c r="J1089" s="249"/>
      <c r="K1089" s="249"/>
      <c r="L1089" s="249"/>
      <c r="M1089" s="259"/>
      <c r="N1089" s="249"/>
      <c r="O1089" s="249"/>
      <c r="P1089" s="249"/>
      <c r="Q1089" s="249"/>
      <c r="R1089" s="249"/>
      <c r="S1089" s="249"/>
      <c r="T1089" s="249"/>
      <c r="U1089" s="249"/>
      <c r="V1089" s="249"/>
      <c r="W1089" s="249"/>
      <c r="X1089" s="249"/>
      <c r="Y1089" s="249"/>
      <c r="Z1089" s="249"/>
    </row>
    <row r="1090" spans="1:26" s="152" customFormat="1" x14ac:dyDescent="0.25">
      <c r="A1090" s="249"/>
      <c r="B1090" s="249"/>
      <c r="C1090" s="249"/>
      <c r="D1090" s="249"/>
      <c r="E1090" s="249"/>
      <c r="F1090" s="249"/>
      <c r="G1090" s="249"/>
      <c r="H1090" s="249"/>
      <c r="I1090" s="258"/>
      <c r="J1090" s="249"/>
      <c r="K1090" s="249"/>
      <c r="L1090" s="249"/>
      <c r="M1090" s="25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</row>
    <row r="1091" spans="1:26" s="152" customFormat="1" x14ac:dyDescent="0.25">
      <c r="A1091" s="249"/>
      <c r="B1091" s="249"/>
      <c r="C1091" s="249"/>
      <c r="D1091" s="249"/>
      <c r="E1091" s="249"/>
      <c r="F1091" s="249"/>
      <c r="G1091" s="249"/>
      <c r="H1091" s="249"/>
      <c r="I1091" s="258"/>
      <c r="J1091" s="249"/>
      <c r="K1091" s="249"/>
      <c r="L1091" s="249"/>
      <c r="M1091" s="25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</row>
    <row r="1092" spans="1:26" s="152" customFormat="1" x14ac:dyDescent="0.25">
      <c r="A1092" s="249"/>
      <c r="B1092" s="249"/>
      <c r="C1092" s="249"/>
      <c r="D1092" s="249"/>
      <c r="E1092" s="249"/>
      <c r="F1092" s="249"/>
      <c r="G1092" s="249"/>
      <c r="H1092" s="249"/>
      <c r="I1092" s="258"/>
      <c r="J1092" s="249"/>
      <c r="K1092" s="249"/>
      <c r="L1092" s="249"/>
      <c r="M1092" s="25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</row>
    <row r="1093" spans="1:26" s="152" customFormat="1" x14ac:dyDescent="0.25">
      <c r="A1093" s="249"/>
      <c r="B1093" s="249"/>
      <c r="C1093" s="249"/>
      <c r="D1093" s="249"/>
      <c r="E1093" s="249"/>
      <c r="F1093" s="249"/>
      <c r="G1093" s="249"/>
      <c r="H1093" s="249"/>
      <c r="I1093" s="258"/>
      <c r="J1093" s="249"/>
      <c r="K1093" s="249"/>
      <c r="L1093" s="249"/>
      <c r="M1093" s="259"/>
      <c r="N1093" s="249"/>
      <c r="O1093" s="249"/>
      <c r="P1093" s="249"/>
      <c r="Q1093" s="249"/>
      <c r="R1093" s="249"/>
      <c r="S1093" s="249"/>
      <c r="T1093" s="249"/>
      <c r="U1093" s="249"/>
      <c r="V1093" s="249"/>
      <c r="W1093" s="249"/>
      <c r="X1093" s="249"/>
      <c r="Y1093" s="249"/>
      <c r="Z1093" s="249"/>
    </row>
    <row r="1094" spans="1:26" s="152" customFormat="1" x14ac:dyDescent="0.25">
      <c r="A1094" s="249"/>
      <c r="B1094" s="249"/>
      <c r="C1094" s="249"/>
      <c r="D1094" s="249"/>
      <c r="E1094" s="249"/>
      <c r="F1094" s="249"/>
      <c r="G1094" s="249"/>
      <c r="H1094" s="249"/>
      <c r="I1094" s="258"/>
      <c r="J1094" s="249"/>
      <c r="K1094" s="249"/>
      <c r="L1094" s="249"/>
      <c r="M1094" s="25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</row>
    <row r="1095" spans="1:26" s="152" customFormat="1" x14ac:dyDescent="0.25">
      <c r="A1095" s="249"/>
      <c r="B1095" s="249"/>
      <c r="C1095" s="249"/>
      <c r="D1095" s="249"/>
      <c r="E1095" s="249"/>
      <c r="F1095" s="249"/>
      <c r="G1095" s="249"/>
      <c r="H1095" s="249"/>
      <c r="I1095" s="258"/>
      <c r="J1095" s="249"/>
      <c r="K1095" s="249"/>
      <c r="L1095" s="249"/>
      <c r="M1095" s="259"/>
      <c r="N1095" s="249"/>
      <c r="O1095" s="249"/>
      <c r="P1095" s="249"/>
      <c r="Q1095" s="249"/>
      <c r="R1095" s="249"/>
      <c r="S1095" s="249"/>
      <c r="T1095" s="249"/>
      <c r="U1095" s="249"/>
      <c r="V1095" s="249"/>
      <c r="W1095" s="249"/>
      <c r="X1095" s="249"/>
      <c r="Y1095" s="249"/>
      <c r="Z1095" s="249"/>
    </row>
    <row r="1096" spans="1:26" s="152" customFormat="1" x14ac:dyDescent="0.25">
      <c r="A1096" s="249"/>
      <c r="B1096" s="249"/>
      <c r="C1096" s="249"/>
      <c r="D1096" s="249"/>
      <c r="E1096" s="249"/>
      <c r="F1096" s="249"/>
      <c r="G1096" s="249"/>
      <c r="H1096" s="249"/>
      <c r="I1096" s="258"/>
      <c r="J1096" s="249"/>
      <c r="K1096" s="249"/>
      <c r="L1096" s="249"/>
      <c r="M1096" s="259"/>
      <c r="N1096" s="249"/>
      <c r="O1096" s="249"/>
      <c r="P1096" s="249"/>
      <c r="Q1096" s="249"/>
      <c r="R1096" s="249"/>
      <c r="S1096" s="249"/>
      <c r="T1096" s="249"/>
      <c r="U1096" s="249"/>
      <c r="V1096" s="249"/>
      <c r="W1096" s="249"/>
      <c r="X1096" s="249"/>
      <c r="Y1096" s="249"/>
      <c r="Z1096" s="249"/>
    </row>
    <row r="1097" spans="1:26" s="152" customFormat="1" x14ac:dyDescent="0.25">
      <c r="A1097" s="249"/>
      <c r="B1097" s="249"/>
      <c r="C1097" s="249"/>
      <c r="D1097" s="249"/>
      <c r="E1097" s="249"/>
      <c r="F1097" s="249"/>
      <c r="G1097" s="249"/>
      <c r="H1097" s="249"/>
      <c r="I1097" s="258"/>
      <c r="J1097" s="249"/>
      <c r="K1097" s="249"/>
      <c r="L1097" s="249"/>
      <c r="M1097" s="259"/>
      <c r="N1097" s="249"/>
      <c r="O1097" s="249"/>
      <c r="P1097" s="249"/>
      <c r="Q1097" s="249"/>
      <c r="R1097" s="249"/>
      <c r="S1097" s="249"/>
      <c r="T1097" s="249"/>
      <c r="U1097" s="249"/>
      <c r="V1097" s="249"/>
      <c r="W1097" s="249"/>
      <c r="X1097" s="249"/>
      <c r="Y1097" s="249"/>
      <c r="Z1097" s="249"/>
    </row>
    <row r="1098" spans="1:26" s="152" customFormat="1" x14ac:dyDescent="0.25">
      <c r="A1098" s="249"/>
      <c r="B1098" s="249"/>
      <c r="C1098" s="249"/>
      <c r="D1098" s="249"/>
      <c r="E1098" s="249"/>
      <c r="F1098" s="249"/>
      <c r="G1098" s="249"/>
      <c r="H1098" s="249"/>
      <c r="I1098" s="258"/>
      <c r="J1098" s="249"/>
      <c r="K1098" s="249"/>
      <c r="L1098" s="249"/>
      <c r="M1098" s="259"/>
      <c r="N1098" s="249"/>
      <c r="O1098" s="249"/>
      <c r="P1098" s="249"/>
      <c r="Q1098" s="249"/>
      <c r="R1098" s="249"/>
      <c r="S1098" s="249"/>
      <c r="T1098" s="249"/>
      <c r="U1098" s="249"/>
      <c r="V1098" s="249"/>
      <c r="W1098" s="249"/>
      <c r="X1098" s="249"/>
      <c r="Y1098" s="249"/>
      <c r="Z1098" s="249"/>
    </row>
    <row r="1099" spans="1:26" s="152" customFormat="1" x14ac:dyDescent="0.25">
      <c r="A1099" s="249"/>
      <c r="B1099" s="249"/>
      <c r="C1099" s="249"/>
      <c r="D1099" s="249"/>
      <c r="E1099" s="249"/>
      <c r="F1099" s="249"/>
      <c r="G1099" s="249"/>
      <c r="H1099" s="249"/>
      <c r="I1099" s="258"/>
      <c r="J1099" s="249"/>
      <c r="K1099" s="249"/>
      <c r="L1099" s="249"/>
      <c r="M1099" s="259"/>
      <c r="N1099" s="249"/>
      <c r="O1099" s="249"/>
      <c r="P1099" s="249"/>
      <c r="Q1099" s="249"/>
      <c r="R1099" s="249"/>
      <c r="S1099" s="249"/>
      <c r="T1099" s="249"/>
      <c r="U1099" s="249"/>
      <c r="V1099" s="249"/>
      <c r="W1099" s="249"/>
      <c r="X1099" s="249"/>
      <c r="Y1099" s="249"/>
      <c r="Z1099" s="249"/>
    </row>
    <row r="1100" spans="1:26" s="152" customFormat="1" x14ac:dyDescent="0.25">
      <c r="A1100" s="249"/>
      <c r="B1100" s="249"/>
      <c r="C1100" s="249"/>
      <c r="D1100" s="249"/>
      <c r="E1100" s="249"/>
      <c r="F1100" s="249"/>
      <c r="G1100" s="249"/>
      <c r="H1100" s="249"/>
      <c r="I1100" s="258"/>
      <c r="J1100" s="249"/>
      <c r="K1100" s="249"/>
      <c r="L1100" s="249"/>
      <c r="M1100" s="259"/>
      <c r="N1100" s="249"/>
      <c r="O1100" s="249"/>
      <c r="P1100" s="249"/>
      <c r="Q1100" s="249"/>
      <c r="R1100" s="249"/>
      <c r="S1100" s="249"/>
      <c r="T1100" s="249"/>
      <c r="U1100" s="249"/>
      <c r="V1100" s="249"/>
      <c r="W1100" s="249"/>
      <c r="X1100" s="249"/>
      <c r="Y1100" s="249"/>
      <c r="Z1100" s="249"/>
    </row>
    <row r="1101" spans="1:26" s="152" customFormat="1" x14ac:dyDescent="0.25">
      <c r="A1101" s="249"/>
      <c r="B1101" s="249"/>
      <c r="C1101" s="249"/>
      <c r="D1101" s="249"/>
      <c r="E1101" s="249"/>
      <c r="F1101" s="249"/>
      <c r="G1101" s="249"/>
      <c r="H1101" s="249"/>
      <c r="I1101" s="258"/>
      <c r="J1101" s="249"/>
      <c r="K1101" s="249"/>
      <c r="L1101" s="249"/>
      <c r="M1101" s="259"/>
      <c r="N1101" s="249"/>
      <c r="O1101" s="249"/>
      <c r="P1101" s="249"/>
      <c r="Q1101" s="249"/>
      <c r="R1101" s="249"/>
      <c r="S1101" s="249"/>
      <c r="T1101" s="249"/>
      <c r="U1101" s="249"/>
      <c r="V1101" s="249"/>
      <c r="W1101" s="249"/>
      <c r="X1101" s="249"/>
      <c r="Y1101" s="249"/>
      <c r="Z1101" s="249"/>
    </row>
    <row r="1102" spans="1:26" s="152" customFormat="1" x14ac:dyDescent="0.25">
      <c r="A1102" s="249"/>
      <c r="B1102" s="249"/>
      <c r="C1102" s="249"/>
      <c r="D1102" s="249"/>
      <c r="E1102" s="249"/>
      <c r="F1102" s="249"/>
      <c r="G1102" s="249"/>
      <c r="H1102" s="249"/>
      <c r="I1102" s="258"/>
      <c r="J1102" s="249"/>
      <c r="K1102" s="249"/>
      <c r="L1102" s="249"/>
      <c r="M1102" s="259"/>
      <c r="N1102" s="249"/>
      <c r="O1102" s="249"/>
      <c r="P1102" s="249"/>
      <c r="Q1102" s="249"/>
      <c r="R1102" s="249"/>
      <c r="S1102" s="249"/>
      <c r="T1102" s="249"/>
      <c r="U1102" s="249"/>
      <c r="V1102" s="249"/>
      <c r="W1102" s="249"/>
      <c r="X1102" s="249"/>
      <c r="Y1102" s="249"/>
      <c r="Z1102" s="249"/>
    </row>
    <row r="1103" spans="1:26" s="152" customFormat="1" x14ac:dyDescent="0.25">
      <c r="A1103" s="249"/>
      <c r="B1103" s="249"/>
      <c r="C1103" s="249"/>
      <c r="D1103" s="249"/>
      <c r="E1103" s="249"/>
      <c r="F1103" s="249"/>
      <c r="G1103" s="249"/>
      <c r="H1103" s="249"/>
      <c r="I1103" s="258"/>
      <c r="J1103" s="249"/>
      <c r="K1103" s="249"/>
      <c r="L1103" s="249"/>
      <c r="M1103" s="259"/>
      <c r="N1103" s="249"/>
      <c r="O1103" s="249"/>
      <c r="P1103" s="249"/>
      <c r="Q1103" s="249"/>
      <c r="R1103" s="249"/>
      <c r="S1103" s="249"/>
      <c r="T1103" s="249"/>
      <c r="U1103" s="249"/>
      <c r="V1103" s="249"/>
      <c r="W1103" s="249"/>
      <c r="X1103" s="249"/>
      <c r="Y1103" s="249"/>
      <c r="Z1103" s="249"/>
    </row>
    <row r="1104" spans="1:26" s="152" customFormat="1" x14ac:dyDescent="0.25">
      <c r="A1104" s="249"/>
      <c r="B1104" s="249"/>
      <c r="C1104" s="249"/>
      <c r="D1104" s="249"/>
      <c r="E1104" s="249"/>
      <c r="F1104" s="249"/>
      <c r="G1104" s="249"/>
      <c r="H1104" s="249"/>
      <c r="I1104" s="258"/>
      <c r="J1104" s="249"/>
      <c r="K1104" s="249"/>
      <c r="L1104" s="249"/>
      <c r="M1104" s="259"/>
      <c r="N1104" s="249"/>
      <c r="O1104" s="249"/>
      <c r="P1104" s="249"/>
      <c r="Q1104" s="249"/>
      <c r="R1104" s="249"/>
      <c r="S1104" s="249"/>
      <c r="T1104" s="249"/>
      <c r="U1104" s="249"/>
      <c r="V1104" s="249"/>
      <c r="W1104" s="249"/>
      <c r="X1104" s="249"/>
      <c r="Y1104" s="249"/>
      <c r="Z1104" s="249"/>
    </row>
    <row r="1105" spans="1:26" s="152" customFormat="1" x14ac:dyDescent="0.25">
      <c r="A1105" s="249"/>
      <c r="B1105" s="249"/>
      <c r="C1105" s="249"/>
      <c r="D1105" s="249"/>
      <c r="E1105" s="249"/>
      <c r="F1105" s="249"/>
      <c r="G1105" s="249"/>
      <c r="H1105" s="249"/>
      <c r="I1105" s="258"/>
      <c r="J1105" s="249"/>
      <c r="K1105" s="249"/>
      <c r="L1105" s="249"/>
      <c r="M1105" s="259"/>
      <c r="N1105" s="249"/>
      <c r="O1105" s="249"/>
      <c r="P1105" s="249"/>
      <c r="Q1105" s="249"/>
      <c r="R1105" s="249"/>
      <c r="S1105" s="249"/>
      <c r="T1105" s="249"/>
      <c r="U1105" s="249"/>
      <c r="V1105" s="249"/>
      <c r="W1105" s="249"/>
      <c r="X1105" s="249"/>
      <c r="Y1105" s="249"/>
      <c r="Z1105" s="249"/>
    </row>
    <row r="1106" spans="1:26" s="152" customFormat="1" x14ac:dyDescent="0.25">
      <c r="A1106" s="249"/>
      <c r="B1106" s="249"/>
      <c r="C1106" s="249"/>
      <c r="D1106" s="249"/>
      <c r="E1106" s="249"/>
      <c r="F1106" s="249"/>
      <c r="G1106" s="249"/>
      <c r="H1106" s="249"/>
      <c r="I1106" s="258"/>
      <c r="J1106" s="249"/>
      <c r="K1106" s="249"/>
      <c r="L1106" s="249"/>
      <c r="M1106" s="259"/>
      <c r="N1106" s="249"/>
      <c r="O1106" s="249"/>
      <c r="P1106" s="249"/>
      <c r="Q1106" s="249"/>
      <c r="R1106" s="249"/>
      <c r="S1106" s="249"/>
      <c r="T1106" s="249"/>
      <c r="U1106" s="249"/>
      <c r="V1106" s="249"/>
      <c r="W1106" s="249"/>
      <c r="X1106" s="249"/>
      <c r="Y1106" s="249"/>
      <c r="Z1106" s="249"/>
    </row>
    <row r="1107" spans="1:26" s="152" customFormat="1" x14ac:dyDescent="0.25">
      <c r="A1107" s="249"/>
      <c r="B1107" s="249"/>
      <c r="C1107" s="249"/>
      <c r="D1107" s="249"/>
      <c r="E1107" s="249"/>
      <c r="F1107" s="249"/>
      <c r="G1107" s="249"/>
      <c r="H1107" s="249"/>
      <c r="I1107" s="258"/>
      <c r="J1107" s="249"/>
      <c r="K1107" s="249"/>
      <c r="L1107" s="249"/>
      <c r="M1107" s="259"/>
      <c r="N1107" s="249"/>
      <c r="O1107" s="249"/>
      <c r="P1107" s="249"/>
      <c r="Q1107" s="249"/>
      <c r="R1107" s="249"/>
      <c r="S1107" s="249"/>
      <c r="T1107" s="249"/>
      <c r="U1107" s="249"/>
      <c r="V1107" s="249"/>
      <c r="W1107" s="249"/>
      <c r="X1107" s="249"/>
      <c r="Y1107" s="249"/>
      <c r="Z1107" s="249"/>
    </row>
    <row r="1108" spans="1:26" s="152" customFormat="1" x14ac:dyDescent="0.25">
      <c r="A1108" s="249"/>
      <c r="B1108" s="249"/>
      <c r="C1108" s="249"/>
      <c r="D1108" s="249"/>
      <c r="E1108" s="249"/>
      <c r="F1108" s="249"/>
      <c r="G1108" s="249"/>
      <c r="H1108" s="249"/>
      <c r="I1108" s="258"/>
      <c r="J1108" s="249"/>
      <c r="K1108" s="249"/>
      <c r="L1108" s="249"/>
      <c r="M1108" s="259"/>
      <c r="N1108" s="249"/>
      <c r="O1108" s="249"/>
      <c r="P1108" s="249"/>
      <c r="Q1108" s="249"/>
      <c r="R1108" s="249"/>
      <c r="S1108" s="249"/>
      <c r="T1108" s="249"/>
      <c r="U1108" s="249"/>
      <c r="V1108" s="249"/>
      <c r="W1108" s="249"/>
      <c r="X1108" s="249"/>
      <c r="Y1108" s="249"/>
      <c r="Z1108" s="249"/>
    </row>
    <row r="1109" spans="1:26" s="152" customFormat="1" x14ac:dyDescent="0.25">
      <c r="A1109" s="249"/>
      <c r="B1109" s="249"/>
      <c r="C1109" s="249"/>
      <c r="D1109" s="249"/>
      <c r="E1109" s="249"/>
      <c r="F1109" s="249"/>
      <c r="G1109" s="249"/>
      <c r="H1109" s="249"/>
      <c r="I1109" s="258"/>
      <c r="J1109" s="249"/>
      <c r="K1109" s="249"/>
      <c r="L1109" s="249"/>
      <c r="M1109" s="259"/>
      <c r="N1109" s="249"/>
      <c r="O1109" s="249"/>
      <c r="P1109" s="249"/>
      <c r="Q1109" s="249"/>
      <c r="R1109" s="249"/>
      <c r="S1109" s="249"/>
      <c r="T1109" s="249"/>
      <c r="U1109" s="249"/>
      <c r="V1109" s="249"/>
      <c r="W1109" s="249"/>
      <c r="X1109" s="249"/>
      <c r="Y1109" s="249"/>
      <c r="Z1109" s="249"/>
    </row>
    <row r="1110" spans="1:26" s="152" customFormat="1" x14ac:dyDescent="0.25">
      <c r="A1110" s="249"/>
      <c r="B1110" s="249"/>
      <c r="C1110" s="249"/>
      <c r="D1110" s="249"/>
      <c r="E1110" s="249"/>
      <c r="F1110" s="249"/>
      <c r="G1110" s="249"/>
      <c r="H1110" s="249"/>
      <c r="I1110" s="258"/>
      <c r="J1110" s="249"/>
      <c r="K1110" s="249"/>
      <c r="L1110" s="249"/>
      <c r="M1110" s="259"/>
      <c r="N1110" s="249"/>
      <c r="O1110" s="249"/>
      <c r="P1110" s="249"/>
      <c r="Q1110" s="249"/>
      <c r="R1110" s="249"/>
      <c r="S1110" s="249"/>
      <c r="T1110" s="249"/>
      <c r="U1110" s="249"/>
      <c r="V1110" s="249"/>
      <c r="W1110" s="249"/>
      <c r="X1110" s="249"/>
      <c r="Y1110" s="249"/>
      <c r="Z1110" s="249"/>
    </row>
    <row r="1111" spans="1:26" s="152" customFormat="1" x14ac:dyDescent="0.25">
      <c r="A1111" s="249"/>
      <c r="B1111" s="249"/>
      <c r="C1111" s="249"/>
      <c r="D1111" s="249"/>
      <c r="E1111" s="249"/>
      <c r="F1111" s="249"/>
      <c r="G1111" s="249"/>
      <c r="H1111" s="249"/>
      <c r="I1111" s="258"/>
      <c r="J1111" s="249"/>
      <c r="K1111" s="249"/>
      <c r="L1111" s="249"/>
      <c r="M1111" s="259"/>
      <c r="N1111" s="249"/>
      <c r="O1111" s="249"/>
      <c r="P1111" s="249"/>
      <c r="Q1111" s="249"/>
      <c r="R1111" s="249"/>
      <c r="S1111" s="249"/>
      <c r="T1111" s="249"/>
      <c r="U1111" s="249"/>
      <c r="V1111" s="249"/>
      <c r="W1111" s="249"/>
      <c r="X1111" s="249"/>
      <c r="Y1111" s="249"/>
      <c r="Z1111" s="249"/>
    </row>
    <row r="1112" spans="1:26" s="152" customFormat="1" x14ac:dyDescent="0.25">
      <c r="A1112" s="249"/>
      <c r="B1112" s="249"/>
      <c r="C1112" s="249"/>
      <c r="D1112" s="249"/>
      <c r="E1112" s="249"/>
      <c r="F1112" s="249"/>
      <c r="G1112" s="249"/>
      <c r="H1112" s="249"/>
      <c r="I1112" s="258"/>
      <c r="J1112" s="249"/>
      <c r="K1112" s="249"/>
      <c r="L1112" s="249"/>
      <c r="M1112" s="259"/>
      <c r="N1112" s="249"/>
      <c r="O1112" s="249"/>
      <c r="P1112" s="249"/>
      <c r="Q1112" s="249"/>
      <c r="R1112" s="249"/>
      <c r="S1112" s="249"/>
      <c r="T1112" s="249"/>
      <c r="U1112" s="249"/>
      <c r="V1112" s="249"/>
      <c r="W1112" s="249"/>
      <c r="X1112" s="249"/>
      <c r="Y1112" s="249"/>
      <c r="Z1112" s="249"/>
    </row>
    <row r="1113" spans="1:26" s="152" customFormat="1" x14ac:dyDescent="0.25">
      <c r="A1113" s="249"/>
      <c r="B1113" s="249"/>
      <c r="C1113" s="249"/>
      <c r="D1113" s="249"/>
      <c r="E1113" s="249"/>
      <c r="F1113" s="249"/>
      <c r="G1113" s="249"/>
      <c r="H1113" s="249"/>
      <c r="I1113" s="258"/>
      <c r="J1113" s="249"/>
      <c r="K1113" s="249"/>
      <c r="L1113" s="249"/>
      <c r="M1113" s="259"/>
      <c r="N1113" s="249"/>
      <c r="O1113" s="249"/>
      <c r="P1113" s="249"/>
      <c r="Q1113" s="249"/>
      <c r="R1113" s="249"/>
      <c r="S1113" s="249"/>
      <c r="T1113" s="249"/>
      <c r="U1113" s="249"/>
      <c r="V1113" s="249"/>
      <c r="W1113" s="249"/>
      <c r="X1113" s="249"/>
      <c r="Y1113" s="249"/>
      <c r="Z1113" s="249"/>
    </row>
    <row r="1114" spans="1:26" s="152" customFormat="1" x14ac:dyDescent="0.25">
      <c r="A1114" s="249"/>
      <c r="B1114" s="249"/>
      <c r="C1114" s="249"/>
      <c r="D1114" s="249"/>
      <c r="E1114" s="249"/>
      <c r="F1114" s="249"/>
      <c r="G1114" s="249"/>
      <c r="H1114" s="249"/>
      <c r="I1114" s="258"/>
      <c r="J1114" s="249"/>
      <c r="K1114" s="249"/>
      <c r="L1114" s="249"/>
      <c r="M1114" s="25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</row>
    <row r="1115" spans="1:26" s="152" customFormat="1" x14ac:dyDescent="0.25">
      <c r="A1115" s="249"/>
      <c r="B1115" s="249"/>
      <c r="C1115" s="249"/>
      <c r="D1115" s="249"/>
      <c r="E1115" s="249"/>
      <c r="F1115" s="249"/>
      <c r="G1115" s="249"/>
      <c r="H1115" s="249"/>
      <c r="I1115" s="258"/>
      <c r="J1115" s="249"/>
      <c r="K1115" s="249"/>
      <c r="L1115" s="249"/>
      <c r="M1115" s="25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9"/>
    </row>
    <row r="1116" spans="1:26" s="152" customFormat="1" x14ac:dyDescent="0.25">
      <c r="A1116" s="249"/>
      <c r="B1116" s="249"/>
      <c r="C1116" s="249"/>
      <c r="D1116" s="249"/>
      <c r="E1116" s="249"/>
      <c r="F1116" s="249"/>
      <c r="G1116" s="249"/>
      <c r="H1116" s="249"/>
      <c r="I1116" s="258"/>
      <c r="J1116" s="249"/>
      <c r="K1116" s="249"/>
      <c r="L1116" s="249"/>
      <c r="M1116" s="259"/>
      <c r="N1116" s="249"/>
      <c r="O1116" s="249"/>
      <c r="P1116" s="249"/>
      <c r="Q1116" s="249"/>
      <c r="R1116" s="249"/>
      <c r="S1116" s="249"/>
      <c r="T1116" s="249"/>
      <c r="U1116" s="249"/>
      <c r="V1116" s="249"/>
      <c r="W1116" s="249"/>
      <c r="X1116" s="249"/>
      <c r="Y1116" s="249"/>
      <c r="Z1116" s="249"/>
    </row>
    <row r="1117" spans="1:26" s="152" customFormat="1" x14ac:dyDescent="0.25">
      <c r="A1117" s="249"/>
      <c r="B1117" s="249"/>
      <c r="C1117" s="249"/>
      <c r="D1117" s="249"/>
      <c r="E1117" s="249"/>
      <c r="F1117" s="249"/>
      <c r="G1117" s="249"/>
      <c r="H1117" s="249"/>
      <c r="I1117" s="258"/>
      <c r="J1117" s="249"/>
      <c r="K1117" s="249"/>
      <c r="L1117" s="249"/>
      <c r="M1117" s="25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</row>
    <row r="1118" spans="1:26" s="152" customFormat="1" x14ac:dyDescent="0.25">
      <c r="A1118" s="249"/>
      <c r="B1118" s="249"/>
      <c r="C1118" s="249"/>
      <c r="D1118" s="249"/>
      <c r="E1118" s="249"/>
      <c r="F1118" s="249"/>
      <c r="G1118" s="249"/>
      <c r="H1118" s="249"/>
      <c r="I1118" s="258"/>
      <c r="J1118" s="249"/>
      <c r="K1118" s="249"/>
      <c r="L1118" s="249"/>
      <c r="M1118" s="25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</row>
    <row r="1119" spans="1:26" s="152" customFormat="1" x14ac:dyDescent="0.25">
      <c r="A1119" s="249"/>
      <c r="B1119" s="249"/>
      <c r="C1119" s="249"/>
      <c r="D1119" s="249"/>
      <c r="E1119" s="249"/>
      <c r="F1119" s="249"/>
      <c r="G1119" s="249"/>
      <c r="H1119" s="249"/>
      <c r="I1119" s="258"/>
      <c r="J1119" s="249"/>
      <c r="K1119" s="249"/>
      <c r="L1119" s="249"/>
      <c r="M1119" s="25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</row>
    <row r="1120" spans="1:26" s="152" customFormat="1" x14ac:dyDescent="0.25">
      <c r="A1120" s="249"/>
      <c r="B1120" s="249"/>
      <c r="C1120" s="249"/>
      <c r="D1120" s="249"/>
      <c r="E1120" s="249"/>
      <c r="F1120" s="249"/>
      <c r="G1120" s="249"/>
      <c r="H1120" s="249"/>
      <c r="I1120" s="258"/>
      <c r="J1120" s="249"/>
      <c r="K1120" s="249"/>
      <c r="L1120" s="249"/>
      <c r="M1120" s="25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</row>
    <row r="1121" spans="1:26" s="152" customFormat="1" x14ac:dyDescent="0.25">
      <c r="A1121" s="249"/>
      <c r="B1121" s="249"/>
      <c r="C1121" s="249"/>
      <c r="D1121" s="249"/>
      <c r="E1121" s="249"/>
      <c r="F1121" s="249"/>
      <c r="G1121" s="249"/>
      <c r="H1121" s="249"/>
      <c r="I1121" s="258"/>
      <c r="J1121" s="249"/>
      <c r="K1121" s="249"/>
      <c r="L1121" s="249"/>
      <c r="M1121" s="25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</row>
    <row r="1122" spans="1:26" s="152" customFormat="1" x14ac:dyDescent="0.25">
      <c r="A1122" s="249"/>
      <c r="B1122" s="249"/>
      <c r="C1122" s="249"/>
      <c r="D1122" s="249"/>
      <c r="E1122" s="249"/>
      <c r="F1122" s="249"/>
      <c r="G1122" s="249"/>
      <c r="H1122" s="249"/>
      <c r="I1122" s="258"/>
      <c r="J1122" s="249"/>
      <c r="K1122" s="249"/>
      <c r="L1122" s="249"/>
      <c r="M1122" s="259"/>
      <c r="N1122" s="249"/>
      <c r="O1122" s="249"/>
      <c r="P1122" s="249"/>
      <c r="Q1122" s="249"/>
      <c r="R1122" s="249"/>
      <c r="S1122" s="249"/>
      <c r="T1122" s="249"/>
      <c r="U1122" s="249"/>
      <c r="V1122" s="249"/>
      <c r="W1122" s="249"/>
      <c r="X1122" s="249"/>
      <c r="Y1122" s="249"/>
      <c r="Z1122" s="249"/>
    </row>
    <row r="1123" spans="1:26" s="152" customFormat="1" x14ac:dyDescent="0.25">
      <c r="A1123" s="249"/>
      <c r="B1123" s="249"/>
      <c r="C1123" s="249"/>
      <c r="D1123" s="249"/>
      <c r="E1123" s="249"/>
      <c r="F1123" s="249"/>
      <c r="G1123" s="249"/>
      <c r="H1123" s="249"/>
      <c r="I1123" s="258"/>
      <c r="J1123" s="249"/>
      <c r="K1123" s="249"/>
      <c r="L1123" s="249"/>
      <c r="M1123" s="25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</row>
    <row r="1124" spans="1:26" s="152" customFormat="1" x14ac:dyDescent="0.25">
      <c r="A1124" s="249"/>
      <c r="B1124" s="249"/>
      <c r="C1124" s="249"/>
      <c r="D1124" s="249"/>
      <c r="E1124" s="249"/>
      <c r="F1124" s="249"/>
      <c r="G1124" s="249"/>
      <c r="H1124" s="249"/>
      <c r="I1124" s="258"/>
      <c r="J1124" s="249"/>
      <c r="K1124" s="249"/>
      <c r="L1124" s="249"/>
      <c r="M1124" s="25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</row>
    <row r="1125" spans="1:26" s="152" customFormat="1" x14ac:dyDescent="0.25">
      <c r="A1125" s="249"/>
      <c r="B1125" s="249"/>
      <c r="C1125" s="249"/>
      <c r="D1125" s="249"/>
      <c r="E1125" s="249"/>
      <c r="F1125" s="249"/>
      <c r="G1125" s="249"/>
      <c r="H1125" s="249"/>
      <c r="I1125" s="258"/>
      <c r="J1125" s="249"/>
      <c r="K1125" s="249"/>
      <c r="L1125" s="249"/>
      <c r="M1125" s="25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</row>
    <row r="1126" spans="1:26" s="152" customFormat="1" x14ac:dyDescent="0.25">
      <c r="A1126" s="249"/>
      <c r="B1126" s="249"/>
      <c r="C1126" s="249"/>
      <c r="D1126" s="249"/>
      <c r="E1126" s="249"/>
      <c r="F1126" s="249"/>
      <c r="G1126" s="249"/>
      <c r="H1126" s="249"/>
      <c r="I1126" s="258"/>
      <c r="J1126" s="249"/>
      <c r="K1126" s="249"/>
      <c r="L1126" s="249"/>
      <c r="M1126" s="259"/>
      <c r="N1126" s="249"/>
      <c r="O1126" s="249"/>
      <c r="P1126" s="249"/>
      <c r="Q1126" s="249"/>
      <c r="R1126" s="249"/>
      <c r="S1126" s="249"/>
      <c r="T1126" s="249"/>
      <c r="U1126" s="249"/>
      <c r="V1126" s="249"/>
      <c r="W1126" s="249"/>
      <c r="X1126" s="249"/>
      <c r="Y1126" s="249"/>
      <c r="Z1126" s="249"/>
    </row>
    <row r="1127" spans="1:26" s="152" customFormat="1" x14ac:dyDescent="0.25">
      <c r="A1127" s="249"/>
      <c r="B1127" s="249"/>
      <c r="C1127" s="249"/>
      <c r="D1127" s="249"/>
      <c r="E1127" s="249"/>
      <c r="F1127" s="249"/>
      <c r="G1127" s="249"/>
      <c r="H1127" s="249"/>
      <c r="I1127" s="258"/>
      <c r="J1127" s="249"/>
      <c r="K1127" s="249"/>
      <c r="L1127" s="249"/>
      <c r="M1127" s="25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</row>
    <row r="1128" spans="1:26" s="152" customFormat="1" x14ac:dyDescent="0.25">
      <c r="A1128" s="249"/>
      <c r="B1128" s="249"/>
      <c r="C1128" s="249"/>
      <c r="D1128" s="249"/>
      <c r="E1128" s="249"/>
      <c r="F1128" s="249"/>
      <c r="G1128" s="249"/>
      <c r="H1128" s="249"/>
      <c r="I1128" s="258"/>
      <c r="J1128" s="249"/>
      <c r="K1128" s="249"/>
      <c r="L1128" s="249"/>
      <c r="M1128" s="259"/>
      <c r="N1128" s="249"/>
      <c r="O1128" s="249"/>
      <c r="P1128" s="249"/>
      <c r="Q1128" s="249"/>
      <c r="R1128" s="249"/>
      <c r="S1128" s="249"/>
      <c r="T1128" s="249"/>
      <c r="U1128" s="249"/>
      <c r="V1128" s="249"/>
      <c r="W1128" s="249"/>
      <c r="X1128" s="249"/>
      <c r="Y1128" s="249"/>
      <c r="Z1128" s="249"/>
    </row>
    <row r="1129" spans="1:26" s="152" customFormat="1" x14ac:dyDescent="0.25">
      <c r="A1129" s="249"/>
      <c r="B1129" s="249"/>
      <c r="C1129" s="249"/>
      <c r="D1129" s="249"/>
      <c r="E1129" s="249"/>
      <c r="F1129" s="249"/>
      <c r="G1129" s="249"/>
      <c r="H1129" s="249"/>
      <c r="I1129" s="258"/>
      <c r="J1129" s="249"/>
      <c r="K1129" s="249"/>
      <c r="L1129" s="249"/>
      <c r="M1129" s="259"/>
      <c r="N1129" s="249"/>
      <c r="O1129" s="249"/>
      <c r="P1129" s="249"/>
      <c r="Q1129" s="249"/>
      <c r="R1129" s="249"/>
      <c r="S1129" s="249"/>
      <c r="T1129" s="249"/>
      <c r="U1129" s="249"/>
      <c r="V1129" s="249"/>
      <c r="W1129" s="249"/>
      <c r="X1129" s="249"/>
      <c r="Y1129" s="249"/>
      <c r="Z1129" s="249"/>
    </row>
    <row r="1130" spans="1:26" s="152" customFormat="1" x14ac:dyDescent="0.25">
      <c r="A1130" s="249"/>
      <c r="B1130" s="249"/>
      <c r="C1130" s="249"/>
      <c r="D1130" s="249"/>
      <c r="E1130" s="249"/>
      <c r="F1130" s="249"/>
      <c r="G1130" s="249"/>
      <c r="H1130" s="249"/>
      <c r="I1130" s="258"/>
      <c r="J1130" s="249"/>
      <c r="K1130" s="249"/>
      <c r="L1130" s="249"/>
      <c r="M1130" s="259"/>
      <c r="N1130" s="249"/>
      <c r="O1130" s="249"/>
      <c r="P1130" s="249"/>
      <c r="Q1130" s="249"/>
      <c r="R1130" s="249"/>
      <c r="S1130" s="249"/>
      <c r="T1130" s="249"/>
      <c r="U1130" s="249"/>
      <c r="V1130" s="249"/>
      <c r="W1130" s="249"/>
      <c r="X1130" s="249"/>
      <c r="Y1130" s="249"/>
      <c r="Z1130" s="249"/>
    </row>
    <row r="1131" spans="1:26" s="152" customFormat="1" x14ac:dyDescent="0.25">
      <c r="A1131" s="249"/>
      <c r="B1131" s="249"/>
      <c r="C1131" s="249"/>
      <c r="D1131" s="249"/>
      <c r="E1131" s="249"/>
      <c r="F1131" s="249"/>
      <c r="G1131" s="249"/>
      <c r="H1131" s="249"/>
      <c r="I1131" s="258"/>
      <c r="J1131" s="249"/>
      <c r="K1131" s="249"/>
      <c r="L1131" s="249"/>
      <c r="M1131" s="259"/>
      <c r="N1131" s="249"/>
      <c r="O1131" s="249"/>
      <c r="P1131" s="249"/>
      <c r="Q1131" s="249"/>
      <c r="R1131" s="249"/>
      <c r="S1131" s="249"/>
      <c r="T1131" s="249"/>
      <c r="U1131" s="249"/>
      <c r="V1131" s="249"/>
      <c r="W1131" s="249"/>
      <c r="X1131" s="249"/>
      <c r="Y1131" s="249"/>
      <c r="Z1131" s="249"/>
    </row>
    <row r="1132" spans="1:26" s="152" customFormat="1" x14ac:dyDescent="0.25">
      <c r="A1132" s="249"/>
      <c r="B1132" s="249"/>
      <c r="C1132" s="249"/>
      <c r="D1132" s="249"/>
      <c r="E1132" s="249"/>
      <c r="F1132" s="249"/>
      <c r="G1132" s="249"/>
      <c r="H1132" s="249"/>
      <c r="I1132" s="258"/>
      <c r="J1132" s="249"/>
      <c r="K1132" s="249"/>
      <c r="L1132" s="249"/>
      <c r="M1132" s="259"/>
      <c r="N1132" s="249"/>
      <c r="O1132" s="249"/>
      <c r="P1132" s="249"/>
      <c r="Q1132" s="249"/>
      <c r="R1132" s="249"/>
      <c r="S1132" s="249"/>
      <c r="T1132" s="249"/>
      <c r="U1132" s="249"/>
      <c r="V1132" s="249"/>
      <c r="W1132" s="249"/>
      <c r="X1132" s="249"/>
      <c r="Y1132" s="249"/>
      <c r="Z1132" s="249"/>
    </row>
    <row r="1133" spans="1:26" s="152" customFormat="1" x14ac:dyDescent="0.25">
      <c r="A1133" s="249"/>
      <c r="B1133" s="249"/>
      <c r="C1133" s="249"/>
      <c r="D1133" s="249"/>
      <c r="E1133" s="249"/>
      <c r="F1133" s="249"/>
      <c r="G1133" s="249"/>
      <c r="H1133" s="249"/>
      <c r="I1133" s="258"/>
      <c r="J1133" s="249"/>
      <c r="K1133" s="249"/>
      <c r="L1133" s="249"/>
      <c r="M1133" s="259"/>
      <c r="N1133" s="249"/>
      <c r="O1133" s="249"/>
      <c r="P1133" s="249"/>
      <c r="Q1133" s="249"/>
      <c r="R1133" s="249"/>
      <c r="S1133" s="249"/>
      <c r="T1133" s="249"/>
      <c r="U1133" s="249"/>
      <c r="V1133" s="249"/>
      <c r="W1133" s="249"/>
      <c r="X1133" s="249"/>
      <c r="Y1133" s="249"/>
      <c r="Z1133" s="249"/>
    </row>
    <row r="1134" spans="1:26" s="152" customFormat="1" x14ac:dyDescent="0.25">
      <c r="A1134" s="249"/>
      <c r="B1134" s="249"/>
      <c r="C1134" s="249"/>
      <c r="D1134" s="249"/>
      <c r="E1134" s="249"/>
      <c r="F1134" s="249"/>
      <c r="G1134" s="249"/>
      <c r="H1134" s="249"/>
      <c r="I1134" s="258"/>
      <c r="J1134" s="249"/>
      <c r="K1134" s="249"/>
      <c r="L1134" s="249"/>
      <c r="M1134" s="259"/>
      <c r="N1134" s="249"/>
      <c r="O1134" s="249"/>
      <c r="P1134" s="249"/>
      <c r="Q1134" s="249"/>
      <c r="R1134" s="249"/>
      <c r="S1134" s="249"/>
      <c r="T1134" s="249"/>
      <c r="U1134" s="249"/>
      <c r="V1134" s="249"/>
      <c r="W1134" s="249"/>
      <c r="X1134" s="249"/>
      <c r="Y1134" s="249"/>
      <c r="Z1134" s="249"/>
    </row>
    <row r="1135" spans="1:26" s="152" customFormat="1" x14ac:dyDescent="0.25">
      <c r="A1135" s="249"/>
      <c r="B1135" s="249"/>
      <c r="C1135" s="249"/>
      <c r="D1135" s="249"/>
      <c r="E1135" s="249"/>
      <c r="F1135" s="249"/>
      <c r="G1135" s="249"/>
      <c r="H1135" s="249"/>
      <c r="I1135" s="258"/>
      <c r="J1135" s="249"/>
      <c r="K1135" s="249"/>
      <c r="L1135" s="249"/>
      <c r="M1135" s="259"/>
      <c r="N1135" s="249"/>
      <c r="O1135" s="249"/>
      <c r="P1135" s="249"/>
      <c r="Q1135" s="249"/>
      <c r="R1135" s="249"/>
      <c r="S1135" s="249"/>
      <c r="T1135" s="249"/>
      <c r="U1135" s="249"/>
      <c r="V1135" s="249"/>
      <c r="W1135" s="249"/>
      <c r="X1135" s="249"/>
      <c r="Y1135" s="249"/>
      <c r="Z1135" s="249"/>
    </row>
    <row r="1136" spans="1:26" s="152" customFormat="1" x14ac:dyDescent="0.25">
      <c r="A1136" s="249"/>
      <c r="B1136" s="249"/>
      <c r="C1136" s="249"/>
      <c r="D1136" s="249"/>
      <c r="E1136" s="249"/>
      <c r="F1136" s="249"/>
      <c r="G1136" s="249"/>
      <c r="H1136" s="249"/>
      <c r="I1136" s="258"/>
      <c r="J1136" s="249"/>
      <c r="K1136" s="249"/>
      <c r="L1136" s="249"/>
      <c r="M1136" s="259"/>
      <c r="N1136" s="249"/>
      <c r="O1136" s="249"/>
      <c r="P1136" s="249"/>
      <c r="Q1136" s="249"/>
      <c r="R1136" s="249"/>
      <c r="S1136" s="249"/>
      <c r="T1136" s="249"/>
      <c r="U1136" s="249"/>
      <c r="V1136" s="249"/>
      <c r="W1136" s="249"/>
      <c r="X1136" s="249"/>
      <c r="Y1136" s="249"/>
      <c r="Z1136" s="249"/>
    </row>
    <row r="1137" spans="1:26" s="152" customFormat="1" x14ac:dyDescent="0.25">
      <c r="A1137" s="249"/>
      <c r="B1137" s="249"/>
      <c r="C1137" s="249"/>
      <c r="D1137" s="249"/>
      <c r="E1137" s="249"/>
      <c r="F1137" s="249"/>
      <c r="G1137" s="249"/>
      <c r="H1137" s="249"/>
      <c r="I1137" s="258"/>
      <c r="J1137" s="249"/>
      <c r="K1137" s="249"/>
      <c r="L1137" s="249"/>
      <c r="M1137" s="259"/>
      <c r="N1137" s="249"/>
      <c r="O1137" s="249"/>
      <c r="P1137" s="249"/>
      <c r="Q1137" s="249"/>
      <c r="R1137" s="249"/>
      <c r="S1137" s="249"/>
      <c r="T1137" s="249"/>
      <c r="U1137" s="249"/>
      <c r="V1137" s="249"/>
      <c r="W1137" s="249"/>
      <c r="X1137" s="249"/>
      <c r="Y1137" s="249"/>
      <c r="Z1137" s="249"/>
    </row>
    <row r="1138" spans="1:26" s="152" customFormat="1" x14ac:dyDescent="0.25">
      <c r="A1138" s="249"/>
      <c r="B1138" s="249"/>
      <c r="C1138" s="249"/>
      <c r="D1138" s="249"/>
      <c r="E1138" s="249"/>
      <c r="F1138" s="249"/>
      <c r="G1138" s="249"/>
      <c r="H1138" s="249"/>
      <c r="I1138" s="258"/>
      <c r="J1138" s="249"/>
      <c r="K1138" s="249"/>
      <c r="L1138" s="249"/>
      <c r="M1138" s="259"/>
      <c r="N1138" s="249"/>
      <c r="O1138" s="249"/>
      <c r="P1138" s="249"/>
      <c r="Q1138" s="249"/>
      <c r="R1138" s="249"/>
      <c r="S1138" s="249"/>
      <c r="T1138" s="249"/>
      <c r="U1138" s="249"/>
      <c r="V1138" s="249"/>
      <c r="W1138" s="249"/>
      <c r="X1138" s="249"/>
      <c r="Y1138" s="249"/>
      <c r="Z1138" s="249"/>
    </row>
    <row r="1139" spans="1:26" s="152" customFormat="1" x14ac:dyDescent="0.25">
      <c r="A1139" s="249"/>
      <c r="B1139" s="249"/>
      <c r="C1139" s="249"/>
      <c r="D1139" s="249"/>
      <c r="E1139" s="249"/>
      <c r="F1139" s="249"/>
      <c r="G1139" s="249"/>
      <c r="H1139" s="249"/>
      <c r="I1139" s="258"/>
      <c r="J1139" s="249"/>
      <c r="K1139" s="249"/>
      <c r="L1139" s="249"/>
      <c r="M1139" s="259"/>
      <c r="N1139" s="249"/>
      <c r="O1139" s="249"/>
      <c r="P1139" s="249"/>
      <c r="Q1139" s="249"/>
      <c r="R1139" s="249"/>
      <c r="S1139" s="249"/>
      <c r="T1139" s="249"/>
      <c r="U1139" s="249"/>
      <c r="V1139" s="249"/>
      <c r="W1139" s="249"/>
      <c r="X1139" s="249"/>
      <c r="Y1139" s="249"/>
      <c r="Z1139" s="249"/>
    </row>
    <row r="1140" spans="1:26" s="152" customFormat="1" x14ac:dyDescent="0.25">
      <c r="A1140" s="249"/>
      <c r="B1140" s="249"/>
      <c r="C1140" s="249"/>
      <c r="D1140" s="249"/>
      <c r="E1140" s="249"/>
      <c r="F1140" s="249"/>
      <c r="G1140" s="249"/>
      <c r="H1140" s="249"/>
      <c r="I1140" s="258"/>
      <c r="J1140" s="249"/>
      <c r="K1140" s="249"/>
      <c r="L1140" s="249"/>
      <c r="M1140" s="259"/>
      <c r="N1140" s="249"/>
      <c r="O1140" s="249"/>
      <c r="P1140" s="249"/>
      <c r="Q1140" s="249"/>
      <c r="R1140" s="249"/>
      <c r="S1140" s="249"/>
      <c r="T1140" s="249"/>
      <c r="U1140" s="249"/>
      <c r="V1140" s="249"/>
      <c r="W1140" s="249"/>
      <c r="X1140" s="249"/>
      <c r="Y1140" s="249"/>
      <c r="Z1140" s="249"/>
    </row>
    <row r="1141" spans="1:26" s="152" customFormat="1" x14ac:dyDescent="0.25">
      <c r="A1141" s="249"/>
      <c r="B1141" s="249"/>
      <c r="C1141" s="249"/>
      <c r="D1141" s="249"/>
      <c r="E1141" s="249"/>
      <c r="F1141" s="249"/>
      <c r="G1141" s="249"/>
      <c r="H1141" s="249"/>
      <c r="I1141" s="258"/>
      <c r="J1141" s="249"/>
      <c r="K1141" s="249"/>
      <c r="L1141" s="249"/>
      <c r="M1141" s="259"/>
      <c r="N1141" s="249"/>
      <c r="O1141" s="249"/>
      <c r="P1141" s="249"/>
      <c r="Q1141" s="249"/>
      <c r="R1141" s="249"/>
      <c r="S1141" s="249"/>
      <c r="T1141" s="249"/>
      <c r="U1141" s="249"/>
      <c r="V1141" s="249"/>
      <c r="W1141" s="249"/>
      <c r="X1141" s="249"/>
      <c r="Y1141" s="249"/>
      <c r="Z1141" s="249"/>
    </row>
    <row r="1142" spans="1:26" s="152" customFormat="1" x14ac:dyDescent="0.25">
      <c r="A1142" s="249"/>
      <c r="B1142" s="249"/>
      <c r="C1142" s="249"/>
      <c r="D1142" s="249"/>
      <c r="E1142" s="249"/>
      <c r="F1142" s="249"/>
      <c r="G1142" s="249"/>
      <c r="H1142" s="249"/>
      <c r="I1142" s="258"/>
      <c r="J1142" s="249"/>
      <c r="K1142" s="249"/>
      <c r="L1142" s="249"/>
      <c r="M1142" s="259"/>
      <c r="N1142" s="249"/>
      <c r="O1142" s="249"/>
      <c r="P1142" s="249"/>
      <c r="Q1142" s="249"/>
      <c r="R1142" s="249"/>
      <c r="S1142" s="249"/>
      <c r="T1142" s="249"/>
      <c r="U1142" s="249"/>
      <c r="V1142" s="249"/>
      <c r="W1142" s="249"/>
      <c r="X1142" s="249"/>
      <c r="Y1142" s="249"/>
      <c r="Z1142" s="249"/>
    </row>
    <row r="1143" spans="1:26" s="152" customFormat="1" x14ac:dyDescent="0.25">
      <c r="A1143" s="249"/>
      <c r="B1143" s="249"/>
      <c r="C1143" s="249"/>
      <c r="D1143" s="249"/>
      <c r="E1143" s="249"/>
      <c r="F1143" s="249"/>
      <c r="G1143" s="249"/>
      <c r="H1143" s="249"/>
      <c r="I1143" s="258"/>
      <c r="J1143" s="249"/>
      <c r="K1143" s="249"/>
      <c r="L1143" s="249"/>
      <c r="M1143" s="259"/>
      <c r="N1143" s="249"/>
      <c r="O1143" s="249"/>
      <c r="P1143" s="249"/>
      <c r="Q1143" s="249"/>
      <c r="R1143" s="249"/>
      <c r="S1143" s="249"/>
      <c r="T1143" s="249"/>
      <c r="U1143" s="249"/>
      <c r="V1143" s="249"/>
      <c r="W1143" s="249"/>
      <c r="X1143" s="249"/>
      <c r="Y1143" s="249"/>
      <c r="Z1143" s="249"/>
    </row>
    <row r="1144" spans="1:26" s="152" customFormat="1" x14ac:dyDescent="0.25">
      <c r="A1144" s="249"/>
      <c r="B1144" s="249"/>
      <c r="C1144" s="249"/>
      <c r="D1144" s="249"/>
      <c r="E1144" s="249"/>
      <c r="F1144" s="249"/>
      <c r="G1144" s="249"/>
      <c r="H1144" s="249"/>
      <c r="I1144" s="258"/>
      <c r="J1144" s="249"/>
      <c r="K1144" s="249"/>
      <c r="L1144" s="249"/>
      <c r="M1144" s="259"/>
      <c r="N1144" s="249"/>
      <c r="O1144" s="249"/>
      <c r="P1144" s="249"/>
      <c r="Q1144" s="249"/>
      <c r="R1144" s="249"/>
      <c r="S1144" s="249"/>
      <c r="T1144" s="249"/>
      <c r="U1144" s="249"/>
      <c r="V1144" s="249"/>
      <c r="W1144" s="249"/>
      <c r="X1144" s="249"/>
      <c r="Y1144" s="249"/>
      <c r="Z1144" s="249"/>
    </row>
    <row r="1145" spans="1:26" s="152" customFormat="1" x14ac:dyDescent="0.25">
      <c r="A1145" s="249"/>
      <c r="B1145" s="249"/>
      <c r="C1145" s="249"/>
      <c r="D1145" s="249"/>
      <c r="E1145" s="249"/>
      <c r="F1145" s="249"/>
      <c r="G1145" s="249"/>
      <c r="H1145" s="249"/>
      <c r="I1145" s="258"/>
      <c r="J1145" s="249"/>
      <c r="K1145" s="249"/>
      <c r="L1145" s="249"/>
      <c r="M1145" s="259"/>
      <c r="N1145" s="249"/>
      <c r="O1145" s="249"/>
      <c r="P1145" s="249"/>
      <c r="Q1145" s="249"/>
      <c r="R1145" s="249"/>
      <c r="S1145" s="249"/>
      <c r="T1145" s="249"/>
      <c r="U1145" s="249"/>
      <c r="V1145" s="249"/>
      <c r="W1145" s="249"/>
      <c r="X1145" s="249"/>
      <c r="Y1145" s="249"/>
      <c r="Z1145" s="249"/>
    </row>
    <row r="1146" spans="1:26" s="152" customFormat="1" x14ac:dyDescent="0.25">
      <c r="A1146" s="249"/>
      <c r="B1146" s="249"/>
      <c r="C1146" s="249"/>
      <c r="D1146" s="249"/>
      <c r="E1146" s="249"/>
      <c r="F1146" s="249"/>
      <c r="G1146" s="249"/>
      <c r="H1146" s="249"/>
      <c r="I1146" s="258"/>
      <c r="J1146" s="249"/>
      <c r="K1146" s="249"/>
      <c r="L1146" s="249"/>
      <c r="M1146" s="259"/>
      <c r="N1146" s="249"/>
      <c r="O1146" s="249"/>
      <c r="P1146" s="249"/>
      <c r="Q1146" s="249"/>
      <c r="R1146" s="249"/>
      <c r="S1146" s="249"/>
      <c r="T1146" s="249"/>
      <c r="U1146" s="249"/>
      <c r="V1146" s="249"/>
      <c r="W1146" s="249"/>
      <c r="X1146" s="249"/>
      <c r="Y1146" s="249"/>
      <c r="Z1146" s="249"/>
    </row>
    <row r="1147" spans="1:26" s="152" customFormat="1" x14ac:dyDescent="0.25">
      <c r="A1147" s="249"/>
      <c r="B1147" s="249"/>
      <c r="C1147" s="249"/>
      <c r="D1147" s="249"/>
      <c r="E1147" s="249"/>
      <c r="F1147" s="249"/>
      <c r="G1147" s="249"/>
      <c r="H1147" s="249"/>
      <c r="I1147" s="258"/>
      <c r="J1147" s="249"/>
      <c r="K1147" s="249"/>
      <c r="L1147" s="249"/>
      <c r="M1147" s="25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</row>
    <row r="1148" spans="1:26" s="152" customFormat="1" x14ac:dyDescent="0.25">
      <c r="A1148" s="249"/>
      <c r="B1148" s="249"/>
      <c r="C1148" s="249"/>
      <c r="D1148" s="249"/>
      <c r="E1148" s="249"/>
      <c r="F1148" s="249"/>
      <c r="G1148" s="249"/>
      <c r="H1148" s="249"/>
      <c r="I1148" s="258"/>
      <c r="J1148" s="249"/>
      <c r="K1148" s="249"/>
      <c r="L1148" s="249"/>
      <c r="M1148" s="25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9"/>
    </row>
    <row r="1149" spans="1:26" s="152" customFormat="1" x14ac:dyDescent="0.25">
      <c r="A1149" s="249"/>
      <c r="B1149" s="249"/>
      <c r="C1149" s="249"/>
      <c r="D1149" s="249"/>
      <c r="E1149" s="249"/>
      <c r="F1149" s="249"/>
      <c r="G1149" s="249"/>
      <c r="H1149" s="249"/>
      <c r="I1149" s="258"/>
      <c r="J1149" s="249"/>
      <c r="K1149" s="249"/>
      <c r="L1149" s="249"/>
      <c r="M1149" s="259"/>
      <c r="N1149" s="249"/>
      <c r="O1149" s="249"/>
      <c r="P1149" s="249"/>
      <c r="Q1149" s="249"/>
      <c r="R1149" s="249"/>
      <c r="S1149" s="249"/>
      <c r="T1149" s="249"/>
      <c r="U1149" s="249"/>
      <c r="V1149" s="249"/>
      <c r="W1149" s="249"/>
      <c r="X1149" s="249"/>
      <c r="Y1149" s="249"/>
      <c r="Z1149" s="249"/>
    </row>
    <row r="1150" spans="1:26" s="152" customFormat="1" x14ac:dyDescent="0.25">
      <c r="A1150" s="249"/>
      <c r="B1150" s="249"/>
      <c r="C1150" s="249"/>
      <c r="D1150" s="249"/>
      <c r="E1150" s="249"/>
      <c r="F1150" s="249"/>
      <c r="G1150" s="249"/>
      <c r="H1150" s="249"/>
      <c r="I1150" s="258"/>
      <c r="J1150" s="249"/>
      <c r="K1150" s="249"/>
      <c r="L1150" s="249"/>
      <c r="M1150" s="25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</row>
    <row r="1151" spans="1:26" s="152" customFormat="1" x14ac:dyDescent="0.25">
      <c r="A1151" s="249"/>
      <c r="B1151" s="249"/>
      <c r="C1151" s="249"/>
      <c r="D1151" s="249"/>
      <c r="E1151" s="249"/>
      <c r="F1151" s="249"/>
      <c r="G1151" s="249"/>
      <c r="H1151" s="249"/>
      <c r="I1151" s="258"/>
      <c r="J1151" s="249"/>
      <c r="K1151" s="249"/>
      <c r="L1151" s="249"/>
      <c r="M1151" s="25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</row>
    <row r="1152" spans="1:26" s="152" customFormat="1" x14ac:dyDescent="0.25">
      <c r="A1152" s="249"/>
      <c r="B1152" s="249"/>
      <c r="C1152" s="249"/>
      <c r="D1152" s="249"/>
      <c r="E1152" s="249"/>
      <c r="F1152" s="249"/>
      <c r="G1152" s="249"/>
      <c r="H1152" s="249"/>
      <c r="I1152" s="258"/>
      <c r="J1152" s="249"/>
      <c r="K1152" s="249"/>
      <c r="L1152" s="249"/>
      <c r="M1152" s="25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</row>
    <row r="1153" spans="1:26" s="152" customFormat="1" x14ac:dyDescent="0.25">
      <c r="A1153" s="249"/>
      <c r="B1153" s="249"/>
      <c r="C1153" s="249"/>
      <c r="D1153" s="249"/>
      <c r="E1153" s="249"/>
      <c r="F1153" s="249"/>
      <c r="G1153" s="249"/>
      <c r="H1153" s="249"/>
      <c r="I1153" s="258"/>
      <c r="J1153" s="249"/>
      <c r="K1153" s="249"/>
      <c r="L1153" s="249"/>
      <c r="M1153" s="25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</row>
    <row r="1154" spans="1:26" s="152" customFormat="1" x14ac:dyDescent="0.25">
      <c r="A1154" s="249"/>
      <c r="B1154" s="249"/>
      <c r="C1154" s="249"/>
      <c r="D1154" s="249"/>
      <c r="E1154" s="249"/>
      <c r="F1154" s="249"/>
      <c r="G1154" s="249"/>
      <c r="H1154" s="249"/>
      <c r="I1154" s="258"/>
      <c r="J1154" s="249"/>
      <c r="K1154" s="249"/>
      <c r="L1154" s="249"/>
      <c r="M1154" s="25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</row>
    <row r="1155" spans="1:26" s="152" customFormat="1" x14ac:dyDescent="0.25">
      <c r="A1155" s="249"/>
      <c r="B1155" s="249"/>
      <c r="C1155" s="249"/>
      <c r="D1155" s="249"/>
      <c r="E1155" s="249"/>
      <c r="F1155" s="249"/>
      <c r="G1155" s="249"/>
      <c r="H1155" s="249"/>
      <c r="I1155" s="258"/>
      <c r="J1155" s="249"/>
      <c r="K1155" s="249"/>
      <c r="L1155" s="249"/>
      <c r="M1155" s="259"/>
      <c r="N1155" s="249"/>
      <c r="O1155" s="249"/>
      <c r="P1155" s="249"/>
      <c r="Q1155" s="249"/>
      <c r="R1155" s="249"/>
      <c r="S1155" s="249"/>
      <c r="T1155" s="249"/>
      <c r="U1155" s="249"/>
      <c r="V1155" s="249"/>
      <c r="W1155" s="249"/>
      <c r="X1155" s="249"/>
      <c r="Y1155" s="249"/>
      <c r="Z1155" s="249"/>
    </row>
    <row r="1156" spans="1:26" s="152" customFormat="1" x14ac:dyDescent="0.25">
      <c r="A1156" s="249"/>
      <c r="B1156" s="249"/>
      <c r="C1156" s="249"/>
      <c r="D1156" s="249"/>
      <c r="E1156" s="249"/>
      <c r="F1156" s="249"/>
      <c r="G1156" s="249"/>
      <c r="H1156" s="249"/>
      <c r="I1156" s="258"/>
      <c r="J1156" s="249"/>
      <c r="K1156" s="249"/>
      <c r="L1156" s="249"/>
      <c r="M1156" s="25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</row>
    <row r="1157" spans="1:26" s="152" customFormat="1" x14ac:dyDescent="0.25">
      <c r="A1157" s="249"/>
      <c r="B1157" s="249"/>
      <c r="C1157" s="249"/>
      <c r="D1157" s="249"/>
      <c r="E1157" s="249"/>
      <c r="F1157" s="249"/>
      <c r="G1157" s="249"/>
      <c r="H1157" s="249"/>
      <c r="I1157" s="258"/>
      <c r="J1157" s="249"/>
      <c r="K1157" s="249"/>
      <c r="L1157" s="249"/>
      <c r="M1157" s="25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</row>
    <row r="1158" spans="1:26" s="152" customFormat="1" x14ac:dyDescent="0.25">
      <c r="A1158" s="249"/>
      <c r="B1158" s="249"/>
      <c r="C1158" s="249"/>
      <c r="D1158" s="249"/>
      <c r="E1158" s="249"/>
      <c r="F1158" s="249"/>
      <c r="G1158" s="249"/>
      <c r="H1158" s="249"/>
      <c r="I1158" s="258"/>
      <c r="J1158" s="249"/>
      <c r="K1158" s="249"/>
      <c r="L1158" s="249"/>
      <c r="M1158" s="25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</row>
    <row r="1159" spans="1:26" s="152" customFormat="1" x14ac:dyDescent="0.25">
      <c r="A1159" s="249"/>
      <c r="B1159" s="249"/>
      <c r="C1159" s="249"/>
      <c r="D1159" s="249"/>
      <c r="E1159" s="249"/>
      <c r="F1159" s="249"/>
      <c r="G1159" s="249"/>
      <c r="H1159" s="249"/>
      <c r="I1159" s="258"/>
      <c r="J1159" s="249"/>
      <c r="K1159" s="249"/>
      <c r="L1159" s="249"/>
      <c r="M1159" s="259"/>
      <c r="N1159" s="249"/>
      <c r="O1159" s="249"/>
      <c r="P1159" s="249"/>
      <c r="Q1159" s="249"/>
      <c r="R1159" s="249"/>
      <c r="S1159" s="249"/>
      <c r="T1159" s="249"/>
      <c r="U1159" s="249"/>
      <c r="V1159" s="249"/>
      <c r="W1159" s="249"/>
      <c r="X1159" s="249"/>
      <c r="Y1159" s="249"/>
      <c r="Z1159" s="249"/>
    </row>
    <row r="1160" spans="1:26" s="152" customFormat="1" x14ac:dyDescent="0.25">
      <c r="A1160" s="249"/>
      <c r="B1160" s="249"/>
      <c r="C1160" s="249"/>
      <c r="D1160" s="249"/>
      <c r="E1160" s="249"/>
      <c r="F1160" s="249"/>
      <c r="G1160" s="249"/>
      <c r="H1160" s="249"/>
      <c r="I1160" s="258"/>
      <c r="J1160" s="249"/>
      <c r="K1160" s="249"/>
      <c r="L1160" s="249"/>
      <c r="M1160" s="25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</row>
    <row r="1161" spans="1:26" s="152" customFormat="1" x14ac:dyDescent="0.25">
      <c r="A1161" s="249"/>
      <c r="B1161" s="249"/>
      <c r="C1161" s="249"/>
      <c r="D1161" s="249"/>
      <c r="E1161" s="249"/>
      <c r="F1161" s="249"/>
      <c r="G1161" s="249"/>
      <c r="H1161" s="249"/>
      <c r="I1161" s="258"/>
      <c r="J1161" s="249"/>
      <c r="K1161" s="249"/>
      <c r="L1161" s="249"/>
      <c r="M1161" s="259"/>
      <c r="N1161" s="249"/>
      <c r="O1161" s="249"/>
      <c r="P1161" s="249"/>
      <c r="Q1161" s="249"/>
      <c r="R1161" s="249"/>
      <c r="S1161" s="249"/>
      <c r="T1161" s="249"/>
      <c r="U1161" s="249"/>
      <c r="V1161" s="249"/>
      <c r="W1161" s="249"/>
      <c r="X1161" s="249"/>
      <c r="Y1161" s="249"/>
      <c r="Z1161" s="249"/>
    </row>
    <row r="1162" spans="1:26" s="152" customFormat="1" x14ac:dyDescent="0.25">
      <c r="A1162" s="249"/>
      <c r="B1162" s="249"/>
      <c r="C1162" s="249"/>
      <c r="D1162" s="249"/>
      <c r="E1162" s="249"/>
      <c r="F1162" s="249"/>
      <c r="G1162" s="249"/>
      <c r="H1162" s="249"/>
      <c r="I1162" s="258"/>
      <c r="J1162" s="249"/>
      <c r="K1162" s="249"/>
      <c r="L1162" s="249"/>
      <c r="M1162" s="259"/>
      <c r="N1162" s="249"/>
      <c r="O1162" s="249"/>
      <c r="P1162" s="249"/>
      <c r="Q1162" s="249"/>
      <c r="R1162" s="249"/>
      <c r="S1162" s="249"/>
      <c r="T1162" s="249"/>
      <c r="U1162" s="249"/>
      <c r="V1162" s="249"/>
      <c r="W1162" s="249"/>
      <c r="X1162" s="249"/>
      <c r="Y1162" s="249"/>
      <c r="Z1162" s="249"/>
    </row>
    <row r="1163" spans="1:26" s="152" customFormat="1" x14ac:dyDescent="0.25">
      <c r="A1163" s="249"/>
      <c r="B1163" s="249"/>
      <c r="C1163" s="249"/>
      <c r="D1163" s="249"/>
      <c r="E1163" s="249"/>
      <c r="F1163" s="249"/>
      <c r="G1163" s="249"/>
      <c r="H1163" s="249"/>
      <c r="I1163" s="258"/>
      <c r="J1163" s="249"/>
      <c r="K1163" s="249"/>
      <c r="L1163" s="249"/>
      <c r="M1163" s="259"/>
      <c r="N1163" s="249"/>
      <c r="O1163" s="249"/>
      <c r="P1163" s="249"/>
      <c r="Q1163" s="249"/>
      <c r="R1163" s="249"/>
      <c r="S1163" s="249"/>
      <c r="T1163" s="249"/>
      <c r="U1163" s="249"/>
      <c r="V1163" s="249"/>
      <c r="W1163" s="249"/>
      <c r="X1163" s="249"/>
      <c r="Y1163" s="249"/>
      <c r="Z1163" s="249"/>
    </row>
    <row r="1164" spans="1:26" s="152" customFormat="1" x14ac:dyDescent="0.25">
      <c r="A1164" s="249"/>
      <c r="B1164" s="249"/>
      <c r="C1164" s="249"/>
      <c r="D1164" s="249"/>
      <c r="E1164" s="249"/>
      <c r="F1164" s="249"/>
      <c r="G1164" s="249"/>
      <c r="H1164" s="249"/>
      <c r="I1164" s="258"/>
      <c r="J1164" s="249"/>
      <c r="K1164" s="249"/>
      <c r="L1164" s="249"/>
      <c r="M1164" s="259"/>
      <c r="N1164" s="249"/>
      <c r="O1164" s="249"/>
      <c r="P1164" s="249"/>
      <c r="Q1164" s="249"/>
      <c r="R1164" s="249"/>
      <c r="S1164" s="249"/>
      <c r="T1164" s="249"/>
      <c r="U1164" s="249"/>
      <c r="V1164" s="249"/>
      <c r="W1164" s="249"/>
      <c r="X1164" s="249"/>
      <c r="Y1164" s="249"/>
      <c r="Z1164" s="249"/>
    </row>
    <row r="1165" spans="1:26" s="152" customFormat="1" x14ac:dyDescent="0.25">
      <c r="A1165" s="249"/>
      <c r="B1165" s="249"/>
      <c r="C1165" s="249"/>
      <c r="D1165" s="249"/>
      <c r="E1165" s="249"/>
      <c r="F1165" s="249"/>
      <c r="G1165" s="249"/>
      <c r="H1165" s="249"/>
      <c r="I1165" s="258"/>
      <c r="J1165" s="249"/>
      <c r="K1165" s="249"/>
      <c r="L1165" s="249"/>
      <c r="M1165" s="259"/>
      <c r="N1165" s="249"/>
      <c r="O1165" s="249"/>
      <c r="P1165" s="249"/>
      <c r="Q1165" s="249"/>
      <c r="R1165" s="249"/>
      <c r="S1165" s="249"/>
      <c r="T1165" s="249"/>
      <c r="U1165" s="249"/>
      <c r="V1165" s="249"/>
      <c r="W1165" s="249"/>
      <c r="X1165" s="249"/>
      <c r="Y1165" s="249"/>
      <c r="Z1165" s="249"/>
    </row>
    <row r="1166" spans="1:26" s="152" customFormat="1" x14ac:dyDescent="0.25">
      <c r="A1166" s="249"/>
      <c r="B1166" s="249"/>
      <c r="C1166" s="249"/>
      <c r="D1166" s="249"/>
      <c r="E1166" s="249"/>
      <c r="F1166" s="249"/>
      <c r="G1166" s="249"/>
      <c r="H1166" s="249"/>
      <c r="I1166" s="258"/>
      <c r="J1166" s="249"/>
      <c r="K1166" s="249"/>
      <c r="L1166" s="249"/>
      <c r="M1166" s="259"/>
      <c r="N1166" s="249"/>
      <c r="O1166" s="249"/>
      <c r="P1166" s="249"/>
      <c r="Q1166" s="249"/>
      <c r="R1166" s="249"/>
      <c r="S1166" s="249"/>
      <c r="T1166" s="249"/>
      <c r="U1166" s="249"/>
      <c r="V1166" s="249"/>
      <c r="W1166" s="249"/>
      <c r="X1166" s="249"/>
      <c r="Y1166" s="249"/>
      <c r="Z1166" s="249"/>
    </row>
    <row r="1167" spans="1:26" s="152" customFormat="1" x14ac:dyDescent="0.25">
      <c r="A1167" s="249"/>
      <c r="B1167" s="249"/>
      <c r="C1167" s="249"/>
      <c r="D1167" s="249"/>
      <c r="E1167" s="249"/>
      <c r="F1167" s="249"/>
      <c r="G1167" s="249"/>
      <c r="H1167" s="249"/>
      <c r="I1167" s="258"/>
      <c r="J1167" s="249"/>
      <c r="K1167" s="249"/>
      <c r="L1167" s="249"/>
      <c r="M1167" s="259"/>
      <c r="N1167" s="249"/>
      <c r="O1167" s="249"/>
      <c r="P1167" s="249"/>
      <c r="Q1167" s="249"/>
      <c r="R1167" s="249"/>
      <c r="S1167" s="249"/>
      <c r="T1167" s="249"/>
      <c r="U1167" s="249"/>
      <c r="V1167" s="249"/>
      <c r="W1167" s="249"/>
      <c r="X1167" s="249"/>
      <c r="Y1167" s="249"/>
      <c r="Z1167" s="249"/>
    </row>
    <row r="1168" spans="1:26" s="152" customFormat="1" x14ac:dyDescent="0.25">
      <c r="A1168" s="249"/>
      <c r="B1168" s="249"/>
      <c r="C1168" s="249"/>
      <c r="D1168" s="249"/>
      <c r="E1168" s="249"/>
      <c r="F1168" s="249"/>
      <c r="G1168" s="249"/>
      <c r="H1168" s="249"/>
      <c r="I1168" s="258"/>
      <c r="J1168" s="249"/>
      <c r="K1168" s="249"/>
      <c r="L1168" s="249"/>
      <c r="M1168" s="259"/>
      <c r="N1168" s="249"/>
      <c r="O1168" s="249"/>
      <c r="P1168" s="249"/>
      <c r="Q1168" s="249"/>
      <c r="R1168" s="249"/>
      <c r="S1168" s="249"/>
      <c r="T1168" s="249"/>
      <c r="U1168" s="249"/>
      <c r="V1168" s="249"/>
      <c r="W1168" s="249"/>
      <c r="X1168" s="249"/>
      <c r="Y1168" s="249"/>
      <c r="Z1168" s="249"/>
    </row>
    <row r="1169" spans="1:26" s="152" customFormat="1" x14ac:dyDescent="0.25">
      <c r="A1169" s="249"/>
      <c r="B1169" s="249"/>
      <c r="C1169" s="249"/>
      <c r="D1169" s="249"/>
      <c r="E1169" s="249"/>
      <c r="F1169" s="249"/>
      <c r="G1169" s="249"/>
      <c r="H1169" s="249"/>
      <c r="I1169" s="258"/>
      <c r="J1169" s="249"/>
      <c r="K1169" s="249"/>
      <c r="L1169" s="249"/>
      <c r="M1169" s="259"/>
      <c r="N1169" s="249"/>
      <c r="O1169" s="249"/>
      <c r="P1169" s="249"/>
      <c r="Q1169" s="249"/>
      <c r="R1169" s="249"/>
      <c r="S1169" s="249"/>
      <c r="T1169" s="249"/>
      <c r="U1169" s="249"/>
      <c r="V1169" s="249"/>
      <c r="W1169" s="249"/>
      <c r="X1169" s="249"/>
      <c r="Y1169" s="249"/>
      <c r="Z1169" s="249"/>
    </row>
    <row r="1170" spans="1:26" s="152" customFormat="1" x14ac:dyDescent="0.25">
      <c r="A1170" s="249"/>
      <c r="B1170" s="249"/>
      <c r="C1170" s="249"/>
      <c r="D1170" s="249"/>
      <c r="E1170" s="249"/>
      <c r="F1170" s="249"/>
      <c r="G1170" s="249"/>
      <c r="H1170" s="249"/>
      <c r="I1170" s="258"/>
      <c r="J1170" s="249"/>
      <c r="K1170" s="249"/>
      <c r="L1170" s="249"/>
      <c r="M1170" s="259"/>
      <c r="N1170" s="249"/>
      <c r="O1170" s="249"/>
      <c r="P1170" s="249"/>
      <c r="Q1170" s="249"/>
      <c r="R1170" s="249"/>
      <c r="S1170" s="249"/>
      <c r="T1170" s="249"/>
      <c r="U1170" s="249"/>
      <c r="V1170" s="249"/>
      <c r="W1170" s="249"/>
      <c r="X1170" s="249"/>
      <c r="Y1170" s="249"/>
      <c r="Z1170" s="249"/>
    </row>
    <row r="1171" spans="1:26" s="152" customFormat="1" x14ac:dyDescent="0.25">
      <c r="A1171" s="249"/>
      <c r="B1171" s="249"/>
      <c r="C1171" s="249"/>
      <c r="D1171" s="249"/>
      <c r="E1171" s="249"/>
      <c r="F1171" s="249"/>
      <c r="G1171" s="249"/>
      <c r="H1171" s="249"/>
      <c r="I1171" s="258"/>
      <c r="J1171" s="249"/>
      <c r="K1171" s="249"/>
      <c r="L1171" s="249"/>
      <c r="M1171" s="259"/>
      <c r="N1171" s="249"/>
      <c r="O1171" s="249"/>
      <c r="P1171" s="249"/>
      <c r="Q1171" s="249"/>
      <c r="R1171" s="249"/>
      <c r="S1171" s="249"/>
      <c r="T1171" s="249"/>
      <c r="U1171" s="249"/>
      <c r="V1171" s="249"/>
      <c r="W1171" s="249"/>
      <c r="X1171" s="249"/>
      <c r="Y1171" s="249"/>
      <c r="Z1171" s="249"/>
    </row>
    <row r="1172" spans="1:26" s="152" customFormat="1" x14ac:dyDescent="0.25">
      <c r="A1172" s="249"/>
      <c r="B1172" s="249"/>
      <c r="C1172" s="249"/>
      <c r="D1172" s="249"/>
      <c r="E1172" s="249"/>
      <c r="F1172" s="249"/>
      <c r="G1172" s="249"/>
      <c r="H1172" s="249"/>
      <c r="I1172" s="258"/>
      <c r="J1172" s="249"/>
      <c r="K1172" s="249"/>
      <c r="L1172" s="249"/>
      <c r="M1172" s="259"/>
      <c r="N1172" s="249"/>
      <c r="O1172" s="249"/>
      <c r="P1172" s="249"/>
      <c r="Q1172" s="249"/>
      <c r="R1172" s="249"/>
      <c r="S1172" s="249"/>
      <c r="T1172" s="249"/>
      <c r="U1172" s="249"/>
      <c r="V1172" s="249"/>
      <c r="W1172" s="249"/>
      <c r="X1172" s="249"/>
      <c r="Y1172" s="249"/>
      <c r="Z1172" s="249"/>
    </row>
    <row r="1173" spans="1:26" s="152" customFormat="1" x14ac:dyDescent="0.25">
      <c r="A1173" s="249"/>
      <c r="B1173" s="249"/>
      <c r="C1173" s="249"/>
      <c r="D1173" s="249"/>
      <c r="E1173" s="249"/>
      <c r="F1173" s="249"/>
      <c r="G1173" s="249"/>
      <c r="H1173" s="249"/>
      <c r="I1173" s="258"/>
      <c r="J1173" s="249"/>
      <c r="K1173" s="249"/>
      <c r="L1173" s="249"/>
      <c r="M1173" s="259"/>
      <c r="N1173" s="249"/>
      <c r="O1173" s="249"/>
      <c r="P1173" s="249"/>
      <c r="Q1173" s="249"/>
      <c r="R1173" s="249"/>
      <c r="S1173" s="249"/>
      <c r="T1173" s="249"/>
      <c r="U1173" s="249"/>
      <c r="V1173" s="249"/>
      <c r="W1173" s="249"/>
      <c r="X1173" s="249"/>
      <c r="Y1173" s="249"/>
      <c r="Z1173" s="249"/>
    </row>
    <row r="1174" spans="1:26" s="152" customFormat="1" x14ac:dyDescent="0.25">
      <c r="A1174" s="249"/>
      <c r="B1174" s="249"/>
      <c r="C1174" s="249"/>
      <c r="D1174" s="249"/>
      <c r="E1174" s="249"/>
      <c r="F1174" s="249"/>
      <c r="G1174" s="249"/>
      <c r="H1174" s="249"/>
      <c r="I1174" s="258"/>
      <c r="J1174" s="249"/>
      <c r="K1174" s="249"/>
      <c r="L1174" s="249"/>
      <c r="M1174" s="259"/>
      <c r="N1174" s="249"/>
      <c r="O1174" s="249"/>
      <c r="P1174" s="249"/>
      <c r="Q1174" s="249"/>
      <c r="R1174" s="249"/>
      <c r="S1174" s="249"/>
      <c r="T1174" s="249"/>
      <c r="U1174" s="249"/>
      <c r="V1174" s="249"/>
      <c r="W1174" s="249"/>
      <c r="X1174" s="249"/>
      <c r="Y1174" s="249"/>
      <c r="Z1174" s="249"/>
    </row>
    <row r="1175" spans="1:26" s="152" customFormat="1" x14ac:dyDescent="0.25">
      <c r="A1175" s="249"/>
      <c r="B1175" s="249"/>
      <c r="C1175" s="249"/>
      <c r="D1175" s="249"/>
      <c r="E1175" s="249"/>
      <c r="F1175" s="249"/>
      <c r="G1175" s="249"/>
      <c r="H1175" s="249"/>
      <c r="I1175" s="258"/>
      <c r="J1175" s="249"/>
      <c r="K1175" s="249"/>
      <c r="L1175" s="249"/>
      <c r="M1175" s="259"/>
      <c r="N1175" s="249"/>
      <c r="O1175" s="249"/>
      <c r="P1175" s="249"/>
      <c r="Q1175" s="249"/>
      <c r="R1175" s="249"/>
      <c r="S1175" s="249"/>
      <c r="T1175" s="249"/>
      <c r="U1175" s="249"/>
      <c r="V1175" s="249"/>
      <c r="W1175" s="249"/>
      <c r="X1175" s="249"/>
      <c r="Y1175" s="249"/>
      <c r="Z1175" s="249"/>
    </row>
    <row r="1176" spans="1:26" s="152" customFormat="1" x14ac:dyDescent="0.25">
      <c r="A1176" s="249"/>
      <c r="B1176" s="249"/>
      <c r="C1176" s="249"/>
      <c r="D1176" s="249"/>
      <c r="E1176" s="249"/>
      <c r="F1176" s="249"/>
      <c r="G1176" s="249"/>
      <c r="H1176" s="249"/>
      <c r="I1176" s="258"/>
      <c r="J1176" s="249"/>
      <c r="K1176" s="249"/>
      <c r="L1176" s="249"/>
      <c r="M1176" s="259"/>
      <c r="N1176" s="249"/>
      <c r="O1176" s="249"/>
      <c r="P1176" s="249"/>
      <c r="Q1176" s="249"/>
      <c r="R1176" s="249"/>
      <c r="S1176" s="249"/>
      <c r="T1176" s="249"/>
      <c r="U1176" s="249"/>
      <c r="V1176" s="249"/>
      <c r="W1176" s="249"/>
      <c r="X1176" s="249"/>
      <c r="Y1176" s="249"/>
      <c r="Z1176" s="249"/>
    </row>
    <row r="1177" spans="1:26" s="152" customFormat="1" x14ac:dyDescent="0.25">
      <c r="A1177" s="249"/>
      <c r="B1177" s="249"/>
      <c r="C1177" s="249"/>
      <c r="D1177" s="249"/>
      <c r="E1177" s="249"/>
      <c r="F1177" s="249"/>
      <c r="G1177" s="249"/>
      <c r="H1177" s="249"/>
      <c r="I1177" s="258"/>
      <c r="J1177" s="249"/>
      <c r="K1177" s="249"/>
      <c r="L1177" s="249"/>
      <c r="M1177" s="259"/>
      <c r="N1177" s="249"/>
      <c r="O1177" s="249"/>
      <c r="P1177" s="249"/>
      <c r="Q1177" s="249"/>
      <c r="R1177" s="249"/>
      <c r="S1177" s="249"/>
      <c r="T1177" s="249"/>
      <c r="U1177" s="249"/>
      <c r="V1177" s="249"/>
      <c r="W1177" s="249"/>
      <c r="X1177" s="249"/>
      <c r="Y1177" s="249"/>
      <c r="Z1177" s="249"/>
    </row>
    <row r="1178" spans="1:26" s="152" customFormat="1" x14ac:dyDescent="0.25">
      <c r="A1178" s="249"/>
      <c r="B1178" s="249"/>
      <c r="C1178" s="249"/>
      <c r="D1178" s="249"/>
      <c r="E1178" s="249"/>
      <c r="F1178" s="249"/>
      <c r="G1178" s="249"/>
      <c r="H1178" s="249"/>
      <c r="I1178" s="258"/>
      <c r="J1178" s="249"/>
      <c r="K1178" s="249"/>
      <c r="L1178" s="249"/>
      <c r="M1178" s="259"/>
      <c r="N1178" s="249"/>
      <c r="O1178" s="249"/>
      <c r="P1178" s="249"/>
      <c r="Q1178" s="249"/>
      <c r="R1178" s="249"/>
      <c r="S1178" s="249"/>
      <c r="T1178" s="249"/>
      <c r="U1178" s="249"/>
      <c r="V1178" s="249"/>
      <c r="W1178" s="249"/>
      <c r="X1178" s="249"/>
      <c r="Y1178" s="249"/>
      <c r="Z1178" s="249"/>
    </row>
    <row r="1179" spans="1:26" s="152" customFormat="1" x14ac:dyDescent="0.25">
      <c r="A1179" s="249"/>
      <c r="B1179" s="249"/>
      <c r="C1179" s="249"/>
      <c r="D1179" s="249"/>
      <c r="E1179" s="249"/>
      <c r="F1179" s="249"/>
      <c r="G1179" s="249"/>
      <c r="H1179" s="249"/>
      <c r="I1179" s="258"/>
      <c r="J1179" s="249"/>
      <c r="K1179" s="249"/>
      <c r="L1179" s="249"/>
      <c r="M1179" s="259"/>
      <c r="N1179" s="249"/>
      <c r="O1179" s="249"/>
      <c r="P1179" s="249"/>
      <c r="Q1179" s="249"/>
      <c r="R1179" s="249"/>
      <c r="S1179" s="249"/>
      <c r="T1179" s="249"/>
      <c r="U1179" s="249"/>
      <c r="V1179" s="249"/>
      <c r="W1179" s="249"/>
      <c r="X1179" s="249"/>
      <c r="Y1179" s="249"/>
      <c r="Z1179" s="249"/>
    </row>
    <row r="1180" spans="1:26" s="152" customFormat="1" x14ac:dyDescent="0.25">
      <c r="A1180" s="249"/>
      <c r="B1180" s="249"/>
      <c r="C1180" s="249"/>
      <c r="D1180" s="249"/>
      <c r="E1180" s="249"/>
      <c r="F1180" s="249"/>
      <c r="G1180" s="249"/>
      <c r="H1180" s="249"/>
      <c r="I1180" s="258"/>
      <c r="J1180" s="249"/>
      <c r="K1180" s="249"/>
      <c r="L1180" s="249"/>
      <c r="M1180" s="25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</row>
    <row r="1181" spans="1:26" s="152" customFormat="1" x14ac:dyDescent="0.25">
      <c r="A1181" s="249"/>
      <c r="B1181" s="249"/>
      <c r="C1181" s="249"/>
      <c r="D1181" s="249"/>
      <c r="E1181" s="249"/>
      <c r="F1181" s="249"/>
      <c r="G1181" s="249"/>
      <c r="H1181" s="249"/>
      <c r="I1181" s="258"/>
      <c r="J1181" s="249"/>
      <c r="K1181" s="249"/>
      <c r="L1181" s="249"/>
      <c r="M1181" s="25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9"/>
    </row>
    <row r="1182" spans="1:26" s="152" customFormat="1" x14ac:dyDescent="0.25">
      <c r="A1182" s="249"/>
      <c r="B1182" s="249"/>
      <c r="C1182" s="249"/>
      <c r="D1182" s="249"/>
      <c r="E1182" s="249"/>
      <c r="F1182" s="249"/>
      <c r="G1182" s="249"/>
      <c r="H1182" s="249"/>
      <c r="I1182" s="258"/>
      <c r="J1182" s="249"/>
      <c r="K1182" s="249"/>
      <c r="L1182" s="249"/>
      <c r="M1182" s="259"/>
      <c r="N1182" s="249"/>
      <c r="O1182" s="249"/>
      <c r="P1182" s="249"/>
      <c r="Q1182" s="249"/>
      <c r="R1182" s="249"/>
      <c r="S1182" s="249"/>
      <c r="T1182" s="249"/>
      <c r="U1182" s="249"/>
      <c r="V1182" s="249"/>
      <c r="W1182" s="249"/>
      <c r="X1182" s="249"/>
      <c r="Y1182" s="249"/>
      <c r="Z1182" s="249"/>
    </row>
    <row r="1183" spans="1:26" s="152" customFormat="1" x14ac:dyDescent="0.25">
      <c r="A1183" s="249"/>
      <c r="B1183" s="249"/>
      <c r="C1183" s="249"/>
      <c r="D1183" s="249"/>
      <c r="E1183" s="249"/>
      <c r="F1183" s="249"/>
      <c r="G1183" s="249"/>
      <c r="H1183" s="249"/>
      <c r="I1183" s="258"/>
      <c r="J1183" s="249"/>
      <c r="K1183" s="249"/>
      <c r="L1183" s="249"/>
      <c r="M1183" s="25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</row>
    <row r="1184" spans="1:26" s="152" customFormat="1" x14ac:dyDescent="0.25">
      <c r="A1184" s="249"/>
      <c r="B1184" s="249"/>
      <c r="C1184" s="249"/>
      <c r="D1184" s="249"/>
      <c r="E1184" s="249"/>
      <c r="F1184" s="249"/>
      <c r="G1184" s="249"/>
      <c r="H1184" s="249"/>
      <c r="I1184" s="258"/>
      <c r="J1184" s="249"/>
      <c r="K1184" s="249"/>
      <c r="L1184" s="249"/>
      <c r="M1184" s="25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</row>
    <row r="1185" spans="1:26" s="152" customFormat="1" x14ac:dyDescent="0.25">
      <c r="A1185" s="249"/>
      <c r="B1185" s="249"/>
      <c r="C1185" s="249"/>
      <c r="D1185" s="249"/>
      <c r="E1185" s="249"/>
      <c r="F1185" s="249"/>
      <c r="G1185" s="249"/>
      <c r="H1185" s="249"/>
      <c r="I1185" s="258"/>
      <c r="J1185" s="249"/>
      <c r="K1185" s="249"/>
      <c r="L1185" s="249"/>
      <c r="M1185" s="25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</row>
    <row r="1186" spans="1:26" s="152" customFormat="1" x14ac:dyDescent="0.25">
      <c r="A1186" s="249"/>
      <c r="B1186" s="249"/>
      <c r="C1186" s="249"/>
      <c r="D1186" s="249"/>
      <c r="E1186" s="249"/>
      <c r="F1186" s="249"/>
      <c r="G1186" s="249"/>
      <c r="H1186" s="249"/>
      <c r="I1186" s="258"/>
      <c r="J1186" s="249"/>
      <c r="K1186" s="249"/>
      <c r="L1186" s="249"/>
      <c r="M1186" s="25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</row>
    <row r="1187" spans="1:26" s="152" customFormat="1" x14ac:dyDescent="0.25">
      <c r="A1187" s="249"/>
      <c r="B1187" s="249"/>
      <c r="C1187" s="249"/>
      <c r="D1187" s="249"/>
      <c r="E1187" s="249"/>
      <c r="F1187" s="249"/>
      <c r="G1187" s="249"/>
      <c r="H1187" s="249"/>
      <c r="I1187" s="258"/>
      <c r="J1187" s="249"/>
      <c r="K1187" s="249"/>
      <c r="L1187" s="249"/>
      <c r="M1187" s="25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</row>
    <row r="1188" spans="1:26" s="152" customFormat="1" x14ac:dyDescent="0.25">
      <c r="A1188" s="249"/>
      <c r="B1188" s="249"/>
      <c r="C1188" s="249"/>
      <c r="D1188" s="249"/>
      <c r="E1188" s="249"/>
      <c r="F1188" s="249"/>
      <c r="G1188" s="249"/>
      <c r="H1188" s="249"/>
      <c r="I1188" s="258"/>
      <c r="J1188" s="249"/>
      <c r="K1188" s="249"/>
      <c r="L1188" s="249"/>
      <c r="M1188" s="259"/>
      <c r="N1188" s="249"/>
      <c r="O1188" s="249"/>
      <c r="P1188" s="249"/>
      <c r="Q1188" s="249"/>
      <c r="R1188" s="249"/>
      <c r="S1188" s="249"/>
      <c r="T1188" s="249"/>
      <c r="U1188" s="249"/>
      <c r="V1188" s="249"/>
      <c r="W1188" s="249"/>
      <c r="X1188" s="249"/>
      <c r="Y1188" s="249"/>
      <c r="Z1188" s="249"/>
    </row>
    <row r="1189" spans="1:26" s="152" customFormat="1" x14ac:dyDescent="0.25">
      <c r="A1189" s="249"/>
      <c r="B1189" s="249"/>
      <c r="C1189" s="249"/>
      <c r="D1189" s="249"/>
      <c r="E1189" s="249"/>
      <c r="F1189" s="249"/>
      <c r="G1189" s="249"/>
      <c r="H1189" s="249"/>
      <c r="I1189" s="258"/>
      <c r="J1189" s="249"/>
      <c r="K1189" s="249"/>
      <c r="L1189" s="249"/>
      <c r="M1189" s="25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</row>
    <row r="1190" spans="1:26" s="152" customFormat="1" x14ac:dyDescent="0.25">
      <c r="A1190" s="249"/>
      <c r="B1190" s="249"/>
      <c r="C1190" s="249"/>
      <c r="D1190" s="249"/>
      <c r="E1190" s="249"/>
      <c r="F1190" s="249"/>
      <c r="G1190" s="249"/>
      <c r="H1190" s="249"/>
      <c r="I1190" s="258"/>
      <c r="J1190" s="249"/>
      <c r="K1190" s="249"/>
      <c r="L1190" s="249"/>
      <c r="M1190" s="25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</row>
    <row r="1191" spans="1:26" s="152" customFormat="1" x14ac:dyDescent="0.25">
      <c r="A1191" s="249"/>
      <c r="B1191" s="249"/>
      <c r="C1191" s="249"/>
      <c r="D1191" s="249"/>
      <c r="E1191" s="249"/>
      <c r="F1191" s="249"/>
      <c r="G1191" s="249"/>
      <c r="H1191" s="249"/>
      <c r="I1191" s="258"/>
      <c r="J1191" s="249"/>
      <c r="K1191" s="249"/>
      <c r="L1191" s="249"/>
      <c r="M1191" s="25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</row>
    <row r="1192" spans="1:26" s="152" customFormat="1" x14ac:dyDescent="0.25">
      <c r="A1192" s="249"/>
      <c r="B1192" s="249"/>
      <c r="C1192" s="249"/>
      <c r="D1192" s="249"/>
      <c r="E1192" s="249"/>
      <c r="F1192" s="249"/>
      <c r="G1192" s="249"/>
      <c r="H1192" s="249"/>
      <c r="I1192" s="258"/>
      <c r="J1192" s="249"/>
      <c r="K1192" s="249"/>
      <c r="L1192" s="249"/>
      <c r="M1192" s="259"/>
      <c r="N1192" s="249"/>
      <c r="O1192" s="249"/>
      <c r="P1192" s="249"/>
      <c r="Q1192" s="249"/>
      <c r="R1192" s="249"/>
      <c r="S1192" s="249"/>
      <c r="T1192" s="249"/>
      <c r="U1192" s="249"/>
      <c r="V1192" s="249"/>
      <c r="W1192" s="249"/>
      <c r="X1192" s="249"/>
      <c r="Y1192" s="249"/>
      <c r="Z1192" s="249"/>
    </row>
    <row r="1193" spans="1:26" s="152" customFormat="1" x14ac:dyDescent="0.25">
      <c r="A1193" s="249"/>
      <c r="B1193" s="249"/>
      <c r="C1193" s="249"/>
      <c r="D1193" s="249"/>
      <c r="E1193" s="249"/>
      <c r="F1193" s="249"/>
      <c r="G1193" s="249"/>
      <c r="H1193" s="249"/>
      <c r="I1193" s="258"/>
      <c r="J1193" s="249"/>
      <c r="K1193" s="249"/>
      <c r="L1193" s="249"/>
      <c r="M1193" s="25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</row>
    <row r="1194" spans="1:26" s="152" customFormat="1" x14ac:dyDescent="0.25">
      <c r="A1194" s="249"/>
      <c r="B1194" s="249"/>
      <c r="C1194" s="249"/>
      <c r="D1194" s="249"/>
      <c r="E1194" s="249"/>
      <c r="F1194" s="249"/>
      <c r="G1194" s="249"/>
      <c r="H1194" s="249"/>
      <c r="I1194" s="258"/>
      <c r="J1194" s="249"/>
      <c r="K1194" s="249"/>
      <c r="L1194" s="249"/>
      <c r="M1194" s="259"/>
      <c r="N1194" s="249"/>
      <c r="O1194" s="249"/>
      <c r="P1194" s="249"/>
      <c r="Q1194" s="249"/>
      <c r="R1194" s="249"/>
      <c r="S1194" s="249"/>
      <c r="T1194" s="249"/>
      <c r="U1194" s="249"/>
      <c r="V1194" s="249"/>
      <c r="W1194" s="249"/>
      <c r="X1194" s="249"/>
      <c r="Y1194" s="249"/>
      <c r="Z1194" s="249"/>
    </row>
    <row r="1195" spans="1:26" s="152" customFormat="1" x14ac:dyDescent="0.25">
      <c r="A1195" s="249"/>
      <c r="B1195" s="249"/>
      <c r="C1195" s="249"/>
      <c r="D1195" s="249"/>
      <c r="E1195" s="249"/>
      <c r="F1195" s="249"/>
      <c r="G1195" s="249"/>
      <c r="H1195" s="249"/>
      <c r="I1195" s="258"/>
      <c r="J1195" s="249"/>
      <c r="K1195" s="249"/>
      <c r="L1195" s="249"/>
      <c r="M1195" s="259"/>
      <c r="N1195" s="249"/>
      <c r="O1195" s="249"/>
      <c r="P1195" s="249"/>
      <c r="Q1195" s="249"/>
      <c r="R1195" s="249"/>
      <c r="S1195" s="249"/>
      <c r="T1195" s="249"/>
      <c r="U1195" s="249"/>
      <c r="V1195" s="249"/>
      <c r="W1195" s="249"/>
      <c r="X1195" s="249"/>
      <c r="Y1195" s="249"/>
      <c r="Z1195" s="249"/>
    </row>
    <row r="1196" spans="1:26" s="152" customFormat="1" x14ac:dyDescent="0.25">
      <c r="A1196" s="249"/>
      <c r="B1196" s="249"/>
      <c r="C1196" s="249"/>
      <c r="D1196" s="249"/>
      <c r="E1196" s="249"/>
      <c r="F1196" s="249"/>
      <c r="G1196" s="249"/>
      <c r="H1196" s="249"/>
      <c r="I1196" s="258"/>
      <c r="J1196" s="249"/>
      <c r="K1196" s="249"/>
      <c r="L1196" s="249"/>
      <c r="M1196" s="259"/>
      <c r="N1196" s="249"/>
      <c r="O1196" s="249"/>
      <c r="P1196" s="249"/>
      <c r="Q1196" s="249"/>
      <c r="R1196" s="249"/>
      <c r="S1196" s="249"/>
      <c r="T1196" s="249"/>
      <c r="U1196" s="249"/>
      <c r="V1196" s="249"/>
      <c r="W1196" s="249"/>
      <c r="X1196" s="249"/>
      <c r="Y1196" s="249"/>
      <c r="Z1196" s="249"/>
    </row>
    <row r="1197" spans="1:26" s="152" customFormat="1" x14ac:dyDescent="0.25">
      <c r="A1197" s="249"/>
      <c r="B1197" s="249"/>
      <c r="C1197" s="249"/>
      <c r="D1197" s="249"/>
      <c r="E1197" s="249"/>
      <c r="F1197" s="249"/>
      <c r="G1197" s="249"/>
      <c r="H1197" s="249"/>
      <c r="I1197" s="258"/>
      <c r="J1197" s="249"/>
      <c r="K1197" s="249"/>
      <c r="L1197" s="249"/>
      <c r="M1197" s="259"/>
      <c r="N1197" s="249"/>
      <c r="O1197" s="249"/>
      <c r="P1197" s="249"/>
      <c r="Q1197" s="249"/>
      <c r="R1197" s="249"/>
      <c r="S1197" s="249"/>
      <c r="T1197" s="249"/>
      <c r="U1197" s="249"/>
      <c r="V1197" s="249"/>
      <c r="W1197" s="249"/>
      <c r="X1197" s="249"/>
      <c r="Y1197" s="249"/>
      <c r="Z1197" s="249"/>
    </row>
    <row r="1198" spans="1:26" s="152" customFormat="1" x14ac:dyDescent="0.25">
      <c r="A1198" s="249"/>
      <c r="B1198" s="249"/>
      <c r="C1198" s="249"/>
      <c r="D1198" s="249"/>
      <c r="E1198" s="249"/>
      <c r="F1198" s="249"/>
      <c r="G1198" s="249"/>
      <c r="H1198" s="249"/>
      <c r="I1198" s="258"/>
      <c r="J1198" s="249"/>
      <c r="K1198" s="249"/>
      <c r="L1198" s="249"/>
      <c r="M1198" s="259"/>
      <c r="N1198" s="249"/>
      <c r="O1198" s="249"/>
      <c r="P1198" s="249"/>
      <c r="Q1198" s="249"/>
      <c r="R1198" s="249"/>
      <c r="S1198" s="249"/>
      <c r="T1198" s="249"/>
      <c r="U1198" s="249"/>
      <c r="V1198" s="249"/>
      <c r="W1198" s="249"/>
      <c r="X1198" s="249"/>
      <c r="Y1198" s="249"/>
      <c r="Z1198" s="249"/>
    </row>
    <row r="1199" spans="1:26" s="152" customFormat="1" x14ac:dyDescent="0.25">
      <c r="A1199" s="249"/>
      <c r="B1199" s="249"/>
      <c r="C1199" s="249"/>
      <c r="D1199" s="249"/>
      <c r="E1199" s="249"/>
      <c r="F1199" s="249"/>
      <c r="G1199" s="249"/>
      <c r="H1199" s="249"/>
      <c r="I1199" s="258"/>
      <c r="J1199" s="249"/>
      <c r="K1199" s="249"/>
      <c r="L1199" s="249"/>
      <c r="M1199" s="259"/>
      <c r="N1199" s="249"/>
      <c r="O1199" s="249"/>
      <c r="P1199" s="249"/>
      <c r="Q1199" s="249"/>
      <c r="R1199" s="249"/>
      <c r="S1199" s="249"/>
      <c r="T1199" s="249"/>
      <c r="U1199" s="249"/>
      <c r="V1199" s="249"/>
      <c r="W1199" s="249"/>
      <c r="X1199" s="249"/>
      <c r="Y1199" s="249"/>
      <c r="Z1199" s="249"/>
    </row>
    <row r="1200" spans="1:26" s="152" customFormat="1" x14ac:dyDescent="0.25">
      <c r="A1200" s="249"/>
      <c r="B1200" s="249"/>
      <c r="C1200" s="249"/>
      <c r="D1200" s="249"/>
      <c r="E1200" s="249"/>
      <c r="F1200" s="249"/>
      <c r="G1200" s="249"/>
      <c r="H1200" s="249"/>
      <c r="I1200" s="258"/>
      <c r="J1200" s="249"/>
      <c r="K1200" s="249"/>
      <c r="L1200" s="249"/>
      <c r="M1200" s="259"/>
      <c r="N1200" s="249"/>
      <c r="O1200" s="249"/>
      <c r="P1200" s="249"/>
      <c r="Q1200" s="249"/>
      <c r="R1200" s="249"/>
      <c r="S1200" s="249"/>
      <c r="T1200" s="249"/>
      <c r="U1200" s="249"/>
      <c r="V1200" s="249"/>
      <c r="W1200" s="249"/>
      <c r="X1200" s="249"/>
      <c r="Y1200" s="249"/>
      <c r="Z1200" s="249"/>
    </row>
    <row r="1201" spans="1:26" s="152" customFormat="1" x14ac:dyDescent="0.25">
      <c r="A1201" s="249"/>
      <c r="B1201" s="249"/>
      <c r="C1201" s="249"/>
      <c r="D1201" s="249"/>
      <c r="E1201" s="249"/>
      <c r="F1201" s="249"/>
      <c r="G1201" s="249"/>
      <c r="H1201" s="249"/>
      <c r="I1201" s="258"/>
      <c r="J1201" s="249"/>
      <c r="K1201" s="249"/>
      <c r="L1201" s="249"/>
      <c r="M1201" s="259"/>
      <c r="N1201" s="249"/>
      <c r="O1201" s="249"/>
      <c r="P1201" s="249"/>
      <c r="Q1201" s="249"/>
      <c r="R1201" s="249"/>
      <c r="S1201" s="249"/>
      <c r="T1201" s="249"/>
      <c r="U1201" s="249"/>
      <c r="V1201" s="249"/>
      <c r="W1201" s="249"/>
      <c r="X1201" s="249"/>
      <c r="Y1201" s="249"/>
      <c r="Z1201" s="249"/>
    </row>
    <row r="1202" spans="1:26" s="152" customFormat="1" x14ac:dyDescent="0.25">
      <c r="A1202" s="249"/>
      <c r="B1202" s="249"/>
      <c r="C1202" s="249"/>
      <c r="D1202" s="249"/>
      <c r="E1202" s="249"/>
      <c r="F1202" s="249"/>
      <c r="G1202" s="249"/>
      <c r="H1202" s="249"/>
      <c r="I1202" s="258"/>
      <c r="J1202" s="249"/>
      <c r="K1202" s="249"/>
      <c r="L1202" s="249"/>
      <c r="M1202" s="259"/>
      <c r="N1202" s="249"/>
      <c r="O1202" s="249"/>
      <c r="P1202" s="249"/>
      <c r="Q1202" s="249"/>
      <c r="R1202" s="249"/>
      <c r="S1202" s="249"/>
      <c r="T1202" s="249"/>
      <c r="U1202" s="249"/>
      <c r="V1202" s="249"/>
      <c r="W1202" s="249"/>
      <c r="X1202" s="249"/>
      <c r="Y1202" s="249"/>
      <c r="Z1202" s="249"/>
    </row>
    <row r="1203" spans="1:26" s="152" customFormat="1" x14ac:dyDescent="0.25">
      <c r="A1203" s="249"/>
      <c r="B1203" s="249"/>
      <c r="C1203" s="249"/>
      <c r="D1203" s="249"/>
      <c r="E1203" s="249"/>
      <c r="F1203" s="249"/>
      <c r="G1203" s="249"/>
      <c r="H1203" s="249"/>
      <c r="I1203" s="258"/>
      <c r="J1203" s="249"/>
      <c r="K1203" s="249"/>
      <c r="L1203" s="249"/>
      <c r="M1203" s="259"/>
      <c r="N1203" s="249"/>
      <c r="O1203" s="249"/>
      <c r="P1203" s="249"/>
      <c r="Q1203" s="249"/>
      <c r="R1203" s="249"/>
      <c r="S1203" s="249"/>
      <c r="T1203" s="249"/>
      <c r="U1203" s="249"/>
      <c r="V1203" s="249"/>
      <c r="W1203" s="249"/>
      <c r="X1203" s="249"/>
      <c r="Y1203" s="249"/>
      <c r="Z1203" s="249"/>
    </row>
    <row r="1204" spans="1:26" s="152" customFormat="1" x14ac:dyDescent="0.25">
      <c r="A1204" s="249"/>
      <c r="B1204" s="249"/>
      <c r="C1204" s="249"/>
      <c r="D1204" s="249"/>
      <c r="E1204" s="249"/>
      <c r="F1204" s="249"/>
      <c r="G1204" s="249"/>
      <c r="H1204" s="249"/>
      <c r="I1204" s="258"/>
      <c r="J1204" s="249"/>
      <c r="K1204" s="249"/>
      <c r="L1204" s="249"/>
      <c r="M1204" s="259"/>
      <c r="N1204" s="249"/>
      <c r="O1204" s="249"/>
      <c r="P1204" s="249"/>
      <c r="Q1204" s="249"/>
      <c r="R1204" s="249"/>
      <c r="S1204" s="249"/>
      <c r="T1204" s="249"/>
      <c r="U1204" s="249"/>
      <c r="V1204" s="249"/>
      <c r="W1204" s="249"/>
      <c r="X1204" s="249"/>
      <c r="Y1204" s="249"/>
      <c r="Z1204" s="249"/>
    </row>
    <row r="1205" spans="1:26" s="152" customFormat="1" x14ac:dyDescent="0.25">
      <c r="A1205" s="249"/>
      <c r="B1205" s="249"/>
      <c r="C1205" s="249"/>
      <c r="D1205" s="249"/>
      <c r="E1205" s="249"/>
      <c r="F1205" s="249"/>
      <c r="G1205" s="249"/>
      <c r="H1205" s="249"/>
      <c r="I1205" s="258"/>
      <c r="J1205" s="249"/>
      <c r="K1205" s="249"/>
      <c r="L1205" s="249"/>
      <c r="M1205" s="259"/>
      <c r="N1205" s="249"/>
      <c r="O1205" s="249"/>
      <c r="P1205" s="249"/>
      <c r="Q1205" s="249"/>
      <c r="R1205" s="249"/>
      <c r="S1205" s="249"/>
      <c r="T1205" s="249"/>
      <c r="U1205" s="249"/>
      <c r="V1205" s="249"/>
      <c r="W1205" s="249"/>
      <c r="X1205" s="249"/>
      <c r="Y1205" s="249"/>
      <c r="Z1205" s="249"/>
    </row>
    <row r="1206" spans="1:26" s="152" customFormat="1" x14ac:dyDescent="0.25">
      <c r="A1206" s="249"/>
      <c r="B1206" s="249"/>
      <c r="C1206" s="249"/>
      <c r="D1206" s="249"/>
      <c r="E1206" s="249"/>
      <c r="F1206" s="249"/>
      <c r="G1206" s="249"/>
      <c r="H1206" s="249"/>
      <c r="I1206" s="258"/>
      <c r="J1206" s="249"/>
      <c r="K1206" s="249"/>
      <c r="L1206" s="249"/>
      <c r="M1206" s="259"/>
      <c r="N1206" s="249"/>
      <c r="O1206" s="249"/>
      <c r="P1206" s="249"/>
      <c r="Q1206" s="249"/>
      <c r="R1206" s="249"/>
      <c r="S1206" s="249"/>
      <c r="T1206" s="249"/>
      <c r="U1206" s="249"/>
      <c r="V1206" s="249"/>
      <c r="W1206" s="249"/>
      <c r="X1206" s="249"/>
      <c r="Y1206" s="249"/>
      <c r="Z1206" s="249"/>
    </row>
    <row r="1207" spans="1:26" s="152" customFormat="1" x14ac:dyDescent="0.25">
      <c r="A1207" s="249"/>
      <c r="B1207" s="249"/>
      <c r="C1207" s="249"/>
      <c r="D1207" s="249"/>
      <c r="E1207" s="249"/>
      <c r="F1207" s="249"/>
      <c r="G1207" s="249"/>
      <c r="H1207" s="249"/>
      <c r="I1207" s="258"/>
      <c r="J1207" s="249"/>
      <c r="K1207" s="249"/>
      <c r="L1207" s="249"/>
      <c r="M1207" s="259"/>
      <c r="N1207" s="249"/>
      <c r="O1207" s="249"/>
      <c r="P1207" s="249"/>
      <c r="Q1207" s="249"/>
      <c r="R1207" s="249"/>
      <c r="S1207" s="249"/>
      <c r="T1207" s="249"/>
      <c r="U1207" s="249"/>
      <c r="V1207" s="249"/>
      <c r="W1207" s="249"/>
      <c r="X1207" s="249"/>
      <c r="Y1207" s="249"/>
      <c r="Z1207" s="249"/>
    </row>
    <row r="1208" spans="1:26" s="152" customFormat="1" x14ac:dyDescent="0.25">
      <c r="A1208" s="249"/>
      <c r="B1208" s="249"/>
      <c r="C1208" s="249"/>
      <c r="D1208" s="249"/>
      <c r="E1208" s="249"/>
      <c r="F1208" s="249"/>
      <c r="G1208" s="249"/>
      <c r="H1208" s="249"/>
      <c r="I1208" s="258"/>
      <c r="J1208" s="249"/>
      <c r="K1208" s="249"/>
      <c r="L1208" s="249"/>
      <c r="M1208" s="259"/>
      <c r="N1208" s="249"/>
      <c r="O1208" s="249"/>
      <c r="P1208" s="249"/>
      <c r="Q1208" s="249"/>
      <c r="R1208" s="249"/>
      <c r="S1208" s="249"/>
      <c r="T1208" s="249"/>
      <c r="U1208" s="249"/>
      <c r="V1208" s="249"/>
      <c r="W1208" s="249"/>
      <c r="X1208" s="249"/>
      <c r="Y1208" s="249"/>
      <c r="Z1208" s="249"/>
    </row>
    <row r="1209" spans="1:26" s="152" customFormat="1" x14ac:dyDescent="0.25">
      <c r="A1209" s="249"/>
      <c r="B1209" s="249"/>
      <c r="C1209" s="249"/>
      <c r="D1209" s="249"/>
      <c r="E1209" s="249"/>
      <c r="F1209" s="249"/>
      <c r="G1209" s="249"/>
      <c r="H1209" s="249"/>
      <c r="I1209" s="258"/>
      <c r="J1209" s="249"/>
      <c r="K1209" s="249"/>
      <c r="L1209" s="249"/>
      <c r="M1209" s="259"/>
      <c r="N1209" s="249"/>
      <c r="O1209" s="249"/>
      <c r="P1209" s="249"/>
      <c r="Q1209" s="249"/>
      <c r="R1209" s="249"/>
      <c r="S1209" s="249"/>
      <c r="T1209" s="249"/>
      <c r="U1209" s="249"/>
      <c r="V1209" s="249"/>
      <c r="W1209" s="249"/>
      <c r="X1209" s="249"/>
      <c r="Y1209" s="249"/>
      <c r="Z1209" s="249"/>
    </row>
    <row r="1210" spans="1:26" s="152" customFormat="1" x14ac:dyDescent="0.25">
      <c r="A1210" s="249"/>
      <c r="B1210" s="249"/>
      <c r="C1210" s="249"/>
      <c r="D1210" s="249"/>
      <c r="E1210" s="249"/>
      <c r="F1210" s="249"/>
      <c r="G1210" s="249"/>
      <c r="H1210" s="249"/>
      <c r="I1210" s="258"/>
      <c r="J1210" s="249"/>
      <c r="K1210" s="249"/>
      <c r="L1210" s="249"/>
      <c r="M1210" s="259"/>
      <c r="N1210" s="249"/>
      <c r="O1210" s="249"/>
      <c r="P1210" s="249"/>
      <c r="Q1210" s="249"/>
      <c r="R1210" s="249"/>
      <c r="S1210" s="249"/>
      <c r="T1210" s="249"/>
      <c r="U1210" s="249"/>
      <c r="V1210" s="249"/>
      <c r="W1210" s="249"/>
      <c r="X1210" s="249"/>
      <c r="Y1210" s="249"/>
      <c r="Z1210" s="249"/>
    </row>
    <row r="1211" spans="1:26" s="152" customFormat="1" x14ac:dyDescent="0.25">
      <c r="A1211" s="249"/>
      <c r="B1211" s="249"/>
      <c r="C1211" s="249"/>
      <c r="D1211" s="249"/>
      <c r="E1211" s="249"/>
      <c r="F1211" s="249"/>
      <c r="G1211" s="249"/>
      <c r="H1211" s="249"/>
      <c r="I1211" s="258"/>
      <c r="J1211" s="249"/>
      <c r="K1211" s="249"/>
      <c r="L1211" s="249"/>
      <c r="M1211" s="259"/>
      <c r="N1211" s="249"/>
      <c r="O1211" s="249"/>
      <c r="P1211" s="249"/>
      <c r="Q1211" s="249"/>
      <c r="R1211" s="249"/>
      <c r="S1211" s="249"/>
      <c r="T1211" s="249"/>
      <c r="U1211" s="249"/>
      <c r="V1211" s="249"/>
      <c r="W1211" s="249"/>
      <c r="X1211" s="249"/>
      <c r="Y1211" s="249"/>
      <c r="Z1211" s="249"/>
    </row>
    <row r="1212" spans="1:26" s="152" customFormat="1" x14ac:dyDescent="0.25">
      <c r="A1212" s="249"/>
      <c r="B1212" s="249"/>
      <c r="C1212" s="249"/>
      <c r="D1212" s="249"/>
      <c r="E1212" s="249"/>
      <c r="F1212" s="249"/>
      <c r="G1212" s="249"/>
      <c r="H1212" s="249"/>
      <c r="I1212" s="258"/>
      <c r="J1212" s="249"/>
      <c r="K1212" s="249"/>
      <c r="L1212" s="249"/>
      <c r="M1212" s="259"/>
      <c r="N1212" s="249"/>
      <c r="O1212" s="249"/>
      <c r="P1212" s="249"/>
      <c r="Q1212" s="249"/>
      <c r="R1212" s="249"/>
      <c r="S1212" s="249"/>
      <c r="T1212" s="249"/>
      <c r="U1212" s="249"/>
      <c r="V1212" s="249"/>
      <c r="W1212" s="249"/>
      <c r="X1212" s="249"/>
      <c r="Y1212" s="249"/>
      <c r="Z1212" s="249"/>
    </row>
    <row r="1213" spans="1:26" s="152" customFormat="1" x14ac:dyDescent="0.25">
      <c r="A1213" s="249"/>
      <c r="B1213" s="249"/>
      <c r="C1213" s="249"/>
      <c r="D1213" s="249"/>
      <c r="E1213" s="249"/>
      <c r="F1213" s="249"/>
      <c r="G1213" s="249"/>
      <c r="H1213" s="249"/>
      <c r="I1213" s="258"/>
      <c r="J1213" s="249"/>
      <c r="K1213" s="249"/>
      <c r="L1213" s="249"/>
      <c r="M1213" s="25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</row>
    <row r="1214" spans="1:26" s="152" customFormat="1" x14ac:dyDescent="0.25">
      <c r="A1214" s="249"/>
      <c r="B1214" s="249"/>
      <c r="C1214" s="249"/>
      <c r="D1214" s="249"/>
      <c r="E1214" s="249"/>
      <c r="F1214" s="249"/>
      <c r="G1214" s="249"/>
      <c r="H1214" s="249"/>
      <c r="I1214" s="258"/>
      <c r="J1214" s="249"/>
      <c r="K1214" s="249"/>
      <c r="L1214" s="249"/>
      <c r="M1214" s="25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9"/>
    </row>
    <row r="1215" spans="1:26" s="152" customFormat="1" x14ac:dyDescent="0.25">
      <c r="A1215" s="249"/>
      <c r="B1215" s="249"/>
      <c r="C1215" s="249"/>
      <c r="D1215" s="249"/>
      <c r="E1215" s="249"/>
      <c r="F1215" s="249"/>
      <c r="G1215" s="249"/>
      <c r="H1215" s="249"/>
      <c r="I1215" s="258"/>
      <c r="J1215" s="249"/>
      <c r="K1215" s="249"/>
      <c r="L1215" s="249"/>
      <c r="M1215" s="259"/>
      <c r="N1215" s="249"/>
      <c r="O1215" s="249"/>
      <c r="P1215" s="249"/>
      <c r="Q1215" s="249"/>
      <c r="R1215" s="249"/>
      <c r="S1215" s="249"/>
      <c r="T1215" s="249"/>
      <c r="U1215" s="249"/>
      <c r="V1215" s="249"/>
      <c r="W1215" s="249"/>
      <c r="X1215" s="249"/>
      <c r="Y1215" s="249"/>
      <c r="Z1215" s="249"/>
    </row>
    <row r="1216" spans="1:26" s="152" customFormat="1" x14ac:dyDescent="0.25">
      <c r="A1216" s="249"/>
      <c r="B1216" s="249"/>
      <c r="C1216" s="249"/>
      <c r="D1216" s="249"/>
      <c r="E1216" s="249"/>
      <c r="F1216" s="249"/>
      <c r="G1216" s="249"/>
      <c r="H1216" s="249"/>
      <c r="I1216" s="258"/>
      <c r="J1216" s="249"/>
      <c r="K1216" s="249"/>
      <c r="L1216" s="249"/>
      <c r="M1216" s="25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</row>
    <row r="1217" spans="1:26" s="152" customFormat="1" x14ac:dyDescent="0.25">
      <c r="A1217" s="249"/>
      <c r="B1217" s="249"/>
      <c r="C1217" s="249"/>
      <c r="D1217" s="249"/>
      <c r="E1217" s="249"/>
      <c r="F1217" s="249"/>
      <c r="G1217" s="249"/>
      <c r="H1217" s="249"/>
      <c r="I1217" s="258"/>
      <c r="J1217" s="249"/>
      <c r="K1217" s="249"/>
      <c r="L1217" s="249"/>
      <c r="M1217" s="25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</row>
    <row r="1218" spans="1:26" s="152" customFormat="1" x14ac:dyDescent="0.25">
      <c r="A1218" s="249"/>
      <c r="B1218" s="249"/>
      <c r="C1218" s="249"/>
      <c r="D1218" s="249"/>
      <c r="E1218" s="249"/>
      <c r="F1218" s="249"/>
      <c r="G1218" s="249"/>
      <c r="H1218" s="249"/>
      <c r="I1218" s="258"/>
      <c r="J1218" s="249"/>
      <c r="K1218" s="249"/>
      <c r="L1218" s="249"/>
      <c r="M1218" s="25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</row>
    <row r="1219" spans="1:26" s="152" customFormat="1" x14ac:dyDescent="0.25">
      <c r="A1219" s="249"/>
      <c r="B1219" s="249"/>
      <c r="C1219" s="249"/>
      <c r="D1219" s="249"/>
      <c r="E1219" s="249"/>
      <c r="F1219" s="249"/>
      <c r="G1219" s="249"/>
      <c r="H1219" s="249"/>
      <c r="I1219" s="258"/>
      <c r="J1219" s="249"/>
      <c r="K1219" s="249"/>
      <c r="L1219" s="249"/>
      <c r="M1219" s="25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</row>
    <row r="1220" spans="1:26" s="152" customFormat="1" x14ac:dyDescent="0.25">
      <c r="A1220" s="249"/>
      <c r="B1220" s="249"/>
      <c r="C1220" s="249"/>
      <c r="D1220" s="249"/>
      <c r="E1220" s="249"/>
      <c r="F1220" s="249"/>
      <c r="G1220" s="249"/>
      <c r="H1220" s="249"/>
      <c r="I1220" s="258"/>
      <c r="J1220" s="249"/>
      <c r="K1220" s="249"/>
      <c r="L1220" s="249"/>
      <c r="M1220" s="25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</row>
    <row r="1221" spans="1:26" s="152" customFormat="1" x14ac:dyDescent="0.25">
      <c r="A1221" s="249"/>
      <c r="B1221" s="249"/>
      <c r="C1221" s="249"/>
      <c r="D1221" s="249"/>
      <c r="E1221" s="249"/>
      <c r="F1221" s="249"/>
      <c r="G1221" s="249"/>
      <c r="H1221" s="249"/>
      <c r="I1221" s="258"/>
      <c r="J1221" s="249"/>
      <c r="K1221" s="249"/>
      <c r="L1221" s="249"/>
      <c r="M1221" s="259"/>
      <c r="N1221" s="249"/>
      <c r="O1221" s="249"/>
      <c r="P1221" s="249"/>
      <c r="Q1221" s="249"/>
      <c r="R1221" s="249"/>
      <c r="S1221" s="249"/>
      <c r="T1221" s="249"/>
      <c r="U1221" s="249"/>
      <c r="V1221" s="249"/>
      <c r="W1221" s="249"/>
      <c r="X1221" s="249"/>
      <c r="Y1221" s="249"/>
      <c r="Z1221" s="249"/>
    </row>
    <row r="1222" spans="1:26" s="152" customFormat="1" x14ac:dyDescent="0.25">
      <c r="A1222" s="249"/>
      <c r="B1222" s="249"/>
      <c r="C1222" s="249"/>
      <c r="D1222" s="249"/>
      <c r="E1222" s="249"/>
      <c r="F1222" s="249"/>
      <c r="G1222" s="249"/>
      <c r="H1222" s="249"/>
      <c r="I1222" s="258"/>
      <c r="J1222" s="249"/>
      <c r="K1222" s="249"/>
      <c r="L1222" s="249"/>
      <c r="M1222" s="25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</row>
    <row r="1223" spans="1:26" s="152" customFormat="1" x14ac:dyDescent="0.25">
      <c r="A1223" s="249"/>
      <c r="B1223" s="249"/>
      <c r="C1223" s="249"/>
      <c r="D1223" s="249"/>
      <c r="E1223" s="249"/>
      <c r="F1223" s="249"/>
      <c r="G1223" s="249"/>
      <c r="H1223" s="249"/>
      <c r="I1223" s="258"/>
      <c r="J1223" s="249"/>
      <c r="K1223" s="249"/>
      <c r="L1223" s="249"/>
      <c r="M1223" s="25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</row>
    <row r="1224" spans="1:26" s="152" customFormat="1" x14ac:dyDescent="0.25">
      <c r="A1224" s="249"/>
      <c r="B1224" s="249"/>
      <c r="C1224" s="249"/>
      <c r="D1224" s="249"/>
      <c r="E1224" s="249"/>
      <c r="F1224" s="249"/>
      <c r="G1224" s="249"/>
      <c r="H1224" s="249"/>
      <c r="I1224" s="258"/>
      <c r="J1224" s="249"/>
      <c r="K1224" s="249"/>
      <c r="L1224" s="249"/>
      <c r="M1224" s="259"/>
      <c r="N1224" s="249"/>
      <c r="O1224" s="249"/>
      <c r="P1224" s="249"/>
      <c r="Q1224" s="249"/>
      <c r="R1224" s="249"/>
      <c r="S1224" s="249"/>
      <c r="T1224" s="249"/>
      <c r="U1224" s="249"/>
      <c r="V1224" s="249"/>
      <c r="W1224" s="249"/>
      <c r="X1224" s="249"/>
      <c r="Y1224" s="249"/>
      <c r="Z1224" s="249"/>
    </row>
    <row r="1225" spans="1:26" s="152" customFormat="1" x14ac:dyDescent="0.25">
      <c r="A1225" s="249"/>
      <c r="B1225" s="249"/>
      <c r="C1225" s="249"/>
      <c r="D1225" s="249"/>
      <c r="E1225" s="249"/>
      <c r="F1225" s="249"/>
      <c r="G1225" s="249"/>
      <c r="H1225" s="249"/>
      <c r="I1225" s="258"/>
      <c r="J1225" s="249"/>
      <c r="K1225" s="249"/>
      <c r="L1225" s="249"/>
      <c r="M1225" s="259"/>
      <c r="N1225" s="249"/>
      <c r="O1225" s="249"/>
      <c r="P1225" s="249"/>
      <c r="Q1225" s="249"/>
      <c r="R1225" s="249"/>
      <c r="S1225" s="249"/>
      <c r="T1225" s="249"/>
      <c r="U1225" s="249"/>
      <c r="V1225" s="249"/>
      <c r="W1225" s="249"/>
      <c r="X1225" s="249"/>
      <c r="Y1225" s="249"/>
      <c r="Z1225" s="249"/>
    </row>
    <row r="1226" spans="1:26" s="152" customFormat="1" x14ac:dyDescent="0.25">
      <c r="A1226" s="249"/>
      <c r="B1226" s="249"/>
      <c r="C1226" s="249"/>
      <c r="D1226" s="249"/>
      <c r="E1226" s="249"/>
      <c r="F1226" s="249"/>
      <c r="G1226" s="249"/>
      <c r="H1226" s="249"/>
      <c r="I1226" s="258"/>
      <c r="J1226" s="249"/>
      <c r="K1226" s="249"/>
      <c r="L1226" s="249"/>
      <c r="M1226" s="259"/>
      <c r="N1226" s="249"/>
      <c r="O1226" s="249"/>
      <c r="P1226" s="249"/>
      <c r="Q1226" s="249"/>
      <c r="R1226" s="249"/>
      <c r="S1226" s="249"/>
      <c r="T1226" s="249"/>
      <c r="U1226" s="249"/>
      <c r="V1226" s="249"/>
      <c r="W1226" s="249"/>
      <c r="X1226" s="249"/>
      <c r="Y1226" s="249"/>
      <c r="Z1226" s="249"/>
    </row>
    <row r="1227" spans="1:26" s="152" customFormat="1" x14ac:dyDescent="0.25">
      <c r="A1227" s="249"/>
      <c r="B1227" s="249"/>
      <c r="C1227" s="249"/>
      <c r="D1227" s="249"/>
      <c r="E1227" s="249"/>
      <c r="F1227" s="249"/>
      <c r="G1227" s="249"/>
      <c r="H1227" s="249"/>
      <c r="I1227" s="258"/>
      <c r="J1227" s="249"/>
      <c r="K1227" s="249"/>
      <c r="L1227" s="249"/>
      <c r="M1227" s="259"/>
      <c r="N1227" s="249"/>
      <c r="O1227" s="249"/>
      <c r="P1227" s="249"/>
      <c r="Q1227" s="249"/>
      <c r="R1227" s="249"/>
      <c r="S1227" s="249"/>
      <c r="T1227" s="249"/>
      <c r="U1227" s="249"/>
      <c r="V1227" s="249"/>
      <c r="W1227" s="249"/>
      <c r="X1227" s="249"/>
      <c r="Y1227" s="249"/>
      <c r="Z1227" s="249"/>
    </row>
    <row r="1228" spans="1:26" s="152" customFormat="1" x14ac:dyDescent="0.25">
      <c r="A1228" s="249"/>
      <c r="B1228" s="249"/>
      <c r="C1228" s="249"/>
      <c r="D1228" s="249"/>
      <c r="E1228" s="249"/>
      <c r="F1228" s="249"/>
      <c r="G1228" s="249"/>
      <c r="H1228" s="249"/>
      <c r="I1228" s="258"/>
      <c r="J1228" s="249"/>
      <c r="K1228" s="249"/>
      <c r="L1228" s="249"/>
      <c r="M1228" s="259"/>
      <c r="N1228" s="249"/>
      <c r="O1228" s="249"/>
      <c r="P1228" s="249"/>
      <c r="Q1228" s="249"/>
      <c r="R1228" s="249"/>
      <c r="S1228" s="249"/>
      <c r="T1228" s="249"/>
      <c r="U1228" s="249"/>
      <c r="V1228" s="249"/>
      <c r="W1228" s="249"/>
      <c r="X1228" s="249"/>
      <c r="Y1228" s="249"/>
      <c r="Z1228" s="249"/>
    </row>
    <row r="1229" spans="1:26" s="152" customFormat="1" x14ac:dyDescent="0.25">
      <c r="A1229" s="249"/>
      <c r="B1229" s="249"/>
      <c r="C1229" s="249"/>
      <c r="D1229" s="249"/>
      <c r="E1229" s="249"/>
      <c r="F1229" s="249"/>
      <c r="G1229" s="249"/>
      <c r="H1229" s="249"/>
      <c r="I1229" s="258"/>
      <c r="J1229" s="249"/>
      <c r="K1229" s="249"/>
      <c r="L1229" s="249"/>
      <c r="M1229" s="259"/>
      <c r="N1229" s="249"/>
      <c r="O1229" s="249"/>
      <c r="P1229" s="249"/>
      <c r="Q1229" s="249"/>
      <c r="R1229" s="249"/>
      <c r="S1229" s="249"/>
      <c r="T1229" s="249"/>
      <c r="U1229" s="249"/>
      <c r="V1229" s="249"/>
      <c r="W1229" s="249"/>
      <c r="X1229" s="249"/>
      <c r="Y1229" s="249"/>
      <c r="Z1229" s="249"/>
    </row>
    <row r="1230" spans="1:26" s="152" customFormat="1" x14ac:dyDescent="0.25">
      <c r="A1230" s="249"/>
      <c r="B1230" s="249"/>
      <c r="C1230" s="249"/>
      <c r="D1230" s="249"/>
      <c r="E1230" s="249"/>
      <c r="F1230" s="249"/>
      <c r="G1230" s="249"/>
      <c r="H1230" s="249"/>
      <c r="I1230" s="258"/>
      <c r="J1230" s="249"/>
      <c r="K1230" s="249"/>
      <c r="L1230" s="249"/>
      <c r="M1230" s="259"/>
      <c r="N1230" s="249"/>
      <c r="O1230" s="249"/>
      <c r="P1230" s="249"/>
      <c r="Q1230" s="249"/>
      <c r="R1230" s="249"/>
      <c r="S1230" s="249"/>
      <c r="T1230" s="249"/>
      <c r="U1230" s="249"/>
      <c r="V1230" s="249"/>
      <c r="W1230" s="249"/>
      <c r="X1230" s="249"/>
      <c r="Y1230" s="249"/>
      <c r="Z1230" s="249"/>
    </row>
    <row r="1231" spans="1:26" s="152" customFormat="1" x14ac:dyDescent="0.25">
      <c r="A1231" s="249"/>
      <c r="B1231" s="249"/>
      <c r="C1231" s="249"/>
      <c r="D1231" s="249"/>
      <c r="E1231" s="249"/>
      <c r="F1231" s="249"/>
      <c r="G1231" s="249"/>
      <c r="H1231" s="249"/>
      <c r="I1231" s="258"/>
      <c r="J1231" s="249"/>
      <c r="K1231" s="249"/>
      <c r="L1231" s="249"/>
      <c r="M1231" s="259"/>
      <c r="N1231" s="249"/>
      <c r="O1231" s="249"/>
      <c r="P1231" s="249"/>
      <c r="Q1231" s="249"/>
      <c r="R1231" s="249"/>
      <c r="S1231" s="249"/>
      <c r="T1231" s="249"/>
      <c r="U1231" s="249"/>
      <c r="V1231" s="249"/>
      <c r="W1231" s="249"/>
      <c r="X1231" s="249"/>
      <c r="Y1231" s="249"/>
      <c r="Z1231" s="249"/>
    </row>
    <row r="1232" spans="1:26" s="152" customFormat="1" x14ac:dyDescent="0.25">
      <c r="A1232" s="249"/>
      <c r="B1232" s="249"/>
      <c r="C1232" s="249"/>
      <c r="D1232" s="249"/>
      <c r="E1232" s="249"/>
      <c r="F1232" s="249"/>
      <c r="G1232" s="249"/>
      <c r="H1232" s="249"/>
      <c r="I1232" s="258"/>
      <c r="J1232" s="249"/>
      <c r="K1232" s="249"/>
      <c r="L1232" s="249"/>
      <c r="M1232" s="259"/>
      <c r="N1232" s="249"/>
      <c r="O1232" s="249"/>
      <c r="P1232" s="249"/>
      <c r="Q1232" s="249"/>
      <c r="R1232" s="249"/>
      <c r="S1232" s="249"/>
      <c r="T1232" s="249"/>
      <c r="U1232" s="249"/>
      <c r="V1232" s="249"/>
      <c r="W1232" s="249"/>
      <c r="X1232" s="249"/>
      <c r="Y1232" s="249"/>
      <c r="Z1232" s="249"/>
    </row>
    <row r="1233" spans="1:26" s="152" customFormat="1" x14ac:dyDescent="0.25">
      <c r="A1233" s="249"/>
      <c r="B1233" s="249"/>
      <c r="C1233" s="249"/>
      <c r="D1233" s="249"/>
      <c r="E1233" s="249"/>
      <c r="F1233" s="249"/>
      <c r="G1233" s="249"/>
      <c r="H1233" s="249"/>
      <c r="I1233" s="258"/>
      <c r="J1233" s="249"/>
      <c r="K1233" s="249"/>
      <c r="L1233" s="249"/>
      <c r="M1233" s="259"/>
      <c r="N1233" s="249"/>
      <c r="O1233" s="249"/>
      <c r="P1233" s="249"/>
      <c r="Q1233" s="249"/>
      <c r="R1233" s="249"/>
      <c r="S1233" s="249"/>
      <c r="T1233" s="249"/>
      <c r="U1233" s="249"/>
      <c r="V1233" s="249"/>
      <c r="W1233" s="249"/>
      <c r="X1233" s="249"/>
      <c r="Y1233" s="249"/>
      <c r="Z1233" s="249"/>
    </row>
    <row r="1234" spans="1:26" s="152" customFormat="1" x14ac:dyDescent="0.25">
      <c r="A1234" s="249"/>
      <c r="B1234" s="249"/>
      <c r="C1234" s="249"/>
      <c r="D1234" s="249"/>
      <c r="E1234" s="249"/>
      <c r="F1234" s="249"/>
      <c r="G1234" s="249"/>
      <c r="H1234" s="249"/>
      <c r="I1234" s="258"/>
      <c r="J1234" s="249"/>
      <c r="K1234" s="249"/>
      <c r="L1234" s="249"/>
      <c r="M1234" s="259"/>
      <c r="N1234" s="249"/>
      <c r="O1234" s="249"/>
      <c r="P1234" s="249"/>
      <c r="Q1234" s="249"/>
      <c r="R1234" s="249"/>
      <c r="S1234" s="249"/>
      <c r="T1234" s="249"/>
      <c r="U1234" s="249"/>
      <c r="V1234" s="249"/>
      <c r="W1234" s="249"/>
      <c r="X1234" s="249"/>
      <c r="Y1234" s="249"/>
      <c r="Z1234" s="249"/>
    </row>
    <row r="1235" spans="1:26" s="152" customFormat="1" x14ac:dyDescent="0.25">
      <c r="A1235" s="249"/>
      <c r="B1235" s="249"/>
      <c r="C1235" s="249"/>
      <c r="D1235" s="249"/>
      <c r="E1235" s="249"/>
      <c r="F1235" s="249"/>
      <c r="G1235" s="249"/>
      <c r="H1235" s="249"/>
      <c r="I1235" s="258"/>
      <c r="J1235" s="249"/>
      <c r="K1235" s="249"/>
      <c r="L1235" s="249"/>
      <c r="M1235" s="259"/>
      <c r="N1235" s="249"/>
      <c r="O1235" s="249"/>
      <c r="P1235" s="249"/>
      <c r="Q1235" s="249"/>
      <c r="R1235" s="249"/>
      <c r="S1235" s="249"/>
      <c r="T1235" s="249"/>
      <c r="U1235" s="249"/>
      <c r="V1235" s="249"/>
      <c r="W1235" s="249"/>
      <c r="X1235" s="249"/>
      <c r="Y1235" s="249"/>
      <c r="Z1235" s="249"/>
    </row>
    <row r="1236" spans="1:26" s="152" customFormat="1" x14ac:dyDescent="0.25">
      <c r="A1236" s="249"/>
      <c r="B1236" s="249"/>
      <c r="C1236" s="249"/>
      <c r="D1236" s="249"/>
      <c r="E1236" s="249"/>
      <c r="F1236" s="249"/>
      <c r="G1236" s="249"/>
      <c r="H1236" s="249"/>
      <c r="I1236" s="258"/>
      <c r="J1236" s="249"/>
      <c r="K1236" s="249"/>
      <c r="L1236" s="249"/>
      <c r="M1236" s="259"/>
      <c r="N1236" s="249"/>
      <c r="O1236" s="249"/>
      <c r="P1236" s="249"/>
      <c r="Q1236" s="249"/>
      <c r="R1236" s="249"/>
      <c r="S1236" s="249"/>
      <c r="T1236" s="249"/>
      <c r="U1236" s="249"/>
      <c r="V1236" s="249"/>
      <c r="W1236" s="249"/>
      <c r="X1236" s="249"/>
      <c r="Y1236" s="249"/>
      <c r="Z1236" s="249"/>
    </row>
    <row r="1237" spans="1:26" s="152" customFormat="1" x14ac:dyDescent="0.25">
      <c r="A1237" s="249"/>
      <c r="B1237" s="249"/>
      <c r="C1237" s="249"/>
      <c r="D1237" s="249"/>
      <c r="E1237" s="249"/>
      <c r="F1237" s="249"/>
      <c r="G1237" s="249"/>
      <c r="H1237" s="249"/>
      <c r="I1237" s="258"/>
      <c r="J1237" s="249"/>
      <c r="K1237" s="249"/>
      <c r="L1237" s="249"/>
      <c r="M1237" s="259"/>
      <c r="N1237" s="249"/>
      <c r="O1237" s="249"/>
      <c r="P1237" s="249"/>
      <c r="Q1237" s="249"/>
      <c r="R1237" s="249"/>
      <c r="S1237" s="249"/>
      <c r="T1237" s="249"/>
      <c r="U1237" s="249"/>
      <c r="V1237" s="249"/>
      <c r="W1237" s="249"/>
      <c r="X1237" s="249"/>
      <c r="Y1237" s="249"/>
      <c r="Z1237" s="249"/>
    </row>
    <row r="1238" spans="1:26" s="152" customFormat="1" x14ac:dyDescent="0.25">
      <c r="A1238" s="249"/>
      <c r="B1238" s="249"/>
      <c r="C1238" s="249"/>
      <c r="D1238" s="249"/>
      <c r="E1238" s="249"/>
      <c r="F1238" s="249"/>
      <c r="G1238" s="249"/>
      <c r="H1238" s="249"/>
      <c r="I1238" s="258"/>
      <c r="J1238" s="249"/>
      <c r="K1238" s="249"/>
      <c r="L1238" s="249"/>
      <c r="M1238" s="259"/>
      <c r="N1238" s="249"/>
      <c r="O1238" s="249"/>
      <c r="P1238" s="249"/>
      <c r="Q1238" s="249"/>
      <c r="R1238" s="249"/>
      <c r="S1238" s="249"/>
      <c r="T1238" s="249"/>
      <c r="U1238" s="249"/>
      <c r="V1238" s="249"/>
      <c r="W1238" s="249"/>
      <c r="X1238" s="249"/>
      <c r="Y1238" s="249"/>
      <c r="Z1238" s="249"/>
    </row>
    <row r="1239" spans="1:26" s="152" customFormat="1" x14ac:dyDescent="0.25">
      <c r="A1239" s="249"/>
      <c r="B1239" s="249"/>
      <c r="C1239" s="249"/>
      <c r="D1239" s="249"/>
      <c r="E1239" s="249"/>
      <c r="F1239" s="249"/>
      <c r="G1239" s="249"/>
      <c r="H1239" s="249"/>
      <c r="I1239" s="258"/>
      <c r="J1239" s="249"/>
      <c r="K1239" s="249"/>
      <c r="L1239" s="249"/>
      <c r="M1239" s="259"/>
      <c r="N1239" s="249"/>
      <c r="O1239" s="249"/>
      <c r="P1239" s="249"/>
      <c r="Q1239" s="249"/>
      <c r="R1239" s="249"/>
      <c r="S1239" s="249"/>
      <c r="T1239" s="249"/>
      <c r="U1239" s="249"/>
      <c r="V1239" s="249"/>
      <c r="W1239" s="249"/>
      <c r="X1239" s="249"/>
      <c r="Y1239" s="249"/>
      <c r="Z1239" s="249"/>
    </row>
    <row r="1240" spans="1:26" s="152" customFormat="1" x14ac:dyDescent="0.25">
      <c r="A1240" s="249"/>
      <c r="B1240" s="249"/>
      <c r="C1240" s="249"/>
      <c r="D1240" s="249"/>
      <c r="E1240" s="249"/>
      <c r="F1240" s="249"/>
      <c r="G1240" s="249"/>
      <c r="H1240" s="249"/>
      <c r="I1240" s="258"/>
      <c r="J1240" s="249"/>
      <c r="K1240" s="249"/>
      <c r="L1240" s="249"/>
      <c r="M1240" s="259"/>
      <c r="N1240" s="249"/>
      <c r="O1240" s="249"/>
      <c r="P1240" s="249"/>
      <c r="Q1240" s="249"/>
      <c r="R1240" s="249"/>
      <c r="S1240" s="249"/>
      <c r="T1240" s="249"/>
      <c r="U1240" s="249"/>
      <c r="V1240" s="249"/>
      <c r="W1240" s="249"/>
      <c r="X1240" s="249"/>
      <c r="Y1240" s="249"/>
      <c r="Z1240" s="249"/>
    </row>
    <row r="1241" spans="1:26" s="152" customFormat="1" x14ac:dyDescent="0.25">
      <c r="A1241" s="249"/>
      <c r="B1241" s="249"/>
      <c r="C1241" s="249"/>
      <c r="D1241" s="249"/>
      <c r="E1241" s="249"/>
      <c r="F1241" s="249"/>
      <c r="G1241" s="249"/>
      <c r="H1241" s="249"/>
      <c r="I1241" s="258"/>
      <c r="J1241" s="249"/>
      <c r="K1241" s="249"/>
      <c r="L1241" s="249"/>
      <c r="M1241" s="259"/>
      <c r="N1241" s="249"/>
      <c r="O1241" s="249"/>
      <c r="P1241" s="249"/>
      <c r="Q1241" s="249"/>
      <c r="R1241" s="249"/>
      <c r="S1241" s="249"/>
      <c r="T1241" s="249"/>
      <c r="U1241" s="249"/>
      <c r="V1241" s="249"/>
      <c r="W1241" s="249"/>
      <c r="X1241" s="249"/>
      <c r="Y1241" s="249"/>
      <c r="Z1241" s="249"/>
    </row>
    <row r="1242" spans="1:26" s="152" customFormat="1" x14ac:dyDescent="0.25">
      <c r="A1242" s="249"/>
      <c r="B1242" s="249"/>
      <c r="C1242" s="249"/>
      <c r="D1242" s="249"/>
      <c r="E1242" s="249"/>
      <c r="F1242" s="249"/>
      <c r="G1242" s="249"/>
      <c r="H1242" s="249"/>
      <c r="I1242" s="258"/>
      <c r="J1242" s="249"/>
      <c r="K1242" s="249"/>
      <c r="L1242" s="249"/>
      <c r="M1242" s="259"/>
      <c r="N1242" s="249"/>
      <c r="O1242" s="249"/>
      <c r="P1242" s="249"/>
      <c r="Q1242" s="249"/>
      <c r="R1242" s="249"/>
      <c r="S1242" s="249"/>
      <c r="T1242" s="249"/>
      <c r="U1242" s="249"/>
      <c r="V1242" s="249"/>
      <c r="W1242" s="249"/>
      <c r="X1242" s="249"/>
      <c r="Y1242" s="249"/>
      <c r="Z1242" s="249"/>
    </row>
    <row r="1243" spans="1:26" s="152" customFormat="1" x14ac:dyDescent="0.25">
      <c r="A1243" s="249"/>
      <c r="B1243" s="249"/>
      <c r="C1243" s="249"/>
      <c r="D1243" s="249"/>
      <c r="E1243" s="249"/>
      <c r="F1243" s="249"/>
      <c r="G1243" s="249"/>
      <c r="H1243" s="249"/>
      <c r="I1243" s="258"/>
      <c r="J1243" s="249"/>
      <c r="K1243" s="249"/>
      <c r="L1243" s="249"/>
      <c r="M1243" s="259"/>
      <c r="N1243" s="249"/>
      <c r="O1243" s="249"/>
      <c r="P1243" s="249"/>
      <c r="Q1243" s="249"/>
      <c r="R1243" s="249"/>
      <c r="S1243" s="249"/>
      <c r="T1243" s="249"/>
      <c r="U1243" s="249"/>
      <c r="V1243" s="249"/>
      <c r="W1243" s="249"/>
      <c r="X1243" s="249"/>
      <c r="Y1243" s="249"/>
      <c r="Z1243" s="249"/>
    </row>
    <row r="1244" spans="1:26" s="152" customFormat="1" x14ac:dyDescent="0.25">
      <c r="A1244" s="249"/>
      <c r="B1244" s="249"/>
      <c r="C1244" s="249"/>
      <c r="D1244" s="249"/>
      <c r="E1244" s="249"/>
      <c r="F1244" s="249"/>
      <c r="G1244" s="249"/>
      <c r="H1244" s="249"/>
      <c r="I1244" s="258"/>
      <c r="J1244" s="249"/>
      <c r="K1244" s="249"/>
      <c r="L1244" s="249"/>
      <c r="M1244" s="259"/>
      <c r="N1244" s="249"/>
      <c r="O1244" s="249"/>
      <c r="P1244" s="249"/>
      <c r="Q1244" s="249"/>
      <c r="R1244" s="249"/>
      <c r="S1244" s="249"/>
      <c r="T1244" s="249"/>
      <c r="U1244" s="249"/>
      <c r="V1244" s="249"/>
      <c r="W1244" s="249"/>
      <c r="X1244" s="249"/>
      <c r="Y1244" s="249"/>
      <c r="Z1244" s="249"/>
    </row>
    <row r="1245" spans="1:26" s="152" customFormat="1" x14ac:dyDescent="0.25">
      <c r="A1245" s="249"/>
      <c r="B1245" s="249"/>
      <c r="C1245" s="249"/>
      <c r="D1245" s="249"/>
      <c r="E1245" s="249"/>
      <c r="F1245" s="249"/>
      <c r="G1245" s="249"/>
      <c r="H1245" s="249"/>
      <c r="I1245" s="258"/>
      <c r="J1245" s="249"/>
      <c r="K1245" s="249"/>
      <c r="L1245" s="249"/>
      <c r="M1245" s="259"/>
      <c r="N1245" s="249"/>
      <c r="O1245" s="249"/>
      <c r="P1245" s="249"/>
      <c r="Q1245" s="249"/>
      <c r="R1245" s="249"/>
      <c r="S1245" s="249"/>
      <c r="T1245" s="249"/>
      <c r="U1245" s="249"/>
      <c r="V1245" s="249"/>
      <c r="W1245" s="249"/>
      <c r="X1245" s="249"/>
      <c r="Y1245" s="249"/>
      <c r="Z1245" s="249"/>
    </row>
    <row r="1246" spans="1:26" s="152" customFormat="1" x14ac:dyDescent="0.25">
      <c r="A1246" s="249"/>
      <c r="B1246" s="249"/>
      <c r="C1246" s="249"/>
      <c r="D1246" s="249"/>
      <c r="E1246" s="249"/>
      <c r="F1246" s="249"/>
      <c r="G1246" s="249"/>
      <c r="H1246" s="249"/>
      <c r="I1246" s="258"/>
      <c r="J1246" s="249"/>
      <c r="K1246" s="249"/>
      <c r="L1246" s="249"/>
      <c r="M1246" s="259"/>
      <c r="N1246" s="249"/>
      <c r="O1246" s="249"/>
      <c r="P1246" s="249"/>
      <c r="Q1246" s="249"/>
      <c r="R1246" s="249"/>
      <c r="S1246" s="249"/>
      <c r="T1246" s="249"/>
      <c r="U1246" s="249"/>
      <c r="V1246" s="249"/>
      <c r="W1246" s="249"/>
      <c r="X1246" s="249"/>
      <c r="Y1246" s="249"/>
      <c r="Z1246" s="249"/>
    </row>
    <row r="1247" spans="1:26" s="152" customFormat="1" x14ac:dyDescent="0.25">
      <c r="A1247" s="249"/>
      <c r="B1247" s="249"/>
      <c r="C1247" s="249"/>
      <c r="D1247" s="249"/>
      <c r="E1247" s="249"/>
      <c r="F1247" s="249"/>
      <c r="G1247" s="249"/>
      <c r="H1247" s="249"/>
      <c r="I1247" s="258"/>
      <c r="J1247" s="249"/>
      <c r="K1247" s="249"/>
      <c r="L1247" s="249"/>
      <c r="M1247" s="259"/>
      <c r="N1247" s="249"/>
      <c r="O1247" s="249"/>
      <c r="P1247" s="249"/>
      <c r="Q1247" s="249"/>
      <c r="R1247" s="249"/>
      <c r="S1247" s="249"/>
      <c r="T1247" s="249"/>
      <c r="U1247" s="249"/>
      <c r="V1247" s="249"/>
      <c r="W1247" s="249"/>
      <c r="X1247" s="249"/>
      <c r="Y1247" s="249"/>
      <c r="Z1247" s="249"/>
    </row>
    <row r="1248" spans="1:26" s="152" customFormat="1" x14ac:dyDescent="0.25">
      <c r="A1248" s="249"/>
      <c r="B1248" s="249"/>
      <c r="C1248" s="249"/>
      <c r="D1248" s="249"/>
      <c r="E1248" s="249"/>
      <c r="F1248" s="249"/>
      <c r="G1248" s="249"/>
      <c r="H1248" s="249"/>
      <c r="I1248" s="258"/>
      <c r="J1248" s="249"/>
      <c r="K1248" s="249"/>
      <c r="L1248" s="249"/>
      <c r="M1248" s="259"/>
      <c r="N1248" s="249"/>
      <c r="O1248" s="249"/>
      <c r="P1248" s="249"/>
      <c r="Q1248" s="249"/>
      <c r="R1248" s="249"/>
      <c r="S1248" s="249"/>
      <c r="T1248" s="249"/>
      <c r="U1248" s="249"/>
      <c r="V1248" s="249"/>
      <c r="W1248" s="249"/>
      <c r="X1248" s="249"/>
      <c r="Y1248" s="249"/>
      <c r="Z1248" s="249"/>
    </row>
    <row r="1249" spans="1:26" s="152" customFormat="1" x14ac:dyDescent="0.25">
      <c r="A1249" s="249"/>
      <c r="B1249" s="249"/>
      <c r="C1249" s="249"/>
      <c r="D1249" s="249"/>
      <c r="E1249" s="249"/>
      <c r="F1249" s="249"/>
      <c r="G1249" s="249"/>
      <c r="H1249" s="249"/>
      <c r="I1249" s="258"/>
      <c r="J1249" s="249"/>
      <c r="K1249" s="249"/>
      <c r="L1249" s="249"/>
      <c r="M1249" s="259"/>
      <c r="N1249" s="249"/>
      <c r="O1249" s="249"/>
      <c r="P1249" s="249"/>
      <c r="Q1249" s="249"/>
      <c r="R1249" s="249"/>
      <c r="S1249" s="249"/>
      <c r="T1249" s="249"/>
      <c r="U1249" s="249"/>
      <c r="V1249" s="249"/>
      <c r="W1249" s="249"/>
      <c r="X1249" s="249"/>
      <c r="Y1249" s="249"/>
      <c r="Z1249" s="249"/>
    </row>
    <row r="1250" spans="1:26" s="152" customFormat="1" x14ac:dyDescent="0.25">
      <c r="A1250" s="249"/>
      <c r="B1250" s="249"/>
      <c r="C1250" s="249"/>
      <c r="D1250" s="249"/>
      <c r="E1250" s="249"/>
      <c r="F1250" s="249"/>
      <c r="G1250" s="249"/>
      <c r="H1250" s="249"/>
      <c r="I1250" s="258"/>
      <c r="J1250" s="249"/>
      <c r="K1250" s="249"/>
      <c r="L1250" s="249"/>
      <c r="M1250" s="259"/>
      <c r="N1250" s="249"/>
      <c r="O1250" s="249"/>
      <c r="P1250" s="249"/>
      <c r="Q1250" s="249"/>
      <c r="R1250" s="249"/>
      <c r="S1250" s="249"/>
      <c r="T1250" s="249"/>
      <c r="U1250" s="249"/>
      <c r="V1250" s="249"/>
      <c r="W1250" s="249"/>
      <c r="X1250" s="249"/>
      <c r="Y1250" s="249"/>
      <c r="Z1250" s="249"/>
    </row>
    <row r="1251" spans="1:26" s="152" customFormat="1" x14ac:dyDescent="0.25">
      <c r="A1251" s="249"/>
      <c r="B1251" s="249"/>
      <c r="C1251" s="249"/>
      <c r="D1251" s="249"/>
      <c r="E1251" s="249"/>
      <c r="F1251" s="249"/>
      <c r="G1251" s="249"/>
      <c r="H1251" s="249"/>
      <c r="I1251" s="258"/>
      <c r="J1251" s="249"/>
      <c r="K1251" s="249"/>
      <c r="L1251" s="249"/>
      <c r="M1251" s="259"/>
      <c r="N1251" s="249"/>
      <c r="O1251" s="249"/>
      <c r="P1251" s="249"/>
      <c r="Q1251" s="249"/>
      <c r="R1251" s="249"/>
      <c r="S1251" s="249"/>
      <c r="T1251" s="249"/>
      <c r="U1251" s="249"/>
      <c r="V1251" s="249"/>
      <c r="W1251" s="249"/>
      <c r="X1251" s="249"/>
      <c r="Y1251" s="249"/>
      <c r="Z1251" s="249"/>
    </row>
    <row r="1252" spans="1:26" s="152" customFormat="1" x14ac:dyDescent="0.25">
      <c r="A1252" s="249"/>
      <c r="B1252" s="249"/>
      <c r="C1252" s="249"/>
      <c r="D1252" s="249"/>
      <c r="E1252" s="249"/>
      <c r="F1252" s="249"/>
      <c r="G1252" s="249"/>
      <c r="H1252" s="249"/>
      <c r="I1252" s="258"/>
      <c r="J1252" s="249"/>
      <c r="K1252" s="249"/>
      <c r="L1252" s="249"/>
      <c r="M1252" s="259"/>
      <c r="N1252" s="249"/>
      <c r="O1252" s="249"/>
      <c r="P1252" s="249"/>
      <c r="Q1252" s="249"/>
      <c r="R1252" s="249"/>
      <c r="S1252" s="249"/>
      <c r="T1252" s="249"/>
      <c r="U1252" s="249"/>
      <c r="V1252" s="249"/>
      <c r="W1252" s="249"/>
      <c r="X1252" s="249"/>
      <c r="Y1252" s="249"/>
      <c r="Z1252" s="249"/>
    </row>
    <row r="1253" spans="1:26" s="152" customFormat="1" x14ac:dyDescent="0.25">
      <c r="A1253" s="249"/>
      <c r="B1253" s="249"/>
      <c r="C1253" s="249"/>
      <c r="D1253" s="249"/>
      <c r="E1253" s="249"/>
      <c r="F1253" s="249"/>
      <c r="G1253" s="249"/>
      <c r="H1253" s="249"/>
      <c r="I1253" s="258"/>
      <c r="J1253" s="249"/>
      <c r="K1253" s="249"/>
      <c r="L1253" s="249"/>
      <c r="M1253" s="259"/>
      <c r="N1253" s="249"/>
      <c r="O1253" s="249"/>
      <c r="P1253" s="249"/>
      <c r="Q1253" s="249"/>
      <c r="R1253" s="249"/>
      <c r="S1253" s="249"/>
      <c r="T1253" s="249"/>
      <c r="U1253" s="249"/>
      <c r="V1253" s="249"/>
      <c r="W1253" s="249"/>
      <c r="X1253" s="249"/>
      <c r="Y1253" s="249"/>
      <c r="Z1253" s="249"/>
    </row>
    <row r="1254" spans="1:26" s="152" customFormat="1" x14ac:dyDescent="0.25">
      <c r="A1254" s="249"/>
      <c r="B1254" s="249"/>
      <c r="C1254" s="249"/>
      <c r="D1254" s="249"/>
      <c r="E1254" s="249"/>
      <c r="F1254" s="249"/>
      <c r="G1254" s="249"/>
      <c r="H1254" s="249"/>
      <c r="I1254" s="258"/>
      <c r="J1254" s="249"/>
      <c r="K1254" s="249"/>
      <c r="L1254" s="249"/>
      <c r="M1254" s="259"/>
      <c r="N1254" s="249"/>
      <c r="O1254" s="249"/>
      <c r="P1254" s="249"/>
      <c r="Q1254" s="249"/>
      <c r="R1254" s="249"/>
      <c r="S1254" s="249"/>
      <c r="T1254" s="249"/>
      <c r="U1254" s="249"/>
      <c r="V1254" s="249"/>
      <c r="W1254" s="249"/>
      <c r="X1254" s="249"/>
      <c r="Y1254" s="249"/>
      <c r="Z1254" s="249"/>
    </row>
    <row r="1255" spans="1:26" s="152" customFormat="1" x14ac:dyDescent="0.25">
      <c r="A1255" s="249"/>
      <c r="B1255" s="249"/>
      <c r="C1255" s="249"/>
      <c r="D1255" s="249"/>
      <c r="E1255" s="249"/>
      <c r="F1255" s="249"/>
      <c r="G1255" s="249"/>
      <c r="H1255" s="249"/>
      <c r="I1255" s="258"/>
      <c r="J1255" s="249"/>
      <c r="K1255" s="249"/>
      <c r="L1255" s="249"/>
      <c r="M1255" s="259"/>
      <c r="N1255" s="249"/>
      <c r="O1255" s="249"/>
      <c r="P1255" s="249"/>
      <c r="Q1255" s="249"/>
      <c r="R1255" s="249"/>
      <c r="S1255" s="249"/>
      <c r="T1255" s="249"/>
      <c r="U1255" s="249"/>
      <c r="V1255" s="249"/>
      <c r="W1255" s="249"/>
      <c r="X1255" s="249"/>
      <c r="Y1255" s="249"/>
      <c r="Z1255" s="249"/>
    </row>
    <row r="1256" spans="1:26" s="152" customFormat="1" x14ac:dyDescent="0.25">
      <c r="A1256" s="249"/>
      <c r="B1256" s="249"/>
      <c r="C1256" s="249"/>
      <c r="D1256" s="249"/>
      <c r="E1256" s="249"/>
      <c r="F1256" s="249"/>
      <c r="G1256" s="249"/>
      <c r="H1256" s="249"/>
      <c r="I1256" s="258"/>
      <c r="J1256" s="249"/>
      <c r="K1256" s="249"/>
      <c r="L1256" s="249"/>
      <c r="M1256" s="259"/>
      <c r="N1256" s="249"/>
      <c r="O1256" s="249"/>
      <c r="P1256" s="249"/>
      <c r="Q1256" s="249"/>
      <c r="R1256" s="249"/>
      <c r="S1256" s="249"/>
      <c r="T1256" s="249"/>
      <c r="U1256" s="249"/>
      <c r="V1256" s="249"/>
      <c r="W1256" s="249"/>
      <c r="X1256" s="249"/>
      <c r="Y1256" s="249"/>
      <c r="Z1256" s="249"/>
    </row>
    <row r="1257" spans="1:26" s="152" customFormat="1" x14ac:dyDescent="0.25">
      <c r="A1257" s="249"/>
      <c r="B1257" s="249"/>
      <c r="C1257" s="249"/>
      <c r="D1257" s="249"/>
      <c r="E1257" s="249"/>
      <c r="F1257" s="249"/>
      <c r="G1257" s="249"/>
      <c r="H1257" s="249"/>
      <c r="I1257" s="258"/>
      <c r="J1257" s="249"/>
      <c r="K1257" s="249"/>
      <c r="L1257" s="249"/>
      <c r="M1257" s="259"/>
      <c r="N1257" s="249"/>
      <c r="O1257" s="249"/>
      <c r="P1257" s="249"/>
      <c r="Q1257" s="249"/>
      <c r="R1257" s="249"/>
      <c r="S1257" s="249"/>
      <c r="T1257" s="249"/>
      <c r="U1257" s="249"/>
      <c r="V1257" s="249"/>
      <c r="W1257" s="249"/>
      <c r="X1257" s="249"/>
      <c r="Y1257" s="249"/>
      <c r="Z1257" s="249"/>
    </row>
    <row r="1258" spans="1:26" s="152" customFormat="1" x14ac:dyDescent="0.25">
      <c r="A1258" s="249"/>
      <c r="B1258" s="249"/>
      <c r="C1258" s="249"/>
      <c r="D1258" s="249"/>
      <c r="E1258" s="249"/>
      <c r="F1258" s="249"/>
      <c r="G1258" s="249"/>
      <c r="H1258" s="249"/>
      <c r="I1258" s="258"/>
      <c r="J1258" s="249"/>
      <c r="K1258" s="249"/>
      <c r="L1258" s="249"/>
      <c r="M1258" s="259"/>
      <c r="N1258" s="249"/>
      <c r="O1258" s="249"/>
      <c r="P1258" s="249"/>
      <c r="Q1258" s="249"/>
      <c r="R1258" s="249"/>
      <c r="S1258" s="249"/>
      <c r="T1258" s="249"/>
      <c r="U1258" s="249"/>
      <c r="V1258" s="249"/>
      <c r="W1258" s="249"/>
      <c r="X1258" s="249"/>
      <c r="Y1258" s="249"/>
      <c r="Z1258" s="249"/>
    </row>
    <row r="1259" spans="1:26" s="152" customFormat="1" x14ac:dyDescent="0.25">
      <c r="A1259" s="249"/>
      <c r="B1259" s="249"/>
      <c r="C1259" s="249"/>
      <c r="D1259" s="249"/>
      <c r="E1259" s="249"/>
      <c r="F1259" s="249"/>
      <c r="G1259" s="249"/>
      <c r="H1259" s="249"/>
      <c r="I1259" s="258"/>
      <c r="J1259" s="249"/>
      <c r="K1259" s="249"/>
      <c r="L1259" s="249"/>
      <c r="M1259" s="259"/>
      <c r="N1259" s="249"/>
      <c r="O1259" s="249"/>
      <c r="P1259" s="249"/>
      <c r="Q1259" s="249"/>
      <c r="R1259" s="249"/>
      <c r="S1259" s="249"/>
      <c r="T1259" s="249"/>
      <c r="U1259" s="249"/>
      <c r="V1259" s="249"/>
      <c r="W1259" s="249"/>
      <c r="X1259" s="249"/>
      <c r="Y1259" s="249"/>
      <c r="Z1259" s="249"/>
    </row>
    <row r="1260" spans="1:26" s="152" customFormat="1" x14ac:dyDescent="0.25">
      <c r="A1260" s="249"/>
      <c r="B1260" s="249"/>
      <c r="C1260" s="249"/>
      <c r="D1260" s="249"/>
      <c r="E1260" s="249"/>
      <c r="F1260" s="249"/>
      <c r="G1260" s="249"/>
      <c r="H1260" s="249"/>
      <c r="I1260" s="258"/>
      <c r="J1260" s="249"/>
      <c r="K1260" s="249"/>
      <c r="L1260" s="249"/>
      <c r="M1260" s="259"/>
      <c r="N1260" s="249"/>
      <c r="O1260" s="249"/>
      <c r="P1260" s="249"/>
      <c r="Q1260" s="249"/>
      <c r="R1260" s="249"/>
      <c r="S1260" s="249"/>
      <c r="T1260" s="249"/>
      <c r="U1260" s="249"/>
      <c r="V1260" s="249"/>
      <c r="W1260" s="249"/>
      <c r="X1260" s="249"/>
      <c r="Y1260" s="249"/>
      <c r="Z1260" s="249"/>
    </row>
    <row r="1261" spans="1:26" s="152" customFormat="1" x14ac:dyDescent="0.25">
      <c r="A1261" s="249"/>
      <c r="B1261" s="249"/>
      <c r="C1261" s="249"/>
      <c r="D1261" s="249"/>
      <c r="E1261" s="249"/>
      <c r="F1261" s="249"/>
      <c r="G1261" s="249"/>
      <c r="H1261" s="249"/>
      <c r="I1261" s="258"/>
      <c r="J1261" s="249"/>
      <c r="K1261" s="249"/>
      <c r="L1261" s="249"/>
      <c r="M1261" s="259"/>
      <c r="N1261" s="249"/>
      <c r="O1261" s="249"/>
      <c r="P1261" s="249"/>
      <c r="Q1261" s="249"/>
      <c r="R1261" s="249"/>
      <c r="S1261" s="249"/>
      <c r="T1261" s="249"/>
      <c r="U1261" s="249"/>
      <c r="V1261" s="249"/>
      <c r="W1261" s="249"/>
      <c r="X1261" s="249"/>
      <c r="Y1261" s="249"/>
      <c r="Z1261" s="249"/>
    </row>
    <row r="1262" spans="1:26" s="152" customFormat="1" x14ac:dyDescent="0.25">
      <c r="A1262" s="249"/>
      <c r="B1262" s="249"/>
      <c r="C1262" s="249"/>
      <c r="D1262" s="249"/>
      <c r="E1262" s="249"/>
      <c r="F1262" s="249"/>
      <c r="G1262" s="249"/>
      <c r="H1262" s="249"/>
      <c r="I1262" s="258"/>
      <c r="J1262" s="249"/>
      <c r="K1262" s="249"/>
      <c r="L1262" s="249"/>
      <c r="M1262" s="259"/>
      <c r="N1262" s="249"/>
      <c r="O1262" s="249"/>
      <c r="P1262" s="249"/>
      <c r="Q1262" s="249"/>
      <c r="R1262" s="249"/>
      <c r="S1262" s="249"/>
      <c r="T1262" s="249"/>
      <c r="U1262" s="249"/>
      <c r="V1262" s="249"/>
      <c r="W1262" s="249"/>
      <c r="X1262" s="249"/>
      <c r="Y1262" s="249"/>
      <c r="Z1262" s="249"/>
    </row>
    <row r="1263" spans="1:26" s="152" customFormat="1" x14ac:dyDescent="0.25">
      <c r="A1263" s="249"/>
      <c r="B1263" s="249"/>
      <c r="C1263" s="249"/>
      <c r="D1263" s="249"/>
      <c r="E1263" s="249"/>
      <c r="F1263" s="249"/>
      <c r="G1263" s="249"/>
      <c r="H1263" s="249"/>
      <c r="I1263" s="258"/>
      <c r="J1263" s="249"/>
      <c r="K1263" s="249"/>
      <c r="L1263" s="249"/>
      <c r="M1263" s="259"/>
      <c r="N1263" s="249"/>
      <c r="O1263" s="249"/>
      <c r="P1263" s="249"/>
      <c r="Q1263" s="249"/>
      <c r="R1263" s="249"/>
      <c r="S1263" s="249"/>
      <c r="T1263" s="249"/>
      <c r="U1263" s="249"/>
      <c r="V1263" s="249"/>
      <c r="W1263" s="249"/>
      <c r="X1263" s="249"/>
      <c r="Y1263" s="249"/>
      <c r="Z1263" s="249"/>
    </row>
    <row r="1264" spans="1:26" s="152" customFormat="1" x14ac:dyDescent="0.25">
      <c r="A1264" s="249"/>
      <c r="B1264" s="249"/>
      <c r="C1264" s="249"/>
      <c r="D1264" s="249"/>
      <c r="E1264" s="249"/>
      <c r="F1264" s="249"/>
      <c r="G1264" s="249"/>
      <c r="H1264" s="249"/>
      <c r="I1264" s="258"/>
      <c r="J1264" s="249"/>
      <c r="K1264" s="249"/>
      <c r="L1264" s="249"/>
      <c r="M1264" s="259"/>
      <c r="N1264" s="249"/>
      <c r="O1264" s="249"/>
      <c r="P1264" s="249"/>
      <c r="Q1264" s="249"/>
      <c r="R1264" s="249"/>
      <c r="S1264" s="249"/>
      <c r="T1264" s="249"/>
      <c r="U1264" s="249"/>
      <c r="V1264" s="249"/>
      <c r="W1264" s="249"/>
      <c r="X1264" s="249"/>
      <c r="Y1264" s="249"/>
      <c r="Z1264" s="249"/>
    </row>
    <row r="1265" spans="1:26" s="152" customFormat="1" x14ac:dyDescent="0.25">
      <c r="A1265" s="249"/>
      <c r="B1265" s="249"/>
      <c r="C1265" s="249"/>
      <c r="D1265" s="249"/>
      <c r="E1265" s="249"/>
      <c r="F1265" s="249"/>
      <c r="G1265" s="249"/>
      <c r="H1265" s="249"/>
      <c r="I1265" s="258"/>
      <c r="J1265" s="249"/>
      <c r="K1265" s="249"/>
      <c r="L1265" s="249"/>
      <c r="M1265" s="259"/>
      <c r="N1265" s="249"/>
      <c r="O1265" s="249"/>
      <c r="P1265" s="249"/>
      <c r="Q1265" s="249"/>
      <c r="R1265" s="249"/>
      <c r="S1265" s="249"/>
      <c r="T1265" s="249"/>
      <c r="U1265" s="249"/>
      <c r="V1265" s="249"/>
      <c r="W1265" s="249"/>
      <c r="X1265" s="249"/>
      <c r="Y1265" s="249"/>
      <c r="Z1265" s="249"/>
    </row>
    <row r="1266" spans="1:26" s="152" customFormat="1" x14ac:dyDescent="0.25">
      <c r="A1266" s="249"/>
      <c r="B1266" s="249"/>
      <c r="C1266" s="249"/>
      <c r="D1266" s="249"/>
      <c r="E1266" s="249"/>
      <c r="F1266" s="249"/>
      <c r="G1266" s="249"/>
      <c r="H1266" s="249"/>
      <c r="I1266" s="258"/>
      <c r="J1266" s="249"/>
      <c r="K1266" s="249"/>
      <c r="L1266" s="249"/>
      <c r="M1266" s="259"/>
      <c r="N1266" s="249"/>
      <c r="O1266" s="249"/>
      <c r="P1266" s="249"/>
      <c r="Q1266" s="249"/>
      <c r="R1266" s="249"/>
      <c r="S1266" s="249"/>
      <c r="T1266" s="249"/>
      <c r="U1266" s="249"/>
      <c r="V1266" s="249"/>
      <c r="W1266" s="249"/>
      <c r="X1266" s="249"/>
      <c r="Y1266" s="249"/>
      <c r="Z1266" s="249"/>
    </row>
    <row r="1267" spans="1:26" s="152" customFormat="1" x14ac:dyDescent="0.25">
      <c r="A1267" s="249"/>
      <c r="B1267" s="249"/>
      <c r="C1267" s="249"/>
      <c r="D1267" s="249"/>
      <c r="E1267" s="249"/>
      <c r="F1267" s="249"/>
      <c r="G1267" s="249"/>
      <c r="H1267" s="249"/>
      <c r="I1267" s="258"/>
      <c r="J1267" s="249"/>
      <c r="K1267" s="249"/>
      <c r="L1267" s="249"/>
      <c r="M1267" s="259"/>
      <c r="N1267" s="249"/>
      <c r="O1267" s="249"/>
      <c r="P1267" s="249"/>
      <c r="Q1267" s="249"/>
      <c r="R1267" s="249"/>
      <c r="S1267" s="249"/>
      <c r="T1267" s="249"/>
      <c r="U1267" s="249"/>
      <c r="V1267" s="249"/>
      <c r="W1267" s="249"/>
      <c r="X1267" s="249"/>
      <c r="Y1267" s="249"/>
      <c r="Z1267" s="249"/>
    </row>
    <row r="1268" spans="1:26" s="152" customFormat="1" x14ac:dyDescent="0.25">
      <c r="A1268" s="249"/>
      <c r="B1268" s="249"/>
      <c r="C1268" s="249"/>
      <c r="D1268" s="249"/>
      <c r="E1268" s="249"/>
      <c r="F1268" s="249"/>
      <c r="G1268" s="249"/>
      <c r="H1268" s="249"/>
      <c r="I1268" s="258"/>
      <c r="J1268" s="249"/>
      <c r="K1268" s="249"/>
      <c r="L1268" s="249"/>
      <c r="M1268" s="259"/>
      <c r="N1268" s="249"/>
      <c r="O1268" s="249"/>
      <c r="P1268" s="249"/>
      <c r="Q1268" s="249"/>
      <c r="R1268" s="249"/>
      <c r="S1268" s="249"/>
      <c r="T1268" s="249"/>
      <c r="U1268" s="249"/>
      <c r="V1268" s="249"/>
      <c r="W1268" s="249"/>
      <c r="X1268" s="249"/>
      <c r="Y1268" s="249"/>
      <c r="Z1268" s="249"/>
    </row>
    <row r="1269" spans="1:26" s="152" customFormat="1" x14ac:dyDescent="0.25">
      <c r="A1269" s="249"/>
      <c r="B1269" s="249"/>
      <c r="C1269" s="249"/>
      <c r="D1269" s="249"/>
      <c r="E1269" s="249"/>
      <c r="F1269" s="249"/>
      <c r="G1269" s="249"/>
      <c r="H1269" s="249"/>
      <c r="I1269" s="258"/>
      <c r="J1269" s="249"/>
      <c r="K1269" s="249"/>
      <c r="L1269" s="249"/>
      <c r="M1269" s="259"/>
      <c r="N1269" s="249"/>
      <c r="O1269" s="249"/>
      <c r="P1269" s="249"/>
      <c r="Q1269" s="249"/>
      <c r="R1269" s="249"/>
      <c r="S1269" s="249"/>
      <c r="T1269" s="249"/>
      <c r="U1269" s="249"/>
      <c r="V1269" s="249"/>
      <c r="W1269" s="249"/>
      <c r="X1269" s="249"/>
      <c r="Y1269" s="249"/>
      <c r="Z1269" s="249"/>
    </row>
    <row r="1270" spans="1:26" s="152" customFormat="1" x14ac:dyDescent="0.25">
      <c r="A1270" s="249"/>
      <c r="B1270" s="249"/>
      <c r="C1270" s="249"/>
      <c r="D1270" s="249"/>
      <c r="E1270" s="249"/>
      <c r="F1270" s="249"/>
      <c r="G1270" s="249"/>
      <c r="H1270" s="249"/>
      <c r="I1270" s="258"/>
      <c r="J1270" s="249"/>
      <c r="K1270" s="249"/>
      <c r="L1270" s="249"/>
      <c r="M1270" s="259"/>
      <c r="N1270" s="249"/>
      <c r="O1270" s="249"/>
      <c r="P1270" s="249"/>
      <c r="Q1270" s="249"/>
      <c r="R1270" s="249"/>
      <c r="S1270" s="249"/>
      <c r="T1270" s="249"/>
      <c r="U1270" s="249"/>
      <c r="V1270" s="249"/>
      <c r="W1270" s="249"/>
      <c r="X1270" s="249"/>
      <c r="Y1270" s="249"/>
      <c r="Z1270" s="249"/>
    </row>
    <row r="1271" spans="1:26" s="152" customFormat="1" x14ac:dyDescent="0.25">
      <c r="A1271" s="249"/>
      <c r="B1271" s="249"/>
      <c r="C1271" s="249"/>
      <c r="D1271" s="249"/>
      <c r="E1271" s="249"/>
      <c r="F1271" s="249"/>
      <c r="G1271" s="249"/>
      <c r="H1271" s="249"/>
      <c r="I1271" s="258"/>
      <c r="J1271" s="249"/>
      <c r="K1271" s="249"/>
      <c r="L1271" s="249"/>
      <c r="M1271" s="259"/>
      <c r="N1271" s="249"/>
      <c r="O1271" s="249"/>
      <c r="P1271" s="249"/>
      <c r="Q1271" s="249"/>
      <c r="R1271" s="249"/>
      <c r="S1271" s="249"/>
      <c r="T1271" s="249"/>
      <c r="U1271" s="249"/>
      <c r="V1271" s="249"/>
      <c r="W1271" s="249"/>
      <c r="X1271" s="249"/>
      <c r="Y1271" s="249"/>
      <c r="Z1271" s="249"/>
    </row>
    <row r="1272" spans="1:26" s="152" customFormat="1" x14ac:dyDescent="0.25">
      <c r="A1272" s="249"/>
      <c r="B1272" s="249"/>
      <c r="C1272" s="249"/>
      <c r="D1272" s="249"/>
      <c r="E1272" s="249"/>
      <c r="F1272" s="249"/>
      <c r="G1272" s="249"/>
      <c r="H1272" s="249"/>
      <c r="I1272" s="258"/>
      <c r="J1272" s="249"/>
      <c r="K1272" s="249"/>
      <c r="L1272" s="249"/>
      <c r="M1272" s="259"/>
      <c r="N1272" s="249"/>
      <c r="O1272" s="249"/>
      <c r="P1272" s="249"/>
      <c r="Q1272" s="249"/>
      <c r="R1272" s="249"/>
      <c r="S1272" s="249"/>
      <c r="T1272" s="249"/>
      <c r="U1272" s="249"/>
      <c r="V1272" s="249"/>
      <c r="W1272" s="249"/>
      <c r="X1272" s="249"/>
      <c r="Y1272" s="249"/>
      <c r="Z1272" s="249"/>
    </row>
    <row r="1273" spans="1:26" s="152" customFormat="1" x14ac:dyDescent="0.25">
      <c r="A1273" s="249"/>
      <c r="B1273" s="249"/>
      <c r="C1273" s="249"/>
      <c r="D1273" s="249"/>
      <c r="E1273" s="249"/>
      <c r="F1273" s="249"/>
      <c r="G1273" s="249"/>
      <c r="H1273" s="249"/>
      <c r="I1273" s="258"/>
      <c r="J1273" s="249"/>
      <c r="K1273" s="249"/>
      <c r="L1273" s="249"/>
      <c r="M1273" s="259"/>
      <c r="N1273" s="249"/>
      <c r="O1273" s="249"/>
      <c r="P1273" s="249"/>
      <c r="Q1273" s="249"/>
      <c r="R1273" s="249"/>
      <c r="S1273" s="249"/>
      <c r="T1273" s="249"/>
      <c r="U1273" s="249"/>
      <c r="V1273" s="249"/>
      <c r="W1273" s="249"/>
      <c r="X1273" s="249"/>
      <c r="Y1273" s="249"/>
      <c r="Z1273" s="249"/>
    </row>
    <row r="1274" spans="1:26" s="152" customFormat="1" x14ac:dyDescent="0.25">
      <c r="A1274" s="249"/>
      <c r="B1274" s="249"/>
      <c r="C1274" s="249"/>
      <c r="D1274" s="249"/>
      <c r="E1274" s="249"/>
      <c r="F1274" s="249"/>
      <c r="G1274" s="249"/>
      <c r="H1274" s="249"/>
      <c r="I1274" s="258"/>
      <c r="J1274" s="249"/>
      <c r="K1274" s="249"/>
      <c r="L1274" s="249"/>
      <c r="M1274" s="259"/>
      <c r="N1274" s="249"/>
      <c r="O1274" s="249"/>
      <c r="P1274" s="249"/>
      <c r="Q1274" s="249"/>
      <c r="R1274" s="249"/>
      <c r="S1274" s="249"/>
      <c r="T1274" s="249"/>
      <c r="U1274" s="249"/>
      <c r="V1274" s="249"/>
      <c r="W1274" s="249"/>
      <c r="X1274" s="249"/>
      <c r="Y1274" s="249"/>
      <c r="Z1274" s="249"/>
    </row>
    <row r="1275" spans="1:26" s="152" customFormat="1" x14ac:dyDescent="0.25">
      <c r="A1275" s="249"/>
      <c r="B1275" s="249"/>
      <c r="C1275" s="249"/>
      <c r="D1275" s="249"/>
      <c r="E1275" s="249"/>
      <c r="F1275" s="249"/>
      <c r="G1275" s="249"/>
      <c r="H1275" s="249"/>
      <c r="I1275" s="258"/>
      <c r="J1275" s="249"/>
      <c r="K1275" s="249"/>
      <c r="L1275" s="249"/>
      <c r="M1275" s="259"/>
      <c r="N1275" s="249"/>
      <c r="O1275" s="249"/>
      <c r="P1275" s="249"/>
      <c r="Q1275" s="249"/>
      <c r="R1275" s="249"/>
      <c r="S1275" s="249"/>
      <c r="T1275" s="249"/>
      <c r="U1275" s="249"/>
      <c r="V1275" s="249"/>
      <c r="W1275" s="249"/>
      <c r="X1275" s="249"/>
      <c r="Y1275" s="249"/>
      <c r="Z1275" s="249"/>
    </row>
    <row r="1276" spans="1:26" s="152" customFormat="1" x14ac:dyDescent="0.25">
      <c r="A1276" s="249"/>
      <c r="B1276" s="249"/>
      <c r="C1276" s="249"/>
      <c r="D1276" s="249"/>
      <c r="E1276" s="249"/>
      <c r="F1276" s="249"/>
      <c r="G1276" s="249"/>
      <c r="H1276" s="249"/>
      <c r="I1276" s="258"/>
      <c r="J1276" s="249"/>
      <c r="K1276" s="249"/>
      <c r="L1276" s="249"/>
      <c r="M1276" s="259"/>
      <c r="N1276" s="249"/>
      <c r="O1276" s="249"/>
      <c r="P1276" s="249"/>
      <c r="Q1276" s="249"/>
      <c r="R1276" s="249"/>
      <c r="S1276" s="249"/>
      <c r="T1276" s="249"/>
      <c r="U1276" s="249"/>
      <c r="V1276" s="249"/>
      <c r="W1276" s="249"/>
      <c r="X1276" s="249"/>
      <c r="Y1276" s="249"/>
      <c r="Z1276" s="249"/>
    </row>
    <row r="1277" spans="1:26" s="152" customFormat="1" x14ac:dyDescent="0.25">
      <c r="A1277" s="249"/>
      <c r="B1277" s="249"/>
      <c r="C1277" s="249"/>
      <c r="D1277" s="249"/>
      <c r="E1277" s="249"/>
      <c r="F1277" s="249"/>
      <c r="G1277" s="249"/>
      <c r="H1277" s="249"/>
      <c r="I1277" s="258"/>
      <c r="J1277" s="249"/>
      <c r="K1277" s="249"/>
      <c r="L1277" s="249"/>
      <c r="M1277" s="259"/>
      <c r="N1277" s="249"/>
      <c r="O1277" s="249"/>
      <c r="P1277" s="249"/>
      <c r="Q1277" s="249"/>
      <c r="R1277" s="249"/>
      <c r="S1277" s="249"/>
      <c r="T1277" s="249"/>
      <c r="U1277" s="249"/>
      <c r="V1277" s="249"/>
      <c r="W1277" s="249"/>
      <c r="X1277" s="249"/>
      <c r="Y1277" s="249"/>
      <c r="Z1277" s="249"/>
    </row>
    <row r="1278" spans="1:26" s="152" customFormat="1" x14ac:dyDescent="0.25">
      <c r="A1278" s="249"/>
      <c r="B1278" s="249"/>
      <c r="C1278" s="249"/>
      <c r="D1278" s="249"/>
      <c r="E1278" s="249"/>
      <c r="F1278" s="249"/>
      <c r="G1278" s="249"/>
      <c r="H1278" s="249"/>
      <c r="I1278" s="258"/>
      <c r="J1278" s="249"/>
      <c r="K1278" s="249"/>
      <c r="L1278" s="249"/>
      <c r="M1278" s="259"/>
      <c r="N1278" s="249"/>
      <c r="O1278" s="249"/>
      <c r="P1278" s="249"/>
      <c r="Q1278" s="249"/>
      <c r="R1278" s="249"/>
      <c r="S1278" s="249"/>
      <c r="T1278" s="249"/>
      <c r="U1278" s="249"/>
      <c r="V1278" s="249"/>
      <c r="W1278" s="249"/>
      <c r="X1278" s="249"/>
      <c r="Y1278" s="249"/>
      <c r="Z1278" s="249"/>
    </row>
    <row r="1279" spans="1:26" s="152" customFormat="1" x14ac:dyDescent="0.25">
      <c r="A1279" s="249"/>
      <c r="B1279" s="249"/>
      <c r="C1279" s="249"/>
      <c r="D1279" s="249"/>
      <c r="E1279" s="249"/>
      <c r="F1279" s="249"/>
      <c r="G1279" s="249"/>
      <c r="H1279" s="249"/>
      <c r="I1279" s="258"/>
      <c r="J1279" s="249"/>
      <c r="K1279" s="249"/>
      <c r="L1279" s="249"/>
      <c r="M1279" s="259"/>
      <c r="N1279" s="249"/>
      <c r="O1279" s="249"/>
      <c r="P1279" s="249"/>
      <c r="Q1279" s="249"/>
      <c r="R1279" s="249"/>
      <c r="S1279" s="249"/>
      <c r="T1279" s="249"/>
      <c r="U1279" s="249"/>
      <c r="V1279" s="249"/>
      <c r="W1279" s="249"/>
      <c r="X1279" s="249"/>
      <c r="Y1279" s="249"/>
      <c r="Z1279" s="249"/>
    </row>
    <row r="1280" spans="1:26" s="152" customFormat="1" x14ac:dyDescent="0.25">
      <c r="A1280" s="249"/>
      <c r="B1280" s="249"/>
      <c r="C1280" s="249"/>
      <c r="D1280" s="249"/>
      <c r="E1280" s="249"/>
      <c r="F1280" s="249"/>
      <c r="G1280" s="249"/>
      <c r="H1280" s="249"/>
      <c r="I1280" s="258"/>
      <c r="J1280" s="249"/>
      <c r="K1280" s="249"/>
      <c r="L1280" s="249"/>
      <c r="M1280" s="259"/>
      <c r="N1280" s="249"/>
      <c r="O1280" s="249"/>
      <c r="P1280" s="249"/>
      <c r="Q1280" s="249"/>
      <c r="R1280" s="249"/>
      <c r="S1280" s="249"/>
      <c r="T1280" s="249"/>
      <c r="U1280" s="249"/>
      <c r="V1280" s="249"/>
      <c r="W1280" s="249"/>
      <c r="X1280" s="249"/>
      <c r="Y1280" s="249"/>
      <c r="Z1280" s="249"/>
    </row>
    <row r="1281" spans="1:26" s="152" customFormat="1" x14ac:dyDescent="0.25">
      <c r="A1281" s="249"/>
      <c r="B1281" s="249"/>
      <c r="C1281" s="249"/>
      <c r="D1281" s="249"/>
      <c r="E1281" s="249"/>
      <c r="F1281" s="249"/>
      <c r="G1281" s="249"/>
      <c r="H1281" s="249"/>
      <c r="I1281" s="258"/>
      <c r="J1281" s="249"/>
      <c r="K1281" s="249"/>
      <c r="L1281" s="249"/>
      <c r="M1281" s="259"/>
      <c r="N1281" s="249"/>
      <c r="O1281" s="249"/>
      <c r="P1281" s="249"/>
      <c r="Q1281" s="249"/>
      <c r="R1281" s="249"/>
      <c r="S1281" s="249"/>
      <c r="T1281" s="249"/>
      <c r="U1281" s="249"/>
      <c r="V1281" s="249"/>
      <c r="W1281" s="249"/>
      <c r="X1281" s="249"/>
      <c r="Y1281" s="249"/>
      <c r="Z1281" s="249"/>
    </row>
    <row r="1282" spans="1:26" s="152" customFormat="1" x14ac:dyDescent="0.25">
      <c r="A1282" s="249"/>
      <c r="B1282" s="249"/>
      <c r="C1282" s="249"/>
      <c r="D1282" s="249"/>
      <c r="E1282" s="249"/>
      <c r="F1282" s="249"/>
      <c r="G1282" s="249"/>
      <c r="H1282" s="249"/>
      <c r="I1282" s="258"/>
      <c r="J1282" s="249"/>
      <c r="K1282" s="249"/>
      <c r="L1282" s="249"/>
      <c r="M1282" s="259"/>
      <c r="N1282" s="249"/>
      <c r="O1282" s="249"/>
      <c r="P1282" s="249"/>
      <c r="Q1282" s="249"/>
      <c r="R1282" s="249"/>
      <c r="S1282" s="249"/>
      <c r="T1282" s="249"/>
      <c r="U1282" s="249"/>
      <c r="V1282" s="249"/>
      <c r="W1282" s="249"/>
      <c r="X1282" s="249"/>
      <c r="Y1282" s="249"/>
      <c r="Z1282" s="249"/>
    </row>
    <row r="1283" spans="1:26" s="152" customFormat="1" x14ac:dyDescent="0.25">
      <c r="A1283" s="249"/>
      <c r="B1283" s="249"/>
      <c r="C1283" s="249"/>
      <c r="D1283" s="249"/>
      <c r="E1283" s="249"/>
      <c r="F1283" s="249"/>
      <c r="G1283" s="249"/>
      <c r="H1283" s="249"/>
      <c r="I1283" s="258"/>
      <c r="J1283" s="249"/>
      <c r="K1283" s="249"/>
      <c r="L1283" s="249"/>
      <c r="M1283" s="259"/>
      <c r="N1283" s="249"/>
      <c r="O1283" s="249"/>
      <c r="P1283" s="249"/>
      <c r="Q1283" s="249"/>
      <c r="R1283" s="249"/>
      <c r="S1283" s="249"/>
      <c r="T1283" s="249"/>
      <c r="U1283" s="249"/>
      <c r="V1283" s="249"/>
      <c r="W1283" s="249"/>
      <c r="X1283" s="249"/>
      <c r="Y1283" s="249"/>
      <c r="Z1283" s="249"/>
    </row>
    <row r="1284" spans="1:26" s="152" customFormat="1" x14ac:dyDescent="0.25">
      <c r="A1284" s="249"/>
      <c r="B1284" s="249"/>
      <c r="C1284" s="249"/>
      <c r="D1284" s="249"/>
      <c r="E1284" s="249"/>
      <c r="F1284" s="249"/>
      <c r="G1284" s="249"/>
      <c r="H1284" s="249"/>
      <c r="I1284" s="258"/>
      <c r="J1284" s="249"/>
      <c r="K1284" s="249"/>
      <c r="L1284" s="249"/>
      <c r="M1284" s="259"/>
      <c r="N1284" s="249"/>
      <c r="O1284" s="249"/>
      <c r="P1284" s="249"/>
      <c r="Q1284" s="249"/>
      <c r="R1284" s="249"/>
      <c r="S1284" s="249"/>
      <c r="T1284" s="249"/>
      <c r="U1284" s="249"/>
      <c r="V1284" s="249"/>
      <c r="W1284" s="249"/>
      <c r="X1284" s="249"/>
      <c r="Y1284" s="249"/>
      <c r="Z1284" s="249"/>
    </row>
    <row r="1285" spans="1:26" s="152" customFormat="1" x14ac:dyDescent="0.25">
      <c r="A1285" s="249"/>
      <c r="B1285" s="249"/>
      <c r="C1285" s="249"/>
      <c r="D1285" s="249"/>
      <c r="E1285" s="249"/>
      <c r="F1285" s="249"/>
      <c r="G1285" s="249"/>
      <c r="H1285" s="249"/>
      <c r="I1285" s="258"/>
      <c r="J1285" s="249"/>
      <c r="K1285" s="249"/>
      <c r="L1285" s="249"/>
      <c r="M1285" s="259"/>
      <c r="N1285" s="249"/>
      <c r="O1285" s="249"/>
      <c r="P1285" s="249"/>
      <c r="Q1285" s="249"/>
      <c r="R1285" s="249"/>
      <c r="S1285" s="249"/>
      <c r="T1285" s="249"/>
      <c r="U1285" s="249"/>
      <c r="V1285" s="249"/>
      <c r="W1285" s="249"/>
      <c r="X1285" s="249"/>
      <c r="Y1285" s="249"/>
      <c r="Z1285" s="249"/>
    </row>
    <row r="1286" spans="1:26" s="152" customFormat="1" x14ac:dyDescent="0.25">
      <c r="A1286" s="249"/>
      <c r="B1286" s="249"/>
      <c r="C1286" s="249"/>
      <c r="D1286" s="249"/>
      <c r="E1286" s="249"/>
      <c r="F1286" s="249"/>
      <c r="G1286" s="249"/>
      <c r="H1286" s="249"/>
      <c r="I1286" s="258"/>
      <c r="J1286" s="249"/>
      <c r="K1286" s="249"/>
      <c r="L1286" s="249"/>
      <c r="M1286" s="259"/>
      <c r="N1286" s="249"/>
      <c r="O1286" s="249"/>
      <c r="P1286" s="249"/>
      <c r="Q1286" s="249"/>
      <c r="R1286" s="249"/>
      <c r="S1286" s="249"/>
      <c r="T1286" s="249"/>
      <c r="U1286" s="249"/>
      <c r="V1286" s="249"/>
      <c r="W1286" s="249"/>
      <c r="X1286" s="249"/>
      <c r="Y1286" s="249"/>
      <c r="Z1286" s="249"/>
    </row>
    <row r="1287" spans="1:26" s="152" customFormat="1" x14ac:dyDescent="0.25">
      <c r="A1287" s="249"/>
      <c r="B1287" s="249"/>
      <c r="C1287" s="249"/>
      <c r="D1287" s="249"/>
      <c r="E1287" s="249"/>
      <c r="F1287" s="249"/>
      <c r="G1287" s="249"/>
      <c r="H1287" s="249"/>
      <c r="I1287" s="258"/>
      <c r="J1287" s="249"/>
      <c r="K1287" s="249"/>
      <c r="L1287" s="249"/>
      <c r="M1287" s="259"/>
      <c r="N1287" s="249"/>
      <c r="O1287" s="249"/>
      <c r="P1287" s="249"/>
      <c r="Q1287" s="249"/>
      <c r="R1287" s="249"/>
      <c r="S1287" s="249"/>
      <c r="T1287" s="249"/>
      <c r="U1287" s="249"/>
      <c r="V1287" s="249"/>
      <c r="W1287" s="249"/>
      <c r="X1287" s="249"/>
      <c r="Y1287" s="249"/>
      <c r="Z1287" s="249"/>
    </row>
    <row r="1288" spans="1:26" s="152" customFormat="1" x14ac:dyDescent="0.25">
      <c r="A1288" s="249"/>
      <c r="B1288" s="249"/>
      <c r="C1288" s="249"/>
      <c r="D1288" s="249"/>
      <c r="E1288" s="249"/>
      <c r="F1288" s="249"/>
      <c r="G1288" s="249"/>
      <c r="H1288" s="249"/>
      <c r="I1288" s="258"/>
      <c r="J1288" s="249"/>
      <c r="K1288" s="249"/>
      <c r="L1288" s="249"/>
      <c r="M1288" s="259"/>
      <c r="N1288" s="249"/>
      <c r="O1288" s="249"/>
      <c r="P1288" s="249"/>
      <c r="Q1288" s="249"/>
      <c r="R1288" s="249"/>
      <c r="S1288" s="249"/>
      <c r="T1288" s="249"/>
      <c r="U1288" s="249"/>
      <c r="V1288" s="249"/>
      <c r="W1288" s="249"/>
      <c r="X1288" s="249"/>
      <c r="Y1288" s="249"/>
      <c r="Z1288" s="249"/>
    </row>
    <row r="1289" spans="1:26" s="152" customFormat="1" x14ac:dyDescent="0.25">
      <c r="A1289" s="249"/>
      <c r="B1289" s="249"/>
      <c r="C1289" s="249"/>
      <c r="D1289" s="249"/>
      <c r="E1289" s="249"/>
      <c r="F1289" s="249"/>
      <c r="G1289" s="249"/>
      <c r="H1289" s="249"/>
      <c r="I1289" s="258"/>
      <c r="J1289" s="249"/>
      <c r="K1289" s="249"/>
      <c r="L1289" s="249"/>
      <c r="M1289" s="259"/>
      <c r="N1289" s="249"/>
      <c r="O1289" s="249"/>
      <c r="P1289" s="249"/>
      <c r="Q1289" s="249"/>
      <c r="R1289" s="249"/>
      <c r="S1289" s="249"/>
      <c r="T1289" s="249"/>
      <c r="U1289" s="249"/>
      <c r="V1289" s="249"/>
      <c r="W1289" s="249"/>
      <c r="X1289" s="249"/>
      <c r="Y1289" s="249"/>
      <c r="Z1289" s="249"/>
    </row>
    <row r="1290" spans="1:26" s="152" customFormat="1" x14ac:dyDescent="0.25">
      <c r="A1290" s="249"/>
      <c r="B1290" s="249"/>
      <c r="C1290" s="249"/>
      <c r="D1290" s="249"/>
      <c r="E1290" s="249"/>
      <c r="F1290" s="249"/>
      <c r="G1290" s="249"/>
      <c r="H1290" s="249"/>
      <c r="I1290" s="258"/>
      <c r="J1290" s="249"/>
      <c r="K1290" s="249"/>
      <c r="L1290" s="249"/>
      <c r="M1290" s="259"/>
      <c r="N1290" s="249"/>
      <c r="O1290" s="249"/>
      <c r="P1290" s="249"/>
      <c r="Q1290" s="249"/>
      <c r="R1290" s="249"/>
      <c r="S1290" s="249"/>
      <c r="T1290" s="249"/>
      <c r="U1290" s="249"/>
      <c r="V1290" s="249"/>
      <c r="W1290" s="249"/>
      <c r="X1290" s="249"/>
      <c r="Y1290" s="249"/>
      <c r="Z1290" s="249"/>
    </row>
    <row r="1291" spans="1:26" s="152" customFormat="1" x14ac:dyDescent="0.25">
      <c r="A1291" s="249"/>
      <c r="B1291" s="249"/>
      <c r="C1291" s="249"/>
      <c r="D1291" s="249"/>
      <c r="E1291" s="249"/>
      <c r="F1291" s="249"/>
      <c r="G1291" s="249"/>
      <c r="H1291" s="249"/>
      <c r="I1291" s="258"/>
      <c r="J1291" s="249"/>
      <c r="K1291" s="249"/>
      <c r="L1291" s="249"/>
      <c r="M1291" s="259"/>
      <c r="N1291" s="249"/>
      <c r="O1291" s="249"/>
      <c r="P1291" s="249"/>
      <c r="Q1291" s="249"/>
      <c r="R1291" s="249"/>
      <c r="S1291" s="249"/>
      <c r="T1291" s="249"/>
      <c r="U1291" s="249"/>
      <c r="V1291" s="249"/>
      <c r="W1291" s="249"/>
      <c r="X1291" s="249"/>
      <c r="Y1291" s="249"/>
      <c r="Z1291" s="249"/>
    </row>
    <row r="1292" spans="1:26" s="152" customFormat="1" x14ac:dyDescent="0.25">
      <c r="A1292" s="249"/>
      <c r="B1292" s="249"/>
      <c r="C1292" s="249"/>
      <c r="D1292" s="249"/>
      <c r="E1292" s="249"/>
      <c r="F1292" s="249"/>
      <c r="G1292" s="249"/>
      <c r="H1292" s="249"/>
      <c r="I1292" s="258"/>
      <c r="J1292" s="249"/>
      <c r="K1292" s="249"/>
      <c r="L1292" s="249"/>
      <c r="M1292" s="259"/>
      <c r="N1292" s="249"/>
      <c r="O1292" s="249"/>
      <c r="P1292" s="249"/>
      <c r="Q1292" s="249"/>
      <c r="R1292" s="249"/>
      <c r="S1292" s="249"/>
      <c r="T1292" s="249"/>
      <c r="U1292" s="249"/>
      <c r="V1292" s="249"/>
      <c r="W1292" s="249"/>
      <c r="X1292" s="249"/>
      <c r="Y1292" s="249"/>
      <c r="Z1292" s="249"/>
    </row>
    <row r="1293" spans="1:26" s="152" customFormat="1" x14ac:dyDescent="0.25">
      <c r="A1293" s="249"/>
      <c r="B1293" s="249"/>
      <c r="C1293" s="249"/>
      <c r="D1293" s="249"/>
      <c r="E1293" s="249"/>
      <c r="F1293" s="249"/>
      <c r="G1293" s="249"/>
      <c r="H1293" s="249"/>
      <c r="I1293" s="258"/>
      <c r="J1293" s="249"/>
      <c r="K1293" s="249"/>
      <c r="L1293" s="249"/>
      <c r="M1293" s="259"/>
      <c r="N1293" s="249"/>
      <c r="O1293" s="249"/>
      <c r="P1293" s="249"/>
      <c r="Q1293" s="249"/>
      <c r="R1293" s="249"/>
      <c r="S1293" s="249"/>
      <c r="T1293" s="249"/>
      <c r="U1293" s="249"/>
      <c r="V1293" s="249"/>
      <c r="W1293" s="249"/>
      <c r="X1293" s="249"/>
      <c r="Y1293" s="249"/>
      <c r="Z1293" s="249"/>
    </row>
    <row r="1294" spans="1:26" s="152" customFormat="1" x14ac:dyDescent="0.25">
      <c r="A1294" s="249"/>
      <c r="B1294" s="249"/>
      <c r="C1294" s="249"/>
      <c r="D1294" s="249"/>
      <c r="E1294" s="249"/>
      <c r="F1294" s="249"/>
      <c r="G1294" s="249"/>
      <c r="H1294" s="249"/>
      <c r="I1294" s="258"/>
      <c r="J1294" s="249"/>
      <c r="K1294" s="249"/>
      <c r="L1294" s="249"/>
      <c r="M1294" s="259"/>
      <c r="N1294" s="249"/>
      <c r="O1294" s="249"/>
      <c r="P1294" s="249"/>
      <c r="Q1294" s="249"/>
      <c r="R1294" s="249"/>
      <c r="S1294" s="249"/>
      <c r="T1294" s="249"/>
      <c r="U1294" s="249"/>
      <c r="V1294" s="249"/>
      <c r="W1294" s="249"/>
      <c r="X1294" s="249"/>
      <c r="Y1294" s="249"/>
      <c r="Z1294" s="249"/>
    </row>
    <row r="1295" spans="1:26" s="152" customFormat="1" x14ac:dyDescent="0.25">
      <c r="A1295" s="249"/>
      <c r="B1295" s="249"/>
      <c r="C1295" s="249"/>
      <c r="D1295" s="249"/>
      <c r="E1295" s="249"/>
      <c r="F1295" s="249"/>
      <c r="G1295" s="249"/>
      <c r="H1295" s="249"/>
      <c r="I1295" s="258"/>
      <c r="J1295" s="249"/>
      <c r="K1295" s="249"/>
      <c r="L1295" s="249"/>
      <c r="M1295" s="259"/>
      <c r="N1295" s="249"/>
      <c r="O1295" s="249"/>
      <c r="P1295" s="249"/>
      <c r="Q1295" s="249"/>
      <c r="R1295" s="249"/>
      <c r="S1295" s="249"/>
      <c r="T1295" s="249"/>
      <c r="U1295" s="249"/>
      <c r="V1295" s="249"/>
      <c r="W1295" s="249"/>
      <c r="X1295" s="249"/>
      <c r="Y1295" s="249"/>
      <c r="Z1295" s="249"/>
    </row>
    <row r="1296" spans="1:26" s="152" customFormat="1" x14ac:dyDescent="0.25">
      <c r="A1296" s="249"/>
      <c r="B1296" s="249"/>
      <c r="C1296" s="249"/>
      <c r="D1296" s="249"/>
      <c r="E1296" s="249"/>
      <c r="F1296" s="249"/>
      <c r="G1296" s="249"/>
      <c r="H1296" s="249"/>
      <c r="I1296" s="258"/>
      <c r="J1296" s="249"/>
      <c r="K1296" s="249"/>
      <c r="L1296" s="249"/>
      <c r="M1296" s="259"/>
      <c r="N1296" s="249"/>
      <c r="O1296" s="249"/>
      <c r="P1296" s="249"/>
      <c r="Q1296" s="249"/>
      <c r="R1296" s="249"/>
      <c r="S1296" s="249"/>
      <c r="T1296" s="249"/>
      <c r="U1296" s="249"/>
      <c r="V1296" s="249"/>
      <c r="W1296" s="249"/>
      <c r="X1296" s="249"/>
      <c r="Y1296" s="249"/>
      <c r="Z1296" s="249"/>
    </row>
    <row r="1297" spans="1:26" s="152" customFormat="1" x14ac:dyDescent="0.25">
      <c r="A1297" s="249"/>
      <c r="B1297" s="249"/>
      <c r="C1297" s="249"/>
      <c r="D1297" s="249"/>
      <c r="E1297" s="249"/>
      <c r="F1297" s="249"/>
      <c r="G1297" s="249"/>
      <c r="H1297" s="249"/>
      <c r="I1297" s="258"/>
      <c r="J1297" s="249"/>
      <c r="K1297" s="249"/>
      <c r="L1297" s="249"/>
      <c r="M1297" s="259"/>
      <c r="N1297" s="249"/>
      <c r="O1297" s="249"/>
      <c r="P1297" s="249"/>
      <c r="Q1297" s="249"/>
      <c r="R1297" s="249"/>
      <c r="S1297" s="249"/>
      <c r="T1297" s="249"/>
      <c r="U1297" s="249"/>
      <c r="V1297" s="249"/>
      <c r="W1297" s="249"/>
      <c r="X1297" s="249"/>
      <c r="Y1297" s="249"/>
      <c r="Z1297" s="249"/>
    </row>
    <row r="1298" spans="1:26" s="152" customFormat="1" x14ac:dyDescent="0.25">
      <c r="A1298" s="249"/>
      <c r="B1298" s="249"/>
      <c r="C1298" s="249"/>
      <c r="D1298" s="249"/>
      <c r="E1298" s="249"/>
      <c r="F1298" s="249"/>
      <c r="G1298" s="249"/>
      <c r="H1298" s="249"/>
      <c r="I1298" s="258"/>
      <c r="J1298" s="249"/>
      <c r="K1298" s="249"/>
      <c r="L1298" s="249"/>
      <c r="M1298" s="259"/>
      <c r="N1298" s="249"/>
      <c r="O1298" s="249"/>
      <c r="P1298" s="249"/>
      <c r="Q1298" s="249"/>
      <c r="R1298" s="249"/>
      <c r="S1298" s="249"/>
      <c r="T1298" s="249"/>
      <c r="U1298" s="249"/>
      <c r="V1298" s="249"/>
      <c r="W1298" s="249"/>
      <c r="X1298" s="249"/>
      <c r="Y1298" s="249"/>
      <c r="Z1298" s="249"/>
    </row>
    <row r="1299" spans="1:26" s="152" customFormat="1" x14ac:dyDescent="0.25">
      <c r="A1299" s="249"/>
      <c r="B1299" s="249"/>
      <c r="C1299" s="249"/>
      <c r="D1299" s="249"/>
      <c r="E1299" s="249"/>
      <c r="F1299" s="249"/>
      <c r="G1299" s="249"/>
      <c r="H1299" s="249"/>
      <c r="I1299" s="258"/>
      <c r="J1299" s="249"/>
      <c r="K1299" s="249"/>
      <c r="L1299" s="249"/>
      <c r="M1299" s="259"/>
      <c r="N1299" s="249"/>
      <c r="O1299" s="249"/>
      <c r="P1299" s="249"/>
      <c r="Q1299" s="249"/>
      <c r="R1299" s="249"/>
      <c r="S1299" s="249"/>
      <c r="T1299" s="249"/>
      <c r="U1299" s="249"/>
      <c r="V1299" s="249"/>
      <c r="W1299" s="249"/>
      <c r="X1299" s="249"/>
      <c r="Y1299" s="249"/>
      <c r="Z1299" s="249"/>
    </row>
    <row r="1300" spans="1:26" s="152" customFormat="1" x14ac:dyDescent="0.25">
      <c r="A1300" s="249"/>
      <c r="B1300" s="249"/>
      <c r="C1300" s="249"/>
      <c r="D1300" s="249"/>
      <c r="E1300" s="249"/>
      <c r="F1300" s="249"/>
      <c r="G1300" s="249"/>
      <c r="H1300" s="249"/>
      <c r="I1300" s="258"/>
      <c r="J1300" s="249"/>
      <c r="K1300" s="249"/>
      <c r="L1300" s="249"/>
      <c r="M1300" s="259"/>
      <c r="N1300" s="249"/>
      <c r="O1300" s="249"/>
      <c r="P1300" s="249"/>
      <c r="Q1300" s="249"/>
      <c r="R1300" s="249"/>
      <c r="S1300" s="249"/>
      <c r="T1300" s="249"/>
      <c r="U1300" s="249"/>
      <c r="V1300" s="249"/>
      <c r="W1300" s="249"/>
      <c r="X1300" s="249"/>
      <c r="Y1300" s="249"/>
      <c r="Z1300" s="249"/>
    </row>
    <row r="1301" spans="1:26" s="152" customFormat="1" x14ac:dyDescent="0.25">
      <c r="A1301" s="249"/>
      <c r="B1301" s="249"/>
      <c r="C1301" s="249"/>
      <c r="D1301" s="249"/>
      <c r="E1301" s="249"/>
      <c r="F1301" s="249"/>
      <c r="G1301" s="249"/>
      <c r="H1301" s="249"/>
      <c r="I1301" s="258"/>
      <c r="J1301" s="249"/>
      <c r="K1301" s="249"/>
      <c r="L1301" s="249"/>
      <c r="M1301" s="259"/>
      <c r="N1301" s="249"/>
      <c r="O1301" s="249"/>
      <c r="P1301" s="249"/>
      <c r="Q1301" s="249"/>
      <c r="R1301" s="249"/>
      <c r="S1301" s="249"/>
      <c r="T1301" s="249"/>
      <c r="U1301" s="249"/>
      <c r="V1301" s="249"/>
      <c r="W1301" s="249"/>
      <c r="X1301" s="249"/>
      <c r="Y1301" s="249"/>
      <c r="Z1301" s="249"/>
    </row>
    <row r="1302" spans="1:26" s="152" customFormat="1" x14ac:dyDescent="0.25">
      <c r="A1302" s="249"/>
      <c r="B1302" s="249"/>
      <c r="C1302" s="249"/>
      <c r="D1302" s="249"/>
      <c r="E1302" s="249"/>
      <c r="F1302" s="249"/>
      <c r="G1302" s="249"/>
      <c r="H1302" s="249"/>
      <c r="I1302" s="258"/>
      <c r="J1302" s="249"/>
      <c r="K1302" s="249"/>
      <c r="L1302" s="249"/>
      <c r="M1302" s="259"/>
      <c r="N1302" s="249"/>
      <c r="O1302" s="249"/>
      <c r="P1302" s="249"/>
      <c r="Q1302" s="249"/>
      <c r="R1302" s="249"/>
      <c r="S1302" s="249"/>
      <c r="T1302" s="249"/>
      <c r="U1302" s="249"/>
      <c r="V1302" s="249"/>
      <c r="W1302" s="249"/>
      <c r="X1302" s="249"/>
      <c r="Y1302" s="249"/>
      <c r="Z1302" s="249"/>
    </row>
    <row r="1303" spans="1:26" s="152" customFormat="1" x14ac:dyDescent="0.25">
      <c r="A1303" s="249"/>
      <c r="B1303" s="249"/>
      <c r="C1303" s="249"/>
      <c r="D1303" s="249"/>
      <c r="E1303" s="249"/>
      <c r="F1303" s="249"/>
      <c r="G1303" s="249"/>
      <c r="H1303" s="249"/>
      <c r="I1303" s="258"/>
      <c r="J1303" s="249"/>
      <c r="K1303" s="249"/>
      <c r="L1303" s="249"/>
      <c r="M1303" s="259"/>
      <c r="N1303" s="249"/>
      <c r="O1303" s="249"/>
      <c r="P1303" s="249"/>
      <c r="Q1303" s="249"/>
      <c r="R1303" s="249"/>
      <c r="S1303" s="249"/>
      <c r="T1303" s="249"/>
      <c r="U1303" s="249"/>
      <c r="V1303" s="249"/>
      <c r="W1303" s="249"/>
      <c r="X1303" s="249"/>
      <c r="Y1303" s="249"/>
      <c r="Z1303" s="249"/>
    </row>
    <row r="1304" spans="1:26" s="152" customFormat="1" x14ac:dyDescent="0.25">
      <c r="A1304" s="249"/>
      <c r="B1304" s="249"/>
      <c r="C1304" s="249"/>
      <c r="D1304" s="249"/>
      <c r="E1304" s="249"/>
      <c r="F1304" s="249"/>
      <c r="G1304" s="249"/>
      <c r="H1304" s="249"/>
      <c r="I1304" s="258"/>
      <c r="J1304" s="249"/>
      <c r="K1304" s="249"/>
      <c r="L1304" s="249"/>
      <c r="M1304" s="259"/>
      <c r="N1304" s="249"/>
      <c r="O1304" s="249"/>
      <c r="P1304" s="249"/>
      <c r="Q1304" s="249"/>
      <c r="R1304" s="249"/>
      <c r="S1304" s="249"/>
      <c r="T1304" s="249"/>
      <c r="U1304" s="249"/>
      <c r="V1304" s="249"/>
      <c r="W1304" s="249"/>
      <c r="X1304" s="249"/>
      <c r="Y1304" s="249"/>
      <c r="Z1304" s="249"/>
    </row>
    <row r="1305" spans="1:26" s="152" customFormat="1" x14ac:dyDescent="0.25">
      <c r="A1305" s="249"/>
      <c r="B1305" s="249"/>
      <c r="C1305" s="249"/>
      <c r="D1305" s="249"/>
      <c r="E1305" s="249"/>
      <c r="F1305" s="249"/>
      <c r="G1305" s="249"/>
      <c r="H1305" s="249"/>
      <c r="I1305" s="258"/>
      <c r="J1305" s="249"/>
      <c r="K1305" s="249"/>
      <c r="L1305" s="249"/>
      <c r="M1305" s="259"/>
      <c r="N1305" s="249"/>
      <c r="O1305" s="249"/>
      <c r="P1305" s="249"/>
      <c r="Q1305" s="249"/>
      <c r="R1305" s="249"/>
      <c r="S1305" s="249"/>
      <c r="T1305" s="249"/>
      <c r="U1305" s="249"/>
      <c r="V1305" s="249"/>
      <c r="W1305" s="249"/>
      <c r="X1305" s="249"/>
      <c r="Y1305" s="249"/>
      <c r="Z1305" s="249"/>
    </row>
    <row r="1306" spans="1:26" s="152" customFormat="1" x14ac:dyDescent="0.25">
      <c r="A1306" s="249"/>
      <c r="B1306" s="249"/>
      <c r="C1306" s="249"/>
      <c r="D1306" s="249"/>
      <c r="E1306" s="249"/>
      <c r="F1306" s="249"/>
      <c r="G1306" s="249"/>
      <c r="H1306" s="249"/>
      <c r="I1306" s="258"/>
      <c r="J1306" s="249"/>
      <c r="K1306" s="249"/>
      <c r="L1306" s="249"/>
      <c r="M1306" s="259"/>
      <c r="N1306" s="249"/>
      <c r="O1306" s="249"/>
      <c r="P1306" s="249"/>
      <c r="Q1306" s="249"/>
      <c r="R1306" s="249"/>
      <c r="S1306" s="249"/>
      <c r="T1306" s="249"/>
      <c r="U1306" s="249"/>
      <c r="V1306" s="249"/>
      <c r="W1306" s="249"/>
      <c r="X1306" s="249"/>
      <c r="Y1306" s="249"/>
      <c r="Z1306" s="249"/>
    </row>
    <row r="1307" spans="1:26" s="152" customFormat="1" x14ac:dyDescent="0.25">
      <c r="A1307" s="249"/>
      <c r="B1307" s="249"/>
      <c r="C1307" s="249"/>
      <c r="D1307" s="249"/>
      <c r="E1307" s="249"/>
      <c r="F1307" s="249"/>
      <c r="G1307" s="249"/>
      <c r="H1307" s="249"/>
      <c r="I1307" s="258"/>
      <c r="J1307" s="249"/>
      <c r="K1307" s="249"/>
      <c r="L1307" s="249"/>
      <c r="M1307" s="259"/>
      <c r="N1307" s="249"/>
      <c r="O1307" s="249"/>
      <c r="P1307" s="249"/>
      <c r="Q1307" s="249"/>
      <c r="R1307" s="249"/>
      <c r="S1307" s="249"/>
      <c r="T1307" s="249"/>
      <c r="U1307" s="249"/>
      <c r="V1307" s="249"/>
      <c r="W1307" s="249"/>
      <c r="X1307" s="249"/>
      <c r="Y1307" s="249"/>
      <c r="Z1307" s="249"/>
    </row>
    <row r="1308" spans="1:26" s="152" customFormat="1" x14ac:dyDescent="0.25">
      <c r="A1308" s="249"/>
      <c r="B1308" s="249"/>
      <c r="C1308" s="249"/>
      <c r="D1308" s="249"/>
      <c r="E1308" s="249"/>
      <c r="F1308" s="249"/>
      <c r="G1308" s="249"/>
      <c r="H1308" s="249"/>
      <c r="I1308" s="258"/>
      <c r="J1308" s="249"/>
      <c r="K1308" s="249"/>
      <c r="L1308" s="249"/>
      <c r="M1308" s="259"/>
      <c r="N1308" s="249"/>
      <c r="O1308" s="249"/>
      <c r="P1308" s="249"/>
      <c r="Q1308" s="249"/>
      <c r="R1308" s="249"/>
      <c r="S1308" s="249"/>
      <c r="T1308" s="249"/>
      <c r="U1308" s="249"/>
      <c r="V1308" s="249"/>
      <c r="W1308" s="249"/>
      <c r="X1308" s="249"/>
      <c r="Y1308" s="249"/>
      <c r="Z1308" s="249"/>
    </row>
    <row r="1309" spans="1:26" s="152" customFormat="1" x14ac:dyDescent="0.25">
      <c r="A1309" s="249"/>
      <c r="B1309" s="249"/>
      <c r="C1309" s="249"/>
      <c r="D1309" s="249"/>
      <c r="E1309" s="249"/>
      <c r="F1309" s="249"/>
      <c r="G1309" s="249"/>
      <c r="H1309" s="249"/>
      <c r="I1309" s="258"/>
      <c r="J1309" s="249"/>
      <c r="K1309" s="249"/>
      <c r="L1309" s="249"/>
      <c r="M1309" s="259"/>
      <c r="N1309" s="249"/>
      <c r="O1309" s="249"/>
      <c r="P1309" s="249"/>
      <c r="Q1309" s="249"/>
      <c r="R1309" s="249"/>
      <c r="S1309" s="249"/>
      <c r="T1309" s="249"/>
      <c r="U1309" s="249"/>
      <c r="V1309" s="249"/>
      <c r="W1309" s="249"/>
      <c r="X1309" s="249"/>
      <c r="Y1309" s="249"/>
      <c r="Z1309" s="249"/>
    </row>
    <row r="1310" spans="1:26" s="152" customFormat="1" x14ac:dyDescent="0.25">
      <c r="A1310" s="249"/>
      <c r="B1310" s="249"/>
      <c r="C1310" s="249"/>
      <c r="D1310" s="249"/>
      <c r="E1310" s="249"/>
      <c r="F1310" s="249"/>
      <c r="G1310" s="249"/>
      <c r="H1310" s="249"/>
      <c r="I1310" s="258"/>
      <c r="J1310" s="249"/>
      <c r="K1310" s="249"/>
      <c r="L1310" s="249"/>
      <c r="M1310" s="259"/>
      <c r="N1310" s="249"/>
      <c r="O1310" s="249"/>
      <c r="P1310" s="249"/>
      <c r="Q1310" s="249"/>
      <c r="R1310" s="249"/>
      <c r="S1310" s="249"/>
      <c r="T1310" s="249"/>
      <c r="U1310" s="249"/>
      <c r="V1310" s="249"/>
      <c r="W1310" s="249"/>
      <c r="X1310" s="249"/>
      <c r="Y1310" s="249"/>
      <c r="Z1310" s="249"/>
    </row>
    <row r="1311" spans="1:26" s="152" customFormat="1" x14ac:dyDescent="0.25">
      <c r="A1311" s="249"/>
      <c r="B1311" s="249"/>
      <c r="C1311" s="249"/>
      <c r="D1311" s="249"/>
      <c r="E1311" s="249"/>
      <c r="F1311" s="249"/>
      <c r="G1311" s="249"/>
      <c r="H1311" s="249"/>
      <c r="I1311" s="258"/>
      <c r="J1311" s="249"/>
      <c r="K1311" s="249"/>
      <c r="L1311" s="249"/>
      <c r="M1311" s="259"/>
      <c r="N1311" s="249"/>
      <c r="O1311" s="249"/>
      <c r="P1311" s="249"/>
      <c r="Q1311" s="249"/>
      <c r="R1311" s="249"/>
      <c r="S1311" s="249"/>
      <c r="T1311" s="249"/>
      <c r="U1311" s="249"/>
      <c r="V1311" s="249"/>
      <c r="W1311" s="249"/>
      <c r="X1311" s="249"/>
      <c r="Y1311" s="249"/>
      <c r="Z1311" s="249"/>
    </row>
    <row r="1312" spans="1:26" s="152" customFormat="1" x14ac:dyDescent="0.25">
      <c r="A1312" s="249"/>
      <c r="B1312" s="249"/>
      <c r="C1312" s="249"/>
      <c r="D1312" s="249"/>
      <c r="E1312" s="249"/>
      <c r="F1312" s="249"/>
      <c r="G1312" s="249"/>
      <c r="H1312" s="249"/>
      <c r="I1312" s="258"/>
      <c r="J1312" s="249"/>
      <c r="K1312" s="249"/>
      <c r="L1312" s="249"/>
      <c r="M1312" s="259"/>
      <c r="N1312" s="249"/>
      <c r="O1312" s="249"/>
      <c r="P1312" s="249"/>
      <c r="Q1312" s="249"/>
      <c r="R1312" s="249"/>
      <c r="S1312" s="249"/>
      <c r="T1312" s="249"/>
      <c r="U1312" s="249"/>
      <c r="V1312" s="249"/>
      <c r="W1312" s="249"/>
      <c r="X1312" s="249"/>
      <c r="Y1312" s="249"/>
      <c r="Z1312" s="249"/>
    </row>
    <row r="1313" spans="1:26" s="152" customFormat="1" x14ac:dyDescent="0.25">
      <c r="A1313" s="249"/>
      <c r="B1313" s="249"/>
      <c r="C1313" s="249"/>
      <c r="D1313" s="249"/>
      <c r="E1313" s="249"/>
      <c r="F1313" s="249"/>
      <c r="G1313" s="249"/>
      <c r="H1313" s="249"/>
      <c r="I1313" s="258"/>
      <c r="J1313" s="249"/>
      <c r="K1313" s="249"/>
      <c r="L1313" s="249"/>
      <c r="M1313" s="259"/>
      <c r="N1313" s="249"/>
      <c r="O1313" s="249"/>
      <c r="P1313" s="249"/>
      <c r="Q1313" s="249"/>
      <c r="R1313" s="249"/>
      <c r="S1313" s="249"/>
      <c r="T1313" s="249"/>
      <c r="U1313" s="249"/>
      <c r="V1313" s="249"/>
      <c r="W1313" s="249"/>
      <c r="X1313" s="249"/>
      <c r="Y1313" s="249"/>
      <c r="Z1313" s="249"/>
    </row>
    <row r="1314" spans="1:26" s="152" customFormat="1" x14ac:dyDescent="0.25">
      <c r="A1314" s="249"/>
      <c r="B1314" s="249"/>
      <c r="C1314" s="249"/>
      <c r="D1314" s="249"/>
      <c r="E1314" s="249"/>
      <c r="F1314" s="249"/>
      <c r="G1314" s="249"/>
      <c r="H1314" s="249"/>
      <c r="I1314" s="258"/>
      <c r="J1314" s="249"/>
      <c r="K1314" s="249"/>
      <c r="L1314" s="249"/>
      <c r="M1314" s="259"/>
      <c r="N1314" s="249"/>
      <c r="O1314" s="249"/>
      <c r="P1314" s="249"/>
      <c r="Q1314" s="249"/>
      <c r="R1314" s="249"/>
      <c r="S1314" s="249"/>
      <c r="T1314" s="249"/>
      <c r="U1314" s="249"/>
      <c r="V1314" s="249"/>
      <c r="W1314" s="249"/>
      <c r="X1314" s="249"/>
      <c r="Y1314" s="249"/>
      <c r="Z1314" s="249"/>
    </row>
    <row r="1315" spans="1:26" s="152" customFormat="1" x14ac:dyDescent="0.25">
      <c r="A1315" s="249"/>
      <c r="B1315" s="249"/>
      <c r="C1315" s="249"/>
      <c r="D1315" s="249"/>
      <c r="E1315" s="249"/>
      <c r="F1315" s="249"/>
      <c r="G1315" s="249"/>
      <c r="H1315" s="249"/>
      <c r="I1315" s="258"/>
      <c r="J1315" s="249"/>
      <c r="K1315" s="249"/>
      <c r="L1315" s="249"/>
      <c r="M1315" s="259"/>
      <c r="N1315" s="249"/>
      <c r="O1315" s="249"/>
      <c r="P1315" s="249"/>
      <c r="Q1315" s="249"/>
      <c r="R1315" s="249"/>
      <c r="S1315" s="249"/>
      <c r="T1315" s="249"/>
      <c r="U1315" s="249"/>
      <c r="V1315" s="249"/>
      <c r="W1315" s="249"/>
      <c r="X1315" s="249"/>
      <c r="Y1315" s="249"/>
      <c r="Z1315" s="249"/>
    </row>
    <row r="1316" spans="1:26" s="152" customFormat="1" x14ac:dyDescent="0.25">
      <c r="A1316" s="249"/>
      <c r="B1316" s="249"/>
      <c r="C1316" s="249"/>
      <c r="D1316" s="249"/>
      <c r="E1316" s="249"/>
      <c r="F1316" s="249"/>
      <c r="G1316" s="249"/>
      <c r="H1316" s="249"/>
      <c r="I1316" s="258"/>
      <c r="J1316" s="249"/>
      <c r="K1316" s="249"/>
      <c r="L1316" s="249"/>
      <c r="M1316" s="259"/>
      <c r="N1316" s="249"/>
      <c r="O1316" s="249"/>
      <c r="P1316" s="249"/>
      <c r="Q1316" s="249"/>
      <c r="R1316" s="249"/>
      <c r="S1316" s="249"/>
      <c r="T1316" s="249"/>
      <c r="U1316" s="249"/>
      <c r="V1316" s="249"/>
      <c r="W1316" s="249"/>
      <c r="X1316" s="249"/>
      <c r="Y1316" s="249"/>
      <c r="Z1316" s="249"/>
    </row>
    <row r="1317" spans="1:26" s="152" customFormat="1" x14ac:dyDescent="0.25">
      <c r="A1317" s="249"/>
      <c r="B1317" s="249"/>
      <c r="C1317" s="249"/>
      <c r="D1317" s="249"/>
      <c r="E1317" s="249"/>
      <c r="F1317" s="249"/>
      <c r="G1317" s="249"/>
      <c r="H1317" s="249"/>
      <c r="I1317" s="258"/>
      <c r="J1317" s="249"/>
      <c r="K1317" s="249"/>
      <c r="L1317" s="249"/>
      <c r="M1317" s="259"/>
      <c r="N1317" s="249"/>
      <c r="O1317" s="249"/>
      <c r="P1317" s="249"/>
      <c r="Q1317" s="249"/>
      <c r="R1317" s="249"/>
      <c r="S1317" s="249"/>
      <c r="T1317" s="249"/>
      <c r="U1317" s="249"/>
      <c r="V1317" s="249"/>
      <c r="W1317" s="249"/>
      <c r="X1317" s="249"/>
      <c r="Y1317" s="249"/>
      <c r="Z1317" s="249"/>
    </row>
    <row r="1318" spans="1:26" s="152" customFormat="1" x14ac:dyDescent="0.25">
      <c r="A1318" s="249"/>
      <c r="B1318" s="249"/>
      <c r="C1318" s="249"/>
      <c r="D1318" s="249"/>
      <c r="E1318" s="249"/>
      <c r="F1318" s="249"/>
      <c r="G1318" s="249"/>
      <c r="H1318" s="249"/>
      <c r="I1318" s="258"/>
      <c r="J1318" s="249"/>
      <c r="K1318" s="249"/>
      <c r="L1318" s="249"/>
      <c r="M1318" s="259"/>
      <c r="N1318" s="249"/>
      <c r="O1318" s="249"/>
      <c r="P1318" s="249"/>
      <c r="Q1318" s="249"/>
      <c r="R1318" s="249"/>
      <c r="S1318" s="249"/>
      <c r="T1318" s="249"/>
      <c r="U1318" s="249"/>
      <c r="V1318" s="249"/>
      <c r="W1318" s="249"/>
      <c r="X1318" s="249"/>
      <c r="Y1318" s="249"/>
      <c r="Z1318" s="249"/>
    </row>
    <row r="1319" spans="1:26" s="152" customFormat="1" x14ac:dyDescent="0.25">
      <c r="A1319" s="249"/>
      <c r="B1319" s="249"/>
      <c r="C1319" s="249"/>
      <c r="D1319" s="249"/>
      <c r="E1319" s="249"/>
      <c r="F1319" s="249"/>
      <c r="G1319" s="249"/>
      <c r="H1319" s="249"/>
      <c r="I1319" s="258"/>
      <c r="J1319" s="249"/>
      <c r="K1319" s="249"/>
      <c r="L1319" s="249"/>
      <c r="M1319" s="259"/>
      <c r="N1319" s="249"/>
      <c r="O1319" s="249"/>
      <c r="P1319" s="249"/>
      <c r="Q1319" s="249"/>
      <c r="R1319" s="249"/>
      <c r="S1319" s="249"/>
      <c r="T1319" s="249"/>
      <c r="U1319" s="249"/>
      <c r="V1319" s="249"/>
      <c r="W1319" s="249"/>
      <c r="X1319" s="249"/>
      <c r="Y1319" s="249"/>
      <c r="Z1319" s="249"/>
    </row>
    <row r="1320" spans="1:26" s="152" customFormat="1" x14ac:dyDescent="0.25">
      <c r="A1320" s="249"/>
      <c r="B1320" s="249"/>
      <c r="C1320" s="249"/>
      <c r="D1320" s="249"/>
      <c r="E1320" s="249"/>
      <c r="F1320" s="249"/>
      <c r="G1320" s="249"/>
      <c r="H1320" s="249"/>
      <c r="I1320" s="258"/>
      <c r="J1320" s="249"/>
      <c r="K1320" s="249"/>
      <c r="L1320" s="249"/>
      <c r="M1320" s="259"/>
      <c r="N1320" s="249"/>
      <c r="O1320" s="249"/>
      <c r="P1320" s="249"/>
      <c r="Q1320" s="249"/>
      <c r="R1320" s="249"/>
      <c r="S1320" s="249"/>
      <c r="T1320" s="249"/>
      <c r="U1320" s="249"/>
      <c r="V1320" s="249"/>
      <c r="W1320" s="249"/>
      <c r="X1320" s="249"/>
      <c r="Y1320" s="249"/>
      <c r="Z1320" s="249"/>
    </row>
    <row r="1321" spans="1:26" s="152" customFormat="1" x14ac:dyDescent="0.25">
      <c r="A1321" s="249"/>
      <c r="B1321" s="249"/>
      <c r="C1321" s="249"/>
      <c r="D1321" s="249"/>
      <c r="E1321" s="249"/>
      <c r="F1321" s="249"/>
      <c r="G1321" s="249"/>
      <c r="H1321" s="249"/>
      <c r="I1321" s="258"/>
      <c r="J1321" s="249"/>
      <c r="K1321" s="249"/>
      <c r="L1321" s="249"/>
      <c r="M1321" s="259"/>
      <c r="N1321" s="249"/>
      <c r="O1321" s="249"/>
      <c r="P1321" s="249"/>
      <c r="Q1321" s="249"/>
      <c r="R1321" s="249"/>
      <c r="S1321" s="249"/>
      <c r="T1321" s="249"/>
      <c r="U1321" s="249"/>
      <c r="V1321" s="249"/>
      <c r="W1321" s="249"/>
      <c r="X1321" s="249"/>
      <c r="Y1321" s="249"/>
      <c r="Z1321" s="249"/>
    </row>
    <row r="1322" spans="1:26" s="152" customFormat="1" x14ac:dyDescent="0.25">
      <c r="A1322" s="249"/>
      <c r="B1322" s="249"/>
      <c r="C1322" s="249"/>
      <c r="D1322" s="249"/>
      <c r="E1322" s="249"/>
      <c r="F1322" s="249"/>
      <c r="G1322" s="249"/>
      <c r="H1322" s="249"/>
      <c r="I1322" s="258"/>
      <c r="J1322" s="249"/>
      <c r="K1322" s="249"/>
      <c r="L1322" s="249"/>
      <c r="M1322" s="259"/>
      <c r="N1322" s="249"/>
      <c r="O1322" s="249"/>
      <c r="P1322" s="249"/>
      <c r="Q1322" s="249"/>
      <c r="R1322" s="249"/>
      <c r="S1322" s="249"/>
      <c r="T1322" s="249"/>
      <c r="U1322" s="249"/>
      <c r="V1322" s="249"/>
      <c r="W1322" s="249"/>
      <c r="X1322" s="249"/>
      <c r="Y1322" s="249"/>
      <c r="Z1322" s="249"/>
    </row>
    <row r="1323" spans="1:26" s="152" customFormat="1" x14ac:dyDescent="0.25">
      <c r="A1323" s="249"/>
      <c r="B1323" s="249"/>
      <c r="C1323" s="249"/>
      <c r="D1323" s="249"/>
      <c r="E1323" s="249"/>
      <c r="F1323" s="249"/>
      <c r="G1323" s="249"/>
      <c r="H1323" s="249"/>
      <c r="I1323" s="258"/>
      <c r="J1323" s="249"/>
      <c r="K1323" s="249"/>
      <c r="L1323" s="249"/>
      <c r="M1323" s="259"/>
      <c r="N1323" s="249"/>
      <c r="O1323" s="249"/>
      <c r="P1323" s="249"/>
      <c r="Q1323" s="249"/>
      <c r="R1323" s="249"/>
      <c r="S1323" s="249"/>
      <c r="T1323" s="249"/>
      <c r="U1323" s="249"/>
      <c r="V1323" s="249"/>
      <c r="W1323" s="249"/>
      <c r="X1323" s="249"/>
      <c r="Y1323" s="249"/>
      <c r="Z1323" s="249"/>
    </row>
    <row r="1324" spans="1:26" s="152" customFormat="1" x14ac:dyDescent="0.25">
      <c r="A1324" s="249"/>
      <c r="B1324" s="249"/>
      <c r="C1324" s="249"/>
      <c r="D1324" s="249"/>
      <c r="E1324" s="249"/>
      <c r="F1324" s="249"/>
      <c r="G1324" s="249"/>
      <c r="H1324" s="249"/>
      <c r="I1324" s="258"/>
      <c r="J1324" s="249"/>
      <c r="K1324" s="249"/>
      <c r="L1324" s="249"/>
      <c r="M1324" s="259"/>
      <c r="N1324" s="249"/>
      <c r="O1324" s="249"/>
      <c r="P1324" s="249"/>
      <c r="Q1324" s="249"/>
      <c r="R1324" s="249"/>
      <c r="S1324" s="249"/>
      <c r="T1324" s="249"/>
      <c r="U1324" s="249"/>
      <c r="V1324" s="249"/>
      <c r="W1324" s="249"/>
      <c r="X1324" s="249"/>
      <c r="Y1324" s="249"/>
      <c r="Z1324" s="249"/>
    </row>
    <row r="1325" spans="1:26" s="152" customFormat="1" x14ac:dyDescent="0.25">
      <c r="A1325" s="249"/>
      <c r="B1325" s="249"/>
      <c r="C1325" s="249"/>
      <c r="D1325" s="249"/>
      <c r="E1325" s="249"/>
      <c r="F1325" s="249"/>
      <c r="G1325" s="249"/>
      <c r="H1325" s="249"/>
      <c r="I1325" s="258"/>
      <c r="J1325" s="249"/>
      <c r="K1325" s="249"/>
      <c r="L1325" s="249"/>
      <c r="M1325" s="259"/>
      <c r="N1325" s="249"/>
      <c r="O1325" s="249"/>
      <c r="P1325" s="249"/>
      <c r="Q1325" s="249"/>
      <c r="R1325" s="249"/>
      <c r="S1325" s="249"/>
      <c r="T1325" s="249"/>
      <c r="U1325" s="249"/>
      <c r="V1325" s="249"/>
      <c r="W1325" s="249"/>
      <c r="X1325" s="249"/>
      <c r="Y1325" s="249"/>
      <c r="Z1325" s="249"/>
    </row>
    <row r="1326" spans="1:26" s="152" customFormat="1" x14ac:dyDescent="0.25">
      <c r="A1326" s="249"/>
      <c r="B1326" s="249"/>
      <c r="C1326" s="249"/>
      <c r="D1326" s="249"/>
      <c r="E1326" s="249"/>
      <c r="F1326" s="249"/>
      <c r="G1326" s="249"/>
      <c r="H1326" s="249"/>
      <c r="I1326" s="258"/>
      <c r="J1326" s="249"/>
      <c r="K1326" s="249"/>
      <c r="L1326" s="249"/>
      <c r="M1326" s="259"/>
      <c r="N1326" s="249"/>
      <c r="O1326" s="249"/>
      <c r="P1326" s="249"/>
      <c r="Q1326" s="249"/>
      <c r="R1326" s="249"/>
      <c r="S1326" s="249"/>
      <c r="T1326" s="249"/>
      <c r="U1326" s="249"/>
      <c r="V1326" s="249"/>
      <c r="W1326" s="249"/>
      <c r="X1326" s="249"/>
      <c r="Y1326" s="249"/>
      <c r="Z1326" s="249"/>
    </row>
    <row r="1327" spans="1:26" s="152" customFormat="1" x14ac:dyDescent="0.25">
      <c r="A1327" s="249"/>
      <c r="B1327" s="249"/>
      <c r="C1327" s="249"/>
      <c r="D1327" s="249"/>
      <c r="E1327" s="249"/>
      <c r="F1327" s="249"/>
      <c r="G1327" s="249"/>
      <c r="H1327" s="249"/>
      <c r="I1327" s="258"/>
      <c r="J1327" s="249"/>
      <c r="K1327" s="249"/>
      <c r="L1327" s="249"/>
      <c r="M1327" s="259"/>
      <c r="N1327" s="249"/>
      <c r="O1327" s="249"/>
      <c r="P1327" s="249"/>
      <c r="Q1327" s="249"/>
      <c r="R1327" s="249"/>
      <c r="S1327" s="249"/>
      <c r="T1327" s="249"/>
      <c r="U1327" s="249"/>
      <c r="V1327" s="249"/>
      <c r="W1327" s="249"/>
      <c r="X1327" s="249"/>
      <c r="Y1327" s="249"/>
      <c r="Z1327" s="249"/>
    </row>
    <row r="1328" spans="1:26" s="152" customFormat="1" x14ac:dyDescent="0.25">
      <c r="A1328" s="249"/>
      <c r="B1328" s="249"/>
      <c r="C1328" s="249"/>
      <c r="D1328" s="249"/>
      <c r="E1328" s="249"/>
      <c r="F1328" s="249"/>
      <c r="G1328" s="249"/>
      <c r="H1328" s="249"/>
      <c r="I1328" s="258"/>
      <c r="J1328" s="249"/>
      <c r="K1328" s="249"/>
      <c r="L1328" s="249"/>
      <c r="M1328" s="259"/>
      <c r="N1328" s="249"/>
      <c r="O1328" s="249"/>
      <c r="P1328" s="249"/>
      <c r="Q1328" s="249"/>
      <c r="R1328" s="249"/>
      <c r="S1328" s="249"/>
      <c r="T1328" s="249"/>
      <c r="U1328" s="249"/>
      <c r="V1328" s="249"/>
      <c r="W1328" s="249"/>
      <c r="X1328" s="249"/>
      <c r="Y1328" s="249"/>
      <c r="Z1328" s="249"/>
    </row>
    <row r="1329" spans="1:26" s="152" customFormat="1" x14ac:dyDescent="0.25">
      <c r="A1329" s="249"/>
      <c r="B1329" s="249"/>
      <c r="C1329" s="249"/>
      <c r="D1329" s="249"/>
      <c r="E1329" s="249"/>
      <c r="F1329" s="249"/>
      <c r="G1329" s="249"/>
      <c r="H1329" s="249"/>
      <c r="I1329" s="258"/>
      <c r="J1329" s="249"/>
      <c r="K1329" s="249"/>
      <c r="L1329" s="249"/>
      <c r="M1329" s="259"/>
      <c r="N1329" s="249"/>
      <c r="O1329" s="249"/>
      <c r="P1329" s="249"/>
      <c r="Q1329" s="249"/>
      <c r="R1329" s="249"/>
      <c r="S1329" s="249"/>
      <c r="T1329" s="249"/>
      <c r="U1329" s="249"/>
      <c r="V1329" s="249"/>
      <c r="W1329" s="249"/>
      <c r="X1329" s="249"/>
      <c r="Y1329" s="249"/>
      <c r="Z1329" s="249"/>
    </row>
    <row r="1330" spans="1:26" s="152" customFormat="1" x14ac:dyDescent="0.25">
      <c r="A1330" s="249"/>
      <c r="B1330" s="249"/>
      <c r="C1330" s="249"/>
      <c r="D1330" s="249"/>
      <c r="E1330" s="249"/>
      <c r="F1330" s="249"/>
      <c r="G1330" s="249"/>
      <c r="H1330" s="249"/>
      <c r="I1330" s="258"/>
      <c r="J1330" s="249"/>
      <c r="K1330" s="249"/>
      <c r="L1330" s="249"/>
      <c r="M1330" s="259"/>
      <c r="N1330" s="249"/>
      <c r="O1330" s="249"/>
      <c r="P1330" s="249"/>
      <c r="Q1330" s="249"/>
      <c r="R1330" s="249"/>
      <c r="S1330" s="249"/>
      <c r="T1330" s="249"/>
      <c r="U1330" s="249"/>
      <c r="V1330" s="249"/>
      <c r="W1330" s="249"/>
      <c r="X1330" s="249"/>
      <c r="Y1330" s="249"/>
      <c r="Z1330" s="249"/>
    </row>
    <row r="1331" spans="1:26" s="152" customFormat="1" x14ac:dyDescent="0.25">
      <c r="A1331" s="249"/>
      <c r="B1331" s="249"/>
      <c r="C1331" s="249"/>
      <c r="D1331" s="249"/>
      <c r="E1331" s="249"/>
      <c r="F1331" s="249"/>
      <c r="G1331" s="249"/>
      <c r="H1331" s="249"/>
      <c r="I1331" s="258"/>
      <c r="J1331" s="249"/>
      <c r="K1331" s="249"/>
      <c r="L1331" s="249"/>
      <c r="M1331" s="259"/>
      <c r="N1331" s="249"/>
      <c r="O1331" s="249"/>
      <c r="P1331" s="249"/>
      <c r="Q1331" s="249"/>
      <c r="R1331" s="249"/>
      <c r="S1331" s="249"/>
      <c r="T1331" s="249"/>
      <c r="U1331" s="249"/>
      <c r="V1331" s="249"/>
      <c r="W1331" s="249"/>
      <c r="X1331" s="249"/>
      <c r="Y1331" s="249"/>
      <c r="Z1331" s="249"/>
    </row>
    <row r="1332" spans="1:26" s="152" customFormat="1" x14ac:dyDescent="0.25">
      <c r="A1332" s="249"/>
      <c r="B1332" s="249"/>
      <c r="C1332" s="249"/>
      <c r="D1332" s="249"/>
      <c r="E1332" s="249"/>
      <c r="F1332" s="249"/>
      <c r="G1332" s="249"/>
      <c r="H1332" s="249"/>
      <c r="I1332" s="258"/>
      <c r="J1332" s="249"/>
      <c r="K1332" s="249"/>
      <c r="L1332" s="249"/>
      <c r="M1332" s="259"/>
      <c r="N1332" s="249"/>
      <c r="O1332" s="249"/>
      <c r="P1332" s="249"/>
      <c r="Q1332" s="249"/>
      <c r="R1332" s="249"/>
      <c r="S1332" s="249"/>
      <c r="T1332" s="249"/>
      <c r="U1332" s="249"/>
      <c r="V1332" s="249"/>
      <c r="W1332" s="249"/>
      <c r="X1332" s="249"/>
      <c r="Y1332" s="249"/>
      <c r="Z1332" s="249"/>
    </row>
    <row r="1333" spans="1:26" s="152" customFormat="1" x14ac:dyDescent="0.25">
      <c r="A1333" s="249"/>
      <c r="B1333" s="249"/>
      <c r="C1333" s="249"/>
      <c r="D1333" s="249"/>
      <c r="E1333" s="249"/>
      <c r="F1333" s="249"/>
      <c r="G1333" s="249"/>
      <c r="H1333" s="249"/>
      <c r="I1333" s="258"/>
      <c r="J1333" s="249"/>
      <c r="K1333" s="249"/>
      <c r="L1333" s="249"/>
      <c r="M1333" s="259"/>
      <c r="N1333" s="249"/>
      <c r="O1333" s="249"/>
      <c r="P1333" s="249"/>
      <c r="Q1333" s="249"/>
      <c r="R1333" s="249"/>
      <c r="S1333" s="249"/>
      <c r="T1333" s="249"/>
      <c r="U1333" s="249"/>
      <c r="V1333" s="249"/>
      <c r="W1333" s="249"/>
      <c r="X1333" s="249"/>
      <c r="Y1333" s="249"/>
      <c r="Z1333" s="249"/>
    </row>
    <row r="1334" spans="1:26" s="152" customFormat="1" x14ac:dyDescent="0.25">
      <c r="A1334" s="249"/>
      <c r="B1334" s="249"/>
      <c r="C1334" s="249"/>
      <c r="D1334" s="249"/>
      <c r="E1334" s="249"/>
      <c r="F1334" s="249"/>
      <c r="G1334" s="249"/>
      <c r="H1334" s="249"/>
      <c r="I1334" s="258"/>
      <c r="J1334" s="249"/>
      <c r="K1334" s="249"/>
      <c r="L1334" s="249"/>
      <c r="M1334" s="259"/>
      <c r="N1334" s="249"/>
      <c r="O1334" s="249"/>
      <c r="P1334" s="249"/>
      <c r="Q1334" s="249"/>
      <c r="R1334" s="249"/>
      <c r="S1334" s="249"/>
      <c r="T1334" s="249"/>
      <c r="U1334" s="249"/>
      <c r="V1334" s="249"/>
      <c r="W1334" s="249"/>
      <c r="X1334" s="249"/>
      <c r="Y1334" s="249"/>
      <c r="Z1334" s="249"/>
    </row>
    <row r="1335" spans="1:26" s="152" customFormat="1" x14ac:dyDescent="0.25">
      <c r="A1335" s="249"/>
      <c r="B1335" s="249"/>
      <c r="C1335" s="249"/>
      <c r="D1335" s="249"/>
      <c r="E1335" s="249"/>
      <c r="F1335" s="249"/>
      <c r="G1335" s="249"/>
      <c r="H1335" s="249"/>
      <c r="I1335" s="258"/>
      <c r="J1335" s="249"/>
      <c r="K1335" s="249"/>
      <c r="L1335" s="249"/>
      <c r="M1335" s="259"/>
      <c r="N1335" s="249"/>
      <c r="O1335" s="249"/>
      <c r="P1335" s="249"/>
      <c r="Q1335" s="249"/>
      <c r="R1335" s="249"/>
      <c r="S1335" s="249"/>
      <c r="T1335" s="249"/>
      <c r="U1335" s="249"/>
      <c r="V1335" s="249"/>
      <c r="W1335" s="249"/>
      <c r="X1335" s="249"/>
      <c r="Y1335" s="249"/>
      <c r="Z1335" s="249"/>
    </row>
    <row r="1336" spans="1:26" s="152" customFormat="1" x14ac:dyDescent="0.25">
      <c r="A1336" s="249"/>
      <c r="B1336" s="249"/>
      <c r="C1336" s="249"/>
      <c r="D1336" s="249"/>
      <c r="E1336" s="249"/>
      <c r="F1336" s="249"/>
      <c r="G1336" s="249"/>
      <c r="H1336" s="249"/>
      <c r="I1336" s="258"/>
      <c r="J1336" s="249"/>
      <c r="K1336" s="249"/>
      <c r="L1336" s="249"/>
      <c r="M1336" s="259"/>
      <c r="N1336" s="249"/>
      <c r="O1336" s="249"/>
      <c r="P1336" s="249"/>
      <c r="Q1336" s="249"/>
      <c r="R1336" s="249"/>
      <c r="S1336" s="249"/>
      <c r="T1336" s="249"/>
      <c r="U1336" s="249"/>
      <c r="V1336" s="249"/>
      <c r="W1336" s="249"/>
      <c r="X1336" s="249"/>
      <c r="Y1336" s="249"/>
      <c r="Z1336" s="249"/>
    </row>
    <row r="1337" spans="1:26" s="152" customFormat="1" x14ac:dyDescent="0.25">
      <c r="A1337" s="249"/>
      <c r="B1337" s="249"/>
      <c r="C1337" s="249"/>
      <c r="D1337" s="249"/>
      <c r="E1337" s="249"/>
      <c r="F1337" s="249"/>
      <c r="G1337" s="249"/>
      <c r="H1337" s="249"/>
      <c r="I1337" s="258"/>
      <c r="J1337" s="249"/>
      <c r="K1337" s="249"/>
      <c r="L1337" s="249"/>
      <c r="M1337" s="259"/>
      <c r="N1337" s="249"/>
      <c r="O1337" s="249"/>
      <c r="P1337" s="249"/>
      <c r="Q1337" s="249"/>
      <c r="R1337" s="249"/>
      <c r="S1337" s="249"/>
      <c r="T1337" s="249"/>
      <c r="U1337" s="249"/>
      <c r="V1337" s="249"/>
      <c r="W1337" s="249"/>
      <c r="X1337" s="249"/>
      <c r="Y1337" s="249"/>
      <c r="Z1337" s="249"/>
    </row>
    <row r="1338" spans="1:26" s="152" customFormat="1" x14ac:dyDescent="0.25">
      <c r="A1338" s="249"/>
      <c r="B1338" s="249"/>
      <c r="C1338" s="249"/>
      <c r="D1338" s="249"/>
      <c r="E1338" s="249"/>
      <c r="F1338" s="249"/>
      <c r="G1338" s="249"/>
      <c r="H1338" s="249"/>
      <c r="I1338" s="258"/>
      <c r="J1338" s="249"/>
      <c r="K1338" s="249"/>
      <c r="L1338" s="249"/>
      <c r="M1338" s="259"/>
      <c r="N1338" s="249"/>
      <c r="O1338" s="249"/>
      <c r="P1338" s="249"/>
      <c r="Q1338" s="249"/>
      <c r="R1338" s="249"/>
      <c r="S1338" s="249"/>
      <c r="T1338" s="249"/>
      <c r="U1338" s="249"/>
      <c r="V1338" s="249"/>
      <c r="W1338" s="249"/>
      <c r="X1338" s="249"/>
      <c r="Y1338" s="249"/>
      <c r="Z1338" s="249"/>
    </row>
    <row r="1339" spans="1:26" s="152" customFormat="1" x14ac:dyDescent="0.25">
      <c r="A1339" s="249"/>
      <c r="B1339" s="249"/>
      <c r="C1339" s="249"/>
      <c r="D1339" s="249"/>
      <c r="E1339" s="249"/>
      <c r="F1339" s="249"/>
      <c r="G1339" s="249"/>
      <c r="H1339" s="249"/>
      <c r="I1339" s="258"/>
      <c r="J1339" s="249"/>
      <c r="K1339" s="249"/>
      <c r="L1339" s="249"/>
      <c r="M1339" s="259"/>
      <c r="N1339" s="249"/>
      <c r="O1339" s="249"/>
      <c r="P1339" s="249"/>
      <c r="Q1339" s="249"/>
      <c r="R1339" s="249"/>
      <c r="S1339" s="249"/>
      <c r="T1339" s="249"/>
      <c r="U1339" s="249"/>
      <c r="V1339" s="249"/>
      <c r="W1339" s="249"/>
      <c r="X1339" s="249"/>
      <c r="Y1339" s="249"/>
      <c r="Z1339" s="249"/>
    </row>
    <row r="1340" spans="1:26" s="152" customFormat="1" x14ac:dyDescent="0.25">
      <c r="A1340" s="249"/>
      <c r="B1340" s="249"/>
      <c r="C1340" s="249"/>
      <c r="D1340" s="249"/>
      <c r="E1340" s="249"/>
      <c r="F1340" s="249"/>
      <c r="G1340" s="249"/>
      <c r="H1340" s="249"/>
      <c r="I1340" s="258"/>
      <c r="J1340" s="249"/>
      <c r="K1340" s="249"/>
      <c r="L1340" s="249"/>
      <c r="M1340" s="259"/>
      <c r="N1340" s="249"/>
      <c r="O1340" s="249"/>
      <c r="P1340" s="249"/>
      <c r="Q1340" s="249"/>
      <c r="R1340" s="249"/>
      <c r="S1340" s="249"/>
      <c r="T1340" s="249"/>
      <c r="U1340" s="249"/>
      <c r="V1340" s="249"/>
      <c r="W1340" s="249"/>
      <c r="X1340" s="249"/>
      <c r="Y1340" s="249"/>
      <c r="Z1340" s="249"/>
    </row>
    <row r="1341" spans="1:26" s="152" customFormat="1" x14ac:dyDescent="0.25">
      <c r="A1341" s="249"/>
      <c r="B1341" s="249"/>
      <c r="C1341" s="249"/>
      <c r="D1341" s="249"/>
      <c r="E1341" s="249"/>
      <c r="F1341" s="249"/>
      <c r="G1341" s="249"/>
      <c r="H1341" s="249"/>
      <c r="I1341" s="258"/>
      <c r="J1341" s="249"/>
      <c r="K1341" s="249"/>
      <c r="L1341" s="249"/>
      <c r="M1341" s="259"/>
      <c r="N1341" s="249"/>
      <c r="O1341" s="249"/>
      <c r="P1341" s="249"/>
      <c r="Q1341" s="249"/>
      <c r="R1341" s="249"/>
      <c r="S1341" s="249"/>
      <c r="T1341" s="249"/>
      <c r="U1341" s="249"/>
      <c r="V1341" s="249"/>
      <c r="W1341" s="249"/>
      <c r="X1341" s="249"/>
      <c r="Y1341" s="249"/>
      <c r="Z1341" s="249"/>
    </row>
    <row r="1342" spans="1:26" s="152" customFormat="1" x14ac:dyDescent="0.25">
      <c r="A1342" s="249"/>
      <c r="B1342" s="249"/>
      <c r="C1342" s="249"/>
      <c r="D1342" s="249"/>
      <c r="E1342" s="249"/>
      <c r="F1342" s="249"/>
      <c r="G1342" s="249"/>
      <c r="H1342" s="249"/>
      <c r="I1342" s="258"/>
      <c r="J1342" s="249"/>
      <c r="K1342" s="249"/>
      <c r="L1342" s="249"/>
      <c r="M1342" s="259"/>
      <c r="N1342" s="249"/>
      <c r="O1342" s="249"/>
      <c r="P1342" s="249"/>
      <c r="Q1342" s="249"/>
      <c r="R1342" s="249"/>
      <c r="S1342" s="249"/>
      <c r="T1342" s="249"/>
      <c r="U1342" s="249"/>
      <c r="V1342" s="249"/>
      <c r="W1342" s="249"/>
      <c r="X1342" s="249"/>
      <c r="Y1342" s="249"/>
      <c r="Z1342" s="249"/>
    </row>
    <row r="1343" spans="1:26" s="152" customFormat="1" x14ac:dyDescent="0.25">
      <c r="A1343" s="249"/>
      <c r="B1343" s="249"/>
      <c r="C1343" s="249"/>
      <c r="D1343" s="249"/>
      <c r="E1343" s="249"/>
      <c r="F1343" s="249"/>
      <c r="G1343" s="249"/>
      <c r="H1343" s="249"/>
      <c r="I1343" s="258"/>
      <c r="J1343" s="249"/>
      <c r="K1343" s="249"/>
      <c r="L1343" s="249"/>
      <c r="M1343" s="259"/>
      <c r="N1343" s="249"/>
      <c r="O1343" s="249"/>
      <c r="P1343" s="249"/>
      <c r="Q1343" s="249"/>
      <c r="R1343" s="249"/>
      <c r="S1343" s="249"/>
      <c r="T1343" s="249"/>
      <c r="U1343" s="249"/>
      <c r="V1343" s="249"/>
      <c r="W1343" s="249"/>
      <c r="X1343" s="249"/>
      <c r="Y1343" s="249"/>
      <c r="Z1343" s="249"/>
    </row>
    <row r="1344" spans="1:26" s="152" customFormat="1" x14ac:dyDescent="0.25">
      <c r="A1344" s="249"/>
      <c r="B1344" s="249"/>
      <c r="C1344" s="249"/>
      <c r="D1344" s="249"/>
      <c r="E1344" s="249"/>
      <c r="F1344" s="249"/>
      <c r="G1344" s="249"/>
      <c r="H1344" s="249"/>
      <c r="I1344" s="258"/>
      <c r="J1344" s="249"/>
      <c r="K1344" s="249"/>
      <c r="L1344" s="249"/>
      <c r="M1344" s="259"/>
      <c r="N1344" s="249"/>
      <c r="O1344" s="249"/>
      <c r="P1344" s="249"/>
      <c r="Q1344" s="249"/>
      <c r="R1344" s="249"/>
      <c r="S1344" s="249"/>
      <c r="T1344" s="249"/>
      <c r="U1344" s="249"/>
      <c r="V1344" s="249"/>
      <c r="W1344" s="249"/>
      <c r="X1344" s="249"/>
      <c r="Y1344" s="249"/>
      <c r="Z1344" s="249"/>
    </row>
    <row r="1345" spans="1:26" s="152" customFormat="1" x14ac:dyDescent="0.25">
      <c r="A1345" s="249"/>
      <c r="B1345" s="249"/>
      <c r="C1345" s="249"/>
      <c r="D1345" s="249"/>
      <c r="E1345" s="249"/>
      <c r="F1345" s="249"/>
      <c r="G1345" s="249"/>
      <c r="H1345" s="249"/>
      <c r="I1345" s="258"/>
      <c r="J1345" s="249"/>
      <c r="K1345" s="249"/>
      <c r="L1345" s="249"/>
      <c r="M1345" s="259"/>
      <c r="N1345" s="249"/>
      <c r="O1345" s="249"/>
      <c r="P1345" s="249"/>
      <c r="Q1345" s="249"/>
      <c r="R1345" s="249"/>
      <c r="S1345" s="249"/>
      <c r="T1345" s="249"/>
      <c r="U1345" s="249"/>
      <c r="V1345" s="249"/>
      <c r="W1345" s="249"/>
      <c r="X1345" s="249"/>
      <c r="Y1345" s="249"/>
      <c r="Z1345" s="249"/>
    </row>
    <row r="1346" spans="1:26" s="152" customFormat="1" x14ac:dyDescent="0.25">
      <c r="A1346" s="249"/>
      <c r="B1346" s="249"/>
      <c r="C1346" s="249"/>
      <c r="D1346" s="249"/>
      <c r="E1346" s="249"/>
      <c r="F1346" s="249"/>
      <c r="G1346" s="249"/>
      <c r="H1346" s="249"/>
      <c r="I1346" s="258"/>
      <c r="J1346" s="249"/>
      <c r="K1346" s="249"/>
      <c r="L1346" s="249"/>
      <c r="M1346" s="259"/>
      <c r="N1346" s="249"/>
      <c r="O1346" s="249"/>
      <c r="P1346" s="249"/>
      <c r="Q1346" s="249"/>
      <c r="R1346" s="249"/>
      <c r="S1346" s="249"/>
      <c r="T1346" s="249"/>
      <c r="U1346" s="249"/>
      <c r="V1346" s="249"/>
      <c r="W1346" s="249"/>
      <c r="X1346" s="249"/>
      <c r="Y1346" s="249"/>
      <c r="Z1346" s="249"/>
    </row>
    <row r="1347" spans="1:26" s="152" customFormat="1" x14ac:dyDescent="0.25">
      <c r="A1347" s="249"/>
      <c r="B1347" s="249"/>
      <c r="C1347" s="249"/>
      <c r="D1347" s="249"/>
      <c r="E1347" s="249"/>
      <c r="F1347" s="249"/>
      <c r="G1347" s="249"/>
      <c r="H1347" s="249"/>
      <c r="I1347" s="258"/>
      <c r="J1347" s="249"/>
      <c r="K1347" s="249"/>
      <c r="L1347" s="249"/>
      <c r="M1347" s="259"/>
      <c r="N1347" s="249"/>
      <c r="O1347" s="249"/>
      <c r="P1347" s="249"/>
      <c r="Q1347" s="249"/>
      <c r="R1347" s="249"/>
      <c r="S1347" s="249"/>
      <c r="T1347" s="249"/>
      <c r="U1347" s="249"/>
      <c r="V1347" s="249"/>
      <c r="W1347" s="249"/>
      <c r="X1347" s="249"/>
      <c r="Y1347" s="249"/>
      <c r="Z1347" s="249"/>
    </row>
    <row r="1348" spans="1:26" s="152" customFormat="1" x14ac:dyDescent="0.25">
      <c r="A1348" s="249"/>
      <c r="B1348" s="249"/>
      <c r="C1348" s="249"/>
      <c r="D1348" s="249"/>
      <c r="E1348" s="249"/>
      <c r="F1348" s="249"/>
      <c r="G1348" s="249"/>
      <c r="H1348" s="249"/>
      <c r="I1348" s="258"/>
      <c r="J1348" s="249"/>
      <c r="K1348" s="249"/>
      <c r="L1348" s="249"/>
      <c r="M1348" s="259"/>
      <c r="N1348" s="249"/>
      <c r="O1348" s="249"/>
      <c r="P1348" s="249"/>
      <c r="Q1348" s="249"/>
      <c r="R1348" s="249"/>
      <c r="S1348" s="249"/>
      <c r="T1348" s="249"/>
      <c r="U1348" s="249"/>
      <c r="V1348" s="249"/>
      <c r="W1348" s="249"/>
      <c r="X1348" s="249"/>
      <c r="Y1348" s="249"/>
      <c r="Z1348" s="249"/>
    </row>
    <row r="1349" spans="1:26" s="152" customFormat="1" x14ac:dyDescent="0.25">
      <c r="A1349" s="249"/>
      <c r="B1349" s="249"/>
      <c r="C1349" s="249"/>
      <c r="D1349" s="249"/>
      <c r="E1349" s="249"/>
      <c r="F1349" s="249"/>
      <c r="G1349" s="249"/>
      <c r="H1349" s="249"/>
      <c r="I1349" s="258"/>
      <c r="J1349" s="249"/>
      <c r="K1349" s="249"/>
      <c r="L1349" s="249"/>
      <c r="M1349" s="259"/>
      <c r="N1349" s="249"/>
      <c r="O1349" s="249"/>
      <c r="P1349" s="249"/>
      <c r="Q1349" s="249"/>
      <c r="R1349" s="249"/>
      <c r="S1349" s="249"/>
      <c r="T1349" s="249"/>
      <c r="U1349" s="249"/>
      <c r="V1349" s="249"/>
      <c r="W1349" s="249"/>
      <c r="X1349" s="249"/>
      <c r="Y1349" s="249"/>
      <c r="Z1349" s="249"/>
    </row>
    <row r="1350" spans="1:26" s="152" customFormat="1" x14ac:dyDescent="0.25">
      <c r="A1350" s="249"/>
      <c r="B1350" s="249"/>
      <c r="C1350" s="249"/>
      <c r="D1350" s="249"/>
      <c r="E1350" s="249"/>
      <c r="F1350" s="249"/>
      <c r="G1350" s="249"/>
      <c r="H1350" s="249"/>
      <c r="I1350" s="258"/>
      <c r="J1350" s="249"/>
      <c r="K1350" s="249"/>
      <c r="L1350" s="249"/>
      <c r="M1350" s="259"/>
      <c r="N1350" s="249"/>
      <c r="O1350" s="249"/>
      <c r="P1350" s="249"/>
      <c r="Q1350" s="249"/>
      <c r="R1350" s="249"/>
      <c r="S1350" s="249"/>
      <c r="T1350" s="249"/>
      <c r="U1350" s="249"/>
      <c r="V1350" s="249"/>
      <c r="W1350" s="249"/>
      <c r="X1350" s="249"/>
      <c r="Y1350" s="249"/>
      <c r="Z1350" s="249"/>
    </row>
    <row r="1351" spans="1:26" s="152" customFormat="1" x14ac:dyDescent="0.25">
      <c r="A1351" s="249"/>
      <c r="B1351" s="249"/>
      <c r="C1351" s="249"/>
      <c r="D1351" s="249"/>
      <c r="E1351" s="249"/>
      <c r="F1351" s="249"/>
      <c r="G1351" s="249"/>
      <c r="H1351" s="249"/>
      <c r="I1351" s="258"/>
      <c r="J1351" s="249"/>
      <c r="K1351" s="249"/>
      <c r="L1351" s="249"/>
      <c r="M1351" s="259"/>
      <c r="N1351" s="249"/>
      <c r="O1351" s="249"/>
      <c r="P1351" s="249"/>
      <c r="Q1351" s="249"/>
      <c r="R1351" s="249"/>
      <c r="S1351" s="249"/>
      <c r="T1351" s="249"/>
      <c r="U1351" s="249"/>
      <c r="V1351" s="249"/>
      <c r="W1351" s="249"/>
      <c r="X1351" s="249"/>
      <c r="Y1351" s="249"/>
      <c r="Z1351" s="249"/>
    </row>
    <row r="1352" spans="1:26" s="152" customFormat="1" x14ac:dyDescent="0.25">
      <c r="A1352" s="249"/>
      <c r="B1352" s="249"/>
      <c r="C1352" s="249"/>
      <c r="D1352" s="249"/>
      <c r="E1352" s="249"/>
      <c r="F1352" s="249"/>
      <c r="G1352" s="249"/>
      <c r="H1352" s="249"/>
      <c r="I1352" s="258"/>
      <c r="J1352" s="249"/>
      <c r="K1352" s="249"/>
      <c r="L1352" s="249"/>
      <c r="M1352" s="259"/>
      <c r="N1352" s="249"/>
      <c r="O1352" s="249"/>
      <c r="P1352" s="249"/>
      <c r="Q1352" s="249"/>
      <c r="R1352" s="249"/>
      <c r="S1352" s="249"/>
      <c r="T1352" s="249"/>
      <c r="U1352" s="249"/>
      <c r="V1352" s="249"/>
      <c r="W1352" s="249"/>
      <c r="X1352" s="249"/>
      <c r="Y1352" s="249"/>
      <c r="Z1352" s="249"/>
    </row>
    <row r="1353" spans="1:26" s="152" customFormat="1" x14ac:dyDescent="0.25">
      <c r="A1353" s="249"/>
      <c r="B1353" s="249"/>
      <c r="C1353" s="249"/>
      <c r="D1353" s="249"/>
      <c r="E1353" s="249"/>
      <c r="F1353" s="249"/>
      <c r="G1353" s="249"/>
      <c r="H1353" s="249"/>
      <c r="I1353" s="258"/>
      <c r="J1353" s="249"/>
      <c r="K1353" s="249"/>
      <c r="L1353" s="249"/>
      <c r="M1353" s="259"/>
      <c r="N1353" s="249"/>
      <c r="O1353" s="249"/>
      <c r="P1353" s="249"/>
      <c r="Q1353" s="249"/>
      <c r="R1353" s="249"/>
      <c r="S1353" s="249"/>
      <c r="T1353" s="249"/>
      <c r="U1353" s="249"/>
      <c r="V1353" s="249"/>
      <c r="W1353" s="249"/>
      <c r="X1353" s="249"/>
      <c r="Y1353" s="249"/>
      <c r="Z1353" s="249"/>
    </row>
    <row r="1354" spans="1:26" s="152" customFormat="1" x14ac:dyDescent="0.25">
      <c r="A1354" s="249"/>
      <c r="B1354" s="249"/>
      <c r="C1354" s="249"/>
      <c r="D1354" s="249"/>
      <c r="E1354" s="249"/>
      <c r="F1354" s="249"/>
      <c r="G1354" s="249"/>
      <c r="H1354" s="249"/>
      <c r="I1354" s="258"/>
      <c r="J1354" s="249"/>
      <c r="K1354" s="249"/>
      <c r="L1354" s="249"/>
      <c r="M1354" s="259"/>
      <c r="N1354" s="249"/>
      <c r="O1354" s="249"/>
      <c r="P1354" s="249"/>
      <c r="Q1354" s="249"/>
      <c r="R1354" s="249"/>
      <c r="S1354" s="249"/>
      <c r="T1354" s="249"/>
      <c r="U1354" s="249"/>
      <c r="V1354" s="249"/>
      <c r="W1354" s="249"/>
      <c r="X1354" s="249"/>
      <c r="Y1354" s="249"/>
      <c r="Z1354" s="249"/>
    </row>
    <row r="1355" spans="1:26" s="152" customFormat="1" x14ac:dyDescent="0.25">
      <c r="A1355" s="249"/>
      <c r="B1355" s="249"/>
      <c r="C1355" s="249"/>
      <c r="D1355" s="249"/>
      <c r="E1355" s="249"/>
      <c r="F1355" s="249"/>
      <c r="G1355" s="249"/>
      <c r="H1355" s="249"/>
      <c r="I1355" s="258"/>
      <c r="J1355" s="249"/>
      <c r="K1355" s="249"/>
      <c r="L1355" s="249"/>
      <c r="M1355" s="259"/>
      <c r="N1355" s="249"/>
      <c r="O1355" s="249"/>
      <c r="P1355" s="249"/>
      <c r="Q1355" s="249"/>
      <c r="R1355" s="249"/>
      <c r="S1355" s="249"/>
      <c r="T1355" s="249"/>
      <c r="U1355" s="249"/>
      <c r="V1355" s="249"/>
      <c r="W1355" s="249"/>
      <c r="X1355" s="249"/>
      <c r="Y1355" s="249"/>
      <c r="Z1355" s="249"/>
    </row>
    <row r="1356" spans="1:26" s="152" customFormat="1" x14ac:dyDescent="0.25">
      <c r="A1356" s="249"/>
      <c r="B1356" s="249"/>
      <c r="C1356" s="249"/>
      <c r="D1356" s="249"/>
      <c r="E1356" s="249"/>
      <c r="F1356" s="249"/>
      <c r="G1356" s="249"/>
      <c r="H1356" s="249"/>
      <c r="I1356" s="258"/>
      <c r="J1356" s="249"/>
      <c r="K1356" s="249"/>
      <c r="L1356" s="249"/>
      <c r="M1356" s="259"/>
      <c r="N1356" s="249"/>
      <c r="O1356" s="249"/>
      <c r="P1356" s="249"/>
      <c r="Q1356" s="249"/>
      <c r="R1356" s="249"/>
      <c r="S1356" s="249"/>
      <c r="T1356" s="249"/>
      <c r="U1356" s="249"/>
      <c r="V1356" s="249"/>
      <c r="W1356" s="249"/>
      <c r="X1356" s="249"/>
      <c r="Y1356" s="249"/>
      <c r="Z1356" s="249"/>
    </row>
    <row r="1357" spans="1:26" s="152" customFormat="1" x14ac:dyDescent="0.25">
      <c r="A1357" s="249"/>
      <c r="B1357" s="249"/>
      <c r="C1357" s="249"/>
      <c r="D1357" s="249"/>
      <c r="E1357" s="249"/>
      <c r="F1357" s="249"/>
      <c r="G1357" s="249"/>
      <c r="H1357" s="249"/>
      <c r="I1357" s="258"/>
      <c r="J1357" s="249"/>
      <c r="K1357" s="249"/>
      <c r="L1357" s="249"/>
      <c r="M1357" s="259"/>
      <c r="N1357" s="249"/>
      <c r="O1357" s="249"/>
      <c r="P1357" s="249"/>
      <c r="Q1357" s="249"/>
      <c r="R1357" s="249"/>
      <c r="S1357" s="249"/>
      <c r="T1357" s="249"/>
      <c r="U1357" s="249"/>
      <c r="V1357" s="249"/>
      <c r="W1357" s="249"/>
      <c r="X1357" s="249"/>
      <c r="Y1357" s="249"/>
      <c r="Z1357" s="249"/>
    </row>
    <row r="1358" spans="1:26" s="152" customFormat="1" x14ac:dyDescent="0.25">
      <c r="A1358" s="249"/>
      <c r="B1358" s="249"/>
      <c r="C1358" s="249"/>
      <c r="D1358" s="249"/>
      <c r="E1358" s="249"/>
      <c r="F1358" s="249"/>
      <c r="G1358" s="249"/>
      <c r="H1358" s="249"/>
      <c r="I1358" s="258"/>
      <c r="J1358" s="249"/>
      <c r="K1358" s="249"/>
      <c r="L1358" s="249"/>
      <c r="M1358" s="259"/>
      <c r="N1358" s="249"/>
      <c r="O1358" s="249"/>
      <c r="P1358" s="249"/>
      <c r="Q1358" s="249"/>
      <c r="R1358" s="249"/>
      <c r="S1358" s="249"/>
      <c r="T1358" s="249"/>
      <c r="U1358" s="249"/>
      <c r="V1358" s="249"/>
      <c r="W1358" s="249"/>
      <c r="X1358" s="249"/>
      <c r="Y1358" s="249"/>
      <c r="Z1358" s="249"/>
    </row>
    <row r="1359" spans="1:26" s="152" customFormat="1" x14ac:dyDescent="0.25">
      <c r="A1359" s="249"/>
      <c r="B1359" s="249"/>
      <c r="C1359" s="249"/>
      <c r="D1359" s="249"/>
      <c r="E1359" s="249"/>
      <c r="F1359" s="249"/>
      <c r="G1359" s="249"/>
      <c r="H1359" s="249"/>
      <c r="I1359" s="258"/>
      <c r="J1359" s="249"/>
      <c r="K1359" s="249"/>
      <c r="L1359" s="249"/>
      <c r="M1359" s="259"/>
      <c r="N1359" s="249"/>
      <c r="O1359" s="249"/>
      <c r="P1359" s="249"/>
      <c r="Q1359" s="249"/>
      <c r="R1359" s="249"/>
      <c r="S1359" s="249"/>
      <c r="T1359" s="249"/>
      <c r="U1359" s="249"/>
      <c r="V1359" s="249"/>
      <c r="W1359" s="249"/>
      <c r="X1359" s="249"/>
      <c r="Y1359" s="249"/>
      <c r="Z1359" s="249"/>
    </row>
    <row r="1360" spans="1:26" s="152" customFormat="1" x14ac:dyDescent="0.25">
      <c r="A1360" s="249"/>
      <c r="B1360" s="249"/>
      <c r="C1360" s="249"/>
      <c r="D1360" s="249"/>
      <c r="E1360" s="249"/>
      <c r="F1360" s="249"/>
      <c r="G1360" s="249"/>
      <c r="H1360" s="249"/>
      <c r="I1360" s="258"/>
      <c r="J1360" s="249"/>
      <c r="K1360" s="249"/>
      <c r="L1360" s="249"/>
      <c r="M1360" s="259"/>
      <c r="N1360" s="249"/>
      <c r="O1360" s="249"/>
      <c r="P1360" s="249"/>
      <c r="Q1360" s="249"/>
      <c r="R1360" s="249"/>
      <c r="S1360" s="249"/>
      <c r="T1360" s="249"/>
      <c r="U1360" s="249"/>
      <c r="V1360" s="249"/>
      <c r="W1360" s="249"/>
      <c r="X1360" s="249"/>
      <c r="Y1360" s="249"/>
      <c r="Z1360" s="249"/>
    </row>
    <row r="1361" spans="1:26" s="152" customFormat="1" x14ac:dyDescent="0.25">
      <c r="A1361" s="249"/>
      <c r="B1361" s="249"/>
      <c r="C1361" s="249"/>
      <c r="D1361" s="249"/>
      <c r="E1361" s="249"/>
      <c r="F1361" s="249"/>
      <c r="G1361" s="249"/>
      <c r="H1361" s="249"/>
      <c r="I1361" s="258"/>
      <c r="J1361" s="249"/>
      <c r="K1361" s="249"/>
      <c r="L1361" s="249"/>
      <c r="M1361" s="259"/>
      <c r="N1361" s="249"/>
      <c r="O1361" s="249"/>
      <c r="P1361" s="249"/>
      <c r="Q1361" s="249"/>
      <c r="R1361" s="249"/>
      <c r="S1361" s="249"/>
      <c r="T1361" s="249"/>
      <c r="U1361" s="249"/>
      <c r="V1361" s="249"/>
      <c r="W1361" s="249"/>
      <c r="X1361" s="249"/>
      <c r="Y1361" s="249"/>
      <c r="Z1361" s="249"/>
    </row>
    <row r="1362" spans="1:26" s="152" customFormat="1" x14ac:dyDescent="0.25">
      <c r="A1362" s="249"/>
      <c r="B1362" s="249"/>
      <c r="C1362" s="249"/>
      <c r="D1362" s="249"/>
      <c r="E1362" s="249"/>
      <c r="F1362" s="249"/>
      <c r="G1362" s="249"/>
      <c r="H1362" s="249"/>
      <c r="I1362" s="258"/>
      <c r="J1362" s="249"/>
      <c r="K1362" s="249"/>
      <c r="L1362" s="249"/>
      <c r="M1362" s="259"/>
      <c r="N1362" s="249"/>
      <c r="O1362" s="249"/>
      <c r="P1362" s="249"/>
      <c r="Q1362" s="249"/>
      <c r="R1362" s="249"/>
      <c r="S1362" s="249"/>
      <c r="T1362" s="249"/>
      <c r="U1362" s="249"/>
      <c r="V1362" s="249"/>
      <c r="W1362" s="249"/>
      <c r="X1362" s="249"/>
      <c r="Y1362" s="249"/>
      <c r="Z1362" s="249"/>
    </row>
    <row r="1363" spans="1:26" s="152" customFormat="1" x14ac:dyDescent="0.25">
      <c r="A1363" s="249"/>
      <c r="B1363" s="249"/>
      <c r="C1363" s="249"/>
      <c r="D1363" s="249"/>
      <c r="E1363" s="249"/>
      <c r="F1363" s="249"/>
      <c r="G1363" s="249"/>
      <c r="H1363" s="249"/>
      <c r="I1363" s="258"/>
      <c r="J1363" s="249"/>
      <c r="K1363" s="249"/>
      <c r="L1363" s="249"/>
      <c r="M1363" s="259"/>
      <c r="N1363" s="249"/>
      <c r="O1363" s="249"/>
      <c r="P1363" s="249"/>
      <c r="Q1363" s="249"/>
      <c r="R1363" s="249"/>
      <c r="S1363" s="249"/>
      <c r="T1363" s="249"/>
      <c r="U1363" s="249"/>
      <c r="V1363" s="249"/>
      <c r="W1363" s="249"/>
      <c r="X1363" s="249"/>
      <c r="Y1363" s="249"/>
      <c r="Z1363" s="249"/>
    </row>
    <row r="1364" spans="1:26" s="152" customFormat="1" x14ac:dyDescent="0.25">
      <c r="A1364" s="249"/>
      <c r="B1364" s="249"/>
      <c r="C1364" s="249"/>
      <c r="D1364" s="249"/>
      <c r="E1364" s="249"/>
      <c r="F1364" s="249"/>
      <c r="G1364" s="249"/>
      <c r="H1364" s="249"/>
      <c r="I1364" s="258"/>
      <c r="J1364" s="249"/>
      <c r="K1364" s="249"/>
      <c r="L1364" s="249"/>
      <c r="M1364" s="259"/>
      <c r="N1364" s="249"/>
      <c r="O1364" s="249"/>
      <c r="P1364" s="249"/>
      <c r="Q1364" s="249"/>
      <c r="R1364" s="249"/>
      <c r="S1364" s="249"/>
      <c r="T1364" s="249"/>
      <c r="U1364" s="249"/>
      <c r="V1364" s="249"/>
      <c r="W1364" s="249"/>
      <c r="X1364" s="249"/>
      <c r="Y1364" s="249"/>
      <c r="Z1364" s="249"/>
    </row>
    <row r="1365" spans="1:26" s="152" customFormat="1" x14ac:dyDescent="0.25">
      <c r="A1365" s="249"/>
      <c r="B1365" s="249"/>
      <c r="C1365" s="249"/>
      <c r="D1365" s="249"/>
      <c r="E1365" s="249"/>
      <c r="F1365" s="249"/>
      <c r="G1365" s="249"/>
      <c r="H1365" s="249"/>
      <c r="I1365" s="258"/>
      <c r="J1365" s="249"/>
      <c r="K1365" s="249"/>
      <c r="L1365" s="249"/>
      <c r="M1365" s="259"/>
      <c r="N1365" s="249"/>
      <c r="O1365" s="249"/>
      <c r="P1365" s="249"/>
      <c r="Q1365" s="249"/>
      <c r="R1365" s="249"/>
      <c r="S1365" s="249"/>
      <c r="T1365" s="249"/>
      <c r="U1365" s="249"/>
      <c r="V1365" s="249"/>
      <c r="W1365" s="249"/>
      <c r="X1365" s="249"/>
      <c r="Y1365" s="249"/>
      <c r="Z1365" s="249"/>
    </row>
    <row r="1366" spans="1:26" s="152" customFormat="1" x14ac:dyDescent="0.25">
      <c r="A1366" s="249"/>
      <c r="B1366" s="249"/>
      <c r="C1366" s="249"/>
      <c r="D1366" s="249"/>
      <c r="E1366" s="249"/>
      <c r="F1366" s="249"/>
      <c r="G1366" s="249"/>
      <c r="H1366" s="249"/>
      <c r="I1366" s="258"/>
      <c r="J1366" s="249"/>
      <c r="K1366" s="249"/>
      <c r="L1366" s="249"/>
      <c r="M1366" s="259"/>
      <c r="N1366" s="249"/>
      <c r="O1366" s="249"/>
      <c r="P1366" s="249"/>
      <c r="Q1366" s="249"/>
      <c r="R1366" s="249"/>
      <c r="S1366" s="249"/>
      <c r="T1366" s="249"/>
      <c r="U1366" s="249"/>
      <c r="V1366" s="249"/>
      <c r="W1366" s="249"/>
      <c r="X1366" s="249"/>
      <c r="Y1366" s="249"/>
      <c r="Z1366" s="249"/>
    </row>
    <row r="1367" spans="1:26" s="152" customFormat="1" x14ac:dyDescent="0.25">
      <c r="A1367" s="249"/>
      <c r="B1367" s="249"/>
      <c r="C1367" s="249"/>
      <c r="D1367" s="249"/>
      <c r="E1367" s="249"/>
      <c r="F1367" s="249"/>
      <c r="G1367" s="249"/>
      <c r="H1367" s="249"/>
      <c r="I1367" s="258"/>
      <c r="J1367" s="249"/>
      <c r="K1367" s="249"/>
      <c r="L1367" s="249"/>
      <c r="M1367" s="259"/>
      <c r="N1367" s="249"/>
      <c r="O1367" s="249"/>
      <c r="P1367" s="249"/>
      <c r="Q1367" s="249"/>
      <c r="R1367" s="249"/>
      <c r="S1367" s="249"/>
      <c r="T1367" s="249"/>
      <c r="U1367" s="249"/>
      <c r="V1367" s="249"/>
      <c r="W1367" s="249"/>
      <c r="X1367" s="249"/>
      <c r="Y1367" s="249"/>
      <c r="Z1367" s="249"/>
    </row>
    <row r="1368" spans="1:26" s="152" customFormat="1" x14ac:dyDescent="0.25">
      <c r="A1368" s="249"/>
      <c r="B1368" s="249"/>
      <c r="C1368" s="249"/>
      <c r="D1368" s="249"/>
      <c r="E1368" s="249"/>
      <c r="F1368" s="249"/>
      <c r="G1368" s="249"/>
      <c r="H1368" s="249"/>
      <c r="I1368" s="258"/>
      <c r="J1368" s="249"/>
      <c r="K1368" s="249"/>
      <c r="L1368" s="249"/>
      <c r="M1368" s="259"/>
      <c r="N1368" s="249"/>
      <c r="O1368" s="249"/>
      <c r="P1368" s="249"/>
      <c r="Q1368" s="249"/>
      <c r="R1368" s="249"/>
      <c r="S1368" s="249"/>
      <c r="T1368" s="249"/>
      <c r="U1368" s="249"/>
      <c r="V1368" s="249"/>
      <c r="W1368" s="249"/>
      <c r="X1368" s="249"/>
      <c r="Y1368" s="249"/>
      <c r="Z1368" s="249"/>
    </row>
    <row r="1369" spans="1:26" s="152" customFormat="1" x14ac:dyDescent="0.25">
      <c r="A1369" s="249"/>
      <c r="B1369" s="249"/>
      <c r="C1369" s="249"/>
      <c r="D1369" s="249"/>
      <c r="E1369" s="249"/>
      <c r="F1369" s="249"/>
      <c r="G1369" s="249"/>
      <c r="H1369" s="249"/>
      <c r="I1369" s="258"/>
      <c r="J1369" s="249"/>
      <c r="K1369" s="249"/>
      <c r="L1369" s="249"/>
      <c r="M1369" s="259"/>
      <c r="N1369" s="249"/>
      <c r="O1369" s="249"/>
      <c r="P1369" s="249"/>
      <c r="Q1369" s="249"/>
      <c r="R1369" s="249"/>
      <c r="S1369" s="249"/>
      <c r="T1369" s="249"/>
      <c r="U1369" s="249"/>
      <c r="V1369" s="249"/>
      <c r="W1369" s="249"/>
      <c r="X1369" s="249"/>
      <c r="Y1369" s="249"/>
      <c r="Z1369" s="249"/>
    </row>
    <row r="1370" spans="1:26" s="152" customFormat="1" x14ac:dyDescent="0.25">
      <c r="A1370" s="249"/>
      <c r="B1370" s="249"/>
      <c r="C1370" s="249"/>
      <c r="D1370" s="249"/>
      <c r="E1370" s="249"/>
      <c r="F1370" s="249"/>
      <c r="G1370" s="249"/>
      <c r="H1370" s="249"/>
      <c r="I1370" s="258"/>
      <c r="J1370" s="249"/>
      <c r="K1370" s="249"/>
      <c r="L1370" s="249"/>
      <c r="M1370" s="259"/>
      <c r="N1370" s="249"/>
      <c r="O1370" s="249"/>
      <c r="P1370" s="249"/>
      <c r="Q1370" s="249"/>
      <c r="R1370" s="249"/>
      <c r="S1370" s="249"/>
      <c r="T1370" s="249"/>
      <c r="U1370" s="249"/>
      <c r="V1370" s="249"/>
      <c r="W1370" s="249"/>
      <c r="X1370" s="249"/>
      <c r="Y1370" s="249"/>
      <c r="Z1370" s="249"/>
    </row>
    <row r="1371" spans="1:26" s="152" customFormat="1" x14ac:dyDescent="0.25">
      <c r="A1371" s="249"/>
      <c r="B1371" s="249"/>
      <c r="C1371" s="249"/>
      <c r="D1371" s="249"/>
      <c r="E1371" s="249"/>
      <c r="F1371" s="249"/>
      <c r="G1371" s="249"/>
      <c r="H1371" s="249"/>
      <c r="I1371" s="258"/>
      <c r="J1371" s="249"/>
      <c r="K1371" s="249"/>
      <c r="L1371" s="249"/>
      <c r="M1371" s="259"/>
      <c r="N1371" s="249"/>
      <c r="O1371" s="249"/>
      <c r="P1371" s="249"/>
      <c r="Q1371" s="249"/>
      <c r="R1371" s="249"/>
      <c r="S1371" s="249"/>
      <c r="T1371" s="249"/>
      <c r="U1371" s="249"/>
      <c r="V1371" s="249"/>
      <c r="W1371" s="249"/>
      <c r="X1371" s="249"/>
      <c r="Y1371" s="249"/>
      <c r="Z1371" s="249"/>
    </row>
    <row r="1372" spans="1:26" s="152" customFormat="1" x14ac:dyDescent="0.25">
      <c r="A1372" s="249"/>
      <c r="B1372" s="249"/>
      <c r="C1372" s="249"/>
      <c r="D1372" s="249"/>
      <c r="E1372" s="249"/>
      <c r="F1372" s="249"/>
      <c r="G1372" s="249"/>
      <c r="H1372" s="249"/>
      <c r="I1372" s="258"/>
      <c r="J1372" s="249"/>
      <c r="K1372" s="249"/>
      <c r="L1372" s="249"/>
      <c r="M1372" s="259"/>
      <c r="N1372" s="249"/>
      <c r="O1372" s="249"/>
      <c r="P1372" s="249"/>
      <c r="Q1372" s="249"/>
      <c r="R1372" s="249"/>
      <c r="S1372" s="249"/>
      <c r="T1372" s="249"/>
      <c r="U1372" s="249"/>
      <c r="V1372" s="249"/>
      <c r="W1372" s="249"/>
      <c r="X1372" s="249"/>
      <c r="Y1372" s="249"/>
      <c r="Z1372" s="249"/>
    </row>
    <row r="1373" spans="1:26" s="152" customFormat="1" x14ac:dyDescent="0.25">
      <c r="A1373" s="249"/>
      <c r="B1373" s="249"/>
      <c r="C1373" s="249"/>
      <c r="D1373" s="249"/>
      <c r="E1373" s="249"/>
      <c r="F1373" s="249"/>
      <c r="G1373" s="249"/>
      <c r="H1373" s="249"/>
      <c r="I1373" s="258"/>
      <c r="J1373" s="249"/>
      <c r="K1373" s="249"/>
      <c r="L1373" s="249"/>
      <c r="M1373" s="259"/>
      <c r="N1373" s="249"/>
      <c r="O1373" s="249"/>
      <c r="P1373" s="249"/>
      <c r="Q1373" s="249"/>
      <c r="R1373" s="249"/>
      <c r="S1373" s="249"/>
      <c r="T1373" s="249"/>
      <c r="U1373" s="249"/>
      <c r="V1373" s="249"/>
      <c r="W1373" s="249"/>
      <c r="X1373" s="249"/>
      <c r="Y1373" s="249"/>
      <c r="Z1373" s="249"/>
    </row>
    <row r="1374" spans="1:26" s="152" customFormat="1" x14ac:dyDescent="0.25">
      <c r="A1374" s="249"/>
      <c r="B1374" s="249"/>
      <c r="C1374" s="249"/>
      <c r="D1374" s="249"/>
      <c r="E1374" s="249"/>
      <c r="F1374" s="249"/>
      <c r="G1374" s="249"/>
      <c r="H1374" s="249"/>
      <c r="I1374" s="258"/>
      <c r="J1374" s="249"/>
      <c r="K1374" s="249"/>
      <c r="L1374" s="249"/>
      <c r="M1374" s="259"/>
      <c r="N1374" s="249"/>
      <c r="O1374" s="249"/>
      <c r="P1374" s="249"/>
      <c r="Q1374" s="249"/>
      <c r="R1374" s="249"/>
      <c r="S1374" s="249"/>
      <c r="T1374" s="249"/>
      <c r="U1374" s="249"/>
      <c r="V1374" s="249"/>
      <c r="W1374" s="249"/>
      <c r="X1374" s="249"/>
      <c r="Y1374" s="249"/>
      <c r="Z1374" s="249"/>
    </row>
    <row r="1375" spans="1:26" s="152" customFormat="1" x14ac:dyDescent="0.25">
      <c r="A1375" s="249"/>
      <c r="B1375" s="249"/>
      <c r="C1375" s="249"/>
      <c r="D1375" s="249"/>
      <c r="E1375" s="249"/>
      <c r="F1375" s="249"/>
      <c r="G1375" s="249"/>
      <c r="H1375" s="249"/>
      <c r="I1375" s="258"/>
      <c r="J1375" s="249"/>
      <c r="K1375" s="249"/>
      <c r="L1375" s="249"/>
      <c r="M1375" s="259"/>
      <c r="N1375" s="249"/>
      <c r="O1375" s="249"/>
      <c r="P1375" s="249"/>
      <c r="Q1375" s="249"/>
      <c r="R1375" s="249"/>
      <c r="S1375" s="249"/>
      <c r="T1375" s="249"/>
      <c r="U1375" s="249"/>
      <c r="V1375" s="249"/>
      <c r="W1375" s="249"/>
      <c r="X1375" s="249"/>
      <c r="Y1375" s="249"/>
      <c r="Z1375" s="249"/>
    </row>
    <row r="1376" spans="1:26" s="152" customFormat="1" x14ac:dyDescent="0.25">
      <c r="A1376" s="249"/>
      <c r="B1376" s="249"/>
      <c r="C1376" s="249"/>
      <c r="D1376" s="249"/>
      <c r="E1376" s="249"/>
      <c r="F1376" s="249"/>
      <c r="G1376" s="249"/>
      <c r="H1376" s="249"/>
      <c r="I1376" s="258"/>
      <c r="J1376" s="249"/>
      <c r="K1376" s="249"/>
      <c r="L1376" s="249"/>
      <c r="M1376" s="259"/>
      <c r="N1376" s="249"/>
      <c r="O1376" s="249"/>
      <c r="P1376" s="249"/>
      <c r="Q1376" s="249"/>
      <c r="R1376" s="249"/>
      <c r="S1376" s="249"/>
      <c r="T1376" s="249"/>
      <c r="U1376" s="249"/>
      <c r="V1376" s="249"/>
      <c r="W1376" s="249"/>
      <c r="X1376" s="249"/>
      <c r="Y1376" s="249"/>
      <c r="Z1376" s="249"/>
    </row>
    <row r="1377" spans="1:26" s="152" customFormat="1" x14ac:dyDescent="0.25">
      <c r="A1377" s="249"/>
      <c r="B1377" s="249"/>
      <c r="C1377" s="249"/>
      <c r="D1377" s="249"/>
      <c r="E1377" s="249"/>
      <c r="F1377" s="249"/>
      <c r="G1377" s="249"/>
      <c r="H1377" s="249"/>
      <c r="I1377" s="258"/>
      <c r="J1377" s="249"/>
      <c r="K1377" s="249"/>
      <c r="L1377" s="249"/>
      <c r="M1377" s="259"/>
      <c r="N1377" s="249"/>
      <c r="O1377" s="249"/>
      <c r="P1377" s="249"/>
      <c r="Q1377" s="249"/>
      <c r="R1377" s="249"/>
      <c r="S1377" s="249"/>
      <c r="T1377" s="249"/>
      <c r="U1377" s="249"/>
      <c r="V1377" s="249"/>
      <c r="W1377" s="249"/>
      <c r="X1377" s="249"/>
      <c r="Y1377" s="249"/>
      <c r="Z1377" s="249"/>
    </row>
    <row r="1378" spans="1:26" s="152" customFormat="1" x14ac:dyDescent="0.25">
      <c r="A1378" s="249"/>
      <c r="B1378" s="249"/>
      <c r="C1378" s="249"/>
      <c r="D1378" s="249"/>
      <c r="E1378" s="249"/>
      <c r="F1378" s="249"/>
      <c r="G1378" s="249"/>
      <c r="H1378" s="249"/>
      <c r="I1378" s="258"/>
      <c r="J1378" s="249"/>
      <c r="K1378" s="249"/>
      <c r="L1378" s="249"/>
      <c r="M1378" s="259"/>
      <c r="N1378" s="249"/>
      <c r="O1378" s="249"/>
      <c r="P1378" s="249"/>
      <c r="Q1378" s="249"/>
      <c r="R1378" s="249"/>
      <c r="S1378" s="249"/>
      <c r="T1378" s="249"/>
      <c r="U1378" s="249"/>
      <c r="V1378" s="249"/>
      <c r="W1378" s="249"/>
      <c r="X1378" s="249"/>
      <c r="Y1378" s="249"/>
      <c r="Z1378" s="249"/>
    </row>
    <row r="1379" spans="1:26" s="152" customFormat="1" x14ac:dyDescent="0.25">
      <c r="A1379" s="249"/>
      <c r="B1379" s="249"/>
      <c r="C1379" s="249"/>
      <c r="D1379" s="249"/>
      <c r="E1379" s="249"/>
      <c r="F1379" s="249"/>
      <c r="G1379" s="249"/>
      <c r="H1379" s="249"/>
      <c r="I1379" s="258"/>
      <c r="J1379" s="249"/>
      <c r="K1379" s="249"/>
      <c r="L1379" s="249"/>
      <c r="M1379" s="259"/>
      <c r="N1379" s="249"/>
      <c r="O1379" s="249"/>
      <c r="P1379" s="249"/>
      <c r="Q1379" s="249"/>
      <c r="R1379" s="249"/>
      <c r="S1379" s="249"/>
      <c r="T1379" s="249"/>
      <c r="U1379" s="249"/>
      <c r="V1379" s="249"/>
      <c r="W1379" s="249"/>
      <c r="X1379" s="249"/>
      <c r="Y1379" s="249"/>
      <c r="Z1379" s="249"/>
    </row>
    <row r="1380" spans="1:26" s="152" customFormat="1" x14ac:dyDescent="0.25">
      <c r="A1380" s="249"/>
      <c r="B1380" s="249"/>
      <c r="C1380" s="249"/>
      <c r="D1380" s="249"/>
      <c r="E1380" s="249"/>
      <c r="F1380" s="249"/>
      <c r="G1380" s="249"/>
      <c r="H1380" s="249"/>
      <c r="I1380" s="258"/>
      <c r="J1380" s="249"/>
      <c r="K1380" s="249"/>
      <c r="L1380" s="249"/>
      <c r="M1380" s="259"/>
      <c r="N1380" s="249"/>
      <c r="O1380" s="249"/>
      <c r="P1380" s="249"/>
      <c r="Q1380" s="249"/>
      <c r="R1380" s="249"/>
      <c r="S1380" s="249"/>
      <c r="T1380" s="249"/>
      <c r="U1380" s="249"/>
      <c r="V1380" s="249"/>
      <c r="W1380" s="249"/>
      <c r="X1380" s="249"/>
      <c r="Y1380" s="249"/>
      <c r="Z1380" s="249"/>
    </row>
    <row r="1381" spans="1:26" s="152" customFormat="1" x14ac:dyDescent="0.25">
      <c r="A1381" s="249"/>
      <c r="B1381" s="249"/>
      <c r="C1381" s="249"/>
      <c r="D1381" s="249"/>
      <c r="E1381" s="249"/>
      <c r="F1381" s="249"/>
      <c r="G1381" s="249"/>
      <c r="H1381" s="249"/>
      <c r="I1381" s="258"/>
      <c r="J1381" s="249"/>
      <c r="K1381" s="249"/>
      <c r="L1381" s="249"/>
      <c r="M1381" s="259"/>
      <c r="N1381" s="249"/>
      <c r="O1381" s="249"/>
      <c r="P1381" s="249"/>
      <c r="Q1381" s="249"/>
      <c r="R1381" s="249"/>
      <c r="S1381" s="249"/>
      <c r="T1381" s="249"/>
      <c r="U1381" s="249"/>
      <c r="V1381" s="249"/>
      <c r="W1381" s="249"/>
      <c r="X1381" s="249"/>
      <c r="Y1381" s="249"/>
      <c r="Z1381" s="249"/>
    </row>
    <row r="1382" spans="1:26" s="152" customFormat="1" x14ac:dyDescent="0.25">
      <c r="A1382" s="249"/>
      <c r="B1382" s="249"/>
      <c r="C1382" s="249"/>
      <c r="D1382" s="249"/>
      <c r="E1382" s="249"/>
      <c r="F1382" s="249"/>
      <c r="G1382" s="249"/>
      <c r="H1382" s="249"/>
      <c r="I1382" s="258"/>
      <c r="J1382" s="249"/>
      <c r="K1382" s="249"/>
      <c r="L1382" s="249"/>
      <c r="M1382" s="259"/>
      <c r="N1382" s="249"/>
      <c r="O1382" s="249"/>
      <c r="P1382" s="249"/>
      <c r="Q1382" s="249"/>
      <c r="R1382" s="249"/>
      <c r="S1382" s="249"/>
      <c r="T1382" s="249"/>
      <c r="U1382" s="249"/>
      <c r="V1382" s="249"/>
      <c r="W1382" s="249"/>
      <c r="X1382" s="249"/>
      <c r="Y1382" s="249"/>
      <c r="Z1382" s="249"/>
    </row>
    <row r="1383" spans="1:26" s="152" customFormat="1" x14ac:dyDescent="0.25">
      <c r="A1383" s="249"/>
      <c r="B1383" s="249"/>
      <c r="C1383" s="249"/>
      <c r="D1383" s="249"/>
      <c r="E1383" s="249"/>
      <c r="F1383" s="249"/>
      <c r="G1383" s="249"/>
      <c r="H1383" s="249"/>
      <c r="I1383" s="258"/>
      <c r="J1383" s="249"/>
      <c r="K1383" s="249"/>
      <c r="L1383" s="249"/>
      <c r="M1383" s="259"/>
      <c r="N1383" s="249"/>
      <c r="O1383" s="249"/>
      <c r="P1383" s="249"/>
      <c r="Q1383" s="249"/>
      <c r="R1383" s="249"/>
      <c r="S1383" s="249"/>
      <c r="T1383" s="249"/>
      <c r="U1383" s="249"/>
      <c r="V1383" s="249"/>
      <c r="W1383" s="249"/>
      <c r="X1383" s="249"/>
      <c r="Y1383" s="249"/>
      <c r="Z1383" s="249"/>
    </row>
    <row r="1384" spans="1:26" s="152" customFormat="1" x14ac:dyDescent="0.25">
      <c r="A1384" s="249"/>
      <c r="B1384" s="249"/>
      <c r="C1384" s="249"/>
      <c r="D1384" s="249"/>
      <c r="E1384" s="249"/>
      <c r="F1384" s="249"/>
      <c r="G1384" s="249"/>
      <c r="H1384" s="249"/>
      <c r="I1384" s="258"/>
      <c r="J1384" s="249"/>
      <c r="K1384" s="249"/>
      <c r="L1384" s="249"/>
      <c r="M1384" s="259"/>
      <c r="N1384" s="249"/>
      <c r="O1384" s="249"/>
      <c r="P1384" s="249"/>
      <c r="Q1384" s="249"/>
      <c r="R1384" s="249"/>
      <c r="S1384" s="249"/>
      <c r="T1384" s="249"/>
      <c r="U1384" s="249"/>
      <c r="V1384" s="249"/>
      <c r="W1384" s="249"/>
      <c r="X1384" s="249"/>
      <c r="Y1384" s="249"/>
      <c r="Z1384" s="249"/>
    </row>
    <row r="1385" spans="1:26" s="152" customFormat="1" x14ac:dyDescent="0.25">
      <c r="A1385" s="249"/>
      <c r="B1385" s="249"/>
      <c r="C1385" s="249"/>
      <c r="D1385" s="249"/>
      <c r="E1385" s="249"/>
      <c r="F1385" s="249"/>
      <c r="G1385" s="249"/>
      <c r="H1385" s="249"/>
      <c r="I1385" s="258"/>
      <c r="J1385" s="249"/>
      <c r="K1385" s="249"/>
      <c r="L1385" s="249"/>
      <c r="M1385" s="259"/>
      <c r="N1385" s="249"/>
      <c r="O1385" s="249"/>
      <c r="P1385" s="249"/>
      <c r="Q1385" s="249"/>
      <c r="R1385" s="249"/>
      <c r="S1385" s="249"/>
      <c r="T1385" s="249"/>
      <c r="U1385" s="249"/>
      <c r="V1385" s="249"/>
      <c r="W1385" s="249"/>
      <c r="X1385" s="249"/>
      <c r="Y1385" s="249"/>
      <c r="Z1385" s="249"/>
    </row>
    <row r="1386" spans="1:26" s="152" customFormat="1" x14ac:dyDescent="0.25">
      <c r="A1386" s="249"/>
      <c r="B1386" s="249"/>
      <c r="C1386" s="249"/>
      <c r="D1386" s="249"/>
      <c r="E1386" s="249"/>
      <c r="F1386" s="249"/>
      <c r="G1386" s="249"/>
      <c r="H1386" s="249"/>
      <c r="I1386" s="258"/>
      <c r="J1386" s="249"/>
      <c r="K1386" s="249"/>
      <c r="L1386" s="249"/>
      <c r="M1386" s="259"/>
      <c r="N1386" s="249"/>
      <c r="O1386" s="249"/>
      <c r="P1386" s="249"/>
      <c r="Q1386" s="249"/>
      <c r="R1386" s="249"/>
      <c r="S1386" s="249"/>
      <c r="T1386" s="249"/>
      <c r="U1386" s="249"/>
      <c r="V1386" s="249"/>
      <c r="W1386" s="249"/>
      <c r="X1386" s="249"/>
      <c r="Y1386" s="249"/>
      <c r="Z1386" s="249"/>
    </row>
    <row r="1387" spans="1:26" s="152" customFormat="1" x14ac:dyDescent="0.25">
      <c r="A1387" s="249"/>
      <c r="B1387" s="249"/>
      <c r="C1387" s="249"/>
      <c r="D1387" s="249"/>
      <c r="E1387" s="249"/>
      <c r="F1387" s="249"/>
      <c r="G1387" s="249"/>
      <c r="H1387" s="249"/>
      <c r="I1387" s="258"/>
      <c r="J1387" s="249"/>
      <c r="K1387" s="249"/>
      <c r="L1387" s="249"/>
      <c r="M1387" s="259"/>
      <c r="N1387" s="249"/>
      <c r="O1387" s="249"/>
      <c r="P1387" s="249"/>
      <c r="Q1387" s="249"/>
      <c r="R1387" s="249"/>
      <c r="S1387" s="249"/>
      <c r="T1387" s="249"/>
      <c r="U1387" s="249"/>
      <c r="V1387" s="249"/>
      <c r="W1387" s="249"/>
      <c r="X1387" s="249"/>
      <c r="Y1387" s="249"/>
      <c r="Z1387" s="249"/>
    </row>
    <row r="1388" spans="1:26" s="152" customFormat="1" x14ac:dyDescent="0.25">
      <c r="A1388" s="249"/>
      <c r="B1388" s="249"/>
      <c r="C1388" s="249"/>
      <c r="D1388" s="249"/>
      <c r="E1388" s="249"/>
      <c r="F1388" s="249"/>
      <c r="G1388" s="249"/>
      <c r="H1388" s="249"/>
      <c r="I1388" s="258"/>
      <c r="J1388" s="249"/>
      <c r="K1388" s="249"/>
      <c r="L1388" s="249"/>
      <c r="M1388" s="259"/>
      <c r="N1388" s="249"/>
      <c r="O1388" s="249"/>
      <c r="P1388" s="249"/>
      <c r="Q1388" s="249"/>
      <c r="R1388" s="249"/>
      <c r="S1388" s="249"/>
      <c r="T1388" s="249"/>
      <c r="U1388" s="249"/>
      <c r="V1388" s="249"/>
      <c r="W1388" s="249"/>
      <c r="X1388" s="249"/>
      <c r="Y1388" s="249"/>
      <c r="Z1388" s="249"/>
    </row>
    <row r="1389" spans="1:26" s="152" customFormat="1" x14ac:dyDescent="0.25">
      <c r="A1389" s="249"/>
      <c r="B1389" s="249"/>
      <c r="C1389" s="249"/>
      <c r="D1389" s="249"/>
      <c r="E1389" s="249"/>
      <c r="F1389" s="249"/>
      <c r="G1389" s="249"/>
      <c r="H1389" s="249"/>
      <c r="I1389" s="258"/>
      <c r="J1389" s="249"/>
      <c r="K1389" s="249"/>
      <c r="L1389" s="249"/>
      <c r="M1389" s="259"/>
      <c r="N1389" s="249"/>
      <c r="O1389" s="249"/>
      <c r="P1389" s="249"/>
      <c r="Q1389" s="249"/>
      <c r="R1389" s="249"/>
      <c r="S1389" s="249"/>
      <c r="T1389" s="249"/>
      <c r="U1389" s="249"/>
      <c r="V1389" s="249"/>
      <c r="W1389" s="249"/>
      <c r="X1389" s="249"/>
      <c r="Y1389" s="249"/>
      <c r="Z1389" s="249"/>
    </row>
    <row r="1390" spans="1:26" s="152" customFormat="1" x14ac:dyDescent="0.25">
      <c r="A1390" s="249"/>
      <c r="B1390" s="249"/>
      <c r="C1390" s="249"/>
      <c r="D1390" s="249"/>
      <c r="E1390" s="249"/>
      <c r="F1390" s="249"/>
      <c r="G1390" s="249"/>
      <c r="H1390" s="249"/>
      <c r="I1390" s="258"/>
      <c r="J1390" s="249"/>
      <c r="K1390" s="249"/>
      <c r="L1390" s="249"/>
      <c r="M1390" s="259"/>
      <c r="N1390" s="249"/>
      <c r="O1390" s="249"/>
      <c r="P1390" s="249"/>
      <c r="Q1390" s="249"/>
      <c r="R1390" s="249"/>
      <c r="S1390" s="249"/>
      <c r="T1390" s="249"/>
      <c r="U1390" s="249"/>
      <c r="V1390" s="249"/>
      <c r="W1390" s="249"/>
      <c r="X1390" s="249"/>
      <c r="Y1390" s="249"/>
      <c r="Z1390" s="249"/>
    </row>
    <row r="1391" spans="1:26" s="152" customFormat="1" x14ac:dyDescent="0.25">
      <c r="A1391" s="249"/>
      <c r="B1391" s="249"/>
      <c r="C1391" s="249"/>
      <c r="D1391" s="249"/>
      <c r="E1391" s="249"/>
      <c r="F1391" s="249"/>
      <c r="G1391" s="249"/>
      <c r="H1391" s="249"/>
      <c r="I1391" s="258"/>
      <c r="J1391" s="249"/>
      <c r="K1391" s="249"/>
      <c r="L1391" s="249"/>
      <c r="M1391" s="259"/>
      <c r="N1391" s="249"/>
      <c r="O1391" s="249"/>
      <c r="P1391" s="249"/>
      <c r="Q1391" s="249"/>
      <c r="R1391" s="249"/>
      <c r="S1391" s="249"/>
      <c r="T1391" s="249"/>
      <c r="U1391" s="249"/>
      <c r="V1391" s="249"/>
      <c r="W1391" s="249"/>
      <c r="X1391" s="249"/>
      <c r="Y1391" s="249"/>
      <c r="Z1391" s="249"/>
    </row>
    <row r="1392" spans="1:26" s="152" customFormat="1" x14ac:dyDescent="0.25">
      <c r="A1392" s="249"/>
      <c r="B1392" s="249"/>
      <c r="C1392" s="249"/>
      <c r="D1392" s="249"/>
      <c r="E1392" s="249"/>
      <c r="F1392" s="249"/>
      <c r="G1392" s="249"/>
      <c r="H1392" s="249"/>
      <c r="I1392" s="258"/>
      <c r="J1392" s="249"/>
      <c r="K1392" s="249"/>
      <c r="L1392" s="249"/>
      <c r="M1392" s="259"/>
      <c r="N1392" s="249"/>
      <c r="O1392" s="249"/>
      <c r="P1392" s="249"/>
      <c r="Q1392" s="249"/>
      <c r="R1392" s="249"/>
      <c r="S1392" s="249"/>
      <c r="T1392" s="249"/>
      <c r="U1392" s="249"/>
      <c r="V1392" s="249"/>
      <c r="W1392" s="249"/>
      <c r="X1392" s="249"/>
      <c r="Y1392" s="249"/>
      <c r="Z1392" s="249"/>
    </row>
    <row r="1393" spans="1:26" s="152" customFormat="1" x14ac:dyDescent="0.25">
      <c r="A1393" s="249"/>
      <c r="B1393" s="249"/>
      <c r="C1393" s="249"/>
      <c r="D1393" s="249"/>
      <c r="E1393" s="249"/>
      <c r="F1393" s="249"/>
      <c r="G1393" s="249"/>
      <c r="H1393" s="249"/>
      <c r="I1393" s="258"/>
      <c r="J1393" s="249"/>
      <c r="K1393" s="249"/>
      <c r="L1393" s="249"/>
      <c r="M1393" s="259"/>
      <c r="N1393" s="249"/>
      <c r="O1393" s="249"/>
      <c r="P1393" s="249"/>
      <c r="Q1393" s="249"/>
      <c r="R1393" s="249"/>
      <c r="S1393" s="249"/>
      <c r="T1393" s="249"/>
      <c r="U1393" s="249"/>
      <c r="V1393" s="249"/>
      <c r="W1393" s="249"/>
      <c r="X1393" s="249"/>
      <c r="Y1393" s="249"/>
      <c r="Z1393" s="249"/>
    </row>
    <row r="1394" spans="1:26" s="152" customFormat="1" x14ac:dyDescent="0.25">
      <c r="A1394" s="249"/>
      <c r="B1394" s="249"/>
      <c r="C1394" s="249"/>
      <c r="D1394" s="249"/>
      <c r="E1394" s="249"/>
      <c r="F1394" s="249"/>
      <c r="G1394" s="249"/>
      <c r="H1394" s="249"/>
      <c r="I1394" s="258"/>
      <c r="J1394" s="249"/>
      <c r="K1394" s="249"/>
      <c r="L1394" s="249"/>
      <c r="M1394" s="259"/>
      <c r="N1394" s="249"/>
      <c r="O1394" s="249"/>
      <c r="P1394" s="249"/>
      <c r="Q1394" s="249"/>
      <c r="R1394" s="249"/>
      <c r="S1394" s="249"/>
      <c r="T1394" s="249"/>
      <c r="U1394" s="249"/>
      <c r="V1394" s="249"/>
      <c r="W1394" s="249"/>
      <c r="X1394" s="249"/>
      <c r="Y1394" s="249"/>
      <c r="Z1394" s="249"/>
    </row>
    <row r="1395" spans="1:26" s="152" customFormat="1" x14ac:dyDescent="0.25">
      <c r="A1395" s="249"/>
      <c r="B1395" s="249"/>
      <c r="C1395" s="249"/>
      <c r="D1395" s="249"/>
      <c r="E1395" s="249"/>
      <c r="F1395" s="249"/>
      <c r="G1395" s="249"/>
      <c r="H1395" s="249"/>
      <c r="I1395" s="258"/>
      <c r="J1395" s="249"/>
      <c r="K1395" s="249"/>
      <c r="L1395" s="249"/>
      <c r="M1395" s="259"/>
      <c r="N1395" s="249"/>
      <c r="O1395" s="249"/>
      <c r="P1395" s="249"/>
      <c r="Q1395" s="249"/>
      <c r="R1395" s="249"/>
      <c r="S1395" s="249"/>
      <c r="T1395" s="249"/>
      <c r="U1395" s="249"/>
      <c r="V1395" s="249"/>
      <c r="W1395" s="249"/>
      <c r="X1395" s="249"/>
      <c r="Y1395" s="249"/>
      <c r="Z1395" s="249"/>
    </row>
    <row r="1396" spans="1:26" s="152" customFormat="1" x14ac:dyDescent="0.25">
      <c r="A1396" s="249"/>
      <c r="B1396" s="249"/>
      <c r="C1396" s="249"/>
      <c r="D1396" s="249"/>
      <c r="E1396" s="249"/>
      <c r="F1396" s="249"/>
      <c r="G1396" s="249"/>
      <c r="H1396" s="249"/>
      <c r="I1396" s="258"/>
      <c r="J1396" s="249"/>
      <c r="K1396" s="249"/>
      <c r="L1396" s="249"/>
      <c r="M1396" s="259"/>
      <c r="N1396" s="249"/>
      <c r="O1396" s="249"/>
      <c r="P1396" s="249"/>
      <c r="Q1396" s="249"/>
      <c r="R1396" s="249"/>
      <c r="S1396" s="249"/>
      <c r="T1396" s="249"/>
      <c r="U1396" s="249"/>
      <c r="V1396" s="249"/>
      <c r="W1396" s="249"/>
      <c r="X1396" s="249"/>
      <c r="Y1396" s="249"/>
      <c r="Z1396" s="249"/>
    </row>
    <row r="1397" spans="1:26" s="152" customFormat="1" x14ac:dyDescent="0.25">
      <c r="A1397" s="249"/>
      <c r="B1397" s="249"/>
      <c r="C1397" s="249"/>
      <c r="D1397" s="249"/>
      <c r="E1397" s="249"/>
      <c r="F1397" s="249"/>
      <c r="G1397" s="249"/>
      <c r="H1397" s="249"/>
      <c r="I1397" s="258"/>
      <c r="J1397" s="249"/>
      <c r="K1397" s="249"/>
      <c r="L1397" s="249"/>
      <c r="M1397" s="259"/>
      <c r="N1397" s="249"/>
      <c r="O1397" s="249"/>
      <c r="P1397" s="249"/>
      <c r="Q1397" s="249"/>
      <c r="R1397" s="249"/>
      <c r="S1397" s="249"/>
      <c r="T1397" s="249"/>
      <c r="U1397" s="249"/>
      <c r="V1397" s="249"/>
      <c r="W1397" s="249"/>
      <c r="X1397" s="249"/>
      <c r="Y1397" s="249"/>
      <c r="Z1397" s="249"/>
    </row>
    <row r="1398" spans="1:26" s="152" customFormat="1" x14ac:dyDescent="0.25">
      <c r="A1398" s="249"/>
      <c r="B1398" s="249"/>
      <c r="C1398" s="249"/>
      <c r="D1398" s="249"/>
      <c r="E1398" s="249"/>
      <c r="F1398" s="249"/>
      <c r="G1398" s="249"/>
      <c r="H1398" s="249"/>
      <c r="I1398" s="258"/>
      <c r="J1398" s="249"/>
      <c r="K1398" s="249"/>
      <c r="L1398" s="249"/>
      <c r="M1398" s="259"/>
      <c r="N1398" s="249"/>
      <c r="O1398" s="249"/>
      <c r="P1398" s="249"/>
      <c r="Q1398" s="249"/>
      <c r="R1398" s="249"/>
      <c r="S1398" s="249"/>
      <c r="T1398" s="249"/>
      <c r="U1398" s="249"/>
      <c r="V1398" s="249"/>
      <c r="W1398" s="249"/>
      <c r="X1398" s="249"/>
      <c r="Y1398" s="249"/>
      <c r="Z1398" s="249"/>
    </row>
    <row r="1399" spans="1:26" s="152" customFormat="1" x14ac:dyDescent="0.25">
      <c r="A1399" s="249"/>
      <c r="B1399" s="249"/>
      <c r="C1399" s="249"/>
      <c r="D1399" s="249"/>
      <c r="E1399" s="249"/>
      <c r="F1399" s="249"/>
      <c r="G1399" s="249"/>
      <c r="H1399" s="249"/>
      <c r="I1399" s="258"/>
      <c r="J1399" s="249"/>
      <c r="K1399" s="249"/>
      <c r="L1399" s="249"/>
      <c r="M1399" s="259"/>
      <c r="N1399" s="249"/>
      <c r="O1399" s="249"/>
      <c r="P1399" s="249"/>
      <c r="Q1399" s="249"/>
      <c r="R1399" s="249"/>
      <c r="S1399" s="249"/>
      <c r="T1399" s="249"/>
      <c r="U1399" s="249"/>
      <c r="V1399" s="249"/>
      <c r="W1399" s="249"/>
      <c r="X1399" s="249"/>
      <c r="Y1399" s="249"/>
      <c r="Z1399" s="249"/>
    </row>
    <row r="1400" spans="1:26" s="152" customFormat="1" x14ac:dyDescent="0.25">
      <c r="A1400" s="249"/>
      <c r="B1400" s="249"/>
      <c r="C1400" s="249"/>
      <c r="D1400" s="249"/>
      <c r="E1400" s="249"/>
      <c r="F1400" s="249"/>
      <c r="G1400" s="249"/>
      <c r="H1400" s="249"/>
      <c r="I1400" s="258"/>
      <c r="J1400" s="249"/>
      <c r="K1400" s="249"/>
      <c r="L1400" s="249"/>
      <c r="M1400" s="259"/>
      <c r="N1400" s="249"/>
      <c r="O1400" s="249"/>
      <c r="P1400" s="249"/>
      <c r="Q1400" s="249"/>
      <c r="R1400" s="249"/>
      <c r="S1400" s="249"/>
      <c r="T1400" s="249"/>
      <c r="U1400" s="249"/>
      <c r="V1400" s="249"/>
      <c r="W1400" s="249"/>
      <c r="X1400" s="249"/>
      <c r="Y1400" s="249"/>
      <c r="Z1400" s="249"/>
    </row>
    <row r="1401" spans="1:26" s="152" customFormat="1" x14ac:dyDescent="0.25">
      <c r="A1401" s="249"/>
      <c r="B1401" s="249"/>
      <c r="C1401" s="249"/>
      <c r="D1401" s="249"/>
      <c r="E1401" s="249"/>
      <c r="F1401" s="249"/>
      <c r="G1401" s="249"/>
      <c r="H1401" s="249"/>
      <c r="I1401" s="258"/>
      <c r="J1401" s="249"/>
      <c r="K1401" s="249"/>
      <c r="L1401" s="249"/>
      <c r="M1401" s="259"/>
      <c r="N1401" s="249"/>
      <c r="O1401" s="249"/>
      <c r="P1401" s="249"/>
      <c r="Q1401" s="249"/>
      <c r="R1401" s="249"/>
      <c r="S1401" s="249"/>
      <c r="T1401" s="249"/>
      <c r="U1401" s="249"/>
      <c r="V1401" s="249"/>
      <c r="W1401" s="249"/>
      <c r="X1401" s="249"/>
      <c r="Y1401" s="249"/>
      <c r="Z1401" s="249"/>
    </row>
    <row r="1402" spans="1:26" s="152" customFormat="1" x14ac:dyDescent="0.25">
      <c r="A1402" s="249"/>
      <c r="B1402" s="249"/>
      <c r="C1402" s="249"/>
      <c r="D1402" s="249"/>
      <c r="E1402" s="249"/>
      <c r="F1402" s="249"/>
      <c r="G1402" s="249"/>
      <c r="H1402" s="249"/>
      <c r="I1402" s="258"/>
      <c r="J1402" s="249"/>
      <c r="K1402" s="249"/>
      <c r="L1402" s="249"/>
      <c r="M1402" s="259"/>
      <c r="N1402" s="249"/>
      <c r="O1402" s="249"/>
      <c r="P1402" s="249"/>
      <c r="Q1402" s="249"/>
      <c r="R1402" s="249"/>
      <c r="S1402" s="249"/>
      <c r="T1402" s="249"/>
      <c r="U1402" s="249"/>
      <c r="V1402" s="249"/>
      <c r="W1402" s="249"/>
      <c r="X1402" s="249"/>
      <c r="Y1402" s="249"/>
      <c r="Z1402" s="249"/>
    </row>
    <row r="1403" spans="1:26" s="152" customFormat="1" x14ac:dyDescent="0.25">
      <c r="A1403" s="249"/>
      <c r="B1403" s="249"/>
      <c r="C1403" s="249"/>
      <c r="D1403" s="249"/>
      <c r="E1403" s="249"/>
      <c r="F1403" s="249"/>
      <c r="G1403" s="249"/>
      <c r="H1403" s="249"/>
      <c r="I1403" s="258"/>
      <c r="J1403" s="249"/>
      <c r="K1403" s="249"/>
      <c r="L1403" s="249"/>
      <c r="M1403" s="259"/>
      <c r="N1403" s="249"/>
      <c r="O1403" s="249"/>
      <c r="P1403" s="249"/>
      <c r="Q1403" s="249"/>
      <c r="R1403" s="249"/>
      <c r="S1403" s="249"/>
      <c r="T1403" s="249"/>
      <c r="U1403" s="249"/>
      <c r="V1403" s="249"/>
      <c r="W1403" s="249"/>
      <c r="X1403" s="249"/>
      <c r="Y1403" s="249"/>
      <c r="Z1403" s="249"/>
    </row>
    <row r="1404" spans="1:26" s="152" customFormat="1" x14ac:dyDescent="0.25">
      <c r="A1404" s="249"/>
      <c r="B1404" s="249"/>
      <c r="C1404" s="249"/>
      <c r="D1404" s="249"/>
      <c r="E1404" s="249"/>
      <c r="F1404" s="249"/>
      <c r="G1404" s="249"/>
      <c r="H1404" s="249"/>
      <c r="I1404" s="258"/>
      <c r="J1404" s="249"/>
      <c r="K1404" s="249"/>
      <c r="L1404" s="249"/>
      <c r="M1404" s="259"/>
      <c r="N1404" s="249"/>
      <c r="O1404" s="249"/>
      <c r="P1404" s="249"/>
      <c r="Q1404" s="249"/>
      <c r="R1404" s="249"/>
      <c r="S1404" s="249"/>
      <c r="T1404" s="249"/>
      <c r="U1404" s="249"/>
      <c r="V1404" s="249"/>
      <c r="W1404" s="249"/>
      <c r="X1404" s="249"/>
      <c r="Y1404" s="249"/>
      <c r="Z1404" s="249"/>
    </row>
    <row r="1405" spans="1:26" s="152" customFormat="1" x14ac:dyDescent="0.25">
      <c r="A1405" s="249"/>
      <c r="B1405" s="249"/>
      <c r="C1405" s="249"/>
      <c r="D1405" s="249"/>
      <c r="E1405" s="249"/>
      <c r="F1405" s="249"/>
      <c r="G1405" s="249"/>
      <c r="H1405" s="249"/>
      <c r="I1405" s="258"/>
      <c r="J1405" s="249"/>
      <c r="K1405" s="249"/>
      <c r="L1405" s="249"/>
      <c r="M1405" s="259"/>
      <c r="N1405" s="249"/>
      <c r="O1405" s="249"/>
      <c r="P1405" s="249"/>
      <c r="Q1405" s="249"/>
      <c r="R1405" s="249"/>
      <c r="S1405" s="249"/>
      <c r="T1405" s="249"/>
      <c r="U1405" s="249"/>
      <c r="V1405" s="249"/>
      <c r="W1405" s="249"/>
      <c r="X1405" s="249"/>
      <c r="Y1405" s="249"/>
      <c r="Z1405" s="249"/>
    </row>
    <row r="1406" spans="1:26" s="152" customFormat="1" x14ac:dyDescent="0.25">
      <c r="A1406" s="249"/>
      <c r="B1406" s="249"/>
      <c r="C1406" s="249"/>
      <c r="D1406" s="249"/>
      <c r="E1406" s="249"/>
      <c r="F1406" s="249"/>
      <c r="G1406" s="249"/>
      <c r="H1406" s="249"/>
      <c r="I1406" s="258"/>
      <c r="J1406" s="249"/>
      <c r="K1406" s="249"/>
      <c r="L1406" s="249"/>
      <c r="M1406" s="259"/>
      <c r="N1406" s="249"/>
      <c r="O1406" s="249"/>
      <c r="P1406" s="249"/>
      <c r="Q1406" s="249"/>
      <c r="R1406" s="249"/>
      <c r="S1406" s="249"/>
      <c r="T1406" s="249"/>
      <c r="U1406" s="249"/>
      <c r="V1406" s="249"/>
      <c r="W1406" s="249"/>
      <c r="X1406" s="249"/>
      <c r="Y1406" s="249"/>
      <c r="Z1406" s="249"/>
    </row>
    <row r="1407" spans="1:26" s="152" customFormat="1" x14ac:dyDescent="0.25">
      <c r="A1407" s="249"/>
      <c r="B1407" s="249"/>
      <c r="C1407" s="249"/>
      <c r="D1407" s="249"/>
      <c r="E1407" s="249"/>
      <c r="F1407" s="249"/>
      <c r="G1407" s="249"/>
      <c r="H1407" s="249"/>
      <c r="I1407" s="258"/>
      <c r="J1407" s="249"/>
      <c r="K1407" s="249"/>
      <c r="L1407" s="249"/>
      <c r="M1407" s="259"/>
      <c r="N1407" s="249"/>
      <c r="O1407" s="249"/>
      <c r="P1407" s="249"/>
      <c r="Q1407" s="249"/>
      <c r="R1407" s="249"/>
      <c r="S1407" s="249"/>
      <c r="T1407" s="249"/>
      <c r="U1407" s="249"/>
      <c r="V1407" s="249"/>
      <c r="W1407" s="249"/>
      <c r="X1407" s="249"/>
      <c r="Y1407" s="249"/>
      <c r="Z1407" s="249"/>
    </row>
    <row r="1408" spans="1:26" s="152" customFormat="1" x14ac:dyDescent="0.25">
      <c r="A1408" s="249"/>
      <c r="B1408" s="249"/>
      <c r="C1408" s="249"/>
      <c r="D1408" s="249"/>
      <c r="E1408" s="249"/>
      <c r="F1408" s="249"/>
      <c r="G1408" s="249"/>
      <c r="H1408" s="249"/>
      <c r="I1408" s="258"/>
      <c r="J1408" s="249"/>
      <c r="K1408" s="249"/>
      <c r="L1408" s="249"/>
      <c r="M1408" s="259"/>
      <c r="N1408" s="249"/>
      <c r="O1408" s="249"/>
      <c r="P1408" s="249"/>
      <c r="Q1408" s="249"/>
      <c r="R1408" s="249"/>
      <c r="S1408" s="249"/>
      <c r="T1408" s="249"/>
      <c r="U1408" s="249"/>
      <c r="V1408" s="249"/>
      <c r="W1408" s="249"/>
      <c r="X1408" s="249"/>
      <c r="Y1408" s="249"/>
      <c r="Z1408" s="249"/>
    </row>
    <row r="1409" spans="1:26" s="152" customFormat="1" x14ac:dyDescent="0.25">
      <c r="A1409" s="249"/>
      <c r="B1409" s="249"/>
      <c r="C1409" s="249"/>
      <c r="D1409" s="249"/>
      <c r="E1409" s="249"/>
      <c r="F1409" s="249"/>
      <c r="G1409" s="249"/>
      <c r="H1409" s="249"/>
      <c r="I1409" s="258"/>
      <c r="J1409" s="249"/>
      <c r="K1409" s="249"/>
      <c r="L1409" s="249"/>
      <c r="M1409" s="259"/>
      <c r="N1409" s="249"/>
      <c r="O1409" s="249"/>
      <c r="P1409" s="249"/>
      <c r="Q1409" s="249"/>
      <c r="R1409" s="249"/>
      <c r="S1409" s="249"/>
      <c r="T1409" s="249"/>
      <c r="U1409" s="249"/>
      <c r="V1409" s="249"/>
      <c r="W1409" s="249"/>
      <c r="X1409" s="249"/>
      <c r="Y1409" s="249"/>
      <c r="Z1409" s="249"/>
    </row>
    <row r="1410" spans="1:26" s="152" customFormat="1" x14ac:dyDescent="0.25">
      <c r="A1410" s="249"/>
      <c r="B1410" s="249"/>
      <c r="C1410" s="249"/>
      <c r="D1410" s="249"/>
      <c r="E1410" s="249"/>
      <c r="F1410" s="249"/>
      <c r="G1410" s="249"/>
      <c r="H1410" s="249"/>
      <c r="I1410" s="258"/>
      <c r="J1410" s="249"/>
      <c r="K1410" s="249"/>
      <c r="L1410" s="249"/>
      <c r="M1410" s="259"/>
      <c r="N1410" s="249"/>
      <c r="O1410" s="249"/>
      <c r="P1410" s="249"/>
      <c r="Q1410" s="249"/>
      <c r="R1410" s="249"/>
      <c r="S1410" s="249"/>
      <c r="T1410" s="249"/>
      <c r="U1410" s="249"/>
      <c r="V1410" s="249"/>
      <c r="W1410" s="249"/>
      <c r="X1410" s="249"/>
      <c r="Y1410" s="249"/>
      <c r="Z1410" s="249"/>
    </row>
    <row r="1411" spans="1:26" s="152" customFormat="1" x14ac:dyDescent="0.25">
      <c r="A1411" s="249"/>
      <c r="B1411" s="249"/>
      <c r="C1411" s="249"/>
      <c r="D1411" s="249"/>
      <c r="E1411" s="249"/>
      <c r="F1411" s="249"/>
      <c r="G1411" s="249"/>
      <c r="H1411" s="249"/>
      <c r="I1411" s="258"/>
      <c r="J1411" s="249"/>
      <c r="K1411" s="249"/>
      <c r="L1411" s="249"/>
      <c r="M1411" s="259"/>
      <c r="N1411" s="249"/>
      <c r="O1411" s="249"/>
      <c r="P1411" s="249"/>
      <c r="Q1411" s="249"/>
      <c r="R1411" s="249"/>
      <c r="S1411" s="249"/>
      <c r="T1411" s="249"/>
      <c r="U1411" s="249"/>
      <c r="V1411" s="249"/>
      <c r="W1411" s="249"/>
      <c r="X1411" s="249"/>
      <c r="Y1411" s="249"/>
      <c r="Z1411" s="249"/>
    </row>
    <row r="1412" spans="1:26" s="152" customFormat="1" x14ac:dyDescent="0.25">
      <c r="A1412" s="249"/>
      <c r="B1412" s="249"/>
      <c r="C1412" s="249"/>
      <c r="D1412" s="249"/>
      <c r="E1412" s="249"/>
      <c r="F1412" s="249"/>
      <c r="G1412" s="249"/>
      <c r="H1412" s="249"/>
      <c r="I1412" s="258"/>
      <c r="J1412" s="249"/>
      <c r="K1412" s="249"/>
      <c r="L1412" s="249"/>
      <c r="M1412" s="259"/>
      <c r="N1412" s="249"/>
      <c r="O1412" s="249"/>
      <c r="P1412" s="249"/>
      <c r="Q1412" s="249"/>
      <c r="R1412" s="249"/>
      <c r="S1412" s="249"/>
      <c r="T1412" s="249"/>
      <c r="U1412" s="249"/>
      <c r="V1412" s="249"/>
      <c r="W1412" s="249"/>
      <c r="X1412" s="249"/>
      <c r="Y1412" s="249"/>
      <c r="Z1412" s="249"/>
    </row>
    <row r="1413" spans="1:26" s="152" customFormat="1" x14ac:dyDescent="0.25">
      <c r="A1413" s="249"/>
      <c r="B1413" s="249"/>
      <c r="C1413" s="249"/>
      <c r="D1413" s="249"/>
      <c r="E1413" s="249"/>
      <c r="F1413" s="249"/>
      <c r="G1413" s="249"/>
      <c r="H1413" s="249"/>
      <c r="I1413" s="258"/>
      <c r="J1413" s="249"/>
      <c r="K1413" s="249"/>
      <c r="L1413" s="249"/>
      <c r="M1413" s="259"/>
      <c r="N1413" s="249"/>
      <c r="O1413" s="249"/>
      <c r="P1413" s="249"/>
      <c r="Q1413" s="249"/>
      <c r="R1413" s="249"/>
      <c r="S1413" s="249"/>
      <c r="T1413" s="249"/>
      <c r="U1413" s="249"/>
      <c r="V1413" s="249"/>
      <c r="W1413" s="249"/>
      <c r="X1413" s="249"/>
      <c r="Y1413" s="249"/>
      <c r="Z1413" s="249"/>
    </row>
    <row r="1414" spans="1:26" s="152" customFormat="1" x14ac:dyDescent="0.25">
      <c r="A1414" s="249"/>
      <c r="B1414" s="249"/>
      <c r="C1414" s="249"/>
      <c r="D1414" s="249"/>
      <c r="E1414" s="249"/>
      <c r="F1414" s="249"/>
      <c r="G1414" s="249"/>
      <c r="H1414" s="249"/>
      <c r="I1414" s="258"/>
      <c r="J1414" s="249"/>
      <c r="K1414" s="249"/>
      <c r="L1414" s="249"/>
      <c r="M1414" s="259"/>
      <c r="N1414" s="249"/>
      <c r="O1414" s="249"/>
      <c r="P1414" s="249"/>
      <c r="Q1414" s="249"/>
      <c r="R1414" s="249"/>
      <c r="S1414" s="249"/>
      <c r="T1414" s="249"/>
      <c r="U1414" s="249"/>
      <c r="V1414" s="249"/>
      <c r="W1414" s="249"/>
      <c r="X1414" s="249"/>
      <c r="Y1414" s="249"/>
      <c r="Z1414" s="249"/>
    </row>
    <row r="1415" spans="1:26" s="152" customFormat="1" x14ac:dyDescent="0.25">
      <c r="A1415" s="249"/>
      <c r="B1415" s="249"/>
      <c r="C1415" s="249"/>
      <c r="D1415" s="249"/>
      <c r="E1415" s="249"/>
      <c r="F1415" s="249"/>
      <c r="G1415" s="249"/>
      <c r="H1415" s="249"/>
      <c r="I1415" s="258"/>
      <c r="J1415" s="249"/>
      <c r="K1415" s="249"/>
      <c r="L1415" s="249"/>
      <c r="M1415" s="259"/>
      <c r="N1415" s="249"/>
      <c r="O1415" s="249"/>
      <c r="P1415" s="249"/>
      <c r="Q1415" s="249"/>
      <c r="R1415" s="249"/>
      <c r="S1415" s="249"/>
      <c r="T1415" s="249"/>
      <c r="U1415" s="249"/>
      <c r="V1415" s="249"/>
      <c r="W1415" s="249"/>
      <c r="X1415" s="249"/>
      <c r="Y1415" s="249"/>
      <c r="Z1415" s="249"/>
    </row>
    <row r="1416" spans="1:26" s="152" customFormat="1" x14ac:dyDescent="0.25">
      <c r="A1416" s="249"/>
      <c r="B1416" s="249"/>
      <c r="C1416" s="249"/>
      <c r="D1416" s="249"/>
      <c r="E1416" s="249"/>
      <c r="F1416" s="249"/>
      <c r="G1416" s="249"/>
      <c r="H1416" s="249"/>
      <c r="I1416" s="258"/>
      <c r="J1416" s="249"/>
      <c r="K1416" s="249"/>
      <c r="L1416" s="249"/>
      <c r="M1416" s="259"/>
      <c r="N1416" s="249"/>
      <c r="O1416" s="249"/>
      <c r="P1416" s="249"/>
      <c r="Q1416" s="249"/>
      <c r="R1416" s="249"/>
      <c r="S1416" s="249"/>
      <c r="T1416" s="249"/>
      <c r="U1416" s="249"/>
      <c r="V1416" s="249"/>
      <c r="W1416" s="249"/>
      <c r="X1416" s="249"/>
      <c r="Y1416" s="249"/>
      <c r="Z1416" s="249"/>
    </row>
    <row r="1417" spans="1:26" s="152" customFormat="1" x14ac:dyDescent="0.25">
      <c r="A1417" s="249"/>
      <c r="B1417" s="249"/>
      <c r="C1417" s="249"/>
      <c r="D1417" s="249"/>
      <c r="E1417" s="249"/>
      <c r="F1417" s="249"/>
      <c r="G1417" s="249"/>
      <c r="H1417" s="249"/>
      <c r="I1417" s="258"/>
      <c r="J1417" s="249"/>
      <c r="K1417" s="249"/>
      <c r="L1417" s="249"/>
      <c r="M1417" s="259"/>
      <c r="N1417" s="249"/>
      <c r="O1417" s="249"/>
      <c r="P1417" s="249"/>
      <c r="Q1417" s="249"/>
      <c r="R1417" s="249"/>
      <c r="S1417" s="249"/>
      <c r="T1417" s="249"/>
      <c r="U1417" s="249"/>
      <c r="V1417" s="249"/>
      <c r="W1417" s="249"/>
      <c r="X1417" s="249"/>
      <c r="Y1417" s="249"/>
      <c r="Z1417" s="249"/>
    </row>
    <row r="1418" spans="1:26" s="152" customFormat="1" x14ac:dyDescent="0.25">
      <c r="A1418" s="249"/>
      <c r="B1418" s="249"/>
      <c r="C1418" s="249"/>
      <c r="D1418" s="249"/>
      <c r="E1418" s="249"/>
      <c r="F1418" s="249"/>
      <c r="G1418" s="249"/>
      <c r="H1418" s="249"/>
      <c r="I1418" s="258"/>
      <c r="J1418" s="249"/>
      <c r="K1418" s="249"/>
      <c r="L1418" s="249"/>
      <c r="M1418" s="259"/>
      <c r="N1418" s="249"/>
      <c r="O1418" s="249"/>
      <c r="P1418" s="249"/>
      <c r="Q1418" s="249"/>
      <c r="R1418" s="249"/>
      <c r="S1418" s="249"/>
      <c r="T1418" s="249"/>
      <c r="U1418" s="249"/>
      <c r="V1418" s="249"/>
      <c r="W1418" s="249"/>
      <c r="X1418" s="249"/>
      <c r="Y1418" s="249"/>
      <c r="Z1418" s="249"/>
    </row>
    <row r="1419" spans="1:26" s="152" customFormat="1" x14ac:dyDescent="0.25">
      <c r="A1419" s="249"/>
      <c r="B1419" s="249"/>
      <c r="C1419" s="249"/>
      <c r="D1419" s="249"/>
      <c r="E1419" s="249"/>
      <c r="F1419" s="249"/>
      <c r="G1419" s="249"/>
      <c r="H1419" s="249"/>
      <c r="I1419" s="258"/>
      <c r="J1419" s="249"/>
      <c r="K1419" s="249"/>
      <c r="L1419" s="249"/>
      <c r="M1419" s="259"/>
      <c r="N1419" s="249"/>
      <c r="O1419" s="249"/>
      <c r="P1419" s="249"/>
      <c r="Q1419" s="249"/>
      <c r="R1419" s="249"/>
      <c r="S1419" s="249"/>
      <c r="T1419" s="249"/>
      <c r="U1419" s="249"/>
      <c r="V1419" s="249"/>
      <c r="W1419" s="249"/>
      <c r="X1419" s="249"/>
      <c r="Y1419" s="249"/>
      <c r="Z1419" s="249"/>
    </row>
    <row r="1420" spans="1:26" s="152" customFormat="1" x14ac:dyDescent="0.25">
      <c r="A1420" s="249"/>
      <c r="B1420" s="249"/>
      <c r="C1420" s="249"/>
      <c r="D1420" s="249"/>
      <c r="E1420" s="249"/>
      <c r="F1420" s="249"/>
      <c r="G1420" s="249"/>
      <c r="H1420" s="249"/>
      <c r="I1420" s="258"/>
      <c r="J1420" s="249"/>
      <c r="K1420" s="249"/>
      <c r="L1420" s="249"/>
      <c r="M1420" s="259"/>
      <c r="N1420" s="249"/>
      <c r="O1420" s="249"/>
      <c r="P1420" s="249"/>
      <c r="Q1420" s="249"/>
      <c r="R1420" s="249"/>
      <c r="S1420" s="249"/>
      <c r="T1420" s="249"/>
      <c r="U1420" s="249"/>
      <c r="V1420" s="249"/>
      <c r="W1420" s="249"/>
      <c r="X1420" s="249"/>
      <c r="Y1420" s="249"/>
      <c r="Z1420" s="249"/>
    </row>
    <row r="1421" spans="1:26" s="152" customFormat="1" x14ac:dyDescent="0.25">
      <c r="A1421" s="249"/>
      <c r="B1421" s="249"/>
      <c r="C1421" s="249"/>
      <c r="D1421" s="249"/>
      <c r="E1421" s="249"/>
      <c r="F1421" s="249"/>
      <c r="G1421" s="249"/>
      <c r="H1421" s="249"/>
      <c r="I1421" s="258"/>
      <c r="J1421" s="249"/>
      <c r="K1421" s="249"/>
      <c r="L1421" s="249"/>
      <c r="M1421" s="259"/>
      <c r="N1421" s="249"/>
      <c r="O1421" s="249"/>
      <c r="P1421" s="249"/>
      <c r="Q1421" s="249"/>
      <c r="R1421" s="249"/>
      <c r="S1421" s="249"/>
      <c r="T1421" s="249"/>
      <c r="U1421" s="249"/>
      <c r="V1421" s="249"/>
      <c r="W1421" s="249"/>
      <c r="X1421" s="249"/>
      <c r="Y1421" s="249"/>
      <c r="Z1421" s="249"/>
    </row>
    <row r="1422" spans="1:26" s="152" customFormat="1" x14ac:dyDescent="0.25">
      <c r="A1422" s="249"/>
      <c r="B1422" s="249"/>
      <c r="C1422" s="249"/>
      <c r="D1422" s="249"/>
      <c r="E1422" s="249"/>
      <c r="F1422" s="249"/>
      <c r="G1422" s="249"/>
      <c r="H1422" s="249"/>
      <c r="I1422" s="258"/>
      <c r="J1422" s="249"/>
      <c r="K1422" s="249"/>
      <c r="L1422" s="249"/>
      <c r="M1422" s="259"/>
      <c r="N1422" s="249"/>
      <c r="O1422" s="249"/>
      <c r="P1422" s="249"/>
      <c r="Q1422" s="249"/>
      <c r="R1422" s="249"/>
      <c r="S1422" s="249"/>
      <c r="T1422" s="249"/>
      <c r="U1422" s="249"/>
      <c r="V1422" s="249"/>
      <c r="W1422" s="249"/>
      <c r="X1422" s="249"/>
      <c r="Y1422" s="249"/>
      <c r="Z1422" s="249"/>
    </row>
    <row r="1423" spans="1:26" s="152" customFormat="1" x14ac:dyDescent="0.25">
      <c r="A1423" s="249"/>
      <c r="B1423" s="249"/>
      <c r="C1423" s="249"/>
      <c r="D1423" s="249"/>
      <c r="E1423" s="249"/>
      <c r="F1423" s="249"/>
      <c r="G1423" s="249"/>
      <c r="H1423" s="249"/>
      <c r="I1423" s="258"/>
      <c r="J1423" s="249"/>
      <c r="K1423" s="249"/>
      <c r="L1423" s="249"/>
      <c r="M1423" s="259"/>
      <c r="N1423" s="249"/>
      <c r="O1423" s="249"/>
      <c r="P1423" s="249"/>
      <c r="Q1423" s="249"/>
      <c r="R1423" s="249"/>
      <c r="S1423" s="249"/>
      <c r="T1423" s="249"/>
      <c r="U1423" s="249"/>
      <c r="V1423" s="249"/>
      <c r="W1423" s="249"/>
      <c r="X1423" s="249"/>
      <c r="Y1423" s="249"/>
      <c r="Z1423" s="249"/>
    </row>
    <row r="1424" spans="1:26" s="152" customFormat="1" x14ac:dyDescent="0.25">
      <c r="A1424" s="249"/>
      <c r="B1424" s="249"/>
      <c r="C1424" s="249"/>
      <c r="D1424" s="249"/>
      <c r="E1424" s="249"/>
      <c r="F1424" s="249"/>
      <c r="G1424" s="249"/>
      <c r="H1424" s="249"/>
      <c r="I1424" s="258"/>
      <c r="J1424" s="249"/>
      <c r="K1424" s="249"/>
      <c r="L1424" s="249"/>
      <c r="M1424" s="259"/>
      <c r="N1424" s="249"/>
      <c r="O1424" s="249"/>
      <c r="P1424" s="249"/>
      <c r="Q1424" s="249"/>
      <c r="R1424" s="249"/>
      <c r="S1424" s="249"/>
      <c r="T1424" s="249"/>
      <c r="U1424" s="249"/>
      <c r="V1424" s="249"/>
      <c r="W1424" s="249"/>
      <c r="X1424" s="249"/>
      <c r="Y1424" s="249"/>
      <c r="Z1424" s="249"/>
    </row>
    <row r="1425" spans="1:26" s="152" customFormat="1" x14ac:dyDescent="0.25">
      <c r="A1425" s="249"/>
      <c r="B1425" s="249"/>
      <c r="C1425" s="249"/>
      <c r="D1425" s="249"/>
      <c r="E1425" s="249"/>
      <c r="F1425" s="249"/>
      <c r="G1425" s="249"/>
      <c r="H1425" s="249"/>
      <c r="I1425" s="258"/>
      <c r="J1425" s="249"/>
      <c r="K1425" s="249"/>
      <c r="L1425" s="249"/>
      <c r="M1425" s="259"/>
      <c r="N1425" s="249"/>
      <c r="O1425" s="249"/>
      <c r="P1425" s="249"/>
      <c r="Q1425" s="249"/>
      <c r="R1425" s="249"/>
      <c r="S1425" s="249"/>
      <c r="T1425" s="249"/>
      <c r="U1425" s="249"/>
      <c r="V1425" s="249"/>
      <c r="W1425" s="249"/>
      <c r="X1425" s="249"/>
      <c r="Y1425" s="249"/>
      <c r="Z1425" s="249"/>
    </row>
    <row r="1426" spans="1:26" s="152" customFormat="1" x14ac:dyDescent="0.25">
      <c r="A1426" s="249"/>
      <c r="B1426" s="249"/>
      <c r="C1426" s="249"/>
      <c r="D1426" s="249"/>
      <c r="E1426" s="249"/>
      <c r="F1426" s="249"/>
      <c r="G1426" s="249"/>
      <c r="H1426" s="249"/>
      <c r="I1426" s="258"/>
      <c r="J1426" s="249"/>
      <c r="K1426" s="249"/>
      <c r="L1426" s="249"/>
      <c r="M1426" s="259"/>
      <c r="N1426" s="249"/>
      <c r="O1426" s="249"/>
      <c r="P1426" s="249"/>
      <c r="Q1426" s="249"/>
      <c r="R1426" s="249"/>
      <c r="S1426" s="249"/>
      <c r="T1426" s="249"/>
      <c r="U1426" s="249"/>
      <c r="V1426" s="249"/>
      <c r="W1426" s="249"/>
      <c r="X1426" s="249"/>
      <c r="Y1426" s="249"/>
      <c r="Z1426" s="249"/>
    </row>
    <row r="1427" spans="1:26" s="152" customFormat="1" x14ac:dyDescent="0.25">
      <c r="A1427" s="249"/>
      <c r="B1427" s="249"/>
      <c r="C1427" s="249"/>
      <c r="D1427" s="249"/>
      <c r="E1427" s="249"/>
      <c r="F1427" s="249"/>
      <c r="G1427" s="249"/>
      <c r="H1427" s="249"/>
      <c r="I1427" s="258"/>
      <c r="J1427" s="249"/>
      <c r="K1427" s="249"/>
      <c r="L1427" s="249"/>
      <c r="M1427" s="259"/>
      <c r="N1427" s="249"/>
      <c r="O1427" s="249"/>
      <c r="P1427" s="249"/>
      <c r="Q1427" s="249"/>
      <c r="R1427" s="249"/>
      <c r="S1427" s="249"/>
      <c r="T1427" s="249"/>
      <c r="U1427" s="249"/>
      <c r="V1427" s="249"/>
      <c r="W1427" s="249"/>
      <c r="X1427" s="249"/>
      <c r="Y1427" s="249"/>
      <c r="Z1427" s="249"/>
    </row>
    <row r="1428" spans="1:26" s="152" customFormat="1" x14ac:dyDescent="0.25">
      <c r="A1428" s="249"/>
      <c r="B1428" s="249"/>
      <c r="C1428" s="249"/>
      <c r="D1428" s="249"/>
      <c r="E1428" s="249"/>
      <c r="F1428" s="249"/>
      <c r="G1428" s="249"/>
      <c r="H1428" s="249"/>
      <c r="I1428" s="258"/>
      <c r="J1428" s="249"/>
      <c r="K1428" s="249"/>
      <c r="L1428" s="249"/>
      <c r="M1428" s="259"/>
      <c r="N1428" s="249"/>
      <c r="O1428" s="249"/>
      <c r="P1428" s="249"/>
      <c r="Q1428" s="249"/>
      <c r="R1428" s="249"/>
      <c r="S1428" s="249"/>
      <c r="T1428" s="249"/>
      <c r="U1428" s="249"/>
      <c r="V1428" s="249"/>
      <c r="W1428" s="249"/>
      <c r="X1428" s="249"/>
      <c r="Y1428" s="249"/>
      <c r="Z1428" s="249"/>
    </row>
    <row r="1429" spans="1:26" s="152" customFormat="1" x14ac:dyDescent="0.25">
      <c r="A1429" s="249"/>
      <c r="B1429" s="249"/>
      <c r="C1429" s="249"/>
      <c r="D1429" s="249"/>
      <c r="E1429" s="249"/>
      <c r="F1429" s="249"/>
      <c r="G1429" s="249"/>
      <c r="H1429" s="249"/>
      <c r="I1429" s="258"/>
      <c r="J1429" s="249"/>
      <c r="K1429" s="249"/>
      <c r="L1429" s="249"/>
      <c r="M1429" s="259"/>
      <c r="N1429" s="249"/>
      <c r="O1429" s="249"/>
      <c r="P1429" s="249"/>
      <c r="Q1429" s="249"/>
      <c r="R1429" s="249"/>
      <c r="S1429" s="249"/>
      <c r="T1429" s="249"/>
      <c r="U1429" s="249"/>
      <c r="V1429" s="249"/>
      <c r="W1429" s="249"/>
      <c r="X1429" s="249"/>
      <c r="Y1429" s="249"/>
      <c r="Z1429" s="249"/>
    </row>
    <row r="1430" spans="1:26" s="152" customFormat="1" x14ac:dyDescent="0.25">
      <c r="A1430" s="249"/>
      <c r="B1430" s="249"/>
      <c r="C1430" s="249"/>
      <c r="D1430" s="249"/>
      <c r="E1430" s="249"/>
      <c r="F1430" s="249"/>
      <c r="G1430" s="249"/>
      <c r="H1430" s="249"/>
      <c r="I1430" s="258"/>
      <c r="J1430" s="249"/>
      <c r="K1430" s="249"/>
      <c r="L1430" s="249"/>
      <c r="M1430" s="259"/>
      <c r="N1430" s="249"/>
      <c r="O1430" s="249"/>
      <c r="P1430" s="249"/>
      <c r="Q1430" s="249"/>
      <c r="R1430" s="249"/>
      <c r="S1430" s="249"/>
      <c r="T1430" s="249"/>
      <c r="U1430" s="249"/>
      <c r="V1430" s="249"/>
      <c r="W1430" s="249"/>
      <c r="X1430" s="249"/>
      <c r="Y1430" s="249"/>
      <c r="Z1430" s="249"/>
    </row>
    <row r="1431" spans="1:26" s="152" customFormat="1" x14ac:dyDescent="0.25">
      <c r="A1431" s="249"/>
      <c r="B1431" s="249"/>
      <c r="C1431" s="249"/>
      <c r="D1431" s="249"/>
      <c r="E1431" s="249"/>
      <c r="F1431" s="249"/>
      <c r="G1431" s="249"/>
      <c r="H1431" s="249"/>
      <c r="I1431" s="258"/>
      <c r="J1431" s="249"/>
      <c r="K1431" s="249"/>
      <c r="L1431" s="249"/>
      <c r="M1431" s="259"/>
      <c r="N1431" s="249"/>
      <c r="O1431" s="249"/>
      <c r="P1431" s="249"/>
      <c r="Q1431" s="249"/>
      <c r="R1431" s="249"/>
      <c r="S1431" s="249"/>
      <c r="T1431" s="249"/>
      <c r="U1431" s="249"/>
      <c r="V1431" s="249"/>
      <c r="W1431" s="249"/>
      <c r="X1431" s="249"/>
      <c r="Y1431" s="249"/>
      <c r="Z1431" s="249"/>
    </row>
    <row r="1432" spans="1:26" s="152" customFormat="1" x14ac:dyDescent="0.25">
      <c r="A1432" s="249"/>
      <c r="B1432" s="249"/>
      <c r="C1432" s="249"/>
      <c r="D1432" s="249"/>
      <c r="E1432" s="249"/>
      <c r="F1432" s="249"/>
      <c r="G1432" s="249"/>
      <c r="H1432" s="249"/>
      <c r="I1432" s="258"/>
      <c r="J1432" s="249"/>
      <c r="K1432" s="249"/>
      <c r="L1432" s="249"/>
      <c r="M1432" s="259"/>
      <c r="N1432" s="249"/>
      <c r="O1432" s="249"/>
      <c r="P1432" s="249"/>
      <c r="Q1432" s="249"/>
      <c r="R1432" s="249"/>
      <c r="S1432" s="249"/>
      <c r="T1432" s="249"/>
      <c r="U1432" s="249"/>
      <c r="V1432" s="249"/>
      <c r="W1432" s="249"/>
      <c r="X1432" s="249"/>
      <c r="Y1432" s="249"/>
      <c r="Z1432" s="249"/>
    </row>
    <row r="1433" spans="1:26" s="152" customFormat="1" x14ac:dyDescent="0.25">
      <c r="A1433" s="249"/>
      <c r="B1433" s="249"/>
      <c r="C1433" s="249"/>
      <c r="D1433" s="249"/>
      <c r="E1433" s="249"/>
      <c r="F1433" s="249"/>
      <c r="G1433" s="249"/>
      <c r="H1433" s="249"/>
      <c r="I1433" s="258"/>
      <c r="J1433" s="249"/>
      <c r="K1433" s="249"/>
      <c r="L1433" s="249"/>
      <c r="M1433" s="259"/>
      <c r="N1433" s="249"/>
      <c r="O1433" s="249"/>
      <c r="P1433" s="249"/>
      <c r="Q1433" s="249"/>
      <c r="R1433" s="249"/>
      <c r="S1433" s="249"/>
      <c r="T1433" s="249"/>
      <c r="U1433" s="249"/>
      <c r="V1433" s="249"/>
      <c r="W1433" s="249"/>
      <c r="X1433" s="249"/>
      <c r="Y1433" s="249"/>
      <c r="Z1433" s="249"/>
    </row>
    <row r="1434" spans="1:26" s="152" customFormat="1" x14ac:dyDescent="0.25">
      <c r="A1434" s="249"/>
      <c r="B1434" s="249"/>
      <c r="C1434" s="249"/>
      <c r="D1434" s="249"/>
      <c r="E1434" s="249"/>
      <c r="F1434" s="249"/>
      <c r="G1434" s="249"/>
      <c r="H1434" s="249"/>
      <c r="I1434" s="258"/>
      <c r="J1434" s="249"/>
      <c r="K1434" s="249"/>
      <c r="L1434" s="249"/>
      <c r="M1434" s="259"/>
      <c r="N1434" s="249"/>
      <c r="O1434" s="249"/>
      <c r="P1434" s="249"/>
      <c r="Q1434" s="249"/>
      <c r="R1434" s="249"/>
      <c r="S1434" s="249"/>
      <c r="T1434" s="249"/>
      <c r="U1434" s="249"/>
      <c r="V1434" s="249"/>
      <c r="W1434" s="249"/>
      <c r="X1434" s="249"/>
      <c r="Y1434" s="249"/>
      <c r="Z1434" s="249"/>
    </row>
    <row r="1435" spans="1:26" s="152" customFormat="1" x14ac:dyDescent="0.25">
      <c r="A1435" s="249"/>
      <c r="B1435" s="249"/>
      <c r="C1435" s="249"/>
      <c r="D1435" s="249"/>
      <c r="E1435" s="249"/>
      <c r="F1435" s="249"/>
      <c r="G1435" s="249"/>
      <c r="H1435" s="249"/>
      <c r="I1435" s="258"/>
      <c r="J1435" s="249"/>
      <c r="K1435" s="249"/>
      <c r="L1435" s="249"/>
      <c r="M1435" s="259"/>
      <c r="N1435" s="249"/>
      <c r="O1435" s="249"/>
      <c r="P1435" s="249"/>
      <c r="Q1435" s="249"/>
      <c r="R1435" s="249"/>
      <c r="S1435" s="249"/>
      <c r="T1435" s="249"/>
      <c r="U1435" s="249"/>
      <c r="V1435" s="249"/>
      <c r="W1435" s="249"/>
      <c r="X1435" s="249"/>
      <c r="Y1435" s="249"/>
      <c r="Z1435" s="249"/>
    </row>
    <row r="1436" spans="1:26" s="152" customFormat="1" x14ac:dyDescent="0.25">
      <c r="A1436" s="249"/>
      <c r="B1436" s="249"/>
      <c r="C1436" s="249"/>
      <c r="D1436" s="249"/>
      <c r="E1436" s="249"/>
      <c r="F1436" s="249"/>
      <c r="G1436" s="249"/>
      <c r="H1436" s="249"/>
      <c r="I1436" s="258"/>
      <c r="J1436" s="249"/>
      <c r="K1436" s="249"/>
      <c r="L1436" s="249"/>
      <c r="M1436" s="259"/>
      <c r="N1436" s="249"/>
      <c r="O1436" s="249"/>
      <c r="P1436" s="249"/>
      <c r="Q1436" s="249"/>
      <c r="R1436" s="249"/>
      <c r="S1436" s="249"/>
      <c r="T1436" s="249"/>
      <c r="U1436" s="249"/>
      <c r="V1436" s="249"/>
      <c r="W1436" s="249"/>
      <c r="X1436" s="249"/>
      <c r="Y1436" s="249"/>
      <c r="Z1436" s="249"/>
    </row>
    <row r="1437" spans="1:26" s="152" customFormat="1" x14ac:dyDescent="0.25">
      <c r="A1437" s="249"/>
      <c r="B1437" s="249"/>
      <c r="C1437" s="249"/>
      <c r="D1437" s="249"/>
      <c r="E1437" s="249"/>
      <c r="F1437" s="249"/>
      <c r="G1437" s="249"/>
      <c r="H1437" s="249"/>
      <c r="I1437" s="258"/>
      <c r="J1437" s="249"/>
      <c r="K1437" s="249"/>
      <c r="L1437" s="249"/>
      <c r="M1437" s="259"/>
      <c r="N1437" s="249"/>
      <c r="O1437" s="249"/>
      <c r="P1437" s="249"/>
      <c r="Q1437" s="249"/>
      <c r="R1437" s="249"/>
      <c r="S1437" s="249"/>
      <c r="T1437" s="249"/>
      <c r="U1437" s="249"/>
      <c r="V1437" s="249"/>
      <c r="W1437" s="249"/>
      <c r="X1437" s="249"/>
      <c r="Y1437" s="249"/>
      <c r="Z1437" s="249"/>
    </row>
    <row r="1438" spans="1:26" s="152" customFormat="1" x14ac:dyDescent="0.25">
      <c r="A1438" s="249"/>
      <c r="B1438" s="249"/>
      <c r="C1438" s="249"/>
      <c r="D1438" s="249"/>
      <c r="E1438" s="249"/>
      <c r="F1438" s="249"/>
      <c r="G1438" s="249"/>
      <c r="H1438" s="249"/>
      <c r="I1438" s="258"/>
      <c r="J1438" s="249"/>
      <c r="K1438" s="249"/>
      <c r="L1438" s="249"/>
      <c r="M1438" s="259"/>
      <c r="N1438" s="249"/>
      <c r="O1438" s="249"/>
      <c r="P1438" s="249"/>
      <c r="Q1438" s="249"/>
      <c r="R1438" s="249"/>
      <c r="S1438" s="249"/>
      <c r="T1438" s="249"/>
      <c r="U1438" s="249"/>
      <c r="V1438" s="249"/>
      <c r="W1438" s="249"/>
      <c r="X1438" s="249"/>
      <c r="Y1438" s="249"/>
      <c r="Z1438" s="249"/>
    </row>
    <row r="1439" spans="1:26" s="152" customFormat="1" x14ac:dyDescent="0.25">
      <c r="A1439" s="249"/>
      <c r="B1439" s="249"/>
      <c r="C1439" s="249"/>
      <c r="D1439" s="249"/>
      <c r="E1439" s="249"/>
      <c r="F1439" s="249"/>
      <c r="G1439" s="249"/>
      <c r="H1439" s="249"/>
      <c r="I1439" s="258"/>
      <c r="J1439" s="249"/>
      <c r="K1439" s="249"/>
      <c r="L1439" s="249"/>
      <c r="M1439" s="259"/>
      <c r="N1439" s="249"/>
      <c r="O1439" s="249"/>
      <c r="P1439" s="249"/>
      <c r="Q1439" s="249"/>
      <c r="R1439" s="249"/>
      <c r="S1439" s="249"/>
      <c r="T1439" s="249"/>
      <c r="U1439" s="249"/>
      <c r="V1439" s="249"/>
      <c r="W1439" s="249"/>
      <c r="X1439" s="249"/>
      <c r="Y1439" s="249"/>
      <c r="Z1439" s="249"/>
    </row>
    <row r="1440" spans="1:26" s="152" customFormat="1" x14ac:dyDescent="0.25">
      <c r="A1440" s="249"/>
      <c r="B1440" s="249"/>
      <c r="C1440" s="249"/>
      <c r="D1440" s="249"/>
      <c r="E1440" s="249"/>
      <c r="F1440" s="249"/>
      <c r="G1440" s="249"/>
      <c r="H1440" s="249"/>
      <c r="I1440" s="258"/>
      <c r="J1440" s="249"/>
      <c r="K1440" s="249"/>
      <c r="L1440" s="249"/>
      <c r="M1440" s="259"/>
      <c r="N1440" s="249"/>
      <c r="O1440" s="249"/>
      <c r="P1440" s="249"/>
      <c r="Q1440" s="249"/>
      <c r="R1440" s="249"/>
      <c r="S1440" s="249"/>
      <c r="T1440" s="249"/>
      <c r="U1440" s="249"/>
      <c r="V1440" s="249"/>
      <c r="W1440" s="249"/>
      <c r="X1440" s="249"/>
      <c r="Y1440" s="249"/>
      <c r="Z1440" s="249"/>
    </row>
    <row r="1441" spans="1:26" s="152" customFormat="1" x14ac:dyDescent="0.25">
      <c r="A1441" s="249"/>
      <c r="B1441" s="249"/>
      <c r="C1441" s="249"/>
      <c r="D1441" s="249"/>
      <c r="E1441" s="249"/>
      <c r="F1441" s="249"/>
      <c r="G1441" s="249"/>
      <c r="H1441" s="249"/>
      <c r="I1441" s="258"/>
      <c r="J1441" s="249"/>
      <c r="K1441" s="249"/>
      <c r="L1441" s="249"/>
      <c r="M1441" s="259"/>
      <c r="N1441" s="249"/>
      <c r="O1441" s="249"/>
      <c r="P1441" s="249"/>
      <c r="Q1441" s="249"/>
      <c r="R1441" s="249"/>
      <c r="S1441" s="249"/>
      <c r="T1441" s="249"/>
      <c r="U1441" s="249"/>
      <c r="V1441" s="249"/>
      <c r="W1441" s="249"/>
      <c r="X1441" s="249"/>
      <c r="Y1441" s="249"/>
      <c r="Z1441" s="249"/>
    </row>
    <row r="1442" spans="1:26" s="152" customFormat="1" x14ac:dyDescent="0.25">
      <c r="A1442" s="249"/>
      <c r="B1442" s="249"/>
      <c r="C1442" s="249"/>
      <c r="D1442" s="249"/>
      <c r="E1442" s="249"/>
      <c r="F1442" s="249"/>
      <c r="G1442" s="249"/>
      <c r="H1442" s="249"/>
      <c r="I1442" s="258"/>
      <c r="J1442" s="249"/>
      <c r="K1442" s="249"/>
      <c r="L1442" s="249"/>
      <c r="M1442" s="259"/>
      <c r="N1442" s="249"/>
      <c r="O1442" s="249"/>
      <c r="P1442" s="249"/>
      <c r="Q1442" s="249"/>
      <c r="R1442" s="249"/>
      <c r="S1442" s="249"/>
      <c r="T1442" s="249"/>
      <c r="U1442" s="249"/>
      <c r="V1442" s="249"/>
      <c r="W1442" s="249"/>
      <c r="X1442" s="249"/>
      <c r="Y1442" s="249"/>
      <c r="Z1442" s="249"/>
    </row>
    <row r="1443" spans="1:26" s="152" customFormat="1" x14ac:dyDescent="0.25">
      <c r="A1443" s="249"/>
      <c r="B1443" s="249"/>
      <c r="C1443" s="249"/>
      <c r="D1443" s="249"/>
      <c r="E1443" s="249"/>
      <c r="F1443" s="249"/>
      <c r="G1443" s="249"/>
      <c r="H1443" s="249"/>
      <c r="I1443" s="258"/>
      <c r="J1443" s="249"/>
      <c r="K1443" s="249"/>
      <c r="L1443" s="249"/>
      <c r="M1443" s="259"/>
      <c r="N1443" s="249"/>
      <c r="O1443" s="249"/>
      <c r="P1443" s="249"/>
      <c r="Q1443" s="249"/>
      <c r="R1443" s="249"/>
      <c r="S1443" s="249"/>
      <c r="T1443" s="249"/>
      <c r="U1443" s="249"/>
      <c r="V1443" s="249"/>
      <c r="W1443" s="249"/>
      <c r="X1443" s="249"/>
      <c r="Y1443" s="249"/>
      <c r="Z1443" s="249"/>
    </row>
    <row r="1444" spans="1:26" s="152" customFormat="1" x14ac:dyDescent="0.25">
      <c r="A1444" s="249"/>
      <c r="B1444" s="249"/>
      <c r="C1444" s="249"/>
      <c r="D1444" s="249"/>
      <c r="E1444" s="249"/>
      <c r="F1444" s="249"/>
      <c r="G1444" s="249"/>
      <c r="H1444" s="249"/>
      <c r="I1444" s="258"/>
      <c r="J1444" s="249"/>
      <c r="K1444" s="249"/>
      <c r="L1444" s="249"/>
      <c r="M1444" s="259"/>
      <c r="N1444" s="249"/>
      <c r="O1444" s="249"/>
      <c r="P1444" s="249"/>
      <c r="Q1444" s="249"/>
      <c r="R1444" s="249"/>
      <c r="S1444" s="249"/>
      <c r="T1444" s="249"/>
      <c r="U1444" s="249"/>
      <c r="V1444" s="249"/>
      <c r="W1444" s="249"/>
      <c r="X1444" s="249"/>
      <c r="Y1444" s="249"/>
      <c r="Z1444" s="249"/>
    </row>
    <row r="1445" spans="1:26" s="152" customFormat="1" x14ac:dyDescent="0.25">
      <c r="A1445" s="249"/>
      <c r="B1445" s="249"/>
      <c r="C1445" s="249"/>
      <c r="D1445" s="249"/>
      <c r="E1445" s="249"/>
      <c r="F1445" s="249"/>
      <c r="G1445" s="249"/>
      <c r="H1445" s="249"/>
      <c r="I1445" s="258"/>
      <c r="J1445" s="249"/>
      <c r="K1445" s="249"/>
      <c r="L1445" s="249"/>
      <c r="M1445" s="259"/>
      <c r="N1445" s="249"/>
      <c r="O1445" s="249"/>
      <c r="P1445" s="249"/>
      <c r="Q1445" s="249"/>
      <c r="R1445" s="249"/>
      <c r="S1445" s="249"/>
      <c r="T1445" s="249"/>
      <c r="U1445" s="249"/>
      <c r="V1445" s="249"/>
      <c r="W1445" s="249"/>
      <c r="X1445" s="249"/>
      <c r="Y1445" s="249"/>
      <c r="Z1445" s="249"/>
    </row>
    <row r="1446" spans="1:26" s="152" customFormat="1" x14ac:dyDescent="0.25">
      <c r="A1446" s="249"/>
      <c r="B1446" s="249"/>
      <c r="C1446" s="249"/>
      <c r="D1446" s="249"/>
      <c r="E1446" s="249"/>
      <c r="F1446" s="249"/>
      <c r="G1446" s="249"/>
      <c r="H1446" s="249"/>
      <c r="I1446" s="258"/>
      <c r="J1446" s="249"/>
      <c r="K1446" s="249"/>
      <c r="L1446" s="249"/>
      <c r="M1446" s="259"/>
      <c r="N1446" s="249"/>
      <c r="O1446" s="249"/>
      <c r="P1446" s="249"/>
      <c r="Q1446" s="249"/>
      <c r="R1446" s="249"/>
      <c r="S1446" s="249"/>
      <c r="T1446" s="249"/>
      <c r="U1446" s="249"/>
      <c r="V1446" s="249"/>
      <c r="W1446" s="249"/>
      <c r="X1446" s="249"/>
      <c r="Y1446" s="249"/>
      <c r="Z1446" s="249"/>
    </row>
    <row r="1447" spans="1:26" s="152" customFormat="1" x14ac:dyDescent="0.25">
      <c r="A1447" s="249"/>
      <c r="B1447" s="249"/>
      <c r="C1447" s="249"/>
      <c r="D1447" s="249"/>
      <c r="E1447" s="249"/>
      <c r="F1447" s="249"/>
      <c r="G1447" s="249"/>
      <c r="H1447" s="249"/>
      <c r="I1447" s="258"/>
      <c r="J1447" s="249"/>
      <c r="K1447" s="249"/>
      <c r="L1447" s="249"/>
      <c r="M1447" s="259"/>
      <c r="N1447" s="249"/>
      <c r="O1447" s="249"/>
      <c r="P1447" s="249"/>
      <c r="Q1447" s="249"/>
      <c r="R1447" s="249"/>
      <c r="S1447" s="249"/>
      <c r="T1447" s="249"/>
      <c r="U1447" s="249"/>
      <c r="V1447" s="249"/>
      <c r="W1447" s="249"/>
      <c r="X1447" s="249"/>
      <c r="Y1447" s="249"/>
      <c r="Z1447" s="249"/>
    </row>
    <row r="1448" spans="1:26" s="152" customFormat="1" x14ac:dyDescent="0.25">
      <c r="A1448" s="249"/>
      <c r="B1448" s="249"/>
      <c r="C1448" s="249"/>
      <c r="D1448" s="249"/>
      <c r="E1448" s="249"/>
      <c r="F1448" s="249"/>
      <c r="G1448" s="249"/>
      <c r="H1448" s="249"/>
      <c r="I1448" s="258"/>
      <c r="J1448" s="249"/>
      <c r="K1448" s="249"/>
      <c r="L1448" s="249"/>
      <c r="M1448" s="259"/>
      <c r="N1448" s="249"/>
      <c r="O1448" s="249"/>
      <c r="P1448" s="249"/>
      <c r="Q1448" s="249"/>
      <c r="R1448" s="249"/>
      <c r="S1448" s="249"/>
      <c r="T1448" s="249"/>
      <c r="U1448" s="249"/>
      <c r="V1448" s="249"/>
      <c r="W1448" s="249"/>
      <c r="X1448" s="249"/>
      <c r="Y1448" s="249"/>
      <c r="Z1448" s="249"/>
    </row>
    <row r="1449" spans="1:26" s="152" customFormat="1" x14ac:dyDescent="0.25">
      <c r="A1449" s="249"/>
      <c r="B1449" s="249"/>
      <c r="C1449" s="249"/>
      <c r="D1449" s="249"/>
      <c r="E1449" s="249"/>
      <c r="F1449" s="249"/>
      <c r="G1449" s="249"/>
      <c r="H1449" s="249"/>
      <c r="I1449" s="258"/>
      <c r="J1449" s="249"/>
      <c r="K1449" s="249"/>
      <c r="L1449" s="249"/>
      <c r="M1449" s="259"/>
      <c r="N1449" s="249"/>
      <c r="O1449" s="249"/>
      <c r="P1449" s="249"/>
      <c r="Q1449" s="249"/>
      <c r="R1449" s="249"/>
      <c r="S1449" s="249"/>
      <c r="T1449" s="249"/>
      <c r="U1449" s="249"/>
      <c r="V1449" s="249"/>
      <c r="W1449" s="249"/>
      <c r="X1449" s="249"/>
      <c r="Y1449" s="249"/>
      <c r="Z1449" s="249"/>
    </row>
    <row r="1450" spans="1:26" s="152" customFormat="1" x14ac:dyDescent="0.25">
      <c r="A1450" s="249"/>
      <c r="B1450" s="249"/>
      <c r="C1450" s="249"/>
      <c r="D1450" s="249"/>
      <c r="E1450" s="249"/>
      <c r="F1450" s="249"/>
      <c r="G1450" s="249"/>
      <c r="H1450" s="249"/>
      <c r="I1450" s="258"/>
      <c r="J1450" s="249"/>
      <c r="K1450" s="249"/>
      <c r="L1450" s="249"/>
      <c r="M1450" s="259"/>
      <c r="N1450" s="249"/>
      <c r="O1450" s="249"/>
      <c r="P1450" s="249"/>
      <c r="Q1450" s="249"/>
      <c r="R1450" s="249"/>
      <c r="S1450" s="249"/>
      <c r="T1450" s="249"/>
      <c r="U1450" s="249"/>
      <c r="V1450" s="249"/>
      <c r="W1450" s="249"/>
      <c r="X1450" s="249"/>
      <c r="Y1450" s="249"/>
      <c r="Z1450" s="249"/>
    </row>
    <row r="1451" spans="1:26" s="152" customFormat="1" x14ac:dyDescent="0.25">
      <c r="A1451" s="249"/>
      <c r="B1451" s="249"/>
      <c r="C1451" s="249"/>
      <c r="D1451" s="249"/>
      <c r="E1451" s="249"/>
      <c r="F1451" s="249"/>
      <c r="G1451" s="249"/>
      <c r="H1451" s="249"/>
      <c r="I1451" s="258"/>
      <c r="J1451" s="249"/>
      <c r="K1451" s="249"/>
      <c r="L1451" s="249"/>
      <c r="M1451" s="259"/>
      <c r="N1451" s="249"/>
      <c r="O1451" s="249"/>
      <c r="P1451" s="249"/>
      <c r="Q1451" s="249"/>
      <c r="R1451" s="249"/>
      <c r="S1451" s="249"/>
      <c r="T1451" s="249"/>
      <c r="U1451" s="249"/>
      <c r="V1451" s="249"/>
      <c r="W1451" s="249"/>
      <c r="X1451" s="249"/>
      <c r="Y1451" s="249"/>
      <c r="Z1451" s="249"/>
    </row>
    <row r="1452" spans="1:26" s="152" customFormat="1" x14ac:dyDescent="0.25">
      <c r="A1452" s="249"/>
      <c r="B1452" s="249"/>
      <c r="C1452" s="249"/>
      <c r="D1452" s="249"/>
      <c r="E1452" s="249"/>
      <c r="F1452" s="249"/>
      <c r="G1452" s="249"/>
      <c r="H1452" s="249"/>
      <c r="I1452" s="258"/>
      <c r="J1452" s="249"/>
      <c r="K1452" s="249"/>
      <c r="L1452" s="249"/>
      <c r="M1452" s="259"/>
      <c r="N1452" s="249"/>
      <c r="O1452" s="249"/>
      <c r="P1452" s="249"/>
      <c r="Q1452" s="249"/>
      <c r="R1452" s="249"/>
      <c r="S1452" s="249"/>
      <c r="T1452" s="249"/>
      <c r="U1452" s="249"/>
      <c r="V1452" s="249"/>
      <c r="W1452" s="249"/>
      <c r="X1452" s="249"/>
      <c r="Y1452" s="249"/>
      <c r="Z1452" s="249"/>
    </row>
    <row r="1453" spans="1:26" s="152" customFormat="1" x14ac:dyDescent="0.25">
      <c r="A1453" s="249"/>
      <c r="B1453" s="249"/>
      <c r="C1453" s="249"/>
      <c r="D1453" s="249"/>
      <c r="E1453" s="249"/>
      <c r="F1453" s="249"/>
      <c r="G1453" s="249"/>
      <c r="H1453" s="249"/>
      <c r="I1453" s="258"/>
      <c r="J1453" s="249"/>
      <c r="K1453" s="249"/>
      <c r="L1453" s="249"/>
      <c r="M1453" s="259"/>
      <c r="N1453" s="249"/>
      <c r="O1453" s="249"/>
      <c r="P1453" s="249"/>
      <c r="Q1453" s="249"/>
      <c r="R1453" s="249"/>
      <c r="S1453" s="249"/>
      <c r="T1453" s="249"/>
      <c r="U1453" s="249"/>
      <c r="V1453" s="249"/>
      <c r="W1453" s="249"/>
      <c r="X1453" s="249"/>
      <c r="Y1453" s="249"/>
      <c r="Z1453" s="249"/>
    </row>
    <row r="1454" spans="1:26" s="152" customFormat="1" x14ac:dyDescent="0.25">
      <c r="A1454" s="249"/>
      <c r="B1454" s="249"/>
      <c r="C1454" s="249"/>
      <c r="D1454" s="249"/>
      <c r="E1454" s="249"/>
      <c r="F1454" s="249"/>
      <c r="G1454" s="249"/>
      <c r="H1454" s="249"/>
      <c r="I1454" s="258"/>
      <c r="J1454" s="249"/>
      <c r="K1454" s="249"/>
      <c r="L1454" s="249"/>
      <c r="M1454" s="259"/>
      <c r="N1454" s="249"/>
      <c r="O1454" s="249"/>
      <c r="P1454" s="249"/>
      <c r="Q1454" s="249"/>
      <c r="R1454" s="249"/>
      <c r="S1454" s="249"/>
      <c r="T1454" s="249"/>
      <c r="U1454" s="249"/>
      <c r="V1454" s="249"/>
      <c r="W1454" s="249"/>
      <c r="X1454" s="249"/>
      <c r="Y1454" s="249"/>
      <c r="Z1454" s="249"/>
    </row>
    <row r="1455" spans="1:26" s="152" customFormat="1" x14ac:dyDescent="0.25">
      <c r="A1455" s="249"/>
      <c r="B1455" s="249"/>
      <c r="C1455" s="249"/>
      <c r="D1455" s="249"/>
      <c r="E1455" s="249"/>
      <c r="F1455" s="249"/>
      <c r="G1455" s="249"/>
      <c r="H1455" s="249"/>
      <c r="I1455" s="258"/>
      <c r="J1455" s="249"/>
      <c r="K1455" s="249"/>
      <c r="L1455" s="249"/>
      <c r="M1455" s="259"/>
      <c r="N1455" s="249"/>
      <c r="O1455" s="249"/>
      <c r="P1455" s="249"/>
      <c r="Q1455" s="249"/>
      <c r="R1455" s="249"/>
      <c r="S1455" s="249"/>
      <c r="T1455" s="249"/>
      <c r="U1455" s="249"/>
      <c r="V1455" s="249"/>
      <c r="W1455" s="249"/>
      <c r="X1455" s="249"/>
      <c r="Y1455" s="249"/>
      <c r="Z1455" s="249"/>
    </row>
    <row r="1456" spans="1:26" s="152" customFormat="1" x14ac:dyDescent="0.25">
      <c r="A1456" s="249"/>
      <c r="B1456" s="249"/>
      <c r="C1456" s="249"/>
      <c r="D1456" s="249"/>
      <c r="E1456" s="249"/>
      <c r="F1456" s="249"/>
      <c r="G1456" s="249"/>
      <c r="H1456" s="249"/>
      <c r="I1456" s="258"/>
      <c r="J1456" s="249"/>
      <c r="K1456" s="249"/>
      <c r="L1456" s="249"/>
      <c r="M1456" s="259"/>
      <c r="N1456" s="249"/>
      <c r="O1456" s="249"/>
      <c r="P1456" s="249"/>
      <c r="Q1456" s="249"/>
      <c r="R1456" s="249"/>
      <c r="S1456" s="249"/>
      <c r="T1456" s="249"/>
      <c r="U1456" s="249"/>
      <c r="V1456" s="249"/>
      <c r="W1456" s="249"/>
      <c r="X1456" s="249"/>
      <c r="Y1456" s="249"/>
      <c r="Z1456" s="249"/>
    </row>
    <row r="1457" spans="1:26" s="152" customFormat="1" x14ac:dyDescent="0.25">
      <c r="A1457" s="249"/>
      <c r="B1457" s="249"/>
      <c r="C1457" s="249"/>
      <c r="D1457" s="249"/>
      <c r="E1457" s="249"/>
      <c r="F1457" s="249"/>
      <c r="G1457" s="249"/>
      <c r="H1457" s="249"/>
      <c r="I1457" s="258"/>
      <c r="J1457" s="249"/>
      <c r="K1457" s="249"/>
      <c r="L1457" s="249"/>
      <c r="M1457" s="259"/>
      <c r="N1457" s="249"/>
      <c r="O1457" s="249"/>
      <c r="P1457" s="249"/>
      <c r="Q1457" s="249"/>
      <c r="R1457" s="249"/>
      <c r="S1457" s="249"/>
      <c r="T1457" s="249"/>
      <c r="U1457" s="249"/>
      <c r="V1457" s="249"/>
      <c r="W1457" s="249"/>
      <c r="X1457" s="249"/>
      <c r="Y1457" s="249"/>
      <c r="Z1457" s="249"/>
    </row>
    <row r="1458" spans="1:26" s="152" customFormat="1" x14ac:dyDescent="0.25">
      <c r="A1458" s="249"/>
      <c r="B1458" s="249"/>
      <c r="C1458" s="249"/>
      <c r="D1458" s="249"/>
      <c r="E1458" s="249"/>
      <c r="F1458" s="249"/>
      <c r="G1458" s="249"/>
      <c r="H1458" s="249"/>
      <c r="I1458" s="258"/>
      <c r="J1458" s="249"/>
      <c r="K1458" s="249"/>
      <c r="L1458" s="249"/>
      <c r="M1458" s="259"/>
      <c r="N1458" s="249"/>
      <c r="O1458" s="249"/>
      <c r="P1458" s="249"/>
      <c r="Q1458" s="249"/>
      <c r="R1458" s="249"/>
      <c r="S1458" s="249"/>
      <c r="T1458" s="249"/>
      <c r="U1458" s="249"/>
      <c r="V1458" s="249"/>
      <c r="W1458" s="249"/>
      <c r="X1458" s="249"/>
      <c r="Y1458" s="249"/>
      <c r="Z1458" s="249"/>
    </row>
    <row r="1459" spans="1:26" s="152" customFormat="1" x14ac:dyDescent="0.25">
      <c r="A1459" s="249"/>
      <c r="B1459" s="249"/>
      <c r="C1459" s="249"/>
      <c r="D1459" s="249"/>
      <c r="E1459" s="249"/>
      <c r="F1459" s="249"/>
      <c r="G1459" s="249"/>
      <c r="H1459" s="249"/>
      <c r="I1459" s="258"/>
      <c r="J1459" s="249"/>
      <c r="K1459" s="249"/>
      <c r="L1459" s="249"/>
      <c r="M1459" s="259"/>
      <c r="N1459" s="249"/>
      <c r="O1459" s="249"/>
      <c r="P1459" s="249"/>
      <c r="Q1459" s="249"/>
      <c r="R1459" s="249"/>
      <c r="S1459" s="249"/>
      <c r="T1459" s="249"/>
      <c r="U1459" s="249"/>
      <c r="V1459" s="249"/>
      <c r="W1459" s="249"/>
      <c r="X1459" s="249"/>
      <c r="Y1459" s="249"/>
      <c r="Z1459" s="249"/>
    </row>
    <row r="1460" spans="1:26" s="152" customFormat="1" x14ac:dyDescent="0.25">
      <c r="A1460" s="249"/>
      <c r="B1460" s="249"/>
      <c r="C1460" s="249"/>
      <c r="D1460" s="249"/>
      <c r="E1460" s="249"/>
      <c r="F1460" s="249"/>
      <c r="G1460" s="249"/>
      <c r="H1460" s="249"/>
      <c r="I1460" s="258"/>
      <c r="J1460" s="249"/>
      <c r="K1460" s="249"/>
      <c r="L1460" s="249"/>
      <c r="M1460" s="259"/>
      <c r="N1460" s="249"/>
      <c r="O1460" s="249"/>
      <c r="P1460" s="249"/>
      <c r="Q1460" s="249"/>
      <c r="R1460" s="249"/>
      <c r="S1460" s="249"/>
      <c r="T1460" s="249"/>
      <c r="U1460" s="249"/>
      <c r="V1460" s="249"/>
      <c r="W1460" s="249"/>
      <c r="X1460" s="249"/>
      <c r="Y1460" s="249"/>
      <c r="Z1460" s="249"/>
    </row>
    <row r="1461" spans="1:26" s="152" customFormat="1" x14ac:dyDescent="0.25">
      <c r="A1461" s="249"/>
      <c r="B1461" s="249"/>
      <c r="C1461" s="249"/>
      <c r="D1461" s="249"/>
      <c r="E1461" s="249"/>
      <c r="F1461" s="249"/>
      <c r="G1461" s="249"/>
      <c r="H1461" s="249"/>
      <c r="I1461" s="258"/>
      <c r="J1461" s="249"/>
      <c r="K1461" s="249"/>
      <c r="L1461" s="249"/>
      <c r="M1461" s="259"/>
      <c r="N1461" s="249"/>
      <c r="O1461" s="249"/>
      <c r="P1461" s="249"/>
      <c r="Q1461" s="249"/>
      <c r="R1461" s="249"/>
      <c r="S1461" s="249"/>
      <c r="T1461" s="249"/>
      <c r="U1461" s="249"/>
      <c r="V1461" s="249"/>
      <c r="W1461" s="249"/>
      <c r="X1461" s="249"/>
      <c r="Y1461" s="249"/>
      <c r="Z1461" s="249"/>
    </row>
    <row r="1462" spans="1:26" s="152" customFormat="1" x14ac:dyDescent="0.25">
      <c r="A1462" s="249"/>
      <c r="B1462" s="249"/>
      <c r="C1462" s="249"/>
      <c r="D1462" s="249"/>
      <c r="E1462" s="249"/>
      <c r="F1462" s="249"/>
      <c r="G1462" s="249"/>
      <c r="H1462" s="249"/>
      <c r="I1462" s="258"/>
      <c r="J1462" s="249"/>
      <c r="K1462" s="249"/>
      <c r="L1462" s="249"/>
      <c r="M1462" s="259"/>
      <c r="N1462" s="249"/>
      <c r="O1462" s="249"/>
      <c r="P1462" s="249"/>
      <c r="Q1462" s="249"/>
      <c r="R1462" s="249"/>
      <c r="S1462" s="249"/>
      <c r="T1462" s="249"/>
      <c r="U1462" s="249"/>
      <c r="V1462" s="249"/>
      <c r="W1462" s="249"/>
      <c r="X1462" s="249"/>
      <c r="Y1462" s="249"/>
      <c r="Z1462" s="249"/>
    </row>
    <row r="1463" spans="1:26" s="152" customFormat="1" x14ac:dyDescent="0.25">
      <c r="A1463" s="249"/>
      <c r="B1463" s="249"/>
      <c r="C1463" s="249"/>
      <c r="D1463" s="249"/>
      <c r="E1463" s="249"/>
      <c r="F1463" s="249"/>
      <c r="G1463" s="249"/>
      <c r="H1463" s="249"/>
      <c r="I1463" s="258"/>
      <c r="J1463" s="249"/>
      <c r="K1463" s="249"/>
      <c r="L1463" s="249"/>
      <c r="M1463" s="259"/>
      <c r="N1463" s="249"/>
      <c r="O1463" s="249"/>
      <c r="P1463" s="249"/>
      <c r="Q1463" s="249"/>
      <c r="R1463" s="249"/>
      <c r="S1463" s="249"/>
      <c r="T1463" s="249"/>
      <c r="U1463" s="249"/>
      <c r="V1463" s="249"/>
      <c r="W1463" s="249"/>
      <c r="X1463" s="249"/>
      <c r="Y1463" s="249"/>
      <c r="Z1463" s="249"/>
    </row>
    <row r="1464" spans="1:26" s="152" customFormat="1" x14ac:dyDescent="0.25">
      <c r="A1464" s="249"/>
      <c r="B1464" s="249"/>
      <c r="C1464" s="249"/>
      <c r="D1464" s="249"/>
      <c r="E1464" s="249"/>
      <c r="F1464" s="249"/>
      <c r="G1464" s="249"/>
      <c r="H1464" s="249"/>
      <c r="I1464" s="258"/>
      <c r="J1464" s="249"/>
      <c r="K1464" s="249"/>
      <c r="L1464" s="249"/>
      <c r="M1464" s="259"/>
      <c r="N1464" s="249"/>
      <c r="O1464" s="249"/>
      <c r="P1464" s="249"/>
      <c r="Q1464" s="249"/>
      <c r="R1464" s="249"/>
      <c r="S1464" s="249"/>
      <c r="T1464" s="249"/>
      <c r="U1464" s="249"/>
      <c r="V1464" s="249"/>
      <c r="W1464" s="249"/>
      <c r="X1464" s="249"/>
      <c r="Y1464" s="249"/>
      <c r="Z1464" s="249"/>
    </row>
    <row r="1465" spans="1:26" s="152" customFormat="1" x14ac:dyDescent="0.25">
      <c r="A1465" s="249"/>
      <c r="B1465" s="249"/>
      <c r="C1465" s="249"/>
      <c r="D1465" s="249"/>
      <c r="E1465" s="249"/>
      <c r="F1465" s="249"/>
      <c r="G1465" s="249"/>
      <c r="H1465" s="249"/>
      <c r="I1465" s="258"/>
      <c r="J1465" s="249"/>
      <c r="K1465" s="249"/>
      <c r="L1465" s="249"/>
      <c r="M1465" s="259"/>
      <c r="N1465" s="249"/>
      <c r="O1465" s="249"/>
      <c r="P1465" s="249"/>
      <c r="Q1465" s="249"/>
      <c r="R1465" s="249"/>
      <c r="S1465" s="249"/>
      <c r="T1465" s="249"/>
      <c r="U1465" s="249"/>
      <c r="V1465" s="249"/>
      <c r="W1465" s="249"/>
      <c r="X1465" s="249"/>
      <c r="Y1465" s="249"/>
      <c r="Z1465" s="249"/>
    </row>
    <row r="1466" spans="1:26" s="152" customFormat="1" x14ac:dyDescent="0.25">
      <c r="A1466" s="249"/>
      <c r="B1466" s="249"/>
      <c r="C1466" s="249"/>
      <c r="D1466" s="249"/>
      <c r="E1466" s="249"/>
      <c r="F1466" s="249"/>
      <c r="G1466" s="249"/>
      <c r="H1466" s="249"/>
      <c r="I1466" s="258"/>
      <c r="J1466" s="249"/>
      <c r="K1466" s="249"/>
      <c r="L1466" s="249"/>
      <c r="M1466" s="259"/>
      <c r="N1466" s="249"/>
      <c r="O1466" s="249"/>
      <c r="P1466" s="249"/>
      <c r="Q1466" s="249"/>
      <c r="R1466" s="249"/>
      <c r="S1466" s="249"/>
      <c r="T1466" s="249"/>
      <c r="U1466" s="249"/>
      <c r="V1466" s="249"/>
      <c r="W1466" s="249"/>
      <c r="X1466" s="249"/>
      <c r="Y1466" s="249"/>
      <c r="Z1466" s="249"/>
    </row>
    <row r="1467" spans="1:26" s="152" customFormat="1" x14ac:dyDescent="0.25">
      <c r="A1467" s="249"/>
      <c r="B1467" s="249"/>
      <c r="C1467" s="249"/>
      <c r="D1467" s="249"/>
      <c r="E1467" s="249"/>
      <c r="F1467" s="249"/>
      <c r="G1467" s="249"/>
      <c r="H1467" s="249"/>
      <c r="I1467" s="258"/>
      <c r="J1467" s="249"/>
      <c r="K1467" s="249"/>
      <c r="L1467" s="249"/>
      <c r="M1467" s="259"/>
      <c r="N1467" s="249"/>
      <c r="O1467" s="249"/>
      <c r="P1467" s="249"/>
      <c r="Q1467" s="249"/>
      <c r="R1467" s="249"/>
      <c r="S1467" s="249"/>
      <c r="T1467" s="249"/>
      <c r="U1467" s="249"/>
      <c r="V1467" s="249"/>
      <c r="W1467" s="249"/>
      <c r="X1467" s="249"/>
      <c r="Y1467" s="249"/>
      <c r="Z1467" s="249"/>
    </row>
    <row r="1468" spans="1:26" s="152" customFormat="1" x14ac:dyDescent="0.25">
      <c r="A1468" s="249"/>
      <c r="B1468" s="249"/>
      <c r="C1468" s="249"/>
      <c r="D1468" s="249"/>
      <c r="E1468" s="249"/>
      <c r="F1468" s="249"/>
      <c r="G1468" s="249"/>
      <c r="H1468" s="249"/>
      <c r="I1468" s="258"/>
      <c r="J1468" s="249"/>
      <c r="K1468" s="249"/>
      <c r="L1468" s="249"/>
      <c r="M1468" s="259"/>
      <c r="N1468" s="249"/>
      <c r="O1468" s="249"/>
      <c r="P1468" s="249"/>
      <c r="Q1468" s="249"/>
      <c r="R1468" s="249"/>
      <c r="S1468" s="249"/>
      <c r="T1468" s="249"/>
      <c r="U1468" s="249"/>
      <c r="V1468" s="249"/>
      <c r="W1468" s="249"/>
      <c r="X1468" s="249"/>
      <c r="Y1468" s="249"/>
      <c r="Z1468" s="249"/>
    </row>
    <row r="1469" spans="1:26" s="152" customFormat="1" x14ac:dyDescent="0.25">
      <c r="A1469" s="249"/>
      <c r="B1469" s="249"/>
      <c r="C1469" s="249"/>
      <c r="D1469" s="249"/>
      <c r="E1469" s="249"/>
      <c r="F1469" s="249"/>
      <c r="G1469" s="249"/>
      <c r="H1469" s="249"/>
      <c r="I1469" s="258"/>
      <c r="J1469" s="249"/>
      <c r="K1469" s="249"/>
      <c r="L1469" s="249"/>
      <c r="M1469" s="259"/>
      <c r="N1469" s="249"/>
      <c r="O1469" s="249"/>
      <c r="P1469" s="249"/>
      <c r="Q1469" s="249"/>
      <c r="R1469" s="249"/>
      <c r="S1469" s="249"/>
      <c r="T1469" s="249"/>
      <c r="U1469" s="249"/>
      <c r="V1469" s="249"/>
      <c r="W1469" s="249"/>
      <c r="X1469" s="249"/>
      <c r="Y1469" s="249"/>
      <c r="Z1469" s="249"/>
    </row>
    <row r="1470" spans="1:26" s="152" customFormat="1" x14ac:dyDescent="0.25">
      <c r="A1470" s="249"/>
      <c r="B1470" s="249"/>
      <c r="C1470" s="249"/>
      <c r="D1470" s="249"/>
      <c r="E1470" s="249"/>
      <c r="F1470" s="249"/>
      <c r="G1470" s="249"/>
      <c r="H1470" s="249"/>
      <c r="I1470" s="258"/>
      <c r="J1470" s="249"/>
      <c r="K1470" s="249"/>
      <c r="L1470" s="249"/>
      <c r="M1470" s="259"/>
      <c r="N1470" s="249"/>
      <c r="O1470" s="249"/>
      <c r="P1470" s="249"/>
      <c r="Q1470" s="249"/>
      <c r="R1470" s="249"/>
      <c r="S1470" s="249"/>
      <c r="T1470" s="249"/>
      <c r="U1470" s="249"/>
      <c r="V1470" s="249"/>
      <c r="W1470" s="249"/>
      <c r="X1470" s="249"/>
      <c r="Y1470" s="249"/>
      <c r="Z1470" s="249"/>
    </row>
    <row r="1471" spans="1:26" s="152" customFormat="1" x14ac:dyDescent="0.25">
      <c r="A1471" s="249"/>
      <c r="B1471" s="249"/>
      <c r="C1471" s="249"/>
      <c r="D1471" s="249"/>
      <c r="E1471" s="249"/>
      <c r="F1471" s="249"/>
      <c r="G1471" s="249"/>
      <c r="H1471" s="249"/>
      <c r="I1471" s="258"/>
      <c r="J1471" s="249"/>
      <c r="K1471" s="249"/>
      <c r="L1471" s="249"/>
      <c r="M1471" s="259"/>
      <c r="N1471" s="249"/>
      <c r="O1471" s="249"/>
      <c r="P1471" s="249"/>
      <c r="Q1471" s="249"/>
      <c r="R1471" s="249"/>
      <c r="S1471" s="249"/>
      <c r="T1471" s="249"/>
      <c r="U1471" s="249"/>
      <c r="V1471" s="249"/>
      <c r="W1471" s="249"/>
      <c r="X1471" s="249"/>
      <c r="Y1471" s="249"/>
      <c r="Z1471" s="249"/>
    </row>
    <row r="1472" spans="1:26" s="152" customFormat="1" x14ac:dyDescent="0.25">
      <c r="A1472" s="249"/>
      <c r="B1472" s="249"/>
      <c r="C1472" s="249"/>
      <c r="D1472" s="249"/>
      <c r="E1472" s="249"/>
      <c r="F1472" s="249"/>
      <c r="G1472" s="249"/>
      <c r="H1472" s="249"/>
      <c r="I1472" s="258"/>
      <c r="J1472" s="249"/>
      <c r="K1472" s="249"/>
      <c r="L1472" s="249"/>
      <c r="M1472" s="259"/>
      <c r="N1472" s="249"/>
      <c r="O1472" s="249"/>
      <c r="P1472" s="249"/>
      <c r="Q1472" s="249"/>
      <c r="R1472" s="249"/>
      <c r="S1472" s="249"/>
      <c r="T1472" s="249"/>
      <c r="U1472" s="249"/>
      <c r="V1472" s="249"/>
      <c r="W1472" s="249"/>
      <c r="X1472" s="249"/>
      <c r="Y1472" s="249"/>
      <c r="Z1472" s="249"/>
    </row>
    <row r="1473" spans="1:26" s="152" customFormat="1" x14ac:dyDescent="0.25">
      <c r="A1473" s="249"/>
      <c r="B1473" s="249"/>
      <c r="C1473" s="249"/>
      <c r="D1473" s="249"/>
      <c r="E1473" s="249"/>
      <c r="F1473" s="249"/>
      <c r="G1473" s="249"/>
      <c r="H1473" s="249"/>
      <c r="I1473" s="258"/>
      <c r="J1473" s="249"/>
      <c r="K1473" s="249"/>
      <c r="L1473" s="249"/>
      <c r="M1473" s="259"/>
      <c r="N1473" s="249"/>
      <c r="O1473" s="249"/>
      <c r="P1473" s="249"/>
      <c r="Q1473" s="249"/>
      <c r="R1473" s="249"/>
      <c r="S1473" s="249"/>
      <c r="T1473" s="249"/>
      <c r="U1473" s="249"/>
      <c r="V1473" s="249"/>
      <c r="W1473" s="249"/>
      <c r="X1473" s="249"/>
      <c r="Y1473" s="249"/>
      <c r="Z1473" s="249"/>
    </row>
    <row r="1474" spans="1:26" s="152" customFormat="1" x14ac:dyDescent="0.25">
      <c r="A1474" s="249"/>
      <c r="B1474" s="249"/>
      <c r="C1474" s="249"/>
      <c r="D1474" s="249"/>
      <c r="E1474" s="249"/>
      <c r="F1474" s="249"/>
      <c r="G1474" s="249"/>
      <c r="H1474" s="249"/>
      <c r="I1474" s="258"/>
      <c r="J1474" s="249"/>
      <c r="K1474" s="249"/>
      <c r="L1474" s="249"/>
      <c r="M1474" s="259"/>
      <c r="N1474" s="249"/>
      <c r="O1474" s="249"/>
      <c r="P1474" s="249"/>
      <c r="Q1474" s="249"/>
      <c r="R1474" s="249"/>
      <c r="S1474" s="249"/>
      <c r="T1474" s="249"/>
      <c r="U1474" s="249"/>
      <c r="V1474" s="249"/>
      <c r="W1474" s="249"/>
      <c r="X1474" s="249"/>
      <c r="Y1474" s="249"/>
      <c r="Z1474" s="249"/>
    </row>
    <row r="1475" spans="1:26" s="152" customFormat="1" x14ac:dyDescent="0.25">
      <c r="A1475" s="249"/>
      <c r="B1475" s="249"/>
      <c r="C1475" s="249"/>
      <c r="D1475" s="249"/>
      <c r="E1475" s="249"/>
      <c r="F1475" s="249"/>
      <c r="G1475" s="249"/>
      <c r="H1475" s="249"/>
      <c r="I1475" s="258"/>
      <c r="J1475" s="249"/>
      <c r="K1475" s="249"/>
      <c r="L1475" s="249"/>
      <c r="M1475" s="259"/>
      <c r="N1475" s="249"/>
      <c r="O1475" s="249"/>
      <c r="P1475" s="249"/>
      <c r="Q1475" s="249"/>
      <c r="R1475" s="249"/>
      <c r="S1475" s="249"/>
      <c r="T1475" s="249"/>
      <c r="U1475" s="249"/>
      <c r="V1475" s="249"/>
      <c r="W1475" s="249"/>
      <c r="X1475" s="249"/>
      <c r="Y1475" s="249"/>
      <c r="Z1475" s="249"/>
    </row>
    <row r="1476" spans="1:26" s="152" customFormat="1" x14ac:dyDescent="0.25">
      <c r="A1476" s="249"/>
      <c r="B1476" s="249"/>
      <c r="C1476" s="249"/>
      <c r="D1476" s="249"/>
      <c r="E1476" s="249"/>
      <c r="F1476" s="249"/>
      <c r="G1476" s="249"/>
      <c r="H1476" s="249"/>
      <c r="I1476" s="258"/>
      <c r="J1476" s="249"/>
      <c r="K1476" s="249"/>
      <c r="L1476" s="249"/>
      <c r="M1476" s="259"/>
      <c r="N1476" s="249"/>
      <c r="O1476" s="249"/>
      <c r="P1476" s="249"/>
      <c r="Q1476" s="249"/>
      <c r="R1476" s="249"/>
      <c r="S1476" s="249"/>
      <c r="T1476" s="249"/>
      <c r="U1476" s="249"/>
      <c r="V1476" s="249"/>
      <c r="W1476" s="249"/>
      <c r="X1476" s="249"/>
      <c r="Y1476" s="249"/>
      <c r="Z1476" s="249"/>
    </row>
    <row r="1477" spans="1:26" s="152" customFormat="1" x14ac:dyDescent="0.25">
      <c r="A1477" s="249"/>
      <c r="B1477" s="249"/>
      <c r="C1477" s="249"/>
      <c r="D1477" s="249"/>
      <c r="E1477" s="249"/>
      <c r="F1477" s="249"/>
      <c r="G1477" s="249"/>
      <c r="H1477" s="249"/>
      <c r="I1477" s="258"/>
      <c r="J1477" s="249"/>
      <c r="K1477" s="249"/>
      <c r="L1477" s="249"/>
      <c r="M1477" s="259"/>
      <c r="N1477" s="249"/>
      <c r="O1477" s="249"/>
      <c r="P1477" s="249"/>
      <c r="Q1477" s="249"/>
      <c r="R1477" s="249"/>
      <c r="S1477" s="249"/>
      <c r="T1477" s="249"/>
      <c r="U1477" s="249"/>
      <c r="V1477" s="249"/>
      <c r="W1477" s="249"/>
      <c r="X1477" s="249"/>
      <c r="Y1477" s="249"/>
      <c r="Z1477" s="249"/>
    </row>
    <row r="1478" spans="1:26" s="152" customFormat="1" x14ac:dyDescent="0.25">
      <c r="A1478" s="249"/>
      <c r="B1478" s="249"/>
      <c r="C1478" s="249"/>
      <c r="D1478" s="249"/>
      <c r="E1478" s="249"/>
      <c r="F1478" s="249"/>
      <c r="G1478" s="249"/>
      <c r="H1478" s="249"/>
      <c r="I1478" s="258"/>
      <c r="J1478" s="249"/>
      <c r="K1478" s="249"/>
      <c r="L1478" s="249"/>
      <c r="M1478" s="259"/>
      <c r="N1478" s="249"/>
      <c r="O1478" s="249"/>
      <c r="P1478" s="249"/>
      <c r="Q1478" s="249"/>
      <c r="R1478" s="249"/>
      <c r="S1478" s="249"/>
      <c r="T1478" s="249"/>
      <c r="U1478" s="249"/>
      <c r="V1478" s="249"/>
      <c r="W1478" s="249"/>
      <c r="X1478" s="249"/>
      <c r="Y1478" s="249"/>
      <c r="Z1478" s="249"/>
    </row>
    <row r="1479" spans="1:26" s="152" customFormat="1" x14ac:dyDescent="0.25">
      <c r="A1479" s="249"/>
      <c r="B1479" s="249"/>
      <c r="C1479" s="249"/>
      <c r="D1479" s="249"/>
      <c r="E1479" s="249"/>
      <c r="F1479" s="249"/>
      <c r="G1479" s="249"/>
      <c r="H1479" s="249"/>
      <c r="I1479" s="258"/>
      <c r="J1479" s="249"/>
      <c r="K1479" s="249"/>
      <c r="L1479" s="249"/>
      <c r="M1479" s="259"/>
      <c r="N1479" s="249"/>
      <c r="O1479" s="249"/>
      <c r="P1479" s="249"/>
      <c r="Q1479" s="249"/>
      <c r="R1479" s="249"/>
      <c r="S1479" s="249"/>
      <c r="T1479" s="249"/>
      <c r="U1479" s="249"/>
      <c r="V1479" s="249"/>
      <c r="W1479" s="249"/>
      <c r="X1479" s="249"/>
      <c r="Y1479" s="249"/>
      <c r="Z1479" s="249"/>
    </row>
    <row r="1480" spans="1:26" s="152" customFormat="1" x14ac:dyDescent="0.25">
      <c r="A1480" s="249"/>
      <c r="B1480" s="249"/>
      <c r="C1480" s="249"/>
      <c r="D1480" s="249"/>
      <c r="E1480" s="249"/>
      <c r="F1480" s="249"/>
      <c r="G1480" s="249"/>
      <c r="H1480" s="249"/>
      <c r="I1480" s="258"/>
      <c r="J1480" s="249"/>
      <c r="K1480" s="249"/>
      <c r="L1480" s="249"/>
      <c r="M1480" s="259"/>
      <c r="N1480" s="249"/>
      <c r="O1480" s="249"/>
      <c r="P1480" s="249"/>
      <c r="Q1480" s="249"/>
      <c r="R1480" s="249"/>
      <c r="S1480" s="249"/>
      <c r="T1480" s="249"/>
      <c r="U1480" s="249"/>
      <c r="V1480" s="249"/>
      <c r="W1480" s="249"/>
      <c r="X1480" s="249"/>
      <c r="Y1480" s="249"/>
      <c r="Z1480" s="249"/>
    </row>
    <row r="1481" spans="1:26" s="152" customFormat="1" x14ac:dyDescent="0.25">
      <c r="A1481" s="249"/>
      <c r="B1481" s="249"/>
      <c r="C1481" s="249"/>
      <c r="D1481" s="249"/>
      <c r="E1481" s="249"/>
      <c r="F1481" s="249"/>
      <c r="G1481" s="249"/>
      <c r="H1481" s="249"/>
      <c r="I1481" s="258"/>
      <c r="J1481" s="249"/>
      <c r="K1481" s="249"/>
      <c r="L1481" s="249"/>
      <c r="M1481" s="259"/>
      <c r="N1481" s="249"/>
      <c r="O1481" s="249"/>
      <c r="P1481" s="249"/>
      <c r="Q1481" s="249"/>
      <c r="R1481" s="249"/>
      <c r="S1481" s="249"/>
      <c r="T1481" s="249"/>
      <c r="U1481" s="249"/>
      <c r="V1481" s="249"/>
      <c r="W1481" s="249"/>
      <c r="X1481" s="249"/>
      <c r="Y1481" s="249"/>
      <c r="Z1481" s="249"/>
    </row>
    <row r="1482" spans="1:26" s="152" customFormat="1" x14ac:dyDescent="0.25">
      <c r="A1482" s="249"/>
      <c r="B1482" s="249"/>
      <c r="C1482" s="249"/>
      <c r="D1482" s="249"/>
      <c r="E1482" s="249"/>
      <c r="F1482" s="249"/>
      <c r="G1482" s="249"/>
      <c r="H1482" s="249"/>
      <c r="I1482" s="258"/>
      <c r="J1482" s="249"/>
      <c r="K1482" s="249"/>
      <c r="L1482" s="249"/>
      <c r="M1482" s="259"/>
      <c r="N1482" s="249"/>
      <c r="O1482" s="249"/>
      <c r="P1482" s="249"/>
      <c r="Q1482" s="249"/>
      <c r="R1482" s="249"/>
      <c r="S1482" s="249"/>
      <c r="T1482" s="249"/>
      <c r="U1482" s="249"/>
      <c r="V1482" s="249"/>
      <c r="W1482" s="249"/>
      <c r="X1482" s="249"/>
      <c r="Y1482" s="249"/>
      <c r="Z1482" s="249"/>
    </row>
    <row r="1483" spans="1:26" s="152" customFormat="1" x14ac:dyDescent="0.25">
      <c r="A1483" s="249"/>
      <c r="B1483" s="249"/>
      <c r="C1483" s="249"/>
      <c r="D1483" s="249"/>
      <c r="E1483" s="249"/>
      <c r="F1483" s="249"/>
      <c r="G1483" s="249"/>
      <c r="H1483" s="249"/>
      <c r="I1483" s="258"/>
      <c r="J1483" s="249"/>
      <c r="K1483" s="249"/>
      <c r="L1483" s="249"/>
      <c r="M1483" s="259"/>
      <c r="N1483" s="249"/>
      <c r="O1483" s="249"/>
      <c r="P1483" s="249"/>
      <c r="Q1483" s="249"/>
      <c r="R1483" s="249"/>
      <c r="S1483" s="249"/>
      <c r="T1483" s="249"/>
      <c r="U1483" s="249"/>
      <c r="V1483" s="249"/>
      <c r="W1483" s="249"/>
      <c r="X1483" s="249"/>
      <c r="Y1483" s="249"/>
      <c r="Z1483" s="249"/>
    </row>
    <row r="1484" spans="1:26" s="152" customFormat="1" x14ac:dyDescent="0.25">
      <c r="A1484" s="249"/>
      <c r="B1484" s="249"/>
      <c r="C1484" s="249"/>
      <c r="D1484" s="249"/>
      <c r="E1484" s="249"/>
      <c r="F1484" s="249"/>
      <c r="G1484" s="249"/>
      <c r="H1484" s="249"/>
      <c r="I1484" s="258"/>
      <c r="J1484" s="249"/>
      <c r="K1484" s="249"/>
      <c r="L1484" s="249"/>
      <c r="M1484" s="259"/>
      <c r="N1484" s="249"/>
      <c r="O1484" s="249"/>
      <c r="P1484" s="249"/>
      <c r="Q1484" s="249"/>
      <c r="R1484" s="249"/>
      <c r="S1484" s="249"/>
      <c r="T1484" s="249"/>
      <c r="U1484" s="249"/>
      <c r="V1484" s="249"/>
      <c r="W1484" s="249"/>
      <c r="X1484" s="249"/>
      <c r="Y1484" s="249"/>
      <c r="Z1484" s="249"/>
    </row>
    <row r="1485" spans="1:26" s="152" customFormat="1" x14ac:dyDescent="0.25">
      <c r="A1485" s="249"/>
      <c r="B1485" s="249"/>
      <c r="C1485" s="249"/>
      <c r="D1485" s="249"/>
      <c r="E1485" s="249"/>
      <c r="F1485" s="249"/>
      <c r="G1485" s="249"/>
      <c r="H1485" s="249"/>
      <c r="I1485" s="258"/>
      <c r="J1485" s="249"/>
      <c r="K1485" s="249"/>
      <c r="L1485" s="249"/>
      <c r="M1485" s="259"/>
      <c r="N1485" s="249"/>
      <c r="O1485" s="249"/>
      <c r="P1485" s="249"/>
      <c r="Q1485" s="249"/>
      <c r="R1485" s="249"/>
      <c r="S1485" s="249"/>
      <c r="T1485" s="249"/>
      <c r="U1485" s="249"/>
      <c r="V1485" s="249"/>
      <c r="W1485" s="249"/>
      <c r="X1485" s="249"/>
      <c r="Y1485" s="249"/>
      <c r="Z1485" s="249"/>
    </row>
    <row r="1486" spans="1:26" s="152" customFormat="1" x14ac:dyDescent="0.25">
      <c r="A1486" s="249"/>
      <c r="B1486" s="249"/>
      <c r="C1486" s="249"/>
      <c r="D1486" s="249"/>
      <c r="E1486" s="249"/>
      <c r="F1486" s="249"/>
      <c r="G1486" s="249"/>
      <c r="H1486" s="249"/>
      <c r="I1486" s="258"/>
      <c r="J1486" s="249"/>
      <c r="K1486" s="249"/>
      <c r="L1486" s="249"/>
      <c r="M1486" s="259"/>
      <c r="N1486" s="249"/>
      <c r="O1486" s="249"/>
      <c r="P1486" s="249"/>
      <c r="Q1486" s="249"/>
      <c r="R1486" s="249"/>
      <c r="S1486" s="249"/>
      <c r="T1486" s="249"/>
      <c r="U1486" s="249"/>
      <c r="V1486" s="249"/>
      <c r="W1486" s="249"/>
      <c r="X1486" s="249"/>
      <c r="Y1486" s="249"/>
      <c r="Z1486" s="249"/>
    </row>
    <row r="1487" spans="1:26" s="152" customFormat="1" x14ac:dyDescent="0.25">
      <c r="A1487" s="249"/>
      <c r="B1487" s="249"/>
      <c r="C1487" s="249"/>
      <c r="D1487" s="249"/>
      <c r="E1487" s="249"/>
      <c r="F1487" s="249"/>
      <c r="G1487" s="249"/>
      <c r="H1487" s="249"/>
      <c r="I1487" s="258"/>
      <c r="J1487" s="249"/>
      <c r="K1487" s="249"/>
      <c r="L1487" s="249"/>
      <c r="M1487" s="259"/>
      <c r="N1487" s="249"/>
      <c r="O1487" s="249"/>
      <c r="P1487" s="249"/>
      <c r="Q1487" s="249"/>
      <c r="R1487" s="249"/>
      <c r="S1487" s="249"/>
      <c r="T1487" s="249"/>
      <c r="U1487" s="249"/>
      <c r="V1487" s="249"/>
      <c r="W1487" s="249"/>
      <c r="X1487" s="249"/>
      <c r="Y1487" s="249"/>
      <c r="Z1487" s="249"/>
    </row>
    <row r="1488" spans="1:26" s="152" customFormat="1" x14ac:dyDescent="0.25">
      <c r="A1488" s="249"/>
      <c r="B1488" s="249"/>
      <c r="C1488" s="249"/>
      <c r="D1488" s="249"/>
      <c r="E1488" s="249"/>
      <c r="F1488" s="249"/>
      <c r="G1488" s="249"/>
      <c r="H1488" s="249"/>
      <c r="I1488" s="258"/>
      <c r="J1488" s="249"/>
      <c r="K1488" s="249"/>
      <c r="L1488" s="249"/>
      <c r="M1488" s="259"/>
      <c r="N1488" s="249"/>
      <c r="O1488" s="249"/>
      <c r="P1488" s="249"/>
      <c r="Q1488" s="249"/>
      <c r="R1488" s="249"/>
      <c r="S1488" s="249"/>
      <c r="T1488" s="249"/>
      <c r="U1488" s="249"/>
      <c r="V1488" s="249"/>
      <c r="W1488" s="249"/>
      <c r="X1488" s="249"/>
      <c r="Y1488" s="249"/>
      <c r="Z1488" s="249"/>
    </row>
    <row r="1489" spans="1:26" s="152" customFormat="1" x14ac:dyDescent="0.25">
      <c r="A1489" s="249"/>
      <c r="B1489" s="249"/>
      <c r="C1489" s="249"/>
      <c r="D1489" s="249"/>
      <c r="E1489" s="249"/>
      <c r="F1489" s="249"/>
      <c r="G1489" s="249"/>
      <c r="H1489" s="249"/>
      <c r="I1489" s="258"/>
      <c r="J1489" s="249"/>
      <c r="K1489" s="249"/>
      <c r="L1489" s="249"/>
      <c r="M1489" s="259"/>
      <c r="N1489" s="249"/>
      <c r="O1489" s="249"/>
      <c r="P1489" s="249"/>
      <c r="Q1489" s="249"/>
      <c r="R1489" s="249"/>
      <c r="S1489" s="249"/>
      <c r="T1489" s="249"/>
      <c r="U1489" s="249"/>
      <c r="V1489" s="249"/>
      <c r="W1489" s="249"/>
      <c r="X1489" s="249"/>
      <c r="Y1489" s="249"/>
      <c r="Z1489" s="249"/>
    </row>
    <row r="1490" spans="1:26" s="152" customFormat="1" x14ac:dyDescent="0.25">
      <c r="A1490" s="249"/>
      <c r="B1490" s="249"/>
      <c r="C1490" s="249"/>
      <c r="D1490" s="249"/>
      <c r="E1490" s="249"/>
      <c r="F1490" s="249"/>
      <c r="G1490" s="249"/>
      <c r="H1490" s="249"/>
      <c r="I1490" s="258"/>
      <c r="J1490" s="249"/>
      <c r="K1490" s="249"/>
      <c r="L1490" s="249"/>
      <c r="M1490" s="259"/>
      <c r="N1490" s="249"/>
      <c r="O1490" s="249"/>
      <c r="P1490" s="249"/>
      <c r="Q1490" s="249"/>
      <c r="R1490" s="249"/>
      <c r="S1490" s="249"/>
      <c r="T1490" s="249"/>
      <c r="U1490" s="249"/>
      <c r="V1490" s="249"/>
      <c r="W1490" s="249"/>
      <c r="X1490" s="249"/>
      <c r="Y1490" s="249"/>
      <c r="Z1490" s="249"/>
    </row>
    <row r="1491" spans="1:26" s="152" customFormat="1" x14ac:dyDescent="0.25">
      <c r="A1491" s="249"/>
      <c r="B1491" s="249"/>
      <c r="C1491" s="249"/>
      <c r="D1491" s="249"/>
      <c r="E1491" s="249"/>
      <c r="F1491" s="249"/>
      <c r="G1491" s="249"/>
      <c r="H1491" s="249"/>
      <c r="I1491" s="258"/>
      <c r="J1491" s="249"/>
      <c r="K1491" s="249"/>
      <c r="L1491" s="249"/>
      <c r="M1491" s="259"/>
      <c r="N1491" s="249"/>
      <c r="O1491" s="249"/>
      <c r="P1491" s="249"/>
      <c r="Q1491" s="249"/>
      <c r="R1491" s="249"/>
      <c r="S1491" s="249"/>
      <c r="T1491" s="249"/>
      <c r="U1491" s="249"/>
      <c r="V1491" s="249"/>
      <c r="W1491" s="249"/>
      <c r="X1491" s="249"/>
      <c r="Y1491" s="249"/>
      <c r="Z1491" s="249"/>
    </row>
    <row r="1492" spans="1:26" s="152" customFormat="1" x14ac:dyDescent="0.25">
      <c r="A1492" s="249"/>
      <c r="B1492" s="249"/>
      <c r="C1492" s="249"/>
      <c r="D1492" s="249"/>
      <c r="E1492" s="249"/>
      <c r="F1492" s="249"/>
      <c r="G1492" s="249"/>
      <c r="H1492" s="249"/>
      <c r="I1492" s="258"/>
      <c r="J1492" s="249"/>
      <c r="K1492" s="249"/>
      <c r="L1492" s="249"/>
      <c r="M1492" s="259"/>
      <c r="N1492" s="249"/>
      <c r="O1492" s="249"/>
      <c r="P1492" s="249"/>
      <c r="Q1492" s="249"/>
      <c r="R1492" s="249"/>
      <c r="S1492" s="249"/>
      <c r="T1492" s="249"/>
      <c r="U1492" s="249"/>
      <c r="V1492" s="249"/>
      <c r="W1492" s="249"/>
      <c r="X1492" s="249"/>
      <c r="Y1492" s="249"/>
      <c r="Z1492" s="249"/>
    </row>
    <row r="1493" spans="1:26" s="152" customFormat="1" x14ac:dyDescent="0.25">
      <c r="A1493" s="249"/>
      <c r="B1493" s="249"/>
      <c r="C1493" s="249"/>
      <c r="D1493" s="249"/>
      <c r="E1493" s="249"/>
      <c r="F1493" s="249"/>
      <c r="G1493" s="249"/>
      <c r="H1493" s="249"/>
      <c r="I1493" s="258"/>
      <c r="J1493" s="249"/>
      <c r="K1493" s="249"/>
      <c r="L1493" s="249"/>
      <c r="M1493" s="259"/>
      <c r="N1493" s="249"/>
      <c r="O1493" s="249"/>
      <c r="P1493" s="249"/>
      <c r="Q1493" s="249"/>
      <c r="R1493" s="249"/>
      <c r="S1493" s="249"/>
      <c r="T1493" s="249"/>
      <c r="U1493" s="249"/>
      <c r="V1493" s="249"/>
      <c r="W1493" s="249"/>
      <c r="X1493" s="249"/>
      <c r="Y1493" s="249"/>
      <c r="Z1493" s="249"/>
    </row>
    <row r="1494" spans="1:26" s="152" customFormat="1" x14ac:dyDescent="0.25">
      <c r="A1494" s="249"/>
      <c r="B1494" s="249"/>
      <c r="C1494" s="249"/>
      <c r="D1494" s="249"/>
      <c r="E1494" s="249"/>
      <c r="F1494" s="249"/>
      <c r="G1494" s="249"/>
      <c r="H1494" s="249"/>
      <c r="I1494" s="258"/>
      <c r="J1494" s="249"/>
      <c r="K1494" s="249"/>
      <c r="L1494" s="249"/>
      <c r="M1494" s="259"/>
      <c r="N1494" s="249"/>
      <c r="O1494" s="249"/>
      <c r="P1494" s="249"/>
      <c r="Q1494" s="249"/>
      <c r="R1494" s="249"/>
      <c r="S1494" s="249"/>
      <c r="T1494" s="249"/>
      <c r="U1494" s="249"/>
      <c r="V1494" s="249"/>
      <c r="W1494" s="249"/>
      <c r="X1494" s="249"/>
      <c r="Y1494" s="249"/>
      <c r="Z1494" s="249"/>
    </row>
    <row r="1495" spans="1:26" s="152" customFormat="1" x14ac:dyDescent="0.25">
      <c r="A1495" s="249"/>
      <c r="B1495" s="249"/>
      <c r="C1495" s="249"/>
      <c r="D1495" s="249"/>
      <c r="E1495" s="249"/>
      <c r="F1495" s="249"/>
      <c r="G1495" s="249"/>
      <c r="H1495" s="249"/>
      <c r="I1495" s="258"/>
      <c r="J1495" s="249"/>
      <c r="K1495" s="249"/>
      <c r="L1495" s="249"/>
      <c r="M1495" s="259"/>
      <c r="N1495" s="249"/>
      <c r="O1495" s="249"/>
      <c r="P1495" s="249"/>
      <c r="Q1495" s="249"/>
      <c r="R1495" s="249"/>
      <c r="S1495" s="249"/>
      <c r="T1495" s="249"/>
      <c r="U1495" s="249"/>
      <c r="V1495" s="249"/>
      <c r="W1495" s="249"/>
      <c r="X1495" s="249"/>
      <c r="Y1495" s="249"/>
      <c r="Z1495" s="249"/>
    </row>
    <row r="1496" spans="1:26" s="152" customFormat="1" x14ac:dyDescent="0.25">
      <c r="A1496" s="249"/>
      <c r="B1496" s="249"/>
      <c r="C1496" s="249"/>
      <c r="D1496" s="249"/>
      <c r="E1496" s="249"/>
      <c r="F1496" s="249"/>
      <c r="G1496" s="249"/>
      <c r="H1496" s="249"/>
      <c r="I1496" s="258"/>
      <c r="J1496" s="249"/>
      <c r="K1496" s="249"/>
      <c r="L1496" s="249"/>
      <c r="M1496" s="259"/>
      <c r="N1496" s="249"/>
      <c r="O1496" s="249"/>
      <c r="P1496" s="249"/>
      <c r="Q1496" s="249"/>
      <c r="R1496" s="249"/>
      <c r="S1496" s="249"/>
      <c r="T1496" s="249"/>
      <c r="U1496" s="249"/>
      <c r="V1496" s="249"/>
      <c r="W1496" s="249"/>
      <c r="X1496" s="249"/>
      <c r="Y1496" s="249"/>
      <c r="Z1496" s="249"/>
    </row>
    <row r="1497" spans="1:26" s="152" customFormat="1" x14ac:dyDescent="0.25">
      <c r="A1497" s="249"/>
      <c r="B1497" s="249"/>
      <c r="C1497" s="249"/>
      <c r="D1497" s="249"/>
      <c r="E1497" s="249"/>
      <c r="F1497" s="249"/>
      <c r="G1497" s="249"/>
      <c r="H1497" s="249"/>
      <c r="I1497" s="258"/>
      <c r="J1497" s="249"/>
      <c r="K1497" s="249"/>
      <c r="L1497" s="249"/>
      <c r="M1497" s="259"/>
      <c r="N1497" s="249"/>
      <c r="O1497" s="249"/>
      <c r="P1497" s="249"/>
      <c r="Q1497" s="249"/>
      <c r="R1497" s="249"/>
      <c r="S1497" s="249"/>
      <c r="T1497" s="249"/>
      <c r="U1497" s="249"/>
      <c r="V1497" s="249"/>
      <c r="W1497" s="249"/>
      <c r="X1497" s="249"/>
      <c r="Y1497" s="249"/>
      <c r="Z1497" s="249"/>
    </row>
    <row r="1498" spans="1:26" s="152" customFormat="1" x14ac:dyDescent="0.25">
      <c r="A1498" s="249"/>
      <c r="B1498" s="249"/>
      <c r="C1498" s="249"/>
      <c r="D1498" s="249"/>
      <c r="E1498" s="249"/>
      <c r="F1498" s="249"/>
      <c r="G1498" s="249"/>
      <c r="H1498" s="249"/>
      <c r="I1498" s="258"/>
      <c r="J1498" s="249"/>
      <c r="K1498" s="249"/>
      <c r="L1498" s="249"/>
      <c r="M1498" s="259"/>
      <c r="N1498" s="249"/>
      <c r="O1498" s="249"/>
      <c r="P1498" s="249"/>
      <c r="Q1498" s="249"/>
      <c r="R1498" s="249"/>
      <c r="S1498" s="249"/>
      <c r="T1498" s="249"/>
      <c r="U1498" s="249"/>
      <c r="V1498" s="249"/>
      <c r="W1498" s="249"/>
      <c r="X1498" s="249"/>
      <c r="Y1498" s="249"/>
      <c r="Z1498" s="249"/>
    </row>
    <row r="1499" spans="1:26" s="152" customFormat="1" x14ac:dyDescent="0.25">
      <c r="A1499" s="249"/>
      <c r="B1499" s="249"/>
      <c r="C1499" s="249"/>
      <c r="D1499" s="249"/>
      <c r="E1499" s="249"/>
      <c r="F1499" s="249"/>
      <c r="G1499" s="249"/>
      <c r="H1499" s="249"/>
      <c r="I1499" s="258"/>
      <c r="J1499" s="249"/>
      <c r="K1499" s="249"/>
      <c r="L1499" s="249"/>
      <c r="M1499" s="259"/>
      <c r="N1499" s="249"/>
      <c r="O1499" s="249"/>
      <c r="P1499" s="249"/>
      <c r="Q1499" s="249"/>
      <c r="R1499" s="249"/>
      <c r="S1499" s="249"/>
      <c r="T1499" s="249"/>
      <c r="U1499" s="249"/>
      <c r="V1499" s="249"/>
      <c r="W1499" s="249"/>
      <c r="X1499" s="249"/>
      <c r="Y1499" s="249"/>
      <c r="Z1499" s="249"/>
    </row>
    <row r="1500" spans="1:26" s="152" customFormat="1" x14ac:dyDescent="0.25">
      <c r="A1500" s="249"/>
      <c r="B1500" s="249"/>
      <c r="C1500" s="249"/>
      <c r="D1500" s="249"/>
      <c r="E1500" s="249"/>
      <c r="F1500" s="249"/>
      <c r="G1500" s="249"/>
      <c r="H1500" s="249"/>
      <c r="I1500" s="258"/>
      <c r="J1500" s="249"/>
      <c r="K1500" s="249"/>
      <c r="L1500" s="249"/>
      <c r="M1500" s="259"/>
      <c r="N1500" s="249"/>
      <c r="O1500" s="249"/>
      <c r="P1500" s="249"/>
      <c r="Q1500" s="249"/>
      <c r="R1500" s="249"/>
      <c r="S1500" s="249"/>
      <c r="T1500" s="249"/>
      <c r="U1500" s="249"/>
      <c r="V1500" s="249"/>
      <c r="W1500" s="249"/>
      <c r="X1500" s="249"/>
      <c r="Y1500" s="249"/>
      <c r="Z1500" s="249"/>
    </row>
    <row r="1501" spans="1:26" s="152" customFormat="1" x14ac:dyDescent="0.25">
      <c r="A1501" s="249"/>
      <c r="B1501" s="249"/>
      <c r="C1501" s="249"/>
      <c r="D1501" s="249"/>
      <c r="E1501" s="249"/>
      <c r="F1501" s="249"/>
      <c r="G1501" s="249"/>
      <c r="H1501" s="249"/>
      <c r="I1501" s="258"/>
      <c r="J1501" s="249"/>
      <c r="K1501" s="249"/>
      <c r="L1501" s="249"/>
      <c r="M1501" s="259"/>
      <c r="N1501" s="249"/>
      <c r="O1501" s="249"/>
      <c r="P1501" s="249"/>
      <c r="Q1501" s="249"/>
      <c r="R1501" s="249"/>
      <c r="S1501" s="249"/>
      <c r="T1501" s="249"/>
      <c r="U1501" s="249"/>
      <c r="V1501" s="249"/>
      <c r="W1501" s="249"/>
      <c r="X1501" s="249"/>
      <c r="Y1501" s="249"/>
      <c r="Z1501" s="249"/>
    </row>
    <row r="1502" spans="1:26" s="152" customFormat="1" x14ac:dyDescent="0.25">
      <c r="A1502" s="249"/>
      <c r="B1502" s="249"/>
      <c r="C1502" s="249"/>
      <c r="D1502" s="249"/>
      <c r="E1502" s="249"/>
      <c r="F1502" s="249"/>
      <c r="G1502" s="249"/>
      <c r="H1502" s="249"/>
      <c r="I1502" s="258"/>
      <c r="J1502" s="249"/>
      <c r="K1502" s="249"/>
      <c r="L1502" s="249"/>
      <c r="M1502" s="259"/>
      <c r="N1502" s="249"/>
      <c r="O1502" s="249"/>
      <c r="P1502" s="249"/>
      <c r="Q1502" s="249"/>
      <c r="R1502" s="249"/>
      <c r="S1502" s="249"/>
      <c r="T1502" s="249"/>
      <c r="U1502" s="249"/>
      <c r="V1502" s="249"/>
      <c r="W1502" s="249"/>
      <c r="X1502" s="249"/>
      <c r="Y1502" s="249"/>
      <c r="Z1502" s="249"/>
    </row>
    <row r="1503" spans="1:26" s="152" customFormat="1" x14ac:dyDescent="0.25">
      <c r="A1503" s="249"/>
      <c r="B1503" s="249"/>
      <c r="C1503" s="249"/>
      <c r="D1503" s="249"/>
      <c r="E1503" s="249"/>
      <c r="F1503" s="249"/>
      <c r="G1503" s="249"/>
      <c r="H1503" s="249"/>
      <c r="I1503" s="258"/>
      <c r="J1503" s="249"/>
      <c r="K1503" s="249"/>
      <c r="L1503" s="249"/>
      <c r="M1503" s="259"/>
      <c r="N1503" s="249"/>
      <c r="O1503" s="249"/>
      <c r="P1503" s="249"/>
      <c r="Q1503" s="249"/>
      <c r="R1503" s="249"/>
      <c r="S1503" s="249"/>
      <c r="T1503" s="249"/>
      <c r="U1503" s="249"/>
      <c r="V1503" s="249"/>
      <c r="W1503" s="249"/>
      <c r="X1503" s="249"/>
      <c r="Y1503" s="249"/>
      <c r="Z1503" s="249"/>
    </row>
    <row r="1504" spans="1:26" s="152" customFormat="1" x14ac:dyDescent="0.25">
      <c r="A1504" s="249"/>
      <c r="B1504" s="249"/>
      <c r="C1504" s="249"/>
      <c r="D1504" s="249"/>
      <c r="E1504" s="249"/>
      <c r="F1504" s="249"/>
      <c r="G1504" s="249"/>
      <c r="H1504" s="249"/>
      <c r="I1504" s="258"/>
      <c r="J1504" s="249"/>
      <c r="K1504" s="249"/>
      <c r="L1504" s="249"/>
      <c r="M1504" s="259"/>
      <c r="N1504" s="249"/>
      <c r="O1504" s="249"/>
      <c r="P1504" s="249"/>
      <c r="Q1504" s="249"/>
      <c r="R1504" s="249"/>
      <c r="S1504" s="249"/>
      <c r="T1504" s="249"/>
      <c r="U1504" s="249"/>
      <c r="V1504" s="249"/>
      <c r="W1504" s="249"/>
      <c r="X1504" s="249"/>
      <c r="Y1504" s="249"/>
      <c r="Z1504" s="249"/>
    </row>
    <row r="1505" spans="1:26" s="152" customFormat="1" x14ac:dyDescent="0.25">
      <c r="A1505" s="249"/>
      <c r="B1505" s="249"/>
      <c r="C1505" s="249"/>
      <c r="D1505" s="249"/>
      <c r="E1505" s="249"/>
      <c r="F1505" s="249"/>
      <c r="G1505" s="249"/>
      <c r="H1505" s="249"/>
      <c r="I1505" s="258"/>
      <c r="J1505" s="249"/>
      <c r="K1505" s="249"/>
      <c r="L1505" s="249"/>
      <c r="M1505" s="259"/>
      <c r="N1505" s="249"/>
      <c r="O1505" s="249"/>
      <c r="P1505" s="249"/>
      <c r="Q1505" s="249"/>
      <c r="R1505" s="249"/>
      <c r="S1505" s="249"/>
      <c r="T1505" s="249"/>
      <c r="U1505" s="249"/>
      <c r="V1505" s="249"/>
      <c r="W1505" s="249"/>
      <c r="X1505" s="249"/>
      <c r="Y1505" s="249"/>
      <c r="Z1505" s="249"/>
    </row>
    <row r="1506" spans="1:26" s="152" customFormat="1" x14ac:dyDescent="0.25">
      <c r="A1506" s="249"/>
      <c r="B1506" s="249"/>
      <c r="C1506" s="249"/>
      <c r="D1506" s="249"/>
      <c r="E1506" s="249"/>
      <c r="F1506" s="249"/>
      <c r="G1506" s="249"/>
      <c r="H1506" s="249"/>
      <c r="I1506" s="258"/>
      <c r="J1506" s="249"/>
      <c r="K1506" s="249"/>
      <c r="L1506" s="249"/>
      <c r="M1506" s="259"/>
      <c r="N1506" s="249"/>
      <c r="O1506" s="249"/>
      <c r="P1506" s="249"/>
      <c r="Q1506" s="249"/>
      <c r="R1506" s="249"/>
      <c r="S1506" s="249"/>
      <c r="T1506" s="249"/>
      <c r="U1506" s="249"/>
      <c r="V1506" s="249"/>
      <c r="W1506" s="249"/>
      <c r="X1506" s="249"/>
      <c r="Y1506" s="249"/>
      <c r="Z1506" s="249"/>
    </row>
    <row r="1507" spans="1:26" s="152" customFormat="1" x14ac:dyDescent="0.25">
      <c r="A1507" s="249"/>
      <c r="B1507" s="249"/>
      <c r="C1507" s="249"/>
      <c r="D1507" s="249"/>
      <c r="E1507" s="249"/>
      <c r="F1507" s="249"/>
      <c r="G1507" s="249"/>
      <c r="H1507" s="249"/>
      <c r="I1507" s="258"/>
      <c r="J1507" s="249"/>
      <c r="K1507" s="249"/>
      <c r="L1507" s="249"/>
      <c r="M1507" s="259"/>
      <c r="N1507" s="249"/>
      <c r="O1507" s="249"/>
      <c r="P1507" s="249"/>
      <c r="Q1507" s="249"/>
      <c r="R1507" s="249"/>
      <c r="S1507" s="249"/>
      <c r="T1507" s="249"/>
      <c r="U1507" s="249"/>
      <c r="V1507" s="249"/>
      <c r="W1507" s="249"/>
      <c r="X1507" s="249"/>
      <c r="Y1507" s="249"/>
      <c r="Z1507" s="249"/>
    </row>
    <row r="1508" spans="1:26" s="152" customFormat="1" x14ac:dyDescent="0.25">
      <c r="A1508" s="249"/>
      <c r="B1508" s="249"/>
      <c r="C1508" s="249"/>
      <c r="D1508" s="249"/>
      <c r="E1508" s="249"/>
      <c r="F1508" s="249"/>
      <c r="G1508" s="249"/>
      <c r="H1508" s="249"/>
      <c r="I1508" s="258"/>
      <c r="J1508" s="249"/>
      <c r="K1508" s="249"/>
      <c r="L1508" s="249"/>
      <c r="M1508" s="259"/>
      <c r="N1508" s="249"/>
      <c r="O1508" s="249"/>
      <c r="P1508" s="249"/>
      <c r="Q1508" s="249"/>
      <c r="R1508" s="249"/>
      <c r="S1508" s="249"/>
      <c r="T1508" s="249"/>
      <c r="U1508" s="249"/>
      <c r="V1508" s="249"/>
      <c r="W1508" s="249"/>
      <c r="X1508" s="249"/>
      <c r="Y1508" s="249"/>
      <c r="Z1508" s="249"/>
    </row>
    <row r="1509" spans="1:26" s="152" customFormat="1" x14ac:dyDescent="0.25">
      <c r="A1509" s="249"/>
      <c r="B1509" s="249"/>
      <c r="C1509" s="249"/>
      <c r="D1509" s="249"/>
      <c r="E1509" s="249"/>
      <c r="F1509" s="249"/>
      <c r="G1509" s="249"/>
      <c r="H1509" s="249"/>
      <c r="I1509" s="258"/>
      <c r="J1509" s="249"/>
      <c r="K1509" s="249"/>
      <c r="L1509" s="249"/>
      <c r="M1509" s="259"/>
      <c r="N1509" s="249"/>
      <c r="O1509" s="249"/>
      <c r="P1509" s="249"/>
      <c r="Q1509" s="249"/>
      <c r="R1509" s="249"/>
      <c r="S1509" s="249"/>
      <c r="T1509" s="249"/>
      <c r="U1509" s="249"/>
      <c r="V1509" s="249"/>
      <c r="W1509" s="249"/>
      <c r="X1509" s="249"/>
      <c r="Y1509" s="249"/>
      <c r="Z1509" s="249"/>
    </row>
    <row r="1510" spans="1:26" s="152" customFormat="1" x14ac:dyDescent="0.25">
      <c r="A1510" s="249"/>
      <c r="B1510" s="249"/>
      <c r="C1510" s="249"/>
      <c r="D1510" s="249"/>
      <c r="E1510" s="249"/>
      <c r="F1510" s="249"/>
      <c r="G1510" s="249"/>
      <c r="H1510" s="249"/>
      <c r="I1510" s="258"/>
      <c r="J1510" s="249"/>
      <c r="K1510" s="249"/>
      <c r="L1510" s="249"/>
      <c r="M1510" s="259"/>
      <c r="N1510" s="249"/>
      <c r="O1510" s="249"/>
      <c r="P1510" s="249"/>
      <c r="Q1510" s="249"/>
      <c r="R1510" s="249"/>
      <c r="S1510" s="249"/>
      <c r="T1510" s="249"/>
      <c r="U1510" s="249"/>
      <c r="V1510" s="249"/>
      <c r="W1510" s="249"/>
      <c r="X1510" s="249"/>
      <c r="Y1510" s="249"/>
      <c r="Z1510" s="249"/>
    </row>
    <row r="1511" spans="1:26" s="152" customFormat="1" x14ac:dyDescent="0.25">
      <c r="A1511" s="249"/>
      <c r="B1511" s="249"/>
      <c r="C1511" s="249"/>
      <c r="D1511" s="249"/>
      <c r="E1511" s="249"/>
      <c r="F1511" s="249"/>
      <c r="G1511" s="249"/>
      <c r="H1511" s="249"/>
      <c r="I1511" s="258"/>
      <c r="J1511" s="249"/>
      <c r="K1511" s="249"/>
      <c r="L1511" s="249"/>
      <c r="M1511" s="259"/>
      <c r="N1511" s="249"/>
      <c r="O1511" s="249"/>
      <c r="P1511" s="249"/>
      <c r="Q1511" s="249"/>
      <c r="R1511" s="249"/>
      <c r="S1511" s="249"/>
      <c r="T1511" s="249"/>
      <c r="U1511" s="249"/>
      <c r="V1511" s="249"/>
      <c r="W1511" s="249"/>
      <c r="X1511" s="249"/>
      <c r="Y1511" s="249"/>
      <c r="Z1511" s="249"/>
    </row>
    <row r="1512" spans="1:26" s="152" customFormat="1" x14ac:dyDescent="0.25">
      <c r="A1512" s="249"/>
      <c r="B1512" s="249"/>
      <c r="C1512" s="249"/>
      <c r="D1512" s="249"/>
      <c r="E1512" s="249"/>
      <c r="F1512" s="249"/>
      <c r="G1512" s="249"/>
      <c r="H1512" s="249"/>
      <c r="I1512" s="258"/>
      <c r="J1512" s="249"/>
      <c r="K1512" s="249"/>
      <c r="L1512" s="249"/>
      <c r="M1512" s="259"/>
      <c r="N1512" s="249"/>
      <c r="O1512" s="249"/>
      <c r="P1512" s="249"/>
      <c r="Q1512" s="249"/>
      <c r="R1512" s="249"/>
      <c r="S1512" s="249"/>
      <c r="T1512" s="249"/>
      <c r="U1512" s="249"/>
      <c r="V1512" s="249"/>
      <c r="W1512" s="249"/>
      <c r="X1512" s="249"/>
      <c r="Y1512" s="249"/>
      <c r="Z1512" s="249"/>
    </row>
    <row r="1513" spans="1:26" s="152" customFormat="1" x14ac:dyDescent="0.25">
      <c r="A1513" s="249"/>
      <c r="B1513" s="249"/>
      <c r="C1513" s="249"/>
      <c r="D1513" s="249"/>
      <c r="E1513" s="249"/>
      <c r="F1513" s="249"/>
      <c r="G1513" s="249"/>
      <c r="H1513" s="249"/>
      <c r="I1513" s="258"/>
      <c r="J1513" s="249"/>
      <c r="K1513" s="249"/>
      <c r="L1513" s="249"/>
      <c r="M1513" s="259"/>
      <c r="N1513" s="249"/>
      <c r="O1513" s="249"/>
      <c r="P1513" s="249"/>
      <c r="Q1513" s="249"/>
      <c r="R1513" s="249"/>
      <c r="S1513" s="249"/>
      <c r="T1513" s="249"/>
      <c r="U1513" s="249"/>
      <c r="V1513" s="249"/>
      <c r="W1513" s="249"/>
      <c r="X1513" s="249"/>
      <c r="Y1513" s="249"/>
      <c r="Z1513" s="249"/>
    </row>
    <row r="1514" spans="1:26" s="152" customFormat="1" x14ac:dyDescent="0.25">
      <c r="A1514" s="249"/>
      <c r="B1514" s="249"/>
      <c r="C1514" s="249"/>
      <c r="D1514" s="249"/>
      <c r="E1514" s="249"/>
      <c r="F1514" s="249"/>
      <c r="G1514" s="249"/>
      <c r="H1514" s="249"/>
      <c r="I1514" s="258"/>
      <c r="J1514" s="249"/>
      <c r="K1514" s="249"/>
      <c r="L1514" s="249"/>
      <c r="M1514" s="259"/>
      <c r="N1514" s="249"/>
      <c r="O1514" s="249"/>
      <c r="P1514" s="249"/>
      <c r="Q1514" s="249"/>
      <c r="R1514" s="249"/>
      <c r="S1514" s="249"/>
      <c r="T1514" s="249"/>
      <c r="U1514" s="249"/>
      <c r="V1514" s="249"/>
      <c r="W1514" s="249"/>
      <c r="X1514" s="249"/>
      <c r="Y1514" s="249"/>
      <c r="Z1514" s="249"/>
    </row>
    <row r="1515" spans="1:26" s="152" customFormat="1" x14ac:dyDescent="0.25">
      <c r="A1515" s="249"/>
      <c r="B1515" s="249"/>
      <c r="C1515" s="249"/>
      <c r="D1515" s="249"/>
      <c r="E1515" s="249"/>
      <c r="F1515" s="249"/>
      <c r="G1515" s="249"/>
      <c r="H1515" s="249"/>
      <c r="I1515" s="258"/>
      <c r="J1515" s="249"/>
      <c r="K1515" s="249"/>
      <c r="L1515" s="249"/>
      <c r="M1515" s="259"/>
      <c r="N1515" s="249"/>
      <c r="O1515" s="249"/>
      <c r="P1515" s="249"/>
      <c r="Q1515" s="249"/>
      <c r="R1515" s="249"/>
      <c r="S1515" s="249"/>
      <c r="T1515" s="249"/>
      <c r="U1515" s="249"/>
      <c r="V1515" s="249"/>
      <c r="W1515" s="249"/>
      <c r="X1515" s="249"/>
      <c r="Y1515" s="249"/>
      <c r="Z1515" s="249"/>
    </row>
    <row r="1516" spans="1:26" s="152" customFormat="1" x14ac:dyDescent="0.25">
      <c r="A1516" s="249"/>
      <c r="B1516" s="249"/>
      <c r="C1516" s="249"/>
      <c r="D1516" s="249"/>
      <c r="E1516" s="249"/>
      <c r="F1516" s="249"/>
      <c r="G1516" s="249"/>
      <c r="H1516" s="249"/>
      <c r="I1516" s="258"/>
      <c r="J1516" s="249"/>
      <c r="K1516" s="249"/>
      <c r="L1516" s="249"/>
      <c r="M1516" s="259"/>
      <c r="N1516" s="249"/>
      <c r="O1516" s="249"/>
      <c r="P1516" s="249"/>
      <c r="Q1516" s="249"/>
      <c r="R1516" s="249"/>
      <c r="S1516" s="249"/>
      <c r="T1516" s="249"/>
      <c r="U1516" s="249"/>
      <c r="V1516" s="249"/>
      <c r="W1516" s="249"/>
      <c r="X1516" s="249"/>
      <c r="Y1516" s="249"/>
      <c r="Z1516" s="249"/>
    </row>
    <row r="1517" spans="1:26" s="152" customFormat="1" x14ac:dyDescent="0.25">
      <c r="A1517" s="249"/>
      <c r="B1517" s="249"/>
      <c r="C1517" s="249"/>
      <c r="D1517" s="249"/>
      <c r="E1517" s="249"/>
      <c r="F1517" s="249"/>
      <c r="G1517" s="249"/>
      <c r="H1517" s="249"/>
      <c r="I1517" s="258"/>
      <c r="J1517" s="249"/>
      <c r="K1517" s="249"/>
      <c r="L1517" s="249"/>
      <c r="M1517" s="259"/>
      <c r="N1517" s="249"/>
      <c r="O1517" s="249"/>
      <c r="P1517" s="249"/>
      <c r="Q1517" s="249"/>
      <c r="R1517" s="249"/>
      <c r="S1517" s="249"/>
      <c r="T1517" s="249"/>
      <c r="U1517" s="249"/>
      <c r="V1517" s="249"/>
      <c r="W1517" s="249"/>
      <c r="X1517" s="249"/>
      <c r="Y1517" s="249"/>
      <c r="Z1517" s="249"/>
    </row>
    <row r="1518" spans="1:26" s="152" customFormat="1" x14ac:dyDescent="0.25">
      <c r="A1518" s="249"/>
      <c r="B1518" s="249"/>
      <c r="C1518" s="249"/>
      <c r="D1518" s="249"/>
      <c r="E1518" s="249"/>
      <c r="F1518" s="249"/>
      <c r="G1518" s="249"/>
      <c r="H1518" s="249"/>
      <c r="I1518" s="258"/>
      <c r="J1518" s="249"/>
      <c r="K1518" s="249"/>
      <c r="L1518" s="249"/>
      <c r="M1518" s="259"/>
      <c r="N1518" s="249"/>
      <c r="O1518" s="249"/>
      <c r="P1518" s="249"/>
      <c r="Q1518" s="249"/>
      <c r="R1518" s="249"/>
      <c r="S1518" s="249"/>
      <c r="T1518" s="249"/>
      <c r="U1518" s="249"/>
      <c r="V1518" s="249"/>
      <c r="W1518" s="249"/>
      <c r="X1518" s="249"/>
      <c r="Y1518" s="249"/>
      <c r="Z1518" s="249"/>
    </row>
    <row r="1519" spans="1:26" s="152" customFormat="1" x14ac:dyDescent="0.25">
      <c r="A1519" s="249"/>
      <c r="B1519" s="249"/>
      <c r="C1519" s="249"/>
      <c r="D1519" s="249"/>
      <c r="E1519" s="249"/>
      <c r="F1519" s="249"/>
      <c r="G1519" s="249"/>
      <c r="H1519" s="249"/>
      <c r="I1519" s="258"/>
      <c r="J1519" s="249"/>
      <c r="K1519" s="249"/>
      <c r="L1519" s="249"/>
      <c r="M1519" s="259"/>
      <c r="N1519" s="249"/>
      <c r="O1519" s="249"/>
      <c r="P1519" s="249"/>
      <c r="Q1519" s="249"/>
      <c r="R1519" s="249"/>
      <c r="S1519" s="249"/>
      <c r="T1519" s="249"/>
      <c r="U1519" s="249"/>
      <c r="V1519" s="249"/>
      <c r="W1519" s="249"/>
      <c r="X1519" s="249"/>
      <c r="Y1519" s="249"/>
      <c r="Z1519" s="249"/>
    </row>
    <row r="1520" spans="1:26" s="152" customFormat="1" x14ac:dyDescent="0.25">
      <c r="A1520" s="249"/>
      <c r="B1520" s="249"/>
      <c r="C1520" s="249"/>
      <c r="D1520" s="249"/>
      <c r="E1520" s="249"/>
      <c r="F1520" s="249"/>
      <c r="G1520" s="249"/>
      <c r="H1520" s="249"/>
      <c r="I1520" s="258"/>
      <c r="J1520" s="249"/>
      <c r="K1520" s="249"/>
      <c r="L1520" s="249"/>
      <c r="M1520" s="259"/>
      <c r="N1520" s="249"/>
      <c r="O1520" s="249"/>
      <c r="P1520" s="249"/>
      <c r="Q1520" s="249"/>
      <c r="R1520" s="249"/>
      <c r="S1520" s="249"/>
      <c r="T1520" s="249"/>
      <c r="U1520" s="249"/>
      <c r="V1520" s="249"/>
      <c r="W1520" s="249"/>
      <c r="X1520" s="249"/>
      <c r="Y1520" s="249"/>
      <c r="Z1520" s="249"/>
    </row>
    <row r="1521" spans="1:26" s="152" customFormat="1" x14ac:dyDescent="0.25">
      <c r="A1521" s="249"/>
      <c r="B1521" s="249"/>
      <c r="C1521" s="249"/>
      <c r="D1521" s="249"/>
      <c r="E1521" s="249"/>
      <c r="F1521" s="249"/>
      <c r="G1521" s="249"/>
      <c r="H1521" s="249"/>
      <c r="I1521" s="258"/>
      <c r="J1521" s="249"/>
      <c r="K1521" s="249"/>
      <c r="L1521" s="249"/>
      <c r="M1521" s="259"/>
      <c r="N1521" s="249"/>
      <c r="O1521" s="249"/>
      <c r="P1521" s="249"/>
      <c r="Q1521" s="249"/>
      <c r="R1521" s="249"/>
      <c r="S1521" s="249"/>
      <c r="T1521" s="249"/>
      <c r="U1521" s="249"/>
      <c r="V1521" s="249"/>
      <c r="W1521" s="249"/>
      <c r="X1521" s="249"/>
      <c r="Y1521" s="249"/>
      <c r="Z1521" s="249"/>
    </row>
    <row r="1522" spans="1:26" s="152" customFormat="1" x14ac:dyDescent="0.25">
      <c r="A1522" s="249"/>
      <c r="B1522" s="249"/>
      <c r="C1522" s="249"/>
      <c r="D1522" s="249"/>
      <c r="E1522" s="249"/>
      <c r="F1522" s="249"/>
      <c r="G1522" s="249"/>
      <c r="H1522" s="249"/>
      <c r="I1522" s="258"/>
      <c r="J1522" s="249"/>
      <c r="K1522" s="249"/>
      <c r="L1522" s="249"/>
      <c r="M1522" s="259"/>
      <c r="N1522" s="249"/>
      <c r="O1522" s="249"/>
      <c r="P1522" s="249"/>
      <c r="Q1522" s="249"/>
      <c r="R1522" s="249"/>
      <c r="S1522" s="249"/>
      <c r="T1522" s="249"/>
      <c r="U1522" s="249"/>
      <c r="V1522" s="249"/>
      <c r="W1522" s="249"/>
      <c r="X1522" s="249"/>
      <c r="Y1522" s="249"/>
      <c r="Z1522" s="249"/>
    </row>
    <row r="1523" spans="1:26" s="152" customFormat="1" x14ac:dyDescent="0.25">
      <c r="A1523" s="249"/>
      <c r="B1523" s="249"/>
      <c r="C1523" s="249"/>
      <c r="D1523" s="249"/>
      <c r="E1523" s="249"/>
      <c r="F1523" s="249"/>
      <c r="G1523" s="249"/>
      <c r="H1523" s="249"/>
      <c r="I1523" s="258"/>
      <c r="J1523" s="249"/>
      <c r="K1523" s="249"/>
      <c r="L1523" s="249"/>
      <c r="M1523" s="259"/>
      <c r="N1523" s="249"/>
      <c r="O1523" s="249"/>
      <c r="P1523" s="249"/>
      <c r="Q1523" s="249"/>
      <c r="R1523" s="249"/>
      <c r="S1523" s="249"/>
      <c r="T1523" s="249"/>
      <c r="U1523" s="249"/>
      <c r="V1523" s="249"/>
      <c r="W1523" s="249"/>
      <c r="X1523" s="249"/>
      <c r="Y1523" s="249"/>
      <c r="Z1523" s="249"/>
    </row>
    <row r="1524" spans="1:26" s="152" customFormat="1" x14ac:dyDescent="0.25">
      <c r="A1524" s="249"/>
      <c r="B1524" s="249"/>
      <c r="C1524" s="249"/>
      <c r="D1524" s="249"/>
      <c r="E1524" s="249"/>
      <c r="F1524" s="249"/>
      <c r="G1524" s="249"/>
      <c r="H1524" s="249"/>
      <c r="I1524" s="258"/>
      <c r="J1524" s="249"/>
      <c r="K1524" s="249"/>
      <c r="L1524" s="249"/>
      <c r="M1524" s="259"/>
      <c r="N1524" s="249"/>
      <c r="O1524" s="249"/>
      <c r="P1524" s="249"/>
      <c r="Q1524" s="249"/>
      <c r="R1524" s="249"/>
      <c r="S1524" s="249"/>
      <c r="T1524" s="249"/>
      <c r="U1524" s="249"/>
      <c r="V1524" s="249"/>
      <c r="W1524" s="249"/>
      <c r="X1524" s="249"/>
      <c r="Y1524" s="249"/>
      <c r="Z1524" s="249"/>
    </row>
    <row r="1525" spans="1:26" s="152" customFormat="1" x14ac:dyDescent="0.25">
      <c r="A1525" s="249"/>
      <c r="B1525" s="249"/>
      <c r="C1525" s="249"/>
      <c r="D1525" s="249"/>
      <c r="E1525" s="249"/>
      <c r="F1525" s="249"/>
      <c r="G1525" s="249"/>
      <c r="H1525" s="249"/>
      <c r="I1525" s="258"/>
      <c r="J1525" s="249"/>
      <c r="K1525" s="249"/>
      <c r="L1525" s="249"/>
      <c r="M1525" s="259"/>
      <c r="N1525" s="249"/>
      <c r="O1525" s="249"/>
      <c r="P1525" s="249"/>
      <c r="Q1525" s="249"/>
      <c r="R1525" s="249"/>
      <c r="S1525" s="249"/>
      <c r="T1525" s="249"/>
      <c r="U1525" s="249"/>
      <c r="V1525" s="249"/>
      <c r="W1525" s="249"/>
      <c r="X1525" s="249"/>
      <c r="Y1525" s="249"/>
      <c r="Z1525" s="249"/>
    </row>
    <row r="1526" spans="1:26" s="152" customFormat="1" x14ac:dyDescent="0.25">
      <c r="A1526" s="249"/>
      <c r="B1526" s="249"/>
      <c r="C1526" s="249"/>
      <c r="D1526" s="249"/>
      <c r="E1526" s="249"/>
      <c r="F1526" s="249"/>
      <c r="G1526" s="249"/>
      <c r="H1526" s="249"/>
      <c r="I1526" s="258"/>
      <c r="J1526" s="249"/>
      <c r="K1526" s="249"/>
      <c r="L1526" s="249"/>
      <c r="M1526" s="259"/>
      <c r="N1526" s="249"/>
      <c r="O1526" s="249"/>
      <c r="P1526" s="249"/>
      <c r="Q1526" s="249"/>
      <c r="R1526" s="249"/>
      <c r="S1526" s="249"/>
      <c r="T1526" s="249"/>
      <c r="U1526" s="249"/>
      <c r="V1526" s="249"/>
      <c r="W1526" s="249"/>
      <c r="X1526" s="249"/>
      <c r="Y1526" s="249"/>
      <c r="Z1526" s="249"/>
    </row>
    <row r="1527" spans="1:26" s="152" customFormat="1" x14ac:dyDescent="0.25">
      <c r="A1527" s="249"/>
      <c r="B1527" s="249"/>
      <c r="C1527" s="249"/>
      <c r="D1527" s="249"/>
      <c r="E1527" s="249"/>
      <c r="F1527" s="249"/>
      <c r="G1527" s="249"/>
      <c r="H1527" s="249"/>
      <c r="I1527" s="258"/>
      <c r="J1527" s="249"/>
      <c r="K1527" s="249"/>
      <c r="L1527" s="249"/>
      <c r="M1527" s="259"/>
      <c r="N1527" s="249"/>
      <c r="O1527" s="249"/>
      <c r="P1527" s="249"/>
      <c r="Q1527" s="249"/>
      <c r="R1527" s="249"/>
      <c r="S1527" s="249"/>
      <c r="T1527" s="249"/>
      <c r="U1527" s="249"/>
      <c r="V1527" s="249"/>
      <c r="W1527" s="249"/>
      <c r="X1527" s="249"/>
      <c r="Y1527" s="249"/>
      <c r="Z1527" s="249"/>
    </row>
    <row r="1528" spans="1:26" s="152" customFormat="1" x14ac:dyDescent="0.25">
      <c r="A1528" s="249"/>
      <c r="B1528" s="249"/>
      <c r="C1528" s="249"/>
      <c r="D1528" s="249"/>
      <c r="E1528" s="249"/>
      <c r="F1528" s="249"/>
      <c r="G1528" s="249"/>
      <c r="H1528" s="249"/>
      <c r="I1528" s="258"/>
      <c r="J1528" s="249"/>
      <c r="K1528" s="249"/>
      <c r="L1528" s="249"/>
      <c r="M1528" s="259"/>
      <c r="N1528" s="249"/>
      <c r="O1528" s="249"/>
      <c r="P1528" s="249"/>
      <c r="Q1528" s="249"/>
      <c r="R1528" s="249"/>
      <c r="S1528" s="249"/>
      <c r="T1528" s="249"/>
      <c r="U1528" s="249"/>
      <c r="V1528" s="249"/>
      <c r="W1528" s="249"/>
      <c r="X1528" s="249"/>
      <c r="Y1528" s="249"/>
      <c r="Z1528" s="249"/>
    </row>
    <row r="1529" spans="1:26" s="152" customFormat="1" x14ac:dyDescent="0.25">
      <c r="A1529" s="249"/>
      <c r="B1529" s="249"/>
      <c r="C1529" s="249"/>
      <c r="D1529" s="249"/>
      <c r="E1529" s="249"/>
      <c r="F1529" s="249"/>
      <c r="G1529" s="249"/>
      <c r="H1529" s="249"/>
      <c r="I1529" s="258"/>
      <c r="J1529" s="249"/>
      <c r="K1529" s="249"/>
      <c r="L1529" s="249"/>
      <c r="M1529" s="259"/>
      <c r="N1529" s="249"/>
      <c r="O1529" s="249"/>
      <c r="P1529" s="249"/>
      <c r="Q1529" s="249"/>
      <c r="R1529" s="249"/>
      <c r="S1529" s="249"/>
      <c r="T1529" s="249"/>
      <c r="U1529" s="249"/>
      <c r="V1529" s="249"/>
      <c r="W1529" s="249"/>
      <c r="X1529" s="249"/>
      <c r="Y1529" s="249"/>
      <c r="Z1529" s="249"/>
    </row>
    <row r="1530" spans="1:26" s="152" customFormat="1" x14ac:dyDescent="0.25">
      <c r="A1530" s="249"/>
      <c r="B1530" s="249"/>
      <c r="C1530" s="249"/>
      <c r="D1530" s="249"/>
      <c r="E1530" s="249"/>
      <c r="F1530" s="249"/>
      <c r="G1530" s="249"/>
      <c r="H1530" s="249"/>
      <c r="I1530" s="258"/>
      <c r="J1530" s="249"/>
      <c r="K1530" s="249"/>
      <c r="L1530" s="249"/>
      <c r="M1530" s="259"/>
      <c r="N1530" s="249"/>
      <c r="O1530" s="249"/>
      <c r="P1530" s="249"/>
      <c r="Q1530" s="249"/>
      <c r="R1530" s="249"/>
      <c r="S1530" s="249"/>
      <c r="T1530" s="249"/>
      <c r="U1530" s="249"/>
      <c r="V1530" s="249"/>
      <c r="W1530" s="249"/>
      <c r="X1530" s="249"/>
      <c r="Y1530" s="249"/>
      <c r="Z1530" s="249"/>
    </row>
    <row r="1531" spans="1:26" s="152" customFormat="1" x14ac:dyDescent="0.25">
      <c r="A1531" s="249"/>
      <c r="B1531" s="249"/>
      <c r="C1531" s="249"/>
      <c r="D1531" s="249"/>
      <c r="E1531" s="249"/>
      <c r="F1531" s="249"/>
      <c r="G1531" s="249"/>
      <c r="H1531" s="249"/>
      <c r="I1531" s="258"/>
      <c r="J1531" s="249"/>
      <c r="K1531" s="249"/>
      <c r="L1531" s="249"/>
      <c r="M1531" s="259"/>
      <c r="N1531" s="249"/>
      <c r="O1531" s="249"/>
      <c r="P1531" s="249"/>
      <c r="Q1531" s="249"/>
      <c r="R1531" s="249"/>
      <c r="S1531" s="249"/>
      <c r="T1531" s="249"/>
      <c r="U1531" s="249"/>
      <c r="V1531" s="249"/>
      <c r="W1531" s="249"/>
      <c r="X1531" s="249"/>
      <c r="Y1531" s="249"/>
      <c r="Z1531" s="249"/>
    </row>
    <row r="1532" spans="1:26" s="152" customFormat="1" x14ac:dyDescent="0.25">
      <c r="A1532" s="249"/>
      <c r="B1532" s="249"/>
      <c r="C1532" s="249"/>
      <c r="D1532" s="249"/>
      <c r="E1532" s="249"/>
      <c r="F1532" s="249"/>
      <c r="G1532" s="249"/>
      <c r="H1532" s="249"/>
      <c r="I1532" s="258"/>
      <c r="J1532" s="249"/>
      <c r="K1532" s="249"/>
      <c r="L1532" s="249"/>
      <c r="M1532" s="259"/>
      <c r="N1532" s="249"/>
      <c r="O1532" s="249"/>
      <c r="P1532" s="249"/>
      <c r="Q1532" s="249"/>
      <c r="R1532" s="249"/>
      <c r="S1532" s="249"/>
      <c r="T1532" s="249"/>
      <c r="U1532" s="249"/>
      <c r="V1532" s="249"/>
      <c r="W1532" s="249"/>
      <c r="X1532" s="249"/>
      <c r="Y1532" s="249"/>
      <c r="Z1532" s="249"/>
    </row>
    <row r="1533" spans="1:26" s="152" customFormat="1" x14ac:dyDescent="0.25">
      <c r="A1533" s="249"/>
      <c r="B1533" s="249"/>
      <c r="C1533" s="249"/>
      <c r="D1533" s="249"/>
      <c r="E1533" s="249"/>
      <c r="F1533" s="249"/>
      <c r="G1533" s="249"/>
      <c r="H1533" s="249"/>
      <c r="I1533" s="258"/>
      <c r="J1533" s="249"/>
      <c r="K1533" s="249"/>
      <c r="L1533" s="249"/>
      <c r="M1533" s="259"/>
      <c r="N1533" s="249"/>
      <c r="O1533" s="249"/>
      <c r="P1533" s="249"/>
      <c r="Q1533" s="249"/>
      <c r="R1533" s="249"/>
      <c r="S1533" s="249"/>
      <c r="T1533" s="249"/>
      <c r="U1533" s="249"/>
      <c r="V1533" s="249"/>
      <c r="W1533" s="249"/>
      <c r="X1533" s="249"/>
      <c r="Y1533" s="249"/>
      <c r="Z1533" s="249"/>
    </row>
    <row r="1534" spans="1:26" s="152" customFormat="1" x14ac:dyDescent="0.25">
      <c r="A1534" s="249"/>
      <c r="B1534" s="249"/>
      <c r="C1534" s="249"/>
      <c r="D1534" s="249"/>
      <c r="E1534" s="249"/>
      <c r="F1534" s="249"/>
      <c r="G1534" s="249"/>
      <c r="H1534" s="249"/>
      <c r="I1534" s="258"/>
      <c r="J1534" s="249"/>
      <c r="K1534" s="249"/>
      <c r="L1534" s="249"/>
      <c r="M1534" s="259"/>
      <c r="N1534" s="249"/>
      <c r="O1534" s="249"/>
      <c r="P1534" s="249"/>
      <c r="Q1534" s="249"/>
      <c r="R1534" s="249"/>
      <c r="S1534" s="249"/>
      <c r="T1534" s="249"/>
      <c r="U1534" s="249"/>
      <c r="V1534" s="249"/>
      <c r="W1534" s="249"/>
      <c r="X1534" s="249"/>
      <c r="Y1534" s="249"/>
      <c r="Z1534" s="249"/>
    </row>
    <row r="1535" spans="1:26" s="152" customFormat="1" x14ac:dyDescent="0.25">
      <c r="A1535" s="249"/>
      <c r="B1535" s="249"/>
      <c r="C1535" s="249"/>
      <c r="D1535" s="249"/>
      <c r="E1535" s="249"/>
      <c r="F1535" s="249"/>
      <c r="G1535" s="249"/>
      <c r="H1535" s="249"/>
      <c r="I1535" s="258"/>
      <c r="J1535" s="249"/>
      <c r="K1535" s="249"/>
      <c r="L1535" s="249"/>
      <c r="M1535" s="259"/>
      <c r="N1535" s="249"/>
      <c r="O1535" s="249"/>
      <c r="P1535" s="249"/>
      <c r="Q1535" s="249"/>
      <c r="R1535" s="249"/>
      <c r="S1535" s="249"/>
      <c r="T1535" s="249"/>
      <c r="U1535" s="249"/>
      <c r="V1535" s="249"/>
      <c r="W1535" s="249"/>
      <c r="X1535" s="249"/>
      <c r="Y1535" s="249"/>
      <c r="Z1535" s="249"/>
    </row>
    <row r="1536" spans="1:26" s="152" customFormat="1" x14ac:dyDescent="0.25">
      <c r="A1536" s="249"/>
      <c r="B1536" s="249"/>
      <c r="C1536" s="249"/>
      <c r="D1536" s="249"/>
      <c r="E1536" s="249"/>
      <c r="F1536" s="249"/>
      <c r="G1536" s="249"/>
      <c r="H1536" s="249"/>
      <c r="I1536" s="258"/>
      <c r="J1536" s="249"/>
      <c r="K1536" s="249"/>
      <c r="L1536" s="249"/>
      <c r="M1536" s="259"/>
      <c r="N1536" s="249"/>
      <c r="O1536" s="249"/>
      <c r="P1536" s="249"/>
      <c r="Q1536" s="249"/>
      <c r="R1536" s="249"/>
      <c r="S1536" s="249"/>
      <c r="T1536" s="249"/>
      <c r="U1536" s="249"/>
      <c r="V1536" s="249"/>
      <c r="W1536" s="249"/>
      <c r="X1536" s="249"/>
      <c r="Y1536" s="249"/>
      <c r="Z1536" s="249"/>
    </row>
    <row r="1537" spans="1:26" s="152" customFormat="1" x14ac:dyDescent="0.25">
      <c r="A1537" s="249"/>
      <c r="B1537" s="249"/>
      <c r="C1537" s="249"/>
      <c r="D1537" s="249"/>
      <c r="E1537" s="249"/>
      <c r="F1537" s="249"/>
      <c r="G1537" s="249"/>
      <c r="H1537" s="249"/>
      <c r="I1537" s="258"/>
      <c r="J1537" s="249"/>
      <c r="K1537" s="249"/>
      <c r="L1537" s="249"/>
      <c r="M1537" s="259"/>
      <c r="N1537" s="249"/>
      <c r="O1537" s="249"/>
      <c r="P1537" s="249"/>
      <c r="Q1537" s="249"/>
      <c r="R1537" s="249"/>
      <c r="S1537" s="249"/>
      <c r="T1537" s="249"/>
      <c r="U1537" s="249"/>
      <c r="V1537" s="249"/>
      <c r="W1537" s="249"/>
      <c r="X1537" s="249"/>
      <c r="Y1537" s="249"/>
      <c r="Z1537" s="249"/>
    </row>
    <row r="1538" spans="1:26" s="152" customFormat="1" x14ac:dyDescent="0.25">
      <c r="A1538" s="249"/>
      <c r="B1538" s="249"/>
      <c r="C1538" s="249"/>
      <c r="D1538" s="249"/>
      <c r="E1538" s="249"/>
      <c r="F1538" s="249"/>
      <c r="G1538" s="249"/>
      <c r="H1538" s="249"/>
      <c r="I1538" s="258"/>
      <c r="J1538" s="249"/>
      <c r="K1538" s="249"/>
      <c r="L1538" s="249"/>
      <c r="M1538" s="259"/>
      <c r="N1538" s="249"/>
      <c r="O1538" s="249"/>
      <c r="P1538" s="249"/>
      <c r="Q1538" s="249"/>
      <c r="R1538" s="249"/>
      <c r="S1538" s="249"/>
      <c r="T1538" s="249"/>
      <c r="U1538" s="249"/>
      <c r="V1538" s="249"/>
      <c r="W1538" s="249"/>
      <c r="X1538" s="249"/>
      <c r="Y1538" s="249"/>
      <c r="Z1538" s="249"/>
    </row>
    <row r="1539" spans="1:26" s="152" customFormat="1" x14ac:dyDescent="0.25">
      <c r="A1539" s="249"/>
      <c r="B1539" s="249"/>
      <c r="C1539" s="249"/>
      <c r="D1539" s="249"/>
      <c r="E1539" s="249"/>
      <c r="F1539" s="249"/>
      <c r="G1539" s="249"/>
      <c r="H1539" s="249"/>
      <c r="I1539" s="258"/>
      <c r="J1539" s="249"/>
      <c r="K1539" s="249"/>
      <c r="L1539" s="249"/>
      <c r="M1539" s="259"/>
      <c r="N1539" s="249"/>
      <c r="O1539" s="249"/>
      <c r="P1539" s="249"/>
      <c r="Q1539" s="249"/>
      <c r="R1539" s="249"/>
      <c r="S1539" s="249"/>
      <c r="T1539" s="249"/>
      <c r="U1539" s="249"/>
      <c r="V1539" s="249"/>
      <c r="W1539" s="249"/>
      <c r="X1539" s="249"/>
      <c r="Y1539" s="249"/>
      <c r="Z1539" s="249"/>
    </row>
    <row r="1540" spans="1:26" s="152" customFormat="1" x14ac:dyDescent="0.25">
      <c r="A1540" s="249"/>
      <c r="B1540" s="249"/>
      <c r="C1540" s="249"/>
      <c r="D1540" s="249"/>
      <c r="E1540" s="249"/>
      <c r="F1540" s="249"/>
      <c r="G1540" s="249"/>
      <c r="H1540" s="249"/>
      <c r="I1540" s="258"/>
      <c r="J1540" s="249"/>
      <c r="K1540" s="249"/>
      <c r="L1540" s="249"/>
      <c r="M1540" s="259"/>
      <c r="N1540" s="249"/>
      <c r="O1540" s="249"/>
      <c r="P1540" s="249"/>
      <c r="Q1540" s="249"/>
      <c r="R1540" s="249"/>
      <c r="S1540" s="249"/>
      <c r="T1540" s="249"/>
      <c r="U1540" s="249"/>
      <c r="V1540" s="249"/>
      <c r="W1540" s="249"/>
      <c r="X1540" s="249"/>
      <c r="Y1540" s="249"/>
      <c r="Z1540" s="249"/>
    </row>
    <row r="1541" spans="1:26" s="152" customFormat="1" x14ac:dyDescent="0.25">
      <c r="A1541" s="249"/>
      <c r="B1541" s="249"/>
      <c r="C1541" s="249"/>
      <c r="D1541" s="249"/>
      <c r="E1541" s="249"/>
      <c r="F1541" s="249"/>
      <c r="G1541" s="249"/>
      <c r="H1541" s="249"/>
      <c r="I1541" s="258"/>
      <c r="J1541" s="249"/>
      <c r="K1541" s="249"/>
      <c r="L1541" s="249"/>
      <c r="M1541" s="259"/>
      <c r="N1541" s="249"/>
      <c r="O1541" s="249"/>
      <c r="P1541" s="249"/>
      <c r="Q1541" s="249"/>
      <c r="R1541" s="249"/>
      <c r="S1541" s="249"/>
      <c r="T1541" s="249"/>
      <c r="U1541" s="249"/>
      <c r="V1541" s="249"/>
      <c r="W1541" s="249"/>
      <c r="X1541" s="249"/>
      <c r="Y1541" s="249"/>
      <c r="Z1541" s="249"/>
    </row>
    <row r="1542" spans="1:26" s="152" customFormat="1" x14ac:dyDescent="0.25">
      <c r="A1542" s="249"/>
      <c r="B1542" s="249"/>
      <c r="C1542" s="249"/>
      <c r="D1542" s="249"/>
      <c r="E1542" s="249"/>
      <c r="F1542" s="249"/>
      <c r="G1542" s="249"/>
      <c r="H1542" s="249"/>
      <c r="I1542" s="258"/>
      <c r="J1542" s="249"/>
      <c r="K1542" s="249"/>
      <c r="L1542" s="249"/>
      <c r="M1542" s="259"/>
      <c r="N1542" s="249"/>
      <c r="O1542" s="249"/>
      <c r="P1542" s="249"/>
      <c r="Q1542" s="249"/>
      <c r="R1542" s="249"/>
      <c r="S1542" s="249"/>
      <c r="T1542" s="249"/>
      <c r="U1542" s="249"/>
      <c r="V1542" s="249"/>
      <c r="W1542" s="249"/>
      <c r="X1542" s="249"/>
      <c r="Y1542" s="249"/>
      <c r="Z1542" s="249"/>
    </row>
    <row r="1543" spans="1:26" s="152" customFormat="1" x14ac:dyDescent="0.25">
      <c r="A1543" s="249"/>
      <c r="B1543" s="249"/>
      <c r="C1543" s="249"/>
      <c r="D1543" s="249"/>
      <c r="E1543" s="249"/>
      <c r="F1543" s="249"/>
      <c r="G1543" s="249"/>
      <c r="H1543" s="249"/>
      <c r="I1543" s="258"/>
      <c r="J1543" s="249"/>
      <c r="K1543" s="249"/>
      <c r="L1543" s="249"/>
      <c r="M1543" s="259"/>
      <c r="N1543" s="249"/>
      <c r="O1543" s="249"/>
      <c r="P1543" s="249"/>
      <c r="Q1543" s="249"/>
      <c r="R1543" s="249"/>
      <c r="S1543" s="249"/>
      <c r="T1543" s="249"/>
      <c r="U1543" s="249"/>
      <c r="V1543" s="249"/>
      <c r="W1543" s="249"/>
      <c r="X1543" s="249"/>
      <c r="Y1543" s="249"/>
      <c r="Z1543" s="249"/>
    </row>
    <row r="1544" spans="1:26" s="152" customFormat="1" x14ac:dyDescent="0.25">
      <c r="A1544" s="249"/>
      <c r="B1544" s="249"/>
      <c r="C1544" s="249"/>
      <c r="D1544" s="249"/>
      <c r="E1544" s="249"/>
      <c r="F1544" s="249"/>
      <c r="G1544" s="249"/>
      <c r="H1544" s="249"/>
      <c r="I1544" s="258"/>
      <c r="J1544" s="249"/>
      <c r="K1544" s="249"/>
      <c r="L1544" s="249"/>
      <c r="M1544" s="259"/>
      <c r="N1544" s="249"/>
      <c r="O1544" s="249"/>
      <c r="P1544" s="249"/>
      <c r="Q1544" s="249"/>
      <c r="R1544" s="249"/>
      <c r="S1544" s="249"/>
      <c r="T1544" s="249"/>
      <c r="U1544" s="249"/>
      <c r="V1544" s="249"/>
      <c r="W1544" s="249"/>
      <c r="X1544" s="249"/>
      <c r="Y1544" s="249"/>
      <c r="Z1544" s="249"/>
    </row>
    <row r="1545" spans="1:26" s="152" customFormat="1" x14ac:dyDescent="0.25">
      <c r="A1545" s="249"/>
      <c r="B1545" s="249"/>
      <c r="C1545" s="249"/>
      <c r="D1545" s="249"/>
      <c r="E1545" s="249"/>
      <c r="F1545" s="249"/>
      <c r="G1545" s="249"/>
      <c r="H1545" s="249"/>
      <c r="I1545" s="258"/>
      <c r="J1545" s="249"/>
      <c r="K1545" s="249"/>
      <c r="L1545" s="249"/>
      <c r="M1545" s="259"/>
      <c r="N1545" s="249"/>
      <c r="O1545" s="249"/>
      <c r="P1545" s="249"/>
      <c r="Q1545" s="249"/>
      <c r="R1545" s="249"/>
      <c r="S1545" s="249"/>
      <c r="T1545" s="249"/>
      <c r="U1545" s="249"/>
      <c r="V1545" s="249"/>
      <c r="W1545" s="249"/>
      <c r="X1545" s="249"/>
      <c r="Y1545" s="249"/>
      <c r="Z1545" s="249"/>
    </row>
    <row r="1546" spans="1:26" s="152" customFormat="1" x14ac:dyDescent="0.25">
      <c r="A1546" s="249"/>
      <c r="B1546" s="249"/>
      <c r="C1546" s="249"/>
      <c r="D1546" s="249"/>
      <c r="E1546" s="249"/>
      <c r="F1546" s="249"/>
      <c r="G1546" s="249"/>
      <c r="H1546" s="249"/>
      <c r="I1546" s="258"/>
      <c r="J1546" s="249"/>
      <c r="K1546" s="249"/>
      <c r="L1546" s="249"/>
      <c r="M1546" s="259"/>
      <c r="N1546" s="249"/>
      <c r="O1546" s="249"/>
      <c r="P1546" s="249"/>
      <c r="Q1546" s="249"/>
      <c r="R1546" s="249"/>
      <c r="S1546" s="249"/>
      <c r="T1546" s="249"/>
      <c r="U1546" s="249"/>
      <c r="V1546" s="249"/>
      <c r="W1546" s="249"/>
      <c r="X1546" s="249"/>
      <c r="Y1546" s="249"/>
      <c r="Z1546" s="249"/>
    </row>
    <row r="1547" spans="1:26" s="152" customFormat="1" x14ac:dyDescent="0.25">
      <c r="A1547" s="249"/>
      <c r="B1547" s="249"/>
      <c r="C1547" s="249"/>
      <c r="D1547" s="249"/>
      <c r="E1547" s="249"/>
      <c r="F1547" s="249"/>
      <c r="G1547" s="249"/>
      <c r="H1547" s="249"/>
      <c r="I1547" s="258"/>
      <c r="J1547" s="249"/>
      <c r="K1547" s="249"/>
      <c r="L1547" s="249"/>
      <c r="M1547" s="259"/>
      <c r="N1547" s="249"/>
      <c r="O1547" s="249"/>
      <c r="P1547" s="249"/>
      <c r="Q1547" s="249"/>
      <c r="R1547" s="249"/>
      <c r="S1547" s="249"/>
      <c r="T1547" s="249"/>
      <c r="U1547" s="249"/>
      <c r="V1547" s="249"/>
      <c r="W1547" s="249"/>
      <c r="X1547" s="249"/>
      <c r="Y1547" s="249"/>
      <c r="Z1547" s="249"/>
    </row>
    <row r="1548" spans="1:26" s="152" customFormat="1" x14ac:dyDescent="0.25">
      <c r="A1548" s="249"/>
      <c r="B1548" s="249"/>
      <c r="C1548" s="249"/>
      <c r="D1548" s="249"/>
      <c r="E1548" s="249"/>
      <c r="F1548" s="249"/>
      <c r="G1548" s="249"/>
      <c r="H1548" s="249"/>
      <c r="I1548" s="258"/>
      <c r="J1548" s="249"/>
      <c r="K1548" s="249"/>
      <c r="L1548" s="249"/>
      <c r="M1548" s="259"/>
      <c r="N1548" s="249"/>
      <c r="O1548" s="249"/>
      <c r="P1548" s="249"/>
      <c r="Q1548" s="249"/>
      <c r="R1548" s="249"/>
      <c r="S1548" s="249"/>
      <c r="T1548" s="249"/>
      <c r="U1548" s="249"/>
      <c r="V1548" s="249"/>
      <c r="W1548" s="249"/>
      <c r="X1548" s="249"/>
      <c r="Y1548" s="249"/>
      <c r="Z1548" s="249"/>
    </row>
    <row r="1549" spans="1:26" s="152" customFormat="1" x14ac:dyDescent="0.25">
      <c r="A1549" s="249"/>
      <c r="B1549" s="249"/>
      <c r="C1549" s="249"/>
      <c r="D1549" s="249"/>
      <c r="E1549" s="249"/>
      <c r="F1549" s="249"/>
      <c r="G1549" s="249"/>
      <c r="H1549" s="249"/>
      <c r="I1549" s="258"/>
      <c r="J1549" s="249"/>
      <c r="K1549" s="249"/>
      <c r="L1549" s="249"/>
      <c r="M1549" s="259"/>
      <c r="N1549" s="249"/>
      <c r="O1549" s="249"/>
      <c r="P1549" s="249"/>
      <c r="Q1549" s="249"/>
      <c r="R1549" s="249"/>
      <c r="S1549" s="249"/>
      <c r="T1549" s="249"/>
      <c r="U1549" s="249"/>
      <c r="V1549" s="249"/>
      <c r="W1549" s="249"/>
      <c r="X1549" s="249"/>
      <c r="Y1549" s="249"/>
      <c r="Z1549" s="249"/>
    </row>
    <row r="1550" spans="1:26" s="152" customFormat="1" x14ac:dyDescent="0.25">
      <c r="A1550" s="249"/>
      <c r="B1550" s="249"/>
      <c r="C1550" s="249"/>
      <c r="D1550" s="249"/>
      <c r="E1550" s="249"/>
      <c r="F1550" s="249"/>
      <c r="G1550" s="249"/>
      <c r="H1550" s="249"/>
      <c r="I1550" s="258"/>
      <c r="J1550" s="249"/>
      <c r="K1550" s="249"/>
      <c r="L1550" s="249"/>
      <c r="M1550" s="259"/>
      <c r="N1550" s="249"/>
      <c r="O1550" s="249"/>
      <c r="P1550" s="249"/>
      <c r="Q1550" s="249"/>
      <c r="R1550" s="249"/>
      <c r="S1550" s="249"/>
      <c r="T1550" s="249"/>
      <c r="U1550" s="249"/>
      <c r="V1550" s="249"/>
      <c r="W1550" s="249"/>
      <c r="X1550" s="249"/>
      <c r="Y1550" s="249"/>
      <c r="Z1550" s="249"/>
    </row>
    <row r="1551" spans="1:26" s="152" customFormat="1" x14ac:dyDescent="0.25">
      <c r="A1551" s="249"/>
      <c r="B1551" s="249"/>
      <c r="C1551" s="249"/>
      <c r="D1551" s="249"/>
      <c r="E1551" s="249"/>
      <c r="F1551" s="249"/>
      <c r="G1551" s="249"/>
      <c r="H1551" s="249"/>
      <c r="I1551" s="258"/>
      <c r="J1551" s="249"/>
      <c r="K1551" s="249"/>
      <c r="L1551" s="249"/>
      <c r="M1551" s="259"/>
      <c r="N1551" s="249"/>
      <c r="O1551" s="249"/>
      <c r="P1551" s="249"/>
      <c r="Q1551" s="249"/>
      <c r="R1551" s="249"/>
      <c r="S1551" s="249"/>
      <c r="T1551" s="249"/>
      <c r="U1551" s="249"/>
      <c r="V1551" s="249"/>
      <c r="W1551" s="249"/>
      <c r="X1551" s="249"/>
      <c r="Y1551" s="249"/>
      <c r="Z1551" s="249"/>
    </row>
    <row r="1552" spans="1:26" s="152" customFormat="1" x14ac:dyDescent="0.25">
      <c r="A1552" s="249"/>
      <c r="B1552" s="249"/>
      <c r="C1552" s="249"/>
      <c r="D1552" s="249"/>
      <c r="E1552" s="249"/>
      <c r="F1552" s="249"/>
      <c r="G1552" s="249"/>
      <c r="H1552" s="249"/>
      <c r="I1552" s="258"/>
      <c r="J1552" s="249"/>
      <c r="K1552" s="249"/>
      <c r="L1552" s="249"/>
      <c r="M1552" s="259"/>
      <c r="N1552" s="249"/>
      <c r="O1552" s="249"/>
      <c r="P1552" s="249"/>
      <c r="Q1552" s="249"/>
      <c r="R1552" s="249"/>
      <c r="S1552" s="249"/>
      <c r="T1552" s="249"/>
      <c r="U1552" s="249"/>
      <c r="V1552" s="249"/>
      <c r="W1552" s="249"/>
      <c r="X1552" s="249"/>
      <c r="Y1552" s="249"/>
      <c r="Z1552" s="249"/>
    </row>
    <row r="1553" spans="1:26" s="152" customFormat="1" x14ac:dyDescent="0.25">
      <c r="A1553" s="249"/>
      <c r="B1553" s="249"/>
      <c r="C1553" s="249"/>
      <c r="D1553" s="249"/>
      <c r="E1553" s="249"/>
      <c r="F1553" s="249"/>
      <c r="G1553" s="249"/>
      <c r="H1553" s="249"/>
      <c r="I1553" s="258"/>
      <c r="J1553" s="249"/>
      <c r="K1553" s="249"/>
      <c r="L1553" s="249"/>
      <c r="M1553" s="259"/>
      <c r="N1553" s="249"/>
      <c r="O1553" s="249"/>
      <c r="P1553" s="249"/>
      <c r="Q1553" s="249"/>
      <c r="R1553" s="249"/>
      <c r="S1553" s="249"/>
      <c r="T1553" s="249"/>
      <c r="U1553" s="249"/>
      <c r="V1553" s="249"/>
      <c r="W1553" s="249"/>
      <c r="X1553" s="249"/>
      <c r="Y1553" s="249"/>
      <c r="Z1553" s="249"/>
    </row>
    <row r="1554" spans="1:26" s="152" customFormat="1" x14ac:dyDescent="0.25">
      <c r="A1554" s="249"/>
      <c r="B1554" s="249"/>
      <c r="C1554" s="249"/>
      <c r="D1554" s="249"/>
      <c r="E1554" s="249"/>
      <c r="F1554" s="249"/>
      <c r="G1554" s="249"/>
      <c r="H1554" s="249"/>
      <c r="I1554" s="258"/>
      <c r="J1554" s="249"/>
      <c r="K1554" s="249"/>
      <c r="L1554" s="249"/>
      <c r="M1554" s="259"/>
      <c r="N1554" s="249"/>
      <c r="O1554" s="249"/>
      <c r="P1554" s="249"/>
      <c r="Q1554" s="249"/>
      <c r="R1554" s="249"/>
      <c r="S1554" s="249"/>
      <c r="T1554" s="249"/>
      <c r="U1554" s="249"/>
      <c r="V1554" s="249"/>
      <c r="W1554" s="249"/>
      <c r="X1554" s="249"/>
      <c r="Y1554" s="249"/>
      <c r="Z1554" s="249"/>
    </row>
    <row r="1555" spans="1:26" s="152" customFormat="1" x14ac:dyDescent="0.25">
      <c r="A1555" s="249"/>
      <c r="B1555" s="249"/>
      <c r="C1555" s="249"/>
      <c r="D1555" s="249"/>
      <c r="E1555" s="249"/>
      <c r="F1555" s="249"/>
      <c r="G1555" s="249"/>
      <c r="H1555" s="249"/>
      <c r="I1555" s="258"/>
      <c r="J1555" s="249"/>
      <c r="K1555" s="249"/>
      <c r="L1555" s="249"/>
      <c r="M1555" s="259"/>
      <c r="N1555" s="249"/>
      <c r="O1555" s="249"/>
      <c r="P1555" s="249"/>
      <c r="Q1555" s="249"/>
      <c r="R1555" s="249"/>
      <c r="S1555" s="249"/>
      <c r="T1555" s="249"/>
      <c r="U1555" s="249"/>
      <c r="V1555" s="249"/>
      <c r="W1555" s="249"/>
      <c r="X1555" s="249"/>
      <c r="Y1555" s="249"/>
      <c r="Z1555" s="249"/>
    </row>
    <row r="1556" spans="1:26" s="152" customFormat="1" x14ac:dyDescent="0.25">
      <c r="A1556" s="249"/>
      <c r="B1556" s="249"/>
      <c r="C1556" s="249"/>
      <c r="D1556" s="249"/>
      <c r="E1556" s="249"/>
      <c r="F1556" s="249"/>
      <c r="G1556" s="249"/>
      <c r="H1556" s="249"/>
      <c r="I1556" s="258"/>
      <c r="J1556" s="249"/>
      <c r="K1556" s="249"/>
      <c r="L1556" s="249"/>
      <c r="M1556" s="259"/>
      <c r="N1556" s="249"/>
      <c r="O1556" s="249"/>
      <c r="P1556" s="249"/>
      <c r="Q1556" s="249"/>
      <c r="R1556" s="249"/>
      <c r="S1556" s="249"/>
      <c r="T1556" s="249"/>
      <c r="U1556" s="249"/>
      <c r="V1556" s="249"/>
      <c r="W1556" s="249"/>
      <c r="X1556" s="249"/>
      <c r="Y1556" s="249"/>
      <c r="Z1556" s="249"/>
    </row>
    <row r="1557" spans="1:26" s="152" customFormat="1" x14ac:dyDescent="0.25">
      <c r="A1557" s="249"/>
      <c r="B1557" s="249"/>
      <c r="C1557" s="249"/>
      <c r="D1557" s="249"/>
      <c r="E1557" s="249"/>
      <c r="F1557" s="249"/>
      <c r="G1557" s="249"/>
      <c r="H1557" s="249"/>
      <c r="I1557" s="258"/>
      <c r="J1557" s="249"/>
      <c r="K1557" s="249"/>
      <c r="L1557" s="249"/>
      <c r="M1557" s="259"/>
      <c r="N1557" s="249"/>
      <c r="O1557" s="249"/>
      <c r="P1557" s="249"/>
      <c r="Q1557" s="249"/>
      <c r="R1557" s="249"/>
      <c r="S1557" s="249"/>
      <c r="T1557" s="249"/>
      <c r="U1557" s="249"/>
      <c r="V1557" s="249"/>
      <c r="W1557" s="249"/>
      <c r="X1557" s="249"/>
      <c r="Y1557" s="249"/>
      <c r="Z1557" s="249"/>
    </row>
    <row r="1558" spans="1:26" s="152" customFormat="1" x14ac:dyDescent="0.25">
      <c r="A1558" s="249"/>
      <c r="B1558" s="249"/>
      <c r="C1558" s="249"/>
      <c r="D1558" s="249"/>
      <c r="E1558" s="249"/>
      <c r="F1558" s="249"/>
      <c r="G1558" s="249"/>
      <c r="H1558" s="249"/>
      <c r="I1558" s="258"/>
      <c r="J1558" s="249"/>
      <c r="K1558" s="249"/>
      <c r="L1558" s="249"/>
      <c r="M1558" s="259"/>
      <c r="N1558" s="249"/>
      <c r="O1558" s="249"/>
      <c r="P1558" s="249"/>
      <c r="Q1558" s="249"/>
      <c r="R1558" s="249"/>
      <c r="S1558" s="249"/>
      <c r="T1558" s="249"/>
      <c r="U1558" s="249"/>
      <c r="V1558" s="249"/>
      <c r="W1558" s="249"/>
      <c r="X1558" s="249"/>
      <c r="Y1558" s="249"/>
      <c r="Z1558" s="249"/>
    </row>
    <row r="1559" spans="1:26" s="152" customFormat="1" x14ac:dyDescent="0.25">
      <c r="A1559" s="249"/>
      <c r="B1559" s="249"/>
      <c r="C1559" s="249"/>
      <c r="D1559" s="249"/>
      <c r="E1559" s="249"/>
      <c r="F1559" s="249"/>
      <c r="G1559" s="249"/>
      <c r="H1559" s="249"/>
      <c r="I1559" s="258"/>
      <c r="J1559" s="249"/>
      <c r="K1559" s="249"/>
      <c r="L1559" s="249"/>
      <c r="M1559" s="259"/>
      <c r="N1559" s="249"/>
      <c r="O1559" s="249"/>
      <c r="P1559" s="249"/>
      <c r="Q1559" s="249"/>
      <c r="R1559" s="249"/>
      <c r="S1559" s="249"/>
      <c r="T1559" s="249"/>
      <c r="U1559" s="249"/>
      <c r="V1559" s="249"/>
      <c r="W1559" s="249"/>
      <c r="X1559" s="249"/>
      <c r="Y1559" s="249"/>
      <c r="Z1559" s="249"/>
    </row>
    <row r="1560" spans="1:26" s="152" customFormat="1" x14ac:dyDescent="0.25">
      <c r="A1560" s="249"/>
      <c r="B1560" s="249"/>
      <c r="C1560" s="249"/>
      <c r="D1560" s="249"/>
      <c r="E1560" s="249"/>
      <c r="F1560" s="249"/>
      <c r="G1560" s="249"/>
      <c r="H1560" s="249"/>
      <c r="I1560" s="258"/>
      <c r="J1560" s="249"/>
      <c r="K1560" s="249"/>
      <c r="L1560" s="249"/>
      <c r="M1560" s="259"/>
      <c r="N1560" s="249"/>
      <c r="O1560" s="249"/>
      <c r="P1560" s="249"/>
      <c r="Q1560" s="249"/>
      <c r="R1560" s="249"/>
      <c r="S1560" s="249"/>
      <c r="T1560" s="249"/>
      <c r="U1560" s="249"/>
      <c r="V1560" s="249"/>
      <c r="W1560" s="249"/>
      <c r="X1560" s="249"/>
      <c r="Y1560" s="249"/>
      <c r="Z1560" s="249"/>
    </row>
    <row r="1561" spans="1:26" s="152" customFormat="1" x14ac:dyDescent="0.25">
      <c r="A1561" s="249"/>
      <c r="B1561" s="249"/>
      <c r="C1561" s="249"/>
      <c r="D1561" s="249"/>
      <c r="E1561" s="249"/>
      <c r="F1561" s="249"/>
      <c r="G1561" s="249"/>
      <c r="H1561" s="249"/>
      <c r="I1561" s="258"/>
      <c r="J1561" s="249"/>
      <c r="K1561" s="249"/>
      <c r="L1561" s="249"/>
      <c r="M1561" s="259"/>
      <c r="N1561" s="249"/>
      <c r="O1561" s="249"/>
      <c r="P1561" s="249"/>
      <c r="Q1561" s="249"/>
      <c r="R1561" s="249"/>
      <c r="S1561" s="249"/>
      <c r="T1561" s="249"/>
      <c r="U1561" s="249"/>
      <c r="V1561" s="249"/>
      <c r="W1561" s="249"/>
      <c r="X1561" s="249"/>
      <c r="Y1561" s="249"/>
      <c r="Z1561" s="249"/>
    </row>
    <row r="1562" spans="1:26" s="152" customFormat="1" x14ac:dyDescent="0.25">
      <c r="A1562" s="249"/>
      <c r="B1562" s="249"/>
      <c r="C1562" s="249"/>
      <c r="D1562" s="249"/>
      <c r="E1562" s="249"/>
      <c r="F1562" s="249"/>
      <c r="G1562" s="249"/>
      <c r="H1562" s="249"/>
      <c r="I1562" s="258"/>
      <c r="J1562" s="249"/>
      <c r="K1562" s="249"/>
      <c r="L1562" s="249"/>
      <c r="M1562" s="259"/>
      <c r="N1562" s="249"/>
      <c r="O1562" s="249"/>
      <c r="P1562" s="249"/>
      <c r="Q1562" s="249"/>
      <c r="R1562" s="249"/>
      <c r="S1562" s="249"/>
      <c r="T1562" s="249"/>
      <c r="U1562" s="249"/>
      <c r="V1562" s="249"/>
      <c r="W1562" s="249"/>
      <c r="X1562" s="249"/>
      <c r="Y1562" s="249"/>
      <c r="Z1562" s="249"/>
    </row>
    <row r="1563" spans="1:26" s="152" customFormat="1" x14ac:dyDescent="0.25">
      <c r="A1563" s="249"/>
      <c r="B1563" s="249"/>
      <c r="C1563" s="249"/>
      <c r="D1563" s="249"/>
      <c r="E1563" s="249"/>
      <c r="F1563" s="249"/>
      <c r="G1563" s="249"/>
      <c r="H1563" s="249"/>
      <c r="I1563" s="258"/>
      <c r="J1563" s="249"/>
      <c r="K1563" s="249"/>
      <c r="L1563" s="249"/>
      <c r="M1563" s="259"/>
      <c r="N1563" s="249"/>
      <c r="O1563" s="249"/>
      <c r="P1563" s="249"/>
      <c r="Q1563" s="249"/>
      <c r="R1563" s="249"/>
      <c r="S1563" s="249"/>
      <c r="T1563" s="249"/>
      <c r="U1563" s="249"/>
      <c r="V1563" s="249"/>
      <c r="W1563" s="249"/>
      <c r="X1563" s="249"/>
      <c r="Y1563" s="249"/>
      <c r="Z1563" s="249"/>
    </row>
    <row r="1564" spans="1:26" s="152" customFormat="1" x14ac:dyDescent="0.25">
      <c r="A1564" s="249"/>
      <c r="B1564" s="249"/>
      <c r="C1564" s="249"/>
      <c r="D1564" s="249"/>
      <c r="E1564" s="249"/>
      <c r="F1564" s="249"/>
      <c r="G1564" s="249"/>
      <c r="H1564" s="249"/>
      <c r="I1564" s="258"/>
      <c r="J1564" s="249"/>
      <c r="K1564" s="249"/>
      <c r="L1564" s="249"/>
      <c r="M1564" s="259"/>
      <c r="N1564" s="249"/>
      <c r="O1564" s="249"/>
      <c r="P1564" s="249"/>
      <c r="Q1564" s="249"/>
      <c r="R1564" s="249"/>
      <c r="S1564" s="249"/>
      <c r="T1564" s="249"/>
      <c r="U1564" s="249"/>
      <c r="V1564" s="249"/>
      <c r="W1564" s="249"/>
      <c r="X1564" s="249"/>
      <c r="Y1564" s="249"/>
      <c r="Z1564" s="249"/>
    </row>
    <row r="1565" spans="1:26" s="152" customFormat="1" x14ac:dyDescent="0.25">
      <c r="A1565" s="249"/>
      <c r="B1565" s="249"/>
      <c r="C1565" s="249"/>
      <c r="D1565" s="249"/>
      <c r="E1565" s="249"/>
      <c r="F1565" s="249"/>
      <c r="G1565" s="249"/>
      <c r="H1565" s="249"/>
      <c r="I1565" s="258"/>
      <c r="J1565" s="249"/>
      <c r="K1565" s="249"/>
      <c r="L1565" s="249"/>
      <c r="M1565" s="259"/>
      <c r="N1565" s="249"/>
      <c r="O1565" s="249"/>
      <c r="P1565" s="249"/>
      <c r="Q1565" s="249"/>
      <c r="R1565" s="249"/>
      <c r="S1565" s="249"/>
      <c r="T1565" s="249"/>
      <c r="U1565" s="249"/>
      <c r="V1565" s="249"/>
      <c r="W1565" s="249"/>
      <c r="X1565" s="249"/>
      <c r="Y1565" s="249"/>
      <c r="Z1565" s="249"/>
    </row>
    <row r="1566" spans="1:26" s="152" customFormat="1" x14ac:dyDescent="0.25">
      <c r="A1566" s="249"/>
      <c r="B1566" s="249"/>
      <c r="C1566" s="249"/>
      <c r="D1566" s="249"/>
      <c r="E1566" s="249"/>
      <c r="F1566" s="249"/>
      <c r="G1566" s="249"/>
      <c r="H1566" s="249"/>
      <c r="I1566" s="258"/>
      <c r="J1566" s="249"/>
      <c r="K1566" s="249"/>
      <c r="L1566" s="249"/>
      <c r="M1566" s="259"/>
      <c r="N1566" s="249"/>
      <c r="O1566" s="249"/>
      <c r="P1566" s="249"/>
      <c r="Q1566" s="249"/>
      <c r="R1566" s="249"/>
      <c r="S1566" s="249"/>
      <c r="T1566" s="249"/>
      <c r="U1566" s="249"/>
      <c r="V1566" s="249"/>
      <c r="W1566" s="249"/>
      <c r="X1566" s="249"/>
      <c r="Y1566" s="249"/>
      <c r="Z1566" s="249"/>
    </row>
    <row r="1567" spans="1:26" s="152" customFormat="1" x14ac:dyDescent="0.25">
      <c r="A1567" s="249"/>
      <c r="B1567" s="249"/>
      <c r="C1567" s="249"/>
      <c r="D1567" s="249"/>
      <c r="E1567" s="249"/>
      <c r="F1567" s="249"/>
      <c r="G1567" s="249"/>
      <c r="H1567" s="249"/>
      <c r="I1567" s="258"/>
      <c r="J1567" s="249"/>
      <c r="K1567" s="249"/>
      <c r="L1567" s="249"/>
      <c r="M1567" s="259"/>
      <c r="N1567" s="249"/>
      <c r="O1567" s="249"/>
      <c r="P1567" s="249"/>
      <c r="Q1567" s="249"/>
      <c r="R1567" s="249"/>
      <c r="S1567" s="249"/>
      <c r="T1567" s="249"/>
      <c r="U1567" s="249"/>
      <c r="V1567" s="249"/>
      <c r="W1567" s="249"/>
      <c r="X1567" s="249"/>
      <c r="Y1567" s="249"/>
      <c r="Z1567" s="249"/>
    </row>
    <row r="1568" spans="1:26" s="152" customFormat="1" x14ac:dyDescent="0.25">
      <c r="A1568" s="249"/>
      <c r="B1568" s="249"/>
      <c r="C1568" s="249"/>
      <c r="D1568" s="249"/>
      <c r="E1568" s="249"/>
      <c r="F1568" s="249"/>
      <c r="G1568" s="249"/>
      <c r="H1568" s="249"/>
      <c r="I1568" s="258"/>
      <c r="J1568" s="249"/>
      <c r="K1568" s="249"/>
      <c r="L1568" s="249"/>
      <c r="M1568" s="259"/>
      <c r="N1568" s="249"/>
      <c r="O1568" s="249"/>
      <c r="P1568" s="249"/>
      <c r="Q1568" s="249"/>
      <c r="R1568" s="249"/>
      <c r="S1568" s="249"/>
      <c r="T1568" s="249"/>
      <c r="U1568" s="249"/>
      <c r="V1568" s="249"/>
      <c r="W1568" s="249"/>
      <c r="X1568" s="249"/>
      <c r="Y1568" s="249"/>
      <c r="Z1568" s="249"/>
    </row>
    <row r="1569" spans="1:26" s="152" customFormat="1" x14ac:dyDescent="0.25">
      <c r="A1569" s="249"/>
      <c r="B1569" s="249"/>
      <c r="C1569" s="249"/>
      <c r="D1569" s="249"/>
      <c r="E1569" s="249"/>
      <c r="F1569" s="249"/>
      <c r="G1569" s="249"/>
      <c r="H1569" s="249"/>
      <c r="I1569" s="258"/>
      <c r="J1569" s="249"/>
      <c r="K1569" s="249"/>
      <c r="L1569" s="249"/>
      <c r="M1569" s="259"/>
      <c r="N1569" s="249"/>
      <c r="O1569" s="249"/>
      <c r="P1569" s="249"/>
      <c r="Q1569" s="249"/>
      <c r="R1569" s="249"/>
      <c r="S1569" s="249"/>
      <c r="T1569" s="249"/>
      <c r="U1569" s="249"/>
      <c r="V1569" s="249"/>
      <c r="W1569" s="249"/>
      <c r="X1569" s="249"/>
      <c r="Y1569" s="249"/>
      <c r="Z1569" s="249"/>
    </row>
    <row r="1570" spans="1:26" s="152" customFormat="1" x14ac:dyDescent="0.25">
      <c r="A1570" s="249"/>
      <c r="B1570" s="249"/>
      <c r="C1570" s="249"/>
      <c r="D1570" s="249"/>
      <c r="E1570" s="249"/>
      <c r="F1570" s="249"/>
      <c r="G1570" s="249"/>
      <c r="H1570" s="249"/>
      <c r="I1570" s="258"/>
      <c r="J1570" s="249"/>
      <c r="K1570" s="249"/>
      <c r="L1570" s="249"/>
      <c r="M1570" s="259"/>
      <c r="N1570" s="249"/>
      <c r="O1570" s="249"/>
      <c r="P1570" s="249"/>
      <c r="Q1570" s="249"/>
      <c r="R1570" s="249"/>
      <c r="S1570" s="249"/>
      <c r="T1570" s="249"/>
      <c r="U1570" s="249"/>
      <c r="V1570" s="249"/>
      <c r="W1570" s="249"/>
      <c r="X1570" s="249"/>
      <c r="Y1570" s="249"/>
      <c r="Z1570" s="249"/>
    </row>
    <row r="1571" spans="1:26" s="152" customFormat="1" x14ac:dyDescent="0.25">
      <c r="A1571" s="249"/>
      <c r="B1571" s="249"/>
      <c r="C1571" s="249"/>
      <c r="D1571" s="249"/>
      <c r="E1571" s="249"/>
      <c r="F1571" s="249"/>
      <c r="G1571" s="249"/>
      <c r="H1571" s="249"/>
      <c r="I1571" s="258"/>
      <c r="J1571" s="249"/>
      <c r="K1571" s="249"/>
      <c r="L1571" s="249"/>
      <c r="M1571" s="259"/>
      <c r="N1571" s="249"/>
      <c r="O1571" s="249"/>
      <c r="P1571" s="249"/>
      <c r="Q1571" s="249"/>
      <c r="R1571" s="249"/>
      <c r="S1571" s="249"/>
      <c r="T1571" s="249"/>
      <c r="U1571" s="249"/>
      <c r="V1571" s="249"/>
      <c r="W1571" s="249"/>
      <c r="X1571" s="249"/>
      <c r="Y1571" s="249"/>
      <c r="Z1571" s="249"/>
    </row>
    <row r="1572" spans="1:26" s="152" customFormat="1" x14ac:dyDescent="0.25">
      <c r="A1572" s="249"/>
      <c r="B1572" s="249"/>
      <c r="C1572" s="249"/>
      <c r="D1572" s="249"/>
      <c r="E1572" s="249"/>
      <c r="F1572" s="249"/>
      <c r="G1572" s="249"/>
      <c r="H1572" s="249"/>
      <c r="I1572" s="258"/>
      <c r="J1572" s="249"/>
      <c r="K1572" s="249"/>
      <c r="L1572" s="249"/>
      <c r="M1572" s="259"/>
      <c r="N1572" s="249"/>
      <c r="O1572" s="249"/>
      <c r="P1572" s="249"/>
      <c r="Q1572" s="249"/>
      <c r="R1572" s="249"/>
      <c r="S1572" s="249"/>
      <c r="T1572" s="249"/>
      <c r="U1572" s="249"/>
      <c r="V1572" s="249"/>
      <c r="W1572" s="249"/>
      <c r="X1572" s="249"/>
      <c r="Y1572" s="249"/>
      <c r="Z1572" s="249"/>
    </row>
    <row r="1573" spans="1:26" s="152" customFormat="1" x14ac:dyDescent="0.25">
      <c r="A1573" s="249"/>
      <c r="B1573" s="249"/>
      <c r="C1573" s="249"/>
      <c r="D1573" s="249"/>
      <c r="E1573" s="249"/>
      <c r="F1573" s="249"/>
      <c r="G1573" s="249"/>
      <c r="H1573" s="249"/>
      <c r="I1573" s="258"/>
      <c r="J1573" s="249"/>
      <c r="K1573" s="249"/>
      <c r="L1573" s="249"/>
      <c r="M1573" s="259"/>
      <c r="N1573" s="249"/>
      <c r="O1573" s="249"/>
      <c r="P1573" s="249"/>
      <c r="Q1573" s="249"/>
      <c r="R1573" s="249"/>
      <c r="S1573" s="249"/>
      <c r="T1573" s="249"/>
      <c r="U1573" s="249"/>
      <c r="V1573" s="249"/>
      <c r="W1573" s="249"/>
      <c r="X1573" s="249"/>
      <c r="Y1573" s="249"/>
      <c r="Z1573" s="249"/>
    </row>
    <row r="1574" spans="1:26" s="152" customFormat="1" x14ac:dyDescent="0.25">
      <c r="A1574" s="249"/>
      <c r="B1574" s="249"/>
      <c r="C1574" s="249"/>
      <c r="D1574" s="249"/>
      <c r="E1574" s="249"/>
      <c r="F1574" s="249"/>
      <c r="G1574" s="249"/>
      <c r="H1574" s="249"/>
      <c r="I1574" s="258"/>
      <c r="J1574" s="249"/>
      <c r="K1574" s="249"/>
      <c r="L1574" s="249"/>
      <c r="M1574" s="259"/>
      <c r="N1574" s="249"/>
      <c r="O1574" s="249"/>
      <c r="P1574" s="249"/>
      <c r="Q1574" s="249"/>
      <c r="R1574" s="249"/>
      <c r="S1574" s="249"/>
      <c r="T1574" s="249"/>
      <c r="U1574" s="249"/>
      <c r="V1574" s="249"/>
      <c r="W1574" s="249"/>
      <c r="X1574" s="249"/>
      <c r="Y1574" s="249"/>
      <c r="Z1574" s="249"/>
    </row>
    <row r="1575" spans="1:26" s="152" customFormat="1" x14ac:dyDescent="0.25">
      <c r="A1575" s="249"/>
      <c r="B1575" s="249"/>
      <c r="C1575" s="249"/>
      <c r="D1575" s="249"/>
      <c r="E1575" s="249"/>
      <c r="F1575" s="249"/>
      <c r="G1575" s="249"/>
      <c r="H1575" s="249"/>
      <c r="I1575" s="258"/>
      <c r="J1575" s="249"/>
      <c r="K1575" s="249"/>
      <c r="L1575" s="249"/>
      <c r="M1575" s="259"/>
      <c r="N1575" s="249"/>
      <c r="O1575" s="249"/>
      <c r="P1575" s="249"/>
      <c r="Q1575" s="249"/>
      <c r="R1575" s="249"/>
      <c r="S1575" s="249"/>
      <c r="T1575" s="249"/>
      <c r="U1575" s="249"/>
      <c r="V1575" s="249"/>
      <c r="W1575" s="249"/>
      <c r="X1575" s="249"/>
      <c r="Y1575" s="249"/>
      <c r="Z1575" s="249"/>
    </row>
    <row r="1576" spans="1:26" s="152" customFormat="1" x14ac:dyDescent="0.25">
      <c r="A1576" s="249"/>
      <c r="B1576" s="249"/>
      <c r="C1576" s="249"/>
      <c r="D1576" s="249"/>
      <c r="E1576" s="249"/>
      <c r="F1576" s="249"/>
      <c r="G1576" s="249"/>
      <c r="H1576" s="249"/>
      <c r="I1576" s="258"/>
      <c r="J1576" s="249"/>
      <c r="K1576" s="249"/>
      <c r="L1576" s="249"/>
      <c r="M1576" s="259"/>
      <c r="N1576" s="249"/>
      <c r="O1576" s="249"/>
      <c r="P1576" s="249"/>
      <c r="Q1576" s="249"/>
      <c r="R1576" s="249"/>
      <c r="S1576" s="249"/>
      <c r="T1576" s="249"/>
      <c r="U1576" s="249"/>
      <c r="V1576" s="249"/>
      <c r="W1576" s="249"/>
      <c r="X1576" s="249"/>
      <c r="Y1576" s="249"/>
      <c r="Z1576" s="249"/>
    </row>
    <row r="1577" spans="1:26" s="152" customFormat="1" x14ac:dyDescent="0.25">
      <c r="A1577" s="249"/>
      <c r="B1577" s="249"/>
      <c r="C1577" s="249"/>
      <c r="D1577" s="249"/>
      <c r="E1577" s="249"/>
      <c r="F1577" s="249"/>
      <c r="G1577" s="249"/>
      <c r="H1577" s="249"/>
      <c r="I1577" s="258"/>
      <c r="J1577" s="249"/>
      <c r="K1577" s="249"/>
      <c r="L1577" s="249"/>
      <c r="M1577" s="259"/>
      <c r="N1577" s="249"/>
      <c r="O1577" s="249"/>
      <c r="P1577" s="249"/>
      <c r="Q1577" s="249"/>
      <c r="R1577" s="249"/>
      <c r="S1577" s="249"/>
      <c r="T1577" s="249"/>
      <c r="U1577" s="249"/>
      <c r="V1577" s="249"/>
      <c r="W1577" s="249"/>
      <c r="X1577" s="249"/>
      <c r="Y1577" s="249"/>
      <c r="Z1577" s="249"/>
    </row>
    <row r="1578" spans="1:26" s="152" customFormat="1" x14ac:dyDescent="0.25">
      <c r="A1578" s="249"/>
      <c r="B1578" s="249"/>
      <c r="C1578" s="249"/>
      <c r="D1578" s="249"/>
      <c r="E1578" s="249"/>
      <c r="F1578" s="249"/>
      <c r="G1578" s="249"/>
      <c r="H1578" s="249"/>
      <c r="I1578" s="258"/>
      <c r="J1578" s="249"/>
      <c r="K1578" s="249"/>
      <c r="L1578" s="249"/>
      <c r="M1578" s="259"/>
      <c r="N1578" s="249"/>
      <c r="O1578" s="249"/>
      <c r="P1578" s="249"/>
      <c r="Q1578" s="249"/>
      <c r="R1578" s="249"/>
      <c r="S1578" s="249"/>
      <c r="T1578" s="249"/>
      <c r="U1578" s="249"/>
      <c r="V1578" s="249"/>
      <c r="W1578" s="249"/>
      <c r="X1578" s="249"/>
      <c r="Y1578" s="249"/>
      <c r="Z1578" s="249"/>
    </row>
    <row r="1579" spans="1:26" s="152" customFormat="1" x14ac:dyDescent="0.25">
      <c r="A1579" s="249"/>
      <c r="B1579" s="249"/>
      <c r="C1579" s="249"/>
      <c r="D1579" s="249"/>
      <c r="E1579" s="249"/>
      <c r="F1579" s="249"/>
      <c r="G1579" s="249"/>
      <c r="H1579" s="249"/>
      <c r="I1579" s="258"/>
      <c r="J1579" s="249"/>
      <c r="K1579" s="249"/>
      <c r="L1579" s="249"/>
      <c r="M1579" s="259"/>
      <c r="N1579" s="249"/>
      <c r="O1579" s="249"/>
      <c r="P1579" s="249"/>
      <c r="Q1579" s="249"/>
      <c r="R1579" s="249"/>
      <c r="S1579" s="249"/>
      <c r="T1579" s="249"/>
      <c r="U1579" s="249"/>
      <c r="V1579" s="249"/>
      <c r="W1579" s="249"/>
      <c r="X1579" s="249"/>
      <c r="Y1579" s="249"/>
      <c r="Z1579" s="249"/>
    </row>
    <row r="1580" spans="1:26" s="152" customFormat="1" x14ac:dyDescent="0.25">
      <c r="A1580" s="249"/>
      <c r="B1580" s="249"/>
      <c r="C1580" s="249"/>
      <c r="D1580" s="249"/>
      <c r="E1580" s="249"/>
      <c r="F1580" s="249"/>
      <c r="G1580" s="249"/>
      <c r="H1580" s="249"/>
      <c r="I1580" s="258"/>
      <c r="J1580" s="249"/>
      <c r="K1580" s="249"/>
      <c r="L1580" s="249"/>
      <c r="M1580" s="259"/>
      <c r="N1580" s="249"/>
      <c r="O1580" s="249"/>
      <c r="P1580" s="249"/>
      <c r="Q1580" s="249"/>
      <c r="R1580" s="249"/>
      <c r="S1580" s="249"/>
      <c r="T1580" s="249"/>
      <c r="U1580" s="249"/>
      <c r="V1580" s="249"/>
      <c r="W1580" s="249"/>
      <c r="X1580" s="249"/>
      <c r="Y1580" s="249"/>
      <c r="Z1580" s="249"/>
    </row>
    <row r="1581" spans="1:26" s="152" customFormat="1" x14ac:dyDescent="0.25">
      <c r="A1581" s="249"/>
      <c r="B1581" s="249"/>
      <c r="C1581" s="249"/>
      <c r="D1581" s="249"/>
      <c r="E1581" s="249"/>
      <c r="F1581" s="249"/>
      <c r="G1581" s="249"/>
      <c r="H1581" s="249"/>
      <c r="I1581" s="258"/>
      <c r="J1581" s="249"/>
      <c r="K1581" s="249"/>
      <c r="L1581" s="249"/>
      <c r="M1581" s="259"/>
      <c r="N1581" s="249"/>
      <c r="O1581" s="249"/>
      <c r="P1581" s="249"/>
      <c r="Q1581" s="249"/>
      <c r="R1581" s="249"/>
      <c r="S1581" s="249"/>
      <c r="T1581" s="249"/>
      <c r="U1581" s="249"/>
      <c r="V1581" s="249"/>
      <c r="W1581" s="249"/>
      <c r="X1581" s="249"/>
      <c r="Y1581" s="249"/>
      <c r="Z1581" s="249"/>
    </row>
    <row r="1582" spans="1:26" s="152" customFormat="1" x14ac:dyDescent="0.25">
      <c r="A1582" s="249"/>
      <c r="B1582" s="249"/>
      <c r="C1582" s="249"/>
      <c r="D1582" s="249"/>
      <c r="E1582" s="249"/>
      <c r="F1582" s="249"/>
      <c r="G1582" s="249"/>
      <c r="H1582" s="249"/>
      <c r="I1582" s="258"/>
      <c r="J1582" s="249"/>
      <c r="K1582" s="249"/>
      <c r="L1582" s="249"/>
      <c r="M1582" s="259"/>
      <c r="N1582" s="249"/>
      <c r="O1582" s="249"/>
      <c r="P1582" s="249"/>
      <c r="Q1582" s="249"/>
      <c r="R1582" s="249"/>
      <c r="S1582" s="249"/>
      <c r="T1582" s="249"/>
      <c r="U1582" s="249"/>
      <c r="V1582" s="249"/>
      <c r="W1582" s="249"/>
      <c r="X1582" s="249"/>
      <c r="Y1582" s="249"/>
      <c r="Z1582" s="249"/>
    </row>
    <row r="1583" spans="1:26" s="152" customFormat="1" x14ac:dyDescent="0.25">
      <c r="A1583" s="249"/>
      <c r="B1583" s="249"/>
      <c r="C1583" s="249"/>
      <c r="D1583" s="249"/>
      <c r="E1583" s="249"/>
      <c r="F1583" s="249"/>
      <c r="G1583" s="249"/>
      <c r="H1583" s="249"/>
      <c r="I1583" s="258"/>
      <c r="J1583" s="249"/>
      <c r="K1583" s="249"/>
      <c r="L1583" s="249"/>
      <c r="M1583" s="259"/>
      <c r="N1583" s="249"/>
      <c r="O1583" s="249"/>
      <c r="P1583" s="249"/>
      <c r="Q1583" s="249"/>
      <c r="R1583" s="249"/>
      <c r="S1583" s="249"/>
      <c r="T1583" s="249"/>
      <c r="U1583" s="249"/>
      <c r="V1583" s="249"/>
      <c r="W1583" s="249"/>
      <c r="X1583" s="249"/>
      <c r="Y1583" s="249"/>
      <c r="Z1583" s="249"/>
    </row>
    <row r="1584" spans="1:26" s="152" customFormat="1" x14ac:dyDescent="0.25">
      <c r="A1584" s="249"/>
      <c r="B1584" s="249"/>
      <c r="C1584" s="249"/>
      <c r="D1584" s="249"/>
      <c r="E1584" s="249"/>
      <c r="F1584" s="249"/>
      <c r="G1584" s="249"/>
      <c r="H1584" s="249"/>
      <c r="I1584" s="258"/>
      <c r="J1584" s="249"/>
      <c r="K1584" s="249"/>
      <c r="L1584" s="249"/>
      <c r="M1584" s="259"/>
      <c r="N1584" s="249"/>
      <c r="O1584" s="249"/>
      <c r="P1584" s="249"/>
      <c r="Q1584" s="249"/>
      <c r="R1584" s="249"/>
      <c r="S1584" s="249"/>
      <c r="T1584" s="249"/>
      <c r="U1584" s="249"/>
      <c r="V1584" s="249"/>
      <c r="W1584" s="249"/>
      <c r="X1584" s="249"/>
      <c r="Y1584" s="249"/>
      <c r="Z1584" s="249"/>
    </row>
    <row r="1585" spans="1:26" s="152" customFormat="1" x14ac:dyDescent="0.25">
      <c r="A1585" s="249"/>
      <c r="B1585" s="249"/>
      <c r="C1585" s="249"/>
      <c r="D1585" s="249"/>
      <c r="E1585" s="249"/>
      <c r="F1585" s="249"/>
      <c r="G1585" s="249"/>
      <c r="H1585" s="249"/>
      <c r="I1585" s="258"/>
      <c r="J1585" s="249"/>
      <c r="K1585" s="249"/>
      <c r="L1585" s="249"/>
      <c r="M1585" s="259"/>
      <c r="N1585" s="249"/>
      <c r="O1585" s="249"/>
      <c r="P1585" s="249"/>
      <c r="Q1585" s="249"/>
      <c r="R1585" s="249"/>
      <c r="S1585" s="249"/>
      <c r="T1585" s="249"/>
      <c r="U1585" s="249"/>
      <c r="V1585" s="249"/>
      <c r="W1585" s="249"/>
      <c r="X1585" s="249"/>
      <c r="Y1585" s="249"/>
      <c r="Z1585" s="249"/>
    </row>
    <row r="1586" spans="1:26" s="152" customFormat="1" x14ac:dyDescent="0.25">
      <c r="A1586" s="249"/>
      <c r="B1586" s="249"/>
      <c r="C1586" s="249"/>
      <c r="D1586" s="249"/>
      <c r="E1586" s="249"/>
      <c r="F1586" s="249"/>
      <c r="G1586" s="249"/>
      <c r="H1586" s="249"/>
      <c r="I1586" s="258"/>
      <c r="J1586" s="249"/>
      <c r="K1586" s="249"/>
      <c r="L1586" s="249"/>
      <c r="M1586" s="259"/>
      <c r="N1586" s="249"/>
      <c r="O1586" s="249"/>
      <c r="P1586" s="249"/>
      <c r="Q1586" s="249"/>
      <c r="R1586" s="249"/>
      <c r="S1586" s="249"/>
      <c r="T1586" s="249"/>
      <c r="U1586" s="249"/>
      <c r="V1586" s="249"/>
      <c r="W1586" s="249"/>
      <c r="X1586" s="249"/>
      <c r="Y1586" s="249"/>
      <c r="Z1586" s="249"/>
    </row>
    <row r="1587" spans="1:26" s="152" customFormat="1" x14ac:dyDescent="0.25">
      <c r="A1587" s="249"/>
      <c r="B1587" s="249"/>
      <c r="C1587" s="249"/>
      <c r="D1587" s="249"/>
      <c r="E1587" s="249"/>
      <c r="F1587" s="249"/>
      <c r="G1587" s="249"/>
      <c r="H1587" s="249"/>
      <c r="I1587" s="258"/>
      <c r="J1587" s="249"/>
      <c r="K1587" s="249"/>
      <c r="L1587" s="249"/>
      <c r="M1587" s="259"/>
      <c r="N1587" s="249"/>
      <c r="O1587" s="249"/>
      <c r="P1587" s="249"/>
      <c r="Q1587" s="249"/>
      <c r="R1587" s="249"/>
      <c r="S1587" s="249"/>
      <c r="T1587" s="249"/>
      <c r="U1587" s="249"/>
      <c r="V1587" s="249"/>
      <c r="W1587" s="249"/>
      <c r="X1587" s="249"/>
      <c r="Y1587" s="249"/>
      <c r="Z1587" s="249"/>
    </row>
    <row r="1588" spans="1:26" s="152" customFormat="1" x14ac:dyDescent="0.25">
      <c r="A1588" s="249"/>
      <c r="B1588" s="249"/>
      <c r="C1588" s="249"/>
      <c r="D1588" s="249"/>
      <c r="E1588" s="249"/>
      <c r="F1588" s="249"/>
      <c r="G1588" s="249"/>
      <c r="H1588" s="249"/>
      <c r="I1588" s="258"/>
      <c r="J1588" s="249"/>
      <c r="K1588" s="249"/>
      <c r="L1588" s="249"/>
      <c r="M1588" s="259"/>
      <c r="N1588" s="249"/>
      <c r="O1588" s="249"/>
      <c r="P1588" s="249"/>
      <c r="Q1588" s="249"/>
      <c r="R1588" s="249"/>
      <c r="S1588" s="249"/>
      <c r="T1588" s="249"/>
      <c r="U1588" s="249"/>
      <c r="V1588" s="249"/>
      <c r="W1588" s="249"/>
      <c r="X1588" s="249"/>
      <c r="Y1588" s="249"/>
      <c r="Z1588" s="249"/>
    </row>
    <row r="1589" spans="1:26" s="152" customFormat="1" x14ac:dyDescent="0.25">
      <c r="A1589" s="249"/>
      <c r="B1589" s="249"/>
      <c r="C1589" s="249"/>
      <c r="D1589" s="249"/>
      <c r="E1589" s="249"/>
      <c r="F1589" s="249"/>
      <c r="G1589" s="249"/>
      <c r="H1589" s="249"/>
      <c r="I1589" s="258"/>
      <c r="J1589" s="249"/>
      <c r="K1589" s="249"/>
      <c r="L1589" s="249"/>
      <c r="M1589" s="259"/>
      <c r="N1589" s="249"/>
      <c r="O1589" s="249"/>
      <c r="P1589" s="249"/>
      <c r="Q1589" s="249"/>
      <c r="R1589" s="249"/>
      <c r="S1589" s="249"/>
      <c r="T1589" s="249"/>
      <c r="U1589" s="249"/>
      <c r="V1589" s="249"/>
      <c r="W1589" s="249"/>
      <c r="X1589" s="249"/>
      <c r="Y1589" s="249"/>
      <c r="Z1589" s="249"/>
    </row>
    <row r="1590" spans="1:26" s="152" customFormat="1" x14ac:dyDescent="0.25">
      <c r="A1590" s="249"/>
      <c r="B1590" s="249"/>
      <c r="C1590" s="249"/>
      <c r="D1590" s="249"/>
      <c r="E1590" s="249"/>
      <c r="F1590" s="249"/>
      <c r="G1590" s="249"/>
      <c r="H1590" s="249"/>
      <c r="I1590" s="258"/>
      <c r="J1590" s="249"/>
      <c r="K1590" s="249"/>
      <c r="L1590" s="249"/>
      <c r="M1590" s="259"/>
      <c r="N1590" s="249"/>
      <c r="O1590" s="249"/>
      <c r="P1590" s="249"/>
      <c r="Q1590" s="249"/>
      <c r="R1590" s="249"/>
      <c r="S1590" s="249"/>
      <c r="T1590" s="249"/>
      <c r="U1590" s="249"/>
      <c r="V1590" s="249"/>
      <c r="W1590" s="249"/>
      <c r="X1590" s="249"/>
      <c r="Y1590" s="249"/>
      <c r="Z1590" s="249"/>
    </row>
    <row r="1591" spans="1:26" s="152" customFormat="1" x14ac:dyDescent="0.25">
      <c r="A1591" s="249"/>
      <c r="B1591" s="249"/>
      <c r="C1591" s="249"/>
      <c r="D1591" s="249"/>
      <c r="E1591" s="249"/>
      <c r="F1591" s="249"/>
      <c r="G1591" s="249"/>
      <c r="H1591" s="249"/>
      <c r="I1591" s="258"/>
      <c r="J1591" s="249"/>
      <c r="K1591" s="249"/>
      <c r="L1591" s="249"/>
      <c r="M1591" s="259"/>
      <c r="N1591" s="249"/>
      <c r="O1591" s="249"/>
      <c r="P1591" s="249"/>
      <c r="Q1591" s="249"/>
      <c r="R1591" s="249"/>
      <c r="S1591" s="249"/>
      <c r="T1591" s="249"/>
      <c r="U1591" s="249"/>
      <c r="V1591" s="249"/>
      <c r="W1591" s="249"/>
      <c r="X1591" s="249"/>
      <c r="Y1591" s="249"/>
      <c r="Z1591" s="249"/>
    </row>
    <row r="1592" spans="1:26" s="152" customFormat="1" x14ac:dyDescent="0.25">
      <c r="A1592" s="249"/>
      <c r="B1592" s="249"/>
      <c r="C1592" s="249"/>
      <c r="D1592" s="249"/>
      <c r="E1592" s="249"/>
      <c r="F1592" s="249"/>
      <c r="G1592" s="249"/>
      <c r="H1592" s="249"/>
      <c r="I1592" s="258"/>
      <c r="J1592" s="249"/>
      <c r="K1592" s="249"/>
      <c r="L1592" s="249"/>
      <c r="M1592" s="259"/>
      <c r="N1592" s="249"/>
      <c r="O1592" s="249"/>
      <c r="P1592" s="249"/>
      <c r="Q1592" s="249"/>
      <c r="R1592" s="249"/>
      <c r="S1592" s="249"/>
      <c r="T1592" s="249"/>
      <c r="U1592" s="249"/>
      <c r="V1592" s="249"/>
      <c r="W1592" s="249"/>
      <c r="X1592" s="249"/>
      <c r="Y1592" s="249"/>
      <c r="Z1592" s="249"/>
    </row>
    <row r="1593" spans="1:26" s="152" customFormat="1" x14ac:dyDescent="0.25">
      <c r="A1593" s="249"/>
      <c r="B1593" s="249"/>
      <c r="C1593" s="249"/>
      <c r="D1593" s="249"/>
      <c r="E1593" s="249"/>
      <c r="F1593" s="249"/>
      <c r="G1593" s="249"/>
      <c r="H1593" s="249"/>
      <c r="I1593" s="258"/>
      <c r="J1593" s="249"/>
      <c r="K1593" s="249"/>
      <c r="L1593" s="249"/>
      <c r="M1593" s="259"/>
      <c r="N1593" s="249"/>
      <c r="O1593" s="249"/>
      <c r="P1593" s="249"/>
      <c r="Q1593" s="249"/>
      <c r="R1593" s="249"/>
      <c r="S1593" s="249"/>
      <c r="T1593" s="249"/>
      <c r="U1593" s="249"/>
      <c r="V1593" s="249"/>
      <c r="W1593" s="249"/>
      <c r="X1593" s="249"/>
      <c r="Y1593" s="249"/>
      <c r="Z1593" s="249"/>
    </row>
    <row r="1594" spans="1:26" s="152" customFormat="1" x14ac:dyDescent="0.25">
      <c r="A1594" s="249"/>
      <c r="B1594" s="249"/>
      <c r="C1594" s="249"/>
      <c r="D1594" s="249"/>
      <c r="E1594" s="249"/>
      <c r="F1594" s="249"/>
      <c r="G1594" s="249"/>
      <c r="H1594" s="249"/>
      <c r="I1594" s="258"/>
      <c r="J1594" s="249"/>
      <c r="K1594" s="249"/>
      <c r="L1594" s="249"/>
      <c r="M1594" s="259"/>
      <c r="N1594" s="249"/>
      <c r="O1594" s="249"/>
      <c r="P1594" s="249"/>
      <c r="Q1594" s="249"/>
      <c r="R1594" s="249"/>
      <c r="S1594" s="249"/>
      <c r="T1594" s="249"/>
      <c r="U1594" s="249"/>
      <c r="V1594" s="249"/>
      <c r="W1594" s="249"/>
      <c r="X1594" s="249"/>
      <c r="Y1594" s="249"/>
      <c r="Z1594" s="249"/>
    </row>
    <row r="1595" spans="1:26" s="152" customFormat="1" x14ac:dyDescent="0.25">
      <c r="A1595" s="249"/>
      <c r="B1595" s="249"/>
      <c r="C1595" s="249"/>
      <c r="D1595" s="249"/>
      <c r="E1595" s="249"/>
      <c r="F1595" s="249"/>
      <c r="G1595" s="249"/>
      <c r="H1595" s="249"/>
      <c r="I1595" s="258"/>
      <c r="J1595" s="249"/>
      <c r="K1595" s="249"/>
      <c r="L1595" s="249"/>
      <c r="M1595" s="259"/>
      <c r="N1595" s="249"/>
      <c r="O1595" s="249"/>
      <c r="P1595" s="249"/>
      <c r="Q1595" s="249"/>
      <c r="R1595" s="249"/>
      <c r="S1595" s="249"/>
      <c r="T1595" s="249"/>
      <c r="U1595" s="249"/>
      <c r="V1595" s="249"/>
      <c r="W1595" s="249"/>
      <c r="X1595" s="249"/>
      <c r="Y1595" s="249"/>
      <c r="Z1595" s="249"/>
    </row>
    <row r="1596" spans="1:26" s="152" customFormat="1" x14ac:dyDescent="0.25">
      <c r="A1596" s="249"/>
      <c r="B1596" s="249"/>
      <c r="C1596" s="249"/>
      <c r="D1596" s="249"/>
      <c r="E1596" s="249"/>
      <c r="F1596" s="249"/>
      <c r="G1596" s="249"/>
      <c r="H1596" s="249"/>
      <c r="I1596" s="258"/>
      <c r="J1596" s="249"/>
      <c r="K1596" s="249"/>
      <c r="L1596" s="249"/>
      <c r="M1596" s="259"/>
      <c r="N1596" s="249"/>
      <c r="O1596" s="249"/>
      <c r="P1596" s="249"/>
      <c r="Q1596" s="249"/>
      <c r="R1596" s="249"/>
      <c r="S1596" s="249"/>
      <c r="T1596" s="249"/>
      <c r="U1596" s="249"/>
      <c r="V1596" s="249"/>
      <c r="W1596" s="249"/>
      <c r="X1596" s="249"/>
      <c r="Y1596" s="249"/>
      <c r="Z1596" s="249"/>
    </row>
    <row r="1597" spans="1:26" s="152" customFormat="1" x14ac:dyDescent="0.25">
      <c r="A1597" s="249"/>
      <c r="B1597" s="249"/>
      <c r="C1597" s="249"/>
      <c r="D1597" s="249"/>
      <c r="E1597" s="249"/>
      <c r="F1597" s="249"/>
      <c r="G1597" s="249"/>
      <c r="H1597" s="249"/>
      <c r="I1597" s="258"/>
      <c r="J1597" s="249"/>
      <c r="K1597" s="249"/>
      <c r="L1597" s="249"/>
      <c r="M1597" s="259"/>
      <c r="N1597" s="249"/>
      <c r="O1597" s="249"/>
      <c r="P1597" s="249"/>
      <c r="Q1597" s="249"/>
      <c r="R1597" s="249"/>
      <c r="S1597" s="249"/>
      <c r="T1597" s="249"/>
      <c r="U1597" s="249"/>
      <c r="V1597" s="249"/>
      <c r="W1597" s="249"/>
      <c r="X1597" s="249"/>
      <c r="Y1597" s="249"/>
      <c r="Z1597" s="249"/>
    </row>
    <row r="1598" spans="1:26" s="152" customFormat="1" x14ac:dyDescent="0.25">
      <c r="A1598" s="249"/>
      <c r="B1598" s="249"/>
      <c r="C1598" s="249"/>
      <c r="D1598" s="249"/>
      <c r="E1598" s="249"/>
      <c r="F1598" s="249"/>
      <c r="G1598" s="249"/>
      <c r="H1598" s="249"/>
      <c r="I1598" s="258"/>
      <c r="J1598" s="249"/>
      <c r="K1598" s="249"/>
      <c r="L1598" s="249"/>
      <c r="M1598" s="259"/>
      <c r="N1598" s="249"/>
      <c r="O1598" s="249"/>
      <c r="P1598" s="249"/>
      <c r="Q1598" s="249"/>
      <c r="R1598" s="249"/>
      <c r="S1598" s="249"/>
      <c r="T1598" s="249"/>
      <c r="U1598" s="249"/>
      <c r="V1598" s="249"/>
      <c r="W1598" s="249"/>
      <c r="X1598" s="249"/>
      <c r="Y1598" s="249"/>
      <c r="Z1598" s="249"/>
    </row>
    <row r="1599" spans="1:26" s="152" customFormat="1" x14ac:dyDescent="0.25">
      <c r="A1599" s="249"/>
      <c r="B1599" s="249"/>
      <c r="C1599" s="249"/>
      <c r="D1599" s="249"/>
      <c r="E1599" s="249"/>
      <c r="F1599" s="249"/>
      <c r="G1599" s="249"/>
      <c r="H1599" s="249"/>
      <c r="I1599" s="258"/>
      <c r="J1599" s="249"/>
      <c r="K1599" s="249"/>
      <c r="L1599" s="249"/>
      <c r="M1599" s="259"/>
      <c r="N1599" s="249"/>
      <c r="O1599" s="249"/>
      <c r="P1599" s="249"/>
      <c r="Q1599" s="249"/>
      <c r="R1599" s="249"/>
      <c r="S1599" s="249"/>
      <c r="T1599" s="249"/>
      <c r="U1599" s="249"/>
      <c r="V1599" s="249"/>
      <c r="W1599" s="249"/>
      <c r="X1599" s="249"/>
      <c r="Y1599" s="249"/>
      <c r="Z1599" s="249"/>
    </row>
    <row r="1600" spans="1:26" s="152" customFormat="1" x14ac:dyDescent="0.25">
      <c r="A1600" s="249"/>
      <c r="B1600" s="249"/>
      <c r="C1600" s="249"/>
      <c r="D1600" s="249"/>
      <c r="E1600" s="249"/>
      <c r="F1600" s="249"/>
      <c r="G1600" s="249"/>
      <c r="H1600" s="249"/>
      <c r="I1600" s="258"/>
      <c r="J1600" s="249"/>
      <c r="K1600" s="249"/>
      <c r="L1600" s="249"/>
      <c r="M1600" s="259"/>
      <c r="N1600" s="249"/>
      <c r="O1600" s="249"/>
      <c r="P1600" s="249"/>
      <c r="Q1600" s="249"/>
      <c r="R1600" s="249"/>
      <c r="S1600" s="249"/>
      <c r="T1600" s="249"/>
      <c r="U1600" s="249"/>
      <c r="V1600" s="249"/>
      <c r="W1600" s="249"/>
      <c r="X1600" s="249"/>
      <c r="Y1600" s="249"/>
      <c r="Z1600" s="249"/>
    </row>
    <row r="1601" spans="1:26" s="152" customFormat="1" x14ac:dyDescent="0.25">
      <c r="A1601" s="249"/>
      <c r="B1601" s="249"/>
      <c r="C1601" s="249"/>
      <c r="D1601" s="249"/>
      <c r="E1601" s="249"/>
      <c r="F1601" s="249"/>
      <c r="G1601" s="249"/>
      <c r="H1601" s="249"/>
      <c r="I1601" s="258"/>
      <c r="J1601" s="249"/>
      <c r="K1601" s="249"/>
      <c r="L1601" s="249"/>
      <c r="M1601" s="259"/>
      <c r="N1601" s="249"/>
      <c r="O1601" s="249"/>
      <c r="P1601" s="249"/>
      <c r="Q1601" s="249"/>
      <c r="R1601" s="249"/>
      <c r="S1601" s="249"/>
      <c r="T1601" s="249"/>
      <c r="U1601" s="249"/>
      <c r="V1601" s="249"/>
      <c r="W1601" s="249"/>
      <c r="X1601" s="249"/>
      <c r="Y1601" s="249"/>
      <c r="Z1601" s="249"/>
    </row>
    <row r="1602" spans="1:26" s="152" customFormat="1" x14ac:dyDescent="0.25">
      <c r="A1602" s="249"/>
      <c r="B1602" s="249"/>
      <c r="C1602" s="249"/>
      <c r="D1602" s="249"/>
      <c r="E1602" s="249"/>
      <c r="F1602" s="249"/>
      <c r="G1602" s="249"/>
      <c r="H1602" s="249"/>
      <c r="I1602" s="258"/>
      <c r="J1602" s="249"/>
      <c r="K1602" s="249"/>
      <c r="L1602" s="249"/>
      <c r="M1602" s="259"/>
      <c r="N1602" s="249"/>
      <c r="O1602" s="249"/>
      <c r="P1602" s="249"/>
      <c r="Q1602" s="249"/>
      <c r="R1602" s="249"/>
      <c r="S1602" s="249"/>
      <c r="T1602" s="249"/>
      <c r="U1602" s="249"/>
      <c r="V1602" s="249"/>
      <c r="W1602" s="249"/>
      <c r="X1602" s="249"/>
      <c r="Y1602" s="249"/>
      <c r="Z1602" s="249"/>
    </row>
    <row r="1603" spans="1:26" s="152" customFormat="1" x14ac:dyDescent="0.25">
      <c r="A1603" s="249"/>
      <c r="B1603" s="249"/>
      <c r="C1603" s="249"/>
      <c r="D1603" s="249"/>
      <c r="E1603" s="249"/>
      <c r="F1603" s="249"/>
      <c r="G1603" s="249"/>
      <c r="H1603" s="249"/>
      <c r="I1603" s="258"/>
      <c r="J1603" s="249"/>
      <c r="K1603" s="249"/>
      <c r="L1603" s="249"/>
      <c r="M1603" s="259"/>
      <c r="N1603" s="249"/>
      <c r="O1603" s="249"/>
      <c r="P1603" s="249"/>
      <c r="Q1603" s="249"/>
      <c r="R1603" s="249"/>
      <c r="S1603" s="249"/>
      <c r="T1603" s="249"/>
      <c r="U1603" s="249"/>
      <c r="V1603" s="249"/>
      <c r="W1603" s="249"/>
      <c r="X1603" s="249"/>
      <c r="Y1603" s="249"/>
      <c r="Z1603" s="249"/>
    </row>
    <row r="1604" spans="1:26" s="152" customFormat="1" x14ac:dyDescent="0.25">
      <c r="A1604" s="249"/>
      <c r="B1604" s="249"/>
      <c r="C1604" s="249"/>
      <c r="D1604" s="249"/>
      <c r="E1604" s="249"/>
      <c r="F1604" s="249"/>
      <c r="G1604" s="249"/>
      <c r="H1604" s="249"/>
      <c r="I1604" s="258"/>
      <c r="J1604" s="249"/>
      <c r="K1604" s="249"/>
      <c r="L1604" s="249"/>
      <c r="M1604" s="259"/>
      <c r="N1604" s="249"/>
      <c r="O1604" s="249"/>
      <c r="P1604" s="249"/>
      <c r="Q1604" s="249"/>
      <c r="R1604" s="249"/>
      <c r="S1604" s="249"/>
      <c r="T1604" s="249"/>
      <c r="U1604" s="249"/>
      <c r="V1604" s="249"/>
      <c r="W1604" s="249"/>
      <c r="X1604" s="249"/>
      <c r="Y1604" s="249"/>
      <c r="Z1604" s="249"/>
    </row>
    <row r="1605" spans="1:26" s="152" customFormat="1" x14ac:dyDescent="0.25">
      <c r="A1605" s="249"/>
      <c r="B1605" s="249"/>
      <c r="C1605" s="249"/>
      <c r="D1605" s="249"/>
      <c r="E1605" s="249"/>
      <c r="F1605" s="249"/>
      <c r="G1605" s="249"/>
      <c r="H1605" s="249"/>
      <c r="I1605" s="258"/>
      <c r="J1605" s="249"/>
      <c r="K1605" s="249"/>
      <c r="L1605" s="249"/>
      <c r="M1605" s="259"/>
      <c r="N1605" s="249"/>
      <c r="O1605" s="249"/>
      <c r="P1605" s="249"/>
      <c r="Q1605" s="249"/>
      <c r="R1605" s="249"/>
      <c r="S1605" s="249"/>
      <c r="T1605" s="249"/>
      <c r="U1605" s="249"/>
      <c r="V1605" s="249"/>
      <c r="W1605" s="249"/>
      <c r="X1605" s="249"/>
      <c r="Y1605" s="249"/>
      <c r="Z1605" s="249"/>
    </row>
    <row r="1606" spans="1:26" s="152" customFormat="1" x14ac:dyDescent="0.25">
      <c r="A1606" s="249"/>
      <c r="B1606" s="249"/>
      <c r="C1606" s="249"/>
      <c r="D1606" s="249"/>
      <c r="E1606" s="249"/>
      <c r="F1606" s="249"/>
      <c r="G1606" s="249"/>
      <c r="H1606" s="249"/>
      <c r="I1606" s="258"/>
      <c r="J1606" s="249"/>
      <c r="K1606" s="249"/>
      <c r="L1606" s="249"/>
      <c r="M1606" s="259"/>
      <c r="N1606" s="249"/>
      <c r="O1606" s="249"/>
      <c r="P1606" s="249"/>
      <c r="Q1606" s="249"/>
      <c r="R1606" s="249"/>
      <c r="S1606" s="249"/>
      <c r="T1606" s="249"/>
      <c r="U1606" s="249"/>
      <c r="V1606" s="249"/>
      <c r="W1606" s="249"/>
      <c r="X1606" s="249"/>
      <c r="Y1606" s="249"/>
      <c r="Z1606" s="249"/>
    </row>
    <row r="1607" spans="1:26" s="152" customFormat="1" x14ac:dyDescent="0.25">
      <c r="A1607" s="249"/>
      <c r="B1607" s="249"/>
      <c r="C1607" s="249"/>
      <c r="D1607" s="249"/>
      <c r="E1607" s="249"/>
      <c r="F1607" s="249"/>
      <c r="G1607" s="249"/>
      <c r="H1607" s="249"/>
      <c r="I1607" s="258"/>
      <c r="J1607" s="249"/>
      <c r="K1607" s="249"/>
      <c r="L1607" s="249"/>
      <c r="M1607" s="259"/>
      <c r="N1607" s="249"/>
      <c r="O1607" s="249"/>
      <c r="P1607" s="249"/>
      <c r="Q1607" s="249"/>
      <c r="R1607" s="249"/>
      <c r="S1607" s="249"/>
      <c r="T1607" s="249"/>
      <c r="U1607" s="249"/>
      <c r="V1607" s="249"/>
      <c r="W1607" s="249"/>
      <c r="X1607" s="249"/>
      <c r="Y1607" s="249"/>
      <c r="Z1607" s="249"/>
    </row>
    <row r="1608" spans="1:26" s="152" customFormat="1" x14ac:dyDescent="0.25">
      <c r="A1608" s="249"/>
      <c r="B1608" s="249"/>
      <c r="C1608" s="249"/>
      <c r="D1608" s="249"/>
      <c r="E1608" s="249"/>
      <c r="F1608" s="249"/>
      <c r="G1608" s="249"/>
      <c r="H1608" s="249"/>
      <c r="I1608" s="258"/>
      <c r="J1608" s="249"/>
      <c r="K1608" s="249"/>
      <c r="L1608" s="249"/>
      <c r="M1608" s="259"/>
      <c r="N1608" s="249"/>
      <c r="O1608" s="249"/>
      <c r="P1608" s="249"/>
      <c r="Q1608" s="249"/>
      <c r="R1608" s="249"/>
      <c r="S1608" s="249"/>
      <c r="T1608" s="249"/>
      <c r="U1608" s="249"/>
      <c r="V1608" s="249"/>
      <c r="W1608" s="249"/>
      <c r="X1608" s="249"/>
      <c r="Y1608" s="249"/>
      <c r="Z1608" s="249"/>
    </row>
    <row r="1609" spans="1:26" s="152" customFormat="1" x14ac:dyDescent="0.25">
      <c r="A1609" s="249"/>
      <c r="B1609" s="249"/>
      <c r="C1609" s="249"/>
      <c r="D1609" s="249"/>
      <c r="E1609" s="249"/>
      <c r="F1609" s="249"/>
      <c r="G1609" s="249"/>
      <c r="H1609" s="249"/>
      <c r="I1609" s="258"/>
      <c r="J1609" s="249"/>
      <c r="K1609" s="249"/>
      <c r="L1609" s="249"/>
      <c r="M1609" s="259"/>
      <c r="N1609" s="249"/>
      <c r="O1609" s="249"/>
      <c r="P1609" s="249"/>
      <c r="Q1609" s="249"/>
      <c r="R1609" s="249"/>
      <c r="S1609" s="249"/>
      <c r="T1609" s="249"/>
      <c r="U1609" s="249"/>
      <c r="V1609" s="249"/>
      <c r="W1609" s="249"/>
      <c r="X1609" s="249"/>
      <c r="Y1609" s="249"/>
      <c r="Z1609" s="249"/>
    </row>
    <row r="1610" spans="1:26" s="152" customFormat="1" x14ac:dyDescent="0.25">
      <c r="A1610" s="249"/>
      <c r="B1610" s="249"/>
      <c r="C1610" s="249"/>
      <c r="D1610" s="249"/>
      <c r="E1610" s="249"/>
      <c r="F1610" s="249"/>
      <c r="G1610" s="249"/>
      <c r="H1610" s="249"/>
      <c r="I1610" s="258"/>
      <c r="J1610" s="249"/>
      <c r="K1610" s="249"/>
      <c r="L1610" s="249"/>
      <c r="M1610" s="259"/>
      <c r="N1610" s="249"/>
      <c r="O1610" s="249"/>
      <c r="P1610" s="249"/>
      <c r="Q1610" s="249"/>
      <c r="R1610" s="249"/>
      <c r="S1610" s="249"/>
      <c r="T1610" s="249"/>
      <c r="U1610" s="249"/>
      <c r="V1610" s="249"/>
      <c r="W1610" s="249"/>
      <c r="X1610" s="249"/>
      <c r="Y1610" s="249"/>
      <c r="Z1610" s="249"/>
    </row>
    <row r="1611" spans="1:26" s="152" customFormat="1" x14ac:dyDescent="0.25">
      <c r="A1611" s="249"/>
      <c r="B1611" s="249"/>
      <c r="C1611" s="249"/>
      <c r="D1611" s="249"/>
      <c r="E1611" s="249"/>
      <c r="F1611" s="249"/>
      <c r="G1611" s="249"/>
      <c r="H1611" s="249"/>
      <c r="I1611" s="258"/>
      <c r="J1611" s="249"/>
      <c r="K1611" s="249"/>
      <c r="L1611" s="249"/>
      <c r="M1611" s="259"/>
      <c r="N1611" s="249"/>
      <c r="O1611" s="249"/>
      <c r="P1611" s="249"/>
      <c r="Q1611" s="249"/>
      <c r="R1611" s="249"/>
      <c r="S1611" s="249"/>
      <c r="T1611" s="249"/>
      <c r="U1611" s="249"/>
      <c r="V1611" s="249"/>
      <c r="W1611" s="249"/>
      <c r="X1611" s="249"/>
      <c r="Y1611" s="249"/>
      <c r="Z1611" s="249"/>
    </row>
    <row r="1612" spans="1:26" s="152" customFormat="1" x14ac:dyDescent="0.25">
      <c r="A1612" s="249"/>
      <c r="B1612" s="249"/>
      <c r="C1612" s="249"/>
      <c r="D1612" s="249"/>
      <c r="E1612" s="249"/>
      <c r="F1612" s="249"/>
      <c r="G1612" s="249"/>
      <c r="H1612" s="249"/>
      <c r="I1612" s="258"/>
      <c r="J1612" s="249"/>
      <c r="K1612" s="249"/>
      <c r="L1612" s="249"/>
      <c r="M1612" s="259"/>
      <c r="N1612" s="249"/>
      <c r="O1612" s="249"/>
      <c r="P1612" s="249"/>
      <c r="Q1612" s="249"/>
      <c r="R1612" s="249"/>
      <c r="S1612" s="249"/>
      <c r="T1612" s="249"/>
      <c r="U1612" s="249"/>
      <c r="V1612" s="249"/>
      <c r="W1612" s="249"/>
      <c r="X1612" s="249"/>
      <c r="Y1612" s="249"/>
      <c r="Z1612" s="249"/>
    </row>
    <row r="1613" spans="1:26" s="152" customFormat="1" x14ac:dyDescent="0.25">
      <c r="A1613" s="249"/>
      <c r="B1613" s="249"/>
      <c r="C1613" s="249"/>
      <c r="D1613" s="249"/>
      <c r="E1613" s="249"/>
      <c r="F1613" s="249"/>
      <c r="G1613" s="249"/>
      <c r="H1613" s="249"/>
      <c r="I1613" s="258"/>
      <c r="J1613" s="249"/>
      <c r="K1613" s="249"/>
      <c r="L1613" s="249"/>
      <c r="M1613" s="259"/>
      <c r="N1613" s="249"/>
      <c r="O1613" s="249"/>
      <c r="P1613" s="249"/>
      <c r="Q1613" s="249"/>
      <c r="R1613" s="249"/>
      <c r="S1613" s="249"/>
      <c r="T1613" s="249"/>
      <c r="U1613" s="249"/>
      <c r="V1613" s="249"/>
      <c r="W1613" s="249"/>
      <c r="X1613" s="249"/>
      <c r="Y1613" s="249"/>
      <c r="Z1613" s="249"/>
    </row>
    <row r="1614" spans="1:26" s="152" customFormat="1" x14ac:dyDescent="0.25">
      <c r="A1614" s="249"/>
      <c r="B1614" s="249"/>
      <c r="C1614" s="249"/>
      <c r="D1614" s="249"/>
      <c r="E1614" s="249"/>
      <c r="F1614" s="249"/>
      <c r="G1614" s="249"/>
      <c r="H1614" s="249"/>
      <c r="I1614" s="258"/>
      <c r="J1614" s="249"/>
      <c r="K1614" s="249"/>
      <c r="L1614" s="249"/>
      <c r="M1614" s="259"/>
      <c r="N1614" s="249"/>
      <c r="O1614" s="249"/>
      <c r="P1614" s="249"/>
      <c r="Q1614" s="249"/>
      <c r="R1614" s="249"/>
      <c r="S1614" s="249"/>
      <c r="T1614" s="249"/>
      <c r="U1614" s="249"/>
      <c r="V1614" s="249"/>
      <c r="W1614" s="249"/>
      <c r="X1614" s="249"/>
      <c r="Y1614" s="249"/>
      <c r="Z1614" s="249"/>
    </row>
    <row r="1615" spans="1:26" s="152" customFormat="1" x14ac:dyDescent="0.25">
      <c r="A1615" s="249"/>
      <c r="B1615" s="249"/>
      <c r="C1615" s="249"/>
      <c r="D1615" s="249"/>
      <c r="E1615" s="249"/>
      <c r="F1615" s="249"/>
      <c r="G1615" s="249"/>
      <c r="H1615" s="249"/>
      <c r="I1615" s="258"/>
      <c r="J1615" s="249"/>
      <c r="K1615" s="249"/>
      <c r="L1615" s="249"/>
      <c r="M1615" s="259"/>
      <c r="N1615" s="249"/>
      <c r="O1615" s="249"/>
      <c r="P1615" s="249"/>
      <c r="Q1615" s="249"/>
      <c r="R1615" s="249"/>
      <c r="S1615" s="249"/>
      <c r="T1615" s="249"/>
      <c r="U1615" s="249"/>
      <c r="V1615" s="249"/>
      <c r="W1615" s="249"/>
      <c r="X1615" s="249"/>
      <c r="Y1615" s="249"/>
      <c r="Z1615" s="249"/>
    </row>
    <row r="1616" spans="1:26" s="152" customFormat="1" x14ac:dyDescent="0.25">
      <c r="A1616" s="249"/>
      <c r="B1616" s="249"/>
      <c r="C1616" s="249"/>
      <c r="D1616" s="249"/>
      <c r="E1616" s="249"/>
      <c r="F1616" s="249"/>
      <c r="G1616" s="249"/>
      <c r="H1616" s="249"/>
      <c r="I1616" s="258"/>
      <c r="J1616" s="249"/>
      <c r="K1616" s="249"/>
      <c r="L1616" s="249"/>
      <c r="M1616" s="259"/>
      <c r="N1616" s="249"/>
      <c r="O1616" s="249"/>
      <c r="P1616" s="249"/>
      <c r="Q1616" s="249"/>
      <c r="R1616" s="249"/>
      <c r="S1616" s="249"/>
      <c r="T1616" s="249"/>
      <c r="U1616" s="249"/>
      <c r="V1616" s="249"/>
      <c r="W1616" s="249"/>
      <c r="X1616" s="249"/>
      <c r="Y1616" s="249"/>
      <c r="Z1616" s="249"/>
    </row>
    <row r="1617" spans="1:26" s="152" customFormat="1" x14ac:dyDescent="0.25">
      <c r="A1617" s="249"/>
      <c r="B1617" s="249"/>
      <c r="C1617" s="249"/>
      <c r="D1617" s="249"/>
      <c r="E1617" s="249"/>
      <c r="F1617" s="249"/>
      <c r="G1617" s="249"/>
      <c r="H1617" s="249"/>
      <c r="I1617" s="258"/>
      <c r="J1617" s="249"/>
      <c r="K1617" s="249"/>
      <c r="L1617" s="249"/>
      <c r="M1617" s="259"/>
      <c r="N1617" s="249"/>
      <c r="O1617" s="249"/>
      <c r="P1617" s="249"/>
      <c r="Q1617" s="249"/>
      <c r="R1617" s="249"/>
      <c r="S1617" s="249"/>
      <c r="T1617" s="249"/>
      <c r="U1617" s="249"/>
      <c r="V1617" s="249"/>
      <c r="W1617" s="249"/>
      <c r="X1617" s="249"/>
      <c r="Y1617" s="249"/>
      <c r="Z1617" s="249"/>
    </row>
    <row r="1618" spans="1:26" s="152" customFormat="1" x14ac:dyDescent="0.25">
      <c r="A1618" s="249"/>
      <c r="B1618" s="249"/>
      <c r="C1618" s="249"/>
      <c r="D1618" s="249"/>
      <c r="E1618" s="249"/>
      <c r="F1618" s="249"/>
      <c r="G1618" s="249"/>
      <c r="H1618" s="249"/>
      <c r="I1618" s="258"/>
      <c r="J1618" s="249"/>
      <c r="K1618" s="249"/>
      <c r="L1618" s="249"/>
      <c r="M1618" s="259"/>
      <c r="N1618" s="249"/>
      <c r="O1618" s="249"/>
      <c r="P1618" s="249"/>
      <c r="Q1618" s="249"/>
      <c r="R1618" s="249"/>
      <c r="S1618" s="249"/>
      <c r="T1618" s="249"/>
      <c r="U1618" s="249"/>
      <c r="V1618" s="249"/>
      <c r="W1618" s="249"/>
      <c r="X1618" s="249"/>
      <c r="Y1618" s="249"/>
      <c r="Z1618" s="249"/>
    </row>
    <row r="1619" spans="1:26" s="152" customFormat="1" x14ac:dyDescent="0.25">
      <c r="A1619" s="249"/>
      <c r="B1619" s="249"/>
      <c r="C1619" s="249"/>
      <c r="D1619" s="249"/>
      <c r="E1619" s="249"/>
      <c r="F1619" s="249"/>
      <c r="G1619" s="249"/>
      <c r="H1619" s="249"/>
      <c r="I1619" s="258"/>
      <c r="J1619" s="249"/>
      <c r="K1619" s="249"/>
      <c r="L1619" s="249"/>
      <c r="M1619" s="259"/>
      <c r="N1619" s="249"/>
      <c r="O1619" s="249"/>
      <c r="P1619" s="249"/>
      <c r="Q1619" s="249"/>
      <c r="R1619" s="249"/>
      <c r="S1619" s="249"/>
      <c r="T1619" s="249"/>
      <c r="U1619" s="249"/>
      <c r="V1619" s="249"/>
      <c r="W1619" s="249"/>
      <c r="X1619" s="249"/>
      <c r="Y1619" s="249"/>
      <c r="Z1619" s="249"/>
    </row>
    <row r="1620" spans="1:26" s="152" customFormat="1" x14ac:dyDescent="0.25">
      <c r="A1620" s="249"/>
      <c r="B1620" s="249"/>
      <c r="C1620" s="249"/>
      <c r="D1620" s="249"/>
      <c r="E1620" s="249"/>
      <c r="F1620" s="249"/>
      <c r="G1620" s="249"/>
      <c r="H1620" s="249"/>
      <c r="I1620" s="258"/>
      <c r="J1620" s="249"/>
      <c r="K1620" s="249"/>
      <c r="L1620" s="249"/>
      <c r="M1620" s="259"/>
      <c r="N1620" s="249"/>
      <c r="O1620" s="249"/>
      <c r="P1620" s="249"/>
      <c r="Q1620" s="249"/>
      <c r="R1620" s="249"/>
      <c r="S1620" s="249"/>
      <c r="T1620" s="249"/>
      <c r="U1620" s="249"/>
      <c r="V1620" s="249"/>
      <c r="W1620" s="249"/>
      <c r="X1620" s="249"/>
      <c r="Y1620" s="249"/>
      <c r="Z1620" s="249"/>
    </row>
    <row r="1621" spans="1:26" s="152" customFormat="1" x14ac:dyDescent="0.25">
      <c r="A1621" s="249"/>
      <c r="B1621" s="249"/>
      <c r="C1621" s="249"/>
      <c r="D1621" s="249"/>
      <c r="E1621" s="249"/>
      <c r="F1621" s="249"/>
      <c r="G1621" s="249"/>
      <c r="H1621" s="249"/>
      <c r="I1621" s="258"/>
      <c r="J1621" s="249"/>
      <c r="K1621" s="249"/>
      <c r="L1621" s="249"/>
      <c r="M1621" s="259"/>
      <c r="N1621" s="249"/>
      <c r="O1621" s="249"/>
      <c r="P1621" s="249"/>
      <c r="Q1621" s="249"/>
      <c r="R1621" s="249"/>
      <c r="S1621" s="249"/>
      <c r="T1621" s="249"/>
      <c r="U1621" s="249"/>
      <c r="V1621" s="249"/>
      <c r="W1621" s="249"/>
      <c r="X1621" s="249"/>
      <c r="Y1621" s="249"/>
      <c r="Z1621" s="249"/>
    </row>
    <row r="1622" spans="1:26" s="152" customFormat="1" x14ac:dyDescent="0.25">
      <c r="A1622" s="249"/>
      <c r="B1622" s="249"/>
      <c r="C1622" s="249"/>
      <c r="D1622" s="249"/>
      <c r="E1622" s="249"/>
      <c r="F1622" s="249"/>
      <c r="G1622" s="249"/>
      <c r="H1622" s="249"/>
      <c r="I1622" s="258"/>
      <c r="J1622" s="249"/>
      <c r="K1622" s="249"/>
      <c r="L1622" s="249"/>
      <c r="M1622" s="259"/>
      <c r="N1622" s="249"/>
      <c r="O1622" s="249"/>
      <c r="P1622" s="249"/>
      <c r="Q1622" s="249"/>
      <c r="R1622" s="249"/>
      <c r="S1622" s="249"/>
      <c r="T1622" s="249"/>
      <c r="U1622" s="249"/>
      <c r="V1622" s="249"/>
      <c r="W1622" s="249"/>
      <c r="X1622" s="249"/>
      <c r="Y1622" s="249"/>
      <c r="Z1622" s="249"/>
    </row>
    <row r="1623" spans="1:26" s="152" customFormat="1" x14ac:dyDescent="0.25">
      <c r="A1623" s="249"/>
      <c r="B1623" s="249"/>
      <c r="C1623" s="249"/>
      <c r="D1623" s="249"/>
      <c r="E1623" s="249"/>
      <c r="F1623" s="249"/>
      <c r="G1623" s="249"/>
      <c r="H1623" s="249"/>
      <c r="I1623" s="258"/>
      <c r="J1623" s="249"/>
      <c r="K1623" s="249"/>
      <c r="L1623" s="249"/>
      <c r="M1623" s="259"/>
      <c r="N1623" s="249"/>
      <c r="O1623" s="249"/>
      <c r="P1623" s="249"/>
      <c r="Q1623" s="249"/>
      <c r="R1623" s="249"/>
      <c r="S1623" s="249"/>
      <c r="T1623" s="249"/>
      <c r="U1623" s="249"/>
      <c r="V1623" s="249"/>
      <c r="W1623" s="249"/>
      <c r="X1623" s="249"/>
      <c r="Y1623" s="249"/>
      <c r="Z1623" s="249"/>
    </row>
    <row r="1624" spans="1:26" s="152" customFormat="1" x14ac:dyDescent="0.25">
      <c r="A1624" s="249"/>
      <c r="B1624" s="249"/>
      <c r="C1624" s="249"/>
      <c r="D1624" s="249"/>
      <c r="E1624" s="249"/>
      <c r="F1624" s="249"/>
      <c r="G1624" s="249"/>
      <c r="H1624" s="249"/>
      <c r="I1624" s="258"/>
      <c r="J1624" s="249"/>
      <c r="K1624" s="249"/>
      <c r="L1624" s="249"/>
      <c r="M1624" s="259"/>
      <c r="N1624" s="249"/>
      <c r="O1624" s="249"/>
      <c r="P1624" s="249"/>
      <c r="Q1624" s="249"/>
      <c r="R1624" s="249"/>
      <c r="S1624" s="249"/>
      <c r="T1624" s="249"/>
      <c r="U1624" s="249"/>
      <c r="V1624" s="249"/>
      <c r="W1624" s="249"/>
      <c r="X1624" s="249"/>
      <c r="Y1624" s="249"/>
      <c r="Z1624" s="249"/>
    </row>
    <row r="1625" spans="1:26" s="152" customFormat="1" x14ac:dyDescent="0.25">
      <c r="A1625" s="249"/>
      <c r="B1625" s="249"/>
      <c r="C1625" s="249"/>
      <c r="D1625" s="249"/>
      <c r="E1625" s="249"/>
      <c r="F1625" s="249"/>
      <c r="G1625" s="249"/>
      <c r="H1625" s="249"/>
      <c r="I1625" s="258"/>
      <c r="J1625" s="249"/>
      <c r="K1625" s="249"/>
      <c r="L1625" s="249"/>
      <c r="M1625" s="259"/>
      <c r="N1625" s="249"/>
      <c r="O1625" s="249"/>
      <c r="P1625" s="249"/>
      <c r="Q1625" s="249"/>
      <c r="R1625" s="249"/>
      <c r="S1625" s="249"/>
      <c r="T1625" s="249"/>
      <c r="U1625" s="249"/>
      <c r="V1625" s="249"/>
      <c r="W1625" s="249"/>
      <c r="X1625" s="249"/>
      <c r="Y1625" s="249"/>
      <c r="Z1625" s="249"/>
    </row>
    <row r="1626" spans="1:26" s="152" customFormat="1" x14ac:dyDescent="0.25">
      <c r="A1626" s="249"/>
      <c r="B1626" s="249"/>
      <c r="C1626" s="249"/>
      <c r="D1626" s="249"/>
      <c r="E1626" s="249"/>
      <c r="F1626" s="249"/>
      <c r="G1626" s="249"/>
      <c r="H1626" s="249"/>
      <c r="I1626" s="258"/>
      <c r="J1626" s="249"/>
      <c r="K1626" s="249"/>
      <c r="L1626" s="249"/>
      <c r="M1626" s="259"/>
      <c r="N1626" s="249"/>
      <c r="O1626" s="249"/>
      <c r="P1626" s="249"/>
      <c r="Q1626" s="249"/>
      <c r="R1626" s="249"/>
      <c r="S1626" s="249"/>
      <c r="T1626" s="249"/>
      <c r="U1626" s="249"/>
      <c r="V1626" s="249"/>
      <c r="W1626" s="249"/>
      <c r="X1626" s="249"/>
      <c r="Y1626" s="249"/>
      <c r="Z1626" s="249"/>
    </row>
    <row r="1627" spans="1:26" s="152" customFormat="1" x14ac:dyDescent="0.25">
      <c r="A1627" s="249"/>
      <c r="B1627" s="249"/>
      <c r="C1627" s="249"/>
      <c r="D1627" s="249"/>
      <c r="E1627" s="249"/>
      <c r="F1627" s="249"/>
      <c r="G1627" s="249"/>
      <c r="H1627" s="249"/>
      <c r="I1627" s="258"/>
      <c r="J1627" s="249"/>
      <c r="K1627" s="249"/>
      <c r="L1627" s="249"/>
      <c r="M1627" s="259"/>
      <c r="N1627" s="249"/>
      <c r="O1627" s="249"/>
      <c r="P1627" s="249"/>
      <c r="Q1627" s="249"/>
      <c r="R1627" s="249"/>
      <c r="S1627" s="249"/>
      <c r="T1627" s="249"/>
      <c r="U1627" s="249"/>
      <c r="V1627" s="249"/>
      <c r="W1627" s="249"/>
      <c r="X1627" s="249"/>
      <c r="Y1627" s="249"/>
      <c r="Z1627" s="249"/>
    </row>
    <row r="1628" spans="1:26" s="152" customFormat="1" x14ac:dyDescent="0.25">
      <c r="A1628" s="249"/>
      <c r="B1628" s="249"/>
      <c r="C1628" s="249"/>
      <c r="D1628" s="249"/>
      <c r="E1628" s="249"/>
      <c r="F1628" s="249"/>
      <c r="G1628" s="249"/>
      <c r="H1628" s="249"/>
      <c r="I1628" s="258"/>
      <c r="J1628" s="249"/>
      <c r="K1628" s="249"/>
      <c r="L1628" s="249"/>
      <c r="M1628" s="259"/>
      <c r="N1628" s="249"/>
      <c r="O1628" s="249"/>
      <c r="P1628" s="249"/>
      <c r="Q1628" s="249"/>
      <c r="R1628" s="249"/>
      <c r="S1628" s="249"/>
      <c r="T1628" s="249"/>
      <c r="U1628" s="249"/>
      <c r="V1628" s="249"/>
      <c r="W1628" s="249"/>
      <c r="X1628" s="249"/>
      <c r="Y1628" s="249"/>
      <c r="Z1628" s="249"/>
    </row>
    <row r="1629" spans="1:26" s="152" customFormat="1" x14ac:dyDescent="0.25">
      <c r="A1629" s="249"/>
      <c r="B1629" s="249"/>
      <c r="C1629" s="249"/>
      <c r="D1629" s="249"/>
      <c r="E1629" s="249"/>
      <c r="F1629" s="249"/>
      <c r="G1629" s="249"/>
      <c r="H1629" s="249"/>
      <c r="I1629" s="258"/>
      <c r="J1629" s="249"/>
      <c r="K1629" s="249"/>
      <c r="L1629" s="249"/>
      <c r="M1629" s="259"/>
      <c r="N1629" s="249"/>
      <c r="O1629" s="249"/>
      <c r="P1629" s="249"/>
      <c r="Q1629" s="249"/>
      <c r="R1629" s="249"/>
      <c r="S1629" s="249"/>
      <c r="T1629" s="249"/>
      <c r="U1629" s="249"/>
      <c r="V1629" s="249"/>
      <c r="W1629" s="249"/>
      <c r="X1629" s="249"/>
      <c r="Y1629" s="249"/>
      <c r="Z1629" s="249"/>
    </row>
    <row r="1630" spans="1:26" s="152" customFormat="1" x14ac:dyDescent="0.25">
      <c r="A1630" s="249"/>
      <c r="B1630" s="249"/>
      <c r="C1630" s="249"/>
      <c r="D1630" s="249"/>
      <c r="E1630" s="249"/>
      <c r="F1630" s="249"/>
      <c r="G1630" s="249"/>
      <c r="H1630" s="249"/>
      <c r="I1630" s="258"/>
      <c r="J1630" s="249"/>
      <c r="K1630" s="249"/>
      <c r="L1630" s="249"/>
      <c r="M1630" s="259"/>
      <c r="N1630" s="249"/>
      <c r="O1630" s="249"/>
      <c r="P1630" s="249"/>
      <c r="Q1630" s="249"/>
      <c r="R1630" s="249"/>
      <c r="S1630" s="249"/>
      <c r="T1630" s="249"/>
      <c r="U1630" s="249"/>
      <c r="V1630" s="249"/>
      <c r="W1630" s="249"/>
      <c r="X1630" s="249"/>
      <c r="Y1630" s="249"/>
      <c r="Z1630" s="249"/>
    </row>
    <row r="1631" spans="1:26" s="152" customFormat="1" x14ac:dyDescent="0.25">
      <c r="A1631" s="249"/>
      <c r="B1631" s="249"/>
      <c r="C1631" s="249"/>
      <c r="D1631" s="249"/>
      <c r="E1631" s="249"/>
      <c r="F1631" s="249"/>
      <c r="G1631" s="249"/>
      <c r="H1631" s="249"/>
      <c r="I1631" s="258"/>
      <c r="J1631" s="249"/>
      <c r="K1631" s="249"/>
      <c r="L1631" s="249"/>
      <c r="M1631" s="259"/>
      <c r="N1631" s="249"/>
      <c r="O1631" s="249"/>
      <c r="P1631" s="249"/>
      <c r="Q1631" s="249"/>
      <c r="R1631" s="249"/>
      <c r="S1631" s="249"/>
      <c r="T1631" s="249"/>
      <c r="U1631" s="249"/>
      <c r="V1631" s="249"/>
      <c r="W1631" s="249"/>
      <c r="X1631" s="249"/>
      <c r="Y1631" s="249"/>
      <c r="Z1631" s="249"/>
    </row>
    <row r="1632" spans="1:26" s="152" customFormat="1" x14ac:dyDescent="0.25">
      <c r="A1632" s="249"/>
      <c r="B1632" s="249"/>
      <c r="C1632" s="249"/>
      <c r="D1632" s="249"/>
      <c r="E1632" s="249"/>
      <c r="F1632" s="249"/>
      <c r="G1632" s="249"/>
      <c r="H1632" s="249"/>
      <c r="I1632" s="258"/>
      <c r="J1632" s="249"/>
      <c r="K1632" s="249"/>
      <c r="L1632" s="249"/>
      <c r="M1632" s="259"/>
      <c r="N1632" s="249"/>
      <c r="O1632" s="249"/>
      <c r="P1632" s="249"/>
      <c r="Q1632" s="249"/>
      <c r="R1632" s="249"/>
      <c r="S1632" s="249"/>
      <c r="T1632" s="249"/>
      <c r="U1632" s="249"/>
      <c r="V1632" s="249"/>
      <c r="W1632" s="249"/>
      <c r="X1632" s="249"/>
      <c r="Y1632" s="249"/>
      <c r="Z1632" s="249"/>
    </row>
    <row r="1633" spans="1:26" s="152" customFormat="1" x14ac:dyDescent="0.25">
      <c r="A1633" s="249"/>
      <c r="B1633" s="249"/>
      <c r="C1633" s="249"/>
      <c r="D1633" s="249"/>
      <c r="E1633" s="249"/>
      <c r="F1633" s="249"/>
      <c r="G1633" s="249"/>
      <c r="H1633" s="249"/>
      <c r="I1633" s="258"/>
      <c r="J1633" s="249"/>
      <c r="K1633" s="249"/>
      <c r="L1633" s="249"/>
      <c r="M1633" s="259"/>
      <c r="N1633" s="249"/>
      <c r="O1633" s="249"/>
      <c r="P1633" s="249"/>
      <c r="Q1633" s="249"/>
      <c r="R1633" s="249"/>
      <c r="S1633" s="249"/>
      <c r="T1633" s="249"/>
      <c r="U1633" s="249"/>
      <c r="V1633" s="249"/>
      <c r="W1633" s="249"/>
      <c r="X1633" s="249"/>
      <c r="Y1633" s="249"/>
      <c r="Z1633" s="249"/>
    </row>
    <row r="1634" spans="1:26" s="152" customFormat="1" x14ac:dyDescent="0.25">
      <c r="A1634" s="249"/>
      <c r="B1634" s="249"/>
      <c r="C1634" s="249"/>
      <c r="D1634" s="249"/>
      <c r="E1634" s="249"/>
      <c r="F1634" s="249"/>
      <c r="G1634" s="249"/>
      <c r="H1634" s="249"/>
      <c r="I1634" s="258"/>
      <c r="J1634" s="249"/>
      <c r="K1634" s="249"/>
      <c r="L1634" s="249"/>
      <c r="M1634" s="259"/>
      <c r="N1634" s="249"/>
      <c r="O1634" s="249"/>
      <c r="P1634" s="249"/>
      <c r="Q1634" s="249"/>
      <c r="R1634" s="249"/>
      <c r="S1634" s="249"/>
      <c r="T1634" s="249"/>
      <c r="U1634" s="249"/>
      <c r="V1634" s="249"/>
      <c r="W1634" s="249"/>
      <c r="X1634" s="249"/>
      <c r="Y1634" s="249"/>
      <c r="Z1634" s="249"/>
    </row>
    <row r="1635" spans="1:26" s="152" customFormat="1" x14ac:dyDescent="0.25">
      <c r="A1635" s="249"/>
      <c r="B1635" s="249"/>
      <c r="C1635" s="249"/>
      <c r="D1635" s="249"/>
      <c r="E1635" s="249"/>
      <c r="F1635" s="249"/>
      <c r="G1635" s="249"/>
      <c r="H1635" s="249"/>
      <c r="I1635" s="258"/>
      <c r="J1635" s="249"/>
      <c r="K1635" s="249"/>
      <c r="L1635" s="249"/>
      <c r="M1635" s="259"/>
      <c r="N1635" s="249"/>
      <c r="O1635" s="249"/>
      <c r="P1635" s="249"/>
      <c r="Q1635" s="249"/>
      <c r="R1635" s="249"/>
      <c r="S1635" s="249"/>
      <c r="T1635" s="249"/>
      <c r="U1635" s="249"/>
      <c r="V1635" s="249"/>
      <c r="W1635" s="249"/>
      <c r="X1635" s="249"/>
      <c r="Y1635" s="249"/>
      <c r="Z1635" s="249"/>
    </row>
    <row r="1636" spans="1:26" s="152" customFormat="1" x14ac:dyDescent="0.25">
      <c r="A1636" s="249"/>
      <c r="B1636" s="249"/>
      <c r="C1636" s="249"/>
      <c r="D1636" s="249"/>
      <c r="E1636" s="249"/>
      <c r="F1636" s="249"/>
      <c r="G1636" s="249"/>
      <c r="H1636" s="249"/>
      <c r="I1636" s="258"/>
      <c r="J1636" s="249"/>
      <c r="K1636" s="249"/>
      <c r="L1636" s="249"/>
      <c r="M1636" s="259"/>
      <c r="N1636" s="249"/>
      <c r="O1636" s="249"/>
      <c r="P1636" s="249"/>
      <c r="Q1636" s="249"/>
      <c r="R1636" s="249"/>
      <c r="S1636" s="249"/>
      <c r="T1636" s="249"/>
      <c r="U1636" s="249"/>
      <c r="V1636" s="249"/>
      <c r="W1636" s="249"/>
      <c r="X1636" s="249"/>
      <c r="Y1636" s="249"/>
      <c r="Z1636" s="249"/>
    </row>
    <row r="1637" spans="1:26" s="152" customFormat="1" x14ac:dyDescent="0.25">
      <c r="A1637" s="249"/>
      <c r="B1637" s="249"/>
      <c r="C1637" s="249"/>
      <c r="D1637" s="249"/>
      <c r="E1637" s="249"/>
      <c r="F1637" s="249"/>
      <c r="G1637" s="249"/>
      <c r="H1637" s="249"/>
      <c r="I1637" s="258"/>
      <c r="J1637" s="249"/>
      <c r="K1637" s="249"/>
      <c r="L1637" s="249"/>
      <c r="M1637" s="259"/>
      <c r="N1637" s="249"/>
      <c r="O1637" s="249"/>
      <c r="P1637" s="249"/>
      <c r="Q1637" s="249"/>
      <c r="R1637" s="249"/>
      <c r="S1637" s="249"/>
      <c r="T1637" s="249"/>
      <c r="U1637" s="249"/>
      <c r="V1637" s="249"/>
      <c r="W1637" s="249"/>
      <c r="X1637" s="249"/>
      <c r="Y1637" s="249"/>
      <c r="Z1637" s="249"/>
    </row>
    <row r="1638" spans="1:26" s="152" customFormat="1" x14ac:dyDescent="0.25">
      <c r="A1638" s="249"/>
      <c r="B1638" s="249"/>
      <c r="C1638" s="249"/>
      <c r="D1638" s="249"/>
      <c r="E1638" s="249"/>
      <c r="F1638" s="249"/>
      <c r="G1638" s="249"/>
      <c r="H1638" s="249"/>
      <c r="I1638" s="258"/>
      <c r="J1638" s="249"/>
      <c r="K1638" s="249"/>
      <c r="L1638" s="249"/>
      <c r="M1638" s="259"/>
      <c r="N1638" s="249"/>
      <c r="O1638" s="249"/>
      <c r="P1638" s="249"/>
      <c r="Q1638" s="249"/>
      <c r="R1638" s="249"/>
      <c r="S1638" s="249"/>
      <c r="T1638" s="249"/>
      <c r="U1638" s="249"/>
      <c r="V1638" s="249"/>
      <c r="W1638" s="249"/>
      <c r="X1638" s="249"/>
      <c r="Y1638" s="249"/>
      <c r="Z1638" s="249"/>
    </row>
    <row r="1639" spans="1:26" s="152" customFormat="1" x14ac:dyDescent="0.25">
      <c r="A1639" s="249"/>
      <c r="B1639" s="249"/>
      <c r="C1639" s="249"/>
      <c r="D1639" s="249"/>
      <c r="E1639" s="249"/>
      <c r="F1639" s="249"/>
      <c r="G1639" s="249"/>
      <c r="H1639" s="249"/>
      <c r="I1639" s="258"/>
      <c r="J1639" s="249"/>
      <c r="K1639" s="249"/>
      <c r="L1639" s="249"/>
      <c r="M1639" s="259"/>
      <c r="N1639" s="249"/>
      <c r="O1639" s="249"/>
      <c r="P1639" s="249"/>
      <c r="Q1639" s="249"/>
      <c r="R1639" s="249"/>
      <c r="S1639" s="249"/>
      <c r="T1639" s="249"/>
      <c r="U1639" s="249"/>
      <c r="V1639" s="249"/>
      <c r="W1639" s="249"/>
      <c r="X1639" s="249"/>
      <c r="Y1639" s="249"/>
      <c r="Z1639" s="249"/>
    </row>
    <row r="1640" spans="1:26" s="152" customFormat="1" x14ac:dyDescent="0.25">
      <c r="A1640" s="249"/>
      <c r="B1640" s="249"/>
      <c r="C1640" s="249"/>
      <c r="D1640" s="249"/>
      <c r="E1640" s="249"/>
      <c r="F1640" s="249"/>
      <c r="G1640" s="249"/>
      <c r="H1640" s="249"/>
      <c r="I1640" s="258"/>
      <c r="J1640" s="249"/>
      <c r="K1640" s="249"/>
      <c r="L1640" s="249"/>
      <c r="M1640" s="259"/>
      <c r="N1640" s="249"/>
      <c r="O1640" s="249"/>
      <c r="P1640" s="249"/>
      <c r="Q1640" s="249"/>
      <c r="R1640" s="249"/>
      <c r="S1640" s="249"/>
      <c r="T1640" s="249"/>
      <c r="U1640" s="249"/>
      <c r="V1640" s="249"/>
      <c r="W1640" s="249"/>
      <c r="X1640" s="249"/>
      <c r="Y1640" s="249"/>
      <c r="Z1640" s="249"/>
    </row>
    <row r="1641" spans="1:26" s="152" customFormat="1" x14ac:dyDescent="0.25">
      <c r="A1641" s="249"/>
      <c r="B1641" s="249"/>
      <c r="C1641" s="249"/>
      <c r="D1641" s="249"/>
      <c r="E1641" s="249"/>
      <c r="F1641" s="249"/>
      <c r="G1641" s="249"/>
      <c r="H1641" s="249"/>
      <c r="I1641" s="258"/>
      <c r="J1641" s="249"/>
      <c r="K1641" s="249"/>
      <c r="L1641" s="249"/>
      <c r="M1641" s="259"/>
      <c r="N1641" s="249"/>
      <c r="O1641" s="249"/>
      <c r="P1641" s="249"/>
      <c r="Q1641" s="249"/>
      <c r="R1641" s="249"/>
      <c r="S1641" s="249"/>
      <c r="T1641" s="249"/>
      <c r="U1641" s="249"/>
      <c r="V1641" s="249"/>
      <c r="W1641" s="249"/>
      <c r="X1641" s="249"/>
      <c r="Y1641" s="249"/>
      <c r="Z1641" s="249"/>
    </row>
    <row r="1642" spans="1:26" s="152" customFormat="1" x14ac:dyDescent="0.25">
      <c r="A1642" s="249"/>
      <c r="B1642" s="249"/>
      <c r="C1642" s="249"/>
      <c r="D1642" s="249"/>
      <c r="E1642" s="249"/>
      <c r="F1642" s="249"/>
      <c r="G1642" s="249"/>
      <c r="H1642" s="249"/>
      <c r="I1642" s="258"/>
      <c r="J1642" s="249"/>
      <c r="K1642" s="249"/>
      <c r="L1642" s="249"/>
      <c r="M1642" s="259"/>
      <c r="N1642" s="249"/>
      <c r="O1642" s="249"/>
      <c r="P1642" s="249"/>
      <c r="Q1642" s="249"/>
      <c r="R1642" s="249"/>
      <c r="S1642" s="249"/>
      <c r="T1642" s="249"/>
      <c r="U1642" s="249"/>
      <c r="V1642" s="249"/>
      <c r="W1642" s="249"/>
      <c r="X1642" s="249"/>
      <c r="Y1642" s="249"/>
      <c r="Z1642" s="249"/>
    </row>
    <row r="1643" spans="1:26" s="152" customFormat="1" x14ac:dyDescent="0.25">
      <c r="A1643" s="249"/>
      <c r="B1643" s="249"/>
      <c r="C1643" s="249"/>
      <c r="D1643" s="249"/>
      <c r="E1643" s="249"/>
      <c r="F1643" s="249"/>
      <c r="G1643" s="249"/>
      <c r="H1643" s="249"/>
      <c r="I1643" s="258"/>
      <c r="J1643" s="249"/>
      <c r="K1643" s="249"/>
      <c r="L1643" s="249"/>
      <c r="M1643" s="259"/>
      <c r="N1643" s="249"/>
      <c r="O1643" s="249"/>
      <c r="P1643" s="249"/>
      <c r="Q1643" s="249"/>
      <c r="R1643" s="249"/>
      <c r="S1643" s="249"/>
      <c r="T1643" s="249"/>
      <c r="U1643" s="249"/>
      <c r="V1643" s="249"/>
      <c r="W1643" s="249"/>
      <c r="X1643" s="249"/>
      <c r="Y1643" s="249"/>
      <c r="Z1643" s="249"/>
    </row>
    <row r="1644" spans="1:26" s="152" customFormat="1" x14ac:dyDescent="0.25">
      <c r="A1644" s="249"/>
      <c r="B1644" s="249"/>
      <c r="C1644" s="249"/>
      <c r="D1644" s="249"/>
      <c r="E1644" s="249"/>
      <c r="F1644" s="249"/>
      <c r="G1644" s="249"/>
      <c r="H1644" s="249"/>
      <c r="I1644" s="258"/>
      <c r="J1644" s="249"/>
      <c r="K1644" s="249"/>
      <c r="L1644" s="249"/>
      <c r="M1644" s="259"/>
      <c r="N1644" s="249"/>
      <c r="O1644" s="249"/>
      <c r="P1644" s="249"/>
      <c r="Q1644" s="249"/>
      <c r="R1644" s="249"/>
      <c r="S1644" s="249"/>
      <c r="T1644" s="249"/>
      <c r="U1644" s="249"/>
      <c r="V1644" s="249"/>
      <c r="W1644" s="249"/>
      <c r="X1644" s="249"/>
      <c r="Y1644" s="249"/>
      <c r="Z1644" s="249"/>
    </row>
    <row r="1645" spans="1:26" s="152" customFormat="1" x14ac:dyDescent="0.25">
      <c r="A1645" s="249"/>
      <c r="B1645" s="249"/>
      <c r="C1645" s="249"/>
      <c r="D1645" s="249"/>
      <c r="E1645" s="249"/>
      <c r="F1645" s="249"/>
      <c r="G1645" s="249"/>
      <c r="H1645" s="249"/>
      <c r="I1645" s="258"/>
      <c r="J1645" s="249"/>
      <c r="K1645" s="249"/>
      <c r="L1645" s="249"/>
      <c r="M1645" s="259"/>
      <c r="N1645" s="249"/>
      <c r="O1645" s="249"/>
      <c r="P1645" s="249"/>
      <c r="Q1645" s="249"/>
      <c r="R1645" s="249"/>
      <c r="S1645" s="249"/>
      <c r="T1645" s="249"/>
      <c r="U1645" s="249"/>
      <c r="V1645" s="249"/>
      <c r="W1645" s="249"/>
      <c r="X1645" s="249"/>
      <c r="Y1645" s="249"/>
      <c r="Z1645" s="249"/>
    </row>
    <row r="1646" spans="1:26" s="152" customFormat="1" x14ac:dyDescent="0.25">
      <c r="A1646" s="249"/>
      <c r="B1646" s="249"/>
      <c r="C1646" s="249"/>
      <c r="D1646" s="249"/>
      <c r="E1646" s="249"/>
      <c r="F1646" s="249"/>
      <c r="G1646" s="249"/>
      <c r="H1646" s="249"/>
      <c r="I1646" s="258"/>
      <c r="J1646" s="249"/>
      <c r="K1646" s="249"/>
      <c r="L1646" s="249"/>
      <c r="M1646" s="259"/>
      <c r="N1646" s="249"/>
      <c r="O1646" s="249"/>
      <c r="P1646" s="249"/>
      <c r="Q1646" s="249"/>
      <c r="R1646" s="249"/>
      <c r="S1646" s="249"/>
      <c r="T1646" s="249"/>
      <c r="U1646" s="249"/>
      <c r="V1646" s="249"/>
      <c r="W1646" s="249"/>
      <c r="X1646" s="249"/>
      <c r="Y1646" s="249"/>
      <c r="Z1646" s="249"/>
    </row>
    <row r="1647" spans="1:26" s="152" customFormat="1" x14ac:dyDescent="0.25">
      <c r="A1647" s="249"/>
      <c r="B1647" s="249"/>
      <c r="C1647" s="249"/>
      <c r="D1647" s="249"/>
      <c r="E1647" s="249"/>
      <c r="F1647" s="249"/>
      <c r="G1647" s="249"/>
      <c r="H1647" s="249"/>
      <c r="I1647" s="258"/>
      <c r="J1647" s="249"/>
      <c r="K1647" s="249"/>
      <c r="L1647" s="249"/>
      <c r="M1647" s="259"/>
      <c r="N1647" s="249"/>
      <c r="O1647" s="249"/>
      <c r="P1647" s="249"/>
      <c r="Q1647" s="249"/>
      <c r="R1647" s="249"/>
      <c r="S1647" s="249"/>
      <c r="T1647" s="249"/>
      <c r="U1647" s="249"/>
      <c r="V1647" s="249"/>
      <c r="W1647" s="249"/>
      <c r="X1647" s="249"/>
      <c r="Y1647" s="249"/>
      <c r="Z1647" s="249"/>
    </row>
    <row r="1648" spans="1:26" s="152" customFormat="1" x14ac:dyDescent="0.25">
      <c r="A1648" s="249"/>
      <c r="B1648" s="249"/>
      <c r="C1648" s="249"/>
      <c r="D1648" s="249"/>
      <c r="E1648" s="249"/>
      <c r="F1648" s="249"/>
      <c r="G1648" s="249"/>
      <c r="H1648" s="249"/>
      <c r="I1648" s="258"/>
      <c r="J1648" s="249"/>
      <c r="K1648" s="249"/>
      <c r="L1648" s="249"/>
      <c r="M1648" s="259"/>
      <c r="N1648" s="249"/>
      <c r="O1648" s="249"/>
      <c r="P1648" s="249"/>
      <c r="Q1648" s="249"/>
      <c r="R1648" s="249"/>
      <c r="S1648" s="249"/>
      <c r="T1648" s="249"/>
      <c r="U1648" s="249"/>
      <c r="V1648" s="249"/>
      <c r="W1648" s="249"/>
      <c r="X1648" s="249"/>
      <c r="Y1648" s="249"/>
      <c r="Z1648" s="249"/>
    </row>
    <row r="1649" spans="1:26" s="152" customFormat="1" x14ac:dyDescent="0.25">
      <c r="A1649" s="249"/>
      <c r="B1649" s="249"/>
      <c r="C1649" s="249"/>
      <c r="D1649" s="249"/>
      <c r="E1649" s="249"/>
      <c r="F1649" s="249"/>
      <c r="G1649" s="249"/>
      <c r="H1649" s="249"/>
      <c r="I1649" s="258"/>
      <c r="J1649" s="249"/>
      <c r="K1649" s="249"/>
      <c r="L1649" s="249"/>
      <c r="M1649" s="259"/>
      <c r="N1649" s="249"/>
      <c r="O1649" s="249"/>
      <c r="P1649" s="249"/>
      <c r="Q1649" s="249"/>
      <c r="R1649" s="249"/>
      <c r="S1649" s="249"/>
      <c r="T1649" s="249"/>
      <c r="U1649" s="249"/>
      <c r="V1649" s="249"/>
      <c r="W1649" s="249"/>
      <c r="X1649" s="249"/>
      <c r="Y1649" s="249"/>
      <c r="Z1649" s="249"/>
    </row>
    <row r="1650" spans="1:26" s="152" customFormat="1" x14ac:dyDescent="0.25">
      <c r="A1650" s="249"/>
      <c r="B1650" s="249"/>
      <c r="C1650" s="249"/>
      <c r="D1650" s="249"/>
      <c r="E1650" s="249"/>
      <c r="F1650" s="249"/>
      <c r="G1650" s="249"/>
      <c r="H1650" s="249"/>
      <c r="I1650" s="258"/>
      <c r="J1650" s="249"/>
      <c r="K1650" s="249"/>
      <c r="L1650" s="249"/>
      <c r="M1650" s="259"/>
      <c r="N1650" s="249"/>
      <c r="O1650" s="249"/>
      <c r="P1650" s="249"/>
      <c r="Q1650" s="249"/>
      <c r="R1650" s="249"/>
      <c r="S1650" s="249"/>
      <c r="T1650" s="249"/>
      <c r="U1650" s="249"/>
      <c r="V1650" s="249"/>
      <c r="W1650" s="249"/>
      <c r="X1650" s="249"/>
      <c r="Y1650" s="249"/>
      <c r="Z1650" s="249"/>
    </row>
    <row r="1651" spans="1:26" s="152" customFormat="1" x14ac:dyDescent="0.25">
      <c r="A1651" s="249"/>
      <c r="B1651" s="249"/>
      <c r="C1651" s="249"/>
      <c r="D1651" s="249"/>
      <c r="E1651" s="249"/>
      <c r="F1651" s="249"/>
      <c r="G1651" s="249"/>
      <c r="H1651" s="249"/>
      <c r="I1651" s="258"/>
      <c r="J1651" s="249"/>
      <c r="K1651" s="249"/>
      <c r="L1651" s="249"/>
      <c r="M1651" s="259"/>
      <c r="N1651" s="249"/>
      <c r="O1651" s="249"/>
      <c r="P1651" s="249"/>
      <c r="Q1651" s="249"/>
      <c r="R1651" s="249"/>
      <c r="S1651" s="249"/>
      <c r="T1651" s="249"/>
      <c r="U1651" s="249"/>
      <c r="V1651" s="249"/>
      <c r="W1651" s="249"/>
      <c r="X1651" s="249"/>
      <c r="Y1651" s="249"/>
      <c r="Z1651" s="249"/>
    </row>
    <row r="1652" spans="1:26" s="152" customFormat="1" x14ac:dyDescent="0.25">
      <c r="A1652" s="249"/>
      <c r="B1652" s="249"/>
      <c r="C1652" s="249"/>
      <c r="D1652" s="249"/>
      <c r="E1652" s="249"/>
      <c r="F1652" s="249"/>
      <c r="G1652" s="249"/>
      <c r="H1652" s="249"/>
      <c r="I1652" s="258"/>
      <c r="J1652" s="249"/>
      <c r="K1652" s="249"/>
      <c r="L1652" s="249"/>
      <c r="M1652" s="259"/>
      <c r="N1652" s="249"/>
      <c r="O1652" s="249"/>
      <c r="P1652" s="249"/>
      <c r="Q1652" s="249"/>
      <c r="R1652" s="249"/>
      <c r="S1652" s="249"/>
      <c r="T1652" s="249"/>
      <c r="U1652" s="249"/>
      <c r="V1652" s="249"/>
      <c r="W1652" s="249"/>
      <c r="X1652" s="249"/>
      <c r="Y1652" s="249"/>
      <c r="Z1652" s="249"/>
    </row>
    <row r="1653" spans="1:26" s="152" customFormat="1" x14ac:dyDescent="0.25">
      <c r="A1653" s="249"/>
      <c r="B1653" s="249"/>
      <c r="C1653" s="249"/>
      <c r="D1653" s="249"/>
      <c r="E1653" s="249"/>
      <c r="F1653" s="249"/>
      <c r="G1653" s="249"/>
      <c r="H1653" s="249"/>
      <c r="I1653" s="258"/>
      <c r="J1653" s="249"/>
      <c r="K1653" s="249"/>
      <c r="L1653" s="249"/>
      <c r="M1653" s="259"/>
      <c r="N1653" s="249"/>
      <c r="O1653" s="249"/>
      <c r="P1653" s="249"/>
      <c r="Q1653" s="249"/>
      <c r="R1653" s="249"/>
      <c r="S1653" s="249"/>
      <c r="T1653" s="249"/>
      <c r="U1653" s="249"/>
      <c r="V1653" s="249"/>
      <c r="W1653" s="249"/>
      <c r="X1653" s="249"/>
      <c r="Y1653" s="249"/>
      <c r="Z1653" s="249"/>
    </row>
    <row r="1654" spans="1:26" s="152" customFormat="1" x14ac:dyDescent="0.25">
      <c r="A1654" s="249"/>
      <c r="B1654" s="249"/>
      <c r="C1654" s="249"/>
      <c r="D1654" s="249"/>
      <c r="E1654" s="249"/>
      <c r="F1654" s="249"/>
      <c r="G1654" s="249"/>
      <c r="H1654" s="249"/>
      <c r="I1654" s="258"/>
      <c r="J1654" s="249"/>
      <c r="K1654" s="249"/>
      <c r="L1654" s="249"/>
      <c r="M1654" s="259"/>
      <c r="N1654" s="249"/>
      <c r="O1654" s="249"/>
      <c r="P1654" s="249"/>
      <c r="Q1654" s="249"/>
      <c r="R1654" s="249"/>
      <c r="S1654" s="249"/>
      <c r="T1654" s="249"/>
      <c r="U1654" s="249"/>
      <c r="V1654" s="249"/>
      <c r="W1654" s="249"/>
      <c r="X1654" s="249"/>
      <c r="Y1654" s="249"/>
      <c r="Z1654" s="249"/>
    </row>
    <row r="1655" spans="1:26" s="152" customFormat="1" x14ac:dyDescent="0.25">
      <c r="A1655" s="249"/>
      <c r="B1655" s="249"/>
      <c r="C1655" s="249"/>
      <c r="D1655" s="249"/>
      <c r="E1655" s="249"/>
      <c r="F1655" s="249"/>
      <c r="G1655" s="249"/>
      <c r="H1655" s="249"/>
      <c r="I1655" s="258"/>
      <c r="J1655" s="249"/>
      <c r="K1655" s="249"/>
      <c r="L1655" s="249"/>
      <c r="M1655" s="259"/>
      <c r="N1655" s="249"/>
      <c r="O1655" s="249"/>
      <c r="P1655" s="249"/>
      <c r="Q1655" s="249"/>
      <c r="R1655" s="249"/>
      <c r="S1655" s="249"/>
      <c r="T1655" s="249"/>
      <c r="U1655" s="249"/>
      <c r="V1655" s="249"/>
      <c r="W1655" s="249"/>
      <c r="X1655" s="249"/>
      <c r="Y1655" s="249"/>
      <c r="Z1655" s="249"/>
    </row>
    <row r="1656" spans="1:26" s="152" customFormat="1" x14ac:dyDescent="0.25">
      <c r="A1656" s="249"/>
      <c r="B1656" s="249"/>
      <c r="C1656" s="249"/>
      <c r="D1656" s="249"/>
      <c r="E1656" s="249"/>
      <c r="F1656" s="249"/>
      <c r="G1656" s="249"/>
      <c r="H1656" s="249"/>
      <c r="I1656" s="258"/>
      <c r="J1656" s="249"/>
      <c r="K1656" s="249"/>
      <c r="L1656" s="249"/>
      <c r="M1656" s="259"/>
      <c r="N1656" s="249"/>
      <c r="O1656" s="249"/>
      <c r="P1656" s="249"/>
      <c r="Q1656" s="249"/>
      <c r="R1656" s="249"/>
      <c r="S1656" s="249"/>
      <c r="T1656" s="249"/>
      <c r="U1656" s="249"/>
      <c r="V1656" s="249"/>
      <c r="W1656" s="249"/>
      <c r="X1656" s="249"/>
      <c r="Y1656" s="249"/>
      <c r="Z1656" s="249"/>
    </row>
    <row r="1657" spans="1:26" s="152" customFormat="1" x14ac:dyDescent="0.25">
      <c r="A1657" s="249"/>
      <c r="B1657" s="249"/>
      <c r="C1657" s="249"/>
      <c r="D1657" s="249"/>
      <c r="E1657" s="249"/>
      <c r="F1657" s="249"/>
      <c r="G1657" s="249"/>
      <c r="H1657" s="249"/>
      <c r="I1657" s="258"/>
      <c r="J1657" s="249"/>
      <c r="K1657" s="249"/>
      <c r="L1657" s="249"/>
      <c r="M1657" s="259"/>
      <c r="N1657" s="249"/>
      <c r="O1657" s="249"/>
      <c r="P1657" s="249"/>
      <c r="Q1657" s="249"/>
      <c r="R1657" s="249"/>
      <c r="S1657" s="249"/>
      <c r="T1657" s="249"/>
      <c r="U1657" s="249"/>
      <c r="V1657" s="249"/>
      <c r="W1657" s="249"/>
      <c r="X1657" s="249"/>
      <c r="Y1657" s="249"/>
      <c r="Z1657" s="249"/>
    </row>
    <row r="1658" spans="1:26" s="152" customFormat="1" x14ac:dyDescent="0.25">
      <c r="A1658" s="249"/>
      <c r="B1658" s="249"/>
      <c r="C1658" s="249"/>
      <c r="D1658" s="249"/>
      <c r="E1658" s="249"/>
      <c r="F1658" s="249"/>
      <c r="G1658" s="249"/>
      <c r="H1658" s="249"/>
      <c r="I1658" s="258"/>
      <c r="J1658" s="249"/>
      <c r="K1658" s="249"/>
      <c r="L1658" s="249"/>
      <c r="M1658" s="259"/>
      <c r="N1658" s="249"/>
      <c r="O1658" s="249"/>
      <c r="P1658" s="249"/>
      <c r="Q1658" s="249"/>
      <c r="R1658" s="249"/>
      <c r="S1658" s="249"/>
      <c r="T1658" s="249"/>
      <c r="U1658" s="249"/>
      <c r="V1658" s="249"/>
      <c r="W1658" s="249"/>
      <c r="X1658" s="249"/>
      <c r="Y1658" s="249"/>
      <c r="Z1658" s="249"/>
    </row>
    <row r="1659" spans="1:26" s="152" customFormat="1" x14ac:dyDescent="0.25">
      <c r="A1659" s="249"/>
      <c r="B1659" s="249"/>
      <c r="C1659" s="249"/>
      <c r="D1659" s="249"/>
      <c r="E1659" s="249"/>
      <c r="F1659" s="249"/>
      <c r="G1659" s="249"/>
      <c r="H1659" s="249"/>
      <c r="I1659" s="258"/>
      <c r="J1659" s="249"/>
      <c r="K1659" s="249"/>
      <c r="L1659" s="249"/>
      <c r="M1659" s="259"/>
      <c r="N1659" s="249"/>
      <c r="O1659" s="249"/>
      <c r="P1659" s="249"/>
      <c r="Q1659" s="249"/>
      <c r="R1659" s="249"/>
      <c r="S1659" s="249"/>
      <c r="T1659" s="249"/>
      <c r="U1659" s="249"/>
      <c r="V1659" s="249"/>
      <c r="W1659" s="249"/>
      <c r="X1659" s="249"/>
      <c r="Y1659" s="249"/>
      <c r="Z1659" s="249"/>
    </row>
    <row r="1660" spans="1:26" s="152" customFormat="1" x14ac:dyDescent="0.25">
      <c r="A1660" s="249"/>
      <c r="B1660" s="249"/>
      <c r="C1660" s="249"/>
      <c r="D1660" s="249"/>
      <c r="E1660" s="249"/>
      <c r="F1660" s="249"/>
      <c r="G1660" s="249"/>
      <c r="H1660" s="249"/>
      <c r="I1660" s="258"/>
      <c r="J1660" s="249"/>
      <c r="K1660" s="249"/>
      <c r="L1660" s="249"/>
      <c r="M1660" s="259"/>
      <c r="N1660" s="249"/>
      <c r="O1660" s="249"/>
      <c r="P1660" s="249"/>
      <c r="Q1660" s="249"/>
      <c r="R1660" s="249"/>
      <c r="S1660" s="249"/>
      <c r="T1660" s="249"/>
      <c r="U1660" s="249"/>
      <c r="V1660" s="249"/>
      <c r="W1660" s="249"/>
      <c r="X1660" s="249"/>
      <c r="Y1660" s="249"/>
      <c r="Z1660" s="249"/>
    </row>
    <row r="1661" spans="1:26" s="152" customFormat="1" x14ac:dyDescent="0.25">
      <c r="A1661" s="249"/>
      <c r="B1661" s="249"/>
      <c r="C1661" s="249"/>
      <c r="D1661" s="249"/>
      <c r="E1661" s="249"/>
      <c r="F1661" s="249"/>
      <c r="G1661" s="249"/>
      <c r="H1661" s="249"/>
      <c r="I1661" s="258"/>
      <c r="J1661" s="249"/>
      <c r="K1661" s="249"/>
      <c r="L1661" s="249"/>
      <c r="M1661" s="259"/>
      <c r="N1661" s="249"/>
      <c r="O1661" s="249"/>
      <c r="P1661" s="249"/>
      <c r="Q1661" s="249"/>
      <c r="R1661" s="249"/>
      <c r="S1661" s="249"/>
      <c r="T1661" s="249"/>
      <c r="U1661" s="249"/>
      <c r="V1661" s="249"/>
      <c r="W1661" s="249"/>
      <c r="X1661" s="249"/>
      <c r="Y1661" s="249"/>
      <c r="Z1661" s="249"/>
    </row>
    <row r="1662" spans="1:26" s="152" customFormat="1" x14ac:dyDescent="0.25">
      <c r="A1662" s="249"/>
      <c r="B1662" s="249"/>
      <c r="C1662" s="249"/>
      <c r="D1662" s="249"/>
      <c r="E1662" s="249"/>
      <c r="F1662" s="249"/>
      <c r="G1662" s="249"/>
      <c r="H1662" s="249"/>
      <c r="I1662" s="258"/>
      <c r="J1662" s="249"/>
      <c r="K1662" s="249"/>
      <c r="L1662" s="249"/>
      <c r="M1662" s="259"/>
      <c r="N1662" s="249"/>
      <c r="O1662" s="249"/>
      <c r="P1662" s="249"/>
      <c r="Q1662" s="249"/>
      <c r="R1662" s="249"/>
      <c r="S1662" s="249"/>
      <c r="T1662" s="249"/>
      <c r="U1662" s="249"/>
      <c r="V1662" s="249"/>
      <c r="W1662" s="249"/>
      <c r="X1662" s="249"/>
      <c r="Y1662" s="249"/>
      <c r="Z1662" s="249"/>
    </row>
    <row r="1663" spans="1:26" s="152" customFormat="1" x14ac:dyDescent="0.25">
      <c r="A1663" s="249"/>
      <c r="B1663" s="249"/>
      <c r="C1663" s="249"/>
      <c r="D1663" s="249"/>
      <c r="E1663" s="249"/>
      <c r="F1663" s="249"/>
      <c r="G1663" s="249"/>
      <c r="H1663" s="249"/>
      <c r="I1663" s="258"/>
      <c r="J1663" s="249"/>
      <c r="K1663" s="249"/>
      <c r="L1663" s="249"/>
      <c r="M1663" s="259"/>
      <c r="N1663" s="249"/>
      <c r="O1663" s="249"/>
      <c r="P1663" s="249"/>
      <c r="Q1663" s="249"/>
      <c r="R1663" s="249"/>
      <c r="S1663" s="249"/>
      <c r="T1663" s="249"/>
      <c r="U1663" s="249"/>
      <c r="V1663" s="249"/>
      <c r="W1663" s="249"/>
      <c r="X1663" s="249"/>
      <c r="Y1663" s="249"/>
      <c r="Z1663" s="249"/>
    </row>
    <row r="1664" spans="1:26" s="152" customFormat="1" x14ac:dyDescent="0.25">
      <c r="A1664" s="249"/>
      <c r="B1664" s="249"/>
      <c r="C1664" s="249"/>
      <c r="D1664" s="249"/>
      <c r="E1664" s="249"/>
      <c r="F1664" s="249"/>
      <c r="G1664" s="249"/>
      <c r="H1664" s="249"/>
      <c r="I1664" s="258"/>
      <c r="J1664" s="249"/>
      <c r="K1664" s="249"/>
      <c r="L1664" s="249"/>
      <c r="M1664" s="259"/>
      <c r="N1664" s="249"/>
      <c r="O1664" s="249"/>
      <c r="P1664" s="249"/>
      <c r="Q1664" s="249"/>
      <c r="R1664" s="249"/>
      <c r="S1664" s="249"/>
      <c r="T1664" s="249"/>
      <c r="U1664" s="249"/>
      <c r="V1664" s="249"/>
      <c r="W1664" s="249"/>
      <c r="X1664" s="249"/>
      <c r="Y1664" s="249"/>
      <c r="Z1664" s="249"/>
    </row>
    <row r="1665" spans="1:26" s="152" customFormat="1" x14ac:dyDescent="0.25">
      <c r="A1665" s="249"/>
      <c r="B1665" s="249"/>
      <c r="C1665" s="249"/>
      <c r="D1665" s="249"/>
      <c r="E1665" s="249"/>
      <c r="F1665" s="249"/>
      <c r="G1665" s="249"/>
      <c r="H1665" s="249"/>
      <c r="I1665" s="258"/>
      <c r="J1665" s="249"/>
      <c r="K1665" s="249"/>
      <c r="L1665" s="249"/>
      <c r="M1665" s="259"/>
      <c r="N1665" s="249"/>
      <c r="O1665" s="249"/>
      <c r="P1665" s="249"/>
      <c r="Q1665" s="249"/>
      <c r="R1665" s="249"/>
      <c r="S1665" s="249"/>
      <c r="T1665" s="249"/>
      <c r="U1665" s="249"/>
      <c r="V1665" s="249"/>
      <c r="W1665" s="249"/>
      <c r="X1665" s="249"/>
      <c r="Y1665" s="249"/>
      <c r="Z1665" s="249"/>
    </row>
    <row r="1666" spans="1:26" s="152" customFormat="1" x14ac:dyDescent="0.25">
      <c r="A1666" s="249"/>
      <c r="B1666" s="249"/>
      <c r="C1666" s="249"/>
      <c r="D1666" s="249"/>
      <c r="E1666" s="249"/>
      <c r="F1666" s="249"/>
      <c r="G1666" s="249"/>
      <c r="H1666" s="249"/>
      <c r="I1666" s="258"/>
      <c r="J1666" s="249"/>
      <c r="K1666" s="249"/>
      <c r="L1666" s="249"/>
      <c r="M1666" s="259"/>
      <c r="N1666" s="249"/>
      <c r="O1666" s="249"/>
      <c r="P1666" s="249"/>
      <c r="Q1666" s="249"/>
      <c r="R1666" s="249"/>
      <c r="S1666" s="249"/>
      <c r="T1666" s="249"/>
      <c r="U1666" s="249"/>
      <c r="V1666" s="249"/>
      <c r="W1666" s="249"/>
      <c r="X1666" s="249"/>
      <c r="Y1666" s="249"/>
      <c r="Z1666" s="249"/>
    </row>
    <row r="1667" spans="1:26" s="152" customFormat="1" x14ac:dyDescent="0.25">
      <c r="A1667" s="249"/>
      <c r="B1667" s="249"/>
      <c r="C1667" s="249"/>
      <c r="D1667" s="249"/>
      <c r="E1667" s="249"/>
      <c r="F1667" s="249"/>
      <c r="G1667" s="249"/>
      <c r="H1667" s="249"/>
      <c r="I1667" s="258"/>
      <c r="J1667" s="249"/>
      <c r="K1667" s="249"/>
      <c r="L1667" s="249"/>
      <c r="M1667" s="259"/>
      <c r="N1667" s="249"/>
      <c r="O1667" s="249"/>
      <c r="P1667" s="249"/>
      <c r="Q1667" s="249"/>
      <c r="R1667" s="249"/>
      <c r="S1667" s="249"/>
      <c r="T1667" s="249"/>
      <c r="U1667" s="249"/>
      <c r="V1667" s="249"/>
      <c r="W1667" s="249"/>
      <c r="X1667" s="249"/>
      <c r="Y1667" s="249"/>
      <c r="Z1667" s="249"/>
    </row>
    <row r="1668" spans="1:26" s="152" customFormat="1" x14ac:dyDescent="0.25">
      <c r="A1668" s="249"/>
      <c r="B1668" s="249"/>
      <c r="C1668" s="249"/>
      <c r="D1668" s="249"/>
      <c r="E1668" s="249"/>
      <c r="F1668" s="249"/>
      <c r="G1668" s="249"/>
      <c r="H1668" s="249"/>
      <c r="I1668" s="258"/>
      <c r="J1668" s="249"/>
      <c r="K1668" s="249"/>
      <c r="L1668" s="249"/>
      <c r="M1668" s="259"/>
      <c r="N1668" s="249"/>
      <c r="O1668" s="249"/>
      <c r="P1668" s="249"/>
      <c r="Q1668" s="249"/>
      <c r="R1668" s="249"/>
      <c r="S1668" s="249"/>
      <c r="T1668" s="249"/>
      <c r="U1668" s="249"/>
      <c r="V1668" s="249"/>
      <c r="W1668" s="249"/>
      <c r="X1668" s="249"/>
      <c r="Y1668" s="249"/>
      <c r="Z1668" s="249"/>
    </row>
    <row r="1669" spans="1:26" s="152" customFormat="1" x14ac:dyDescent="0.25">
      <c r="A1669" s="249"/>
      <c r="B1669" s="249"/>
      <c r="C1669" s="249"/>
      <c r="D1669" s="249"/>
      <c r="E1669" s="249"/>
      <c r="F1669" s="249"/>
      <c r="G1669" s="249"/>
      <c r="H1669" s="249"/>
      <c r="I1669" s="258"/>
      <c r="J1669" s="249"/>
      <c r="K1669" s="249"/>
      <c r="L1669" s="249"/>
      <c r="M1669" s="259"/>
      <c r="N1669" s="249"/>
      <c r="O1669" s="249"/>
      <c r="P1669" s="249"/>
      <c r="Q1669" s="249"/>
      <c r="R1669" s="249"/>
      <c r="S1669" s="249"/>
      <c r="T1669" s="249"/>
      <c r="U1669" s="249"/>
      <c r="V1669" s="249"/>
      <c r="W1669" s="249"/>
      <c r="X1669" s="249"/>
      <c r="Y1669" s="249"/>
      <c r="Z1669" s="249"/>
    </row>
    <row r="1670" spans="1:26" s="152" customFormat="1" x14ac:dyDescent="0.25">
      <c r="A1670" s="249"/>
      <c r="B1670" s="249"/>
      <c r="C1670" s="249"/>
      <c r="D1670" s="249"/>
      <c r="E1670" s="249"/>
      <c r="F1670" s="249"/>
      <c r="G1670" s="249"/>
      <c r="H1670" s="249"/>
      <c r="I1670" s="258"/>
      <c r="J1670" s="249"/>
      <c r="K1670" s="249"/>
      <c r="L1670" s="249"/>
      <c r="M1670" s="259"/>
      <c r="N1670" s="249"/>
      <c r="O1670" s="249"/>
      <c r="P1670" s="249"/>
      <c r="Q1670" s="249"/>
      <c r="R1670" s="249"/>
      <c r="S1670" s="249"/>
      <c r="T1670" s="249"/>
      <c r="U1670" s="249"/>
      <c r="V1670" s="249"/>
      <c r="W1670" s="249"/>
      <c r="X1670" s="249"/>
      <c r="Y1670" s="249"/>
      <c r="Z1670" s="249"/>
    </row>
    <row r="1671" spans="1:26" s="152" customFormat="1" x14ac:dyDescent="0.25">
      <c r="A1671" s="249"/>
      <c r="B1671" s="249"/>
      <c r="C1671" s="249"/>
      <c r="D1671" s="249"/>
      <c r="E1671" s="249"/>
      <c r="F1671" s="249"/>
      <c r="G1671" s="249"/>
      <c r="H1671" s="249"/>
      <c r="I1671" s="258"/>
      <c r="J1671" s="249"/>
      <c r="K1671" s="249"/>
      <c r="L1671" s="249"/>
      <c r="M1671" s="259"/>
      <c r="N1671" s="249"/>
      <c r="O1671" s="249"/>
      <c r="P1671" s="249"/>
      <c r="Q1671" s="249"/>
      <c r="R1671" s="249"/>
      <c r="S1671" s="249"/>
      <c r="T1671" s="249"/>
      <c r="U1671" s="249"/>
      <c r="V1671" s="249"/>
      <c r="W1671" s="249"/>
      <c r="X1671" s="249"/>
      <c r="Y1671" s="249"/>
      <c r="Z1671" s="249"/>
    </row>
    <row r="1672" spans="1:26" s="152" customFormat="1" x14ac:dyDescent="0.25">
      <c r="A1672" s="249"/>
      <c r="B1672" s="249"/>
      <c r="C1672" s="249"/>
      <c r="D1672" s="249"/>
      <c r="E1672" s="249"/>
      <c r="F1672" s="249"/>
      <c r="G1672" s="249"/>
      <c r="H1672" s="249"/>
      <c r="I1672" s="258"/>
      <c r="J1672" s="249"/>
      <c r="K1672" s="249"/>
      <c r="L1672" s="249"/>
      <c r="M1672" s="259"/>
      <c r="N1672" s="249"/>
      <c r="O1672" s="249"/>
      <c r="P1672" s="249"/>
      <c r="Q1672" s="249"/>
      <c r="R1672" s="249"/>
      <c r="S1672" s="249"/>
      <c r="T1672" s="249"/>
      <c r="U1672" s="249"/>
      <c r="V1672" s="249"/>
      <c r="W1672" s="249"/>
      <c r="X1672" s="249"/>
      <c r="Y1672" s="249"/>
      <c r="Z1672" s="249"/>
    </row>
    <row r="1673" spans="1:26" s="152" customFormat="1" x14ac:dyDescent="0.25">
      <c r="A1673" s="249"/>
      <c r="B1673" s="249"/>
      <c r="C1673" s="249"/>
      <c r="D1673" s="249"/>
      <c r="E1673" s="249"/>
      <c r="F1673" s="249"/>
      <c r="G1673" s="249"/>
      <c r="H1673" s="249"/>
      <c r="I1673" s="258"/>
      <c r="J1673" s="249"/>
      <c r="K1673" s="249"/>
      <c r="L1673" s="249"/>
      <c r="M1673" s="259"/>
      <c r="N1673" s="249"/>
      <c r="O1673" s="249"/>
      <c r="P1673" s="249"/>
      <c r="Q1673" s="249"/>
      <c r="R1673" s="249"/>
      <c r="S1673" s="249"/>
      <c r="T1673" s="249"/>
      <c r="U1673" s="249"/>
      <c r="V1673" s="249"/>
      <c r="W1673" s="249"/>
      <c r="X1673" s="249"/>
      <c r="Y1673" s="249"/>
      <c r="Z1673" s="249"/>
    </row>
    <row r="1674" spans="1:26" s="152" customFormat="1" x14ac:dyDescent="0.25">
      <c r="A1674" s="249"/>
      <c r="B1674" s="249"/>
      <c r="C1674" s="249"/>
      <c r="D1674" s="249"/>
      <c r="E1674" s="249"/>
      <c r="F1674" s="249"/>
      <c r="G1674" s="249"/>
      <c r="H1674" s="249"/>
      <c r="I1674" s="258"/>
      <c r="J1674" s="249"/>
      <c r="K1674" s="249"/>
      <c r="L1674" s="249"/>
      <c r="M1674" s="259"/>
      <c r="N1674" s="249"/>
      <c r="O1674" s="249"/>
      <c r="P1674" s="249"/>
      <c r="Q1674" s="249"/>
      <c r="R1674" s="249"/>
      <c r="S1674" s="249"/>
      <c r="T1674" s="249"/>
      <c r="U1674" s="249"/>
      <c r="V1674" s="249"/>
      <c r="W1674" s="249"/>
      <c r="X1674" s="249"/>
      <c r="Y1674" s="249"/>
      <c r="Z1674" s="249"/>
    </row>
    <row r="1675" spans="1:26" s="152" customFormat="1" x14ac:dyDescent="0.25">
      <c r="A1675" s="249"/>
      <c r="B1675" s="249"/>
      <c r="C1675" s="249"/>
      <c r="D1675" s="249"/>
      <c r="E1675" s="249"/>
      <c r="F1675" s="249"/>
      <c r="G1675" s="249"/>
      <c r="H1675" s="249"/>
      <c r="I1675" s="258"/>
      <c r="J1675" s="249"/>
      <c r="K1675" s="249"/>
      <c r="L1675" s="249"/>
      <c r="M1675" s="259"/>
      <c r="N1675" s="249"/>
      <c r="O1675" s="249"/>
      <c r="P1675" s="249"/>
      <c r="Q1675" s="249"/>
      <c r="R1675" s="249"/>
      <c r="S1675" s="249"/>
      <c r="T1675" s="249"/>
      <c r="U1675" s="249"/>
      <c r="V1675" s="249"/>
      <c r="W1675" s="249"/>
      <c r="X1675" s="249"/>
      <c r="Y1675" s="249"/>
      <c r="Z1675" s="249"/>
    </row>
    <row r="1676" spans="1:26" s="152" customFormat="1" x14ac:dyDescent="0.25">
      <c r="A1676" s="249"/>
      <c r="B1676" s="249"/>
      <c r="C1676" s="249"/>
      <c r="D1676" s="249"/>
      <c r="E1676" s="249"/>
      <c r="F1676" s="249"/>
      <c r="G1676" s="249"/>
      <c r="H1676" s="249"/>
      <c r="I1676" s="258"/>
      <c r="J1676" s="249"/>
      <c r="K1676" s="249"/>
      <c r="L1676" s="249"/>
      <c r="M1676" s="259"/>
      <c r="N1676" s="249"/>
      <c r="O1676" s="249"/>
      <c r="P1676" s="249"/>
      <c r="Q1676" s="249"/>
      <c r="R1676" s="249"/>
      <c r="S1676" s="249"/>
      <c r="T1676" s="249"/>
      <c r="U1676" s="249"/>
      <c r="V1676" s="249"/>
      <c r="W1676" s="249"/>
      <c r="X1676" s="249"/>
      <c r="Y1676" s="249"/>
      <c r="Z1676" s="249"/>
    </row>
    <row r="1677" spans="1:26" s="152" customFormat="1" x14ac:dyDescent="0.25">
      <c r="A1677" s="249"/>
      <c r="B1677" s="249"/>
      <c r="C1677" s="249"/>
      <c r="D1677" s="249"/>
      <c r="E1677" s="249"/>
      <c r="F1677" s="249"/>
      <c r="G1677" s="249"/>
      <c r="H1677" s="249"/>
      <c r="I1677" s="258"/>
      <c r="J1677" s="249"/>
      <c r="K1677" s="249"/>
      <c r="L1677" s="249"/>
      <c r="M1677" s="259"/>
      <c r="N1677" s="249"/>
      <c r="O1677" s="249"/>
      <c r="P1677" s="249"/>
      <c r="Q1677" s="249"/>
      <c r="R1677" s="249"/>
      <c r="S1677" s="249"/>
      <c r="T1677" s="249"/>
      <c r="U1677" s="249"/>
      <c r="V1677" s="249"/>
      <c r="W1677" s="249"/>
      <c r="X1677" s="249"/>
      <c r="Y1677" s="249"/>
      <c r="Z1677" s="249"/>
    </row>
    <row r="1678" spans="1:26" s="152" customFormat="1" x14ac:dyDescent="0.25">
      <c r="A1678" s="249"/>
      <c r="B1678" s="249"/>
      <c r="C1678" s="249"/>
      <c r="D1678" s="249"/>
      <c r="E1678" s="249"/>
      <c r="F1678" s="249"/>
      <c r="G1678" s="249"/>
      <c r="H1678" s="249"/>
      <c r="I1678" s="258"/>
      <c r="J1678" s="249"/>
      <c r="K1678" s="249"/>
      <c r="L1678" s="249"/>
      <c r="M1678" s="259"/>
      <c r="N1678" s="249"/>
      <c r="O1678" s="249"/>
      <c r="P1678" s="249"/>
      <c r="Q1678" s="249"/>
      <c r="R1678" s="249"/>
      <c r="S1678" s="249"/>
      <c r="T1678" s="249"/>
      <c r="U1678" s="249"/>
      <c r="V1678" s="249"/>
      <c r="W1678" s="249"/>
      <c r="X1678" s="249"/>
      <c r="Y1678" s="249"/>
      <c r="Z1678" s="249"/>
    </row>
    <row r="1679" spans="1:26" s="152" customFormat="1" x14ac:dyDescent="0.25">
      <c r="A1679" s="249"/>
      <c r="B1679" s="249"/>
      <c r="C1679" s="249"/>
      <c r="D1679" s="249"/>
      <c r="E1679" s="249"/>
      <c r="F1679" s="249"/>
      <c r="G1679" s="249"/>
      <c r="H1679" s="249"/>
      <c r="I1679" s="258"/>
      <c r="J1679" s="249"/>
      <c r="K1679" s="249"/>
      <c r="L1679" s="249"/>
      <c r="M1679" s="259"/>
      <c r="N1679" s="249"/>
      <c r="O1679" s="249"/>
      <c r="P1679" s="249"/>
      <c r="Q1679" s="249"/>
      <c r="R1679" s="249"/>
      <c r="S1679" s="249"/>
      <c r="T1679" s="249"/>
      <c r="U1679" s="249"/>
      <c r="V1679" s="249"/>
      <c r="W1679" s="249"/>
      <c r="X1679" s="249"/>
      <c r="Y1679" s="249"/>
      <c r="Z1679" s="249"/>
    </row>
    <row r="1680" spans="1:26" s="152" customFormat="1" x14ac:dyDescent="0.25">
      <c r="A1680" s="249"/>
      <c r="B1680" s="249"/>
      <c r="C1680" s="249"/>
      <c r="D1680" s="249"/>
      <c r="E1680" s="249"/>
      <c r="F1680" s="249"/>
      <c r="G1680" s="249"/>
      <c r="H1680" s="249"/>
      <c r="I1680" s="258"/>
      <c r="J1680" s="249"/>
      <c r="K1680" s="249"/>
      <c r="L1680" s="249"/>
      <c r="M1680" s="259"/>
      <c r="N1680" s="249"/>
      <c r="O1680" s="249"/>
      <c r="P1680" s="249"/>
      <c r="Q1680" s="249"/>
      <c r="R1680" s="249"/>
      <c r="S1680" s="249"/>
      <c r="T1680" s="249"/>
      <c r="U1680" s="249"/>
      <c r="V1680" s="249"/>
      <c r="W1680" s="249"/>
      <c r="X1680" s="249"/>
      <c r="Y1680" s="249"/>
      <c r="Z1680" s="249"/>
    </row>
    <row r="1681" spans="1:26" s="152" customFormat="1" x14ac:dyDescent="0.25">
      <c r="A1681" s="249"/>
      <c r="B1681" s="249"/>
      <c r="C1681" s="249"/>
      <c r="D1681" s="249"/>
      <c r="E1681" s="249"/>
      <c r="F1681" s="249"/>
      <c r="G1681" s="249"/>
      <c r="H1681" s="249"/>
      <c r="I1681" s="258"/>
      <c r="J1681" s="249"/>
      <c r="K1681" s="249"/>
      <c r="L1681" s="249"/>
      <c r="M1681" s="259"/>
      <c r="N1681" s="249"/>
      <c r="O1681" s="249"/>
      <c r="P1681" s="249"/>
      <c r="Q1681" s="249"/>
      <c r="R1681" s="249"/>
      <c r="S1681" s="249"/>
      <c r="T1681" s="249"/>
      <c r="U1681" s="249"/>
      <c r="V1681" s="249"/>
      <c r="W1681" s="249"/>
      <c r="X1681" s="249"/>
      <c r="Y1681" s="249"/>
      <c r="Z1681" s="249"/>
    </row>
    <row r="1682" spans="1:26" s="152" customFormat="1" x14ac:dyDescent="0.25">
      <c r="A1682" s="249"/>
      <c r="B1682" s="249"/>
      <c r="C1682" s="249"/>
      <c r="D1682" s="249"/>
      <c r="E1682" s="249"/>
      <c r="F1682" s="249"/>
      <c r="G1682" s="249"/>
      <c r="H1682" s="249"/>
      <c r="I1682" s="258"/>
      <c r="J1682" s="249"/>
      <c r="K1682" s="249"/>
      <c r="L1682" s="249"/>
      <c r="M1682" s="259"/>
      <c r="N1682" s="249"/>
      <c r="O1682" s="249"/>
      <c r="P1682" s="249"/>
      <c r="Q1682" s="249"/>
      <c r="R1682" s="249"/>
      <c r="S1682" s="249"/>
      <c r="T1682" s="249"/>
      <c r="U1682" s="249"/>
      <c r="V1682" s="249"/>
      <c r="W1682" s="249"/>
      <c r="X1682" s="249"/>
      <c r="Y1682" s="249"/>
      <c r="Z1682" s="249"/>
    </row>
    <row r="1683" spans="1:26" s="152" customFormat="1" x14ac:dyDescent="0.25">
      <c r="A1683" s="249"/>
      <c r="B1683" s="249"/>
      <c r="C1683" s="249"/>
      <c r="D1683" s="249"/>
      <c r="E1683" s="249"/>
      <c r="F1683" s="249"/>
      <c r="G1683" s="249"/>
      <c r="H1683" s="249"/>
      <c r="I1683" s="258"/>
      <c r="J1683" s="249"/>
      <c r="K1683" s="249"/>
      <c r="L1683" s="249"/>
      <c r="M1683" s="259"/>
      <c r="N1683" s="249"/>
      <c r="O1683" s="249"/>
      <c r="P1683" s="249"/>
      <c r="Q1683" s="249"/>
      <c r="R1683" s="249"/>
      <c r="S1683" s="249"/>
      <c r="T1683" s="249"/>
      <c r="U1683" s="249"/>
      <c r="V1683" s="249"/>
      <c r="W1683" s="249"/>
      <c r="X1683" s="249"/>
      <c r="Y1683" s="249"/>
      <c r="Z1683" s="249"/>
    </row>
    <row r="1684" spans="1:26" s="152" customFormat="1" x14ac:dyDescent="0.25">
      <c r="A1684" s="249"/>
      <c r="B1684" s="249"/>
      <c r="C1684" s="249"/>
      <c r="D1684" s="249"/>
      <c r="E1684" s="249"/>
      <c r="F1684" s="249"/>
      <c r="G1684" s="249"/>
      <c r="H1684" s="249"/>
      <c r="I1684" s="258"/>
      <c r="J1684" s="249"/>
      <c r="K1684" s="249"/>
      <c r="L1684" s="249"/>
      <c r="M1684" s="259"/>
      <c r="N1684" s="249"/>
      <c r="O1684" s="249"/>
      <c r="P1684" s="249"/>
      <c r="Q1684" s="249"/>
      <c r="R1684" s="249"/>
      <c r="S1684" s="249"/>
      <c r="T1684" s="249"/>
      <c r="U1684" s="249"/>
      <c r="V1684" s="249"/>
      <c r="W1684" s="249"/>
      <c r="X1684" s="249"/>
      <c r="Y1684" s="249"/>
      <c r="Z1684" s="249"/>
    </row>
    <row r="1685" spans="1:26" s="152" customFormat="1" x14ac:dyDescent="0.25">
      <c r="A1685" s="249"/>
      <c r="B1685" s="249"/>
      <c r="C1685" s="249"/>
      <c r="D1685" s="249"/>
      <c r="E1685" s="249"/>
      <c r="F1685" s="249"/>
      <c r="G1685" s="249"/>
      <c r="H1685" s="249"/>
      <c r="I1685" s="258"/>
      <c r="J1685" s="249"/>
      <c r="K1685" s="249"/>
      <c r="L1685" s="249"/>
      <c r="M1685" s="259"/>
      <c r="N1685" s="249"/>
      <c r="O1685" s="249"/>
      <c r="P1685" s="249"/>
      <c r="Q1685" s="249"/>
      <c r="R1685" s="249"/>
      <c r="S1685" s="249"/>
      <c r="T1685" s="249"/>
      <c r="U1685" s="249"/>
      <c r="V1685" s="249"/>
      <c r="W1685" s="249"/>
      <c r="X1685" s="249"/>
      <c r="Y1685" s="249"/>
      <c r="Z1685" s="249"/>
    </row>
    <row r="1686" spans="1:26" s="152" customFormat="1" x14ac:dyDescent="0.25">
      <c r="A1686" s="249"/>
      <c r="B1686" s="249"/>
      <c r="C1686" s="249"/>
      <c r="D1686" s="249"/>
      <c r="E1686" s="249"/>
      <c r="F1686" s="249"/>
      <c r="G1686" s="249"/>
      <c r="H1686" s="249"/>
      <c r="I1686" s="258"/>
      <c r="J1686" s="249"/>
      <c r="K1686" s="249"/>
      <c r="L1686" s="249"/>
      <c r="M1686" s="259"/>
      <c r="N1686" s="249"/>
      <c r="O1686" s="249"/>
      <c r="P1686" s="249"/>
      <c r="Q1686" s="249"/>
      <c r="R1686" s="249"/>
      <c r="S1686" s="249"/>
      <c r="T1686" s="249"/>
      <c r="U1686" s="249"/>
      <c r="V1686" s="249"/>
      <c r="W1686" s="249"/>
      <c r="X1686" s="249"/>
      <c r="Y1686" s="249"/>
      <c r="Z1686" s="249"/>
    </row>
    <row r="1687" spans="1:26" s="152" customFormat="1" x14ac:dyDescent="0.25">
      <c r="A1687" s="249"/>
      <c r="B1687" s="249"/>
      <c r="C1687" s="249"/>
      <c r="D1687" s="249"/>
      <c r="E1687" s="249"/>
      <c r="F1687" s="249"/>
      <c r="G1687" s="249"/>
      <c r="H1687" s="249"/>
      <c r="I1687" s="258"/>
      <c r="J1687" s="249"/>
      <c r="K1687" s="249"/>
      <c r="L1687" s="249"/>
      <c r="M1687" s="259"/>
      <c r="N1687" s="249"/>
      <c r="O1687" s="249"/>
      <c r="P1687" s="249"/>
      <c r="Q1687" s="249"/>
      <c r="R1687" s="249"/>
      <c r="S1687" s="249"/>
      <c r="T1687" s="249"/>
      <c r="U1687" s="249"/>
      <c r="V1687" s="249"/>
      <c r="W1687" s="249"/>
      <c r="X1687" s="249"/>
      <c r="Y1687" s="249"/>
      <c r="Z1687" s="249"/>
    </row>
    <row r="1688" spans="1:26" s="152" customFormat="1" x14ac:dyDescent="0.25">
      <c r="A1688" s="249"/>
      <c r="B1688" s="249"/>
      <c r="C1688" s="249"/>
      <c r="D1688" s="249"/>
      <c r="E1688" s="249"/>
      <c r="F1688" s="249"/>
      <c r="G1688" s="249"/>
      <c r="H1688" s="249"/>
      <c r="I1688" s="258"/>
      <c r="J1688" s="249"/>
      <c r="K1688" s="249"/>
      <c r="L1688" s="249"/>
      <c r="M1688" s="259"/>
      <c r="N1688" s="249"/>
      <c r="O1688" s="249"/>
      <c r="P1688" s="249"/>
      <c r="Q1688" s="249"/>
      <c r="R1688" s="249"/>
      <c r="S1688" s="249"/>
      <c r="T1688" s="249"/>
      <c r="U1688" s="249"/>
      <c r="V1688" s="249"/>
      <c r="W1688" s="249"/>
      <c r="X1688" s="249"/>
      <c r="Y1688" s="249"/>
      <c r="Z1688" s="249"/>
    </row>
    <row r="1689" spans="1:26" s="152" customFormat="1" x14ac:dyDescent="0.25">
      <c r="A1689" s="249"/>
      <c r="B1689" s="249"/>
      <c r="C1689" s="249"/>
      <c r="D1689" s="249"/>
      <c r="E1689" s="249"/>
      <c r="F1689" s="249"/>
      <c r="G1689" s="249"/>
      <c r="H1689" s="249"/>
      <c r="I1689" s="258"/>
      <c r="J1689" s="249"/>
      <c r="K1689" s="249"/>
      <c r="L1689" s="249"/>
      <c r="M1689" s="259"/>
      <c r="N1689" s="249"/>
      <c r="O1689" s="249"/>
      <c r="P1689" s="249"/>
      <c r="Q1689" s="249"/>
      <c r="R1689" s="249"/>
      <c r="S1689" s="249"/>
      <c r="T1689" s="249"/>
      <c r="U1689" s="249"/>
      <c r="V1689" s="249"/>
      <c r="W1689" s="249"/>
      <c r="X1689" s="249"/>
      <c r="Y1689" s="249"/>
      <c r="Z1689" s="249"/>
    </row>
    <row r="1690" spans="1:26" s="152" customFormat="1" x14ac:dyDescent="0.25">
      <c r="A1690" s="249"/>
      <c r="B1690" s="249"/>
      <c r="C1690" s="249"/>
      <c r="D1690" s="249"/>
      <c r="E1690" s="249"/>
      <c r="F1690" s="249"/>
      <c r="G1690" s="249"/>
      <c r="H1690" s="249"/>
      <c r="I1690" s="258"/>
      <c r="J1690" s="249"/>
      <c r="K1690" s="249"/>
      <c r="L1690" s="249"/>
      <c r="M1690" s="259"/>
      <c r="N1690" s="249"/>
      <c r="O1690" s="249"/>
      <c r="P1690" s="249"/>
      <c r="Q1690" s="249"/>
      <c r="R1690" s="249"/>
      <c r="S1690" s="249"/>
      <c r="T1690" s="249"/>
      <c r="U1690" s="249"/>
      <c r="V1690" s="249"/>
      <c r="W1690" s="249"/>
      <c r="X1690" s="249"/>
      <c r="Y1690" s="249"/>
      <c r="Z1690" s="249"/>
    </row>
    <row r="1691" spans="1:26" s="152" customFormat="1" x14ac:dyDescent="0.25">
      <c r="A1691" s="249"/>
      <c r="B1691" s="249"/>
      <c r="C1691" s="249"/>
      <c r="D1691" s="249"/>
      <c r="E1691" s="249"/>
      <c r="F1691" s="249"/>
      <c r="G1691" s="249"/>
      <c r="H1691" s="249"/>
      <c r="I1691" s="258"/>
      <c r="J1691" s="249"/>
      <c r="K1691" s="249"/>
      <c r="L1691" s="249"/>
      <c r="M1691" s="259"/>
      <c r="N1691" s="249"/>
      <c r="O1691" s="249"/>
      <c r="P1691" s="249"/>
      <c r="Q1691" s="249"/>
      <c r="R1691" s="249"/>
      <c r="S1691" s="249"/>
      <c r="T1691" s="249"/>
      <c r="U1691" s="249"/>
      <c r="V1691" s="249"/>
      <c r="W1691" s="249"/>
      <c r="X1691" s="249"/>
      <c r="Y1691" s="249"/>
      <c r="Z1691" s="249"/>
    </row>
    <row r="1692" spans="1:26" s="152" customFormat="1" x14ac:dyDescent="0.25">
      <c r="A1692" s="249"/>
      <c r="B1692" s="249"/>
      <c r="C1692" s="249"/>
      <c r="D1692" s="249"/>
      <c r="E1692" s="249"/>
      <c r="F1692" s="249"/>
      <c r="G1692" s="249"/>
      <c r="H1692" s="249"/>
      <c r="I1692" s="258"/>
      <c r="J1692" s="249"/>
      <c r="K1692" s="249"/>
      <c r="L1692" s="249"/>
      <c r="M1692" s="259"/>
      <c r="N1692" s="249"/>
      <c r="O1692" s="249"/>
      <c r="P1692" s="249"/>
      <c r="Q1692" s="249"/>
      <c r="R1692" s="249"/>
      <c r="S1692" s="249"/>
      <c r="T1692" s="249"/>
      <c r="U1692" s="249"/>
      <c r="V1692" s="249"/>
      <c r="W1692" s="249"/>
      <c r="X1692" s="249"/>
      <c r="Y1692" s="249"/>
      <c r="Z1692" s="249"/>
    </row>
    <row r="1693" spans="1:26" s="152" customFormat="1" x14ac:dyDescent="0.25">
      <c r="A1693" s="249"/>
      <c r="B1693" s="249"/>
      <c r="C1693" s="249"/>
      <c r="D1693" s="249"/>
      <c r="E1693" s="249"/>
      <c r="F1693" s="249"/>
      <c r="G1693" s="249"/>
      <c r="H1693" s="249"/>
      <c r="I1693" s="258"/>
      <c r="J1693" s="249"/>
      <c r="K1693" s="249"/>
      <c r="L1693" s="249"/>
      <c r="M1693" s="259"/>
      <c r="N1693" s="249"/>
      <c r="O1693" s="249"/>
      <c r="P1693" s="249"/>
      <c r="Q1693" s="249"/>
      <c r="R1693" s="249"/>
      <c r="S1693" s="249"/>
      <c r="T1693" s="249"/>
      <c r="U1693" s="249"/>
      <c r="V1693" s="249"/>
      <c r="W1693" s="249"/>
      <c r="X1693" s="249"/>
      <c r="Y1693" s="249"/>
      <c r="Z1693" s="249"/>
    </row>
    <row r="1694" spans="1:26" s="152" customFormat="1" x14ac:dyDescent="0.25">
      <c r="A1694" s="249"/>
      <c r="B1694" s="249"/>
      <c r="C1694" s="249"/>
      <c r="D1694" s="249"/>
      <c r="E1694" s="249"/>
      <c r="F1694" s="249"/>
      <c r="G1694" s="249"/>
      <c r="H1694" s="249"/>
      <c r="I1694" s="258"/>
      <c r="J1694" s="249"/>
      <c r="K1694" s="249"/>
      <c r="L1694" s="249"/>
      <c r="M1694" s="259"/>
      <c r="N1694" s="249"/>
      <c r="O1694" s="249"/>
      <c r="P1694" s="249"/>
      <c r="Q1694" s="249"/>
      <c r="R1694" s="249"/>
      <c r="S1694" s="249"/>
      <c r="T1694" s="249"/>
      <c r="U1694" s="249"/>
      <c r="V1694" s="249"/>
      <c r="W1694" s="249"/>
      <c r="X1694" s="249"/>
      <c r="Y1694" s="249"/>
      <c r="Z1694" s="249"/>
    </row>
    <row r="1695" spans="1:26" s="152" customFormat="1" x14ac:dyDescent="0.25">
      <c r="A1695" s="249"/>
      <c r="B1695" s="249"/>
      <c r="C1695" s="249"/>
      <c r="D1695" s="249"/>
      <c r="E1695" s="249"/>
      <c r="F1695" s="249"/>
      <c r="G1695" s="249"/>
      <c r="H1695" s="249"/>
      <c r="I1695" s="258"/>
      <c r="J1695" s="249"/>
      <c r="K1695" s="249"/>
      <c r="L1695" s="249"/>
      <c r="M1695" s="259"/>
      <c r="N1695" s="249"/>
      <c r="O1695" s="249"/>
      <c r="P1695" s="249"/>
      <c r="Q1695" s="249"/>
      <c r="R1695" s="249"/>
      <c r="S1695" s="249"/>
      <c r="T1695" s="249"/>
      <c r="U1695" s="249"/>
      <c r="V1695" s="249"/>
      <c r="W1695" s="249"/>
      <c r="X1695" s="249"/>
      <c r="Y1695" s="249"/>
      <c r="Z1695" s="249"/>
    </row>
    <row r="1696" spans="1:26" s="152" customFormat="1" x14ac:dyDescent="0.25">
      <c r="A1696" s="249"/>
      <c r="B1696" s="249"/>
      <c r="C1696" s="249"/>
      <c r="D1696" s="249"/>
      <c r="E1696" s="249"/>
      <c r="F1696" s="249"/>
      <c r="G1696" s="249"/>
      <c r="H1696" s="249"/>
      <c r="I1696" s="258"/>
      <c r="J1696" s="249"/>
      <c r="K1696" s="249"/>
      <c r="L1696" s="249"/>
      <c r="M1696" s="259"/>
      <c r="N1696" s="249"/>
      <c r="O1696" s="249"/>
      <c r="P1696" s="249"/>
      <c r="Q1696" s="249"/>
      <c r="R1696" s="249"/>
      <c r="S1696" s="249"/>
      <c r="T1696" s="249"/>
      <c r="U1696" s="249"/>
      <c r="V1696" s="249"/>
      <c r="W1696" s="249"/>
      <c r="X1696" s="249"/>
      <c r="Y1696" s="249"/>
      <c r="Z1696" s="249"/>
    </row>
    <row r="1697" spans="1:26" s="152" customFormat="1" x14ac:dyDescent="0.25">
      <c r="A1697" s="249"/>
      <c r="B1697" s="249"/>
      <c r="C1697" s="249"/>
      <c r="D1697" s="249"/>
      <c r="E1697" s="249"/>
      <c r="F1697" s="249"/>
      <c r="G1697" s="249"/>
      <c r="H1697" s="249"/>
      <c r="I1697" s="258"/>
      <c r="J1697" s="249"/>
      <c r="K1697" s="249"/>
      <c r="L1697" s="249"/>
      <c r="M1697" s="259"/>
      <c r="N1697" s="249"/>
      <c r="O1697" s="249"/>
      <c r="P1697" s="249"/>
      <c r="Q1697" s="249"/>
      <c r="R1697" s="249"/>
      <c r="S1697" s="249"/>
      <c r="T1697" s="249"/>
      <c r="U1697" s="249"/>
      <c r="V1697" s="249"/>
      <c r="W1697" s="249"/>
      <c r="X1697" s="249"/>
      <c r="Y1697" s="249"/>
      <c r="Z1697" s="249"/>
    </row>
    <row r="1698" spans="1:26" s="152" customFormat="1" x14ac:dyDescent="0.25">
      <c r="A1698" s="249"/>
      <c r="B1698" s="249"/>
      <c r="C1698" s="249"/>
      <c r="D1698" s="249"/>
      <c r="E1698" s="249"/>
      <c r="F1698" s="249"/>
      <c r="G1698" s="249"/>
      <c r="H1698" s="249"/>
      <c r="I1698" s="258"/>
      <c r="J1698" s="249"/>
      <c r="K1698" s="249"/>
      <c r="L1698" s="249"/>
      <c r="M1698" s="259"/>
      <c r="N1698" s="249"/>
      <c r="O1698" s="249"/>
      <c r="P1698" s="249"/>
      <c r="Q1698" s="249"/>
      <c r="R1698" s="249"/>
      <c r="S1698" s="249"/>
      <c r="T1698" s="249"/>
      <c r="U1698" s="249"/>
      <c r="V1698" s="249"/>
      <c r="W1698" s="249"/>
      <c r="X1698" s="249"/>
      <c r="Y1698" s="249"/>
      <c r="Z1698" s="249"/>
    </row>
    <row r="1699" spans="1:26" s="152" customFormat="1" x14ac:dyDescent="0.25">
      <c r="A1699" s="249"/>
      <c r="B1699" s="249"/>
      <c r="C1699" s="249"/>
      <c r="D1699" s="249"/>
      <c r="E1699" s="249"/>
      <c r="F1699" s="249"/>
      <c r="G1699" s="249"/>
      <c r="H1699" s="249"/>
      <c r="I1699" s="258"/>
      <c r="J1699" s="249"/>
      <c r="K1699" s="249"/>
      <c r="L1699" s="249"/>
      <c r="M1699" s="259"/>
      <c r="N1699" s="249"/>
      <c r="O1699" s="249"/>
      <c r="P1699" s="249"/>
      <c r="Q1699" s="249"/>
      <c r="R1699" s="249"/>
      <c r="S1699" s="249"/>
      <c r="T1699" s="249"/>
      <c r="U1699" s="249"/>
      <c r="V1699" s="249"/>
      <c r="W1699" s="249"/>
      <c r="X1699" s="249"/>
      <c r="Y1699" s="249"/>
      <c r="Z1699" s="249"/>
    </row>
    <row r="1700" spans="1:26" s="152" customFormat="1" x14ac:dyDescent="0.25">
      <c r="A1700" s="249"/>
      <c r="B1700" s="249"/>
      <c r="C1700" s="249"/>
      <c r="D1700" s="249"/>
      <c r="E1700" s="249"/>
      <c r="F1700" s="249"/>
      <c r="G1700" s="249"/>
      <c r="H1700" s="249"/>
      <c r="I1700" s="258"/>
      <c r="J1700" s="249"/>
      <c r="K1700" s="249"/>
      <c r="L1700" s="249"/>
      <c r="M1700" s="259"/>
      <c r="N1700" s="249"/>
      <c r="O1700" s="249"/>
      <c r="P1700" s="249"/>
      <c r="Q1700" s="249"/>
      <c r="R1700" s="249"/>
      <c r="S1700" s="249"/>
      <c r="T1700" s="249"/>
      <c r="U1700" s="249"/>
      <c r="V1700" s="249"/>
      <c r="W1700" s="249"/>
      <c r="X1700" s="249"/>
      <c r="Y1700" s="249"/>
      <c r="Z1700" s="249"/>
    </row>
    <row r="1701" spans="1:26" s="152" customFormat="1" x14ac:dyDescent="0.25">
      <c r="A1701" s="249"/>
      <c r="B1701" s="249"/>
      <c r="C1701" s="249"/>
      <c r="D1701" s="249"/>
      <c r="E1701" s="249"/>
      <c r="F1701" s="249"/>
      <c r="G1701" s="249"/>
      <c r="H1701" s="249"/>
      <c r="I1701" s="258"/>
      <c r="J1701" s="249"/>
      <c r="K1701" s="249"/>
      <c r="L1701" s="249"/>
      <c r="M1701" s="259"/>
      <c r="N1701" s="249"/>
      <c r="O1701" s="249"/>
      <c r="P1701" s="249"/>
      <c r="Q1701" s="249"/>
      <c r="R1701" s="249"/>
      <c r="S1701" s="249"/>
      <c r="T1701" s="249"/>
      <c r="U1701" s="249"/>
      <c r="V1701" s="249"/>
      <c r="W1701" s="249"/>
      <c r="X1701" s="249"/>
      <c r="Y1701" s="249"/>
      <c r="Z1701" s="249"/>
    </row>
    <row r="1702" spans="1:26" s="152" customFormat="1" x14ac:dyDescent="0.25">
      <c r="A1702" s="249"/>
      <c r="B1702" s="249"/>
      <c r="C1702" s="249"/>
      <c r="D1702" s="249"/>
      <c r="E1702" s="249"/>
      <c r="F1702" s="249"/>
      <c r="G1702" s="249"/>
      <c r="H1702" s="249"/>
      <c r="I1702" s="258"/>
      <c r="J1702" s="249"/>
      <c r="K1702" s="249"/>
      <c r="L1702" s="249"/>
      <c r="M1702" s="259"/>
      <c r="N1702" s="249"/>
      <c r="O1702" s="249"/>
      <c r="P1702" s="249"/>
      <c r="Q1702" s="249"/>
      <c r="R1702" s="249"/>
      <c r="S1702" s="249"/>
      <c r="T1702" s="249"/>
      <c r="U1702" s="249"/>
      <c r="V1702" s="249"/>
      <c r="W1702" s="249"/>
      <c r="X1702" s="249"/>
      <c r="Y1702" s="249"/>
      <c r="Z1702" s="249"/>
    </row>
    <row r="1703" spans="1:26" s="152" customFormat="1" x14ac:dyDescent="0.25">
      <c r="A1703" s="249"/>
      <c r="B1703" s="249"/>
      <c r="C1703" s="249"/>
      <c r="D1703" s="249"/>
      <c r="E1703" s="249"/>
      <c r="F1703" s="249"/>
      <c r="G1703" s="249"/>
      <c r="H1703" s="249"/>
      <c r="I1703" s="258"/>
      <c r="J1703" s="249"/>
      <c r="K1703" s="249"/>
      <c r="L1703" s="249"/>
      <c r="M1703" s="259"/>
      <c r="N1703" s="249"/>
      <c r="O1703" s="249"/>
      <c r="P1703" s="249"/>
      <c r="Q1703" s="249"/>
      <c r="R1703" s="249"/>
      <c r="S1703" s="249"/>
      <c r="T1703" s="249"/>
      <c r="U1703" s="249"/>
      <c r="V1703" s="249"/>
      <c r="W1703" s="249"/>
      <c r="X1703" s="249"/>
      <c r="Y1703" s="249"/>
      <c r="Z1703" s="249"/>
    </row>
    <row r="1704" spans="1:26" s="152" customFormat="1" x14ac:dyDescent="0.25">
      <c r="A1704" s="249"/>
      <c r="B1704" s="249"/>
      <c r="C1704" s="249"/>
      <c r="D1704" s="249"/>
      <c r="E1704" s="249"/>
      <c r="F1704" s="249"/>
      <c r="G1704" s="249"/>
      <c r="H1704" s="249"/>
      <c r="I1704" s="258"/>
      <c r="J1704" s="249"/>
      <c r="K1704" s="249"/>
      <c r="L1704" s="249"/>
      <c r="M1704" s="259"/>
      <c r="N1704" s="249"/>
      <c r="O1704" s="249"/>
      <c r="P1704" s="249"/>
      <c r="Q1704" s="249"/>
      <c r="R1704" s="249"/>
      <c r="S1704" s="249"/>
      <c r="T1704" s="249"/>
      <c r="U1704" s="249"/>
      <c r="V1704" s="249"/>
      <c r="W1704" s="249"/>
      <c r="X1704" s="249"/>
      <c r="Y1704" s="249"/>
      <c r="Z1704" s="249"/>
    </row>
    <row r="1705" spans="1:26" s="152" customFormat="1" x14ac:dyDescent="0.25">
      <c r="A1705" s="249"/>
      <c r="B1705" s="249"/>
      <c r="C1705" s="249"/>
      <c r="D1705" s="249"/>
      <c r="E1705" s="249"/>
      <c r="F1705" s="249"/>
      <c r="G1705" s="249"/>
      <c r="H1705" s="249"/>
      <c r="I1705" s="258"/>
      <c r="J1705" s="249"/>
      <c r="K1705" s="249"/>
      <c r="L1705" s="249"/>
      <c r="M1705" s="259"/>
      <c r="N1705" s="249"/>
      <c r="O1705" s="249"/>
      <c r="P1705" s="249"/>
      <c r="Q1705" s="249"/>
      <c r="R1705" s="249"/>
      <c r="S1705" s="249"/>
      <c r="T1705" s="249"/>
      <c r="U1705" s="249"/>
      <c r="V1705" s="249"/>
      <c r="W1705" s="249"/>
      <c r="X1705" s="249"/>
      <c r="Y1705" s="249"/>
      <c r="Z1705" s="249"/>
    </row>
    <row r="1706" spans="1:26" s="152" customFormat="1" x14ac:dyDescent="0.25">
      <c r="A1706" s="249"/>
      <c r="B1706" s="249"/>
      <c r="C1706" s="249"/>
      <c r="D1706" s="249"/>
      <c r="E1706" s="249"/>
      <c r="F1706" s="249"/>
      <c r="G1706" s="249"/>
      <c r="H1706" s="249"/>
      <c r="I1706" s="258"/>
      <c r="J1706" s="249"/>
      <c r="K1706" s="249"/>
      <c r="L1706" s="249"/>
      <c r="M1706" s="259"/>
      <c r="N1706" s="249"/>
      <c r="O1706" s="249"/>
      <c r="P1706" s="249"/>
      <c r="Q1706" s="249"/>
      <c r="R1706" s="249"/>
      <c r="S1706" s="249"/>
      <c r="T1706" s="249"/>
      <c r="U1706" s="249"/>
      <c r="V1706" s="249"/>
      <c r="W1706" s="249"/>
      <c r="X1706" s="249"/>
      <c r="Y1706" s="249"/>
      <c r="Z1706" s="249"/>
    </row>
    <row r="1707" spans="1:26" s="152" customFormat="1" x14ac:dyDescent="0.25">
      <c r="A1707" s="249"/>
      <c r="B1707" s="249"/>
      <c r="C1707" s="249"/>
      <c r="D1707" s="249"/>
      <c r="E1707" s="249"/>
      <c r="F1707" s="249"/>
      <c r="G1707" s="249"/>
      <c r="H1707" s="249"/>
      <c r="I1707" s="258"/>
      <c r="J1707" s="249"/>
      <c r="K1707" s="249"/>
      <c r="L1707" s="249"/>
      <c r="M1707" s="259"/>
      <c r="N1707" s="249"/>
      <c r="O1707" s="249"/>
      <c r="P1707" s="249"/>
      <c r="Q1707" s="249"/>
      <c r="R1707" s="249"/>
      <c r="S1707" s="249"/>
      <c r="T1707" s="249"/>
      <c r="U1707" s="249"/>
      <c r="V1707" s="249"/>
      <c r="W1707" s="249"/>
      <c r="X1707" s="249"/>
      <c r="Y1707" s="249"/>
      <c r="Z1707" s="249"/>
    </row>
    <row r="1708" spans="1:26" s="152" customFormat="1" x14ac:dyDescent="0.25">
      <c r="A1708" s="249"/>
      <c r="B1708" s="249"/>
      <c r="C1708" s="249"/>
      <c r="D1708" s="249"/>
      <c r="E1708" s="249"/>
      <c r="F1708" s="249"/>
      <c r="G1708" s="249"/>
      <c r="H1708" s="249"/>
      <c r="I1708" s="258"/>
      <c r="J1708" s="249"/>
      <c r="K1708" s="249"/>
      <c r="L1708" s="249"/>
      <c r="M1708" s="259"/>
      <c r="N1708" s="249"/>
      <c r="O1708" s="249"/>
      <c r="P1708" s="249"/>
      <c r="Q1708" s="249"/>
      <c r="R1708" s="249"/>
      <c r="S1708" s="249"/>
      <c r="T1708" s="249"/>
      <c r="U1708" s="249"/>
      <c r="V1708" s="249"/>
      <c r="W1708" s="249"/>
      <c r="X1708" s="249"/>
      <c r="Y1708" s="249"/>
      <c r="Z1708" s="249"/>
    </row>
    <row r="1709" spans="1:26" s="152" customFormat="1" x14ac:dyDescent="0.25">
      <c r="A1709" s="249"/>
      <c r="B1709" s="249"/>
      <c r="C1709" s="249"/>
      <c r="D1709" s="249"/>
      <c r="E1709" s="249"/>
      <c r="F1709" s="249"/>
      <c r="G1709" s="249"/>
      <c r="H1709" s="249"/>
      <c r="I1709" s="258"/>
      <c r="J1709" s="249"/>
      <c r="K1709" s="249"/>
      <c r="L1709" s="249"/>
      <c r="M1709" s="259"/>
      <c r="N1709" s="249"/>
      <c r="O1709" s="249"/>
      <c r="P1709" s="249"/>
      <c r="Q1709" s="249"/>
      <c r="R1709" s="249"/>
      <c r="S1709" s="249"/>
      <c r="T1709" s="249"/>
      <c r="U1709" s="249"/>
      <c r="V1709" s="249"/>
      <c r="W1709" s="249"/>
      <c r="X1709" s="249"/>
      <c r="Y1709" s="249"/>
      <c r="Z1709" s="249"/>
    </row>
    <row r="1710" spans="1:26" s="152" customFormat="1" x14ac:dyDescent="0.25">
      <c r="A1710" s="249"/>
      <c r="B1710" s="249"/>
      <c r="C1710" s="249"/>
      <c r="D1710" s="249"/>
      <c r="E1710" s="249"/>
      <c r="F1710" s="249"/>
      <c r="G1710" s="249"/>
      <c r="H1710" s="249"/>
      <c r="I1710" s="258"/>
      <c r="J1710" s="249"/>
      <c r="K1710" s="249"/>
      <c r="L1710" s="249"/>
      <c r="M1710" s="259"/>
      <c r="N1710" s="249"/>
      <c r="O1710" s="249"/>
      <c r="P1710" s="249"/>
      <c r="Q1710" s="249"/>
      <c r="R1710" s="249"/>
      <c r="S1710" s="249"/>
      <c r="T1710" s="249"/>
      <c r="U1710" s="249"/>
      <c r="V1710" s="249"/>
      <c r="W1710" s="249"/>
      <c r="X1710" s="249"/>
      <c r="Y1710" s="249"/>
      <c r="Z1710" s="249"/>
    </row>
    <row r="1711" spans="1:26" s="152" customFormat="1" x14ac:dyDescent="0.25">
      <c r="A1711" s="249"/>
      <c r="B1711" s="249"/>
      <c r="C1711" s="249"/>
      <c r="D1711" s="249"/>
      <c r="E1711" s="249"/>
      <c r="F1711" s="249"/>
      <c r="G1711" s="249"/>
      <c r="H1711" s="249"/>
      <c r="I1711" s="258"/>
      <c r="J1711" s="249"/>
      <c r="K1711" s="249"/>
      <c r="L1711" s="249"/>
      <c r="M1711" s="259"/>
      <c r="N1711" s="249"/>
      <c r="O1711" s="249"/>
      <c r="P1711" s="249"/>
      <c r="Q1711" s="249"/>
      <c r="R1711" s="249"/>
      <c r="S1711" s="249"/>
      <c r="T1711" s="249"/>
      <c r="U1711" s="249"/>
      <c r="V1711" s="249"/>
      <c r="W1711" s="249"/>
      <c r="X1711" s="249"/>
      <c r="Y1711" s="249"/>
      <c r="Z1711" s="249"/>
    </row>
    <row r="1712" spans="1:26" s="152" customFormat="1" x14ac:dyDescent="0.25">
      <c r="A1712" s="249"/>
      <c r="B1712" s="249"/>
      <c r="C1712" s="249"/>
      <c r="D1712" s="249"/>
      <c r="E1712" s="249"/>
      <c r="F1712" s="249"/>
      <c r="G1712" s="249"/>
      <c r="H1712" s="249"/>
      <c r="I1712" s="258"/>
      <c r="J1712" s="249"/>
      <c r="K1712" s="249"/>
      <c r="L1712" s="249"/>
      <c r="M1712" s="259"/>
      <c r="N1712" s="249"/>
      <c r="O1712" s="249"/>
      <c r="P1712" s="249"/>
      <c r="Q1712" s="249"/>
      <c r="R1712" s="249"/>
      <c r="S1712" s="249"/>
      <c r="T1712" s="249"/>
      <c r="U1712" s="249"/>
      <c r="V1712" s="249"/>
      <c r="W1712" s="249"/>
      <c r="X1712" s="249"/>
      <c r="Y1712" s="249"/>
      <c r="Z1712" s="249"/>
    </row>
    <row r="1713" spans="1:26" s="152" customFormat="1" x14ac:dyDescent="0.25">
      <c r="A1713" s="249"/>
      <c r="B1713" s="249"/>
      <c r="C1713" s="249"/>
      <c r="D1713" s="249"/>
      <c r="E1713" s="249"/>
      <c r="F1713" s="249"/>
      <c r="G1713" s="249"/>
      <c r="H1713" s="249"/>
      <c r="I1713" s="258"/>
      <c r="J1713" s="249"/>
      <c r="K1713" s="249"/>
      <c r="L1713" s="249"/>
      <c r="M1713" s="259"/>
      <c r="N1713" s="249"/>
      <c r="O1713" s="249"/>
      <c r="P1713" s="249"/>
      <c r="Q1713" s="249"/>
      <c r="R1713" s="249"/>
      <c r="S1713" s="249"/>
      <c r="T1713" s="249"/>
      <c r="U1713" s="249"/>
      <c r="V1713" s="249"/>
      <c r="W1713" s="249"/>
      <c r="X1713" s="249"/>
      <c r="Y1713" s="249"/>
      <c r="Z1713" s="249"/>
    </row>
    <row r="1714" spans="1:26" s="152" customFormat="1" x14ac:dyDescent="0.25">
      <c r="A1714" s="249"/>
      <c r="B1714" s="249"/>
      <c r="C1714" s="249"/>
      <c r="D1714" s="249"/>
      <c r="E1714" s="249"/>
      <c r="F1714" s="249"/>
      <c r="G1714" s="249"/>
      <c r="H1714" s="249"/>
      <c r="I1714" s="258"/>
      <c r="J1714" s="249"/>
      <c r="K1714" s="249"/>
      <c r="L1714" s="249"/>
      <c r="M1714" s="259"/>
      <c r="N1714" s="249"/>
      <c r="O1714" s="249"/>
      <c r="P1714" s="249"/>
      <c r="Q1714" s="249"/>
      <c r="R1714" s="249"/>
      <c r="S1714" s="249"/>
      <c r="T1714" s="249"/>
      <c r="U1714" s="249"/>
      <c r="V1714" s="249"/>
      <c r="W1714" s="249"/>
      <c r="X1714" s="249"/>
      <c r="Y1714" s="249"/>
      <c r="Z1714" s="249"/>
    </row>
    <row r="1715" spans="1:26" s="152" customFormat="1" x14ac:dyDescent="0.25">
      <c r="A1715" s="249"/>
      <c r="B1715" s="249"/>
      <c r="C1715" s="249"/>
      <c r="D1715" s="249"/>
      <c r="E1715" s="249"/>
      <c r="F1715" s="249"/>
      <c r="G1715" s="249"/>
      <c r="H1715" s="249"/>
      <c r="I1715" s="258"/>
      <c r="J1715" s="249"/>
      <c r="K1715" s="249"/>
      <c r="L1715" s="249"/>
      <c r="M1715" s="259"/>
      <c r="N1715" s="249"/>
      <c r="O1715" s="249"/>
      <c r="P1715" s="249"/>
      <c r="Q1715" s="249"/>
      <c r="R1715" s="249"/>
      <c r="S1715" s="249"/>
      <c r="T1715" s="249"/>
      <c r="U1715" s="249"/>
      <c r="V1715" s="249"/>
      <c r="W1715" s="249"/>
      <c r="X1715" s="249"/>
      <c r="Y1715" s="249"/>
      <c r="Z1715" s="249"/>
    </row>
    <row r="1716" spans="1:26" s="152" customFormat="1" x14ac:dyDescent="0.25">
      <c r="A1716" s="249"/>
      <c r="B1716" s="249"/>
      <c r="C1716" s="249"/>
      <c r="D1716" s="249"/>
      <c r="E1716" s="249"/>
      <c r="F1716" s="249"/>
      <c r="G1716" s="249"/>
      <c r="H1716" s="249"/>
      <c r="I1716" s="258"/>
      <c r="J1716" s="249"/>
      <c r="K1716" s="249"/>
      <c r="L1716" s="249"/>
      <c r="M1716" s="259"/>
      <c r="N1716" s="249"/>
      <c r="O1716" s="249"/>
      <c r="P1716" s="249"/>
      <c r="Q1716" s="249"/>
      <c r="R1716" s="249"/>
      <c r="S1716" s="249"/>
      <c r="T1716" s="249"/>
      <c r="U1716" s="249"/>
      <c r="V1716" s="249"/>
      <c r="W1716" s="249"/>
      <c r="X1716" s="249"/>
      <c r="Y1716" s="249"/>
      <c r="Z1716" s="249"/>
    </row>
    <row r="1717" spans="1:26" s="152" customFormat="1" x14ac:dyDescent="0.25">
      <c r="A1717" s="249"/>
      <c r="B1717" s="249"/>
      <c r="C1717" s="249"/>
      <c r="D1717" s="249"/>
      <c r="E1717" s="249"/>
      <c r="F1717" s="249"/>
      <c r="G1717" s="249"/>
      <c r="H1717" s="249"/>
      <c r="I1717" s="258"/>
      <c r="J1717" s="249"/>
      <c r="K1717" s="249"/>
      <c r="L1717" s="249"/>
      <c r="M1717" s="259"/>
      <c r="N1717" s="249"/>
      <c r="O1717" s="249"/>
      <c r="P1717" s="249"/>
      <c r="Q1717" s="249"/>
      <c r="R1717" s="249"/>
      <c r="S1717" s="249"/>
      <c r="T1717" s="249"/>
      <c r="U1717" s="249"/>
      <c r="V1717" s="249"/>
      <c r="W1717" s="249"/>
      <c r="X1717" s="249"/>
      <c r="Y1717" s="249"/>
      <c r="Z1717" s="249"/>
    </row>
    <row r="1718" spans="1:26" s="152" customFormat="1" x14ac:dyDescent="0.25">
      <c r="A1718" s="249"/>
      <c r="B1718" s="249"/>
      <c r="C1718" s="249"/>
      <c r="D1718" s="249"/>
      <c r="E1718" s="249"/>
      <c r="F1718" s="249"/>
      <c r="G1718" s="249"/>
      <c r="H1718" s="249"/>
      <c r="I1718" s="258"/>
      <c r="J1718" s="249"/>
      <c r="K1718" s="249"/>
      <c r="L1718" s="249"/>
      <c r="M1718" s="259"/>
      <c r="N1718" s="249"/>
      <c r="O1718" s="249"/>
      <c r="P1718" s="249"/>
      <c r="Q1718" s="249"/>
      <c r="R1718" s="249"/>
      <c r="S1718" s="249"/>
      <c r="T1718" s="249"/>
      <c r="U1718" s="249"/>
      <c r="V1718" s="249"/>
      <c r="W1718" s="249"/>
      <c r="X1718" s="249"/>
      <c r="Y1718" s="249"/>
      <c r="Z1718" s="249"/>
    </row>
    <row r="1719" spans="1:26" s="152" customFormat="1" x14ac:dyDescent="0.25">
      <c r="A1719" s="249"/>
      <c r="B1719" s="249"/>
      <c r="C1719" s="249"/>
      <c r="D1719" s="249"/>
      <c r="E1719" s="249"/>
      <c r="F1719" s="249"/>
      <c r="G1719" s="249"/>
      <c r="H1719" s="249"/>
      <c r="I1719" s="258"/>
      <c r="J1719" s="249"/>
      <c r="K1719" s="249"/>
      <c r="L1719" s="249"/>
      <c r="M1719" s="259"/>
      <c r="N1719" s="249"/>
      <c r="O1719" s="249"/>
      <c r="P1719" s="249"/>
      <c r="Q1719" s="249"/>
      <c r="R1719" s="249"/>
      <c r="S1719" s="249"/>
      <c r="T1719" s="249"/>
      <c r="U1719" s="249"/>
      <c r="V1719" s="249"/>
      <c r="W1719" s="249"/>
      <c r="X1719" s="249"/>
      <c r="Y1719" s="249"/>
      <c r="Z1719" s="249"/>
    </row>
    <row r="1720" spans="1:26" s="152" customFormat="1" x14ac:dyDescent="0.25">
      <c r="A1720" s="249"/>
      <c r="B1720" s="249"/>
      <c r="C1720" s="249"/>
      <c r="D1720" s="249"/>
      <c r="E1720" s="249"/>
      <c r="F1720" s="249"/>
      <c r="G1720" s="249"/>
      <c r="H1720" s="249"/>
      <c r="I1720" s="258"/>
      <c r="J1720" s="249"/>
      <c r="K1720" s="249"/>
      <c r="L1720" s="249"/>
      <c r="M1720" s="259"/>
      <c r="N1720" s="249"/>
      <c r="O1720" s="249"/>
      <c r="P1720" s="249"/>
      <c r="Q1720" s="249"/>
      <c r="R1720" s="249"/>
      <c r="S1720" s="249"/>
      <c r="T1720" s="249"/>
      <c r="U1720" s="249"/>
      <c r="V1720" s="249"/>
      <c r="W1720" s="249"/>
      <c r="X1720" s="249"/>
      <c r="Y1720" s="249"/>
      <c r="Z1720" s="249"/>
    </row>
    <row r="1721" spans="1:26" s="152" customFormat="1" x14ac:dyDescent="0.25">
      <c r="A1721" s="249"/>
      <c r="B1721" s="249"/>
      <c r="C1721" s="249"/>
      <c r="D1721" s="249"/>
      <c r="E1721" s="249"/>
      <c r="F1721" s="249"/>
      <c r="G1721" s="249"/>
      <c r="H1721" s="249"/>
      <c r="I1721" s="258"/>
      <c r="J1721" s="249"/>
      <c r="K1721" s="249"/>
      <c r="L1721" s="249"/>
      <c r="M1721" s="259"/>
      <c r="N1721" s="249"/>
      <c r="O1721" s="249"/>
      <c r="P1721" s="249"/>
      <c r="Q1721" s="249"/>
      <c r="R1721" s="249"/>
      <c r="S1721" s="249"/>
      <c r="T1721" s="249"/>
      <c r="U1721" s="249"/>
      <c r="V1721" s="249"/>
      <c r="W1721" s="249"/>
      <c r="X1721" s="249"/>
      <c r="Y1721" s="249"/>
      <c r="Z1721" s="249"/>
    </row>
    <row r="1722" spans="1:26" s="152" customFormat="1" x14ac:dyDescent="0.25">
      <c r="A1722" s="249"/>
      <c r="B1722" s="249"/>
      <c r="C1722" s="249"/>
      <c r="D1722" s="249"/>
      <c r="E1722" s="249"/>
      <c r="F1722" s="249"/>
      <c r="G1722" s="249"/>
      <c r="H1722" s="249"/>
      <c r="I1722" s="258"/>
      <c r="J1722" s="249"/>
      <c r="K1722" s="249"/>
      <c r="L1722" s="249"/>
      <c r="M1722" s="259"/>
      <c r="N1722" s="249"/>
      <c r="O1722" s="249"/>
      <c r="P1722" s="249"/>
      <c r="Q1722" s="249"/>
      <c r="R1722" s="249"/>
      <c r="S1722" s="249"/>
      <c r="T1722" s="249"/>
      <c r="U1722" s="249"/>
      <c r="V1722" s="249"/>
      <c r="W1722" s="249"/>
      <c r="X1722" s="249"/>
      <c r="Y1722" s="249"/>
      <c r="Z1722" s="249"/>
    </row>
    <row r="1723" spans="1:26" s="152" customFormat="1" x14ac:dyDescent="0.25">
      <c r="A1723" s="249"/>
      <c r="B1723" s="249"/>
      <c r="C1723" s="249"/>
      <c r="D1723" s="249"/>
      <c r="E1723" s="249"/>
      <c r="F1723" s="249"/>
      <c r="G1723" s="249"/>
      <c r="H1723" s="249"/>
      <c r="I1723" s="258"/>
      <c r="J1723" s="249"/>
      <c r="K1723" s="249"/>
      <c r="L1723" s="249"/>
      <c r="M1723" s="259"/>
      <c r="N1723" s="249"/>
      <c r="O1723" s="249"/>
      <c r="P1723" s="249"/>
      <c r="Q1723" s="249"/>
      <c r="R1723" s="249"/>
      <c r="S1723" s="249"/>
      <c r="T1723" s="249"/>
      <c r="U1723" s="249"/>
      <c r="V1723" s="249"/>
      <c r="W1723" s="249"/>
      <c r="X1723" s="249"/>
      <c r="Y1723" s="249"/>
      <c r="Z1723" s="249"/>
    </row>
    <row r="1724" spans="1:26" s="152" customFormat="1" x14ac:dyDescent="0.25">
      <c r="A1724" s="249"/>
      <c r="B1724" s="249"/>
      <c r="C1724" s="249"/>
      <c r="D1724" s="249"/>
      <c r="E1724" s="249"/>
      <c r="F1724" s="249"/>
      <c r="G1724" s="249"/>
      <c r="H1724" s="249"/>
      <c r="I1724" s="258"/>
      <c r="J1724" s="249"/>
      <c r="K1724" s="249"/>
      <c r="L1724" s="249"/>
      <c r="M1724" s="259"/>
      <c r="N1724" s="249"/>
      <c r="O1724" s="249"/>
      <c r="P1724" s="249"/>
      <c r="Q1724" s="249"/>
      <c r="R1724" s="249"/>
      <c r="S1724" s="249"/>
      <c r="T1724" s="249"/>
      <c r="U1724" s="249"/>
      <c r="V1724" s="249"/>
      <c r="W1724" s="249"/>
      <c r="X1724" s="249"/>
      <c r="Y1724" s="249"/>
      <c r="Z1724" s="249"/>
    </row>
    <row r="1725" spans="1:26" s="152" customFormat="1" x14ac:dyDescent="0.25">
      <c r="A1725" s="249"/>
      <c r="B1725" s="249"/>
      <c r="C1725" s="249"/>
      <c r="D1725" s="249"/>
      <c r="E1725" s="249"/>
      <c r="F1725" s="249"/>
      <c r="G1725" s="249"/>
      <c r="H1725" s="249"/>
      <c r="I1725" s="258"/>
      <c r="J1725" s="249"/>
      <c r="K1725" s="249"/>
      <c r="L1725" s="249"/>
      <c r="M1725" s="259"/>
      <c r="N1725" s="249"/>
      <c r="O1725" s="249"/>
      <c r="P1725" s="249"/>
      <c r="Q1725" s="249"/>
      <c r="R1725" s="249"/>
      <c r="S1725" s="249"/>
      <c r="T1725" s="249"/>
      <c r="U1725" s="249"/>
      <c r="V1725" s="249"/>
      <c r="W1725" s="249"/>
      <c r="X1725" s="249"/>
      <c r="Y1725" s="249"/>
      <c r="Z1725" s="249"/>
    </row>
    <row r="1726" spans="1:26" s="152" customFormat="1" x14ac:dyDescent="0.25">
      <c r="A1726" s="249"/>
      <c r="B1726" s="249"/>
      <c r="C1726" s="249"/>
      <c r="D1726" s="249"/>
      <c r="E1726" s="249"/>
      <c r="F1726" s="249"/>
      <c r="G1726" s="249"/>
      <c r="H1726" s="249"/>
      <c r="I1726" s="258"/>
      <c r="J1726" s="249"/>
      <c r="K1726" s="249"/>
      <c r="L1726" s="249"/>
      <c r="M1726" s="259"/>
      <c r="N1726" s="249"/>
      <c r="O1726" s="249"/>
      <c r="P1726" s="249"/>
      <c r="Q1726" s="249"/>
      <c r="R1726" s="249"/>
      <c r="S1726" s="249"/>
      <c r="T1726" s="249"/>
      <c r="U1726" s="249"/>
      <c r="V1726" s="249"/>
      <c r="W1726" s="249"/>
      <c r="X1726" s="249"/>
      <c r="Y1726" s="249"/>
      <c r="Z1726" s="249"/>
    </row>
    <row r="1727" spans="1:26" s="152" customFormat="1" x14ac:dyDescent="0.25">
      <c r="A1727" s="249"/>
      <c r="B1727" s="249"/>
      <c r="C1727" s="249"/>
      <c r="D1727" s="249"/>
      <c r="E1727" s="249"/>
      <c r="F1727" s="249"/>
      <c r="G1727" s="249"/>
      <c r="H1727" s="249"/>
      <c r="I1727" s="258"/>
      <c r="J1727" s="249"/>
      <c r="K1727" s="249"/>
      <c r="L1727" s="249"/>
      <c r="M1727" s="259"/>
      <c r="N1727" s="249"/>
      <c r="O1727" s="249"/>
      <c r="P1727" s="249"/>
      <c r="Q1727" s="249"/>
      <c r="R1727" s="249"/>
      <c r="S1727" s="249"/>
      <c r="T1727" s="249"/>
      <c r="U1727" s="249"/>
      <c r="V1727" s="249"/>
      <c r="W1727" s="249"/>
      <c r="X1727" s="249"/>
      <c r="Y1727" s="249"/>
      <c r="Z1727" s="249"/>
    </row>
    <row r="1728" spans="1:26" s="152" customFormat="1" x14ac:dyDescent="0.25">
      <c r="A1728" s="249"/>
      <c r="B1728" s="249"/>
      <c r="C1728" s="249"/>
      <c r="D1728" s="249"/>
      <c r="E1728" s="249"/>
      <c r="F1728" s="249"/>
      <c r="G1728" s="249"/>
      <c r="H1728" s="249"/>
      <c r="I1728" s="258"/>
      <c r="J1728" s="249"/>
      <c r="K1728" s="249"/>
      <c r="L1728" s="249"/>
      <c r="M1728" s="259"/>
      <c r="N1728" s="249"/>
      <c r="O1728" s="249"/>
      <c r="P1728" s="249"/>
      <c r="Q1728" s="249"/>
      <c r="R1728" s="249"/>
      <c r="S1728" s="249"/>
      <c r="T1728" s="249"/>
      <c r="U1728" s="249"/>
      <c r="V1728" s="249"/>
      <c r="W1728" s="249"/>
      <c r="X1728" s="249"/>
      <c r="Y1728" s="249"/>
      <c r="Z1728" s="249"/>
    </row>
    <row r="1729" spans="1:26" s="152" customFormat="1" x14ac:dyDescent="0.25">
      <c r="A1729" s="249"/>
      <c r="B1729" s="249"/>
      <c r="C1729" s="249"/>
      <c r="D1729" s="249"/>
      <c r="E1729" s="249"/>
      <c r="F1729" s="249"/>
      <c r="G1729" s="249"/>
      <c r="H1729" s="249"/>
      <c r="I1729" s="258"/>
      <c r="J1729" s="249"/>
      <c r="K1729" s="249"/>
      <c r="L1729" s="249"/>
      <c r="M1729" s="259"/>
      <c r="N1729" s="249"/>
      <c r="O1729" s="249"/>
      <c r="P1729" s="249"/>
      <c r="Q1729" s="249"/>
      <c r="R1729" s="249"/>
      <c r="S1729" s="249"/>
      <c r="T1729" s="249"/>
      <c r="U1729" s="249"/>
      <c r="V1729" s="249"/>
      <c r="W1729" s="249"/>
      <c r="X1729" s="249"/>
      <c r="Y1729" s="249"/>
      <c r="Z1729" s="249"/>
    </row>
    <row r="1730" spans="1:26" s="152" customFormat="1" x14ac:dyDescent="0.25">
      <c r="A1730" s="249"/>
      <c r="B1730" s="249"/>
      <c r="C1730" s="249"/>
      <c r="D1730" s="249"/>
      <c r="E1730" s="249"/>
      <c r="F1730" s="249"/>
      <c r="G1730" s="249"/>
      <c r="H1730" s="249"/>
      <c r="I1730" s="258"/>
      <c r="J1730" s="249"/>
      <c r="K1730" s="249"/>
      <c r="L1730" s="249"/>
      <c r="M1730" s="259"/>
      <c r="N1730" s="249"/>
      <c r="O1730" s="249"/>
      <c r="P1730" s="249"/>
      <c r="Q1730" s="249"/>
      <c r="R1730" s="249"/>
      <c r="S1730" s="249"/>
      <c r="T1730" s="249"/>
      <c r="U1730" s="249"/>
      <c r="V1730" s="249"/>
      <c r="W1730" s="249"/>
      <c r="X1730" s="249"/>
      <c r="Y1730" s="249"/>
      <c r="Z1730" s="249"/>
    </row>
    <row r="1731" spans="1:26" s="152" customFormat="1" x14ac:dyDescent="0.25">
      <c r="A1731" s="249"/>
      <c r="B1731" s="249"/>
      <c r="C1731" s="249"/>
      <c r="D1731" s="249"/>
      <c r="E1731" s="249"/>
      <c r="F1731" s="249"/>
      <c r="G1731" s="249"/>
      <c r="H1731" s="249"/>
      <c r="I1731" s="258"/>
      <c r="J1731" s="249"/>
      <c r="K1731" s="249"/>
      <c r="L1731" s="249"/>
      <c r="M1731" s="259"/>
      <c r="N1731" s="249"/>
      <c r="O1731" s="249"/>
      <c r="P1731" s="249"/>
      <c r="Q1731" s="249"/>
      <c r="R1731" s="249"/>
      <c r="S1731" s="249"/>
      <c r="T1731" s="249"/>
      <c r="U1731" s="249"/>
      <c r="V1731" s="249"/>
      <c r="W1731" s="249"/>
      <c r="X1731" s="249"/>
      <c r="Y1731" s="249"/>
      <c r="Z1731" s="249"/>
    </row>
    <row r="1732" spans="1:26" s="152" customFormat="1" x14ac:dyDescent="0.25">
      <c r="A1732" s="249"/>
      <c r="B1732" s="249"/>
      <c r="C1732" s="249"/>
      <c r="D1732" s="249"/>
      <c r="E1732" s="249"/>
      <c r="F1732" s="249"/>
      <c r="G1732" s="249"/>
      <c r="H1732" s="249"/>
      <c r="I1732" s="258"/>
      <c r="J1732" s="249"/>
      <c r="K1732" s="249"/>
      <c r="L1732" s="249"/>
      <c r="M1732" s="259"/>
      <c r="N1732" s="249"/>
      <c r="O1732" s="249"/>
      <c r="P1732" s="249"/>
      <c r="Q1732" s="249"/>
      <c r="R1732" s="249"/>
      <c r="S1732" s="249"/>
      <c r="T1732" s="249"/>
      <c r="U1732" s="249"/>
      <c r="V1732" s="249"/>
      <c r="W1732" s="249"/>
      <c r="X1732" s="249"/>
      <c r="Y1732" s="249"/>
      <c r="Z1732" s="249"/>
    </row>
    <row r="1733" spans="1:26" s="152" customFormat="1" x14ac:dyDescent="0.25">
      <c r="A1733" s="249"/>
      <c r="B1733" s="249"/>
      <c r="C1733" s="249"/>
      <c r="D1733" s="249"/>
      <c r="E1733" s="249"/>
      <c r="F1733" s="249"/>
      <c r="G1733" s="249"/>
      <c r="H1733" s="249"/>
      <c r="I1733" s="258"/>
      <c r="J1733" s="249"/>
      <c r="K1733" s="249"/>
      <c r="L1733" s="249"/>
      <c r="M1733" s="259"/>
      <c r="N1733" s="249"/>
      <c r="O1733" s="249"/>
      <c r="P1733" s="249"/>
      <c r="Q1733" s="249"/>
      <c r="R1733" s="249"/>
      <c r="S1733" s="249"/>
      <c r="T1733" s="249"/>
      <c r="U1733" s="249"/>
      <c r="V1733" s="249"/>
      <c r="W1733" s="249"/>
      <c r="X1733" s="249"/>
      <c r="Y1733" s="249"/>
      <c r="Z1733" s="249"/>
    </row>
    <row r="1734" spans="1:26" s="152" customFormat="1" x14ac:dyDescent="0.25">
      <c r="A1734" s="249"/>
      <c r="B1734" s="249"/>
      <c r="C1734" s="249"/>
      <c r="D1734" s="249"/>
      <c r="E1734" s="249"/>
      <c r="F1734" s="249"/>
      <c r="G1734" s="249"/>
      <c r="H1734" s="249"/>
      <c r="I1734" s="258"/>
      <c r="J1734" s="249"/>
      <c r="K1734" s="249"/>
      <c r="L1734" s="249"/>
      <c r="M1734" s="259"/>
      <c r="N1734" s="249"/>
      <c r="O1734" s="249"/>
      <c r="P1734" s="249"/>
      <c r="Q1734" s="249"/>
      <c r="R1734" s="249"/>
      <c r="S1734" s="249"/>
      <c r="T1734" s="249"/>
      <c r="U1734" s="249"/>
      <c r="V1734" s="249"/>
      <c r="W1734" s="249"/>
      <c r="X1734" s="249"/>
      <c r="Y1734" s="249"/>
      <c r="Z1734" s="249"/>
    </row>
    <row r="1735" spans="1:26" s="152" customFormat="1" x14ac:dyDescent="0.25">
      <c r="A1735" s="249"/>
      <c r="B1735" s="249"/>
      <c r="C1735" s="249"/>
      <c r="D1735" s="249"/>
      <c r="E1735" s="249"/>
      <c r="F1735" s="249"/>
      <c r="G1735" s="249"/>
      <c r="H1735" s="249"/>
      <c r="I1735" s="258"/>
      <c r="J1735" s="249"/>
      <c r="K1735" s="249"/>
      <c r="L1735" s="249"/>
      <c r="M1735" s="259"/>
      <c r="N1735" s="249"/>
      <c r="O1735" s="249"/>
      <c r="P1735" s="249"/>
      <c r="Q1735" s="249"/>
      <c r="R1735" s="249"/>
      <c r="S1735" s="249"/>
      <c r="T1735" s="249"/>
      <c r="U1735" s="249"/>
      <c r="V1735" s="249"/>
      <c r="W1735" s="249"/>
      <c r="X1735" s="249"/>
      <c r="Y1735" s="249"/>
      <c r="Z1735" s="249"/>
    </row>
    <row r="1736" spans="1:26" s="152" customFormat="1" x14ac:dyDescent="0.25">
      <c r="A1736" s="249"/>
      <c r="B1736" s="249"/>
      <c r="C1736" s="249"/>
      <c r="D1736" s="249"/>
      <c r="E1736" s="249"/>
      <c r="F1736" s="249"/>
      <c r="G1736" s="249"/>
      <c r="H1736" s="249"/>
      <c r="I1736" s="258"/>
      <c r="J1736" s="249"/>
      <c r="K1736" s="249"/>
      <c r="L1736" s="249"/>
      <c r="M1736" s="259"/>
      <c r="N1736" s="249"/>
      <c r="O1736" s="249"/>
      <c r="P1736" s="249"/>
      <c r="Q1736" s="249"/>
      <c r="R1736" s="249"/>
      <c r="S1736" s="249"/>
      <c r="T1736" s="249"/>
      <c r="U1736" s="249"/>
      <c r="V1736" s="249"/>
      <c r="W1736" s="249"/>
      <c r="X1736" s="249"/>
      <c r="Y1736" s="249"/>
      <c r="Z1736" s="249"/>
    </row>
    <row r="1737" spans="1:26" s="152" customFormat="1" x14ac:dyDescent="0.25">
      <c r="A1737" s="249"/>
      <c r="B1737" s="249"/>
      <c r="C1737" s="249"/>
      <c r="D1737" s="249"/>
      <c r="E1737" s="249"/>
      <c r="F1737" s="249"/>
      <c r="G1737" s="249"/>
      <c r="H1737" s="249"/>
      <c r="I1737" s="258"/>
      <c r="J1737" s="249"/>
      <c r="K1737" s="249"/>
      <c r="L1737" s="249"/>
      <c r="M1737" s="259"/>
      <c r="N1737" s="249"/>
      <c r="O1737" s="249"/>
      <c r="P1737" s="249"/>
      <c r="Q1737" s="249"/>
      <c r="R1737" s="249"/>
      <c r="S1737" s="249"/>
      <c r="T1737" s="249"/>
      <c r="U1737" s="249"/>
      <c r="V1737" s="249"/>
      <c r="W1737" s="249"/>
      <c r="X1737" s="249"/>
      <c r="Y1737" s="249"/>
      <c r="Z1737" s="249"/>
    </row>
    <row r="1738" spans="1:26" s="152" customFormat="1" x14ac:dyDescent="0.25">
      <c r="A1738" s="249"/>
      <c r="B1738" s="249"/>
      <c r="C1738" s="249"/>
      <c r="D1738" s="249"/>
      <c r="E1738" s="249"/>
      <c r="F1738" s="249"/>
      <c r="G1738" s="249"/>
      <c r="H1738" s="249"/>
      <c r="I1738" s="258"/>
      <c r="J1738" s="249"/>
      <c r="K1738" s="249"/>
      <c r="L1738" s="249"/>
      <c r="M1738" s="259"/>
      <c r="N1738" s="249"/>
      <c r="O1738" s="249"/>
      <c r="P1738" s="249"/>
      <c r="Q1738" s="249"/>
      <c r="R1738" s="249"/>
      <c r="S1738" s="249"/>
      <c r="T1738" s="249"/>
      <c r="U1738" s="249"/>
      <c r="V1738" s="249"/>
      <c r="W1738" s="249"/>
      <c r="X1738" s="249"/>
      <c r="Y1738" s="249"/>
      <c r="Z1738" s="249"/>
    </row>
    <row r="1739" spans="1:26" s="152" customFormat="1" x14ac:dyDescent="0.25">
      <c r="A1739" s="249"/>
      <c r="B1739" s="249"/>
      <c r="C1739" s="249"/>
      <c r="D1739" s="249"/>
      <c r="E1739" s="249"/>
      <c r="F1739" s="249"/>
      <c r="G1739" s="249"/>
      <c r="H1739" s="249"/>
      <c r="I1739" s="258"/>
      <c r="J1739" s="249"/>
      <c r="K1739" s="249"/>
      <c r="L1739" s="249"/>
      <c r="M1739" s="259"/>
      <c r="N1739" s="249"/>
      <c r="O1739" s="249"/>
      <c r="P1739" s="249"/>
      <c r="Q1739" s="249"/>
      <c r="R1739" s="249"/>
      <c r="S1739" s="249"/>
      <c r="T1739" s="249"/>
      <c r="U1739" s="249"/>
      <c r="V1739" s="249"/>
      <c r="W1739" s="249"/>
      <c r="X1739" s="249"/>
      <c r="Y1739" s="249"/>
      <c r="Z1739" s="249"/>
    </row>
    <row r="1740" spans="1:26" s="152" customFormat="1" x14ac:dyDescent="0.25">
      <c r="A1740" s="249"/>
      <c r="B1740" s="249"/>
      <c r="C1740" s="249"/>
      <c r="D1740" s="249"/>
      <c r="E1740" s="249"/>
      <c r="F1740" s="249"/>
      <c r="G1740" s="249"/>
      <c r="H1740" s="249"/>
      <c r="I1740" s="258"/>
      <c r="J1740" s="249"/>
      <c r="K1740" s="249"/>
      <c r="L1740" s="249"/>
      <c r="M1740" s="259"/>
      <c r="N1740" s="249"/>
      <c r="O1740" s="249"/>
      <c r="P1740" s="249"/>
      <c r="Q1740" s="249"/>
      <c r="R1740" s="249"/>
      <c r="S1740" s="249"/>
      <c r="T1740" s="249"/>
      <c r="U1740" s="249"/>
      <c r="V1740" s="249"/>
      <c r="W1740" s="249"/>
      <c r="X1740" s="249"/>
      <c r="Y1740" s="249"/>
      <c r="Z1740" s="249"/>
    </row>
    <row r="1741" spans="1:26" s="152" customFormat="1" x14ac:dyDescent="0.25">
      <c r="A1741" s="249"/>
      <c r="B1741" s="249"/>
      <c r="C1741" s="249"/>
      <c r="D1741" s="249"/>
      <c r="E1741" s="249"/>
      <c r="F1741" s="249"/>
      <c r="G1741" s="249"/>
      <c r="H1741" s="249"/>
      <c r="I1741" s="258"/>
      <c r="J1741" s="249"/>
      <c r="K1741" s="249"/>
      <c r="L1741" s="249"/>
      <c r="M1741" s="259"/>
      <c r="N1741" s="249"/>
      <c r="O1741" s="249"/>
      <c r="P1741" s="249"/>
      <c r="Q1741" s="249"/>
      <c r="R1741" s="249"/>
      <c r="S1741" s="249"/>
      <c r="T1741" s="249"/>
      <c r="U1741" s="249"/>
      <c r="V1741" s="249"/>
      <c r="W1741" s="249"/>
      <c r="X1741" s="249"/>
      <c r="Y1741" s="249"/>
      <c r="Z1741" s="249"/>
    </row>
    <row r="1742" spans="1:26" s="152" customFormat="1" x14ac:dyDescent="0.25">
      <c r="A1742" s="249"/>
      <c r="B1742" s="249"/>
      <c r="C1742" s="249"/>
      <c r="D1742" s="249"/>
      <c r="E1742" s="249"/>
      <c r="F1742" s="249"/>
      <c r="G1742" s="249"/>
      <c r="H1742" s="249"/>
      <c r="I1742" s="258"/>
      <c r="J1742" s="249"/>
      <c r="K1742" s="249"/>
      <c r="L1742" s="249"/>
      <c r="M1742" s="259"/>
      <c r="N1742" s="249"/>
      <c r="O1742" s="249"/>
      <c r="P1742" s="249"/>
      <c r="Q1742" s="249"/>
      <c r="R1742" s="249"/>
      <c r="S1742" s="249"/>
      <c r="T1742" s="249"/>
      <c r="U1742" s="249"/>
      <c r="V1742" s="249"/>
      <c r="W1742" s="249"/>
      <c r="X1742" s="249"/>
      <c r="Y1742" s="249"/>
      <c r="Z1742" s="249"/>
    </row>
    <row r="1743" spans="1:26" s="152" customFormat="1" x14ac:dyDescent="0.25">
      <c r="A1743" s="249"/>
      <c r="B1743" s="249"/>
      <c r="C1743" s="249"/>
      <c r="D1743" s="249"/>
      <c r="E1743" s="249"/>
      <c r="F1743" s="249"/>
      <c r="G1743" s="249"/>
      <c r="H1743" s="249"/>
      <c r="I1743" s="258"/>
      <c r="J1743" s="249"/>
      <c r="K1743" s="249"/>
      <c r="L1743" s="249"/>
      <c r="M1743" s="259"/>
      <c r="N1743" s="249"/>
      <c r="O1743" s="249"/>
      <c r="P1743" s="249"/>
      <c r="Q1743" s="249"/>
      <c r="R1743" s="249"/>
      <c r="S1743" s="249"/>
      <c r="T1743" s="249"/>
      <c r="U1743" s="249"/>
      <c r="V1743" s="249"/>
      <c r="W1743" s="249"/>
      <c r="X1743" s="249"/>
      <c r="Y1743" s="249"/>
      <c r="Z1743" s="249"/>
    </row>
    <row r="1744" spans="1:26" s="152" customFormat="1" x14ac:dyDescent="0.25">
      <c r="A1744" s="249"/>
      <c r="B1744" s="249"/>
      <c r="C1744" s="249"/>
      <c r="D1744" s="249"/>
      <c r="E1744" s="249"/>
      <c r="F1744" s="249"/>
      <c r="G1744" s="249"/>
      <c r="H1744" s="249"/>
      <c r="I1744" s="258"/>
      <c r="J1744" s="249"/>
      <c r="K1744" s="249"/>
      <c r="L1744" s="249"/>
      <c r="M1744" s="259"/>
      <c r="N1744" s="249"/>
      <c r="O1744" s="249"/>
      <c r="P1744" s="249"/>
      <c r="Q1744" s="249"/>
      <c r="R1744" s="249"/>
      <c r="S1744" s="249"/>
      <c r="T1744" s="249"/>
      <c r="U1744" s="249"/>
      <c r="V1744" s="249"/>
      <c r="W1744" s="249"/>
      <c r="X1744" s="249"/>
      <c r="Y1744" s="249"/>
      <c r="Z1744" s="249"/>
    </row>
    <row r="1745" spans="1:26" s="152" customFormat="1" x14ac:dyDescent="0.25">
      <c r="A1745" s="249"/>
      <c r="B1745" s="249"/>
      <c r="C1745" s="249"/>
      <c r="D1745" s="249"/>
      <c r="E1745" s="249"/>
      <c r="F1745" s="249"/>
      <c r="G1745" s="249"/>
      <c r="H1745" s="249"/>
      <c r="I1745" s="258"/>
      <c r="J1745" s="249"/>
      <c r="K1745" s="249"/>
      <c r="L1745" s="249"/>
      <c r="M1745" s="259"/>
      <c r="N1745" s="249"/>
      <c r="O1745" s="249"/>
      <c r="P1745" s="249"/>
      <c r="Q1745" s="249"/>
      <c r="R1745" s="249"/>
      <c r="S1745" s="249"/>
      <c r="T1745" s="249"/>
      <c r="U1745" s="249"/>
      <c r="V1745" s="249"/>
      <c r="W1745" s="249"/>
      <c r="X1745" s="249"/>
      <c r="Y1745" s="249"/>
      <c r="Z1745" s="249"/>
    </row>
    <row r="1746" spans="1:26" s="152" customFormat="1" x14ac:dyDescent="0.25">
      <c r="A1746" s="249"/>
      <c r="B1746" s="249"/>
      <c r="C1746" s="249"/>
      <c r="D1746" s="249"/>
      <c r="E1746" s="249"/>
      <c r="F1746" s="249"/>
      <c r="G1746" s="249"/>
      <c r="H1746" s="249"/>
      <c r="I1746" s="258"/>
      <c r="J1746" s="249"/>
      <c r="K1746" s="249"/>
      <c r="L1746" s="249"/>
      <c r="M1746" s="259"/>
      <c r="N1746" s="249"/>
      <c r="O1746" s="249"/>
      <c r="P1746" s="249"/>
      <c r="Q1746" s="249"/>
      <c r="R1746" s="249"/>
      <c r="S1746" s="249"/>
      <c r="T1746" s="249"/>
      <c r="U1746" s="249"/>
      <c r="V1746" s="249"/>
      <c r="W1746" s="249"/>
      <c r="X1746" s="249"/>
      <c r="Y1746" s="249"/>
      <c r="Z1746" s="249"/>
    </row>
    <row r="1747" spans="1:26" s="152" customFormat="1" x14ac:dyDescent="0.25">
      <c r="A1747" s="249"/>
      <c r="B1747" s="249"/>
      <c r="C1747" s="249"/>
      <c r="D1747" s="249"/>
      <c r="E1747" s="249"/>
      <c r="F1747" s="249"/>
      <c r="G1747" s="249"/>
      <c r="H1747" s="249"/>
      <c r="I1747" s="258"/>
      <c r="J1747" s="249"/>
      <c r="K1747" s="249"/>
      <c r="L1747" s="249"/>
      <c r="M1747" s="259"/>
      <c r="N1747" s="249"/>
      <c r="O1747" s="249"/>
      <c r="P1747" s="249"/>
      <c r="Q1747" s="249"/>
      <c r="R1747" s="249"/>
      <c r="S1747" s="249"/>
      <c r="T1747" s="249"/>
      <c r="U1747" s="249"/>
      <c r="V1747" s="249"/>
      <c r="W1747" s="249"/>
      <c r="X1747" s="249"/>
      <c r="Y1747" s="249"/>
      <c r="Z1747" s="249"/>
    </row>
    <row r="1748" spans="1:26" s="152" customFormat="1" x14ac:dyDescent="0.25">
      <c r="A1748" s="249"/>
      <c r="B1748" s="249"/>
      <c r="C1748" s="249"/>
      <c r="D1748" s="249"/>
      <c r="E1748" s="249"/>
      <c r="F1748" s="249"/>
      <c r="G1748" s="249"/>
      <c r="H1748" s="249"/>
      <c r="I1748" s="258"/>
      <c r="J1748" s="249"/>
      <c r="K1748" s="249"/>
      <c r="L1748" s="249"/>
      <c r="M1748" s="259"/>
      <c r="N1748" s="249"/>
      <c r="O1748" s="249"/>
      <c r="P1748" s="249"/>
      <c r="Q1748" s="249"/>
      <c r="R1748" s="249"/>
      <c r="S1748" s="249"/>
      <c r="T1748" s="249"/>
      <c r="U1748" s="249"/>
      <c r="V1748" s="249"/>
      <c r="W1748" s="249"/>
      <c r="X1748" s="249"/>
      <c r="Y1748" s="249"/>
      <c r="Z1748" s="249"/>
    </row>
    <row r="1749" spans="1:26" s="152" customFormat="1" x14ac:dyDescent="0.25">
      <c r="A1749" s="249"/>
      <c r="B1749" s="249"/>
      <c r="C1749" s="249"/>
      <c r="D1749" s="249"/>
      <c r="E1749" s="249"/>
      <c r="F1749" s="249"/>
      <c r="G1749" s="249"/>
      <c r="H1749" s="249"/>
      <c r="I1749" s="258"/>
      <c r="J1749" s="249"/>
      <c r="K1749" s="249"/>
      <c r="L1749" s="249"/>
      <c r="M1749" s="259"/>
      <c r="N1749" s="249"/>
      <c r="O1749" s="249"/>
      <c r="P1749" s="249"/>
      <c r="Q1749" s="249"/>
      <c r="R1749" s="249"/>
      <c r="S1749" s="249"/>
      <c r="T1749" s="249"/>
      <c r="U1749" s="249"/>
      <c r="V1749" s="249"/>
      <c r="W1749" s="249"/>
      <c r="X1749" s="249"/>
      <c r="Y1749" s="249"/>
      <c r="Z1749" s="249"/>
    </row>
    <row r="1750" spans="1:26" s="152" customFormat="1" x14ac:dyDescent="0.25">
      <c r="A1750" s="249"/>
      <c r="B1750" s="249"/>
      <c r="C1750" s="249"/>
      <c r="D1750" s="249"/>
      <c r="E1750" s="249"/>
      <c r="F1750" s="249"/>
      <c r="G1750" s="249"/>
      <c r="H1750" s="249"/>
      <c r="I1750" s="258"/>
      <c r="J1750" s="249"/>
      <c r="K1750" s="249"/>
      <c r="L1750" s="249"/>
      <c r="M1750" s="259"/>
      <c r="N1750" s="249"/>
      <c r="O1750" s="249"/>
      <c r="P1750" s="249"/>
      <c r="Q1750" s="249"/>
      <c r="R1750" s="249"/>
      <c r="S1750" s="249"/>
      <c r="T1750" s="249"/>
      <c r="U1750" s="249"/>
      <c r="V1750" s="249"/>
      <c r="W1750" s="249"/>
      <c r="X1750" s="249"/>
      <c r="Y1750" s="249"/>
      <c r="Z1750" s="249"/>
    </row>
    <row r="1751" spans="1:26" s="152" customFormat="1" x14ac:dyDescent="0.25">
      <c r="A1751" s="249"/>
      <c r="B1751" s="249"/>
      <c r="C1751" s="249"/>
      <c r="D1751" s="249"/>
      <c r="E1751" s="249"/>
      <c r="F1751" s="249"/>
      <c r="G1751" s="249"/>
      <c r="H1751" s="249"/>
      <c r="I1751" s="258"/>
      <c r="J1751" s="249"/>
      <c r="K1751" s="249"/>
      <c r="L1751" s="249"/>
      <c r="M1751" s="259"/>
      <c r="N1751" s="249"/>
      <c r="O1751" s="249"/>
      <c r="P1751" s="249"/>
      <c r="Q1751" s="249"/>
      <c r="R1751" s="249"/>
      <c r="S1751" s="249"/>
      <c r="T1751" s="249"/>
      <c r="U1751" s="249"/>
      <c r="V1751" s="249"/>
      <c r="W1751" s="249"/>
      <c r="X1751" s="249"/>
      <c r="Y1751" s="249"/>
      <c r="Z1751" s="249"/>
    </row>
    <row r="1752" spans="1:26" s="152" customFormat="1" x14ac:dyDescent="0.25">
      <c r="A1752" s="249"/>
      <c r="B1752" s="249"/>
      <c r="C1752" s="249"/>
      <c r="D1752" s="249"/>
      <c r="E1752" s="249"/>
      <c r="F1752" s="249"/>
      <c r="G1752" s="249"/>
      <c r="H1752" s="249"/>
      <c r="I1752" s="258"/>
      <c r="J1752" s="249"/>
      <c r="K1752" s="249"/>
      <c r="L1752" s="249"/>
      <c r="M1752" s="259"/>
      <c r="N1752" s="249"/>
      <c r="O1752" s="249"/>
      <c r="P1752" s="249"/>
      <c r="Q1752" s="249"/>
      <c r="R1752" s="249"/>
      <c r="S1752" s="249"/>
      <c r="T1752" s="249"/>
      <c r="U1752" s="249"/>
      <c r="V1752" s="249"/>
      <c r="W1752" s="249"/>
      <c r="X1752" s="249"/>
      <c r="Y1752" s="249"/>
      <c r="Z1752" s="249"/>
    </row>
    <row r="1753" spans="1:26" s="152" customFormat="1" x14ac:dyDescent="0.25">
      <c r="A1753" s="249"/>
      <c r="B1753" s="249"/>
      <c r="C1753" s="249"/>
      <c r="D1753" s="249"/>
      <c r="E1753" s="249"/>
      <c r="F1753" s="249"/>
      <c r="G1753" s="249"/>
      <c r="H1753" s="249"/>
      <c r="I1753" s="258"/>
      <c r="J1753" s="249"/>
      <c r="K1753" s="249"/>
      <c r="L1753" s="249"/>
      <c r="M1753" s="259"/>
      <c r="N1753" s="249"/>
      <c r="O1753" s="249"/>
      <c r="P1753" s="249"/>
      <c r="Q1753" s="249"/>
      <c r="R1753" s="249"/>
      <c r="S1753" s="249"/>
      <c r="T1753" s="249"/>
      <c r="U1753" s="249"/>
      <c r="V1753" s="249"/>
      <c r="W1753" s="249"/>
      <c r="X1753" s="249"/>
      <c r="Y1753" s="249"/>
      <c r="Z1753" s="249"/>
    </row>
    <row r="1754" spans="1:26" s="152" customFormat="1" x14ac:dyDescent="0.25">
      <c r="A1754" s="249"/>
      <c r="B1754" s="249"/>
      <c r="C1754" s="249"/>
      <c r="D1754" s="249"/>
      <c r="E1754" s="249"/>
      <c r="F1754" s="249"/>
      <c r="G1754" s="249"/>
      <c r="H1754" s="249"/>
      <c r="I1754" s="258"/>
      <c r="J1754" s="249"/>
      <c r="K1754" s="249"/>
      <c r="L1754" s="249"/>
      <c r="M1754" s="259"/>
      <c r="N1754" s="249"/>
      <c r="O1754" s="249"/>
      <c r="P1754" s="249"/>
      <c r="Q1754" s="249"/>
      <c r="R1754" s="249"/>
      <c r="S1754" s="249"/>
      <c r="T1754" s="249"/>
      <c r="U1754" s="249"/>
      <c r="V1754" s="249"/>
      <c r="W1754" s="249"/>
      <c r="X1754" s="249"/>
      <c r="Y1754" s="249"/>
      <c r="Z1754" s="249"/>
    </row>
    <row r="1755" spans="1:26" s="152" customFormat="1" x14ac:dyDescent="0.25">
      <c r="A1755" s="249"/>
      <c r="B1755" s="249"/>
      <c r="C1755" s="249"/>
      <c r="D1755" s="249"/>
      <c r="E1755" s="249"/>
      <c r="F1755" s="249"/>
      <c r="G1755" s="249"/>
      <c r="H1755" s="249"/>
      <c r="I1755" s="258"/>
      <c r="J1755" s="249"/>
      <c r="K1755" s="249"/>
      <c r="L1755" s="249"/>
      <c r="M1755" s="259"/>
      <c r="N1755" s="249"/>
      <c r="O1755" s="249"/>
      <c r="P1755" s="249"/>
      <c r="Q1755" s="249"/>
      <c r="R1755" s="249"/>
      <c r="S1755" s="249"/>
      <c r="T1755" s="249"/>
      <c r="U1755" s="249"/>
      <c r="V1755" s="249"/>
      <c r="W1755" s="249"/>
      <c r="X1755" s="249"/>
      <c r="Y1755" s="249"/>
      <c r="Z1755" s="249"/>
    </row>
    <row r="1756" spans="1:26" s="152" customFormat="1" x14ac:dyDescent="0.25">
      <c r="A1756" s="249"/>
      <c r="B1756" s="249"/>
      <c r="C1756" s="249"/>
      <c r="D1756" s="249"/>
      <c r="E1756" s="249"/>
      <c r="F1756" s="249"/>
      <c r="G1756" s="249"/>
      <c r="H1756" s="249"/>
      <c r="I1756" s="258"/>
      <c r="J1756" s="249"/>
      <c r="K1756" s="249"/>
      <c r="L1756" s="249"/>
      <c r="M1756" s="259"/>
      <c r="N1756" s="249"/>
      <c r="O1756" s="249"/>
      <c r="P1756" s="249"/>
      <c r="Q1756" s="249"/>
      <c r="R1756" s="249"/>
      <c r="S1756" s="249"/>
      <c r="T1756" s="249"/>
      <c r="U1756" s="249"/>
      <c r="V1756" s="249"/>
      <c r="W1756" s="249"/>
      <c r="X1756" s="249"/>
      <c r="Y1756" s="249"/>
      <c r="Z1756" s="249"/>
    </row>
    <row r="1757" spans="1:26" s="152" customFormat="1" x14ac:dyDescent="0.25">
      <c r="A1757" s="249"/>
      <c r="B1757" s="249"/>
      <c r="C1757" s="249"/>
      <c r="D1757" s="249"/>
      <c r="E1757" s="249"/>
      <c r="F1757" s="249"/>
      <c r="G1757" s="249"/>
      <c r="H1757" s="249"/>
      <c r="I1757" s="258"/>
      <c r="J1757" s="249"/>
      <c r="K1757" s="249"/>
      <c r="L1757" s="249"/>
      <c r="M1757" s="259"/>
      <c r="N1757" s="249"/>
      <c r="O1757" s="249"/>
      <c r="P1757" s="249"/>
      <c r="Q1757" s="249"/>
      <c r="R1757" s="249"/>
      <c r="S1757" s="249"/>
      <c r="T1757" s="249"/>
      <c r="U1757" s="249"/>
      <c r="V1757" s="249"/>
      <c r="W1757" s="249"/>
      <c r="X1757" s="249"/>
      <c r="Y1757" s="249"/>
      <c r="Z1757" s="249"/>
    </row>
    <row r="1758" spans="1:26" s="152" customFormat="1" x14ac:dyDescent="0.25">
      <c r="A1758" s="249"/>
      <c r="B1758" s="249"/>
      <c r="C1758" s="249"/>
      <c r="D1758" s="249"/>
      <c r="E1758" s="249"/>
      <c r="F1758" s="249"/>
      <c r="G1758" s="249"/>
      <c r="H1758" s="249"/>
      <c r="I1758" s="258"/>
      <c r="J1758" s="249"/>
      <c r="K1758" s="249"/>
      <c r="L1758" s="249"/>
      <c r="M1758" s="259"/>
      <c r="N1758" s="249"/>
      <c r="O1758" s="249"/>
      <c r="P1758" s="249"/>
      <c r="Q1758" s="249"/>
      <c r="R1758" s="249"/>
      <c r="S1758" s="249"/>
      <c r="T1758" s="249"/>
      <c r="U1758" s="249"/>
      <c r="V1758" s="249"/>
      <c r="W1758" s="249"/>
      <c r="X1758" s="249"/>
      <c r="Y1758" s="249"/>
      <c r="Z1758" s="249"/>
    </row>
    <row r="1759" spans="1:26" s="152" customFormat="1" x14ac:dyDescent="0.25">
      <c r="A1759" s="249"/>
      <c r="B1759" s="249"/>
      <c r="C1759" s="249"/>
      <c r="D1759" s="249"/>
      <c r="E1759" s="249"/>
      <c r="F1759" s="249"/>
      <c r="G1759" s="249"/>
      <c r="H1759" s="249"/>
      <c r="I1759" s="258"/>
      <c r="J1759" s="249"/>
      <c r="K1759" s="249"/>
      <c r="L1759" s="249"/>
      <c r="M1759" s="259"/>
      <c r="N1759" s="249"/>
      <c r="O1759" s="249"/>
      <c r="P1759" s="249"/>
      <c r="Q1759" s="249"/>
      <c r="R1759" s="249"/>
      <c r="S1759" s="249"/>
      <c r="T1759" s="249"/>
      <c r="U1759" s="249"/>
      <c r="V1759" s="249"/>
      <c r="W1759" s="249"/>
      <c r="X1759" s="249"/>
      <c r="Y1759" s="249"/>
      <c r="Z1759" s="249"/>
    </row>
    <row r="1760" spans="1:26" s="152" customFormat="1" x14ac:dyDescent="0.25">
      <c r="A1760" s="249"/>
      <c r="B1760" s="249"/>
      <c r="C1760" s="249"/>
      <c r="D1760" s="249"/>
      <c r="E1760" s="249"/>
      <c r="F1760" s="249"/>
      <c r="G1760" s="249"/>
      <c r="H1760" s="249"/>
      <c r="I1760" s="258"/>
      <c r="J1760" s="249"/>
      <c r="K1760" s="249"/>
      <c r="L1760" s="249"/>
      <c r="M1760" s="259"/>
      <c r="N1760" s="249"/>
      <c r="O1760" s="249"/>
      <c r="P1760" s="249"/>
      <c r="Q1760" s="249"/>
      <c r="R1760" s="249"/>
      <c r="S1760" s="249"/>
      <c r="T1760" s="249"/>
      <c r="U1760" s="249"/>
      <c r="V1760" s="249"/>
      <c r="W1760" s="249"/>
      <c r="X1760" s="249"/>
      <c r="Y1760" s="249"/>
      <c r="Z1760" s="249"/>
    </row>
    <row r="1761" spans="1:26" s="152" customFormat="1" x14ac:dyDescent="0.25">
      <c r="A1761" s="249"/>
      <c r="B1761" s="249"/>
      <c r="C1761" s="249"/>
      <c r="D1761" s="249"/>
      <c r="E1761" s="249"/>
      <c r="F1761" s="249"/>
      <c r="G1761" s="249"/>
      <c r="H1761" s="249"/>
      <c r="I1761" s="258"/>
      <c r="J1761" s="249"/>
      <c r="K1761" s="249"/>
      <c r="L1761" s="249"/>
      <c r="M1761" s="259"/>
      <c r="N1761" s="249"/>
      <c r="O1761" s="249"/>
      <c r="P1761" s="249"/>
      <c r="Q1761" s="249"/>
      <c r="R1761" s="249"/>
      <c r="S1761" s="249"/>
      <c r="T1761" s="249"/>
      <c r="U1761" s="249"/>
      <c r="V1761" s="249"/>
      <c r="W1761" s="249"/>
      <c r="X1761" s="249"/>
      <c r="Y1761" s="249"/>
      <c r="Z1761" s="249"/>
    </row>
    <row r="1762" spans="1:26" s="152" customFormat="1" x14ac:dyDescent="0.25">
      <c r="A1762" s="249"/>
      <c r="B1762" s="249"/>
      <c r="C1762" s="249"/>
      <c r="D1762" s="249"/>
      <c r="E1762" s="249"/>
      <c r="F1762" s="249"/>
      <c r="G1762" s="249"/>
      <c r="H1762" s="249"/>
      <c r="I1762" s="258"/>
      <c r="J1762" s="249"/>
      <c r="K1762" s="249"/>
      <c r="L1762" s="249"/>
      <c r="M1762" s="259"/>
      <c r="N1762" s="249"/>
      <c r="O1762" s="249"/>
      <c r="P1762" s="249"/>
      <c r="Q1762" s="249"/>
      <c r="R1762" s="249"/>
      <c r="S1762" s="249"/>
      <c r="T1762" s="249"/>
      <c r="U1762" s="249"/>
      <c r="V1762" s="249"/>
      <c r="W1762" s="249"/>
      <c r="X1762" s="249"/>
      <c r="Y1762" s="249"/>
      <c r="Z1762" s="249"/>
    </row>
    <row r="1763" spans="1:26" s="152" customFormat="1" x14ac:dyDescent="0.25">
      <c r="A1763" s="249"/>
      <c r="B1763" s="249"/>
      <c r="C1763" s="249"/>
      <c r="D1763" s="249"/>
      <c r="E1763" s="249"/>
      <c r="F1763" s="249"/>
      <c r="G1763" s="249"/>
      <c r="H1763" s="249"/>
      <c r="I1763" s="258"/>
      <c r="J1763" s="249"/>
      <c r="K1763" s="249"/>
      <c r="L1763" s="249"/>
      <c r="M1763" s="259"/>
      <c r="N1763" s="249"/>
      <c r="O1763" s="249"/>
      <c r="P1763" s="249"/>
      <c r="Q1763" s="249"/>
      <c r="R1763" s="249"/>
      <c r="S1763" s="249"/>
      <c r="T1763" s="249"/>
      <c r="U1763" s="249"/>
      <c r="V1763" s="249"/>
      <c r="W1763" s="249"/>
      <c r="X1763" s="249"/>
      <c r="Y1763" s="249"/>
      <c r="Z1763" s="249"/>
    </row>
    <row r="1764" spans="1:26" s="152" customFormat="1" x14ac:dyDescent="0.25">
      <c r="A1764" s="249"/>
      <c r="B1764" s="249"/>
      <c r="C1764" s="249"/>
      <c r="D1764" s="249"/>
      <c r="E1764" s="249"/>
      <c r="F1764" s="249"/>
      <c r="G1764" s="249"/>
      <c r="H1764" s="249"/>
      <c r="I1764" s="258"/>
      <c r="J1764" s="249"/>
      <c r="K1764" s="249"/>
      <c r="L1764" s="249"/>
      <c r="M1764" s="259"/>
      <c r="N1764" s="249"/>
      <c r="O1764" s="249"/>
      <c r="P1764" s="249"/>
      <c r="Q1764" s="249"/>
      <c r="R1764" s="249"/>
      <c r="S1764" s="249"/>
      <c r="T1764" s="249"/>
      <c r="U1764" s="249"/>
      <c r="V1764" s="249"/>
      <c r="W1764" s="249"/>
      <c r="X1764" s="249"/>
      <c r="Y1764" s="249"/>
      <c r="Z1764" s="249"/>
    </row>
    <row r="1765" spans="1:26" s="152" customFormat="1" x14ac:dyDescent="0.25">
      <c r="A1765" s="249"/>
      <c r="B1765" s="249"/>
      <c r="C1765" s="249"/>
      <c r="D1765" s="249"/>
      <c r="E1765" s="249"/>
      <c r="F1765" s="249"/>
      <c r="G1765" s="249"/>
      <c r="H1765" s="249"/>
      <c r="I1765" s="258"/>
      <c r="J1765" s="249"/>
      <c r="K1765" s="249"/>
      <c r="L1765" s="249"/>
      <c r="M1765" s="259"/>
      <c r="N1765" s="249"/>
      <c r="O1765" s="249"/>
      <c r="P1765" s="249"/>
      <c r="Q1765" s="249"/>
      <c r="R1765" s="249"/>
      <c r="S1765" s="249"/>
      <c r="T1765" s="249"/>
      <c r="U1765" s="249"/>
      <c r="V1765" s="249"/>
      <c r="W1765" s="249"/>
      <c r="X1765" s="249"/>
      <c r="Y1765" s="249"/>
      <c r="Z1765" s="249"/>
    </row>
    <row r="1766" spans="1:26" s="152" customFormat="1" x14ac:dyDescent="0.25">
      <c r="A1766" s="249"/>
      <c r="B1766" s="249"/>
      <c r="C1766" s="249"/>
      <c r="D1766" s="249"/>
      <c r="E1766" s="249"/>
      <c r="F1766" s="249"/>
      <c r="G1766" s="249"/>
      <c r="H1766" s="249"/>
      <c r="I1766" s="258"/>
      <c r="J1766" s="249"/>
      <c r="K1766" s="249"/>
      <c r="L1766" s="249"/>
      <c r="M1766" s="259"/>
      <c r="N1766" s="249"/>
      <c r="O1766" s="249"/>
      <c r="P1766" s="249"/>
      <c r="Q1766" s="249"/>
      <c r="R1766" s="249"/>
      <c r="S1766" s="249"/>
      <c r="T1766" s="249"/>
      <c r="U1766" s="249"/>
      <c r="V1766" s="249"/>
      <c r="W1766" s="249"/>
      <c r="X1766" s="249"/>
      <c r="Y1766" s="249"/>
      <c r="Z1766" s="249"/>
    </row>
    <row r="1767" spans="1:26" s="152" customFormat="1" x14ac:dyDescent="0.25">
      <c r="A1767" s="249"/>
      <c r="B1767" s="249"/>
      <c r="C1767" s="249"/>
      <c r="D1767" s="249"/>
      <c r="E1767" s="249"/>
      <c r="F1767" s="249"/>
      <c r="G1767" s="249"/>
      <c r="H1767" s="249"/>
      <c r="I1767" s="258"/>
      <c r="J1767" s="249"/>
      <c r="K1767" s="249"/>
      <c r="L1767" s="249"/>
      <c r="M1767" s="259"/>
      <c r="N1767" s="249"/>
      <c r="O1767" s="249"/>
      <c r="P1767" s="249"/>
      <c r="Q1767" s="249"/>
      <c r="R1767" s="249"/>
      <c r="S1767" s="249"/>
      <c r="T1767" s="249"/>
      <c r="U1767" s="249"/>
      <c r="V1767" s="249"/>
      <c r="W1767" s="249"/>
      <c r="X1767" s="249"/>
      <c r="Y1767" s="249"/>
      <c r="Z1767" s="249"/>
    </row>
    <row r="1768" spans="1:26" s="152" customFormat="1" x14ac:dyDescent="0.25">
      <c r="A1768" s="249"/>
      <c r="B1768" s="249"/>
      <c r="C1768" s="249"/>
      <c r="D1768" s="249"/>
      <c r="E1768" s="249"/>
      <c r="F1768" s="249"/>
      <c r="G1768" s="249"/>
      <c r="H1768" s="249"/>
      <c r="I1768" s="258"/>
      <c r="J1768" s="249"/>
      <c r="K1768" s="249"/>
      <c r="L1768" s="249"/>
      <c r="M1768" s="259"/>
      <c r="N1768" s="249"/>
      <c r="O1768" s="249"/>
      <c r="P1768" s="249"/>
      <c r="Q1768" s="249"/>
      <c r="R1768" s="249"/>
      <c r="S1768" s="249"/>
      <c r="T1768" s="249"/>
      <c r="U1768" s="249"/>
      <c r="V1768" s="249"/>
      <c r="W1768" s="249"/>
      <c r="X1768" s="249"/>
      <c r="Y1768" s="249"/>
      <c r="Z1768" s="249"/>
    </row>
    <row r="1769" spans="1:26" s="152" customFormat="1" x14ac:dyDescent="0.25">
      <c r="A1769" s="249"/>
      <c r="B1769" s="249"/>
      <c r="C1769" s="249"/>
      <c r="D1769" s="249"/>
      <c r="E1769" s="249"/>
      <c r="F1769" s="249"/>
      <c r="G1769" s="249"/>
      <c r="H1769" s="249"/>
      <c r="I1769" s="258"/>
      <c r="J1769" s="249"/>
      <c r="K1769" s="249"/>
      <c r="L1769" s="249"/>
      <c r="M1769" s="259"/>
      <c r="N1769" s="249"/>
      <c r="O1769" s="249"/>
      <c r="P1769" s="249"/>
      <c r="Q1769" s="249"/>
      <c r="R1769" s="249"/>
      <c r="S1769" s="249"/>
      <c r="T1769" s="249"/>
      <c r="U1769" s="249"/>
      <c r="V1769" s="249"/>
      <c r="W1769" s="249"/>
      <c r="X1769" s="249"/>
      <c r="Y1769" s="249"/>
      <c r="Z1769" s="249"/>
    </row>
    <row r="1770" spans="1:26" s="152" customFormat="1" x14ac:dyDescent="0.25">
      <c r="A1770" s="249"/>
      <c r="B1770" s="249"/>
      <c r="C1770" s="249"/>
      <c r="D1770" s="249"/>
      <c r="E1770" s="249"/>
      <c r="F1770" s="249"/>
      <c r="G1770" s="249"/>
      <c r="H1770" s="249"/>
      <c r="I1770" s="258"/>
      <c r="J1770" s="249"/>
      <c r="K1770" s="249"/>
      <c r="L1770" s="249"/>
      <c r="M1770" s="259"/>
      <c r="N1770" s="249"/>
      <c r="O1770" s="249"/>
      <c r="P1770" s="249"/>
      <c r="Q1770" s="249"/>
      <c r="R1770" s="249"/>
      <c r="S1770" s="249"/>
      <c r="T1770" s="249"/>
      <c r="U1770" s="249"/>
      <c r="V1770" s="249"/>
      <c r="W1770" s="249"/>
      <c r="X1770" s="249"/>
      <c r="Y1770" s="249"/>
      <c r="Z1770" s="249"/>
    </row>
    <row r="1771" spans="1:26" s="152" customFormat="1" x14ac:dyDescent="0.25">
      <c r="A1771" s="249"/>
      <c r="B1771" s="249"/>
      <c r="C1771" s="249"/>
      <c r="D1771" s="249"/>
      <c r="E1771" s="249"/>
      <c r="F1771" s="249"/>
      <c r="G1771" s="249"/>
      <c r="H1771" s="249"/>
      <c r="I1771" s="258"/>
      <c r="J1771" s="249"/>
      <c r="K1771" s="249"/>
      <c r="L1771" s="249"/>
      <c r="M1771" s="259"/>
      <c r="N1771" s="249"/>
      <c r="O1771" s="249"/>
      <c r="P1771" s="249"/>
      <c r="Q1771" s="249"/>
      <c r="R1771" s="249"/>
      <c r="S1771" s="249"/>
      <c r="T1771" s="249"/>
      <c r="U1771" s="249"/>
      <c r="V1771" s="249"/>
      <c r="W1771" s="249"/>
      <c r="X1771" s="249"/>
      <c r="Y1771" s="249"/>
      <c r="Z1771" s="249"/>
    </row>
    <row r="1772" spans="1:26" s="152" customFormat="1" x14ac:dyDescent="0.25">
      <c r="A1772" s="249"/>
      <c r="B1772" s="249"/>
      <c r="C1772" s="249"/>
      <c r="D1772" s="249"/>
      <c r="E1772" s="249"/>
      <c r="F1772" s="249"/>
      <c r="G1772" s="249"/>
      <c r="H1772" s="249"/>
      <c r="I1772" s="258"/>
      <c r="J1772" s="249"/>
      <c r="K1772" s="249"/>
      <c r="L1772" s="249"/>
      <c r="M1772" s="259"/>
      <c r="N1772" s="249"/>
      <c r="O1772" s="249"/>
      <c r="P1772" s="249"/>
      <c r="Q1772" s="249"/>
      <c r="R1772" s="249"/>
      <c r="S1772" s="249"/>
      <c r="T1772" s="249"/>
      <c r="U1772" s="249"/>
      <c r="V1772" s="249"/>
      <c r="W1772" s="249"/>
      <c r="X1772" s="249"/>
      <c r="Y1772" s="249"/>
      <c r="Z1772" s="249"/>
    </row>
    <row r="1773" spans="1:26" s="152" customFormat="1" x14ac:dyDescent="0.25">
      <c r="A1773" s="249"/>
      <c r="B1773" s="249"/>
      <c r="C1773" s="249"/>
      <c r="D1773" s="249"/>
      <c r="E1773" s="249"/>
      <c r="F1773" s="249"/>
      <c r="G1773" s="249"/>
      <c r="H1773" s="249"/>
      <c r="I1773" s="258"/>
      <c r="J1773" s="249"/>
      <c r="K1773" s="249"/>
      <c r="L1773" s="249"/>
      <c r="M1773" s="259"/>
      <c r="N1773" s="249"/>
      <c r="O1773" s="249"/>
      <c r="P1773" s="249"/>
      <c r="Q1773" s="249"/>
      <c r="R1773" s="249"/>
      <c r="S1773" s="249"/>
      <c r="T1773" s="249"/>
      <c r="U1773" s="249"/>
      <c r="V1773" s="249"/>
      <c r="W1773" s="249"/>
      <c r="X1773" s="249"/>
      <c r="Y1773" s="249"/>
      <c r="Z1773" s="249"/>
    </row>
    <row r="1774" spans="1:26" s="152" customFormat="1" x14ac:dyDescent="0.25">
      <c r="A1774" s="249"/>
      <c r="B1774" s="249"/>
      <c r="C1774" s="249"/>
      <c r="D1774" s="249"/>
      <c r="E1774" s="249"/>
      <c r="F1774" s="249"/>
      <c r="G1774" s="249"/>
      <c r="H1774" s="249"/>
      <c r="I1774" s="258"/>
      <c r="J1774" s="249"/>
      <c r="K1774" s="249"/>
      <c r="L1774" s="249"/>
      <c r="M1774" s="259"/>
      <c r="N1774" s="249"/>
      <c r="O1774" s="249"/>
      <c r="P1774" s="249"/>
      <c r="Q1774" s="249"/>
      <c r="R1774" s="249"/>
      <c r="S1774" s="249"/>
      <c r="T1774" s="249"/>
      <c r="U1774" s="249"/>
      <c r="V1774" s="249"/>
      <c r="W1774" s="249"/>
      <c r="X1774" s="249"/>
      <c r="Y1774" s="249"/>
      <c r="Z1774" s="249"/>
    </row>
    <row r="1775" spans="1:26" s="152" customFormat="1" x14ac:dyDescent="0.25">
      <c r="A1775" s="249"/>
      <c r="B1775" s="249"/>
      <c r="C1775" s="249"/>
      <c r="D1775" s="249"/>
      <c r="E1775" s="249"/>
      <c r="F1775" s="249"/>
      <c r="G1775" s="249"/>
      <c r="H1775" s="249"/>
      <c r="I1775" s="258"/>
      <c r="J1775" s="249"/>
      <c r="K1775" s="249"/>
      <c r="L1775" s="249"/>
      <c r="M1775" s="259"/>
      <c r="N1775" s="249"/>
      <c r="O1775" s="249"/>
      <c r="P1775" s="249"/>
      <c r="Q1775" s="249"/>
      <c r="R1775" s="249"/>
      <c r="S1775" s="249"/>
      <c r="T1775" s="249"/>
      <c r="U1775" s="249"/>
      <c r="V1775" s="249"/>
      <c r="W1775" s="249"/>
      <c r="X1775" s="249"/>
      <c r="Y1775" s="249"/>
      <c r="Z1775" s="249"/>
    </row>
    <row r="1776" spans="1:26" s="152" customFormat="1" x14ac:dyDescent="0.25">
      <c r="A1776" s="249"/>
      <c r="B1776" s="249"/>
      <c r="C1776" s="249"/>
      <c r="D1776" s="249"/>
      <c r="E1776" s="249"/>
      <c r="F1776" s="249"/>
      <c r="G1776" s="249"/>
      <c r="H1776" s="249"/>
      <c r="I1776" s="258"/>
      <c r="J1776" s="249"/>
      <c r="K1776" s="249"/>
      <c r="L1776" s="249"/>
      <c r="M1776" s="259"/>
      <c r="N1776" s="249"/>
      <c r="O1776" s="249"/>
      <c r="P1776" s="249"/>
      <c r="Q1776" s="249"/>
      <c r="R1776" s="249"/>
      <c r="S1776" s="249"/>
      <c r="T1776" s="249"/>
      <c r="U1776" s="249"/>
      <c r="V1776" s="249"/>
      <c r="W1776" s="249"/>
      <c r="X1776" s="249"/>
      <c r="Y1776" s="249"/>
      <c r="Z1776" s="249"/>
    </row>
    <row r="1777" spans="1:26" s="152" customFormat="1" x14ac:dyDescent="0.25">
      <c r="A1777" s="249"/>
      <c r="B1777" s="249"/>
      <c r="C1777" s="249"/>
      <c r="D1777" s="249"/>
      <c r="E1777" s="249"/>
      <c r="F1777" s="249"/>
      <c r="G1777" s="249"/>
      <c r="H1777" s="249"/>
      <c r="I1777" s="258"/>
      <c r="J1777" s="249"/>
      <c r="K1777" s="249"/>
      <c r="L1777" s="249"/>
      <c r="M1777" s="259"/>
      <c r="N1777" s="249"/>
      <c r="O1777" s="249"/>
      <c r="P1777" s="249"/>
      <c r="Q1777" s="249"/>
      <c r="R1777" s="249"/>
      <c r="S1777" s="249"/>
      <c r="T1777" s="249"/>
      <c r="U1777" s="249"/>
      <c r="V1777" s="249"/>
      <c r="W1777" s="249"/>
      <c r="X1777" s="249"/>
      <c r="Y1777" s="249"/>
      <c r="Z1777" s="249"/>
    </row>
    <row r="1778" spans="1:26" s="152" customFormat="1" x14ac:dyDescent="0.25">
      <c r="A1778" s="249"/>
      <c r="B1778" s="249"/>
      <c r="C1778" s="249"/>
      <c r="D1778" s="249"/>
      <c r="E1778" s="249"/>
      <c r="F1778" s="249"/>
      <c r="G1778" s="249"/>
      <c r="H1778" s="249"/>
      <c r="I1778" s="258"/>
      <c r="J1778" s="249"/>
      <c r="K1778" s="249"/>
      <c r="L1778" s="249"/>
      <c r="M1778" s="259"/>
      <c r="N1778" s="249"/>
      <c r="O1778" s="249"/>
      <c r="P1778" s="249"/>
      <c r="Q1778" s="249"/>
      <c r="R1778" s="249"/>
      <c r="S1778" s="249"/>
      <c r="T1778" s="249"/>
      <c r="U1778" s="249"/>
      <c r="V1778" s="249"/>
      <c r="W1778" s="249"/>
      <c r="X1778" s="249"/>
      <c r="Y1778" s="249"/>
      <c r="Z1778" s="249"/>
    </row>
    <row r="1779" spans="1:26" s="152" customFormat="1" x14ac:dyDescent="0.25">
      <c r="A1779" s="249"/>
      <c r="B1779" s="249"/>
      <c r="C1779" s="249"/>
      <c r="D1779" s="249"/>
      <c r="E1779" s="249"/>
      <c r="F1779" s="249"/>
      <c r="G1779" s="249"/>
      <c r="H1779" s="249"/>
      <c r="I1779" s="258"/>
      <c r="J1779" s="249"/>
      <c r="K1779" s="249"/>
      <c r="L1779" s="249"/>
      <c r="M1779" s="259"/>
      <c r="N1779" s="249"/>
      <c r="O1779" s="249"/>
      <c r="P1779" s="249"/>
      <c r="Q1779" s="249"/>
      <c r="R1779" s="249"/>
      <c r="S1779" s="249"/>
      <c r="T1779" s="249"/>
      <c r="U1779" s="249"/>
      <c r="V1779" s="249"/>
      <c r="W1779" s="249"/>
      <c r="X1779" s="249"/>
      <c r="Y1779" s="249"/>
      <c r="Z1779" s="249"/>
    </row>
    <row r="1780" spans="1:26" s="152" customFormat="1" x14ac:dyDescent="0.25">
      <c r="A1780" s="249"/>
      <c r="B1780" s="249"/>
      <c r="C1780" s="249"/>
      <c r="D1780" s="249"/>
      <c r="E1780" s="249"/>
      <c r="F1780" s="249"/>
      <c r="G1780" s="249"/>
      <c r="H1780" s="249"/>
      <c r="I1780" s="258"/>
      <c r="J1780" s="249"/>
      <c r="K1780" s="249"/>
      <c r="L1780" s="249"/>
      <c r="M1780" s="259"/>
      <c r="N1780" s="249"/>
      <c r="O1780" s="249"/>
      <c r="P1780" s="249"/>
      <c r="Q1780" s="249"/>
      <c r="R1780" s="249"/>
      <c r="S1780" s="249"/>
      <c r="T1780" s="249"/>
      <c r="U1780" s="249"/>
      <c r="V1780" s="249"/>
      <c r="W1780" s="249"/>
      <c r="X1780" s="249"/>
      <c r="Y1780" s="249"/>
      <c r="Z1780" s="249"/>
    </row>
    <row r="1781" spans="1:26" s="152" customFormat="1" x14ac:dyDescent="0.25">
      <c r="A1781" s="249"/>
      <c r="B1781" s="249"/>
      <c r="C1781" s="249"/>
      <c r="D1781" s="249"/>
      <c r="E1781" s="249"/>
      <c r="F1781" s="249"/>
      <c r="G1781" s="249"/>
      <c r="H1781" s="249"/>
      <c r="I1781" s="258"/>
      <c r="J1781" s="249"/>
      <c r="K1781" s="249"/>
      <c r="L1781" s="249"/>
      <c r="M1781" s="259"/>
      <c r="N1781" s="249"/>
      <c r="O1781" s="249"/>
      <c r="P1781" s="249"/>
      <c r="Q1781" s="249"/>
      <c r="R1781" s="249"/>
      <c r="S1781" s="249"/>
      <c r="T1781" s="249"/>
      <c r="U1781" s="249"/>
      <c r="V1781" s="249"/>
      <c r="W1781" s="249"/>
      <c r="X1781" s="249"/>
      <c r="Y1781" s="249"/>
      <c r="Z1781" s="249"/>
    </row>
    <row r="1782" spans="1:26" s="152" customFormat="1" x14ac:dyDescent="0.25">
      <c r="A1782" s="249"/>
      <c r="B1782" s="249"/>
      <c r="C1782" s="249"/>
      <c r="D1782" s="249"/>
      <c r="E1782" s="249"/>
      <c r="F1782" s="249"/>
      <c r="G1782" s="249"/>
      <c r="H1782" s="249"/>
      <c r="I1782" s="258"/>
      <c r="J1782" s="249"/>
      <c r="K1782" s="249"/>
      <c r="L1782" s="249"/>
      <c r="M1782" s="259"/>
      <c r="N1782" s="249"/>
      <c r="O1782" s="249"/>
      <c r="P1782" s="249"/>
      <c r="Q1782" s="249"/>
      <c r="R1782" s="249"/>
      <c r="S1782" s="249"/>
      <c r="T1782" s="249"/>
      <c r="U1782" s="249"/>
      <c r="V1782" s="249"/>
      <c r="W1782" s="249"/>
      <c r="X1782" s="249"/>
      <c r="Y1782" s="249"/>
      <c r="Z1782" s="249"/>
    </row>
    <row r="1783" spans="1:26" s="152" customFormat="1" x14ac:dyDescent="0.25">
      <c r="A1783" s="249"/>
      <c r="B1783" s="249"/>
      <c r="C1783" s="249"/>
      <c r="D1783" s="249"/>
      <c r="E1783" s="249"/>
      <c r="F1783" s="249"/>
      <c r="G1783" s="249"/>
      <c r="H1783" s="249"/>
      <c r="I1783" s="258"/>
      <c r="J1783" s="249"/>
      <c r="K1783" s="249"/>
      <c r="L1783" s="249"/>
      <c r="M1783" s="259"/>
      <c r="N1783" s="249"/>
      <c r="O1783" s="249"/>
      <c r="P1783" s="249"/>
      <c r="Q1783" s="249"/>
      <c r="R1783" s="249"/>
      <c r="S1783" s="249"/>
      <c r="T1783" s="249"/>
      <c r="U1783" s="249"/>
      <c r="V1783" s="249"/>
      <c r="W1783" s="249"/>
      <c r="X1783" s="249"/>
      <c r="Y1783" s="249"/>
      <c r="Z1783" s="249"/>
    </row>
    <row r="1784" spans="1:26" s="152" customFormat="1" x14ac:dyDescent="0.25">
      <c r="A1784" s="249"/>
      <c r="B1784" s="249"/>
      <c r="C1784" s="249"/>
      <c r="D1784" s="249"/>
      <c r="E1784" s="249"/>
      <c r="F1784" s="249"/>
      <c r="G1784" s="249"/>
      <c r="H1784" s="249"/>
      <c r="I1784" s="258"/>
      <c r="J1784" s="249"/>
      <c r="K1784" s="249"/>
      <c r="L1784" s="249"/>
      <c r="M1784" s="259"/>
      <c r="N1784" s="249"/>
      <c r="O1784" s="249"/>
      <c r="P1784" s="249"/>
      <c r="Q1784" s="249"/>
      <c r="R1784" s="249"/>
      <c r="S1784" s="249"/>
      <c r="T1784" s="249"/>
      <c r="U1784" s="249"/>
      <c r="V1784" s="249"/>
      <c r="W1784" s="249"/>
      <c r="X1784" s="249"/>
      <c r="Y1784" s="249"/>
      <c r="Z1784" s="249"/>
    </row>
    <row r="1785" spans="1:26" s="152" customFormat="1" x14ac:dyDescent="0.25">
      <c r="A1785" s="249"/>
      <c r="B1785" s="249"/>
      <c r="C1785" s="249"/>
      <c r="D1785" s="249"/>
      <c r="E1785" s="249"/>
      <c r="F1785" s="249"/>
      <c r="G1785" s="249"/>
      <c r="H1785" s="249"/>
      <c r="I1785" s="258"/>
      <c r="J1785" s="249"/>
      <c r="K1785" s="249"/>
      <c r="L1785" s="249"/>
      <c r="M1785" s="259"/>
      <c r="N1785" s="249"/>
      <c r="O1785" s="249"/>
      <c r="P1785" s="249"/>
      <c r="Q1785" s="249"/>
      <c r="R1785" s="249"/>
      <c r="S1785" s="249"/>
      <c r="T1785" s="249"/>
      <c r="U1785" s="249"/>
      <c r="V1785" s="249"/>
      <c r="W1785" s="249"/>
      <c r="X1785" s="249"/>
      <c r="Y1785" s="249"/>
      <c r="Z1785" s="249"/>
    </row>
    <row r="1786" spans="1:26" s="152" customFormat="1" x14ac:dyDescent="0.25">
      <c r="A1786" s="249"/>
      <c r="B1786" s="249"/>
      <c r="C1786" s="249"/>
      <c r="D1786" s="249"/>
      <c r="E1786" s="249"/>
      <c r="F1786" s="249"/>
      <c r="G1786" s="249"/>
      <c r="H1786" s="249"/>
      <c r="I1786" s="258"/>
      <c r="J1786" s="249"/>
      <c r="K1786" s="249"/>
      <c r="L1786" s="249"/>
      <c r="M1786" s="259"/>
      <c r="N1786" s="249"/>
      <c r="O1786" s="249"/>
      <c r="P1786" s="249"/>
      <c r="Q1786" s="249"/>
      <c r="R1786" s="249"/>
      <c r="S1786" s="249"/>
      <c r="T1786" s="249"/>
      <c r="U1786" s="249"/>
      <c r="V1786" s="249"/>
      <c r="W1786" s="249"/>
      <c r="X1786" s="249"/>
      <c r="Y1786" s="249"/>
      <c r="Z1786" s="249"/>
    </row>
    <row r="1787" spans="1:26" s="152" customFormat="1" x14ac:dyDescent="0.25">
      <c r="A1787" s="249"/>
      <c r="B1787" s="249"/>
      <c r="C1787" s="249"/>
      <c r="D1787" s="249"/>
      <c r="E1787" s="249"/>
      <c r="F1787" s="249"/>
      <c r="G1787" s="249"/>
      <c r="H1787" s="249"/>
      <c r="I1787" s="258"/>
      <c r="J1787" s="249"/>
      <c r="K1787" s="249"/>
      <c r="L1787" s="249"/>
      <c r="M1787" s="259"/>
      <c r="N1787" s="249"/>
      <c r="O1787" s="249"/>
      <c r="P1787" s="249"/>
      <c r="Q1787" s="249"/>
      <c r="R1787" s="249"/>
      <c r="S1787" s="249"/>
      <c r="T1787" s="249"/>
      <c r="U1787" s="249"/>
      <c r="V1787" s="249"/>
      <c r="W1787" s="249"/>
      <c r="X1787" s="249"/>
      <c r="Y1787" s="249"/>
      <c r="Z1787" s="249"/>
    </row>
    <row r="1788" spans="1:26" s="152" customFormat="1" x14ac:dyDescent="0.25">
      <c r="A1788" s="249"/>
      <c r="B1788" s="249"/>
      <c r="C1788" s="249"/>
      <c r="D1788" s="249"/>
      <c r="E1788" s="249"/>
      <c r="F1788" s="249"/>
      <c r="G1788" s="249"/>
      <c r="H1788" s="249"/>
      <c r="I1788" s="258"/>
      <c r="J1788" s="249"/>
      <c r="K1788" s="249"/>
      <c r="L1788" s="249"/>
      <c r="M1788" s="259"/>
      <c r="N1788" s="249"/>
      <c r="O1788" s="249"/>
      <c r="P1788" s="249"/>
      <c r="Q1788" s="249"/>
      <c r="R1788" s="249"/>
      <c r="S1788" s="249"/>
      <c r="T1788" s="249"/>
      <c r="U1788" s="249"/>
      <c r="V1788" s="249"/>
      <c r="W1788" s="249"/>
      <c r="X1788" s="249"/>
      <c r="Y1788" s="249"/>
      <c r="Z1788" s="249"/>
    </row>
    <row r="1789" spans="1:26" s="152" customFormat="1" x14ac:dyDescent="0.25">
      <c r="A1789" s="249"/>
      <c r="B1789" s="249"/>
      <c r="C1789" s="249"/>
      <c r="D1789" s="249"/>
      <c r="E1789" s="249"/>
      <c r="F1789" s="249"/>
      <c r="G1789" s="249"/>
      <c r="H1789" s="249"/>
      <c r="I1789" s="258"/>
      <c r="J1789" s="249"/>
      <c r="K1789" s="249"/>
      <c r="L1789" s="249"/>
      <c r="M1789" s="259"/>
      <c r="N1789" s="249"/>
      <c r="O1789" s="249"/>
      <c r="P1789" s="249"/>
      <c r="Q1789" s="249"/>
      <c r="R1789" s="249"/>
      <c r="S1789" s="249"/>
      <c r="T1789" s="249"/>
      <c r="U1789" s="249"/>
      <c r="V1789" s="249"/>
      <c r="W1789" s="249"/>
      <c r="X1789" s="249"/>
      <c r="Y1789" s="249"/>
      <c r="Z1789" s="249"/>
    </row>
    <row r="1790" spans="1:26" s="152" customFormat="1" x14ac:dyDescent="0.25">
      <c r="A1790" s="249"/>
      <c r="B1790" s="249"/>
      <c r="C1790" s="249"/>
      <c r="D1790" s="249"/>
      <c r="E1790" s="249"/>
      <c r="F1790" s="249"/>
      <c r="G1790" s="249"/>
      <c r="H1790" s="249"/>
      <c r="I1790" s="258"/>
      <c r="J1790" s="249"/>
      <c r="K1790" s="249"/>
      <c r="L1790" s="249"/>
      <c r="M1790" s="259"/>
      <c r="N1790" s="249"/>
      <c r="O1790" s="249"/>
      <c r="P1790" s="249"/>
      <c r="Q1790" s="249"/>
      <c r="R1790" s="249"/>
      <c r="S1790" s="249"/>
      <c r="T1790" s="249"/>
      <c r="U1790" s="249"/>
      <c r="V1790" s="249"/>
      <c r="W1790" s="249"/>
      <c r="X1790" s="249"/>
      <c r="Y1790" s="249"/>
      <c r="Z1790" s="249"/>
    </row>
    <row r="1791" spans="1:26" s="152" customFormat="1" x14ac:dyDescent="0.25">
      <c r="A1791" s="249"/>
      <c r="B1791" s="249"/>
      <c r="C1791" s="249"/>
      <c r="D1791" s="249"/>
      <c r="E1791" s="249"/>
      <c r="F1791" s="249"/>
      <c r="G1791" s="249"/>
      <c r="H1791" s="249"/>
      <c r="I1791" s="258"/>
      <c r="J1791" s="249"/>
      <c r="K1791" s="249"/>
      <c r="L1791" s="249"/>
      <c r="M1791" s="259"/>
      <c r="N1791" s="249"/>
      <c r="O1791" s="249"/>
      <c r="P1791" s="249"/>
      <c r="Q1791" s="249"/>
      <c r="R1791" s="249"/>
      <c r="S1791" s="249"/>
      <c r="T1791" s="249"/>
      <c r="U1791" s="249"/>
      <c r="V1791" s="249"/>
      <c r="W1791" s="249"/>
      <c r="X1791" s="249"/>
      <c r="Y1791" s="249"/>
      <c r="Z1791" s="249"/>
    </row>
    <row r="1792" spans="1:26" s="152" customFormat="1" x14ac:dyDescent="0.25">
      <c r="A1792" s="249"/>
      <c r="B1792" s="249"/>
      <c r="C1792" s="249"/>
      <c r="D1792" s="249"/>
      <c r="E1792" s="249"/>
      <c r="F1792" s="249"/>
      <c r="G1792" s="249"/>
      <c r="H1792" s="249"/>
      <c r="I1792" s="258"/>
      <c r="J1792" s="249"/>
      <c r="K1792" s="249"/>
      <c r="L1792" s="249"/>
      <c r="M1792" s="259"/>
      <c r="N1792" s="249"/>
      <c r="O1792" s="249"/>
      <c r="P1792" s="249"/>
      <c r="Q1792" s="249"/>
      <c r="R1792" s="249"/>
      <c r="S1792" s="249"/>
      <c r="T1792" s="249"/>
      <c r="U1792" s="249"/>
      <c r="V1792" s="249"/>
      <c r="W1792" s="249"/>
      <c r="X1792" s="249"/>
      <c r="Y1792" s="249"/>
      <c r="Z1792" s="249"/>
    </row>
    <row r="1793" spans="1:26" s="152" customFormat="1" x14ac:dyDescent="0.25">
      <c r="A1793" s="249"/>
      <c r="B1793" s="249"/>
      <c r="C1793" s="249"/>
      <c r="D1793" s="249"/>
      <c r="E1793" s="249"/>
      <c r="F1793" s="249"/>
      <c r="G1793" s="249"/>
      <c r="H1793" s="249"/>
      <c r="I1793" s="258"/>
      <c r="J1793" s="249"/>
      <c r="K1793" s="249"/>
      <c r="L1793" s="249"/>
      <c r="M1793" s="259"/>
      <c r="N1793" s="249"/>
      <c r="O1793" s="249"/>
      <c r="P1793" s="249"/>
      <c r="Q1793" s="249"/>
      <c r="R1793" s="249"/>
      <c r="S1793" s="249"/>
      <c r="T1793" s="249"/>
      <c r="U1793" s="249"/>
      <c r="V1793" s="249"/>
      <c r="W1793" s="249"/>
      <c r="X1793" s="249"/>
      <c r="Y1793" s="249"/>
      <c r="Z1793" s="249"/>
    </row>
    <row r="1794" spans="1:26" s="152" customFormat="1" x14ac:dyDescent="0.25">
      <c r="A1794" s="249"/>
      <c r="B1794" s="249"/>
      <c r="C1794" s="249"/>
      <c r="D1794" s="249"/>
      <c r="E1794" s="249"/>
      <c r="F1794" s="249"/>
      <c r="G1794" s="249"/>
      <c r="H1794" s="249"/>
      <c r="I1794" s="258"/>
      <c r="J1794" s="249"/>
      <c r="K1794" s="249"/>
      <c r="L1794" s="249"/>
      <c r="M1794" s="259"/>
      <c r="N1794" s="249"/>
      <c r="O1794" s="249"/>
      <c r="P1794" s="249"/>
      <c r="Q1794" s="249"/>
      <c r="R1794" s="249"/>
      <c r="S1794" s="249"/>
      <c r="T1794" s="249"/>
      <c r="U1794" s="249"/>
      <c r="V1794" s="249"/>
      <c r="W1794" s="249"/>
      <c r="X1794" s="249"/>
      <c r="Y1794" s="249"/>
      <c r="Z1794" s="249"/>
    </row>
    <row r="1795" spans="1:26" s="152" customFormat="1" x14ac:dyDescent="0.25">
      <c r="A1795" s="249"/>
      <c r="B1795" s="249"/>
      <c r="C1795" s="249"/>
      <c r="D1795" s="249"/>
      <c r="E1795" s="249"/>
      <c r="F1795" s="249"/>
      <c r="G1795" s="249"/>
      <c r="H1795" s="249"/>
      <c r="I1795" s="258"/>
      <c r="J1795" s="249"/>
      <c r="K1795" s="249"/>
      <c r="L1795" s="249"/>
      <c r="M1795" s="259"/>
      <c r="N1795" s="249"/>
      <c r="O1795" s="249"/>
      <c r="P1795" s="249"/>
      <c r="Q1795" s="249"/>
      <c r="R1795" s="249"/>
      <c r="S1795" s="249"/>
      <c r="T1795" s="249"/>
      <c r="U1795" s="249"/>
      <c r="V1795" s="249"/>
      <c r="W1795" s="249"/>
      <c r="X1795" s="249"/>
      <c r="Y1795" s="249"/>
      <c r="Z1795" s="249"/>
    </row>
    <row r="1796" spans="1:26" s="152" customFormat="1" x14ac:dyDescent="0.25">
      <c r="A1796" s="249"/>
      <c r="B1796" s="249"/>
      <c r="C1796" s="249"/>
      <c r="D1796" s="249"/>
      <c r="E1796" s="249"/>
      <c r="F1796" s="249"/>
      <c r="G1796" s="249"/>
      <c r="H1796" s="249"/>
      <c r="I1796" s="258"/>
      <c r="J1796" s="249"/>
      <c r="K1796" s="249"/>
      <c r="L1796" s="249"/>
      <c r="M1796" s="259"/>
      <c r="N1796" s="249"/>
      <c r="O1796" s="249"/>
      <c r="P1796" s="249"/>
      <c r="Q1796" s="249"/>
      <c r="R1796" s="249"/>
      <c r="S1796" s="249"/>
      <c r="T1796" s="249"/>
      <c r="U1796" s="249"/>
      <c r="V1796" s="249"/>
      <c r="W1796" s="249"/>
      <c r="X1796" s="249"/>
      <c r="Y1796" s="249"/>
      <c r="Z1796" s="249"/>
    </row>
    <row r="1797" spans="1:26" s="152" customFormat="1" x14ac:dyDescent="0.25">
      <c r="A1797" s="249"/>
      <c r="B1797" s="249"/>
      <c r="C1797" s="249"/>
      <c r="D1797" s="249"/>
      <c r="E1797" s="249"/>
      <c r="F1797" s="249"/>
      <c r="G1797" s="249"/>
      <c r="H1797" s="249"/>
      <c r="I1797" s="258"/>
      <c r="J1797" s="249"/>
      <c r="K1797" s="249"/>
      <c r="L1797" s="249"/>
      <c r="M1797" s="259"/>
      <c r="N1797" s="249"/>
      <c r="O1797" s="249"/>
      <c r="P1797" s="249"/>
      <c r="Q1797" s="249"/>
      <c r="R1797" s="249"/>
      <c r="S1797" s="249"/>
      <c r="T1797" s="249"/>
      <c r="U1797" s="249"/>
      <c r="V1797" s="249"/>
      <c r="W1797" s="249"/>
      <c r="X1797" s="249"/>
      <c r="Y1797" s="249"/>
      <c r="Z1797" s="249"/>
    </row>
    <row r="1798" spans="1:26" s="152" customFormat="1" x14ac:dyDescent="0.25">
      <c r="A1798" s="249"/>
      <c r="B1798" s="249"/>
      <c r="C1798" s="249"/>
      <c r="D1798" s="249"/>
      <c r="E1798" s="249"/>
      <c r="F1798" s="249"/>
      <c r="G1798" s="249"/>
      <c r="H1798" s="249"/>
      <c r="I1798" s="258"/>
      <c r="J1798" s="249"/>
      <c r="K1798" s="249"/>
      <c r="L1798" s="249"/>
      <c r="M1798" s="259"/>
      <c r="N1798" s="249"/>
      <c r="O1798" s="249"/>
      <c r="P1798" s="249"/>
      <c r="Q1798" s="249"/>
      <c r="R1798" s="249"/>
      <c r="S1798" s="249"/>
      <c r="T1798" s="249"/>
      <c r="U1798" s="249"/>
      <c r="V1798" s="249"/>
      <c r="W1798" s="249"/>
      <c r="X1798" s="249"/>
      <c r="Y1798" s="249"/>
      <c r="Z1798" s="249"/>
    </row>
    <row r="1799" spans="1:26" s="152" customFormat="1" x14ac:dyDescent="0.25">
      <c r="A1799" s="249"/>
      <c r="B1799" s="249"/>
      <c r="C1799" s="249"/>
      <c r="D1799" s="249"/>
      <c r="E1799" s="249"/>
      <c r="F1799" s="249"/>
      <c r="G1799" s="249"/>
      <c r="H1799" s="249"/>
      <c r="I1799" s="258"/>
      <c r="J1799" s="249"/>
      <c r="K1799" s="249"/>
      <c r="L1799" s="249"/>
      <c r="M1799" s="259"/>
      <c r="N1799" s="249"/>
      <c r="O1799" s="249"/>
      <c r="P1799" s="249"/>
      <c r="Q1799" s="249"/>
      <c r="R1799" s="249"/>
      <c r="S1799" s="249"/>
      <c r="T1799" s="249"/>
      <c r="U1799" s="249"/>
      <c r="V1799" s="249"/>
      <c r="W1799" s="249"/>
      <c r="X1799" s="249"/>
      <c r="Y1799" s="249"/>
      <c r="Z1799" s="249"/>
    </row>
    <row r="1800" spans="1:26" s="152" customFormat="1" x14ac:dyDescent="0.25">
      <c r="A1800" s="249"/>
      <c r="B1800" s="249"/>
      <c r="C1800" s="249"/>
      <c r="D1800" s="249"/>
      <c r="E1800" s="249"/>
      <c r="F1800" s="249"/>
      <c r="G1800" s="249"/>
      <c r="H1800" s="249"/>
      <c r="I1800" s="258"/>
      <c r="J1800" s="249"/>
      <c r="K1800" s="249"/>
      <c r="L1800" s="249"/>
      <c r="M1800" s="259"/>
      <c r="N1800" s="249"/>
      <c r="O1800" s="249"/>
      <c r="P1800" s="249"/>
      <c r="Q1800" s="249"/>
      <c r="R1800" s="249"/>
      <c r="S1800" s="249"/>
      <c r="T1800" s="249"/>
      <c r="U1800" s="249"/>
      <c r="V1800" s="249"/>
      <c r="W1800" s="249"/>
      <c r="X1800" s="249"/>
      <c r="Y1800" s="249"/>
      <c r="Z1800" s="249"/>
    </row>
    <row r="1801" spans="1:26" s="152" customFormat="1" x14ac:dyDescent="0.25">
      <c r="A1801" s="249"/>
      <c r="B1801" s="249"/>
      <c r="C1801" s="249"/>
      <c r="D1801" s="249"/>
      <c r="E1801" s="249"/>
      <c r="F1801" s="249"/>
      <c r="G1801" s="249"/>
      <c r="H1801" s="249"/>
      <c r="I1801" s="258"/>
      <c r="J1801" s="249"/>
      <c r="K1801" s="249"/>
      <c r="L1801" s="249"/>
      <c r="M1801" s="259"/>
      <c r="N1801" s="249"/>
      <c r="O1801" s="249"/>
      <c r="P1801" s="249"/>
      <c r="Q1801" s="249"/>
      <c r="R1801" s="249"/>
      <c r="S1801" s="249"/>
      <c r="T1801" s="249"/>
      <c r="U1801" s="249"/>
      <c r="V1801" s="249"/>
      <c r="W1801" s="249"/>
      <c r="X1801" s="249"/>
      <c r="Y1801" s="249"/>
      <c r="Z1801" s="249"/>
    </row>
    <row r="1802" spans="1:26" s="152" customFormat="1" x14ac:dyDescent="0.25">
      <c r="A1802" s="249"/>
      <c r="B1802" s="249"/>
      <c r="C1802" s="249"/>
      <c r="D1802" s="249"/>
      <c r="E1802" s="249"/>
      <c r="F1802" s="249"/>
      <c r="G1802" s="249"/>
      <c r="H1802" s="249"/>
      <c r="I1802" s="258"/>
      <c r="J1802" s="249"/>
      <c r="K1802" s="249"/>
      <c r="L1802" s="249"/>
      <c r="M1802" s="259"/>
      <c r="N1802" s="249"/>
      <c r="O1802" s="249"/>
      <c r="P1802" s="249"/>
      <c r="Q1802" s="249"/>
      <c r="R1802" s="249"/>
      <c r="S1802" s="249"/>
      <c r="T1802" s="249"/>
      <c r="U1802" s="249"/>
      <c r="V1802" s="249"/>
      <c r="W1802" s="249"/>
      <c r="X1802" s="249"/>
      <c r="Y1802" s="249"/>
      <c r="Z1802" s="249"/>
    </row>
    <row r="1803" spans="1:26" s="152" customFormat="1" x14ac:dyDescent="0.25">
      <c r="A1803" s="249"/>
      <c r="B1803" s="249"/>
      <c r="C1803" s="249"/>
      <c r="D1803" s="249"/>
      <c r="E1803" s="249"/>
      <c r="F1803" s="249"/>
      <c r="G1803" s="249"/>
      <c r="H1803" s="249"/>
      <c r="I1803" s="258"/>
      <c r="J1803" s="249"/>
      <c r="K1803" s="249"/>
      <c r="L1803" s="249"/>
      <c r="M1803" s="259"/>
      <c r="N1803" s="249"/>
      <c r="O1803" s="249"/>
      <c r="P1803" s="249"/>
      <c r="Q1803" s="249"/>
      <c r="R1803" s="249"/>
      <c r="S1803" s="249"/>
      <c r="T1803" s="249"/>
      <c r="U1803" s="249"/>
      <c r="V1803" s="249"/>
      <c r="W1803" s="249"/>
      <c r="X1803" s="249"/>
      <c r="Y1803" s="249"/>
      <c r="Z1803" s="249"/>
    </row>
    <row r="1804" spans="1:26" s="152" customFormat="1" x14ac:dyDescent="0.25">
      <c r="A1804" s="249"/>
      <c r="B1804" s="249"/>
      <c r="C1804" s="249"/>
      <c r="D1804" s="249"/>
      <c r="E1804" s="249"/>
      <c r="F1804" s="249"/>
      <c r="G1804" s="249"/>
      <c r="H1804" s="249"/>
      <c r="I1804" s="258"/>
      <c r="J1804" s="249"/>
      <c r="K1804" s="249"/>
      <c r="L1804" s="249"/>
      <c r="M1804" s="259"/>
      <c r="N1804" s="249"/>
      <c r="O1804" s="249"/>
      <c r="P1804" s="249"/>
      <c r="Q1804" s="249"/>
      <c r="R1804" s="249"/>
      <c r="S1804" s="249"/>
      <c r="T1804" s="249"/>
      <c r="U1804" s="249"/>
      <c r="V1804" s="249"/>
      <c r="W1804" s="249"/>
      <c r="X1804" s="249"/>
      <c r="Y1804" s="249"/>
      <c r="Z1804" s="249"/>
    </row>
    <row r="1805" spans="1:26" s="152" customFormat="1" x14ac:dyDescent="0.25">
      <c r="A1805" s="249"/>
      <c r="B1805" s="249"/>
      <c r="C1805" s="249"/>
      <c r="D1805" s="249"/>
      <c r="E1805" s="249"/>
      <c r="F1805" s="249"/>
      <c r="G1805" s="249"/>
      <c r="H1805" s="249"/>
      <c r="I1805" s="258"/>
      <c r="J1805" s="249"/>
      <c r="K1805" s="249"/>
      <c r="L1805" s="249"/>
      <c r="M1805" s="259"/>
      <c r="N1805" s="249"/>
      <c r="O1805" s="249"/>
      <c r="P1805" s="249"/>
      <c r="Q1805" s="249"/>
      <c r="R1805" s="249"/>
      <c r="S1805" s="249"/>
      <c r="T1805" s="249"/>
      <c r="U1805" s="249"/>
      <c r="V1805" s="249"/>
      <c r="W1805" s="249"/>
      <c r="X1805" s="249"/>
      <c r="Y1805" s="249"/>
      <c r="Z1805" s="249"/>
    </row>
    <row r="1806" spans="1:26" s="152" customFormat="1" x14ac:dyDescent="0.25">
      <c r="A1806" s="249"/>
      <c r="B1806" s="249"/>
      <c r="C1806" s="249"/>
      <c r="D1806" s="249"/>
      <c r="E1806" s="249"/>
      <c r="F1806" s="249"/>
      <c r="G1806" s="249"/>
      <c r="H1806" s="249"/>
      <c r="I1806" s="258"/>
      <c r="J1806" s="249"/>
      <c r="K1806" s="249"/>
      <c r="L1806" s="249"/>
      <c r="M1806" s="259"/>
      <c r="N1806" s="249"/>
      <c r="O1806" s="249"/>
      <c r="P1806" s="249"/>
      <c r="Q1806" s="249"/>
      <c r="R1806" s="249"/>
      <c r="S1806" s="249"/>
      <c r="T1806" s="249"/>
      <c r="U1806" s="249"/>
      <c r="V1806" s="249"/>
      <c r="W1806" s="249"/>
      <c r="X1806" s="249"/>
      <c r="Y1806" s="249"/>
      <c r="Z1806" s="249"/>
    </row>
    <row r="1807" spans="1:26" s="152" customFormat="1" x14ac:dyDescent="0.25">
      <c r="A1807" s="249"/>
      <c r="B1807" s="249"/>
      <c r="C1807" s="249"/>
      <c r="D1807" s="249"/>
      <c r="E1807" s="249"/>
      <c r="F1807" s="249"/>
      <c r="G1807" s="249"/>
      <c r="H1807" s="249"/>
      <c r="I1807" s="258"/>
      <c r="J1807" s="249"/>
      <c r="K1807" s="249"/>
      <c r="L1807" s="249"/>
      <c r="M1807" s="259"/>
      <c r="N1807" s="249"/>
      <c r="O1807" s="249"/>
      <c r="P1807" s="249"/>
      <c r="Q1807" s="249"/>
      <c r="R1807" s="249"/>
      <c r="S1807" s="249"/>
      <c r="T1807" s="249"/>
      <c r="U1807" s="249"/>
      <c r="V1807" s="249"/>
      <c r="W1807" s="249"/>
      <c r="X1807" s="249"/>
      <c r="Y1807" s="249"/>
      <c r="Z1807" s="249"/>
    </row>
    <row r="1808" spans="1:26" s="152" customFormat="1" x14ac:dyDescent="0.25">
      <c r="A1808" s="249"/>
      <c r="B1808" s="249"/>
      <c r="C1808" s="249"/>
      <c r="D1808" s="249"/>
      <c r="E1808" s="249"/>
      <c r="F1808" s="249"/>
      <c r="G1808" s="249"/>
      <c r="H1808" s="249"/>
      <c r="I1808" s="258"/>
      <c r="J1808" s="249"/>
      <c r="K1808" s="249"/>
      <c r="L1808" s="249"/>
      <c r="M1808" s="259"/>
      <c r="N1808" s="249"/>
      <c r="O1808" s="249"/>
      <c r="P1808" s="249"/>
      <c r="Q1808" s="249"/>
      <c r="R1808" s="249"/>
      <c r="S1808" s="249"/>
      <c r="T1808" s="249"/>
      <c r="U1808" s="249"/>
      <c r="V1808" s="249"/>
      <c r="W1808" s="249"/>
      <c r="X1808" s="249"/>
      <c r="Y1808" s="249"/>
      <c r="Z1808" s="249"/>
    </row>
    <row r="1809" spans="1:26" s="152" customFormat="1" x14ac:dyDescent="0.25">
      <c r="A1809" s="249"/>
      <c r="B1809" s="249"/>
      <c r="C1809" s="249"/>
      <c r="D1809" s="249"/>
      <c r="E1809" s="249"/>
      <c r="F1809" s="249"/>
      <c r="G1809" s="249"/>
      <c r="H1809" s="249"/>
      <c r="I1809" s="258"/>
      <c r="J1809" s="249"/>
      <c r="K1809" s="249"/>
      <c r="L1809" s="249"/>
      <c r="M1809" s="259"/>
      <c r="N1809" s="249"/>
      <c r="O1809" s="249"/>
      <c r="P1809" s="249"/>
      <c r="Q1809" s="249"/>
      <c r="R1809" s="249"/>
      <c r="S1809" s="249"/>
      <c r="T1809" s="249"/>
      <c r="U1809" s="249"/>
      <c r="V1809" s="249"/>
      <c r="W1809" s="249"/>
      <c r="X1809" s="249"/>
      <c r="Y1809" s="249"/>
      <c r="Z1809" s="249"/>
    </row>
    <row r="1810" spans="1:26" s="152" customFormat="1" x14ac:dyDescent="0.25">
      <c r="A1810" s="249"/>
      <c r="B1810" s="249"/>
      <c r="C1810" s="249"/>
      <c r="D1810" s="249"/>
      <c r="E1810" s="249"/>
      <c r="F1810" s="249"/>
      <c r="G1810" s="249"/>
      <c r="H1810" s="249"/>
      <c r="I1810" s="258"/>
      <c r="J1810" s="249"/>
      <c r="K1810" s="249"/>
      <c r="L1810" s="249"/>
      <c r="M1810" s="259"/>
      <c r="N1810" s="249"/>
      <c r="O1810" s="249"/>
      <c r="P1810" s="249"/>
      <c r="Q1810" s="249"/>
      <c r="R1810" s="249"/>
      <c r="S1810" s="249"/>
      <c r="T1810" s="249"/>
      <c r="U1810" s="249"/>
      <c r="V1810" s="249"/>
      <c r="W1810" s="249"/>
      <c r="X1810" s="249"/>
      <c r="Y1810" s="249"/>
      <c r="Z1810" s="249"/>
    </row>
    <row r="1811" spans="1:26" s="152" customFormat="1" x14ac:dyDescent="0.25">
      <c r="A1811" s="249"/>
      <c r="B1811" s="249"/>
      <c r="C1811" s="249"/>
      <c r="D1811" s="249"/>
      <c r="E1811" s="249"/>
      <c r="F1811" s="249"/>
      <c r="G1811" s="249"/>
      <c r="H1811" s="249"/>
      <c r="I1811" s="258"/>
      <c r="J1811" s="249"/>
      <c r="K1811" s="249"/>
      <c r="L1811" s="249"/>
      <c r="M1811" s="259"/>
      <c r="N1811" s="249"/>
      <c r="O1811" s="249"/>
      <c r="P1811" s="249"/>
      <c r="Q1811" s="249"/>
      <c r="R1811" s="249"/>
      <c r="S1811" s="249"/>
      <c r="T1811" s="249"/>
      <c r="U1811" s="249"/>
      <c r="V1811" s="249"/>
      <c r="W1811" s="249"/>
      <c r="X1811" s="249"/>
      <c r="Y1811" s="249"/>
      <c r="Z1811" s="249"/>
    </row>
    <row r="1812" spans="1:26" s="152" customFormat="1" x14ac:dyDescent="0.25">
      <c r="A1812" s="249"/>
      <c r="B1812" s="249"/>
      <c r="C1812" s="249"/>
      <c r="D1812" s="249"/>
      <c r="E1812" s="249"/>
      <c r="F1812" s="249"/>
      <c r="G1812" s="249"/>
      <c r="H1812" s="249"/>
      <c r="I1812" s="258"/>
      <c r="J1812" s="249"/>
      <c r="K1812" s="249"/>
      <c r="L1812" s="249"/>
      <c r="M1812" s="259"/>
      <c r="N1812" s="249"/>
      <c r="O1812" s="249"/>
      <c r="P1812" s="249"/>
      <c r="Q1812" s="249"/>
      <c r="R1812" s="249"/>
      <c r="S1812" s="249"/>
      <c r="T1812" s="249"/>
      <c r="U1812" s="249"/>
      <c r="V1812" s="249"/>
      <c r="W1812" s="249"/>
      <c r="X1812" s="249"/>
      <c r="Y1812" s="249"/>
      <c r="Z1812" s="249"/>
    </row>
    <row r="1813" spans="1:26" s="152" customFormat="1" x14ac:dyDescent="0.25">
      <c r="A1813" s="249"/>
      <c r="B1813" s="249"/>
      <c r="C1813" s="249"/>
      <c r="D1813" s="249"/>
      <c r="E1813" s="249"/>
      <c r="F1813" s="249"/>
      <c r="G1813" s="249"/>
      <c r="H1813" s="249"/>
      <c r="I1813" s="258"/>
      <c r="J1813" s="249"/>
      <c r="K1813" s="249"/>
      <c r="L1813" s="249"/>
      <c r="M1813" s="259"/>
      <c r="N1813" s="249"/>
      <c r="O1813" s="249"/>
      <c r="P1813" s="249"/>
      <c r="Q1813" s="249"/>
      <c r="R1813" s="249"/>
      <c r="S1813" s="249"/>
      <c r="T1813" s="249"/>
      <c r="U1813" s="249"/>
      <c r="V1813" s="249"/>
      <c r="W1813" s="249"/>
      <c r="X1813" s="249"/>
      <c r="Y1813" s="249"/>
      <c r="Z1813" s="249"/>
    </row>
    <row r="1814" spans="1:26" s="152" customFormat="1" x14ac:dyDescent="0.25">
      <c r="A1814" s="249"/>
      <c r="B1814" s="249"/>
      <c r="C1814" s="249"/>
      <c r="D1814" s="249"/>
      <c r="E1814" s="249"/>
      <c r="F1814" s="249"/>
      <c r="G1814" s="249"/>
      <c r="H1814" s="249"/>
      <c r="I1814" s="258"/>
      <c r="J1814" s="249"/>
      <c r="K1814" s="249"/>
      <c r="L1814" s="249"/>
      <c r="M1814" s="259"/>
      <c r="N1814" s="249"/>
      <c r="O1814" s="249"/>
      <c r="P1814" s="249"/>
      <c r="Q1814" s="249"/>
      <c r="R1814" s="249"/>
      <c r="S1814" s="249"/>
      <c r="T1814" s="249"/>
      <c r="U1814" s="249"/>
      <c r="V1814" s="249"/>
      <c r="W1814" s="249"/>
      <c r="X1814" s="249"/>
      <c r="Y1814" s="249"/>
      <c r="Z1814" s="249"/>
    </row>
    <row r="1815" spans="1:26" s="152" customFormat="1" x14ac:dyDescent="0.25">
      <c r="A1815" s="249"/>
      <c r="B1815" s="249"/>
      <c r="C1815" s="249"/>
      <c r="D1815" s="249"/>
      <c r="E1815" s="249"/>
      <c r="F1815" s="249"/>
      <c r="G1815" s="249"/>
      <c r="H1815" s="249"/>
      <c r="I1815" s="258"/>
      <c r="J1815" s="249"/>
      <c r="K1815" s="249"/>
      <c r="L1815" s="249"/>
      <c r="M1815" s="259"/>
      <c r="N1815" s="249"/>
      <c r="O1815" s="249"/>
      <c r="P1815" s="249"/>
      <c r="Q1815" s="249"/>
      <c r="R1815" s="249"/>
      <c r="S1815" s="249"/>
      <c r="T1815" s="249"/>
      <c r="U1815" s="249"/>
      <c r="V1815" s="249"/>
      <c r="W1815" s="249"/>
      <c r="X1815" s="249"/>
      <c r="Y1815" s="249"/>
      <c r="Z1815" s="249"/>
    </row>
    <row r="1816" spans="1:26" s="152" customFormat="1" x14ac:dyDescent="0.25">
      <c r="A1816" s="249"/>
      <c r="B1816" s="249"/>
      <c r="C1816" s="249"/>
      <c r="D1816" s="249"/>
      <c r="E1816" s="249"/>
      <c r="F1816" s="249"/>
      <c r="G1816" s="249"/>
      <c r="H1816" s="249"/>
      <c r="I1816" s="258"/>
      <c r="J1816" s="249"/>
      <c r="K1816" s="249"/>
      <c r="L1816" s="249"/>
      <c r="M1816" s="259"/>
      <c r="N1816" s="249"/>
      <c r="O1816" s="249"/>
      <c r="P1816" s="249"/>
      <c r="Q1816" s="249"/>
      <c r="R1816" s="249"/>
      <c r="S1816" s="249"/>
      <c r="T1816" s="249"/>
      <c r="U1816" s="249"/>
      <c r="V1816" s="249"/>
      <c r="W1816" s="249"/>
      <c r="X1816" s="249"/>
      <c r="Y1816" s="249"/>
      <c r="Z1816" s="249"/>
    </row>
    <row r="1817" spans="1:26" s="152" customFormat="1" x14ac:dyDescent="0.25">
      <c r="A1817" s="249"/>
      <c r="B1817" s="249"/>
      <c r="C1817" s="249"/>
      <c r="D1817" s="249"/>
      <c r="E1817" s="249"/>
      <c r="F1817" s="249"/>
      <c r="G1817" s="249"/>
      <c r="H1817" s="249"/>
      <c r="I1817" s="258"/>
      <c r="J1817" s="249"/>
      <c r="K1817" s="249"/>
      <c r="L1817" s="249"/>
      <c r="M1817" s="259"/>
      <c r="N1817" s="249"/>
      <c r="O1817" s="249"/>
      <c r="P1817" s="249"/>
      <c r="Q1817" s="249"/>
      <c r="R1817" s="249"/>
      <c r="S1817" s="249"/>
      <c r="T1817" s="249"/>
      <c r="U1817" s="249"/>
      <c r="V1817" s="249"/>
      <c r="W1817" s="249"/>
      <c r="X1817" s="249"/>
      <c r="Y1817" s="249"/>
      <c r="Z1817" s="249"/>
    </row>
    <row r="1818" spans="1:26" s="152" customFormat="1" x14ac:dyDescent="0.25">
      <c r="A1818" s="249"/>
      <c r="B1818" s="249"/>
      <c r="C1818" s="249"/>
      <c r="D1818" s="249"/>
      <c r="E1818" s="249"/>
      <c r="F1818" s="249"/>
      <c r="G1818" s="249"/>
      <c r="H1818" s="249"/>
      <c r="I1818" s="258"/>
      <c r="J1818" s="249"/>
      <c r="K1818" s="249"/>
      <c r="L1818" s="249"/>
      <c r="M1818" s="259"/>
      <c r="N1818" s="249"/>
      <c r="O1818" s="249"/>
      <c r="P1818" s="249"/>
      <c r="Q1818" s="249"/>
      <c r="R1818" s="249"/>
      <c r="S1818" s="249"/>
      <c r="T1818" s="249"/>
      <c r="U1818" s="249"/>
      <c r="V1818" s="249"/>
      <c r="W1818" s="249"/>
      <c r="X1818" s="249"/>
      <c r="Y1818" s="249"/>
      <c r="Z1818" s="249"/>
    </row>
    <row r="1819" spans="1:26" s="152" customFormat="1" x14ac:dyDescent="0.25">
      <c r="A1819" s="249"/>
      <c r="B1819" s="249"/>
      <c r="C1819" s="249"/>
      <c r="D1819" s="249"/>
      <c r="E1819" s="249"/>
      <c r="F1819" s="249"/>
      <c r="G1819" s="249"/>
      <c r="H1819" s="249"/>
      <c r="I1819" s="258"/>
      <c r="J1819" s="249"/>
      <c r="K1819" s="249"/>
      <c r="L1819" s="249"/>
      <c r="M1819" s="259"/>
      <c r="N1819" s="249"/>
      <c r="O1819" s="249"/>
      <c r="P1819" s="249"/>
      <c r="Q1819" s="249"/>
      <c r="R1819" s="249"/>
      <c r="S1819" s="249"/>
      <c r="T1819" s="249"/>
      <c r="U1819" s="249"/>
      <c r="V1819" s="249"/>
      <c r="W1819" s="249"/>
      <c r="X1819" s="249"/>
      <c r="Y1819" s="249"/>
      <c r="Z1819" s="249"/>
    </row>
    <row r="1820" spans="1:26" s="152" customFormat="1" x14ac:dyDescent="0.25">
      <c r="A1820" s="249"/>
      <c r="B1820" s="249"/>
      <c r="C1820" s="249"/>
      <c r="D1820" s="249"/>
      <c r="E1820" s="249"/>
      <c r="F1820" s="249"/>
      <c r="G1820" s="249"/>
      <c r="H1820" s="249"/>
      <c r="I1820" s="258"/>
      <c r="J1820" s="249"/>
      <c r="K1820" s="249"/>
      <c r="L1820" s="249"/>
      <c r="M1820" s="259"/>
      <c r="N1820" s="249"/>
      <c r="O1820" s="249"/>
      <c r="P1820" s="249"/>
      <c r="Q1820" s="249"/>
      <c r="R1820" s="249"/>
      <c r="S1820" s="249"/>
      <c r="T1820" s="249"/>
      <c r="U1820" s="249"/>
      <c r="V1820" s="249"/>
      <c r="W1820" s="249"/>
      <c r="X1820" s="249"/>
      <c r="Y1820" s="249"/>
      <c r="Z1820" s="249"/>
    </row>
    <row r="1821" spans="1:26" s="152" customFormat="1" x14ac:dyDescent="0.25">
      <c r="A1821" s="249"/>
      <c r="B1821" s="249"/>
      <c r="C1821" s="249"/>
      <c r="D1821" s="249"/>
      <c r="E1821" s="249"/>
      <c r="F1821" s="249"/>
      <c r="G1821" s="249"/>
      <c r="H1821" s="249"/>
      <c r="I1821" s="258"/>
      <c r="J1821" s="249"/>
      <c r="K1821" s="249"/>
      <c r="L1821" s="249"/>
      <c r="M1821" s="259"/>
      <c r="N1821" s="249"/>
      <c r="O1821" s="249"/>
      <c r="P1821" s="249"/>
      <c r="Q1821" s="249"/>
      <c r="R1821" s="249"/>
      <c r="S1821" s="249"/>
      <c r="T1821" s="249"/>
      <c r="U1821" s="249"/>
      <c r="V1821" s="249"/>
      <c r="W1821" s="249"/>
      <c r="X1821" s="249"/>
      <c r="Y1821" s="249"/>
      <c r="Z1821" s="249"/>
    </row>
    <row r="1822" spans="1:26" s="152" customFormat="1" x14ac:dyDescent="0.25">
      <c r="A1822" s="249"/>
      <c r="B1822" s="249"/>
      <c r="C1822" s="249"/>
      <c r="D1822" s="249"/>
      <c r="E1822" s="249"/>
      <c r="F1822" s="249"/>
      <c r="G1822" s="249"/>
      <c r="H1822" s="249"/>
      <c r="I1822" s="258"/>
      <c r="J1822" s="249"/>
      <c r="K1822" s="249"/>
      <c r="L1822" s="249"/>
      <c r="M1822" s="259"/>
      <c r="N1822" s="249"/>
      <c r="O1822" s="249"/>
      <c r="P1822" s="249"/>
      <c r="Q1822" s="249"/>
      <c r="R1822" s="249"/>
      <c r="S1822" s="249"/>
      <c r="T1822" s="249"/>
      <c r="U1822" s="249"/>
      <c r="V1822" s="249"/>
      <c r="W1822" s="249"/>
      <c r="X1822" s="249"/>
      <c r="Y1822" s="249"/>
      <c r="Z1822" s="249"/>
    </row>
    <row r="1823" spans="1:26" s="152" customFormat="1" x14ac:dyDescent="0.25">
      <c r="A1823" s="249"/>
      <c r="B1823" s="249"/>
      <c r="C1823" s="249"/>
      <c r="D1823" s="249"/>
      <c r="E1823" s="249"/>
      <c r="F1823" s="249"/>
      <c r="G1823" s="249"/>
      <c r="H1823" s="249"/>
      <c r="I1823" s="258"/>
      <c r="J1823" s="249"/>
      <c r="K1823" s="249"/>
      <c r="L1823" s="249"/>
      <c r="M1823" s="259"/>
      <c r="N1823" s="249"/>
      <c r="O1823" s="249"/>
      <c r="P1823" s="249"/>
      <c r="Q1823" s="249"/>
      <c r="R1823" s="249"/>
      <c r="S1823" s="249"/>
      <c r="T1823" s="249"/>
      <c r="U1823" s="249"/>
      <c r="V1823" s="249"/>
      <c r="W1823" s="249"/>
      <c r="X1823" s="249"/>
      <c r="Y1823" s="249"/>
      <c r="Z1823" s="249"/>
    </row>
    <row r="1824" spans="1:26" s="152" customFormat="1" x14ac:dyDescent="0.25">
      <c r="A1824" s="249"/>
      <c r="B1824" s="249"/>
      <c r="C1824" s="249"/>
      <c r="D1824" s="249"/>
      <c r="E1824" s="249"/>
      <c r="F1824" s="249"/>
      <c r="G1824" s="249"/>
      <c r="H1824" s="249"/>
      <c r="I1824" s="258"/>
      <c r="J1824" s="249"/>
      <c r="K1824" s="249"/>
      <c r="L1824" s="249"/>
      <c r="M1824" s="259"/>
      <c r="N1824" s="249"/>
      <c r="O1824" s="249"/>
      <c r="P1824" s="249"/>
      <c r="Q1824" s="249"/>
      <c r="R1824" s="249"/>
      <c r="S1824" s="249"/>
      <c r="T1824" s="249"/>
      <c r="U1824" s="249"/>
      <c r="V1824" s="249"/>
      <c r="W1824" s="249"/>
      <c r="X1824" s="249"/>
      <c r="Y1824" s="249"/>
      <c r="Z1824" s="249"/>
    </row>
    <row r="1825" spans="1:26" s="152" customFormat="1" x14ac:dyDescent="0.25">
      <c r="A1825" s="249"/>
      <c r="B1825" s="249"/>
      <c r="C1825" s="249"/>
      <c r="D1825" s="249"/>
      <c r="E1825" s="249"/>
      <c r="F1825" s="249"/>
      <c r="G1825" s="249"/>
      <c r="H1825" s="249"/>
      <c r="I1825" s="258"/>
      <c r="J1825" s="249"/>
      <c r="K1825" s="249"/>
      <c r="L1825" s="249"/>
      <c r="M1825" s="259"/>
      <c r="N1825" s="249"/>
      <c r="O1825" s="249"/>
      <c r="P1825" s="249"/>
      <c r="Q1825" s="249"/>
      <c r="R1825" s="249"/>
      <c r="S1825" s="249"/>
      <c r="T1825" s="249"/>
      <c r="U1825" s="249"/>
      <c r="V1825" s="249"/>
      <c r="W1825" s="249"/>
      <c r="X1825" s="249"/>
      <c r="Y1825" s="249"/>
      <c r="Z1825" s="249"/>
    </row>
    <row r="1826" spans="1:26" s="152" customFormat="1" x14ac:dyDescent="0.25">
      <c r="A1826" s="249"/>
      <c r="B1826" s="249"/>
      <c r="C1826" s="249"/>
      <c r="D1826" s="249"/>
      <c r="E1826" s="249"/>
      <c r="F1826" s="249"/>
      <c r="G1826" s="249"/>
      <c r="H1826" s="249"/>
      <c r="I1826" s="258"/>
      <c r="J1826" s="249"/>
      <c r="K1826" s="249"/>
      <c r="L1826" s="249"/>
      <c r="M1826" s="259"/>
      <c r="N1826" s="249"/>
      <c r="O1826" s="249"/>
      <c r="P1826" s="249"/>
      <c r="Q1826" s="249"/>
      <c r="R1826" s="249"/>
      <c r="S1826" s="249"/>
      <c r="T1826" s="249"/>
      <c r="U1826" s="249"/>
      <c r="V1826" s="249"/>
      <c r="W1826" s="249"/>
      <c r="X1826" s="249"/>
      <c r="Y1826" s="249"/>
      <c r="Z1826" s="249"/>
    </row>
    <row r="1827" spans="1:26" s="152" customFormat="1" x14ac:dyDescent="0.25">
      <c r="A1827" s="249"/>
      <c r="B1827" s="249"/>
      <c r="C1827" s="249"/>
      <c r="D1827" s="249"/>
      <c r="E1827" s="249"/>
      <c r="F1827" s="249"/>
      <c r="G1827" s="249"/>
      <c r="H1827" s="249"/>
      <c r="I1827" s="258"/>
      <c r="J1827" s="249"/>
      <c r="K1827" s="249"/>
      <c r="L1827" s="249"/>
      <c r="M1827" s="259"/>
      <c r="N1827" s="249"/>
      <c r="O1827" s="249"/>
      <c r="P1827" s="249"/>
      <c r="Q1827" s="249"/>
      <c r="R1827" s="249"/>
      <c r="S1827" s="249"/>
      <c r="T1827" s="249"/>
      <c r="U1827" s="249"/>
      <c r="V1827" s="249"/>
      <c r="W1827" s="249"/>
      <c r="X1827" s="249"/>
      <c r="Y1827" s="249"/>
      <c r="Z1827" s="249"/>
    </row>
    <row r="1828" spans="1:26" s="152" customFormat="1" x14ac:dyDescent="0.25">
      <c r="A1828" s="249"/>
      <c r="B1828" s="249"/>
      <c r="C1828" s="249"/>
      <c r="D1828" s="249"/>
      <c r="E1828" s="249"/>
      <c r="F1828" s="249"/>
      <c r="G1828" s="249"/>
      <c r="H1828" s="249"/>
      <c r="I1828" s="258"/>
      <c r="J1828" s="249"/>
      <c r="K1828" s="249"/>
      <c r="L1828" s="249"/>
      <c r="M1828" s="259"/>
      <c r="N1828" s="249"/>
      <c r="O1828" s="249"/>
      <c r="P1828" s="249"/>
      <c r="Q1828" s="249"/>
      <c r="R1828" s="249"/>
      <c r="S1828" s="249"/>
      <c r="T1828" s="249"/>
      <c r="U1828" s="249"/>
      <c r="V1828" s="249"/>
      <c r="W1828" s="249"/>
      <c r="X1828" s="249"/>
      <c r="Y1828" s="249"/>
      <c r="Z1828" s="249"/>
    </row>
    <row r="1829" spans="1:26" s="152" customFormat="1" x14ac:dyDescent="0.25">
      <c r="A1829" s="249"/>
      <c r="B1829" s="249"/>
      <c r="C1829" s="249"/>
      <c r="D1829" s="249"/>
      <c r="E1829" s="249"/>
      <c r="F1829" s="249"/>
      <c r="G1829" s="249"/>
      <c r="H1829" s="249"/>
      <c r="I1829" s="258"/>
      <c r="J1829" s="249"/>
      <c r="K1829" s="249"/>
      <c r="L1829" s="249"/>
      <c r="M1829" s="259"/>
      <c r="N1829" s="249"/>
      <c r="O1829" s="249"/>
      <c r="P1829" s="249"/>
      <c r="Q1829" s="249"/>
      <c r="R1829" s="249"/>
      <c r="S1829" s="249"/>
      <c r="T1829" s="249"/>
      <c r="U1829" s="249"/>
      <c r="V1829" s="249"/>
      <c r="W1829" s="249"/>
      <c r="X1829" s="249"/>
      <c r="Y1829" s="249"/>
      <c r="Z1829" s="249"/>
    </row>
    <row r="1830" spans="1:26" s="152" customFormat="1" x14ac:dyDescent="0.25">
      <c r="A1830" s="249"/>
      <c r="B1830" s="249"/>
      <c r="C1830" s="249"/>
      <c r="D1830" s="249"/>
      <c r="E1830" s="249"/>
      <c r="F1830" s="249"/>
      <c r="G1830" s="249"/>
      <c r="H1830" s="249"/>
      <c r="I1830" s="258"/>
      <c r="J1830" s="249"/>
      <c r="K1830" s="249"/>
      <c r="L1830" s="249"/>
      <c r="M1830" s="259"/>
      <c r="N1830" s="249"/>
      <c r="O1830" s="249"/>
      <c r="P1830" s="249"/>
      <c r="Q1830" s="249"/>
      <c r="R1830" s="249"/>
      <c r="S1830" s="249"/>
      <c r="T1830" s="249"/>
      <c r="U1830" s="249"/>
      <c r="V1830" s="249"/>
      <c r="W1830" s="249"/>
      <c r="X1830" s="249"/>
      <c r="Y1830" s="249"/>
      <c r="Z1830" s="249"/>
    </row>
    <row r="1831" spans="1:26" s="152" customFormat="1" x14ac:dyDescent="0.25">
      <c r="A1831" s="249"/>
      <c r="B1831" s="249"/>
      <c r="C1831" s="249"/>
      <c r="D1831" s="249"/>
      <c r="E1831" s="249"/>
      <c r="F1831" s="249"/>
      <c r="G1831" s="249"/>
      <c r="H1831" s="249"/>
      <c r="I1831" s="258"/>
      <c r="J1831" s="249"/>
      <c r="K1831" s="249"/>
      <c r="L1831" s="249"/>
      <c r="M1831" s="259"/>
      <c r="N1831" s="249"/>
      <c r="O1831" s="249"/>
      <c r="P1831" s="249"/>
      <c r="Q1831" s="249"/>
      <c r="R1831" s="249"/>
      <c r="S1831" s="249"/>
      <c r="T1831" s="249"/>
      <c r="U1831" s="249"/>
      <c r="V1831" s="249"/>
      <c r="W1831" s="249"/>
      <c r="X1831" s="249"/>
      <c r="Y1831" s="249"/>
      <c r="Z1831" s="249"/>
    </row>
    <row r="1832" spans="1:26" s="152" customFormat="1" x14ac:dyDescent="0.25">
      <c r="A1832" s="249"/>
      <c r="B1832" s="249"/>
      <c r="C1832" s="249"/>
      <c r="D1832" s="249"/>
      <c r="E1832" s="249"/>
      <c r="F1832" s="249"/>
      <c r="G1832" s="249"/>
      <c r="H1832" s="249"/>
      <c r="I1832" s="258"/>
      <c r="J1832" s="249"/>
      <c r="K1832" s="249"/>
      <c r="L1832" s="249"/>
      <c r="M1832" s="259"/>
      <c r="N1832" s="249"/>
      <c r="O1832" s="249"/>
      <c r="P1832" s="249"/>
      <c r="Q1832" s="249"/>
      <c r="R1832" s="249"/>
      <c r="S1832" s="249"/>
      <c r="T1832" s="249"/>
      <c r="U1832" s="249"/>
      <c r="V1832" s="249"/>
      <c r="W1832" s="249"/>
      <c r="X1832" s="249"/>
      <c r="Y1832" s="249"/>
      <c r="Z1832" s="249"/>
    </row>
    <row r="1833" spans="1:26" s="152" customFormat="1" x14ac:dyDescent="0.25">
      <c r="A1833" s="249"/>
      <c r="B1833" s="249"/>
      <c r="C1833" s="249"/>
      <c r="D1833" s="249"/>
      <c r="E1833" s="249"/>
      <c r="F1833" s="249"/>
      <c r="G1833" s="249"/>
      <c r="H1833" s="249"/>
      <c r="I1833" s="258"/>
      <c r="J1833" s="249"/>
      <c r="K1833" s="249"/>
      <c r="L1833" s="249"/>
      <c r="M1833" s="259"/>
      <c r="N1833" s="249"/>
      <c r="O1833" s="249"/>
      <c r="P1833" s="249"/>
      <c r="Q1833" s="249"/>
      <c r="R1833" s="249"/>
      <c r="S1833" s="249"/>
      <c r="T1833" s="249"/>
      <c r="U1833" s="249"/>
      <c r="V1833" s="249"/>
      <c r="W1833" s="249"/>
      <c r="X1833" s="249"/>
      <c r="Y1833" s="249"/>
      <c r="Z1833" s="249"/>
    </row>
    <row r="1834" spans="1:26" s="152" customFormat="1" x14ac:dyDescent="0.25">
      <c r="A1834" s="249"/>
      <c r="B1834" s="249"/>
      <c r="C1834" s="249"/>
      <c r="D1834" s="249"/>
      <c r="E1834" s="249"/>
      <c r="F1834" s="249"/>
      <c r="G1834" s="249"/>
      <c r="H1834" s="249"/>
      <c r="I1834" s="258"/>
      <c r="J1834" s="249"/>
      <c r="K1834" s="249"/>
      <c r="L1834" s="249"/>
      <c r="M1834" s="259"/>
      <c r="N1834" s="249"/>
      <c r="O1834" s="249"/>
      <c r="P1834" s="249"/>
      <c r="Q1834" s="249"/>
      <c r="R1834" s="249"/>
      <c r="S1834" s="249"/>
      <c r="T1834" s="249"/>
      <c r="U1834" s="249"/>
      <c r="V1834" s="249"/>
      <c r="W1834" s="249"/>
      <c r="X1834" s="249"/>
      <c r="Y1834" s="249"/>
      <c r="Z1834" s="249"/>
    </row>
    <row r="1835" spans="1:26" s="152" customFormat="1" x14ac:dyDescent="0.25">
      <c r="A1835" s="249"/>
      <c r="B1835" s="249"/>
      <c r="C1835" s="249"/>
      <c r="D1835" s="249"/>
      <c r="E1835" s="249"/>
      <c r="F1835" s="249"/>
      <c r="G1835" s="249"/>
      <c r="H1835" s="249"/>
      <c r="I1835" s="258"/>
      <c r="J1835" s="249"/>
      <c r="K1835" s="249"/>
      <c r="L1835" s="249"/>
      <c r="M1835" s="259"/>
      <c r="N1835" s="249"/>
      <c r="O1835" s="249"/>
      <c r="P1835" s="249"/>
      <c r="Q1835" s="249"/>
      <c r="R1835" s="249"/>
      <c r="S1835" s="249"/>
      <c r="T1835" s="249"/>
      <c r="U1835" s="249"/>
      <c r="V1835" s="249"/>
      <c r="W1835" s="249"/>
      <c r="X1835" s="249"/>
      <c r="Y1835" s="249"/>
      <c r="Z1835" s="249"/>
    </row>
    <row r="1836" spans="1:26" s="152" customFormat="1" x14ac:dyDescent="0.25">
      <c r="A1836" s="249"/>
      <c r="B1836" s="249"/>
      <c r="C1836" s="249"/>
      <c r="D1836" s="249"/>
      <c r="E1836" s="249"/>
      <c r="F1836" s="249"/>
      <c r="G1836" s="249"/>
      <c r="H1836" s="249"/>
      <c r="I1836" s="258"/>
      <c r="J1836" s="249"/>
      <c r="K1836" s="249"/>
      <c r="L1836" s="249"/>
      <c r="M1836" s="259"/>
      <c r="N1836" s="249"/>
      <c r="O1836" s="249"/>
      <c r="P1836" s="249"/>
      <c r="Q1836" s="249"/>
      <c r="R1836" s="249"/>
      <c r="S1836" s="249"/>
      <c r="T1836" s="249"/>
      <c r="U1836" s="249"/>
      <c r="V1836" s="249"/>
      <c r="W1836" s="249"/>
      <c r="X1836" s="249"/>
      <c r="Y1836" s="249"/>
      <c r="Z1836" s="249"/>
    </row>
    <row r="1837" spans="1:26" s="152" customFormat="1" x14ac:dyDescent="0.25">
      <c r="A1837" s="249"/>
      <c r="B1837" s="249"/>
      <c r="C1837" s="249"/>
      <c r="D1837" s="249"/>
      <c r="E1837" s="249"/>
      <c r="F1837" s="249"/>
      <c r="G1837" s="249"/>
      <c r="H1837" s="249"/>
      <c r="I1837" s="258"/>
      <c r="J1837" s="249"/>
      <c r="K1837" s="249"/>
      <c r="L1837" s="249"/>
      <c r="M1837" s="259"/>
      <c r="N1837" s="249"/>
      <c r="O1837" s="249"/>
      <c r="P1837" s="249"/>
      <c r="Q1837" s="249"/>
      <c r="R1837" s="249"/>
      <c r="S1837" s="249"/>
      <c r="T1837" s="249"/>
      <c r="U1837" s="249"/>
      <c r="V1837" s="249"/>
      <c r="W1837" s="249"/>
      <c r="X1837" s="249"/>
      <c r="Y1837" s="249"/>
      <c r="Z1837" s="249"/>
    </row>
    <row r="1838" spans="1:26" s="152" customFormat="1" x14ac:dyDescent="0.25">
      <c r="A1838" s="249"/>
      <c r="B1838" s="249"/>
      <c r="C1838" s="249"/>
      <c r="D1838" s="249"/>
      <c r="E1838" s="249"/>
      <c r="F1838" s="249"/>
      <c r="G1838" s="249"/>
      <c r="H1838" s="249"/>
      <c r="I1838" s="258"/>
      <c r="J1838" s="249"/>
      <c r="K1838" s="249"/>
      <c r="L1838" s="249"/>
      <c r="M1838" s="259"/>
      <c r="N1838" s="249"/>
      <c r="O1838" s="249"/>
      <c r="P1838" s="249"/>
      <c r="Q1838" s="249"/>
      <c r="R1838" s="249"/>
      <c r="S1838" s="249"/>
      <c r="T1838" s="249"/>
      <c r="U1838" s="249"/>
      <c r="V1838" s="249"/>
      <c r="W1838" s="249"/>
      <c r="X1838" s="249"/>
      <c r="Y1838" s="249"/>
      <c r="Z1838" s="249"/>
    </row>
    <row r="1839" spans="1:26" s="152" customFormat="1" x14ac:dyDescent="0.25">
      <c r="A1839" s="249"/>
      <c r="B1839" s="249"/>
      <c r="C1839" s="249"/>
      <c r="D1839" s="249"/>
      <c r="E1839" s="249"/>
      <c r="F1839" s="249"/>
      <c r="G1839" s="249"/>
      <c r="H1839" s="249"/>
      <c r="I1839" s="258"/>
      <c r="J1839" s="249"/>
      <c r="K1839" s="249"/>
      <c r="L1839" s="249"/>
      <c r="M1839" s="259"/>
      <c r="N1839" s="249"/>
      <c r="O1839" s="249"/>
      <c r="P1839" s="249"/>
      <c r="Q1839" s="249"/>
      <c r="R1839" s="249"/>
      <c r="S1839" s="249"/>
      <c r="T1839" s="249"/>
      <c r="U1839" s="249"/>
      <c r="V1839" s="249"/>
      <c r="W1839" s="249"/>
      <c r="X1839" s="249"/>
      <c r="Y1839" s="249"/>
      <c r="Z1839" s="249"/>
    </row>
    <row r="1840" spans="1:26" s="152" customFormat="1" x14ac:dyDescent="0.25">
      <c r="A1840" s="249"/>
      <c r="B1840" s="249"/>
      <c r="C1840" s="249"/>
      <c r="D1840" s="249"/>
      <c r="E1840" s="249"/>
      <c r="F1840" s="249"/>
      <c r="G1840" s="249"/>
      <c r="H1840" s="249"/>
      <c r="I1840" s="258"/>
      <c r="J1840" s="249"/>
      <c r="K1840" s="249"/>
      <c r="L1840" s="249"/>
      <c r="M1840" s="259"/>
      <c r="N1840" s="249"/>
      <c r="O1840" s="249"/>
      <c r="P1840" s="249"/>
      <c r="Q1840" s="249"/>
      <c r="R1840" s="249"/>
      <c r="S1840" s="249"/>
      <c r="T1840" s="249"/>
      <c r="U1840" s="249"/>
      <c r="V1840" s="249"/>
      <c r="W1840" s="249"/>
      <c r="X1840" s="249"/>
      <c r="Y1840" s="249"/>
      <c r="Z1840" s="249"/>
    </row>
    <row r="1841" spans="1:26" s="152" customFormat="1" x14ac:dyDescent="0.25">
      <c r="A1841" s="249"/>
      <c r="B1841" s="249"/>
      <c r="C1841" s="249"/>
      <c r="D1841" s="249"/>
      <c r="E1841" s="249"/>
      <c r="F1841" s="249"/>
      <c r="G1841" s="249"/>
      <c r="H1841" s="249"/>
      <c r="I1841" s="258"/>
      <c r="J1841" s="249"/>
      <c r="K1841" s="249"/>
      <c r="L1841" s="249"/>
      <c r="M1841" s="259"/>
      <c r="N1841" s="249"/>
      <c r="O1841" s="249"/>
      <c r="P1841" s="249"/>
      <c r="Q1841" s="249"/>
      <c r="R1841" s="249"/>
      <c r="S1841" s="249"/>
      <c r="T1841" s="249"/>
      <c r="U1841" s="249"/>
      <c r="V1841" s="249"/>
      <c r="W1841" s="249"/>
      <c r="X1841" s="249"/>
      <c r="Y1841" s="249"/>
      <c r="Z1841" s="249"/>
    </row>
    <row r="1842" spans="1:26" s="152" customFormat="1" x14ac:dyDescent="0.25">
      <c r="A1842" s="249"/>
      <c r="B1842" s="249"/>
      <c r="C1842" s="249"/>
      <c r="D1842" s="249"/>
      <c r="E1842" s="249"/>
      <c r="F1842" s="249"/>
      <c r="G1842" s="249"/>
      <c r="H1842" s="249"/>
      <c r="I1842" s="258"/>
      <c r="J1842" s="249"/>
      <c r="K1842" s="249"/>
      <c r="L1842" s="249"/>
      <c r="M1842" s="259"/>
      <c r="N1842" s="249"/>
      <c r="O1842" s="249"/>
      <c r="P1842" s="249"/>
      <c r="Q1842" s="249"/>
      <c r="R1842" s="249"/>
      <c r="S1842" s="249"/>
      <c r="T1842" s="249"/>
      <c r="U1842" s="249"/>
      <c r="V1842" s="249"/>
      <c r="W1842" s="249"/>
      <c r="X1842" s="249"/>
      <c r="Y1842" s="249"/>
      <c r="Z1842" s="249"/>
    </row>
    <row r="1843" spans="1:26" s="152" customFormat="1" x14ac:dyDescent="0.25">
      <c r="A1843" s="249"/>
      <c r="B1843" s="249"/>
      <c r="C1843" s="249"/>
      <c r="D1843" s="249"/>
      <c r="E1843" s="249"/>
      <c r="F1843" s="249"/>
      <c r="G1843" s="249"/>
      <c r="H1843" s="249"/>
      <c r="I1843" s="258"/>
      <c r="J1843" s="249"/>
      <c r="K1843" s="249"/>
      <c r="L1843" s="249"/>
      <c r="M1843" s="259"/>
      <c r="N1843" s="249"/>
      <c r="O1843" s="249"/>
      <c r="P1843" s="249"/>
      <c r="Q1843" s="249"/>
      <c r="R1843" s="249"/>
      <c r="S1843" s="249"/>
      <c r="T1843" s="249"/>
      <c r="U1843" s="249"/>
      <c r="V1843" s="249"/>
      <c r="W1843" s="249"/>
      <c r="X1843" s="249"/>
      <c r="Y1843" s="249"/>
      <c r="Z1843" s="249"/>
    </row>
    <row r="1844" spans="1:26" s="152" customFormat="1" x14ac:dyDescent="0.25">
      <c r="A1844" s="249"/>
      <c r="B1844" s="249"/>
      <c r="C1844" s="249"/>
      <c r="D1844" s="249"/>
      <c r="E1844" s="249"/>
      <c r="F1844" s="249"/>
      <c r="G1844" s="249"/>
      <c r="H1844" s="249"/>
      <c r="I1844" s="258"/>
      <c r="J1844" s="249"/>
      <c r="K1844" s="249"/>
      <c r="L1844" s="249"/>
      <c r="M1844" s="259"/>
      <c r="N1844" s="249"/>
      <c r="O1844" s="249"/>
      <c r="P1844" s="249"/>
      <c r="Q1844" s="249"/>
      <c r="R1844" s="249"/>
      <c r="S1844" s="249"/>
      <c r="T1844" s="249"/>
      <c r="U1844" s="249"/>
      <c r="V1844" s="249"/>
      <c r="W1844" s="249"/>
      <c r="X1844" s="249"/>
      <c r="Y1844" s="249"/>
      <c r="Z1844" s="249"/>
    </row>
    <row r="1845" spans="1:26" s="152" customFormat="1" x14ac:dyDescent="0.25">
      <c r="A1845" s="249"/>
      <c r="B1845" s="249"/>
      <c r="C1845" s="249"/>
      <c r="D1845" s="249"/>
      <c r="E1845" s="249"/>
      <c r="F1845" s="249"/>
      <c r="G1845" s="249"/>
      <c r="H1845" s="249"/>
      <c r="I1845" s="258"/>
      <c r="J1845" s="249"/>
      <c r="K1845" s="249"/>
      <c r="L1845" s="249"/>
      <c r="M1845" s="259"/>
      <c r="N1845" s="249"/>
      <c r="O1845" s="249"/>
      <c r="P1845" s="249"/>
      <c r="Q1845" s="249"/>
      <c r="R1845" s="249"/>
      <c r="S1845" s="249"/>
      <c r="T1845" s="249"/>
      <c r="U1845" s="249"/>
      <c r="V1845" s="249"/>
      <c r="W1845" s="249"/>
      <c r="X1845" s="249"/>
      <c r="Y1845" s="249"/>
      <c r="Z1845" s="249"/>
    </row>
    <row r="1846" spans="1:26" s="152" customFormat="1" x14ac:dyDescent="0.25">
      <c r="A1846" s="249"/>
      <c r="B1846" s="249"/>
      <c r="C1846" s="249"/>
      <c r="D1846" s="249"/>
      <c r="E1846" s="249"/>
      <c r="F1846" s="249"/>
      <c r="G1846" s="249"/>
      <c r="H1846" s="249"/>
      <c r="I1846" s="258"/>
      <c r="J1846" s="249"/>
      <c r="K1846" s="249"/>
      <c r="L1846" s="249"/>
      <c r="M1846" s="259"/>
      <c r="N1846" s="249"/>
      <c r="O1846" s="249"/>
      <c r="P1846" s="249"/>
      <c r="Q1846" s="249"/>
      <c r="R1846" s="249"/>
      <c r="S1846" s="249"/>
      <c r="T1846" s="249"/>
      <c r="U1846" s="249"/>
      <c r="V1846" s="249"/>
      <c r="W1846" s="249"/>
      <c r="X1846" s="249"/>
      <c r="Y1846" s="249"/>
      <c r="Z1846" s="249"/>
    </row>
    <row r="1847" spans="1:26" s="152" customFormat="1" x14ac:dyDescent="0.25">
      <c r="A1847" s="249"/>
      <c r="B1847" s="249"/>
      <c r="C1847" s="249"/>
      <c r="D1847" s="249"/>
      <c r="E1847" s="249"/>
      <c r="F1847" s="249"/>
      <c r="G1847" s="249"/>
      <c r="H1847" s="249"/>
      <c r="I1847" s="258"/>
      <c r="J1847" s="249"/>
      <c r="K1847" s="249"/>
      <c r="L1847" s="249"/>
      <c r="M1847" s="259"/>
      <c r="N1847" s="249"/>
      <c r="O1847" s="249"/>
      <c r="P1847" s="249"/>
      <c r="Q1847" s="249"/>
      <c r="R1847" s="249"/>
      <c r="S1847" s="249"/>
      <c r="T1847" s="249"/>
      <c r="U1847" s="249"/>
      <c r="V1847" s="249"/>
      <c r="W1847" s="249"/>
      <c r="X1847" s="249"/>
      <c r="Y1847" s="249"/>
      <c r="Z1847" s="249"/>
    </row>
    <row r="1848" spans="1:26" s="152" customFormat="1" x14ac:dyDescent="0.25">
      <c r="A1848" s="249"/>
      <c r="B1848" s="249"/>
      <c r="C1848" s="249"/>
      <c r="D1848" s="249"/>
      <c r="E1848" s="249"/>
      <c r="F1848" s="249"/>
      <c r="G1848" s="249"/>
      <c r="H1848" s="249"/>
      <c r="I1848" s="258"/>
      <c r="J1848" s="249"/>
      <c r="K1848" s="249"/>
      <c r="L1848" s="249"/>
      <c r="M1848" s="259"/>
      <c r="N1848" s="249"/>
      <c r="O1848" s="249"/>
      <c r="P1848" s="249"/>
      <c r="Q1848" s="249"/>
      <c r="R1848" s="249"/>
      <c r="S1848" s="249"/>
      <c r="T1848" s="249"/>
      <c r="U1848" s="249"/>
      <c r="V1848" s="249"/>
      <c r="W1848" s="249"/>
      <c r="X1848" s="249"/>
      <c r="Y1848" s="249"/>
      <c r="Z1848" s="249"/>
    </row>
    <row r="1849" spans="1:26" s="152" customFormat="1" x14ac:dyDescent="0.25">
      <c r="A1849" s="249"/>
      <c r="B1849" s="249"/>
      <c r="C1849" s="249"/>
      <c r="D1849" s="249"/>
      <c r="E1849" s="249"/>
      <c r="F1849" s="249"/>
      <c r="G1849" s="249"/>
      <c r="H1849" s="249"/>
      <c r="I1849" s="258"/>
      <c r="J1849" s="249"/>
      <c r="K1849" s="249"/>
      <c r="L1849" s="249"/>
      <c r="M1849" s="259"/>
      <c r="N1849" s="249"/>
      <c r="O1849" s="249"/>
      <c r="P1849" s="249"/>
      <c r="Q1849" s="249"/>
      <c r="R1849" s="249"/>
      <c r="S1849" s="249"/>
      <c r="T1849" s="249"/>
      <c r="U1849" s="249"/>
      <c r="V1849" s="249"/>
      <c r="W1849" s="249"/>
      <c r="X1849" s="249"/>
      <c r="Y1849" s="249"/>
      <c r="Z1849" s="249"/>
    </row>
    <row r="1850" spans="1:26" s="152" customFormat="1" x14ac:dyDescent="0.25">
      <c r="A1850" s="249"/>
      <c r="B1850" s="249"/>
      <c r="C1850" s="249"/>
      <c r="D1850" s="249"/>
      <c r="E1850" s="249"/>
      <c r="F1850" s="249"/>
      <c r="G1850" s="249"/>
      <c r="H1850" s="249"/>
      <c r="I1850" s="258"/>
      <c r="J1850" s="249"/>
      <c r="K1850" s="249"/>
      <c r="L1850" s="249"/>
      <c r="M1850" s="259"/>
      <c r="N1850" s="249"/>
      <c r="O1850" s="249"/>
      <c r="P1850" s="249"/>
      <c r="Q1850" s="249"/>
      <c r="R1850" s="249"/>
      <c r="S1850" s="249"/>
      <c r="T1850" s="249"/>
      <c r="U1850" s="249"/>
      <c r="V1850" s="249"/>
      <c r="W1850" s="249"/>
      <c r="X1850" s="249"/>
      <c r="Y1850" s="249"/>
      <c r="Z1850" s="249"/>
    </row>
    <row r="1851" spans="1:26" s="152" customFormat="1" x14ac:dyDescent="0.25">
      <c r="A1851" s="249"/>
      <c r="B1851" s="249"/>
      <c r="C1851" s="249"/>
      <c r="D1851" s="249"/>
      <c r="E1851" s="249"/>
      <c r="F1851" s="249"/>
      <c r="G1851" s="249"/>
      <c r="H1851" s="249"/>
      <c r="I1851" s="258"/>
      <c r="J1851" s="249"/>
      <c r="K1851" s="249"/>
      <c r="L1851" s="249"/>
      <c r="M1851" s="259"/>
      <c r="N1851" s="249"/>
      <c r="O1851" s="249"/>
      <c r="P1851" s="249"/>
      <c r="Q1851" s="249"/>
      <c r="R1851" s="249"/>
      <c r="S1851" s="249"/>
      <c r="T1851" s="249"/>
      <c r="U1851" s="249"/>
      <c r="V1851" s="249"/>
      <c r="W1851" s="249"/>
      <c r="X1851" s="249"/>
      <c r="Y1851" s="249"/>
      <c r="Z1851" s="249"/>
    </row>
    <row r="1852" spans="1:26" s="152" customFormat="1" x14ac:dyDescent="0.25">
      <c r="A1852" s="249"/>
      <c r="B1852" s="249"/>
      <c r="C1852" s="249"/>
      <c r="D1852" s="249"/>
      <c r="E1852" s="249"/>
      <c r="F1852" s="249"/>
      <c r="G1852" s="249"/>
      <c r="H1852" s="249"/>
      <c r="I1852" s="258"/>
      <c r="J1852" s="249"/>
      <c r="K1852" s="249"/>
      <c r="L1852" s="249"/>
      <c r="M1852" s="259"/>
      <c r="N1852" s="249"/>
      <c r="O1852" s="249"/>
      <c r="P1852" s="249"/>
      <c r="Q1852" s="249"/>
      <c r="R1852" s="249"/>
      <c r="S1852" s="249"/>
      <c r="T1852" s="249"/>
      <c r="U1852" s="249"/>
      <c r="V1852" s="249"/>
      <c r="W1852" s="249"/>
      <c r="X1852" s="249"/>
      <c r="Y1852" s="249"/>
      <c r="Z1852" s="249"/>
    </row>
    <row r="1853" spans="1:26" s="152" customFormat="1" x14ac:dyDescent="0.25">
      <c r="A1853" s="249"/>
      <c r="B1853" s="249"/>
      <c r="C1853" s="249"/>
      <c r="D1853" s="249"/>
      <c r="E1853" s="249"/>
      <c r="F1853" s="249"/>
      <c r="G1853" s="249"/>
      <c r="H1853" s="249"/>
      <c r="I1853" s="258"/>
      <c r="J1853" s="249"/>
      <c r="K1853" s="249"/>
      <c r="L1853" s="249"/>
      <c r="M1853" s="259"/>
      <c r="N1853" s="249"/>
      <c r="O1853" s="249"/>
      <c r="P1853" s="249"/>
      <c r="Q1853" s="249"/>
      <c r="R1853" s="249"/>
      <c r="S1853" s="249"/>
      <c r="T1853" s="249"/>
      <c r="U1853" s="249"/>
      <c r="V1853" s="249"/>
      <c r="W1853" s="249"/>
      <c r="X1853" s="249"/>
      <c r="Y1853" s="249"/>
      <c r="Z1853" s="249"/>
    </row>
    <row r="1854" spans="1:26" s="152" customFormat="1" x14ac:dyDescent="0.25">
      <c r="A1854" s="249"/>
      <c r="B1854" s="249"/>
      <c r="C1854" s="249"/>
      <c r="D1854" s="249"/>
      <c r="E1854" s="249"/>
      <c r="F1854" s="249"/>
      <c r="G1854" s="249"/>
      <c r="H1854" s="249"/>
      <c r="I1854" s="258"/>
      <c r="J1854" s="249"/>
      <c r="K1854" s="249"/>
      <c r="L1854" s="249"/>
      <c r="M1854" s="259"/>
      <c r="N1854" s="249"/>
      <c r="O1854" s="249"/>
      <c r="P1854" s="249"/>
      <c r="Q1854" s="249"/>
      <c r="R1854" s="249"/>
      <c r="S1854" s="249"/>
      <c r="T1854" s="249"/>
      <c r="U1854" s="249"/>
      <c r="V1854" s="249"/>
      <c r="W1854" s="249"/>
      <c r="X1854" s="249"/>
      <c r="Y1854" s="249"/>
      <c r="Z1854" s="249"/>
    </row>
    <row r="1855" spans="1:26" s="152" customFormat="1" x14ac:dyDescent="0.25">
      <c r="A1855" s="249"/>
      <c r="B1855" s="249"/>
      <c r="C1855" s="249"/>
      <c r="D1855" s="249"/>
      <c r="E1855" s="249"/>
      <c r="F1855" s="249"/>
      <c r="G1855" s="249"/>
      <c r="H1855" s="249"/>
      <c r="I1855" s="258"/>
      <c r="J1855" s="249"/>
      <c r="K1855" s="249"/>
      <c r="L1855" s="249"/>
      <c r="M1855" s="259"/>
      <c r="N1855" s="249"/>
      <c r="O1855" s="249"/>
      <c r="P1855" s="249"/>
      <c r="Q1855" s="249"/>
      <c r="R1855" s="249"/>
      <c r="S1855" s="249"/>
      <c r="T1855" s="249"/>
      <c r="U1855" s="249"/>
      <c r="V1855" s="249"/>
      <c r="W1855" s="249"/>
      <c r="X1855" s="249"/>
      <c r="Y1855" s="249"/>
      <c r="Z1855" s="249"/>
    </row>
    <row r="1856" spans="1:26" s="152" customFormat="1" x14ac:dyDescent="0.25">
      <c r="A1856" s="249"/>
      <c r="B1856" s="249"/>
      <c r="C1856" s="249"/>
      <c r="D1856" s="249"/>
      <c r="E1856" s="249"/>
      <c r="F1856" s="249"/>
      <c r="G1856" s="249"/>
      <c r="H1856" s="249"/>
      <c r="I1856" s="258"/>
      <c r="J1856" s="249"/>
      <c r="K1856" s="249"/>
      <c r="L1856" s="249"/>
      <c r="M1856" s="259"/>
      <c r="N1856" s="249"/>
      <c r="O1856" s="249"/>
      <c r="P1856" s="249"/>
      <c r="Q1856" s="249"/>
      <c r="R1856" s="249"/>
      <c r="S1856" s="249"/>
      <c r="T1856" s="249"/>
      <c r="U1856" s="249"/>
      <c r="V1856" s="249"/>
      <c r="W1856" s="249"/>
      <c r="X1856" s="249"/>
      <c r="Y1856" s="249"/>
      <c r="Z1856" s="249"/>
    </row>
    <row r="1857" spans="1:26" s="152" customFormat="1" x14ac:dyDescent="0.25">
      <c r="A1857" s="249"/>
      <c r="B1857" s="249"/>
      <c r="C1857" s="249"/>
      <c r="D1857" s="249"/>
      <c r="E1857" s="249"/>
      <c r="F1857" s="249"/>
      <c r="G1857" s="249"/>
      <c r="H1857" s="249"/>
      <c r="I1857" s="258"/>
      <c r="J1857" s="249"/>
      <c r="K1857" s="249"/>
      <c r="L1857" s="249"/>
      <c r="M1857" s="259"/>
      <c r="N1857" s="249"/>
      <c r="O1857" s="249"/>
      <c r="P1857" s="249"/>
      <c r="Q1857" s="249"/>
      <c r="R1857" s="249"/>
      <c r="S1857" s="249"/>
      <c r="T1857" s="249"/>
      <c r="U1857" s="249"/>
      <c r="V1857" s="249"/>
      <c r="W1857" s="249"/>
      <c r="X1857" s="249"/>
      <c r="Y1857" s="249"/>
      <c r="Z1857" s="249"/>
    </row>
    <row r="1858" spans="1:26" s="152" customFormat="1" x14ac:dyDescent="0.25">
      <c r="A1858" s="249"/>
      <c r="B1858" s="249"/>
      <c r="C1858" s="249"/>
      <c r="D1858" s="249"/>
      <c r="E1858" s="249"/>
      <c r="F1858" s="249"/>
      <c r="G1858" s="249"/>
      <c r="H1858" s="249"/>
      <c r="I1858" s="258"/>
      <c r="J1858" s="249"/>
      <c r="K1858" s="249"/>
      <c r="L1858" s="249"/>
      <c r="M1858" s="259"/>
      <c r="N1858" s="249"/>
      <c r="O1858" s="249"/>
      <c r="P1858" s="249"/>
      <c r="Q1858" s="249"/>
      <c r="R1858" s="249"/>
      <c r="S1858" s="249"/>
      <c r="T1858" s="249"/>
      <c r="U1858" s="249"/>
      <c r="V1858" s="249"/>
      <c r="W1858" s="249"/>
      <c r="X1858" s="249"/>
      <c r="Y1858" s="249"/>
      <c r="Z1858" s="249"/>
    </row>
    <row r="1859" spans="1:26" s="152" customFormat="1" x14ac:dyDescent="0.25">
      <c r="A1859" s="249"/>
      <c r="B1859" s="249"/>
      <c r="C1859" s="249"/>
      <c r="D1859" s="249"/>
      <c r="E1859" s="249"/>
      <c r="F1859" s="249"/>
      <c r="G1859" s="249"/>
      <c r="H1859" s="249"/>
      <c r="I1859" s="258"/>
      <c r="J1859" s="249"/>
      <c r="K1859" s="249"/>
      <c r="L1859" s="249"/>
      <c r="M1859" s="259"/>
      <c r="N1859" s="249"/>
      <c r="O1859" s="249"/>
      <c r="P1859" s="249"/>
      <c r="Q1859" s="249"/>
      <c r="R1859" s="249"/>
      <c r="S1859" s="249"/>
      <c r="T1859" s="249"/>
      <c r="U1859" s="249"/>
      <c r="V1859" s="249"/>
      <c r="W1859" s="249"/>
      <c r="X1859" s="249"/>
      <c r="Y1859" s="249"/>
      <c r="Z1859" s="249"/>
    </row>
    <row r="1860" spans="1:26" s="152" customFormat="1" x14ac:dyDescent="0.25">
      <c r="A1860" s="249"/>
      <c r="B1860" s="249"/>
      <c r="C1860" s="249"/>
      <c r="D1860" s="249"/>
      <c r="E1860" s="249"/>
      <c r="F1860" s="249"/>
      <c r="G1860" s="249"/>
      <c r="H1860" s="249"/>
      <c r="I1860" s="258"/>
      <c r="J1860" s="249"/>
      <c r="K1860" s="249"/>
      <c r="L1860" s="249"/>
      <c r="M1860" s="259"/>
      <c r="N1860" s="249"/>
      <c r="O1860" s="249"/>
      <c r="P1860" s="249"/>
      <c r="Q1860" s="249"/>
      <c r="R1860" s="249"/>
      <c r="S1860" s="249"/>
      <c r="T1860" s="249"/>
      <c r="U1860" s="249"/>
      <c r="V1860" s="249"/>
      <c r="W1860" s="249"/>
      <c r="X1860" s="249"/>
      <c r="Y1860" s="249"/>
      <c r="Z1860" s="249"/>
    </row>
    <row r="1861" spans="1:26" s="152" customFormat="1" x14ac:dyDescent="0.25">
      <c r="A1861" s="249"/>
      <c r="B1861" s="249"/>
      <c r="C1861" s="249"/>
      <c r="D1861" s="249"/>
      <c r="E1861" s="249"/>
      <c r="F1861" s="249"/>
      <c r="G1861" s="249"/>
      <c r="H1861" s="249"/>
      <c r="I1861" s="258"/>
      <c r="J1861" s="249"/>
      <c r="K1861" s="249"/>
      <c r="L1861" s="249"/>
      <c r="M1861" s="259"/>
      <c r="N1861" s="249"/>
      <c r="O1861" s="249"/>
      <c r="P1861" s="249"/>
      <c r="Q1861" s="249"/>
      <c r="R1861" s="249"/>
      <c r="S1861" s="249"/>
      <c r="T1861" s="249"/>
      <c r="U1861" s="249"/>
      <c r="V1861" s="249"/>
      <c r="W1861" s="249"/>
      <c r="X1861" s="249"/>
      <c r="Y1861" s="249"/>
      <c r="Z1861" s="249"/>
    </row>
    <row r="1862" spans="1:26" s="152" customFormat="1" x14ac:dyDescent="0.25">
      <c r="A1862" s="249"/>
      <c r="B1862" s="249"/>
      <c r="C1862" s="249"/>
      <c r="D1862" s="249"/>
      <c r="E1862" s="249"/>
      <c r="F1862" s="249"/>
      <c r="G1862" s="249"/>
      <c r="H1862" s="249"/>
      <c r="I1862" s="258"/>
      <c r="J1862" s="249"/>
      <c r="K1862" s="249"/>
      <c r="L1862" s="249"/>
      <c r="M1862" s="259"/>
      <c r="N1862" s="249"/>
      <c r="O1862" s="249"/>
      <c r="P1862" s="249"/>
      <c r="Q1862" s="249"/>
      <c r="R1862" s="249"/>
      <c r="S1862" s="249"/>
      <c r="T1862" s="249"/>
      <c r="U1862" s="249"/>
      <c r="V1862" s="249"/>
      <c r="W1862" s="249"/>
      <c r="X1862" s="249"/>
      <c r="Y1862" s="249"/>
      <c r="Z1862" s="249"/>
    </row>
    <row r="1863" spans="1:26" s="152" customFormat="1" x14ac:dyDescent="0.25">
      <c r="A1863" s="249"/>
      <c r="B1863" s="249"/>
      <c r="C1863" s="249"/>
      <c r="D1863" s="249"/>
      <c r="E1863" s="249"/>
      <c r="F1863" s="249"/>
      <c r="G1863" s="249"/>
      <c r="H1863" s="249"/>
      <c r="I1863" s="258"/>
      <c r="J1863" s="249"/>
      <c r="K1863" s="249"/>
      <c r="L1863" s="249"/>
      <c r="M1863" s="259"/>
      <c r="N1863" s="249"/>
      <c r="O1863" s="249"/>
      <c r="P1863" s="249"/>
      <c r="Q1863" s="249"/>
      <c r="R1863" s="249"/>
      <c r="S1863" s="249"/>
      <c r="T1863" s="249"/>
      <c r="U1863" s="249"/>
      <c r="V1863" s="249"/>
      <c r="W1863" s="249"/>
      <c r="X1863" s="249"/>
      <c r="Y1863" s="249"/>
      <c r="Z1863" s="249"/>
    </row>
    <row r="1864" spans="1:26" s="152" customFormat="1" x14ac:dyDescent="0.25">
      <c r="A1864" s="249"/>
      <c r="B1864" s="249"/>
      <c r="C1864" s="249"/>
      <c r="D1864" s="249"/>
      <c r="E1864" s="249"/>
      <c r="F1864" s="249"/>
      <c r="G1864" s="249"/>
      <c r="H1864" s="249"/>
      <c r="I1864" s="258"/>
      <c r="J1864" s="249"/>
      <c r="K1864" s="249"/>
      <c r="L1864" s="249"/>
      <c r="M1864" s="259"/>
      <c r="N1864" s="249"/>
      <c r="O1864" s="249"/>
      <c r="P1864" s="249"/>
      <c r="Q1864" s="249"/>
      <c r="R1864" s="249"/>
      <c r="S1864" s="249"/>
      <c r="T1864" s="249"/>
      <c r="U1864" s="249"/>
      <c r="V1864" s="249"/>
      <c r="W1864" s="249"/>
      <c r="X1864" s="249"/>
      <c r="Y1864" s="249"/>
      <c r="Z1864" s="249"/>
    </row>
    <row r="1865" spans="1:26" s="152" customFormat="1" x14ac:dyDescent="0.25">
      <c r="A1865" s="249"/>
      <c r="B1865" s="249"/>
      <c r="C1865" s="249"/>
      <c r="D1865" s="249"/>
      <c r="E1865" s="249"/>
      <c r="F1865" s="249"/>
      <c r="G1865" s="249"/>
      <c r="H1865" s="249"/>
      <c r="I1865" s="258"/>
      <c r="J1865" s="249"/>
      <c r="K1865" s="249"/>
      <c r="L1865" s="249"/>
      <c r="M1865" s="259"/>
      <c r="N1865" s="249"/>
      <c r="O1865" s="249"/>
      <c r="P1865" s="249"/>
      <c r="Q1865" s="249"/>
      <c r="R1865" s="249"/>
      <c r="S1865" s="249"/>
      <c r="T1865" s="249"/>
      <c r="U1865" s="249"/>
      <c r="V1865" s="249"/>
      <c r="W1865" s="249"/>
      <c r="X1865" s="249"/>
      <c r="Y1865" s="249"/>
      <c r="Z1865" s="249"/>
    </row>
    <row r="1866" spans="1:26" s="152" customFormat="1" x14ac:dyDescent="0.25">
      <c r="A1866" s="249"/>
      <c r="B1866" s="249"/>
      <c r="C1866" s="249"/>
      <c r="D1866" s="249"/>
      <c r="E1866" s="249"/>
      <c r="F1866" s="249"/>
      <c r="G1866" s="249"/>
      <c r="H1866" s="249"/>
      <c r="I1866" s="258"/>
      <c r="J1866" s="249"/>
      <c r="K1866" s="249"/>
      <c r="L1866" s="249"/>
      <c r="M1866" s="259"/>
      <c r="N1866" s="249"/>
      <c r="O1866" s="249"/>
      <c r="P1866" s="249"/>
      <c r="Q1866" s="249"/>
      <c r="R1866" s="249"/>
      <c r="S1866" s="249"/>
      <c r="T1866" s="249"/>
      <c r="U1866" s="249"/>
      <c r="V1866" s="249"/>
      <c r="W1866" s="249"/>
      <c r="X1866" s="249"/>
      <c r="Y1866" s="249"/>
      <c r="Z1866" s="249"/>
    </row>
    <row r="1867" spans="1:26" s="152" customFormat="1" x14ac:dyDescent="0.25">
      <c r="A1867" s="249"/>
      <c r="B1867" s="249"/>
      <c r="C1867" s="249"/>
      <c r="D1867" s="249"/>
      <c r="E1867" s="249"/>
      <c r="F1867" s="249"/>
      <c r="G1867" s="249"/>
      <c r="H1867" s="249"/>
      <c r="I1867" s="258"/>
      <c r="J1867" s="249"/>
      <c r="K1867" s="249"/>
      <c r="L1867" s="249"/>
      <c r="M1867" s="259"/>
      <c r="N1867" s="249"/>
      <c r="O1867" s="249"/>
      <c r="P1867" s="249"/>
      <c r="Q1867" s="249"/>
      <c r="R1867" s="249"/>
      <c r="S1867" s="249"/>
      <c r="T1867" s="249"/>
      <c r="U1867" s="249"/>
      <c r="V1867" s="249"/>
      <c r="W1867" s="249"/>
      <c r="X1867" s="249"/>
      <c r="Y1867" s="249"/>
      <c r="Z1867" s="249"/>
    </row>
    <row r="1868" spans="1:26" s="152" customFormat="1" x14ac:dyDescent="0.25">
      <c r="A1868" s="249"/>
      <c r="B1868" s="249"/>
      <c r="C1868" s="249"/>
      <c r="D1868" s="249"/>
      <c r="E1868" s="249"/>
      <c r="F1868" s="249"/>
      <c r="G1868" s="249"/>
      <c r="H1868" s="249"/>
      <c r="I1868" s="258"/>
      <c r="J1868" s="249"/>
      <c r="K1868" s="249"/>
      <c r="L1868" s="249"/>
      <c r="M1868" s="259"/>
      <c r="N1868" s="249"/>
      <c r="O1868" s="249"/>
      <c r="P1868" s="249"/>
      <c r="Q1868" s="249"/>
      <c r="R1868" s="249"/>
      <c r="S1868" s="249"/>
      <c r="T1868" s="249"/>
      <c r="U1868" s="249"/>
      <c r="V1868" s="249"/>
      <c r="W1868" s="249"/>
      <c r="X1868" s="249"/>
      <c r="Y1868" s="249"/>
      <c r="Z1868" s="249"/>
    </row>
    <row r="1869" spans="1:26" s="152" customFormat="1" x14ac:dyDescent="0.25">
      <c r="A1869" s="249"/>
      <c r="B1869" s="249"/>
      <c r="C1869" s="249"/>
      <c r="D1869" s="249"/>
      <c r="E1869" s="249"/>
      <c r="F1869" s="249"/>
      <c r="G1869" s="249"/>
      <c r="H1869" s="249"/>
      <c r="I1869" s="258"/>
      <c r="J1869" s="249"/>
      <c r="K1869" s="249"/>
      <c r="L1869" s="249"/>
      <c r="M1869" s="259"/>
      <c r="N1869" s="249"/>
      <c r="O1869" s="249"/>
      <c r="P1869" s="249"/>
      <c r="Q1869" s="249"/>
      <c r="R1869" s="249"/>
      <c r="S1869" s="249"/>
      <c r="T1869" s="249"/>
      <c r="U1869" s="249"/>
      <c r="V1869" s="249"/>
      <c r="W1869" s="249"/>
      <c r="X1869" s="249"/>
      <c r="Y1869" s="249"/>
      <c r="Z1869" s="249"/>
    </row>
    <row r="1870" spans="1:26" s="152" customFormat="1" x14ac:dyDescent="0.25">
      <c r="A1870" s="249"/>
      <c r="B1870" s="249"/>
      <c r="C1870" s="249"/>
      <c r="D1870" s="249"/>
      <c r="E1870" s="249"/>
      <c r="F1870" s="249"/>
      <c r="G1870" s="249"/>
      <c r="H1870" s="249"/>
      <c r="I1870" s="258"/>
      <c r="J1870" s="249"/>
      <c r="K1870" s="249"/>
      <c r="L1870" s="249"/>
      <c r="M1870" s="259"/>
      <c r="N1870" s="249"/>
      <c r="O1870" s="249"/>
      <c r="P1870" s="249"/>
      <c r="Q1870" s="249"/>
      <c r="R1870" s="249"/>
      <c r="S1870" s="249"/>
      <c r="T1870" s="249"/>
      <c r="U1870" s="249"/>
      <c r="V1870" s="249"/>
      <c r="W1870" s="249"/>
      <c r="X1870" s="249"/>
      <c r="Y1870" s="249"/>
      <c r="Z1870" s="249"/>
    </row>
    <row r="1871" spans="1:26" s="152" customFormat="1" x14ac:dyDescent="0.25">
      <c r="A1871" s="249"/>
      <c r="B1871" s="249"/>
      <c r="C1871" s="249"/>
      <c r="D1871" s="249"/>
      <c r="E1871" s="249"/>
      <c r="F1871" s="249"/>
      <c r="G1871" s="249"/>
      <c r="H1871" s="249"/>
      <c r="I1871" s="258"/>
      <c r="J1871" s="249"/>
      <c r="K1871" s="249"/>
      <c r="L1871" s="249"/>
      <c r="M1871" s="259"/>
      <c r="N1871" s="249"/>
      <c r="O1871" s="249"/>
      <c r="P1871" s="249"/>
      <c r="Q1871" s="249"/>
      <c r="R1871" s="249"/>
      <c r="S1871" s="249"/>
      <c r="T1871" s="249"/>
      <c r="U1871" s="249"/>
      <c r="V1871" s="249"/>
      <c r="W1871" s="249"/>
      <c r="X1871" s="249"/>
      <c r="Y1871" s="249"/>
      <c r="Z1871" s="249"/>
    </row>
    <row r="1872" spans="1:26" s="152" customFormat="1" x14ac:dyDescent="0.25">
      <c r="A1872" s="249"/>
      <c r="B1872" s="249"/>
      <c r="C1872" s="249"/>
      <c r="D1872" s="249"/>
      <c r="E1872" s="249"/>
      <c r="F1872" s="249"/>
      <c r="G1872" s="249"/>
      <c r="H1872" s="249"/>
      <c r="I1872" s="258"/>
      <c r="J1872" s="249"/>
      <c r="K1872" s="249"/>
      <c r="L1872" s="249"/>
      <c r="M1872" s="259"/>
      <c r="N1872" s="249"/>
      <c r="O1872" s="249"/>
      <c r="P1872" s="249"/>
      <c r="Q1872" s="249"/>
      <c r="R1872" s="249"/>
      <c r="S1872" s="249"/>
      <c r="T1872" s="249"/>
      <c r="U1872" s="249"/>
      <c r="V1872" s="249"/>
      <c r="W1872" s="249"/>
      <c r="X1872" s="249"/>
      <c r="Y1872" s="249"/>
      <c r="Z1872" s="249"/>
    </row>
    <row r="1873" spans="1:26" s="152" customFormat="1" x14ac:dyDescent="0.25">
      <c r="A1873" s="249"/>
      <c r="B1873" s="249"/>
      <c r="C1873" s="249"/>
      <c r="D1873" s="249"/>
      <c r="E1873" s="249"/>
      <c r="F1873" s="249"/>
      <c r="G1873" s="249"/>
      <c r="H1873" s="249"/>
      <c r="I1873" s="258"/>
      <c r="J1873" s="249"/>
      <c r="K1873" s="249"/>
      <c r="L1873" s="249"/>
      <c r="M1873" s="259"/>
      <c r="N1873" s="249"/>
      <c r="O1873" s="249"/>
      <c r="P1873" s="249"/>
      <c r="Q1873" s="249"/>
      <c r="R1873" s="249"/>
      <c r="S1873" s="249"/>
      <c r="T1873" s="249"/>
      <c r="U1873" s="249"/>
      <c r="V1873" s="249"/>
      <c r="W1873" s="249"/>
      <c r="X1873" s="249"/>
      <c r="Y1873" s="249"/>
      <c r="Z1873" s="249"/>
    </row>
    <row r="1874" spans="1:26" s="152" customFormat="1" x14ac:dyDescent="0.25">
      <c r="A1874" s="249"/>
      <c r="B1874" s="249"/>
      <c r="C1874" s="249"/>
      <c r="D1874" s="249"/>
      <c r="E1874" s="249"/>
      <c r="F1874" s="249"/>
      <c r="G1874" s="249"/>
      <c r="H1874" s="249"/>
      <c r="I1874" s="258"/>
      <c r="J1874" s="249"/>
      <c r="K1874" s="249"/>
      <c r="L1874" s="249"/>
      <c r="M1874" s="259"/>
      <c r="N1874" s="249"/>
      <c r="O1874" s="249"/>
      <c r="P1874" s="249"/>
      <c r="Q1874" s="249"/>
      <c r="R1874" s="249"/>
      <c r="S1874" s="249"/>
      <c r="T1874" s="249"/>
      <c r="U1874" s="249"/>
      <c r="V1874" s="249"/>
      <c r="W1874" s="249"/>
      <c r="X1874" s="249"/>
      <c r="Y1874" s="249"/>
      <c r="Z1874" s="249"/>
    </row>
    <row r="1875" spans="1:26" s="152" customFormat="1" x14ac:dyDescent="0.25">
      <c r="A1875" s="249"/>
      <c r="B1875" s="249"/>
      <c r="C1875" s="249"/>
      <c r="D1875" s="249"/>
      <c r="E1875" s="249"/>
      <c r="F1875" s="249"/>
      <c r="G1875" s="249"/>
      <c r="H1875" s="249"/>
      <c r="I1875" s="258"/>
      <c r="J1875" s="249"/>
      <c r="K1875" s="249"/>
      <c r="L1875" s="249"/>
      <c r="M1875" s="259"/>
      <c r="N1875" s="249"/>
      <c r="O1875" s="249"/>
      <c r="P1875" s="249"/>
      <c r="Q1875" s="249"/>
      <c r="R1875" s="249"/>
      <c r="S1875" s="249"/>
      <c r="T1875" s="249"/>
      <c r="U1875" s="249"/>
      <c r="V1875" s="249"/>
      <c r="W1875" s="249"/>
      <c r="X1875" s="249"/>
      <c r="Y1875" s="249"/>
      <c r="Z1875" s="249"/>
    </row>
    <row r="1876" spans="1:26" s="152" customFormat="1" x14ac:dyDescent="0.25">
      <c r="A1876" s="249"/>
      <c r="B1876" s="249"/>
      <c r="C1876" s="249"/>
      <c r="D1876" s="249"/>
      <c r="E1876" s="249"/>
      <c r="F1876" s="249"/>
      <c r="G1876" s="249"/>
      <c r="H1876" s="249"/>
      <c r="I1876" s="258"/>
      <c r="J1876" s="249"/>
      <c r="K1876" s="249"/>
      <c r="L1876" s="249"/>
      <c r="M1876" s="259"/>
      <c r="N1876" s="249"/>
      <c r="O1876" s="249"/>
      <c r="P1876" s="249"/>
      <c r="Q1876" s="249"/>
      <c r="R1876" s="249"/>
      <c r="S1876" s="249"/>
      <c r="T1876" s="249"/>
      <c r="U1876" s="249"/>
      <c r="V1876" s="249"/>
      <c r="W1876" s="249"/>
      <c r="X1876" s="249"/>
      <c r="Y1876" s="249"/>
      <c r="Z1876" s="249"/>
    </row>
    <row r="1877" spans="1:26" s="152" customFormat="1" x14ac:dyDescent="0.25">
      <c r="A1877" s="249"/>
      <c r="B1877" s="249"/>
      <c r="C1877" s="249"/>
      <c r="D1877" s="249"/>
      <c r="E1877" s="249"/>
      <c r="F1877" s="249"/>
      <c r="G1877" s="249"/>
      <c r="H1877" s="249"/>
      <c r="I1877" s="258"/>
      <c r="J1877" s="249"/>
      <c r="K1877" s="249"/>
      <c r="L1877" s="249"/>
      <c r="M1877" s="259"/>
      <c r="N1877" s="249"/>
      <c r="O1877" s="249"/>
      <c r="P1877" s="249"/>
      <c r="Q1877" s="249"/>
      <c r="R1877" s="249"/>
      <c r="S1877" s="249"/>
      <c r="T1877" s="249"/>
      <c r="U1877" s="249"/>
      <c r="V1877" s="249"/>
      <c r="W1877" s="249"/>
      <c r="X1877" s="249"/>
      <c r="Y1877" s="249"/>
      <c r="Z1877" s="249"/>
    </row>
    <row r="1878" spans="1:26" s="152" customFormat="1" x14ac:dyDescent="0.25">
      <c r="A1878" s="249"/>
      <c r="B1878" s="249"/>
      <c r="C1878" s="249"/>
      <c r="D1878" s="249"/>
      <c r="E1878" s="249"/>
      <c r="F1878" s="249"/>
      <c r="G1878" s="249"/>
      <c r="H1878" s="249"/>
      <c r="I1878" s="258"/>
      <c r="J1878" s="249"/>
      <c r="K1878" s="249"/>
      <c r="L1878" s="249"/>
      <c r="M1878" s="259"/>
      <c r="N1878" s="249"/>
      <c r="O1878" s="249"/>
      <c r="P1878" s="249"/>
      <c r="Q1878" s="249"/>
      <c r="R1878" s="249"/>
      <c r="S1878" s="249"/>
      <c r="T1878" s="249"/>
      <c r="U1878" s="249"/>
      <c r="V1878" s="249"/>
      <c r="W1878" s="249"/>
      <c r="X1878" s="249"/>
      <c r="Y1878" s="249"/>
      <c r="Z1878" s="249"/>
    </row>
    <row r="1879" spans="1:26" s="152" customFormat="1" x14ac:dyDescent="0.25">
      <c r="A1879" s="249"/>
      <c r="B1879" s="249"/>
      <c r="C1879" s="249"/>
      <c r="D1879" s="249"/>
      <c r="E1879" s="249"/>
      <c r="F1879" s="249"/>
      <c r="G1879" s="249"/>
      <c r="H1879" s="249"/>
      <c r="I1879" s="258"/>
      <c r="J1879" s="249"/>
      <c r="K1879" s="249"/>
      <c r="L1879" s="249"/>
      <c r="M1879" s="259"/>
      <c r="N1879" s="249"/>
      <c r="O1879" s="249"/>
      <c r="P1879" s="249"/>
      <c r="Q1879" s="249"/>
      <c r="R1879" s="249"/>
      <c r="S1879" s="249"/>
      <c r="T1879" s="249"/>
      <c r="U1879" s="249"/>
      <c r="V1879" s="249"/>
      <c r="W1879" s="249"/>
      <c r="X1879" s="249"/>
      <c r="Y1879" s="249"/>
      <c r="Z1879" s="249"/>
    </row>
    <row r="1880" spans="1:26" s="152" customFormat="1" x14ac:dyDescent="0.25">
      <c r="A1880" s="249"/>
      <c r="B1880" s="249"/>
      <c r="C1880" s="249"/>
      <c r="D1880" s="249"/>
      <c r="E1880" s="249"/>
      <c r="F1880" s="249"/>
      <c r="G1880" s="249"/>
      <c r="H1880" s="249"/>
      <c r="I1880" s="258"/>
      <c r="J1880" s="249"/>
      <c r="K1880" s="249"/>
      <c r="L1880" s="249"/>
      <c r="M1880" s="259"/>
      <c r="N1880" s="249"/>
      <c r="O1880" s="249"/>
      <c r="P1880" s="249"/>
      <c r="Q1880" s="249"/>
      <c r="R1880" s="249"/>
      <c r="S1880" s="249"/>
      <c r="T1880" s="249"/>
      <c r="U1880" s="249"/>
      <c r="V1880" s="249"/>
      <c r="W1880" s="249"/>
      <c r="X1880" s="249"/>
      <c r="Y1880" s="249"/>
      <c r="Z1880" s="249"/>
    </row>
    <row r="1881" spans="1:26" s="152" customFormat="1" x14ac:dyDescent="0.25">
      <c r="A1881" s="249"/>
      <c r="B1881" s="249"/>
      <c r="C1881" s="249"/>
      <c r="D1881" s="249"/>
      <c r="E1881" s="249"/>
      <c r="F1881" s="249"/>
      <c r="G1881" s="249"/>
      <c r="H1881" s="249"/>
      <c r="I1881" s="258"/>
      <c r="J1881" s="249"/>
      <c r="K1881" s="249"/>
      <c r="L1881" s="249"/>
      <c r="M1881" s="259"/>
      <c r="N1881" s="249"/>
      <c r="O1881" s="249"/>
      <c r="P1881" s="249"/>
      <c r="Q1881" s="249"/>
      <c r="R1881" s="249"/>
      <c r="S1881" s="249"/>
      <c r="T1881" s="249"/>
      <c r="U1881" s="249"/>
      <c r="V1881" s="249"/>
      <c r="W1881" s="249"/>
      <c r="X1881" s="249"/>
      <c r="Y1881" s="249"/>
      <c r="Z1881" s="249"/>
    </row>
    <row r="1882" spans="1:26" s="152" customFormat="1" x14ac:dyDescent="0.25">
      <c r="A1882" s="249"/>
      <c r="B1882" s="249"/>
      <c r="C1882" s="249"/>
      <c r="D1882" s="249"/>
      <c r="E1882" s="249"/>
      <c r="F1882" s="249"/>
      <c r="G1882" s="249"/>
      <c r="H1882" s="249"/>
      <c r="I1882" s="258"/>
      <c r="J1882" s="249"/>
      <c r="K1882" s="249"/>
      <c r="L1882" s="249"/>
      <c r="M1882" s="259"/>
      <c r="N1882" s="249"/>
      <c r="O1882" s="249"/>
      <c r="P1882" s="249"/>
      <c r="Q1882" s="249"/>
      <c r="R1882" s="249"/>
      <c r="S1882" s="249"/>
      <c r="T1882" s="249"/>
      <c r="U1882" s="249"/>
      <c r="V1882" s="249"/>
      <c r="W1882" s="249"/>
      <c r="X1882" s="249"/>
      <c r="Y1882" s="249"/>
      <c r="Z1882" s="249"/>
    </row>
    <row r="1883" spans="1:26" s="152" customFormat="1" x14ac:dyDescent="0.25">
      <c r="A1883" s="249"/>
      <c r="B1883" s="249"/>
      <c r="C1883" s="249"/>
      <c r="D1883" s="249"/>
      <c r="E1883" s="249"/>
      <c r="F1883" s="249"/>
      <c r="G1883" s="249"/>
      <c r="H1883" s="249"/>
      <c r="I1883" s="258"/>
      <c r="J1883" s="249"/>
      <c r="K1883" s="249"/>
      <c r="L1883" s="249"/>
      <c r="M1883" s="259"/>
      <c r="N1883" s="249"/>
      <c r="O1883" s="249"/>
      <c r="P1883" s="249"/>
      <c r="Q1883" s="249"/>
      <c r="R1883" s="249"/>
      <c r="S1883" s="249"/>
      <c r="T1883" s="249"/>
      <c r="U1883" s="249"/>
      <c r="V1883" s="249"/>
      <c r="W1883" s="249"/>
      <c r="X1883" s="249"/>
      <c r="Y1883" s="249"/>
      <c r="Z1883" s="249"/>
    </row>
    <row r="1884" spans="1:26" s="152" customFormat="1" x14ac:dyDescent="0.25">
      <c r="A1884" s="249"/>
      <c r="B1884" s="249"/>
      <c r="C1884" s="249"/>
      <c r="D1884" s="249"/>
      <c r="E1884" s="249"/>
      <c r="F1884" s="249"/>
      <c r="G1884" s="249"/>
      <c r="H1884" s="249"/>
      <c r="I1884" s="258"/>
      <c r="J1884" s="249"/>
      <c r="K1884" s="249"/>
      <c r="L1884" s="249"/>
      <c r="M1884" s="259"/>
      <c r="N1884" s="249"/>
      <c r="O1884" s="249"/>
      <c r="P1884" s="249"/>
      <c r="Q1884" s="249"/>
      <c r="R1884" s="249"/>
      <c r="S1884" s="249"/>
      <c r="T1884" s="249"/>
      <c r="U1884" s="249"/>
      <c r="V1884" s="249"/>
      <c r="W1884" s="249"/>
      <c r="X1884" s="249"/>
      <c r="Y1884" s="249"/>
      <c r="Z1884" s="249"/>
    </row>
    <row r="1885" spans="1:26" s="152" customFormat="1" x14ac:dyDescent="0.25">
      <c r="A1885" s="249"/>
      <c r="B1885" s="249"/>
      <c r="C1885" s="249"/>
      <c r="D1885" s="249"/>
      <c r="E1885" s="249"/>
      <c r="F1885" s="249"/>
      <c r="G1885" s="249"/>
      <c r="H1885" s="249"/>
      <c r="I1885" s="258"/>
      <c r="J1885" s="249"/>
      <c r="K1885" s="249"/>
      <c r="L1885" s="249"/>
      <c r="M1885" s="259"/>
      <c r="N1885" s="249"/>
      <c r="O1885" s="249"/>
      <c r="P1885" s="249"/>
      <c r="Q1885" s="249"/>
      <c r="R1885" s="249"/>
      <c r="S1885" s="249"/>
      <c r="T1885" s="249"/>
      <c r="U1885" s="249"/>
      <c r="V1885" s="249"/>
      <c r="W1885" s="249"/>
      <c r="X1885" s="249"/>
      <c r="Y1885" s="249"/>
      <c r="Z1885" s="249"/>
    </row>
    <row r="1886" spans="1:26" s="152" customFormat="1" x14ac:dyDescent="0.25">
      <c r="A1886" s="249"/>
      <c r="B1886" s="249"/>
      <c r="C1886" s="249"/>
      <c r="D1886" s="249"/>
      <c r="E1886" s="249"/>
      <c r="F1886" s="249"/>
      <c r="G1886" s="249"/>
      <c r="H1886" s="249"/>
      <c r="I1886" s="258"/>
      <c r="J1886" s="249"/>
      <c r="K1886" s="249"/>
      <c r="L1886" s="249"/>
      <c r="M1886" s="259"/>
      <c r="N1886" s="249"/>
      <c r="O1886" s="249"/>
      <c r="P1886" s="249"/>
      <c r="Q1886" s="249"/>
      <c r="R1886" s="249"/>
      <c r="S1886" s="249"/>
      <c r="T1886" s="249"/>
      <c r="U1886" s="249"/>
      <c r="V1886" s="249"/>
      <c r="W1886" s="249"/>
      <c r="X1886" s="249"/>
      <c r="Y1886" s="249"/>
      <c r="Z1886" s="249"/>
    </row>
    <row r="1887" spans="1:26" s="152" customFormat="1" x14ac:dyDescent="0.25">
      <c r="A1887" s="249"/>
      <c r="B1887" s="249"/>
      <c r="C1887" s="249"/>
      <c r="D1887" s="249"/>
      <c r="E1887" s="249"/>
      <c r="F1887" s="249"/>
      <c r="G1887" s="249"/>
      <c r="H1887" s="249"/>
      <c r="I1887" s="258"/>
      <c r="J1887" s="249"/>
      <c r="K1887" s="249"/>
      <c r="L1887" s="249"/>
      <c r="M1887" s="259"/>
      <c r="N1887" s="249"/>
      <c r="O1887" s="249"/>
      <c r="P1887" s="249"/>
      <c r="Q1887" s="249"/>
      <c r="R1887" s="249"/>
      <c r="S1887" s="249"/>
      <c r="T1887" s="249"/>
      <c r="U1887" s="249"/>
      <c r="V1887" s="249"/>
      <c r="W1887" s="249"/>
      <c r="X1887" s="249"/>
      <c r="Y1887" s="249"/>
      <c r="Z1887" s="249"/>
    </row>
    <row r="1888" spans="1:26" s="152" customFormat="1" x14ac:dyDescent="0.25">
      <c r="A1888" s="249"/>
      <c r="B1888" s="249"/>
      <c r="C1888" s="249"/>
      <c r="D1888" s="249"/>
      <c r="E1888" s="249"/>
      <c r="F1888" s="249"/>
      <c r="G1888" s="249"/>
      <c r="H1888" s="249"/>
      <c r="I1888" s="258"/>
      <c r="J1888" s="249"/>
      <c r="K1888" s="249"/>
      <c r="L1888" s="249"/>
      <c r="M1888" s="259"/>
      <c r="N1888" s="249"/>
      <c r="O1888" s="249"/>
      <c r="P1888" s="249"/>
      <c r="Q1888" s="249"/>
      <c r="R1888" s="249"/>
      <c r="S1888" s="249"/>
      <c r="T1888" s="249"/>
      <c r="U1888" s="249"/>
      <c r="V1888" s="249"/>
      <c r="W1888" s="249"/>
      <c r="X1888" s="249"/>
      <c r="Y1888" s="249"/>
      <c r="Z1888" s="249"/>
    </row>
    <row r="1889" spans="1:26" s="152" customFormat="1" x14ac:dyDescent="0.25">
      <c r="A1889" s="249"/>
      <c r="B1889" s="249"/>
      <c r="C1889" s="249"/>
      <c r="D1889" s="249"/>
      <c r="E1889" s="249"/>
      <c r="F1889" s="249"/>
      <c r="G1889" s="249"/>
      <c r="H1889" s="249"/>
      <c r="I1889" s="258"/>
      <c r="J1889" s="249"/>
      <c r="K1889" s="249"/>
      <c r="L1889" s="249"/>
      <c r="M1889" s="259"/>
      <c r="N1889" s="249"/>
      <c r="O1889" s="249"/>
      <c r="P1889" s="249"/>
      <c r="Q1889" s="249"/>
      <c r="R1889" s="249"/>
      <c r="S1889" s="249"/>
      <c r="T1889" s="249"/>
      <c r="U1889" s="249"/>
      <c r="V1889" s="249"/>
      <c r="W1889" s="249"/>
      <c r="X1889" s="249"/>
      <c r="Y1889" s="249"/>
      <c r="Z1889" s="249"/>
    </row>
    <row r="1890" spans="1:26" s="152" customFormat="1" x14ac:dyDescent="0.25">
      <c r="A1890" s="249"/>
      <c r="B1890" s="249"/>
      <c r="C1890" s="249"/>
      <c r="D1890" s="249"/>
      <c r="E1890" s="249"/>
      <c r="F1890" s="249"/>
      <c r="G1890" s="249"/>
      <c r="H1890" s="249"/>
      <c r="I1890" s="258"/>
      <c r="J1890" s="249"/>
      <c r="K1890" s="249"/>
      <c r="L1890" s="249"/>
      <c r="M1890" s="259"/>
      <c r="N1890" s="249"/>
      <c r="O1890" s="249"/>
      <c r="P1890" s="249"/>
      <c r="Q1890" s="249"/>
      <c r="R1890" s="249"/>
      <c r="S1890" s="249"/>
      <c r="T1890" s="249"/>
      <c r="U1890" s="249"/>
      <c r="V1890" s="249"/>
      <c r="W1890" s="249"/>
      <c r="X1890" s="249"/>
      <c r="Y1890" s="249"/>
      <c r="Z1890" s="249"/>
    </row>
    <row r="1891" spans="1:26" s="152" customFormat="1" x14ac:dyDescent="0.25">
      <c r="A1891" s="249"/>
      <c r="B1891" s="249"/>
      <c r="C1891" s="249"/>
      <c r="D1891" s="249"/>
      <c r="E1891" s="249"/>
      <c r="F1891" s="249"/>
      <c r="G1891" s="249"/>
      <c r="H1891" s="249"/>
      <c r="I1891" s="258"/>
      <c r="J1891" s="249"/>
      <c r="K1891" s="249"/>
      <c r="L1891" s="249"/>
      <c r="M1891" s="259"/>
      <c r="N1891" s="249"/>
      <c r="O1891" s="249"/>
      <c r="P1891" s="249"/>
      <c r="Q1891" s="249"/>
      <c r="R1891" s="249"/>
      <c r="S1891" s="249"/>
      <c r="T1891" s="249"/>
      <c r="U1891" s="249"/>
      <c r="V1891" s="249"/>
      <c r="W1891" s="249"/>
      <c r="X1891" s="249"/>
      <c r="Y1891" s="249"/>
      <c r="Z1891" s="249"/>
    </row>
    <row r="1892" spans="1:26" s="152" customFormat="1" x14ac:dyDescent="0.25">
      <c r="A1892" s="249"/>
      <c r="B1892" s="249"/>
      <c r="C1892" s="249"/>
      <c r="D1892" s="249"/>
      <c r="E1892" s="249"/>
      <c r="F1892" s="249"/>
      <c r="G1892" s="249"/>
      <c r="H1892" s="249"/>
      <c r="I1892" s="258"/>
      <c r="J1892" s="249"/>
      <c r="K1892" s="249"/>
      <c r="L1892" s="249"/>
      <c r="M1892" s="259"/>
      <c r="N1892" s="249"/>
      <c r="O1892" s="249"/>
      <c r="P1892" s="249"/>
      <c r="Q1892" s="249"/>
      <c r="R1892" s="249"/>
      <c r="S1892" s="249"/>
      <c r="T1892" s="249"/>
      <c r="U1892" s="249"/>
      <c r="V1892" s="249"/>
      <c r="W1892" s="249"/>
      <c r="X1892" s="249"/>
      <c r="Y1892" s="249"/>
      <c r="Z1892" s="249"/>
    </row>
    <row r="1893" spans="1:26" s="152" customFormat="1" x14ac:dyDescent="0.25">
      <c r="A1893" s="249"/>
      <c r="B1893" s="249"/>
      <c r="C1893" s="249"/>
      <c r="D1893" s="249"/>
      <c r="E1893" s="249"/>
      <c r="F1893" s="249"/>
      <c r="G1893" s="249"/>
      <c r="H1893" s="249"/>
      <c r="I1893" s="258"/>
      <c r="J1893" s="249"/>
      <c r="K1893" s="249"/>
      <c r="L1893" s="249"/>
      <c r="M1893" s="259"/>
      <c r="N1893" s="249"/>
      <c r="O1893" s="249"/>
      <c r="P1893" s="249"/>
      <c r="Q1893" s="249"/>
      <c r="R1893" s="249"/>
      <c r="S1893" s="249"/>
      <c r="T1893" s="249"/>
      <c r="U1893" s="249"/>
      <c r="V1893" s="249"/>
      <c r="W1893" s="249"/>
      <c r="X1893" s="249"/>
      <c r="Y1893" s="249"/>
      <c r="Z1893" s="249"/>
    </row>
    <row r="1894" spans="1:26" s="152" customFormat="1" x14ac:dyDescent="0.25">
      <c r="A1894" s="249"/>
      <c r="B1894" s="249"/>
      <c r="C1894" s="249"/>
      <c r="D1894" s="249"/>
      <c r="E1894" s="249"/>
      <c r="F1894" s="249"/>
      <c r="G1894" s="249"/>
      <c r="H1894" s="249"/>
      <c r="I1894" s="258"/>
      <c r="J1894" s="249"/>
      <c r="K1894" s="249"/>
      <c r="L1894" s="249"/>
      <c r="M1894" s="259"/>
      <c r="N1894" s="249"/>
      <c r="O1894" s="249"/>
      <c r="P1894" s="249"/>
      <c r="Q1894" s="249"/>
      <c r="R1894" s="249"/>
      <c r="S1894" s="249"/>
      <c r="T1894" s="249"/>
      <c r="U1894" s="249"/>
      <c r="V1894" s="249"/>
      <c r="W1894" s="249"/>
      <c r="X1894" s="249"/>
      <c r="Y1894" s="249"/>
      <c r="Z1894" s="249"/>
    </row>
    <row r="1895" spans="1:26" s="152" customFormat="1" x14ac:dyDescent="0.25">
      <c r="A1895" s="249"/>
      <c r="B1895" s="249"/>
      <c r="C1895" s="249"/>
      <c r="D1895" s="249"/>
      <c r="E1895" s="249"/>
      <c r="F1895" s="249"/>
      <c r="G1895" s="249"/>
      <c r="H1895" s="249"/>
      <c r="I1895" s="258"/>
      <c r="J1895" s="249"/>
      <c r="K1895" s="249"/>
      <c r="L1895" s="249"/>
      <c r="M1895" s="259"/>
      <c r="N1895" s="249"/>
      <c r="O1895" s="249"/>
      <c r="P1895" s="249"/>
      <c r="Q1895" s="249"/>
      <c r="R1895" s="249"/>
      <c r="S1895" s="249"/>
      <c r="T1895" s="249"/>
      <c r="U1895" s="249"/>
      <c r="V1895" s="249"/>
      <c r="W1895" s="249"/>
      <c r="X1895" s="249"/>
      <c r="Y1895" s="249"/>
      <c r="Z1895" s="249"/>
    </row>
    <row r="1896" spans="1:26" s="152" customFormat="1" x14ac:dyDescent="0.25">
      <c r="A1896" s="249"/>
      <c r="B1896" s="249"/>
      <c r="C1896" s="249"/>
      <c r="D1896" s="249"/>
      <c r="E1896" s="249"/>
      <c r="F1896" s="249"/>
      <c r="G1896" s="249"/>
      <c r="H1896" s="249"/>
      <c r="I1896" s="258"/>
      <c r="J1896" s="249"/>
      <c r="K1896" s="249"/>
      <c r="L1896" s="249"/>
      <c r="M1896" s="259"/>
      <c r="N1896" s="249"/>
      <c r="O1896" s="249"/>
      <c r="P1896" s="249"/>
      <c r="Q1896" s="249"/>
      <c r="R1896" s="249"/>
      <c r="S1896" s="249"/>
      <c r="T1896" s="249"/>
      <c r="U1896" s="249"/>
      <c r="V1896" s="249"/>
      <c r="W1896" s="249"/>
      <c r="X1896" s="249"/>
      <c r="Y1896" s="249"/>
      <c r="Z1896" s="249"/>
    </row>
    <row r="1897" spans="1:26" s="152" customFormat="1" x14ac:dyDescent="0.25">
      <c r="A1897" s="249"/>
      <c r="B1897" s="249"/>
      <c r="C1897" s="249"/>
      <c r="D1897" s="249"/>
      <c r="E1897" s="249"/>
      <c r="F1897" s="249"/>
      <c r="G1897" s="249"/>
      <c r="H1897" s="249"/>
      <c r="I1897" s="258"/>
      <c r="J1897" s="249"/>
      <c r="K1897" s="249"/>
      <c r="L1897" s="249"/>
      <c r="M1897" s="259"/>
      <c r="N1897" s="249"/>
      <c r="O1897" s="249"/>
      <c r="P1897" s="249"/>
      <c r="Q1897" s="249"/>
      <c r="R1897" s="249"/>
      <c r="S1897" s="249"/>
      <c r="T1897" s="249"/>
      <c r="U1897" s="249"/>
      <c r="V1897" s="249"/>
      <c r="W1897" s="249"/>
      <c r="X1897" s="249"/>
      <c r="Y1897" s="249"/>
      <c r="Z1897" s="249"/>
    </row>
    <row r="1898" spans="1:26" s="152" customFormat="1" x14ac:dyDescent="0.25">
      <c r="A1898" s="249"/>
      <c r="B1898" s="249"/>
      <c r="C1898" s="249"/>
      <c r="D1898" s="249"/>
      <c r="E1898" s="249"/>
      <c r="F1898" s="249"/>
      <c r="G1898" s="249"/>
      <c r="H1898" s="249"/>
      <c r="I1898" s="258"/>
      <c r="J1898" s="249"/>
      <c r="K1898" s="249"/>
      <c r="L1898" s="249"/>
      <c r="M1898" s="259"/>
      <c r="N1898" s="249"/>
      <c r="O1898" s="249"/>
      <c r="P1898" s="249"/>
      <c r="Q1898" s="249"/>
      <c r="R1898" s="249"/>
      <c r="S1898" s="249"/>
      <c r="T1898" s="249"/>
      <c r="U1898" s="249"/>
      <c r="V1898" s="249"/>
      <c r="W1898" s="249"/>
      <c r="X1898" s="249"/>
      <c r="Y1898" s="249"/>
      <c r="Z1898" s="249"/>
    </row>
    <row r="1899" spans="1:26" s="152" customFormat="1" x14ac:dyDescent="0.25">
      <c r="A1899" s="249"/>
      <c r="B1899" s="249"/>
      <c r="C1899" s="249"/>
      <c r="D1899" s="249"/>
      <c r="E1899" s="249"/>
      <c r="F1899" s="249"/>
      <c r="G1899" s="249"/>
      <c r="H1899" s="249"/>
      <c r="I1899" s="258"/>
      <c r="J1899" s="249"/>
      <c r="K1899" s="249"/>
      <c r="L1899" s="249"/>
      <c r="M1899" s="259"/>
      <c r="N1899" s="249"/>
      <c r="O1899" s="249"/>
      <c r="P1899" s="249"/>
      <c r="Q1899" s="249"/>
      <c r="R1899" s="249"/>
      <c r="S1899" s="249"/>
      <c r="T1899" s="249"/>
      <c r="U1899" s="249"/>
      <c r="V1899" s="249"/>
      <c r="W1899" s="249"/>
      <c r="X1899" s="249"/>
      <c r="Y1899" s="249"/>
      <c r="Z1899" s="249"/>
    </row>
    <row r="1900" spans="1:26" s="152" customFormat="1" x14ac:dyDescent="0.25">
      <c r="A1900" s="249"/>
      <c r="B1900" s="249"/>
      <c r="C1900" s="249"/>
      <c r="D1900" s="249"/>
      <c r="E1900" s="249"/>
      <c r="F1900" s="249"/>
      <c r="G1900" s="249"/>
      <c r="H1900" s="249"/>
      <c r="I1900" s="258"/>
      <c r="J1900" s="249"/>
      <c r="K1900" s="249"/>
      <c r="L1900" s="249"/>
      <c r="M1900" s="259"/>
      <c r="N1900" s="249"/>
      <c r="O1900" s="249"/>
      <c r="P1900" s="249"/>
      <c r="Q1900" s="249"/>
      <c r="R1900" s="249"/>
      <c r="S1900" s="249"/>
      <c r="T1900" s="249"/>
      <c r="U1900" s="249"/>
      <c r="V1900" s="249"/>
      <c r="W1900" s="249"/>
      <c r="X1900" s="249"/>
      <c r="Y1900" s="249"/>
      <c r="Z1900" s="249"/>
    </row>
    <row r="1901" spans="1:26" s="152" customFormat="1" x14ac:dyDescent="0.25">
      <c r="A1901" s="249"/>
      <c r="B1901" s="249"/>
      <c r="C1901" s="249"/>
      <c r="D1901" s="249"/>
      <c r="E1901" s="249"/>
      <c r="F1901" s="249"/>
      <c r="G1901" s="249"/>
      <c r="H1901" s="249"/>
      <c r="I1901" s="258"/>
      <c r="J1901" s="249"/>
      <c r="K1901" s="249"/>
      <c r="L1901" s="249"/>
      <c r="M1901" s="259"/>
      <c r="N1901" s="249"/>
      <c r="O1901" s="249"/>
      <c r="P1901" s="249"/>
      <c r="Q1901" s="249"/>
      <c r="R1901" s="249"/>
      <c r="S1901" s="249"/>
      <c r="T1901" s="249"/>
      <c r="U1901" s="249"/>
      <c r="V1901" s="249"/>
      <c r="W1901" s="249"/>
      <c r="X1901" s="249"/>
      <c r="Y1901" s="249"/>
      <c r="Z1901" s="249"/>
    </row>
    <row r="1902" spans="1:26" s="152" customFormat="1" x14ac:dyDescent="0.25">
      <c r="A1902" s="249"/>
      <c r="B1902" s="249"/>
      <c r="C1902" s="249"/>
      <c r="D1902" s="249"/>
      <c r="E1902" s="249"/>
      <c r="F1902" s="249"/>
      <c r="G1902" s="249"/>
      <c r="H1902" s="249"/>
      <c r="I1902" s="258"/>
      <c r="J1902" s="249"/>
      <c r="K1902" s="249"/>
      <c r="L1902" s="249"/>
      <c r="M1902" s="259"/>
      <c r="N1902" s="249"/>
      <c r="O1902" s="249"/>
      <c r="P1902" s="249"/>
      <c r="Q1902" s="249"/>
      <c r="R1902" s="249"/>
      <c r="S1902" s="249"/>
      <c r="T1902" s="249"/>
      <c r="U1902" s="249"/>
      <c r="V1902" s="249"/>
      <c r="W1902" s="249"/>
      <c r="X1902" s="249"/>
      <c r="Y1902" s="249"/>
      <c r="Z1902" s="249"/>
    </row>
    <row r="1903" spans="1:26" s="152" customFormat="1" x14ac:dyDescent="0.25">
      <c r="A1903" s="249"/>
      <c r="B1903" s="249"/>
      <c r="C1903" s="249"/>
      <c r="D1903" s="249"/>
      <c r="E1903" s="249"/>
      <c r="F1903" s="249"/>
      <c r="G1903" s="249"/>
      <c r="H1903" s="249"/>
      <c r="I1903" s="258"/>
      <c r="J1903" s="249"/>
      <c r="K1903" s="249"/>
      <c r="L1903" s="249"/>
      <c r="M1903" s="259"/>
      <c r="N1903" s="249"/>
      <c r="O1903" s="249"/>
      <c r="P1903" s="249"/>
      <c r="Q1903" s="249"/>
      <c r="R1903" s="249"/>
      <c r="S1903" s="249"/>
      <c r="T1903" s="249"/>
      <c r="U1903" s="249"/>
      <c r="V1903" s="249"/>
      <c r="W1903" s="249"/>
      <c r="X1903" s="249"/>
      <c r="Y1903" s="249"/>
      <c r="Z1903" s="249"/>
    </row>
    <row r="1904" spans="1:26" s="152" customFormat="1" x14ac:dyDescent="0.25">
      <c r="A1904" s="249"/>
      <c r="B1904" s="249"/>
      <c r="C1904" s="249"/>
      <c r="D1904" s="249"/>
      <c r="E1904" s="249"/>
      <c r="F1904" s="249"/>
      <c r="G1904" s="249"/>
      <c r="H1904" s="249"/>
      <c r="I1904" s="258"/>
      <c r="J1904" s="249"/>
      <c r="K1904" s="249"/>
      <c r="L1904" s="249"/>
      <c r="M1904" s="259"/>
      <c r="N1904" s="249"/>
      <c r="O1904" s="249"/>
      <c r="P1904" s="249"/>
      <c r="Q1904" s="249"/>
      <c r="R1904" s="249"/>
      <c r="S1904" s="249"/>
      <c r="T1904" s="249"/>
      <c r="U1904" s="249"/>
      <c r="V1904" s="249"/>
      <c r="W1904" s="249"/>
      <c r="X1904" s="249"/>
      <c r="Y1904" s="249"/>
      <c r="Z1904" s="249"/>
    </row>
    <row r="1905" spans="1:26" s="152" customFormat="1" x14ac:dyDescent="0.25">
      <c r="A1905" s="249"/>
      <c r="B1905" s="249"/>
      <c r="C1905" s="249"/>
      <c r="D1905" s="249"/>
      <c r="E1905" s="249"/>
      <c r="F1905" s="249"/>
      <c r="G1905" s="249"/>
      <c r="H1905" s="249"/>
      <c r="I1905" s="258"/>
      <c r="J1905" s="249"/>
      <c r="K1905" s="249"/>
      <c r="L1905" s="249"/>
      <c r="M1905" s="259"/>
      <c r="N1905" s="249"/>
      <c r="O1905" s="249"/>
      <c r="P1905" s="249"/>
      <c r="Q1905" s="249"/>
      <c r="R1905" s="249"/>
      <c r="S1905" s="249"/>
      <c r="T1905" s="249"/>
      <c r="U1905" s="249"/>
      <c r="V1905" s="249"/>
      <c r="W1905" s="249"/>
      <c r="X1905" s="249"/>
      <c r="Y1905" s="249"/>
      <c r="Z1905" s="249"/>
    </row>
    <row r="1906" spans="1:26" s="152" customFormat="1" x14ac:dyDescent="0.25">
      <c r="A1906" s="249"/>
      <c r="B1906" s="249"/>
      <c r="C1906" s="249"/>
      <c r="D1906" s="249"/>
      <c r="E1906" s="249"/>
      <c r="F1906" s="249"/>
      <c r="G1906" s="249"/>
      <c r="H1906" s="249"/>
      <c r="I1906" s="258"/>
      <c r="J1906" s="249"/>
      <c r="K1906" s="249"/>
      <c r="L1906" s="249"/>
      <c r="M1906" s="259"/>
      <c r="N1906" s="249"/>
      <c r="O1906" s="249"/>
      <c r="P1906" s="249"/>
      <c r="Q1906" s="249"/>
      <c r="R1906" s="249"/>
      <c r="S1906" s="249"/>
      <c r="T1906" s="249"/>
      <c r="U1906" s="249"/>
      <c r="V1906" s="249"/>
      <c r="W1906" s="249"/>
      <c r="X1906" s="249"/>
      <c r="Y1906" s="249"/>
      <c r="Z1906" s="249"/>
    </row>
    <row r="1907" spans="1:26" s="152" customFormat="1" x14ac:dyDescent="0.25">
      <c r="A1907" s="249"/>
      <c r="B1907" s="249"/>
      <c r="C1907" s="249"/>
      <c r="D1907" s="249"/>
      <c r="E1907" s="249"/>
      <c r="F1907" s="249"/>
      <c r="G1907" s="249"/>
      <c r="H1907" s="249"/>
      <c r="I1907" s="258"/>
      <c r="J1907" s="249"/>
      <c r="K1907" s="249"/>
      <c r="L1907" s="249"/>
      <c r="M1907" s="259"/>
      <c r="N1907" s="249"/>
      <c r="O1907" s="249"/>
      <c r="P1907" s="249"/>
      <c r="Q1907" s="249"/>
      <c r="R1907" s="249"/>
      <c r="S1907" s="249"/>
      <c r="T1907" s="249"/>
      <c r="U1907" s="249"/>
      <c r="V1907" s="249"/>
      <c r="W1907" s="249"/>
      <c r="X1907" s="249"/>
      <c r="Y1907" s="249"/>
      <c r="Z1907" s="249"/>
    </row>
    <row r="1908" spans="1:26" s="152" customFormat="1" x14ac:dyDescent="0.25">
      <c r="A1908" s="249"/>
      <c r="B1908" s="249"/>
      <c r="C1908" s="249"/>
      <c r="D1908" s="249"/>
      <c r="E1908" s="249"/>
      <c r="F1908" s="249"/>
      <c r="G1908" s="249"/>
      <c r="H1908" s="249"/>
      <c r="I1908" s="258"/>
      <c r="J1908" s="249"/>
      <c r="K1908" s="249"/>
      <c r="L1908" s="249"/>
      <c r="M1908" s="259"/>
      <c r="N1908" s="249"/>
      <c r="O1908" s="249"/>
      <c r="P1908" s="249"/>
      <c r="Q1908" s="249"/>
      <c r="R1908" s="249"/>
      <c r="S1908" s="249"/>
      <c r="T1908" s="249"/>
      <c r="U1908" s="249"/>
      <c r="V1908" s="249"/>
      <c r="W1908" s="249"/>
      <c r="X1908" s="249"/>
      <c r="Y1908" s="249"/>
      <c r="Z1908" s="249"/>
    </row>
    <row r="1909" spans="1:26" s="152" customFormat="1" x14ac:dyDescent="0.25">
      <c r="A1909" s="249"/>
      <c r="B1909" s="249"/>
      <c r="C1909" s="249"/>
      <c r="D1909" s="249"/>
      <c r="E1909" s="249"/>
      <c r="F1909" s="249"/>
      <c r="G1909" s="249"/>
      <c r="H1909" s="249"/>
      <c r="I1909" s="258"/>
      <c r="J1909" s="249"/>
      <c r="K1909" s="249"/>
      <c r="L1909" s="249"/>
      <c r="M1909" s="259"/>
      <c r="N1909" s="249"/>
      <c r="O1909" s="249"/>
      <c r="P1909" s="249"/>
      <c r="Q1909" s="249"/>
      <c r="R1909" s="249"/>
      <c r="S1909" s="249"/>
      <c r="T1909" s="249"/>
      <c r="U1909" s="249"/>
      <c r="V1909" s="249"/>
      <c r="W1909" s="249"/>
      <c r="X1909" s="249"/>
      <c r="Y1909" s="249"/>
      <c r="Z1909" s="249"/>
    </row>
    <row r="1910" spans="1:26" s="152" customFormat="1" x14ac:dyDescent="0.25">
      <c r="A1910" s="249"/>
      <c r="B1910" s="249"/>
      <c r="C1910" s="249"/>
      <c r="D1910" s="249"/>
      <c r="E1910" s="249"/>
      <c r="F1910" s="249"/>
      <c r="G1910" s="249"/>
      <c r="H1910" s="249"/>
      <c r="I1910" s="258"/>
      <c r="J1910" s="249"/>
      <c r="K1910" s="249"/>
      <c r="L1910" s="249"/>
      <c r="M1910" s="259"/>
      <c r="N1910" s="249"/>
      <c r="O1910" s="249"/>
      <c r="P1910" s="249"/>
      <c r="Q1910" s="249"/>
      <c r="R1910" s="249"/>
      <c r="S1910" s="249"/>
      <c r="T1910" s="249"/>
      <c r="U1910" s="249"/>
      <c r="V1910" s="249"/>
      <c r="W1910" s="249"/>
      <c r="X1910" s="249"/>
      <c r="Y1910" s="249"/>
      <c r="Z1910" s="249"/>
    </row>
    <row r="1911" spans="1:26" s="152" customFormat="1" x14ac:dyDescent="0.25">
      <c r="A1911" s="249"/>
      <c r="B1911" s="249"/>
      <c r="C1911" s="249"/>
      <c r="D1911" s="249"/>
      <c r="E1911" s="249"/>
      <c r="F1911" s="249"/>
      <c r="G1911" s="249"/>
      <c r="H1911" s="249"/>
      <c r="I1911" s="258"/>
      <c r="J1911" s="249"/>
      <c r="K1911" s="249"/>
      <c r="L1911" s="249"/>
      <c r="M1911" s="259"/>
      <c r="N1911" s="249"/>
      <c r="O1911" s="249"/>
      <c r="P1911" s="249"/>
      <c r="Q1911" s="249"/>
      <c r="R1911" s="249"/>
      <c r="S1911" s="249"/>
      <c r="T1911" s="249"/>
      <c r="U1911" s="249"/>
      <c r="V1911" s="249"/>
      <c r="W1911" s="249"/>
      <c r="X1911" s="249"/>
      <c r="Y1911" s="249"/>
      <c r="Z1911" s="249"/>
    </row>
    <row r="1912" spans="1:26" s="152" customFormat="1" x14ac:dyDescent="0.25">
      <c r="A1912" s="249"/>
      <c r="B1912" s="249"/>
      <c r="C1912" s="249"/>
      <c r="D1912" s="249"/>
      <c r="E1912" s="249"/>
      <c r="F1912" s="249"/>
      <c r="G1912" s="249"/>
      <c r="H1912" s="249"/>
      <c r="I1912" s="258"/>
      <c r="J1912" s="249"/>
      <c r="K1912" s="249"/>
      <c r="L1912" s="249"/>
      <c r="M1912" s="259"/>
      <c r="N1912" s="249"/>
      <c r="O1912" s="249"/>
      <c r="P1912" s="249"/>
      <c r="Q1912" s="249"/>
      <c r="R1912" s="249"/>
      <c r="S1912" s="249"/>
      <c r="T1912" s="249"/>
      <c r="U1912" s="249"/>
      <c r="V1912" s="249"/>
      <c r="W1912" s="249"/>
      <c r="X1912" s="249"/>
      <c r="Y1912" s="249"/>
      <c r="Z1912" s="249"/>
    </row>
    <row r="1913" spans="1:26" s="152" customFormat="1" x14ac:dyDescent="0.25">
      <c r="A1913" s="249"/>
      <c r="B1913" s="249"/>
      <c r="C1913" s="249"/>
      <c r="D1913" s="249"/>
      <c r="E1913" s="249"/>
      <c r="F1913" s="249"/>
      <c r="G1913" s="249"/>
      <c r="H1913" s="249"/>
      <c r="I1913" s="258"/>
      <c r="J1913" s="249"/>
      <c r="K1913" s="249"/>
      <c r="L1913" s="249"/>
      <c r="M1913" s="259"/>
      <c r="N1913" s="249"/>
      <c r="O1913" s="249"/>
      <c r="P1913" s="249"/>
      <c r="Q1913" s="249"/>
      <c r="R1913" s="249"/>
      <c r="S1913" s="249"/>
      <c r="T1913" s="249"/>
      <c r="U1913" s="249"/>
      <c r="V1913" s="249"/>
      <c r="W1913" s="249"/>
      <c r="X1913" s="249"/>
      <c r="Y1913" s="249"/>
      <c r="Z1913" s="249"/>
    </row>
    <row r="1914" spans="1:26" s="152" customFormat="1" x14ac:dyDescent="0.25">
      <c r="A1914" s="249"/>
      <c r="B1914" s="249"/>
      <c r="C1914" s="249"/>
      <c r="D1914" s="249"/>
      <c r="E1914" s="249"/>
      <c r="F1914" s="249"/>
      <c r="G1914" s="249"/>
      <c r="H1914" s="249"/>
      <c r="I1914" s="258"/>
      <c r="J1914" s="249"/>
      <c r="K1914" s="249"/>
      <c r="L1914" s="249"/>
      <c r="M1914" s="259"/>
      <c r="N1914" s="249"/>
      <c r="O1914" s="249"/>
      <c r="P1914" s="249"/>
      <c r="Q1914" s="249"/>
      <c r="R1914" s="249"/>
      <c r="S1914" s="249"/>
      <c r="T1914" s="249"/>
      <c r="U1914" s="249"/>
      <c r="V1914" s="249"/>
      <c r="W1914" s="249"/>
      <c r="X1914" s="249"/>
      <c r="Y1914" s="249"/>
      <c r="Z1914" s="249"/>
    </row>
    <row r="1915" spans="1:26" s="152" customFormat="1" x14ac:dyDescent="0.25">
      <c r="A1915" s="249"/>
      <c r="B1915" s="249"/>
      <c r="C1915" s="249"/>
      <c r="D1915" s="249"/>
      <c r="E1915" s="249"/>
      <c r="F1915" s="249"/>
      <c r="G1915" s="249"/>
      <c r="H1915" s="249"/>
      <c r="I1915" s="258"/>
      <c r="J1915" s="249"/>
      <c r="K1915" s="249"/>
      <c r="L1915" s="249"/>
      <c r="M1915" s="259"/>
      <c r="N1915" s="249"/>
      <c r="O1915" s="249"/>
      <c r="P1915" s="249"/>
      <c r="Q1915" s="249"/>
      <c r="R1915" s="249"/>
      <c r="S1915" s="249"/>
      <c r="T1915" s="249"/>
      <c r="U1915" s="249"/>
      <c r="V1915" s="249"/>
      <c r="W1915" s="249"/>
      <c r="X1915" s="249"/>
      <c r="Y1915" s="249"/>
      <c r="Z1915" s="249"/>
    </row>
    <row r="1916" spans="1:26" s="152" customFormat="1" x14ac:dyDescent="0.25">
      <c r="A1916" s="249"/>
      <c r="B1916" s="249"/>
      <c r="C1916" s="249"/>
      <c r="D1916" s="249"/>
      <c r="E1916" s="249"/>
      <c r="F1916" s="249"/>
      <c r="G1916" s="249"/>
      <c r="H1916" s="249"/>
      <c r="I1916" s="258"/>
      <c r="J1916" s="249"/>
      <c r="K1916" s="249"/>
      <c r="L1916" s="249"/>
      <c r="M1916" s="259"/>
      <c r="N1916" s="249"/>
      <c r="O1916" s="249"/>
      <c r="P1916" s="249"/>
      <c r="Q1916" s="249"/>
      <c r="R1916" s="249"/>
      <c r="S1916" s="249"/>
      <c r="T1916" s="249"/>
      <c r="U1916" s="249"/>
      <c r="V1916" s="249"/>
      <c r="W1916" s="249"/>
      <c r="X1916" s="249"/>
      <c r="Y1916" s="249"/>
      <c r="Z1916" s="249"/>
    </row>
    <row r="1917" spans="1:26" s="152" customFormat="1" x14ac:dyDescent="0.25">
      <c r="A1917" s="249"/>
      <c r="B1917" s="249"/>
      <c r="C1917" s="249"/>
      <c r="D1917" s="249"/>
      <c r="E1917" s="249"/>
      <c r="F1917" s="249"/>
      <c r="G1917" s="249"/>
      <c r="H1917" s="249"/>
      <c r="I1917" s="258"/>
      <c r="J1917" s="249"/>
      <c r="K1917" s="249"/>
      <c r="L1917" s="249"/>
      <c r="M1917" s="259"/>
      <c r="N1917" s="249"/>
      <c r="O1917" s="249"/>
      <c r="P1917" s="249"/>
      <c r="Q1917" s="249"/>
      <c r="R1917" s="249"/>
      <c r="S1917" s="249"/>
      <c r="T1917" s="249"/>
      <c r="U1917" s="249"/>
      <c r="V1917" s="249"/>
      <c r="W1917" s="249"/>
      <c r="X1917" s="249"/>
      <c r="Y1917" s="249"/>
      <c r="Z1917" s="249"/>
    </row>
    <row r="1918" spans="1:26" s="152" customFormat="1" x14ac:dyDescent="0.25">
      <c r="A1918" s="249"/>
      <c r="B1918" s="249"/>
      <c r="C1918" s="249"/>
      <c r="D1918" s="249"/>
      <c r="E1918" s="249"/>
      <c r="F1918" s="249"/>
      <c r="G1918" s="249"/>
      <c r="H1918" s="249"/>
      <c r="I1918" s="258"/>
      <c r="J1918" s="249"/>
      <c r="K1918" s="249"/>
      <c r="L1918" s="249"/>
      <c r="M1918" s="259"/>
      <c r="N1918" s="249"/>
      <c r="O1918" s="249"/>
      <c r="P1918" s="249"/>
      <c r="Q1918" s="249"/>
      <c r="R1918" s="249"/>
      <c r="S1918" s="249"/>
      <c r="T1918" s="249"/>
      <c r="U1918" s="249"/>
      <c r="V1918" s="249"/>
      <c r="W1918" s="249"/>
      <c r="X1918" s="249"/>
      <c r="Y1918" s="249"/>
      <c r="Z1918" s="249"/>
    </row>
    <row r="1919" spans="1:26" s="152" customFormat="1" x14ac:dyDescent="0.25">
      <c r="A1919" s="249"/>
      <c r="B1919" s="249"/>
      <c r="C1919" s="249"/>
      <c r="D1919" s="249"/>
      <c r="E1919" s="249"/>
      <c r="F1919" s="249"/>
      <c r="G1919" s="249"/>
      <c r="H1919" s="249"/>
      <c r="I1919" s="258"/>
      <c r="J1919" s="249"/>
      <c r="K1919" s="249"/>
      <c r="L1919" s="249"/>
      <c r="M1919" s="259"/>
      <c r="N1919" s="249"/>
      <c r="O1919" s="249"/>
      <c r="P1919" s="249"/>
      <c r="Q1919" s="249"/>
      <c r="R1919" s="249"/>
      <c r="S1919" s="249"/>
      <c r="T1919" s="249"/>
      <c r="U1919" s="249"/>
      <c r="V1919" s="249"/>
      <c r="W1919" s="249"/>
      <c r="X1919" s="249"/>
      <c r="Y1919" s="249"/>
      <c r="Z1919" s="249"/>
    </row>
    <row r="1920" spans="1:26" s="152" customFormat="1" x14ac:dyDescent="0.25">
      <c r="A1920" s="249"/>
      <c r="B1920" s="249"/>
      <c r="C1920" s="249"/>
      <c r="D1920" s="249"/>
      <c r="E1920" s="249"/>
      <c r="F1920" s="249"/>
      <c r="G1920" s="249"/>
      <c r="H1920" s="249"/>
      <c r="I1920" s="258"/>
      <c r="J1920" s="249"/>
      <c r="K1920" s="249"/>
      <c r="L1920" s="249"/>
      <c r="M1920" s="259"/>
      <c r="N1920" s="249"/>
      <c r="O1920" s="249"/>
      <c r="P1920" s="249"/>
      <c r="Q1920" s="249"/>
      <c r="R1920" s="249"/>
      <c r="S1920" s="249"/>
      <c r="T1920" s="249"/>
      <c r="U1920" s="249"/>
      <c r="V1920" s="249"/>
      <c r="W1920" s="249"/>
      <c r="X1920" s="249"/>
      <c r="Y1920" s="249"/>
      <c r="Z1920" s="249"/>
    </row>
    <row r="1921" spans="1:26" s="152" customFormat="1" x14ac:dyDescent="0.25">
      <c r="A1921" s="249"/>
      <c r="B1921" s="249"/>
      <c r="C1921" s="249"/>
      <c r="D1921" s="249"/>
      <c r="E1921" s="249"/>
      <c r="F1921" s="249"/>
      <c r="G1921" s="249"/>
      <c r="H1921" s="249"/>
      <c r="I1921" s="258"/>
      <c r="J1921" s="249"/>
      <c r="K1921" s="249"/>
      <c r="L1921" s="249"/>
      <c r="M1921" s="259"/>
      <c r="N1921" s="249"/>
      <c r="O1921" s="249"/>
      <c r="P1921" s="249"/>
      <c r="Q1921" s="249"/>
      <c r="R1921" s="249"/>
      <c r="S1921" s="249"/>
      <c r="T1921" s="249"/>
      <c r="U1921" s="249"/>
      <c r="V1921" s="249"/>
      <c r="W1921" s="249"/>
      <c r="X1921" s="249"/>
      <c r="Y1921" s="249"/>
      <c r="Z1921" s="249"/>
    </row>
    <row r="1922" spans="1:26" s="152" customFormat="1" x14ac:dyDescent="0.25">
      <c r="A1922" s="249"/>
      <c r="B1922" s="249"/>
      <c r="C1922" s="249"/>
      <c r="D1922" s="249"/>
      <c r="E1922" s="249"/>
      <c r="F1922" s="249"/>
      <c r="G1922" s="249"/>
      <c r="H1922" s="249"/>
      <c r="I1922" s="258"/>
      <c r="J1922" s="249"/>
      <c r="K1922" s="249"/>
      <c r="L1922" s="249"/>
      <c r="M1922" s="259"/>
      <c r="N1922" s="249"/>
      <c r="O1922" s="249"/>
      <c r="P1922" s="249"/>
      <c r="Q1922" s="249"/>
      <c r="R1922" s="249"/>
      <c r="S1922" s="249"/>
      <c r="T1922" s="249"/>
      <c r="U1922" s="249"/>
      <c r="V1922" s="249"/>
      <c r="W1922" s="249"/>
      <c r="X1922" s="249"/>
      <c r="Y1922" s="249"/>
      <c r="Z1922" s="249"/>
    </row>
    <row r="1923" spans="1:26" s="152" customFormat="1" x14ac:dyDescent="0.25">
      <c r="A1923" s="249"/>
      <c r="B1923" s="249"/>
      <c r="C1923" s="249"/>
      <c r="D1923" s="249"/>
      <c r="E1923" s="249"/>
      <c r="F1923" s="249"/>
      <c r="G1923" s="249"/>
      <c r="H1923" s="249"/>
      <c r="I1923" s="258"/>
      <c r="J1923" s="249"/>
      <c r="K1923" s="249"/>
      <c r="L1923" s="249"/>
      <c r="M1923" s="259"/>
      <c r="N1923" s="249"/>
      <c r="O1923" s="249"/>
      <c r="P1923" s="249"/>
      <c r="Q1923" s="249"/>
      <c r="R1923" s="249"/>
      <c r="S1923" s="249"/>
      <c r="T1923" s="249"/>
      <c r="U1923" s="249"/>
      <c r="V1923" s="249"/>
      <c r="W1923" s="249"/>
      <c r="X1923" s="249"/>
      <c r="Y1923" s="249"/>
      <c r="Z1923" s="249"/>
    </row>
    <row r="1924" spans="1:26" s="152" customFormat="1" x14ac:dyDescent="0.25">
      <c r="A1924" s="249"/>
      <c r="B1924" s="249"/>
      <c r="C1924" s="249"/>
      <c r="D1924" s="249"/>
      <c r="E1924" s="249"/>
      <c r="F1924" s="249"/>
      <c r="G1924" s="249"/>
      <c r="H1924" s="249"/>
      <c r="I1924" s="258"/>
      <c r="J1924" s="249"/>
      <c r="K1924" s="249"/>
      <c r="L1924" s="249"/>
      <c r="M1924" s="259"/>
      <c r="N1924" s="249"/>
      <c r="O1924" s="249"/>
      <c r="P1924" s="249"/>
      <c r="Q1924" s="249"/>
      <c r="R1924" s="249"/>
      <c r="S1924" s="249"/>
      <c r="T1924" s="249"/>
      <c r="U1924" s="249"/>
      <c r="V1924" s="249"/>
      <c r="W1924" s="249"/>
      <c r="X1924" s="249"/>
      <c r="Y1924" s="249"/>
      <c r="Z1924" s="249"/>
    </row>
    <row r="1925" spans="1:26" s="152" customFormat="1" x14ac:dyDescent="0.25">
      <c r="A1925" s="249"/>
      <c r="B1925" s="249"/>
      <c r="C1925" s="249"/>
      <c r="D1925" s="249"/>
      <c r="E1925" s="249"/>
      <c r="F1925" s="249"/>
      <c r="G1925" s="249"/>
      <c r="H1925" s="249"/>
      <c r="I1925" s="258"/>
      <c r="J1925" s="249"/>
      <c r="K1925" s="249"/>
      <c r="L1925" s="249"/>
      <c r="M1925" s="259"/>
      <c r="N1925" s="249"/>
      <c r="O1925" s="249"/>
      <c r="P1925" s="249"/>
      <c r="Q1925" s="249"/>
      <c r="R1925" s="249"/>
      <c r="S1925" s="249"/>
      <c r="T1925" s="249"/>
      <c r="U1925" s="249"/>
      <c r="V1925" s="249"/>
      <c r="W1925" s="249"/>
      <c r="X1925" s="249"/>
      <c r="Y1925" s="249"/>
      <c r="Z1925" s="249"/>
    </row>
    <row r="1926" spans="1:26" s="152" customFormat="1" x14ac:dyDescent="0.25">
      <c r="A1926" s="249"/>
      <c r="B1926" s="249"/>
      <c r="C1926" s="249"/>
      <c r="D1926" s="249"/>
      <c r="E1926" s="249"/>
      <c r="F1926" s="249"/>
      <c r="G1926" s="249"/>
      <c r="H1926" s="249"/>
      <c r="I1926" s="258"/>
      <c r="J1926" s="249"/>
      <c r="K1926" s="249"/>
      <c r="L1926" s="249"/>
      <c r="M1926" s="259"/>
      <c r="N1926" s="249"/>
      <c r="O1926" s="249"/>
      <c r="P1926" s="249"/>
      <c r="Q1926" s="249"/>
      <c r="R1926" s="249"/>
      <c r="S1926" s="249"/>
      <c r="T1926" s="249"/>
      <c r="U1926" s="249"/>
      <c r="V1926" s="249"/>
      <c r="W1926" s="249"/>
      <c r="X1926" s="249"/>
      <c r="Y1926" s="249"/>
      <c r="Z1926" s="249"/>
    </row>
    <row r="1927" spans="1:26" s="152" customFormat="1" x14ac:dyDescent="0.25">
      <c r="A1927" s="249"/>
      <c r="B1927" s="249"/>
      <c r="C1927" s="249"/>
      <c r="D1927" s="249"/>
      <c r="E1927" s="249"/>
      <c r="F1927" s="249"/>
      <c r="G1927" s="249"/>
      <c r="H1927" s="249"/>
      <c r="I1927" s="258"/>
      <c r="J1927" s="249"/>
      <c r="K1927" s="249"/>
      <c r="L1927" s="249"/>
      <c r="M1927" s="259"/>
      <c r="N1927" s="249"/>
      <c r="O1927" s="249"/>
      <c r="P1927" s="249"/>
      <c r="Q1927" s="249"/>
      <c r="R1927" s="249"/>
      <c r="S1927" s="249"/>
      <c r="T1927" s="249"/>
      <c r="U1927" s="249"/>
      <c r="V1927" s="249"/>
      <c r="W1927" s="249"/>
      <c r="X1927" s="249"/>
      <c r="Y1927" s="249"/>
      <c r="Z1927" s="249"/>
    </row>
    <row r="1928" spans="1:26" s="152" customFormat="1" x14ac:dyDescent="0.25">
      <c r="A1928" s="249"/>
      <c r="B1928" s="249"/>
      <c r="C1928" s="249"/>
      <c r="D1928" s="249"/>
      <c r="E1928" s="249"/>
      <c r="F1928" s="249"/>
      <c r="G1928" s="249"/>
      <c r="H1928" s="249"/>
      <c r="I1928" s="258"/>
      <c r="J1928" s="249"/>
      <c r="K1928" s="249"/>
      <c r="L1928" s="249"/>
      <c r="M1928" s="259"/>
      <c r="N1928" s="249"/>
      <c r="O1928" s="249"/>
      <c r="P1928" s="249"/>
      <c r="Q1928" s="249"/>
      <c r="R1928" s="249"/>
      <c r="S1928" s="249"/>
      <c r="T1928" s="249"/>
      <c r="U1928" s="249"/>
      <c r="V1928" s="249"/>
      <c r="W1928" s="249"/>
      <c r="X1928" s="249"/>
      <c r="Y1928" s="249"/>
      <c r="Z1928" s="249"/>
    </row>
    <row r="1929" spans="1:26" s="152" customFormat="1" x14ac:dyDescent="0.25">
      <c r="A1929" s="249"/>
      <c r="B1929" s="249"/>
      <c r="C1929" s="249"/>
      <c r="D1929" s="249"/>
      <c r="E1929" s="249"/>
      <c r="F1929" s="249"/>
      <c r="G1929" s="249"/>
      <c r="H1929" s="249"/>
      <c r="I1929" s="258"/>
      <c r="J1929" s="249"/>
      <c r="K1929" s="249"/>
      <c r="L1929" s="249"/>
      <c r="M1929" s="259"/>
      <c r="N1929" s="249"/>
      <c r="O1929" s="249"/>
      <c r="P1929" s="249"/>
      <c r="Q1929" s="249"/>
      <c r="R1929" s="249"/>
      <c r="S1929" s="249"/>
      <c r="T1929" s="249"/>
      <c r="U1929" s="249"/>
      <c r="V1929" s="249"/>
      <c r="W1929" s="249"/>
      <c r="X1929" s="249"/>
      <c r="Y1929" s="249"/>
      <c r="Z1929" s="249"/>
    </row>
    <row r="1930" spans="1:26" s="152" customFormat="1" x14ac:dyDescent="0.25">
      <c r="A1930" s="249"/>
      <c r="B1930" s="249"/>
      <c r="C1930" s="249"/>
      <c r="D1930" s="249"/>
      <c r="E1930" s="249"/>
      <c r="F1930" s="249"/>
      <c r="G1930" s="249"/>
      <c r="H1930" s="249"/>
      <c r="I1930" s="258"/>
      <c r="J1930" s="249"/>
      <c r="K1930" s="249"/>
      <c r="L1930" s="249"/>
      <c r="M1930" s="259"/>
      <c r="N1930" s="249"/>
      <c r="O1930" s="249"/>
      <c r="P1930" s="249"/>
      <c r="Q1930" s="249"/>
      <c r="R1930" s="249"/>
      <c r="S1930" s="249"/>
      <c r="T1930" s="249"/>
      <c r="U1930" s="249"/>
      <c r="V1930" s="249"/>
      <c r="W1930" s="249"/>
      <c r="X1930" s="249"/>
      <c r="Y1930" s="249"/>
      <c r="Z1930" s="249"/>
    </row>
    <row r="1931" spans="1:26" s="152" customFormat="1" x14ac:dyDescent="0.25">
      <c r="A1931" s="249"/>
      <c r="B1931" s="249"/>
      <c r="C1931" s="249"/>
      <c r="D1931" s="249"/>
      <c r="E1931" s="249"/>
      <c r="F1931" s="249"/>
      <c r="G1931" s="249"/>
      <c r="H1931" s="249"/>
      <c r="I1931" s="258"/>
      <c r="J1931" s="249"/>
      <c r="K1931" s="249"/>
      <c r="L1931" s="249"/>
      <c r="M1931" s="259"/>
      <c r="N1931" s="249"/>
      <c r="O1931" s="249"/>
      <c r="P1931" s="249"/>
      <c r="Q1931" s="249"/>
      <c r="R1931" s="249"/>
      <c r="S1931" s="249"/>
      <c r="T1931" s="249"/>
      <c r="U1931" s="249"/>
      <c r="V1931" s="249"/>
      <c r="W1931" s="249"/>
      <c r="X1931" s="249"/>
      <c r="Y1931" s="249"/>
      <c r="Z1931" s="249"/>
    </row>
    <row r="1932" spans="1:26" s="152" customFormat="1" x14ac:dyDescent="0.25">
      <c r="A1932" s="249"/>
      <c r="B1932" s="249"/>
      <c r="C1932" s="249"/>
      <c r="D1932" s="249"/>
      <c r="E1932" s="249"/>
      <c r="F1932" s="249"/>
      <c r="G1932" s="249"/>
      <c r="H1932" s="249"/>
      <c r="I1932" s="258"/>
      <c r="J1932" s="249"/>
      <c r="K1932" s="249"/>
      <c r="L1932" s="249"/>
      <c r="M1932" s="259"/>
      <c r="N1932" s="249"/>
      <c r="O1932" s="249"/>
      <c r="P1932" s="249"/>
      <c r="Q1932" s="249"/>
      <c r="R1932" s="249"/>
      <c r="S1932" s="249"/>
      <c r="T1932" s="249"/>
      <c r="U1932" s="249"/>
      <c r="V1932" s="249"/>
      <c r="W1932" s="249"/>
      <c r="X1932" s="249"/>
      <c r="Y1932" s="249"/>
      <c r="Z1932" s="249"/>
    </row>
    <row r="1933" spans="1:26" s="152" customFormat="1" x14ac:dyDescent="0.25">
      <c r="A1933" s="249"/>
      <c r="B1933" s="249"/>
      <c r="C1933" s="249"/>
      <c r="D1933" s="249"/>
      <c r="E1933" s="249"/>
      <c r="F1933" s="249"/>
      <c r="G1933" s="249"/>
      <c r="H1933" s="249"/>
      <c r="I1933" s="258"/>
      <c r="J1933" s="249"/>
      <c r="K1933" s="249"/>
      <c r="L1933" s="249"/>
      <c r="M1933" s="259"/>
      <c r="N1933" s="249"/>
      <c r="O1933" s="249"/>
      <c r="P1933" s="249"/>
      <c r="Q1933" s="249"/>
      <c r="R1933" s="249"/>
      <c r="S1933" s="249"/>
      <c r="T1933" s="249"/>
      <c r="U1933" s="249"/>
      <c r="V1933" s="249"/>
      <c r="W1933" s="249"/>
      <c r="X1933" s="249"/>
      <c r="Y1933" s="249"/>
      <c r="Z1933" s="249"/>
    </row>
    <row r="1934" spans="1:26" s="152" customFormat="1" x14ac:dyDescent="0.25">
      <c r="A1934" s="249"/>
      <c r="B1934" s="249"/>
      <c r="C1934" s="249"/>
      <c r="D1934" s="249"/>
      <c r="E1934" s="249"/>
      <c r="F1934" s="249"/>
      <c r="G1934" s="249"/>
      <c r="H1934" s="249"/>
      <c r="I1934" s="258"/>
      <c r="J1934" s="249"/>
      <c r="K1934" s="249"/>
      <c r="L1934" s="249"/>
      <c r="M1934" s="259"/>
      <c r="N1934" s="249"/>
      <c r="O1934" s="249"/>
      <c r="P1934" s="249"/>
      <c r="Q1934" s="249"/>
      <c r="R1934" s="249"/>
      <c r="S1934" s="249"/>
      <c r="T1934" s="249"/>
      <c r="U1934" s="249"/>
      <c r="V1934" s="249"/>
      <c r="W1934" s="249"/>
      <c r="X1934" s="249"/>
      <c r="Y1934" s="249"/>
      <c r="Z1934" s="249"/>
    </row>
    <row r="1935" spans="1:26" s="152" customFormat="1" x14ac:dyDescent="0.25">
      <c r="A1935" s="249"/>
      <c r="B1935" s="249"/>
      <c r="C1935" s="249"/>
      <c r="D1935" s="249"/>
      <c r="E1935" s="249"/>
      <c r="F1935" s="249"/>
      <c r="G1935" s="249"/>
      <c r="H1935" s="249"/>
      <c r="I1935" s="258"/>
      <c r="J1935" s="249"/>
      <c r="K1935" s="249"/>
      <c r="L1935" s="249"/>
      <c r="M1935" s="259"/>
      <c r="N1935" s="249"/>
      <c r="O1935" s="249"/>
      <c r="P1935" s="249"/>
      <c r="Q1935" s="249"/>
      <c r="R1935" s="249"/>
      <c r="S1935" s="249"/>
      <c r="T1935" s="249"/>
      <c r="U1935" s="249"/>
      <c r="V1935" s="249"/>
      <c r="W1935" s="249"/>
      <c r="X1935" s="249"/>
      <c r="Y1935" s="249"/>
      <c r="Z1935" s="249"/>
    </row>
    <row r="1936" spans="1:26" s="152" customFormat="1" x14ac:dyDescent="0.25">
      <c r="A1936" s="249"/>
      <c r="B1936" s="249"/>
      <c r="C1936" s="249"/>
      <c r="D1936" s="249"/>
      <c r="E1936" s="249"/>
      <c r="F1936" s="249"/>
      <c r="G1936" s="249"/>
      <c r="H1936" s="249"/>
      <c r="I1936" s="258"/>
      <c r="J1936" s="249"/>
      <c r="K1936" s="249"/>
      <c r="L1936" s="249"/>
      <c r="M1936" s="259"/>
      <c r="N1936" s="249"/>
      <c r="O1936" s="249"/>
      <c r="P1936" s="249"/>
      <c r="Q1936" s="249"/>
      <c r="R1936" s="249"/>
      <c r="S1936" s="249"/>
      <c r="T1936" s="249"/>
      <c r="U1936" s="249"/>
      <c r="V1936" s="249"/>
      <c r="W1936" s="249"/>
      <c r="X1936" s="249"/>
      <c r="Y1936" s="249"/>
      <c r="Z1936" s="249"/>
    </row>
    <row r="1937" spans="1:26" s="152" customFormat="1" x14ac:dyDescent="0.25">
      <c r="A1937" s="249"/>
      <c r="B1937" s="249"/>
      <c r="C1937" s="249"/>
      <c r="D1937" s="249"/>
      <c r="E1937" s="249"/>
      <c r="F1937" s="249"/>
      <c r="G1937" s="249"/>
      <c r="H1937" s="249"/>
      <c r="I1937" s="258"/>
      <c r="J1937" s="249"/>
      <c r="K1937" s="249"/>
      <c r="L1937" s="249"/>
      <c r="M1937" s="259"/>
      <c r="N1937" s="249"/>
      <c r="O1937" s="249"/>
      <c r="P1937" s="249"/>
      <c r="Q1937" s="249"/>
      <c r="R1937" s="249"/>
      <c r="S1937" s="249"/>
      <c r="T1937" s="249"/>
      <c r="U1937" s="249"/>
      <c r="V1937" s="249"/>
      <c r="W1937" s="249"/>
      <c r="X1937" s="249"/>
      <c r="Y1937" s="249"/>
      <c r="Z1937" s="249"/>
    </row>
    <row r="1938" spans="1:26" s="152" customFormat="1" x14ac:dyDescent="0.25">
      <c r="A1938" s="249"/>
      <c r="B1938" s="249"/>
      <c r="C1938" s="249"/>
      <c r="D1938" s="249"/>
      <c r="E1938" s="249"/>
      <c r="F1938" s="249"/>
      <c r="G1938" s="249"/>
      <c r="H1938" s="249"/>
      <c r="I1938" s="258"/>
      <c r="J1938" s="249"/>
      <c r="K1938" s="249"/>
      <c r="L1938" s="249"/>
      <c r="M1938" s="259"/>
      <c r="N1938" s="249"/>
      <c r="O1938" s="249"/>
      <c r="P1938" s="249"/>
      <c r="Q1938" s="249"/>
      <c r="R1938" s="249"/>
      <c r="S1938" s="249"/>
      <c r="T1938" s="249"/>
      <c r="U1938" s="249"/>
      <c r="V1938" s="249"/>
      <c r="W1938" s="249"/>
      <c r="X1938" s="249"/>
      <c r="Y1938" s="249"/>
      <c r="Z1938" s="249"/>
    </row>
    <row r="1939" spans="1:26" s="152" customFormat="1" x14ac:dyDescent="0.25">
      <c r="A1939" s="249"/>
      <c r="B1939" s="249"/>
      <c r="C1939" s="249"/>
      <c r="D1939" s="249"/>
      <c r="E1939" s="249"/>
      <c r="F1939" s="249"/>
      <c r="G1939" s="249"/>
      <c r="H1939" s="249"/>
      <c r="I1939" s="258"/>
      <c r="J1939" s="249"/>
      <c r="K1939" s="249"/>
      <c r="L1939" s="249"/>
      <c r="M1939" s="259"/>
      <c r="N1939" s="249"/>
      <c r="O1939" s="249"/>
      <c r="P1939" s="249"/>
      <c r="Q1939" s="249"/>
      <c r="R1939" s="249"/>
      <c r="S1939" s="249"/>
      <c r="T1939" s="249"/>
      <c r="U1939" s="249"/>
      <c r="V1939" s="249"/>
      <c r="W1939" s="249"/>
      <c r="X1939" s="249"/>
      <c r="Y1939" s="249"/>
      <c r="Z1939" s="249"/>
    </row>
    <row r="1940" spans="1:26" s="152" customFormat="1" x14ac:dyDescent="0.25">
      <c r="A1940" s="249"/>
      <c r="B1940" s="249"/>
      <c r="C1940" s="249"/>
      <c r="D1940" s="249"/>
      <c r="E1940" s="249"/>
      <c r="F1940" s="249"/>
      <c r="G1940" s="249"/>
      <c r="H1940" s="249"/>
      <c r="I1940" s="258"/>
      <c r="J1940" s="249"/>
      <c r="K1940" s="249"/>
      <c r="L1940" s="249"/>
      <c r="M1940" s="259"/>
      <c r="N1940" s="249"/>
      <c r="O1940" s="249"/>
      <c r="P1940" s="249"/>
      <c r="Q1940" s="249"/>
      <c r="R1940" s="249"/>
      <c r="S1940" s="249"/>
      <c r="T1940" s="249"/>
      <c r="U1940" s="249"/>
      <c r="V1940" s="249"/>
      <c r="W1940" s="249"/>
      <c r="X1940" s="249"/>
      <c r="Y1940" s="249"/>
      <c r="Z1940" s="249"/>
    </row>
    <row r="1941" spans="1:26" s="152" customFormat="1" x14ac:dyDescent="0.25">
      <c r="A1941" s="249"/>
      <c r="B1941" s="249"/>
      <c r="C1941" s="249"/>
      <c r="D1941" s="249"/>
      <c r="E1941" s="249"/>
      <c r="F1941" s="249"/>
      <c r="G1941" s="249"/>
      <c r="H1941" s="249"/>
      <c r="I1941" s="258"/>
      <c r="J1941" s="249"/>
      <c r="K1941" s="249"/>
      <c r="L1941" s="249"/>
      <c r="M1941" s="259"/>
      <c r="N1941" s="249"/>
      <c r="O1941" s="249"/>
      <c r="P1941" s="249"/>
      <c r="Q1941" s="249"/>
      <c r="R1941" s="249"/>
      <c r="S1941" s="249"/>
      <c r="T1941" s="249"/>
      <c r="U1941" s="249"/>
      <c r="V1941" s="249"/>
      <c r="W1941" s="249"/>
      <c r="X1941" s="249"/>
      <c r="Y1941" s="249"/>
      <c r="Z1941" s="249"/>
    </row>
    <row r="1942" spans="1:26" s="152" customFormat="1" x14ac:dyDescent="0.25">
      <c r="A1942" s="249"/>
      <c r="B1942" s="249"/>
      <c r="C1942" s="249"/>
      <c r="D1942" s="249"/>
      <c r="E1942" s="249"/>
      <c r="F1942" s="249"/>
      <c r="G1942" s="249"/>
      <c r="H1942" s="249"/>
      <c r="I1942" s="258"/>
      <c r="J1942" s="249"/>
      <c r="K1942" s="249"/>
      <c r="L1942" s="249"/>
      <c r="M1942" s="259"/>
      <c r="N1942" s="249"/>
      <c r="O1942" s="249"/>
      <c r="P1942" s="249"/>
      <c r="Q1942" s="249"/>
      <c r="R1942" s="249"/>
      <c r="S1942" s="249"/>
      <c r="T1942" s="249"/>
      <c r="U1942" s="249"/>
      <c r="V1942" s="249"/>
      <c r="W1942" s="249"/>
      <c r="X1942" s="249"/>
      <c r="Y1942" s="249"/>
      <c r="Z1942" s="249"/>
    </row>
    <row r="1943" spans="1:26" s="152" customFormat="1" x14ac:dyDescent="0.25">
      <c r="A1943" s="249"/>
      <c r="B1943" s="249"/>
      <c r="C1943" s="249"/>
      <c r="D1943" s="249"/>
      <c r="E1943" s="249"/>
      <c r="F1943" s="249"/>
      <c r="G1943" s="249"/>
      <c r="H1943" s="249"/>
      <c r="I1943" s="258"/>
      <c r="J1943" s="249"/>
      <c r="K1943" s="249"/>
      <c r="L1943" s="249"/>
      <c r="M1943" s="259"/>
      <c r="N1943" s="249"/>
      <c r="O1943" s="249"/>
      <c r="P1943" s="249"/>
      <c r="Q1943" s="249"/>
      <c r="R1943" s="249"/>
      <c r="S1943" s="249"/>
      <c r="T1943" s="249"/>
      <c r="U1943" s="249"/>
      <c r="V1943" s="249"/>
      <c r="W1943" s="249"/>
      <c r="X1943" s="249"/>
      <c r="Y1943" s="249"/>
      <c r="Z1943" s="249"/>
    </row>
    <row r="1944" spans="1:26" s="152" customFormat="1" x14ac:dyDescent="0.25">
      <c r="A1944" s="249"/>
      <c r="B1944" s="249"/>
      <c r="C1944" s="249"/>
      <c r="D1944" s="249"/>
      <c r="E1944" s="249"/>
      <c r="F1944" s="249"/>
      <c r="G1944" s="249"/>
      <c r="H1944" s="249"/>
      <c r="I1944" s="258"/>
      <c r="J1944" s="249"/>
      <c r="K1944" s="249"/>
      <c r="L1944" s="249"/>
      <c r="M1944" s="259"/>
      <c r="N1944" s="249"/>
      <c r="O1944" s="249"/>
      <c r="P1944" s="249"/>
      <c r="Q1944" s="249"/>
      <c r="R1944" s="249"/>
      <c r="S1944" s="249"/>
      <c r="T1944" s="249"/>
      <c r="U1944" s="249"/>
      <c r="V1944" s="249"/>
      <c r="W1944" s="249"/>
      <c r="X1944" s="249"/>
      <c r="Y1944" s="249"/>
      <c r="Z1944" s="249"/>
    </row>
    <row r="1945" spans="1:26" s="152" customFormat="1" x14ac:dyDescent="0.25">
      <c r="A1945" s="249"/>
      <c r="B1945" s="249"/>
      <c r="C1945" s="249"/>
      <c r="D1945" s="249"/>
      <c r="E1945" s="249"/>
      <c r="F1945" s="249"/>
      <c r="G1945" s="249"/>
      <c r="H1945" s="249"/>
      <c r="I1945" s="258"/>
      <c r="J1945" s="249"/>
      <c r="K1945" s="249"/>
      <c r="L1945" s="249"/>
      <c r="M1945" s="259"/>
      <c r="N1945" s="249"/>
      <c r="O1945" s="249"/>
      <c r="P1945" s="249"/>
      <c r="Q1945" s="249"/>
      <c r="R1945" s="249"/>
      <c r="S1945" s="249"/>
      <c r="T1945" s="249"/>
      <c r="U1945" s="249"/>
      <c r="V1945" s="249"/>
      <c r="W1945" s="249"/>
      <c r="X1945" s="249"/>
      <c r="Y1945" s="249"/>
      <c r="Z1945" s="249"/>
    </row>
    <row r="1946" spans="1:26" s="152" customFormat="1" x14ac:dyDescent="0.25">
      <c r="A1946" s="249"/>
      <c r="B1946" s="249"/>
      <c r="C1946" s="249"/>
      <c r="D1946" s="249"/>
      <c r="E1946" s="249"/>
      <c r="F1946" s="249"/>
      <c r="G1946" s="249"/>
      <c r="H1946" s="249"/>
      <c r="I1946" s="258"/>
      <c r="J1946" s="249"/>
      <c r="K1946" s="249"/>
      <c r="L1946" s="249"/>
      <c r="M1946" s="259"/>
      <c r="N1946" s="249"/>
      <c r="O1946" s="249"/>
      <c r="P1946" s="249"/>
      <c r="Q1946" s="249"/>
      <c r="R1946" s="249"/>
      <c r="S1946" s="249"/>
      <c r="T1946" s="249"/>
      <c r="U1946" s="249"/>
      <c r="V1946" s="249"/>
      <c r="W1946" s="249"/>
      <c r="X1946" s="249"/>
      <c r="Y1946" s="249"/>
      <c r="Z1946" s="249"/>
    </row>
    <row r="1947" spans="1:26" s="152" customFormat="1" x14ac:dyDescent="0.25">
      <c r="A1947" s="249"/>
      <c r="B1947" s="249"/>
      <c r="C1947" s="249"/>
      <c r="D1947" s="249"/>
      <c r="E1947" s="249"/>
      <c r="F1947" s="249"/>
      <c r="G1947" s="249"/>
      <c r="H1947" s="249"/>
      <c r="I1947" s="258"/>
      <c r="J1947" s="249"/>
      <c r="K1947" s="249"/>
      <c r="L1947" s="249"/>
      <c r="M1947" s="259"/>
      <c r="N1947" s="249"/>
      <c r="O1947" s="249"/>
      <c r="P1947" s="249"/>
      <c r="Q1947" s="249"/>
      <c r="R1947" s="249"/>
      <c r="S1947" s="249"/>
      <c r="T1947" s="249"/>
      <c r="U1947" s="249"/>
      <c r="V1947" s="249"/>
      <c r="W1947" s="249"/>
      <c r="X1947" s="249"/>
      <c r="Y1947" s="249"/>
      <c r="Z1947" s="249"/>
    </row>
    <row r="1948" spans="1:26" s="152" customFormat="1" x14ac:dyDescent="0.25">
      <c r="A1948" s="249"/>
      <c r="B1948" s="249"/>
      <c r="C1948" s="249"/>
      <c r="D1948" s="249"/>
      <c r="E1948" s="249"/>
      <c r="F1948" s="249"/>
      <c r="G1948" s="249"/>
      <c r="H1948" s="249"/>
      <c r="I1948" s="258"/>
      <c r="J1948" s="249"/>
      <c r="K1948" s="249"/>
      <c r="L1948" s="249"/>
      <c r="M1948" s="259"/>
      <c r="N1948" s="249"/>
      <c r="O1948" s="249"/>
      <c r="P1948" s="249"/>
      <c r="Q1948" s="249"/>
      <c r="R1948" s="249"/>
      <c r="S1948" s="249"/>
      <c r="T1948" s="249"/>
      <c r="U1948" s="249"/>
      <c r="V1948" s="249"/>
      <c r="W1948" s="249"/>
      <c r="X1948" s="249"/>
      <c r="Y1948" s="249"/>
      <c r="Z1948" s="249"/>
    </row>
    <row r="1949" spans="1:26" s="152" customFormat="1" x14ac:dyDescent="0.25">
      <c r="A1949" s="249"/>
      <c r="B1949" s="249"/>
      <c r="C1949" s="249"/>
      <c r="D1949" s="249"/>
      <c r="E1949" s="249"/>
      <c r="F1949" s="249"/>
      <c r="G1949" s="249"/>
      <c r="H1949" s="249"/>
      <c r="I1949" s="258"/>
      <c r="J1949" s="249"/>
      <c r="K1949" s="249"/>
      <c r="L1949" s="249"/>
      <c r="M1949" s="259"/>
      <c r="N1949" s="249"/>
      <c r="O1949" s="249"/>
      <c r="P1949" s="249"/>
      <c r="Q1949" s="249"/>
      <c r="R1949" s="249"/>
      <c r="S1949" s="249"/>
      <c r="T1949" s="249"/>
      <c r="U1949" s="249"/>
      <c r="V1949" s="249"/>
      <c r="W1949" s="249"/>
      <c r="X1949" s="249"/>
      <c r="Y1949" s="249"/>
      <c r="Z1949" s="249"/>
    </row>
    <row r="1950" spans="1:26" s="152" customFormat="1" x14ac:dyDescent="0.25">
      <c r="A1950" s="249"/>
      <c r="B1950" s="249"/>
      <c r="C1950" s="249"/>
      <c r="D1950" s="249"/>
      <c r="E1950" s="249"/>
      <c r="F1950" s="249"/>
      <c r="G1950" s="249"/>
      <c r="H1950" s="249"/>
      <c r="I1950" s="258"/>
      <c r="J1950" s="249"/>
      <c r="K1950" s="249"/>
      <c r="L1950" s="249"/>
      <c r="M1950" s="259"/>
      <c r="N1950" s="249"/>
      <c r="O1950" s="249"/>
      <c r="P1950" s="249"/>
      <c r="Q1950" s="249"/>
      <c r="R1950" s="249"/>
      <c r="S1950" s="249"/>
      <c r="T1950" s="249"/>
      <c r="U1950" s="249"/>
      <c r="V1950" s="249"/>
      <c r="W1950" s="249"/>
      <c r="X1950" s="249"/>
      <c r="Y1950" s="249"/>
      <c r="Z1950" s="249"/>
    </row>
    <row r="1951" spans="1:26" s="152" customFormat="1" x14ac:dyDescent="0.25">
      <c r="A1951" s="249"/>
      <c r="B1951" s="249"/>
      <c r="C1951" s="249"/>
      <c r="D1951" s="249"/>
      <c r="E1951" s="249"/>
      <c r="F1951" s="249"/>
      <c r="G1951" s="249"/>
      <c r="H1951" s="249"/>
      <c r="I1951" s="258"/>
      <c r="J1951" s="249"/>
      <c r="K1951" s="249"/>
      <c r="L1951" s="249"/>
      <c r="M1951" s="259"/>
      <c r="N1951" s="249"/>
      <c r="O1951" s="249"/>
      <c r="P1951" s="249"/>
      <c r="Q1951" s="249"/>
      <c r="R1951" s="249"/>
      <c r="S1951" s="249"/>
      <c r="T1951" s="249"/>
      <c r="U1951" s="249"/>
      <c r="V1951" s="249"/>
      <c r="W1951" s="249"/>
      <c r="X1951" s="249"/>
      <c r="Y1951" s="249"/>
      <c r="Z1951" s="249"/>
    </row>
    <row r="1952" spans="1:26" s="152" customFormat="1" x14ac:dyDescent="0.25">
      <c r="A1952" s="249"/>
      <c r="B1952" s="249"/>
      <c r="C1952" s="249"/>
      <c r="D1952" s="249"/>
      <c r="E1952" s="249"/>
      <c r="F1952" s="249"/>
      <c r="G1952" s="249"/>
      <c r="H1952" s="249"/>
      <c r="I1952" s="258"/>
      <c r="J1952" s="249"/>
      <c r="K1952" s="249"/>
      <c r="L1952" s="249"/>
      <c r="M1952" s="259"/>
      <c r="N1952" s="249"/>
      <c r="O1952" s="249"/>
      <c r="P1952" s="249"/>
      <c r="Q1952" s="249"/>
      <c r="R1952" s="249"/>
      <c r="S1952" s="249"/>
      <c r="T1952" s="249"/>
      <c r="U1952" s="249"/>
      <c r="V1952" s="249"/>
      <c r="W1952" s="249"/>
      <c r="X1952" s="249"/>
      <c r="Y1952" s="249"/>
      <c r="Z1952" s="249"/>
    </row>
    <row r="1953" spans="1:26" s="152" customFormat="1" x14ac:dyDescent="0.25">
      <c r="A1953" s="249"/>
      <c r="B1953" s="249"/>
      <c r="C1953" s="249"/>
      <c r="D1953" s="249"/>
      <c r="E1953" s="249"/>
      <c r="F1953" s="249"/>
      <c r="G1953" s="249"/>
      <c r="H1953" s="249"/>
      <c r="I1953" s="258"/>
      <c r="J1953" s="249"/>
      <c r="K1953" s="249"/>
      <c r="L1953" s="249"/>
      <c r="M1953" s="259"/>
      <c r="N1953" s="249"/>
      <c r="O1953" s="249"/>
      <c r="P1953" s="249"/>
      <c r="Q1953" s="249"/>
      <c r="R1953" s="249"/>
      <c r="S1953" s="249"/>
      <c r="T1953" s="249"/>
      <c r="U1953" s="249"/>
      <c r="V1953" s="249"/>
      <c r="W1953" s="249"/>
      <c r="X1953" s="249"/>
      <c r="Y1953" s="249"/>
      <c r="Z1953" s="249"/>
    </row>
    <row r="1954" spans="1:26" s="152" customFormat="1" x14ac:dyDescent="0.25">
      <c r="A1954" s="249"/>
      <c r="B1954" s="249"/>
      <c r="C1954" s="249"/>
      <c r="D1954" s="249"/>
      <c r="E1954" s="249"/>
      <c r="F1954" s="249"/>
      <c r="G1954" s="249"/>
      <c r="H1954" s="249"/>
      <c r="I1954" s="258"/>
      <c r="J1954" s="249"/>
      <c r="K1954" s="249"/>
      <c r="L1954" s="249"/>
      <c r="M1954" s="259"/>
      <c r="N1954" s="249"/>
      <c r="O1954" s="249"/>
      <c r="P1954" s="249"/>
      <c r="Q1954" s="249"/>
      <c r="R1954" s="249"/>
      <c r="S1954" s="249"/>
      <c r="T1954" s="249"/>
      <c r="U1954" s="249"/>
      <c r="V1954" s="249"/>
      <c r="W1954" s="249"/>
      <c r="X1954" s="249"/>
      <c r="Y1954" s="249"/>
      <c r="Z1954" s="249"/>
    </row>
    <row r="1955" spans="1:26" s="152" customFormat="1" x14ac:dyDescent="0.25">
      <c r="A1955" s="249"/>
      <c r="B1955" s="249"/>
      <c r="C1955" s="249"/>
      <c r="D1955" s="249"/>
      <c r="E1955" s="249"/>
      <c r="F1955" s="249"/>
      <c r="G1955" s="249"/>
      <c r="H1955" s="249"/>
      <c r="I1955" s="258"/>
      <c r="J1955" s="249"/>
      <c r="K1955" s="249"/>
      <c r="L1955" s="249"/>
      <c r="M1955" s="259"/>
      <c r="N1955" s="249"/>
      <c r="O1955" s="249"/>
      <c r="P1955" s="249"/>
      <c r="Q1955" s="249"/>
      <c r="R1955" s="249"/>
      <c r="S1955" s="249"/>
      <c r="T1955" s="249"/>
      <c r="U1955" s="249"/>
      <c r="V1955" s="249"/>
      <c r="W1955" s="249"/>
      <c r="X1955" s="249"/>
      <c r="Y1955" s="249"/>
      <c r="Z1955" s="249"/>
    </row>
    <row r="1956" spans="1:26" s="152" customFormat="1" x14ac:dyDescent="0.25">
      <c r="A1956" s="249"/>
      <c r="B1956" s="249"/>
      <c r="C1956" s="249"/>
      <c r="D1956" s="249"/>
      <c r="E1956" s="249"/>
      <c r="F1956" s="249"/>
      <c r="G1956" s="249"/>
      <c r="H1956" s="249"/>
      <c r="I1956" s="258"/>
      <c r="J1956" s="249"/>
      <c r="K1956" s="249"/>
      <c r="L1956" s="249"/>
      <c r="M1956" s="259"/>
      <c r="N1956" s="249"/>
      <c r="O1956" s="249"/>
      <c r="P1956" s="249"/>
      <c r="Q1956" s="249"/>
      <c r="R1956" s="249"/>
      <c r="S1956" s="249"/>
      <c r="T1956" s="249"/>
      <c r="U1956" s="249"/>
      <c r="V1956" s="249"/>
      <c r="W1956" s="249"/>
      <c r="X1956" s="249"/>
      <c r="Y1956" s="249"/>
      <c r="Z1956" s="249"/>
    </row>
    <row r="1957" spans="1:26" s="152" customFormat="1" x14ac:dyDescent="0.25">
      <c r="A1957" s="249"/>
      <c r="B1957" s="249"/>
      <c r="C1957" s="249"/>
      <c r="D1957" s="249"/>
      <c r="E1957" s="249"/>
      <c r="F1957" s="249"/>
      <c r="G1957" s="249"/>
      <c r="H1957" s="249"/>
      <c r="I1957" s="258"/>
      <c r="J1957" s="249"/>
      <c r="K1957" s="249"/>
      <c r="L1957" s="249"/>
      <c r="M1957" s="259"/>
      <c r="N1957" s="249"/>
      <c r="O1957" s="249"/>
      <c r="P1957" s="249"/>
      <c r="Q1957" s="249"/>
      <c r="R1957" s="249"/>
      <c r="S1957" s="249"/>
      <c r="T1957" s="249"/>
      <c r="U1957" s="249"/>
      <c r="V1957" s="249"/>
      <c r="W1957" s="249"/>
      <c r="X1957" s="249"/>
      <c r="Y1957" s="249"/>
      <c r="Z1957" s="249"/>
    </row>
    <row r="1958" spans="1:26" s="152" customFormat="1" x14ac:dyDescent="0.25">
      <c r="A1958" s="249"/>
      <c r="B1958" s="249"/>
      <c r="C1958" s="249"/>
      <c r="D1958" s="249"/>
      <c r="E1958" s="249"/>
      <c r="F1958" s="249"/>
      <c r="G1958" s="249"/>
      <c r="H1958" s="249"/>
      <c r="I1958" s="258"/>
      <c r="J1958" s="249"/>
      <c r="K1958" s="249"/>
      <c r="L1958" s="249"/>
      <c r="M1958" s="259"/>
      <c r="N1958" s="249"/>
      <c r="O1958" s="249"/>
      <c r="P1958" s="249"/>
      <c r="Q1958" s="249"/>
      <c r="R1958" s="249"/>
      <c r="S1958" s="249"/>
      <c r="T1958" s="249"/>
      <c r="U1958" s="249"/>
      <c r="V1958" s="249"/>
      <c r="W1958" s="249"/>
      <c r="X1958" s="249"/>
      <c r="Y1958" s="249"/>
      <c r="Z1958" s="249"/>
    </row>
    <row r="1959" spans="1:26" s="152" customFormat="1" x14ac:dyDescent="0.25">
      <c r="A1959" s="249"/>
      <c r="B1959" s="249"/>
      <c r="C1959" s="249"/>
      <c r="D1959" s="249"/>
      <c r="E1959" s="249"/>
      <c r="F1959" s="249"/>
      <c r="G1959" s="249"/>
      <c r="H1959" s="249"/>
      <c r="I1959" s="258"/>
      <c r="J1959" s="249"/>
      <c r="K1959" s="249"/>
      <c r="L1959" s="249"/>
      <c r="M1959" s="259"/>
      <c r="N1959" s="249"/>
      <c r="O1959" s="249"/>
      <c r="P1959" s="249"/>
      <c r="Q1959" s="249"/>
      <c r="R1959" s="249"/>
      <c r="S1959" s="249"/>
      <c r="T1959" s="249"/>
      <c r="U1959" s="249"/>
      <c r="V1959" s="249"/>
      <c r="W1959" s="249"/>
      <c r="X1959" s="249"/>
      <c r="Y1959" s="249"/>
      <c r="Z1959" s="249"/>
    </row>
    <row r="1960" spans="1:26" s="152" customFormat="1" x14ac:dyDescent="0.25">
      <c r="A1960" s="249"/>
      <c r="B1960" s="249"/>
      <c r="C1960" s="249"/>
      <c r="D1960" s="249"/>
      <c r="E1960" s="249"/>
      <c r="F1960" s="249"/>
      <c r="G1960" s="249"/>
      <c r="H1960" s="249"/>
      <c r="I1960" s="258"/>
      <c r="J1960" s="249"/>
      <c r="K1960" s="249"/>
      <c r="L1960" s="249"/>
      <c r="M1960" s="259"/>
      <c r="N1960" s="249"/>
      <c r="O1960" s="249"/>
      <c r="P1960" s="249"/>
      <c r="Q1960" s="249"/>
      <c r="R1960" s="249"/>
      <c r="S1960" s="249"/>
      <c r="T1960" s="249"/>
      <c r="U1960" s="249"/>
      <c r="V1960" s="249"/>
      <c r="W1960" s="249"/>
      <c r="X1960" s="249"/>
      <c r="Y1960" s="249"/>
      <c r="Z1960" s="249"/>
    </row>
    <row r="1961" spans="1:26" s="152" customFormat="1" x14ac:dyDescent="0.25">
      <c r="A1961" s="249"/>
      <c r="B1961" s="249"/>
      <c r="C1961" s="249"/>
      <c r="D1961" s="249"/>
      <c r="E1961" s="249"/>
      <c r="F1961" s="249"/>
      <c r="G1961" s="249"/>
      <c r="H1961" s="249"/>
      <c r="I1961" s="258"/>
      <c r="J1961" s="249"/>
      <c r="K1961" s="249"/>
      <c r="L1961" s="249"/>
      <c r="M1961" s="259"/>
      <c r="N1961" s="249"/>
      <c r="O1961" s="249"/>
      <c r="P1961" s="249"/>
      <c r="Q1961" s="249"/>
      <c r="R1961" s="249"/>
      <c r="S1961" s="249"/>
      <c r="T1961" s="249"/>
      <c r="U1961" s="249"/>
      <c r="V1961" s="249"/>
      <c r="W1961" s="249"/>
      <c r="X1961" s="249"/>
      <c r="Y1961" s="249"/>
      <c r="Z1961" s="249"/>
    </row>
    <row r="1962" spans="1:26" s="152" customFormat="1" x14ac:dyDescent="0.25">
      <c r="A1962" s="249"/>
      <c r="B1962" s="249"/>
      <c r="C1962" s="249"/>
      <c r="D1962" s="249"/>
      <c r="E1962" s="249"/>
      <c r="F1962" s="249"/>
      <c r="G1962" s="249"/>
      <c r="H1962" s="249"/>
      <c r="I1962" s="258"/>
      <c r="J1962" s="249"/>
      <c r="K1962" s="249"/>
      <c r="L1962" s="249"/>
      <c r="M1962" s="259"/>
      <c r="N1962" s="249"/>
      <c r="O1962" s="249"/>
      <c r="P1962" s="249"/>
      <c r="Q1962" s="249"/>
      <c r="R1962" s="249"/>
      <c r="S1962" s="249"/>
      <c r="T1962" s="249"/>
      <c r="U1962" s="249"/>
      <c r="V1962" s="249"/>
      <c r="W1962" s="249"/>
      <c r="X1962" s="249"/>
      <c r="Y1962" s="249"/>
      <c r="Z1962" s="249"/>
    </row>
    <row r="1963" spans="1:26" s="152" customFormat="1" x14ac:dyDescent="0.25">
      <c r="A1963" s="249"/>
      <c r="B1963" s="249"/>
      <c r="C1963" s="249"/>
      <c r="D1963" s="249"/>
      <c r="E1963" s="249"/>
      <c r="F1963" s="249"/>
      <c r="G1963" s="249"/>
      <c r="H1963" s="249"/>
      <c r="I1963" s="258"/>
      <c r="J1963" s="249"/>
      <c r="K1963" s="249"/>
      <c r="L1963" s="249"/>
      <c r="M1963" s="259"/>
      <c r="N1963" s="249"/>
      <c r="O1963" s="249"/>
      <c r="P1963" s="249"/>
      <c r="Q1963" s="249"/>
      <c r="R1963" s="249"/>
      <c r="S1963" s="249"/>
      <c r="T1963" s="249"/>
      <c r="U1963" s="249"/>
      <c r="V1963" s="249"/>
      <c r="W1963" s="249"/>
      <c r="X1963" s="249"/>
      <c r="Y1963" s="249"/>
      <c r="Z1963" s="249"/>
    </row>
    <row r="1964" spans="1:26" s="152" customFormat="1" x14ac:dyDescent="0.25">
      <c r="A1964" s="249"/>
      <c r="B1964" s="249"/>
      <c r="C1964" s="249"/>
      <c r="D1964" s="249"/>
      <c r="E1964" s="249"/>
      <c r="F1964" s="249"/>
      <c r="G1964" s="249"/>
      <c r="H1964" s="249"/>
      <c r="I1964" s="258"/>
      <c r="J1964" s="249"/>
      <c r="K1964" s="249"/>
      <c r="L1964" s="249"/>
      <c r="M1964" s="259"/>
      <c r="N1964" s="249"/>
      <c r="O1964" s="249"/>
      <c r="P1964" s="249"/>
      <c r="Q1964" s="249"/>
      <c r="R1964" s="249"/>
      <c r="S1964" s="249"/>
      <c r="T1964" s="249"/>
      <c r="U1964" s="249"/>
      <c r="V1964" s="249"/>
      <c r="W1964" s="249"/>
      <c r="X1964" s="249"/>
      <c r="Y1964" s="249"/>
      <c r="Z1964" s="249"/>
    </row>
    <row r="1965" spans="1:26" s="152" customFormat="1" x14ac:dyDescent="0.25">
      <c r="A1965" s="249"/>
      <c r="B1965" s="249"/>
      <c r="C1965" s="249"/>
      <c r="D1965" s="249"/>
      <c r="E1965" s="249"/>
      <c r="F1965" s="249"/>
      <c r="G1965" s="249"/>
      <c r="H1965" s="249"/>
      <c r="I1965" s="258"/>
      <c r="J1965" s="249"/>
      <c r="K1965" s="249"/>
      <c r="L1965" s="249"/>
      <c r="M1965" s="259"/>
      <c r="N1965" s="249"/>
      <c r="O1965" s="249"/>
      <c r="P1965" s="249"/>
      <c r="Q1965" s="249"/>
      <c r="R1965" s="249"/>
      <c r="S1965" s="249"/>
      <c r="T1965" s="249"/>
      <c r="U1965" s="249"/>
      <c r="V1965" s="249"/>
      <c r="W1965" s="249"/>
      <c r="X1965" s="249"/>
      <c r="Y1965" s="249"/>
      <c r="Z1965" s="249"/>
    </row>
    <row r="1966" spans="1:26" s="152" customFormat="1" x14ac:dyDescent="0.25">
      <c r="A1966" s="249"/>
      <c r="B1966" s="249"/>
      <c r="C1966" s="249"/>
      <c r="D1966" s="249"/>
      <c r="E1966" s="249"/>
      <c r="F1966" s="249"/>
      <c r="G1966" s="249"/>
      <c r="H1966" s="249"/>
      <c r="I1966" s="258"/>
      <c r="J1966" s="249"/>
      <c r="K1966" s="249"/>
      <c r="L1966" s="249"/>
      <c r="M1966" s="259"/>
      <c r="N1966" s="249"/>
      <c r="O1966" s="249"/>
      <c r="P1966" s="249"/>
      <c r="Q1966" s="249"/>
      <c r="R1966" s="249"/>
      <c r="S1966" s="249"/>
      <c r="T1966" s="249"/>
      <c r="U1966" s="249"/>
      <c r="V1966" s="249"/>
      <c r="W1966" s="249"/>
      <c r="X1966" s="249"/>
      <c r="Y1966" s="249"/>
      <c r="Z1966" s="249"/>
    </row>
    <row r="1967" spans="1:26" s="152" customFormat="1" x14ac:dyDescent="0.25">
      <c r="A1967" s="249"/>
      <c r="B1967" s="249"/>
      <c r="C1967" s="249"/>
      <c r="D1967" s="249"/>
      <c r="E1967" s="249"/>
      <c r="F1967" s="249"/>
      <c r="G1967" s="249"/>
      <c r="H1967" s="249"/>
      <c r="I1967" s="258"/>
      <c r="J1967" s="249"/>
      <c r="K1967" s="249"/>
      <c r="L1967" s="249"/>
      <c r="M1967" s="259"/>
      <c r="N1967" s="249"/>
      <c r="O1967" s="249"/>
      <c r="P1967" s="249"/>
      <c r="Q1967" s="249"/>
      <c r="R1967" s="249"/>
      <c r="S1967" s="249"/>
      <c r="T1967" s="249"/>
      <c r="U1967" s="249"/>
      <c r="V1967" s="249"/>
      <c r="W1967" s="249"/>
      <c r="X1967" s="249"/>
      <c r="Y1967" s="249"/>
      <c r="Z1967" s="249"/>
    </row>
    <row r="1968" spans="1:26" s="152" customFormat="1" x14ac:dyDescent="0.25">
      <c r="A1968" s="249"/>
      <c r="B1968" s="249"/>
      <c r="C1968" s="249"/>
      <c r="D1968" s="249"/>
      <c r="E1968" s="249"/>
      <c r="F1968" s="249"/>
      <c r="G1968" s="249"/>
      <c r="H1968" s="249"/>
      <c r="I1968" s="258"/>
      <c r="J1968" s="249"/>
      <c r="K1968" s="249"/>
      <c r="L1968" s="249"/>
      <c r="M1968" s="259"/>
      <c r="N1968" s="249"/>
      <c r="O1968" s="249"/>
      <c r="P1968" s="249"/>
      <c r="Q1968" s="249"/>
      <c r="R1968" s="249"/>
      <c r="S1968" s="249"/>
      <c r="T1968" s="249"/>
      <c r="U1968" s="249"/>
      <c r="V1968" s="249"/>
      <c r="W1968" s="249"/>
      <c r="X1968" s="249"/>
      <c r="Y1968" s="249"/>
      <c r="Z1968" s="249"/>
    </row>
    <row r="1969" spans="1:26" s="152" customFormat="1" x14ac:dyDescent="0.25">
      <c r="A1969" s="249"/>
      <c r="B1969" s="249"/>
      <c r="C1969" s="249"/>
      <c r="D1969" s="249"/>
      <c r="E1969" s="249"/>
      <c r="F1969" s="249"/>
      <c r="G1969" s="249"/>
      <c r="H1969" s="249"/>
      <c r="I1969" s="258"/>
      <c r="J1969" s="249"/>
      <c r="K1969" s="249"/>
      <c r="L1969" s="249"/>
      <c r="M1969" s="259"/>
      <c r="N1969" s="249"/>
      <c r="O1969" s="249"/>
      <c r="P1969" s="249"/>
      <c r="Q1969" s="249"/>
      <c r="R1969" s="249"/>
      <c r="S1969" s="249"/>
      <c r="T1969" s="249"/>
      <c r="U1969" s="249"/>
      <c r="V1969" s="249"/>
      <c r="W1969" s="249"/>
      <c r="X1969" s="249"/>
      <c r="Y1969" s="249"/>
      <c r="Z1969" s="249"/>
    </row>
    <row r="1970" spans="1:26" s="152" customFormat="1" x14ac:dyDescent="0.25">
      <c r="A1970" s="249"/>
      <c r="B1970" s="249"/>
      <c r="C1970" s="249"/>
      <c r="D1970" s="249"/>
      <c r="E1970" s="249"/>
      <c r="F1970" s="249"/>
      <c r="G1970" s="249"/>
      <c r="H1970" s="249"/>
      <c r="I1970" s="258"/>
      <c r="J1970" s="249"/>
      <c r="K1970" s="249"/>
      <c r="L1970" s="249"/>
      <c r="M1970" s="259"/>
      <c r="N1970" s="249"/>
      <c r="O1970" s="249"/>
      <c r="P1970" s="249"/>
      <c r="Q1970" s="249"/>
      <c r="R1970" s="249"/>
      <c r="S1970" s="249"/>
      <c r="T1970" s="249"/>
      <c r="U1970" s="249"/>
      <c r="V1970" s="249"/>
      <c r="W1970" s="249"/>
      <c r="X1970" s="249"/>
      <c r="Y1970" s="249"/>
      <c r="Z1970" s="249"/>
    </row>
    <row r="1971" spans="1:26" s="152" customFormat="1" x14ac:dyDescent="0.25">
      <c r="A1971" s="249"/>
      <c r="B1971" s="249"/>
      <c r="C1971" s="249"/>
      <c r="D1971" s="249"/>
      <c r="E1971" s="249"/>
      <c r="F1971" s="249"/>
      <c r="G1971" s="249"/>
      <c r="H1971" s="249"/>
      <c r="I1971" s="258"/>
      <c r="J1971" s="249"/>
      <c r="K1971" s="249"/>
      <c r="L1971" s="249"/>
      <c r="M1971" s="259"/>
      <c r="N1971" s="249"/>
      <c r="O1971" s="249"/>
      <c r="P1971" s="249"/>
      <c r="Q1971" s="249"/>
      <c r="R1971" s="249"/>
      <c r="S1971" s="249"/>
      <c r="T1971" s="249"/>
      <c r="U1971" s="249"/>
      <c r="V1971" s="249"/>
      <c r="W1971" s="249"/>
      <c r="X1971" s="249"/>
      <c r="Y1971" s="249"/>
      <c r="Z1971" s="249"/>
    </row>
    <row r="1972" spans="1:26" s="152" customFormat="1" x14ac:dyDescent="0.25">
      <c r="A1972" s="249"/>
      <c r="B1972" s="249"/>
      <c r="C1972" s="249"/>
      <c r="D1972" s="249"/>
      <c r="E1972" s="249"/>
      <c r="F1972" s="249"/>
      <c r="G1972" s="249"/>
      <c r="H1972" s="249"/>
      <c r="I1972" s="258"/>
      <c r="J1972" s="249"/>
      <c r="K1972" s="249"/>
      <c r="L1972" s="249"/>
      <c r="M1972" s="259"/>
      <c r="N1972" s="249"/>
      <c r="O1972" s="249"/>
      <c r="P1972" s="249"/>
      <c r="Q1972" s="249"/>
      <c r="R1972" s="249"/>
      <c r="S1972" s="249"/>
      <c r="T1972" s="249"/>
      <c r="U1972" s="249"/>
      <c r="V1972" s="249"/>
      <c r="W1972" s="249"/>
      <c r="X1972" s="249"/>
      <c r="Y1972" s="249"/>
      <c r="Z1972" s="249"/>
    </row>
    <row r="1973" spans="1:26" s="152" customFormat="1" x14ac:dyDescent="0.25">
      <c r="A1973" s="249"/>
      <c r="B1973" s="249"/>
      <c r="C1973" s="249"/>
      <c r="D1973" s="249"/>
      <c r="E1973" s="249"/>
      <c r="F1973" s="249"/>
      <c r="G1973" s="249"/>
      <c r="H1973" s="249"/>
      <c r="I1973" s="258"/>
      <c r="J1973" s="249"/>
      <c r="K1973" s="249"/>
      <c r="L1973" s="249"/>
      <c r="M1973" s="259"/>
      <c r="N1973" s="249"/>
      <c r="O1973" s="249"/>
      <c r="P1973" s="249"/>
      <c r="Q1973" s="249"/>
      <c r="R1973" s="249"/>
      <c r="S1973" s="249"/>
      <c r="T1973" s="249"/>
      <c r="U1973" s="249"/>
      <c r="V1973" s="249"/>
      <c r="W1973" s="249"/>
      <c r="X1973" s="249"/>
      <c r="Y1973" s="249"/>
      <c r="Z1973" s="249"/>
    </row>
    <row r="1974" spans="1:26" s="152" customFormat="1" x14ac:dyDescent="0.25">
      <c r="A1974" s="249"/>
      <c r="B1974" s="249"/>
      <c r="C1974" s="249"/>
      <c r="D1974" s="249"/>
      <c r="E1974" s="249"/>
      <c r="F1974" s="249"/>
      <c r="G1974" s="249"/>
      <c r="H1974" s="249"/>
      <c r="I1974" s="258"/>
      <c r="J1974" s="249"/>
      <c r="K1974" s="249"/>
      <c r="L1974" s="249"/>
      <c r="M1974" s="259"/>
      <c r="N1974" s="249"/>
      <c r="O1974" s="249"/>
      <c r="P1974" s="249"/>
      <c r="Q1974" s="249"/>
      <c r="R1974" s="249"/>
      <c r="S1974" s="249"/>
      <c r="T1974" s="249"/>
      <c r="U1974" s="249"/>
      <c r="V1974" s="249"/>
      <c r="W1974" s="249"/>
      <c r="X1974" s="249"/>
      <c r="Y1974" s="249"/>
      <c r="Z1974" s="249"/>
    </row>
    <row r="1975" spans="1:26" s="152" customFormat="1" x14ac:dyDescent="0.25">
      <c r="A1975" s="249"/>
      <c r="B1975" s="249"/>
      <c r="C1975" s="249"/>
      <c r="D1975" s="249"/>
      <c r="E1975" s="249"/>
      <c r="F1975" s="249"/>
      <c r="G1975" s="249"/>
      <c r="H1975" s="249"/>
      <c r="I1975" s="258"/>
      <c r="J1975" s="249"/>
      <c r="K1975" s="249"/>
      <c r="L1975" s="249"/>
      <c r="M1975" s="259"/>
      <c r="N1975" s="249"/>
      <c r="O1975" s="249"/>
      <c r="P1975" s="249"/>
      <c r="Q1975" s="249"/>
      <c r="R1975" s="249"/>
      <c r="S1975" s="249"/>
      <c r="T1975" s="249"/>
      <c r="U1975" s="249"/>
      <c r="V1975" s="249"/>
      <c r="W1975" s="249"/>
      <c r="X1975" s="249"/>
      <c r="Y1975" s="249"/>
      <c r="Z1975" s="249"/>
    </row>
    <row r="1976" spans="1:26" s="152" customFormat="1" x14ac:dyDescent="0.25">
      <c r="A1976" s="249"/>
      <c r="B1976" s="249"/>
      <c r="C1976" s="249"/>
      <c r="D1976" s="249"/>
      <c r="E1976" s="249"/>
      <c r="F1976" s="249"/>
      <c r="G1976" s="249"/>
      <c r="H1976" s="249"/>
      <c r="I1976" s="258"/>
      <c r="J1976" s="249"/>
      <c r="K1976" s="249"/>
      <c r="L1976" s="249"/>
      <c r="M1976" s="259"/>
      <c r="N1976" s="249"/>
      <c r="O1976" s="249"/>
      <c r="P1976" s="249"/>
      <c r="Q1976" s="249"/>
      <c r="R1976" s="249"/>
      <c r="S1976" s="249"/>
      <c r="T1976" s="249"/>
      <c r="U1976" s="249"/>
      <c r="V1976" s="249"/>
      <c r="W1976" s="249"/>
      <c r="X1976" s="249"/>
      <c r="Y1976" s="249"/>
      <c r="Z1976" s="249"/>
    </row>
    <row r="1977" spans="1:26" s="152" customFormat="1" x14ac:dyDescent="0.25">
      <c r="A1977" s="249"/>
      <c r="B1977" s="249"/>
      <c r="C1977" s="249"/>
      <c r="D1977" s="249"/>
      <c r="E1977" s="249"/>
      <c r="F1977" s="249"/>
      <c r="G1977" s="249"/>
      <c r="H1977" s="249"/>
      <c r="I1977" s="258"/>
      <c r="J1977" s="249"/>
      <c r="K1977" s="249"/>
      <c r="L1977" s="249"/>
      <c r="M1977" s="259"/>
      <c r="N1977" s="249"/>
      <c r="O1977" s="249"/>
      <c r="P1977" s="249"/>
      <c r="Q1977" s="249"/>
      <c r="R1977" s="249"/>
      <c r="S1977" s="249"/>
      <c r="T1977" s="249"/>
      <c r="U1977" s="249"/>
      <c r="V1977" s="249"/>
      <c r="W1977" s="249"/>
      <c r="X1977" s="249"/>
      <c r="Y1977" s="249"/>
      <c r="Z1977" s="249"/>
    </row>
    <row r="1978" spans="1:26" s="152" customFormat="1" x14ac:dyDescent="0.25">
      <c r="A1978" s="249"/>
      <c r="B1978" s="249"/>
      <c r="C1978" s="249"/>
      <c r="D1978" s="249"/>
      <c r="E1978" s="249"/>
      <c r="F1978" s="249"/>
      <c r="G1978" s="249"/>
      <c r="H1978" s="249"/>
      <c r="I1978" s="258"/>
      <c r="J1978" s="249"/>
      <c r="K1978" s="249"/>
      <c r="L1978" s="249"/>
      <c r="M1978" s="259"/>
      <c r="N1978" s="249"/>
      <c r="O1978" s="249"/>
      <c r="P1978" s="249"/>
      <c r="Q1978" s="249"/>
      <c r="R1978" s="249"/>
      <c r="S1978" s="249"/>
      <c r="T1978" s="249"/>
      <c r="U1978" s="249"/>
      <c r="V1978" s="249"/>
      <c r="W1978" s="249"/>
      <c r="X1978" s="249"/>
      <c r="Y1978" s="249"/>
      <c r="Z1978" s="249"/>
    </row>
    <row r="1979" spans="1:26" s="152" customFormat="1" x14ac:dyDescent="0.25">
      <c r="A1979" s="249"/>
      <c r="B1979" s="249"/>
      <c r="C1979" s="249"/>
      <c r="D1979" s="249"/>
      <c r="E1979" s="249"/>
      <c r="F1979" s="249"/>
      <c r="G1979" s="249"/>
      <c r="H1979" s="249"/>
      <c r="I1979" s="258"/>
      <c r="J1979" s="249"/>
      <c r="K1979" s="249"/>
      <c r="L1979" s="249"/>
      <c r="M1979" s="259"/>
      <c r="N1979" s="249"/>
      <c r="O1979" s="249"/>
      <c r="P1979" s="249"/>
      <c r="Q1979" s="249"/>
      <c r="R1979" s="249"/>
      <c r="S1979" s="249"/>
      <c r="T1979" s="249"/>
      <c r="U1979" s="249"/>
      <c r="V1979" s="249"/>
      <c r="W1979" s="249"/>
      <c r="X1979" s="249"/>
      <c r="Y1979" s="249"/>
      <c r="Z1979" s="249"/>
    </row>
    <row r="1980" spans="1:26" s="152" customFormat="1" x14ac:dyDescent="0.25">
      <c r="A1980" s="249"/>
      <c r="B1980" s="249"/>
      <c r="C1980" s="249"/>
      <c r="D1980" s="249"/>
      <c r="E1980" s="249"/>
      <c r="F1980" s="249"/>
      <c r="G1980" s="249"/>
      <c r="H1980" s="249"/>
      <c r="I1980" s="258"/>
      <c r="J1980" s="249"/>
      <c r="K1980" s="249"/>
      <c r="L1980" s="249"/>
      <c r="M1980" s="259"/>
      <c r="N1980" s="249"/>
      <c r="O1980" s="249"/>
      <c r="P1980" s="249"/>
      <c r="Q1980" s="249"/>
      <c r="R1980" s="249"/>
      <c r="S1980" s="249"/>
      <c r="T1980" s="249"/>
      <c r="U1980" s="249"/>
      <c r="V1980" s="249"/>
      <c r="W1980" s="249"/>
      <c r="X1980" s="249"/>
      <c r="Y1980" s="249"/>
      <c r="Z1980" s="249"/>
    </row>
    <row r="1981" spans="1:26" s="152" customFormat="1" x14ac:dyDescent="0.25">
      <c r="A1981" s="249"/>
      <c r="B1981" s="249"/>
      <c r="C1981" s="249"/>
      <c r="D1981" s="249"/>
      <c r="E1981" s="249"/>
      <c r="F1981" s="249"/>
      <c r="G1981" s="249"/>
      <c r="H1981" s="249"/>
      <c r="I1981" s="258"/>
      <c r="J1981" s="249"/>
      <c r="K1981" s="249"/>
      <c r="L1981" s="249"/>
      <c r="M1981" s="259"/>
      <c r="N1981" s="249"/>
      <c r="O1981" s="249"/>
      <c r="P1981" s="249"/>
      <c r="Q1981" s="249"/>
      <c r="R1981" s="249"/>
      <c r="S1981" s="249"/>
      <c r="T1981" s="249"/>
      <c r="U1981" s="249"/>
      <c r="V1981" s="249"/>
      <c r="W1981" s="249"/>
      <c r="X1981" s="249"/>
      <c r="Y1981" s="249"/>
      <c r="Z1981" s="249"/>
    </row>
    <row r="1982" spans="1:26" s="152" customFormat="1" x14ac:dyDescent="0.25">
      <c r="A1982" s="249"/>
      <c r="B1982" s="249"/>
      <c r="C1982" s="249"/>
      <c r="D1982" s="249"/>
      <c r="E1982" s="249"/>
      <c r="F1982" s="249"/>
      <c r="G1982" s="249"/>
      <c r="H1982" s="249"/>
      <c r="I1982" s="258"/>
      <c r="J1982" s="249"/>
      <c r="K1982" s="249"/>
      <c r="L1982" s="249"/>
      <c r="M1982" s="259"/>
      <c r="N1982" s="249"/>
      <c r="O1982" s="249"/>
      <c r="P1982" s="249"/>
      <c r="Q1982" s="249"/>
      <c r="R1982" s="249"/>
      <c r="S1982" s="249"/>
      <c r="T1982" s="249"/>
      <c r="U1982" s="249"/>
      <c r="V1982" s="249"/>
      <c r="W1982" s="249"/>
      <c r="X1982" s="249"/>
      <c r="Y1982" s="249"/>
      <c r="Z1982" s="249"/>
    </row>
    <row r="1983" spans="1:26" s="152" customFormat="1" x14ac:dyDescent="0.25">
      <c r="A1983" s="249"/>
      <c r="B1983" s="249"/>
      <c r="C1983" s="249"/>
      <c r="D1983" s="249"/>
      <c r="E1983" s="249"/>
      <c r="F1983" s="249"/>
      <c r="G1983" s="249"/>
      <c r="H1983" s="249"/>
      <c r="I1983" s="258"/>
      <c r="J1983" s="249"/>
      <c r="K1983" s="249"/>
      <c r="L1983" s="249"/>
      <c r="M1983" s="259"/>
      <c r="N1983" s="249"/>
      <c r="O1983" s="249"/>
      <c r="P1983" s="249"/>
      <c r="Q1983" s="249"/>
      <c r="R1983" s="249"/>
      <c r="S1983" s="249"/>
      <c r="T1983" s="249"/>
      <c r="U1983" s="249"/>
      <c r="V1983" s="249"/>
      <c r="W1983" s="249"/>
      <c r="X1983" s="249"/>
      <c r="Y1983" s="249"/>
      <c r="Z1983" s="249"/>
    </row>
    <row r="1984" spans="1:26" s="152" customFormat="1" x14ac:dyDescent="0.25">
      <c r="A1984" s="249"/>
      <c r="B1984" s="249"/>
      <c r="C1984" s="249"/>
      <c r="D1984" s="249"/>
      <c r="E1984" s="249"/>
      <c r="F1984" s="249"/>
      <c r="G1984" s="249"/>
      <c r="H1984" s="249"/>
      <c r="I1984" s="258"/>
      <c r="J1984" s="249"/>
      <c r="K1984" s="249"/>
      <c r="L1984" s="249"/>
      <c r="M1984" s="259"/>
      <c r="N1984" s="249"/>
      <c r="O1984" s="249"/>
      <c r="P1984" s="249"/>
      <c r="Q1984" s="249"/>
      <c r="R1984" s="249"/>
      <c r="S1984" s="249"/>
      <c r="T1984" s="249"/>
      <c r="U1984" s="249"/>
      <c r="V1984" s="249"/>
      <c r="W1984" s="249"/>
      <c r="X1984" s="249"/>
      <c r="Y1984" s="249"/>
      <c r="Z1984" s="249"/>
    </row>
    <row r="1985" spans="1:26" s="152" customFormat="1" x14ac:dyDescent="0.25">
      <c r="A1985" s="249"/>
      <c r="B1985" s="249"/>
      <c r="C1985" s="249"/>
      <c r="D1985" s="249"/>
      <c r="E1985" s="249"/>
      <c r="F1985" s="249"/>
      <c r="G1985" s="249"/>
      <c r="H1985" s="249"/>
      <c r="I1985" s="258"/>
      <c r="J1985" s="249"/>
      <c r="K1985" s="249"/>
      <c r="L1985" s="249"/>
      <c r="M1985" s="259"/>
      <c r="N1985" s="249"/>
      <c r="O1985" s="249"/>
      <c r="P1985" s="249"/>
      <c r="Q1985" s="249"/>
      <c r="R1985" s="249"/>
      <c r="S1985" s="249"/>
      <c r="T1985" s="249"/>
      <c r="U1985" s="249"/>
      <c r="V1985" s="249"/>
      <c r="W1985" s="249"/>
      <c r="X1985" s="249"/>
      <c r="Y1985" s="249"/>
      <c r="Z1985" s="249"/>
    </row>
    <row r="1986" spans="1:26" s="152" customFormat="1" x14ac:dyDescent="0.25">
      <c r="A1986" s="249"/>
      <c r="B1986" s="249"/>
      <c r="C1986" s="249"/>
      <c r="D1986" s="249"/>
      <c r="E1986" s="249"/>
      <c r="F1986" s="249"/>
      <c r="G1986" s="249"/>
      <c r="H1986" s="249"/>
      <c r="I1986" s="258"/>
      <c r="J1986" s="249"/>
      <c r="K1986" s="249"/>
      <c r="L1986" s="249"/>
      <c r="M1986" s="259"/>
      <c r="N1986" s="249"/>
      <c r="O1986" s="249"/>
      <c r="P1986" s="249"/>
      <c r="Q1986" s="249"/>
      <c r="R1986" s="249"/>
      <c r="S1986" s="249"/>
      <c r="T1986" s="249"/>
      <c r="U1986" s="249"/>
      <c r="V1986" s="249"/>
      <c r="W1986" s="249"/>
      <c r="X1986" s="249"/>
      <c r="Y1986" s="249"/>
      <c r="Z1986" s="249"/>
    </row>
    <row r="1987" spans="1:26" s="152" customFormat="1" x14ac:dyDescent="0.25">
      <c r="A1987" s="249"/>
      <c r="B1987" s="249"/>
      <c r="C1987" s="249"/>
      <c r="D1987" s="249"/>
      <c r="E1987" s="249"/>
      <c r="F1987" s="249"/>
      <c r="G1987" s="249"/>
      <c r="H1987" s="249"/>
      <c r="I1987" s="258"/>
      <c r="J1987" s="249"/>
      <c r="K1987" s="249"/>
      <c r="L1987" s="249"/>
      <c r="M1987" s="259"/>
      <c r="N1987" s="249"/>
      <c r="O1987" s="249"/>
      <c r="P1987" s="249"/>
      <c r="Q1987" s="249"/>
      <c r="R1987" s="249"/>
      <c r="S1987" s="249"/>
      <c r="T1987" s="249"/>
      <c r="U1987" s="249"/>
      <c r="V1987" s="249"/>
      <c r="W1987" s="249"/>
      <c r="X1987" s="249"/>
      <c r="Y1987" s="249"/>
      <c r="Z1987" s="249"/>
    </row>
    <row r="1988" spans="1:26" s="152" customFormat="1" x14ac:dyDescent="0.25">
      <c r="A1988" s="249"/>
      <c r="B1988" s="249"/>
      <c r="C1988" s="249"/>
      <c r="D1988" s="249"/>
      <c r="E1988" s="249"/>
      <c r="F1988" s="249"/>
      <c r="G1988" s="249"/>
      <c r="H1988" s="249"/>
      <c r="I1988" s="258"/>
      <c r="J1988" s="249"/>
      <c r="K1988" s="249"/>
      <c r="L1988" s="249"/>
      <c r="M1988" s="259"/>
      <c r="N1988" s="249"/>
      <c r="O1988" s="249"/>
      <c r="P1988" s="249"/>
      <c r="Q1988" s="249"/>
      <c r="R1988" s="249"/>
      <c r="S1988" s="249"/>
      <c r="T1988" s="249"/>
      <c r="U1988" s="249"/>
      <c r="V1988" s="249"/>
      <c r="W1988" s="249"/>
      <c r="X1988" s="249"/>
      <c r="Y1988" s="249"/>
      <c r="Z1988" s="249"/>
    </row>
    <row r="1989" spans="1:26" s="152" customFormat="1" x14ac:dyDescent="0.25">
      <c r="A1989" s="249"/>
      <c r="B1989" s="249"/>
      <c r="C1989" s="249"/>
      <c r="D1989" s="249"/>
      <c r="E1989" s="249"/>
      <c r="F1989" s="249"/>
      <c r="G1989" s="249"/>
      <c r="H1989" s="249"/>
      <c r="I1989" s="258"/>
      <c r="J1989" s="249"/>
      <c r="K1989" s="249"/>
      <c r="L1989" s="249"/>
      <c r="M1989" s="259"/>
      <c r="N1989" s="249"/>
      <c r="O1989" s="249"/>
      <c r="P1989" s="249"/>
      <c r="Q1989" s="249"/>
      <c r="R1989" s="249"/>
      <c r="S1989" s="249"/>
      <c r="T1989" s="249"/>
      <c r="U1989" s="249"/>
      <c r="V1989" s="249"/>
      <c r="W1989" s="249"/>
      <c r="X1989" s="249"/>
      <c r="Y1989" s="249"/>
      <c r="Z1989" s="249"/>
    </row>
    <row r="1990" spans="1:26" s="152" customFormat="1" x14ac:dyDescent="0.25">
      <c r="A1990" s="249"/>
      <c r="B1990" s="249"/>
      <c r="C1990" s="249"/>
      <c r="D1990" s="249"/>
      <c r="E1990" s="249"/>
      <c r="F1990" s="249"/>
      <c r="G1990" s="249"/>
      <c r="H1990" s="249"/>
      <c r="I1990" s="258"/>
      <c r="J1990" s="249"/>
      <c r="K1990" s="249"/>
      <c r="L1990" s="249"/>
      <c r="M1990" s="259"/>
      <c r="N1990" s="249"/>
      <c r="O1990" s="249"/>
      <c r="P1990" s="249"/>
      <c r="Q1990" s="249"/>
      <c r="R1990" s="249"/>
      <c r="S1990" s="249"/>
      <c r="T1990" s="249"/>
      <c r="U1990" s="249"/>
      <c r="V1990" s="249"/>
      <c r="W1990" s="249"/>
      <c r="X1990" s="249"/>
      <c r="Y1990" s="249"/>
      <c r="Z1990" s="249"/>
    </row>
    <row r="1991" spans="1:26" s="152" customFormat="1" x14ac:dyDescent="0.25">
      <c r="A1991" s="249"/>
      <c r="B1991" s="249"/>
      <c r="C1991" s="249"/>
      <c r="D1991" s="249"/>
      <c r="E1991" s="249"/>
      <c r="F1991" s="249"/>
      <c r="G1991" s="249"/>
      <c r="H1991" s="249"/>
      <c r="I1991" s="258"/>
      <c r="J1991" s="249"/>
      <c r="K1991" s="249"/>
      <c r="L1991" s="249"/>
      <c r="M1991" s="259"/>
      <c r="N1991" s="249"/>
      <c r="O1991" s="249"/>
      <c r="P1991" s="249"/>
      <c r="Q1991" s="249"/>
      <c r="R1991" s="249"/>
      <c r="S1991" s="249"/>
      <c r="T1991" s="249"/>
      <c r="U1991" s="249"/>
      <c r="V1991" s="249"/>
      <c r="W1991" s="249"/>
      <c r="X1991" s="249"/>
      <c r="Y1991" s="249"/>
      <c r="Z1991" s="249"/>
    </row>
    <row r="1992" spans="1:26" s="152" customFormat="1" x14ac:dyDescent="0.25">
      <c r="A1992" s="249"/>
      <c r="B1992" s="249"/>
      <c r="C1992" s="249"/>
      <c r="D1992" s="249"/>
      <c r="E1992" s="249"/>
      <c r="F1992" s="249"/>
      <c r="G1992" s="249"/>
      <c r="H1992" s="249"/>
      <c r="I1992" s="258"/>
      <c r="J1992" s="249"/>
      <c r="K1992" s="249"/>
      <c r="L1992" s="249"/>
      <c r="M1992" s="259"/>
      <c r="N1992" s="249"/>
      <c r="O1992" s="249"/>
      <c r="P1992" s="249"/>
      <c r="Q1992" s="249"/>
      <c r="R1992" s="249"/>
      <c r="S1992" s="249"/>
      <c r="T1992" s="249"/>
      <c r="U1992" s="249"/>
      <c r="V1992" s="249"/>
      <c r="W1992" s="249"/>
      <c r="X1992" s="249"/>
      <c r="Y1992" s="249"/>
      <c r="Z1992" s="249"/>
    </row>
    <row r="1993" spans="1:26" s="152" customFormat="1" x14ac:dyDescent="0.25">
      <c r="A1993" s="249"/>
      <c r="B1993" s="249"/>
      <c r="C1993" s="249"/>
      <c r="D1993" s="249"/>
      <c r="E1993" s="249"/>
      <c r="F1993" s="249"/>
      <c r="G1993" s="249"/>
      <c r="H1993" s="249"/>
      <c r="I1993" s="258"/>
      <c r="J1993" s="249"/>
      <c r="K1993" s="249"/>
      <c r="L1993" s="249"/>
      <c r="M1993" s="259"/>
      <c r="N1993" s="249"/>
      <c r="O1993" s="249"/>
      <c r="P1993" s="249"/>
      <c r="Q1993" s="249"/>
      <c r="R1993" s="249"/>
      <c r="S1993" s="249"/>
      <c r="T1993" s="249"/>
      <c r="U1993" s="249"/>
      <c r="V1993" s="249"/>
      <c r="W1993" s="249"/>
      <c r="X1993" s="249"/>
      <c r="Y1993" s="249"/>
      <c r="Z1993" s="249"/>
    </row>
    <row r="1994" spans="1:26" s="152" customFormat="1" x14ac:dyDescent="0.25">
      <c r="A1994" s="249"/>
      <c r="B1994" s="249"/>
      <c r="C1994" s="249"/>
      <c r="D1994" s="249"/>
      <c r="E1994" s="249"/>
      <c r="F1994" s="249"/>
      <c r="G1994" s="249"/>
      <c r="H1994" s="249"/>
      <c r="I1994" s="258"/>
      <c r="J1994" s="249"/>
      <c r="K1994" s="249"/>
      <c r="L1994" s="249"/>
      <c r="M1994" s="259"/>
      <c r="N1994" s="249"/>
      <c r="O1994" s="249"/>
      <c r="P1994" s="249"/>
      <c r="Q1994" s="249"/>
      <c r="R1994" s="249"/>
      <c r="S1994" s="249"/>
      <c r="T1994" s="249"/>
      <c r="U1994" s="249"/>
      <c r="V1994" s="249"/>
      <c r="W1994" s="249"/>
      <c r="X1994" s="249"/>
      <c r="Y1994" s="249"/>
      <c r="Z1994" s="249"/>
    </row>
    <row r="1995" spans="1:26" s="152" customFormat="1" x14ac:dyDescent="0.25">
      <c r="A1995" s="249"/>
      <c r="B1995" s="249"/>
      <c r="C1995" s="249"/>
      <c r="D1995" s="249"/>
      <c r="E1995" s="249"/>
      <c r="F1995" s="249"/>
      <c r="G1995" s="249"/>
      <c r="H1995" s="249"/>
      <c r="I1995" s="258"/>
      <c r="J1995" s="249"/>
      <c r="K1995" s="249"/>
      <c r="L1995" s="249"/>
      <c r="M1995" s="259"/>
      <c r="N1995" s="249"/>
      <c r="O1995" s="249"/>
      <c r="P1995" s="249"/>
      <c r="Q1995" s="249"/>
      <c r="R1995" s="249"/>
      <c r="S1995" s="249"/>
      <c r="T1995" s="249"/>
      <c r="U1995" s="249"/>
      <c r="V1995" s="249"/>
      <c r="W1995" s="249"/>
      <c r="X1995" s="249"/>
      <c r="Y1995" s="249"/>
      <c r="Z1995" s="249"/>
    </row>
    <row r="1996" spans="1:26" s="152" customFormat="1" x14ac:dyDescent="0.25">
      <c r="A1996" s="249"/>
      <c r="B1996" s="249"/>
      <c r="C1996" s="249"/>
      <c r="D1996" s="249"/>
      <c r="E1996" s="249"/>
      <c r="F1996" s="249"/>
      <c r="G1996" s="249"/>
      <c r="H1996" s="249"/>
      <c r="I1996" s="258"/>
      <c r="J1996" s="249"/>
      <c r="K1996" s="249"/>
      <c r="L1996" s="249"/>
      <c r="M1996" s="259"/>
      <c r="N1996" s="249"/>
      <c r="O1996" s="249"/>
      <c r="P1996" s="249"/>
      <c r="Q1996" s="249"/>
      <c r="R1996" s="249"/>
      <c r="S1996" s="249"/>
      <c r="T1996" s="249"/>
      <c r="U1996" s="249"/>
      <c r="V1996" s="249"/>
      <c r="W1996" s="249"/>
      <c r="X1996" s="249"/>
      <c r="Y1996" s="249"/>
      <c r="Z1996" s="249"/>
    </row>
    <row r="1997" spans="1:26" s="152" customFormat="1" x14ac:dyDescent="0.25">
      <c r="A1997" s="249"/>
      <c r="B1997" s="249"/>
      <c r="C1997" s="249"/>
      <c r="D1997" s="249"/>
      <c r="E1997" s="249"/>
      <c r="F1997" s="249"/>
      <c r="G1997" s="249"/>
      <c r="H1997" s="249"/>
      <c r="I1997" s="258"/>
      <c r="J1997" s="249"/>
      <c r="K1997" s="249"/>
      <c r="L1997" s="249"/>
      <c r="M1997" s="259"/>
      <c r="N1997" s="249"/>
      <c r="O1997" s="249"/>
      <c r="P1997" s="249"/>
      <c r="Q1997" s="249"/>
      <c r="R1997" s="249"/>
      <c r="S1997" s="249"/>
      <c r="T1997" s="249"/>
      <c r="U1997" s="249"/>
      <c r="V1997" s="249"/>
      <c r="W1997" s="249"/>
      <c r="X1997" s="249"/>
      <c r="Y1997" s="249"/>
      <c r="Z1997" s="249"/>
    </row>
    <row r="1998" spans="1:26" s="152" customFormat="1" x14ac:dyDescent="0.25">
      <c r="A1998" s="249"/>
      <c r="B1998" s="249"/>
      <c r="C1998" s="249"/>
      <c r="D1998" s="249"/>
      <c r="E1998" s="249"/>
      <c r="F1998" s="249"/>
      <c r="G1998" s="249"/>
      <c r="H1998" s="249"/>
      <c r="I1998" s="258"/>
      <c r="J1998" s="249"/>
      <c r="K1998" s="249"/>
      <c r="L1998" s="249"/>
      <c r="M1998" s="259"/>
      <c r="N1998" s="249"/>
      <c r="O1998" s="249"/>
      <c r="P1998" s="249"/>
      <c r="Q1998" s="249"/>
      <c r="R1998" s="249"/>
      <c r="S1998" s="249"/>
      <c r="T1998" s="249"/>
      <c r="U1998" s="249"/>
      <c r="V1998" s="249"/>
      <c r="W1998" s="249"/>
      <c r="X1998" s="249"/>
      <c r="Y1998" s="249"/>
      <c r="Z1998" s="249"/>
    </row>
    <row r="1999" spans="1:26" s="152" customFormat="1" x14ac:dyDescent="0.25">
      <c r="A1999" s="249"/>
      <c r="B1999" s="249"/>
      <c r="C1999" s="249"/>
      <c r="D1999" s="249"/>
      <c r="E1999" s="249"/>
      <c r="F1999" s="249"/>
      <c r="G1999" s="249"/>
      <c r="H1999" s="249"/>
      <c r="I1999" s="258"/>
      <c r="J1999" s="249"/>
      <c r="K1999" s="249"/>
      <c r="L1999" s="249"/>
      <c r="M1999" s="259"/>
      <c r="N1999" s="249"/>
      <c r="O1999" s="249"/>
      <c r="P1999" s="249"/>
      <c r="Q1999" s="249"/>
      <c r="R1999" s="249"/>
      <c r="S1999" s="249"/>
      <c r="T1999" s="249"/>
      <c r="U1999" s="249"/>
      <c r="V1999" s="249"/>
      <c r="W1999" s="249"/>
      <c r="X1999" s="249"/>
      <c r="Y1999" s="249"/>
      <c r="Z1999" s="249"/>
    </row>
    <row r="2000" spans="1:26" x14ac:dyDescent="0.25">
      <c r="A2000" s="249"/>
      <c r="B2000" s="249"/>
      <c r="C2000" s="249"/>
      <c r="D2000" s="249"/>
      <c r="E2000" s="249"/>
      <c r="F2000" s="249"/>
      <c r="G2000" s="249"/>
      <c r="H2000" s="249"/>
      <c r="I2000" s="258"/>
      <c r="J2000" s="249"/>
      <c r="K2000" s="249"/>
      <c r="L2000" s="249"/>
      <c r="M2000" s="259"/>
      <c r="N2000" s="249"/>
      <c r="O2000" s="249"/>
      <c r="P2000" s="249"/>
      <c r="Q2000" s="249"/>
      <c r="R2000" s="249"/>
      <c r="S2000" s="249"/>
      <c r="T2000" s="249"/>
      <c r="U2000" s="249"/>
      <c r="V2000" s="249"/>
      <c r="W2000" s="249"/>
      <c r="X2000" s="249"/>
      <c r="Y2000" s="249"/>
      <c r="Z2000" s="249"/>
    </row>
    <row r="2001" spans="1:26" x14ac:dyDescent="0.25">
      <c r="A2001" s="249"/>
      <c r="B2001" s="249"/>
      <c r="C2001" s="249"/>
      <c r="D2001" s="249"/>
      <c r="E2001" s="249"/>
      <c r="F2001" s="249"/>
      <c r="G2001" s="249"/>
      <c r="H2001" s="249"/>
      <c r="I2001" s="258"/>
      <c r="J2001" s="249"/>
      <c r="K2001" s="249"/>
      <c r="L2001" s="249"/>
      <c r="M2001" s="259"/>
      <c r="N2001" s="249"/>
      <c r="O2001" s="249"/>
      <c r="P2001" s="249"/>
      <c r="Q2001" s="249"/>
      <c r="R2001" s="249"/>
      <c r="S2001" s="249"/>
      <c r="T2001" s="249"/>
      <c r="U2001" s="249"/>
      <c r="V2001" s="249"/>
      <c r="W2001" s="249"/>
      <c r="X2001" s="249"/>
      <c r="Y2001" s="249"/>
      <c r="Z2001" s="249"/>
    </row>
    <row r="2002" spans="1:26" x14ac:dyDescent="0.25">
      <c r="A2002" s="249"/>
      <c r="B2002" s="249"/>
      <c r="C2002" s="249"/>
      <c r="D2002" s="249"/>
      <c r="E2002" s="249"/>
      <c r="F2002" s="249"/>
      <c r="G2002" s="249"/>
      <c r="H2002" s="249"/>
      <c r="I2002" s="258"/>
      <c r="J2002" s="249"/>
      <c r="K2002" s="249"/>
      <c r="L2002" s="249"/>
      <c r="M2002" s="259"/>
      <c r="N2002" s="249"/>
      <c r="O2002" s="249"/>
      <c r="P2002" s="249"/>
      <c r="Q2002" s="249"/>
      <c r="R2002" s="249"/>
      <c r="S2002" s="249"/>
      <c r="T2002" s="249"/>
      <c r="U2002" s="249"/>
      <c r="V2002" s="249"/>
      <c r="W2002" s="249"/>
      <c r="X2002" s="249"/>
      <c r="Y2002" s="249"/>
      <c r="Z2002" s="249"/>
    </row>
    <row r="2003" spans="1:26" x14ac:dyDescent="0.25">
      <c r="A2003" s="249"/>
      <c r="B2003" s="249"/>
      <c r="C2003" s="249"/>
      <c r="D2003" s="249"/>
      <c r="E2003" s="249"/>
      <c r="F2003" s="249"/>
      <c r="G2003" s="249"/>
      <c r="H2003" s="249"/>
      <c r="I2003" s="258"/>
      <c r="J2003" s="249"/>
      <c r="K2003" s="249"/>
      <c r="L2003" s="249"/>
      <c r="M2003" s="259"/>
      <c r="N2003" s="249"/>
      <c r="O2003" s="249"/>
      <c r="P2003" s="249"/>
      <c r="Q2003" s="249"/>
      <c r="R2003" s="249"/>
      <c r="S2003" s="249"/>
      <c r="T2003" s="249"/>
      <c r="U2003" s="249"/>
      <c r="V2003" s="249"/>
      <c r="W2003" s="249"/>
      <c r="X2003" s="249"/>
      <c r="Y2003" s="249"/>
      <c r="Z2003" s="249"/>
    </row>
    <row r="2004" spans="1:26" x14ac:dyDescent="0.25">
      <c r="A2004" s="249"/>
      <c r="B2004" s="249"/>
      <c r="C2004" s="249"/>
      <c r="D2004" s="249"/>
      <c r="E2004" s="249"/>
      <c r="F2004" s="249"/>
      <c r="G2004" s="249"/>
      <c r="H2004" s="249"/>
      <c r="I2004" s="258"/>
      <c r="J2004" s="249"/>
      <c r="K2004" s="249"/>
      <c r="L2004" s="249"/>
      <c r="M2004" s="259"/>
      <c r="N2004" s="249"/>
      <c r="O2004" s="249"/>
      <c r="P2004" s="249"/>
      <c r="Q2004" s="249"/>
      <c r="R2004" s="249"/>
      <c r="S2004" s="249"/>
      <c r="T2004" s="249"/>
      <c r="U2004" s="249"/>
      <c r="V2004" s="249"/>
      <c r="W2004" s="249"/>
      <c r="X2004" s="249"/>
      <c r="Y2004" s="249"/>
      <c r="Z2004" s="249"/>
    </row>
    <row r="2005" spans="1:26" x14ac:dyDescent="0.25">
      <c r="A2005" s="249"/>
      <c r="B2005" s="249"/>
      <c r="C2005" s="249"/>
      <c r="D2005" s="249"/>
      <c r="E2005" s="249"/>
      <c r="F2005" s="249"/>
      <c r="G2005" s="249"/>
      <c r="H2005" s="249"/>
      <c r="I2005" s="258"/>
      <c r="J2005" s="249"/>
      <c r="K2005" s="249"/>
      <c r="L2005" s="249"/>
      <c r="M2005" s="259"/>
      <c r="N2005" s="249"/>
      <c r="O2005" s="249"/>
      <c r="P2005" s="249"/>
      <c r="Q2005" s="249"/>
      <c r="R2005" s="249"/>
      <c r="S2005" s="249"/>
      <c r="T2005" s="249"/>
      <c r="U2005" s="249"/>
      <c r="V2005" s="249"/>
      <c r="W2005" s="249"/>
      <c r="X2005" s="249"/>
      <c r="Y2005" s="249"/>
      <c r="Z2005" s="249"/>
    </row>
    <row r="2006" spans="1:26" x14ac:dyDescent="0.25">
      <c r="A2006" s="249"/>
      <c r="B2006" s="249"/>
      <c r="C2006" s="249"/>
      <c r="D2006" s="249"/>
      <c r="E2006" s="249"/>
      <c r="F2006" s="249"/>
      <c r="G2006" s="249"/>
      <c r="H2006" s="249"/>
      <c r="I2006" s="258"/>
      <c r="J2006" s="249"/>
      <c r="K2006" s="249"/>
      <c r="L2006" s="249"/>
      <c r="M2006" s="259"/>
      <c r="N2006" s="249"/>
      <c r="O2006" s="249"/>
      <c r="P2006" s="249"/>
      <c r="Q2006" s="249"/>
      <c r="R2006" s="249"/>
      <c r="S2006" s="249"/>
      <c r="T2006" s="249"/>
      <c r="U2006" s="249"/>
      <c r="V2006" s="249"/>
      <c r="W2006" s="249"/>
      <c r="X2006" s="249"/>
      <c r="Y2006" s="249"/>
      <c r="Z2006" s="249"/>
    </row>
    <row r="2007" spans="1:26" x14ac:dyDescent="0.25">
      <c r="A2007" s="249"/>
      <c r="B2007" s="249"/>
      <c r="C2007" s="249"/>
      <c r="D2007" s="249"/>
      <c r="E2007" s="249"/>
      <c r="F2007" s="249"/>
      <c r="G2007" s="249"/>
      <c r="H2007" s="249"/>
      <c r="I2007" s="258"/>
      <c r="J2007" s="249"/>
      <c r="K2007" s="249"/>
      <c r="L2007" s="249"/>
      <c r="M2007" s="259"/>
      <c r="N2007" s="249"/>
      <c r="O2007" s="249"/>
      <c r="P2007" s="249"/>
      <c r="Q2007" s="249"/>
      <c r="R2007" s="249"/>
      <c r="S2007" s="249"/>
      <c r="T2007" s="249"/>
      <c r="U2007" s="249"/>
      <c r="V2007" s="249"/>
      <c r="W2007" s="249"/>
      <c r="X2007" s="249"/>
      <c r="Y2007" s="249"/>
      <c r="Z2007" s="249"/>
    </row>
    <row r="2008" spans="1:26" x14ac:dyDescent="0.25">
      <c r="A2008" s="249"/>
      <c r="B2008" s="249"/>
      <c r="C2008" s="249"/>
      <c r="D2008" s="249"/>
      <c r="E2008" s="249"/>
      <c r="F2008" s="249"/>
      <c r="G2008" s="249"/>
      <c r="H2008" s="249"/>
      <c r="I2008" s="258"/>
      <c r="J2008" s="249"/>
      <c r="K2008" s="249"/>
      <c r="L2008" s="249"/>
      <c r="M2008" s="259"/>
      <c r="N2008" s="249"/>
      <c r="O2008" s="249"/>
      <c r="P2008" s="249"/>
      <c r="Q2008" s="249"/>
      <c r="R2008" s="249"/>
      <c r="S2008" s="249"/>
      <c r="T2008" s="249"/>
      <c r="U2008" s="249"/>
      <c r="V2008" s="249"/>
      <c r="W2008" s="249"/>
      <c r="X2008" s="249"/>
      <c r="Y2008" s="249"/>
      <c r="Z2008" s="249"/>
    </row>
    <row r="2009" spans="1:26" x14ac:dyDescent="0.25">
      <c r="A2009" s="249"/>
      <c r="B2009" s="249"/>
      <c r="C2009" s="249"/>
      <c r="D2009" s="249"/>
      <c r="E2009" s="249"/>
      <c r="F2009" s="249"/>
      <c r="G2009" s="249"/>
      <c r="H2009" s="249"/>
      <c r="I2009" s="258"/>
      <c r="J2009" s="249"/>
      <c r="K2009" s="249"/>
      <c r="L2009" s="249"/>
      <c r="M2009" s="259"/>
      <c r="N2009" s="249"/>
      <c r="O2009" s="249"/>
      <c r="P2009" s="249"/>
      <c r="Q2009" s="249"/>
      <c r="R2009" s="249"/>
      <c r="S2009" s="249"/>
      <c r="T2009" s="249"/>
      <c r="U2009" s="249"/>
      <c r="V2009" s="249"/>
      <c r="W2009" s="249"/>
      <c r="X2009" s="249"/>
      <c r="Y2009" s="249"/>
      <c r="Z2009" s="249"/>
    </row>
    <row r="2010" spans="1:26" x14ac:dyDescent="0.25">
      <c r="A2010" s="249"/>
      <c r="B2010" s="249"/>
      <c r="C2010" s="249"/>
      <c r="D2010" s="249"/>
      <c r="E2010" s="249"/>
      <c r="F2010" s="249"/>
      <c r="G2010" s="249"/>
      <c r="H2010" s="249"/>
      <c r="I2010" s="258"/>
      <c r="J2010" s="249"/>
      <c r="K2010" s="249"/>
      <c r="L2010" s="249"/>
      <c r="M2010" s="259"/>
      <c r="N2010" s="249"/>
      <c r="O2010" s="249"/>
      <c r="P2010" s="249"/>
      <c r="Q2010" s="249"/>
      <c r="R2010" s="249"/>
      <c r="S2010" s="249"/>
      <c r="T2010" s="249"/>
      <c r="U2010" s="249"/>
      <c r="V2010" s="249"/>
      <c r="W2010" s="249"/>
      <c r="X2010" s="249"/>
      <c r="Y2010" s="249"/>
      <c r="Z2010" s="249"/>
    </row>
    <row r="2011" spans="1:26" x14ac:dyDescent="0.25">
      <c r="A2011" s="249"/>
      <c r="B2011" s="249"/>
      <c r="C2011" s="249"/>
      <c r="D2011" s="249"/>
      <c r="E2011" s="249"/>
      <c r="F2011" s="249"/>
      <c r="G2011" s="249"/>
      <c r="H2011" s="249"/>
      <c r="I2011" s="258"/>
      <c r="J2011" s="249"/>
      <c r="K2011" s="249"/>
      <c r="L2011" s="249"/>
      <c r="M2011" s="259"/>
      <c r="N2011" s="249"/>
      <c r="O2011" s="249"/>
      <c r="P2011" s="249"/>
      <c r="Q2011" s="249"/>
      <c r="R2011" s="249"/>
      <c r="S2011" s="249"/>
      <c r="T2011" s="249"/>
      <c r="U2011" s="249"/>
      <c r="V2011" s="249"/>
      <c r="W2011" s="249"/>
      <c r="X2011" s="249"/>
      <c r="Y2011" s="249"/>
      <c r="Z2011" s="249"/>
    </row>
    <row r="2012" spans="1:26" x14ac:dyDescent="0.25">
      <c r="A2012" s="249"/>
      <c r="B2012" s="249"/>
      <c r="C2012" s="249"/>
      <c r="D2012" s="249"/>
      <c r="E2012" s="249"/>
      <c r="F2012" s="249"/>
      <c r="G2012" s="249"/>
      <c r="H2012" s="249"/>
      <c r="I2012" s="258"/>
      <c r="J2012" s="249"/>
      <c r="K2012" s="249"/>
      <c r="L2012" s="249"/>
      <c r="M2012" s="259"/>
      <c r="N2012" s="249"/>
      <c r="O2012" s="249"/>
      <c r="P2012" s="249"/>
      <c r="Q2012" s="249"/>
      <c r="R2012" s="249"/>
      <c r="S2012" s="249"/>
      <c r="T2012" s="249"/>
      <c r="U2012" s="249"/>
      <c r="V2012" s="249"/>
      <c r="W2012" s="249"/>
      <c r="X2012" s="249"/>
      <c r="Y2012" s="249"/>
      <c r="Z2012" s="249"/>
    </row>
    <row r="2013" spans="1:26" x14ac:dyDescent="0.25">
      <c r="A2013" s="249"/>
      <c r="B2013" s="249"/>
      <c r="C2013" s="249"/>
      <c r="D2013" s="249"/>
      <c r="E2013" s="249"/>
      <c r="F2013" s="249"/>
      <c r="G2013" s="249"/>
      <c r="H2013" s="249"/>
      <c r="I2013" s="258"/>
      <c r="J2013" s="249"/>
      <c r="K2013" s="249"/>
      <c r="L2013" s="249"/>
      <c r="M2013" s="259"/>
      <c r="N2013" s="249"/>
      <c r="O2013" s="249"/>
      <c r="P2013" s="249"/>
      <c r="Q2013" s="249"/>
      <c r="R2013" s="249"/>
      <c r="S2013" s="249"/>
      <c r="T2013" s="249"/>
      <c r="U2013" s="249"/>
      <c r="V2013" s="249"/>
      <c r="W2013" s="249"/>
      <c r="X2013" s="249"/>
      <c r="Y2013" s="249"/>
      <c r="Z2013" s="249"/>
    </row>
    <row r="2014" spans="1:26" x14ac:dyDescent="0.25">
      <c r="A2014" s="249"/>
      <c r="B2014" s="249"/>
      <c r="C2014" s="249"/>
      <c r="D2014" s="249"/>
      <c r="E2014" s="249"/>
      <c r="F2014" s="249"/>
      <c r="G2014" s="249"/>
      <c r="H2014" s="249"/>
      <c r="I2014" s="258"/>
      <c r="J2014" s="249"/>
      <c r="K2014" s="249"/>
      <c r="L2014" s="249"/>
      <c r="M2014" s="259"/>
      <c r="N2014" s="249"/>
      <c r="O2014" s="249"/>
      <c r="P2014" s="249"/>
      <c r="Q2014" s="249"/>
      <c r="R2014" s="249"/>
      <c r="S2014" s="249"/>
      <c r="T2014" s="249"/>
      <c r="U2014" s="249"/>
      <c r="V2014" s="249"/>
      <c r="W2014" s="249"/>
      <c r="X2014" s="249"/>
      <c r="Y2014" s="249"/>
      <c r="Z2014" s="249"/>
    </row>
    <row r="2015" spans="1:26" x14ac:dyDescent="0.25">
      <c r="A2015" s="249"/>
      <c r="B2015" s="249"/>
      <c r="C2015" s="249"/>
      <c r="D2015" s="249"/>
      <c r="E2015" s="249"/>
      <c r="F2015" s="249"/>
      <c r="G2015" s="249"/>
      <c r="H2015" s="249"/>
      <c r="I2015" s="258"/>
      <c r="J2015" s="249"/>
      <c r="K2015" s="249"/>
      <c r="L2015" s="249"/>
      <c r="M2015" s="259"/>
      <c r="N2015" s="249"/>
      <c r="O2015" s="249"/>
      <c r="P2015" s="249"/>
      <c r="Q2015" s="249"/>
      <c r="R2015" s="249"/>
      <c r="S2015" s="249"/>
      <c r="T2015" s="249"/>
      <c r="U2015" s="249"/>
      <c r="V2015" s="249"/>
      <c r="W2015" s="249"/>
      <c r="X2015" s="249"/>
      <c r="Y2015" s="249"/>
      <c r="Z2015" s="249"/>
    </row>
    <row r="2016" spans="1:26" x14ac:dyDescent="0.25">
      <c r="A2016" s="249"/>
      <c r="B2016" s="249"/>
      <c r="C2016" s="249"/>
      <c r="D2016" s="249"/>
      <c r="E2016" s="249"/>
      <c r="F2016" s="249"/>
      <c r="G2016" s="249"/>
      <c r="H2016" s="249"/>
      <c r="I2016" s="258"/>
      <c r="J2016" s="249"/>
      <c r="K2016" s="249"/>
      <c r="L2016" s="249"/>
      <c r="M2016" s="259"/>
      <c r="N2016" s="249"/>
      <c r="O2016" s="249"/>
      <c r="P2016" s="249"/>
      <c r="Q2016" s="249"/>
      <c r="R2016" s="249"/>
      <c r="S2016" s="249"/>
      <c r="T2016" s="249"/>
      <c r="U2016" s="249"/>
      <c r="V2016" s="249"/>
      <c r="W2016" s="249"/>
      <c r="X2016" s="249"/>
      <c r="Y2016" s="249"/>
      <c r="Z2016" s="249"/>
    </row>
    <row r="2017" spans="1:26" x14ac:dyDescent="0.25">
      <c r="A2017" s="249"/>
      <c r="B2017" s="249"/>
      <c r="C2017" s="249"/>
      <c r="D2017" s="249"/>
      <c r="E2017" s="249"/>
      <c r="F2017" s="249"/>
      <c r="G2017" s="249"/>
      <c r="H2017" s="249"/>
      <c r="I2017" s="258"/>
      <c r="J2017" s="249"/>
      <c r="K2017" s="249"/>
      <c r="L2017" s="249"/>
      <c r="M2017" s="259"/>
      <c r="N2017" s="249"/>
      <c r="O2017" s="249"/>
      <c r="P2017" s="249"/>
      <c r="Q2017" s="249"/>
      <c r="R2017" s="249"/>
      <c r="S2017" s="249"/>
      <c r="T2017" s="249"/>
      <c r="U2017" s="249"/>
      <c r="V2017" s="249"/>
      <c r="W2017" s="249"/>
      <c r="X2017" s="249"/>
      <c r="Y2017" s="249"/>
      <c r="Z2017" s="249"/>
    </row>
    <row r="2018" spans="1:26" x14ac:dyDescent="0.25">
      <c r="A2018" s="249"/>
      <c r="B2018" s="249"/>
      <c r="C2018" s="249"/>
      <c r="D2018" s="249"/>
      <c r="E2018" s="249"/>
      <c r="F2018" s="249"/>
      <c r="G2018" s="249"/>
      <c r="H2018" s="249"/>
      <c r="I2018" s="258"/>
      <c r="J2018" s="249"/>
      <c r="K2018" s="249"/>
      <c r="L2018" s="249"/>
      <c r="M2018" s="259"/>
      <c r="N2018" s="249"/>
      <c r="O2018" s="249"/>
      <c r="P2018" s="249"/>
      <c r="Q2018" s="249"/>
      <c r="R2018" s="249"/>
      <c r="S2018" s="249"/>
      <c r="T2018" s="249"/>
      <c r="U2018" s="249"/>
      <c r="V2018" s="249"/>
      <c r="W2018" s="249"/>
      <c r="X2018" s="249"/>
      <c r="Y2018" s="249"/>
      <c r="Z2018" s="249"/>
    </row>
    <row r="2019" spans="1:26" x14ac:dyDescent="0.25">
      <c r="A2019" s="249"/>
      <c r="B2019" s="249"/>
      <c r="C2019" s="249"/>
      <c r="D2019" s="249"/>
      <c r="E2019" s="249"/>
      <c r="F2019" s="249"/>
      <c r="G2019" s="249"/>
      <c r="H2019" s="249"/>
      <c r="I2019" s="258"/>
      <c r="J2019" s="249"/>
      <c r="K2019" s="249"/>
      <c r="L2019" s="249"/>
      <c r="M2019" s="259"/>
      <c r="N2019" s="249"/>
      <c r="O2019" s="249"/>
      <c r="P2019" s="249"/>
      <c r="Q2019" s="249"/>
      <c r="R2019" s="249"/>
      <c r="S2019" s="249"/>
      <c r="T2019" s="249"/>
      <c r="U2019" s="249"/>
      <c r="V2019" s="249"/>
      <c r="W2019" s="249"/>
      <c r="X2019" s="249"/>
      <c r="Y2019" s="249"/>
      <c r="Z2019" s="249"/>
    </row>
    <row r="2020" spans="1:26" x14ac:dyDescent="0.25">
      <c r="A2020" s="249"/>
      <c r="B2020" s="249"/>
      <c r="C2020" s="249"/>
      <c r="D2020" s="249"/>
      <c r="E2020" s="249"/>
      <c r="F2020" s="249"/>
      <c r="G2020" s="249"/>
      <c r="H2020" s="249"/>
      <c r="I2020" s="258"/>
      <c r="J2020" s="249"/>
      <c r="K2020" s="249"/>
      <c r="L2020" s="249"/>
      <c r="M2020" s="259"/>
      <c r="N2020" s="249"/>
      <c r="O2020" s="249"/>
      <c r="P2020" s="249"/>
      <c r="Q2020" s="249"/>
      <c r="R2020" s="249"/>
      <c r="S2020" s="249"/>
      <c r="T2020" s="249"/>
      <c r="U2020" s="249"/>
      <c r="V2020" s="249"/>
      <c r="W2020" s="249"/>
      <c r="X2020" s="249"/>
      <c r="Y2020" s="249"/>
      <c r="Z2020" s="249"/>
    </row>
    <row r="2021" spans="1:26" x14ac:dyDescent="0.25">
      <c r="A2021" s="249"/>
      <c r="B2021" s="249"/>
      <c r="C2021" s="249"/>
      <c r="D2021" s="249"/>
      <c r="E2021" s="249"/>
      <c r="F2021" s="249"/>
      <c r="G2021" s="249"/>
      <c r="H2021" s="249"/>
      <c r="I2021" s="258"/>
      <c r="J2021" s="249"/>
      <c r="K2021" s="249"/>
      <c r="L2021" s="249"/>
      <c r="M2021" s="259"/>
      <c r="N2021" s="249"/>
      <c r="O2021" s="249"/>
      <c r="P2021" s="249"/>
      <c r="Q2021" s="249"/>
      <c r="R2021" s="249"/>
      <c r="S2021" s="249"/>
      <c r="T2021" s="249"/>
      <c r="U2021" s="249"/>
      <c r="V2021" s="249"/>
      <c r="W2021" s="249"/>
      <c r="X2021" s="249"/>
      <c r="Y2021" s="249"/>
      <c r="Z2021" s="249"/>
    </row>
    <row r="2022" spans="1:26" x14ac:dyDescent="0.25">
      <c r="A2022" s="249"/>
      <c r="B2022" s="249"/>
      <c r="C2022" s="249"/>
      <c r="D2022" s="249"/>
      <c r="E2022" s="249"/>
      <c r="F2022" s="249"/>
      <c r="G2022" s="249"/>
      <c r="H2022" s="249"/>
      <c r="I2022" s="258"/>
      <c r="J2022" s="249"/>
      <c r="K2022" s="249"/>
      <c r="L2022" s="249"/>
      <c r="M2022" s="259"/>
      <c r="N2022" s="249"/>
      <c r="O2022" s="249"/>
      <c r="P2022" s="249"/>
      <c r="Q2022" s="249"/>
      <c r="R2022" s="249"/>
      <c r="S2022" s="249"/>
      <c r="T2022" s="249"/>
      <c r="U2022" s="249"/>
      <c r="V2022" s="249"/>
      <c r="W2022" s="249"/>
      <c r="X2022" s="249"/>
      <c r="Y2022" s="249"/>
      <c r="Z2022" s="249"/>
    </row>
    <row r="2023" spans="1:26" x14ac:dyDescent="0.25">
      <c r="A2023" s="249"/>
      <c r="B2023" s="249"/>
      <c r="C2023" s="249"/>
      <c r="D2023" s="249"/>
      <c r="E2023" s="249"/>
      <c r="F2023" s="249"/>
      <c r="G2023" s="249"/>
      <c r="H2023" s="249"/>
      <c r="I2023" s="258"/>
      <c r="J2023" s="249"/>
      <c r="K2023" s="249"/>
      <c r="L2023" s="249"/>
      <c r="M2023" s="259"/>
      <c r="N2023" s="249"/>
      <c r="O2023" s="249"/>
      <c r="P2023" s="249"/>
      <c r="Q2023" s="249"/>
      <c r="R2023" s="249"/>
      <c r="S2023" s="249"/>
      <c r="T2023" s="249"/>
      <c r="U2023" s="249"/>
      <c r="V2023" s="249"/>
      <c r="W2023" s="249"/>
      <c r="X2023" s="249"/>
      <c r="Y2023" s="249"/>
      <c r="Z2023" s="249"/>
    </row>
    <row r="2024" spans="1:26" x14ac:dyDescent="0.25">
      <c r="A2024" s="249"/>
      <c r="B2024" s="249"/>
      <c r="C2024" s="249"/>
      <c r="D2024" s="249"/>
      <c r="E2024" s="249"/>
      <c r="F2024" s="249"/>
      <c r="G2024" s="249"/>
      <c r="H2024" s="249"/>
      <c r="I2024" s="258"/>
      <c r="J2024" s="249"/>
      <c r="K2024" s="249"/>
      <c r="L2024" s="249"/>
      <c r="M2024" s="259"/>
      <c r="N2024" s="249"/>
      <c r="O2024" s="249"/>
      <c r="P2024" s="249"/>
      <c r="Q2024" s="249"/>
      <c r="R2024" s="249"/>
      <c r="S2024" s="249"/>
      <c r="T2024" s="249"/>
      <c r="U2024" s="249"/>
      <c r="V2024" s="249"/>
      <c r="W2024" s="249"/>
      <c r="X2024" s="249"/>
      <c r="Y2024" s="249"/>
      <c r="Z2024" s="249"/>
    </row>
    <row r="2025" spans="1:26" x14ac:dyDescent="0.25">
      <c r="A2025" s="249"/>
      <c r="B2025" s="249"/>
      <c r="C2025" s="249"/>
      <c r="D2025" s="249"/>
      <c r="E2025" s="249"/>
      <c r="F2025" s="249"/>
      <c r="G2025" s="249"/>
      <c r="H2025" s="249"/>
      <c r="I2025" s="258"/>
      <c r="J2025" s="249"/>
      <c r="K2025" s="249"/>
      <c r="L2025" s="249"/>
      <c r="M2025" s="259"/>
      <c r="N2025" s="249"/>
      <c r="O2025" s="249"/>
      <c r="P2025" s="249"/>
      <c r="Q2025" s="249"/>
      <c r="R2025" s="249"/>
      <c r="S2025" s="249"/>
      <c r="T2025" s="249"/>
      <c r="U2025" s="249"/>
      <c r="V2025" s="249"/>
      <c r="W2025" s="249"/>
      <c r="X2025" s="249"/>
      <c r="Y2025" s="249"/>
      <c r="Z2025" s="249"/>
    </row>
    <row r="2026" spans="1:26" x14ac:dyDescent="0.25">
      <c r="A2026" s="249"/>
      <c r="B2026" s="249"/>
      <c r="C2026" s="249"/>
      <c r="D2026" s="249"/>
      <c r="E2026" s="249"/>
      <c r="F2026" s="249"/>
      <c r="G2026" s="249"/>
      <c r="H2026" s="249"/>
      <c r="I2026" s="258"/>
      <c r="J2026" s="249"/>
      <c r="K2026" s="249"/>
      <c r="L2026" s="249"/>
      <c r="M2026" s="259"/>
      <c r="N2026" s="249"/>
      <c r="O2026" s="249"/>
      <c r="P2026" s="249"/>
      <c r="Q2026" s="249"/>
      <c r="R2026" s="249"/>
      <c r="S2026" s="249"/>
      <c r="T2026" s="249"/>
      <c r="U2026" s="249"/>
      <c r="V2026" s="249"/>
      <c r="W2026" s="249"/>
      <c r="X2026" s="249"/>
      <c r="Y2026" s="249"/>
      <c r="Z2026" s="249"/>
    </row>
    <row r="2027" spans="1:26" x14ac:dyDescent="0.25">
      <c r="A2027" s="249"/>
      <c r="B2027" s="249"/>
      <c r="C2027" s="249"/>
      <c r="D2027" s="249"/>
      <c r="E2027" s="249"/>
      <c r="F2027" s="249"/>
      <c r="G2027" s="249"/>
      <c r="H2027" s="249"/>
      <c r="I2027" s="258"/>
      <c r="J2027" s="249"/>
      <c r="K2027" s="249"/>
      <c r="L2027" s="249"/>
      <c r="M2027" s="259"/>
      <c r="N2027" s="249"/>
      <c r="O2027" s="249"/>
      <c r="P2027" s="249"/>
      <c r="Q2027" s="249"/>
      <c r="R2027" s="249"/>
      <c r="S2027" s="249"/>
      <c r="T2027" s="249"/>
      <c r="U2027" s="249"/>
      <c r="V2027" s="249"/>
      <c r="W2027" s="249"/>
      <c r="X2027" s="249"/>
      <c r="Y2027" s="249"/>
      <c r="Z2027" s="249"/>
    </row>
    <row r="2028" spans="1:26" x14ac:dyDescent="0.25">
      <c r="A2028" s="249"/>
      <c r="B2028" s="249"/>
      <c r="C2028" s="249"/>
      <c r="D2028" s="249"/>
      <c r="E2028" s="249"/>
      <c r="F2028" s="249"/>
      <c r="G2028" s="249"/>
      <c r="H2028" s="249"/>
      <c r="I2028" s="258"/>
      <c r="J2028" s="249"/>
      <c r="K2028" s="249"/>
      <c r="L2028" s="249"/>
      <c r="M2028" s="259"/>
      <c r="N2028" s="249"/>
      <c r="O2028" s="249"/>
      <c r="P2028" s="249"/>
      <c r="Q2028" s="249"/>
      <c r="R2028" s="249"/>
      <c r="S2028" s="249"/>
      <c r="T2028" s="249"/>
      <c r="U2028" s="249"/>
      <c r="V2028" s="249"/>
      <c r="W2028" s="249"/>
      <c r="X2028" s="249"/>
      <c r="Y2028" s="249"/>
      <c r="Z2028" s="249"/>
    </row>
    <row r="2029" spans="1:26" x14ac:dyDescent="0.25">
      <c r="A2029" s="249"/>
      <c r="B2029" s="249"/>
      <c r="C2029" s="249"/>
      <c r="D2029" s="249"/>
      <c r="E2029" s="249"/>
      <c r="F2029" s="249"/>
      <c r="G2029" s="249"/>
      <c r="H2029" s="249"/>
      <c r="I2029" s="258"/>
      <c r="J2029" s="249"/>
      <c r="K2029" s="249"/>
      <c r="L2029" s="249"/>
      <c r="M2029" s="259"/>
      <c r="N2029" s="249"/>
      <c r="O2029" s="249"/>
      <c r="P2029" s="249"/>
      <c r="Q2029" s="249"/>
      <c r="R2029" s="249"/>
      <c r="S2029" s="249"/>
      <c r="T2029" s="249"/>
      <c r="U2029" s="249"/>
      <c r="V2029" s="249"/>
      <c r="W2029" s="249"/>
      <c r="X2029" s="249"/>
      <c r="Y2029" s="249"/>
      <c r="Z2029" s="249"/>
    </row>
    <row r="2030" spans="1:26" x14ac:dyDescent="0.25">
      <c r="A2030" s="249"/>
      <c r="B2030" s="249"/>
      <c r="C2030" s="249"/>
      <c r="D2030" s="249"/>
      <c r="E2030" s="249"/>
      <c r="F2030" s="249"/>
      <c r="G2030" s="249"/>
      <c r="H2030" s="249"/>
      <c r="I2030" s="258"/>
      <c r="J2030" s="249"/>
      <c r="K2030" s="249"/>
      <c r="L2030" s="249"/>
      <c r="M2030" s="259"/>
      <c r="N2030" s="249"/>
      <c r="O2030" s="249"/>
      <c r="P2030" s="249"/>
      <c r="Q2030" s="249"/>
      <c r="R2030" s="249"/>
      <c r="S2030" s="249"/>
      <c r="T2030" s="249"/>
      <c r="U2030" s="249"/>
      <c r="V2030" s="249"/>
      <c r="W2030" s="249"/>
      <c r="X2030" s="249"/>
      <c r="Y2030" s="249"/>
      <c r="Z2030" s="249"/>
    </row>
    <row r="2031" spans="1:26" x14ac:dyDescent="0.25">
      <c r="A2031" s="249"/>
      <c r="B2031" s="249"/>
      <c r="C2031" s="249"/>
      <c r="D2031" s="249"/>
      <c r="E2031" s="249"/>
      <c r="F2031" s="249"/>
      <c r="G2031" s="249"/>
      <c r="H2031" s="249"/>
      <c r="I2031" s="258"/>
      <c r="J2031" s="249"/>
      <c r="K2031" s="249"/>
      <c r="L2031" s="249"/>
      <c r="M2031" s="259"/>
      <c r="N2031" s="249"/>
      <c r="O2031" s="249"/>
      <c r="P2031" s="249"/>
      <c r="Q2031" s="249"/>
      <c r="R2031" s="249"/>
      <c r="S2031" s="249"/>
      <c r="T2031" s="249"/>
      <c r="U2031" s="249"/>
      <c r="V2031" s="249"/>
      <c r="W2031" s="249"/>
      <c r="X2031" s="249"/>
      <c r="Y2031" s="249"/>
      <c r="Z2031" s="249"/>
    </row>
    <row r="2032" spans="1:26" x14ac:dyDescent="0.25">
      <c r="A2032" s="249"/>
      <c r="B2032" s="249"/>
      <c r="C2032" s="249"/>
      <c r="D2032" s="249"/>
      <c r="E2032" s="249"/>
      <c r="F2032" s="249"/>
      <c r="G2032" s="249"/>
      <c r="H2032" s="249"/>
      <c r="I2032" s="258"/>
      <c r="J2032" s="249"/>
      <c r="K2032" s="249"/>
      <c r="L2032" s="249"/>
      <c r="M2032" s="259"/>
      <c r="N2032" s="249"/>
      <c r="O2032" s="249"/>
      <c r="P2032" s="249"/>
      <c r="Q2032" s="249"/>
      <c r="R2032" s="249"/>
      <c r="S2032" s="249"/>
      <c r="T2032" s="249"/>
      <c r="U2032" s="249"/>
      <c r="V2032" s="249"/>
      <c r="W2032" s="249"/>
      <c r="X2032" s="249"/>
      <c r="Y2032" s="249"/>
      <c r="Z2032" s="249"/>
    </row>
    <row r="2033" spans="1:26" x14ac:dyDescent="0.25">
      <c r="A2033" s="249"/>
      <c r="B2033" s="249"/>
      <c r="C2033" s="249"/>
      <c r="D2033" s="249"/>
      <c r="E2033" s="249"/>
      <c r="F2033" s="249"/>
      <c r="G2033" s="249"/>
      <c r="H2033" s="249"/>
      <c r="I2033" s="258"/>
      <c r="J2033" s="249"/>
      <c r="K2033" s="249"/>
      <c r="L2033" s="249"/>
      <c r="M2033" s="259"/>
      <c r="N2033" s="249"/>
      <c r="O2033" s="249"/>
      <c r="P2033" s="249"/>
      <c r="Q2033" s="249"/>
      <c r="R2033" s="249"/>
      <c r="S2033" s="249"/>
      <c r="T2033" s="249"/>
      <c r="U2033" s="249"/>
      <c r="V2033" s="249"/>
      <c r="W2033" s="249"/>
      <c r="X2033" s="249"/>
      <c r="Y2033" s="249"/>
      <c r="Z2033" s="249"/>
    </row>
    <row r="2034" spans="1:26" x14ac:dyDescent="0.25">
      <c r="A2034" s="249"/>
      <c r="B2034" s="249"/>
      <c r="C2034" s="249"/>
      <c r="D2034" s="249"/>
      <c r="E2034" s="249"/>
      <c r="F2034" s="249"/>
      <c r="G2034" s="249"/>
      <c r="H2034" s="249"/>
      <c r="I2034" s="258"/>
      <c r="J2034" s="249"/>
      <c r="K2034" s="249"/>
      <c r="L2034" s="249"/>
      <c r="M2034" s="259"/>
      <c r="N2034" s="249"/>
      <c r="O2034" s="249"/>
      <c r="P2034" s="249"/>
      <c r="Q2034" s="249"/>
      <c r="R2034" s="249"/>
      <c r="S2034" s="249"/>
      <c r="T2034" s="249"/>
      <c r="U2034" s="249"/>
      <c r="V2034" s="249"/>
      <c r="W2034" s="249"/>
      <c r="X2034" s="249"/>
      <c r="Y2034" s="249"/>
      <c r="Z2034" s="249"/>
    </row>
    <row r="2035" spans="1:26" x14ac:dyDescent="0.25">
      <c r="A2035" s="249"/>
      <c r="B2035" s="249"/>
      <c r="C2035" s="249"/>
      <c r="D2035" s="249"/>
      <c r="E2035" s="249"/>
      <c r="F2035" s="249"/>
      <c r="G2035" s="249"/>
      <c r="H2035" s="249"/>
      <c r="I2035" s="258"/>
      <c r="J2035" s="249"/>
      <c r="K2035" s="249"/>
      <c r="L2035" s="249"/>
      <c r="M2035" s="259"/>
      <c r="N2035" s="249"/>
      <c r="O2035" s="249"/>
      <c r="P2035" s="249"/>
      <c r="Q2035" s="249"/>
      <c r="R2035" s="249"/>
      <c r="S2035" s="249"/>
      <c r="T2035" s="249"/>
      <c r="U2035" s="249"/>
      <c r="V2035" s="249"/>
      <c r="W2035" s="249"/>
      <c r="X2035" s="249"/>
      <c r="Y2035" s="249"/>
      <c r="Z2035" s="249"/>
    </row>
    <row r="2036" spans="1:26" x14ac:dyDescent="0.25">
      <c r="A2036" s="249"/>
      <c r="B2036" s="249"/>
      <c r="C2036" s="249"/>
      <c r="D2036" s="249"/>
      <c r="E2036" s="249"/>
      <c r="F2036" s="249"/>
      <c r="G2036" s="249"/>
      <c r="H2036" s="249"/>
      <c r="I2036" s="258"/>
      <c r="J2036" s="249"/>
      <c r="K2036" s="249"/>
      <c r="L2036" s="249"/>
      <c r="M2036" s="259"/>
      <c r="N2036" s="249"/>
      <c r="O2036" s="249"/>
      <c r="P2036" s="249"/>
      <c r="Q2036" s="249"/>
      <c r="R2036" s="249"/>
      <c r="S2036" s="249"/>
      <c r="T2036" s="249"/>
      <c r="U2036" s="249"/>
      <c r="V2036" s="249"/>
      <c r="W2036" s="249"/>
      <c r="X2036" s="249"/>
      <c r="Y2036" s="249"/>
      <c r="Z2036" s="249"/>
    </row>
    <row r="2037" spans="1:26" x14ac:dyDescent="0.25">
      <c r="A2037" s="249"/>
      <c r="B2037" s="249"/>
      <c r="C2037" s="249"/>
      <c r="D2037" s="249"/>
      <c r="E2037" s="249"/>
      <c r="F2037" s="249"/>
      <c r="G2037" s="249"/>
      <c r="H2037" s="249"/>
      <c r="I2037" s="258"/>
      <c r="J2037" s="249"/>
      <c r="K2037" s="249"/>
      <c r="L2037" s="249"/>
      <c r="M2037" s="259"/>
      <c r="N2037" s="249"/>
      <c r="O2037" s="249"/>
      <c r="P2037" s="249"/>
      <c r="Q2037" s="249"/>
      <c r="R2037" s="249"/>
      <c r="S2037" s="249"/>
      <c r="T2037" s="249"/>
      <c r="U2037" s="249"/>
      <c r="V2037" s="249"/>
      <c r="W2037" s="249"/>
      <c r="X2037" s="249"/>
      <c r="Y2037" s="249"/>
      <c r="Z2037" s="249"/>
    </row>
    <row r="2038" spans="1:26" x14ac:dyDescent="0.25">
      <c r="A2038" s="249"/>
      <c r="B2038" s="249"/>
      <c r="C2038" s="249"/>
      <c r="D2038" s="249"/>
      <c r="E2038" s="249"/>
      <c r="F2038" s="249"/>
      <c r="G2038" s="249"/>
      <c r="H2038" s="249"/>
      <c r="I2038" s="258"/>
      <c r="J2038" s="249"/>
      <c r="K2038" s="249"/>
      <c r="L2038" s="249"/>
      <c r="M2038" s="259"/>
      <c r="N2038" s="249"/>
      <c r="O2038" s="249"/>
      <c r="P2038" s="249"/>
      <c r="Q2038" s="249"/>
      <c r="R2038" s="249"/>
      <c r="S2038" s="249"/>
      <c r="T2038" s="249"/>
      <c r="U2038" s="249"/>
      <c r="V2038" s="249"/>
      <c r="W2038" s="249"/>
      <c r="X2038" s="249"/>
      <c r="Y2038" s="249"/>
      <c r="Z2038" s="249"/>
    </row>
    <row r="2039" spans="1:26" x14ac:dyDescent="0.25">
      <c r="A2039" s="249"/>
      <c r="B2039" s="249"/>
      <c r="C2039" s="249"/>
      <c r="D2039" s="249"/>
      <c r="E2039" s="249"/>
      <c r="F2039" s="249"/>
      <c r="G2039" s="249"/>
      <c r="H2039" s="249"/>
      <c r="I2039" s="258"/>
      <c r="J2039" s="249"/>
      <c r="K2039" s="249"/>
      <c r="L2039" s="249"/>
      <c r="M2039" s="259"/>
      <c r="N2039" s="249"/>
      <c r="O2039" s="249"/>
      <c r="P2039" s="249"/>
      <c r="Q2039" s="249"/>
      <c r="R2039" s="249"/>
      <c r="S2039" s="249"/>
      <c r="T2039" s="249"/>
      <c r="U2039" s="249"/>
      <c r="V2039" s="249"/>
      <c r="W2039" s="249"/>
      <c r="X2039" s="249"/>
      <c r="Y2039" s="249"/>
      <c r="Z2039" s="249"/>
    </row>
    <row r="2040" spans="1:26" x14ac:dyDescent="0.25">
      <c r="A2040" s="249"/>
      <c r="B2040" s="249"/>
      <c r="C2040" s="249"/>
      <c r="D2040" s="249"/>
      <c r="E2040" s="249"/>
      <c r="F2040" s="249"/>
      <c r="G2040" s="249"/>
      <c r="H2040" s="249"/>
      <c r="I2040" s="258"/>
      <c r="J2040" s="249"/>
      <c r="K2040" s="249"/>
      <c r="L2040" s="249"/>
      <c r="M2040" s="259"/>
      <c r="N2040" s="249"/>
      <c r="O2040" s="249"/>
      <c r="P2040" s="249"/>
      <c r="Q2040" s="249"/>
      <c r="R2040" s="249"/>
      <c r="S2040" s="249"/>
      <c r="T2040" s="249"/>
      <c r="U2040" s="249"/>
      <c r="V2040" s="249"/>
      <c r="W2040" s="249"/>
      <c r="X2040" s="249"/>
      <c r="Y2040" s="249"/>
      <c r="Z2040" s="249"/>
    </row>
    <row r="2041" spans="1:26" x14ac:dyDescent="0.25">
      <c r="A2041" s="249"/>
      <c r="B2041" s="249"/>
      <c r="C2041" s="249"/>
      <c r="D2041" s="249"/>
      <c r="E2041" s="249"/>
      <c r="F2041" s="249"/>
      <c r="G2041" s="249"/>
      <c r="H2041" s="249"/>
      <c r="I2041" s="258"/>
      <c r="J2041" s="249"/>
      <c r="K2041" s="249"/>
      <c r="L2041" s="249"/>
      <c r="M2041" s="259"/>
      <c r="N2041" s="249"/>
      <c r="O2041" s="249"/>
      <c r="P2041" s="249"/>
      <c r="Q2041" s="249"/>
      <c r="R2041" s="249"/>
      <c r="S2041" s="249"/>
      <c r="T2041" s="249"/>
      <c r="U2041" s="249"/>
      <c r="V2041" s="249"/>
      <c r="W2041" s="249"/>
      <c r="X2041" s="249"/>
      <c r="Y2041" s="249"/>
      <c r="Z2041" s="249"/>
    </row>
    <row r="2042" spans="1:26" x14ac:dyDescent="0.25">
      <c r="A2042" s="249"/>
      <c r="B2042" s="249"/>
      <c r="C2042" s="249"/>
      <c r="D2042" s="249"/>
      <c r="E2042" s="249"/>
      <c r="F2042" s="249"/>
      <c r="G2042" s="249"/>
      <c r="H2042" s="249"/>
      <c r="I2042" s="258"/>
      <c r="J2042" s="249"/>
      <c r="K2042" s="249"/>
      <c r="L2042" s="249"/>
      <c r="M2042" s="259"/>
      <c r="N2042" s="249"/>
      <c r="O2042" s="249"/>
      <c r="P2042" s="249"/>
      <c r="Q2042" s="249"/>
      <c r="R2042" s="249"/>
      <c r="S2042" s="249"/>
      <c r="T2042" s="249"/>
      <c r="U2042" s="249"/>
      <c r="V2042" s="249"/>
      <c r="W2042" s="249"/>
      <c r="X2042" s="249"/>
      <c r="Y2042" s="249"/>
      <c r="Z2042" s="249"/>
    </row>
    <row r="2043" spans="1:26" x14ac:dyDescent="0.25">
      <c r="A2043" s="249"/>
      <c r="B2043" s="249"/>
      <c r="C2043" s="249"/>
      <c r="D2043" s="249"/>
      <c r="E2043" s="249"/>
      <c r="F2043" s="249"/>
      <c r="G2043" s="249"/>
      <c r="H2043" s="249"/>
      <c r="I2043" s="258"/>
      <c r="J2043" s="249"/>
      <c r="K2043" s="249"/>
      <c r="L2043" s="249"/>
      <c r="M2043" s="259"/>
      <c r="N2043" s="249"/>
      <c r="O2043" s="249"/>
      <c r="P2043" s="249"/>
      <c r="Q2043" s="249"/>
      <c r="R2043" s="249"/>
      <c r="S2043" s="249"/>
      <c r="T2043" s="249"/>
      <c r="U2043" s="249"/>
      <c r="V2043" s="249"/>
      <c r="W2043" s="249"/>
      <c r="X2043" s="249"/>
      <c r="Y2043" s="249"/>
      <c r="Z2043" s="249"/>
    </row>
    <row r="2044" spans="1:26" x14ac:dyDescent="0.25">
      <c r="A2044" s="249"/>
      <c r="B2044" s="249"/>
      <c r="C2044" s="249"/>
      <c r="D2044" s="249"/>
      <c r="E2044" s="249"/>
      <c r="F2044" s="249"/>
      <c r="G2044" s="249"/>
      <c r="H2044" s="249"/>
      <c r="I2044" s="258"/>
      <c r="J2044" s="249"/>
      <c r="K2044" s="249"/>
      <c r="L2044" s="249"/>
      <c r="M2044" s="259"/>
      <c r="N2044" s="249"/>
      <c r="O2044" s="249"/>
      <c r="P2044" s="249"/>
      <c r="Q2044" s="249"/>
      <c r="R2044" s="249"/>
      <c r="S2044" s="249"/>
      <c r="T2044" s="249"/>
      <c r="U2044" s="249"/>
      <c r="V2044" s="249"/>
      <c r="W2044" s="249"/>
      <c r="X2044" s="249"/>
      <c r="Y2044" s="249"/>
      <c r="Z2044" s="249"/>
    </row>
    <row r="2045" spans="1:26" x14ac:dyDescent="0.25">
      <c r="A2045" s="249"/>
      <c r="B2045" s="249"/>
      <c r="C2045" s="249"/>
      <c r="D2045" s="249"/>
      <c r="E2045" s="249"/>
      <c r="F2045" s="249"/>
      <c r="G2045" s="249"/>
      <c r="H2045" s="249"/>
      <c r="I2045" s="258"/>
      <c r="J2045" s="249"/>
      <c r="K2045" s="249"/>
      <c r="L2045" s="249"/>
      <c r="M2045" s="259"/>
      <c r="N2045" s="249"/>
      <c r="O2045" s="249"/>
      <c r="P2045" s="249"/>
      <c r="Q2045" s="249"/>
      <c r="R2045" s="249"/>
      <c r="S2045" s="249"/>
      <c r="T2045" s="249"/>
      <c r="U2045" s="249"/>
      <c r="V2045" s="249"/>
      <c r="W2045" s="249"/>
      <c r="X2045" s="249"/>
      <c r="Y2045" s="249"/>
      <c r="Z2045" s="249"/>
    </row>
    <row r="2046" spans="1:26" x14ac:dyDescent="0.25">
      <c r="A2046" s="249"/>
      <c r="B2046" s="249"/>
      <c r="C2046" s="249"/>
      <c r="D2046" s="249"/>
      <c r="E2046" s="249"/>
      <c r="F2046" s="249"/>
      <c r="G2046" s="249"/>
      <c r="H2046" s="249"/>
      <c r="I2046" s="258"/>
      <c r="J2046" s="249"/>
      <c r="K2046" s="249"/>
      <c r="L2046" s="249"/>
      <c r="M2046" s="259"/>
      <c r="N2046" s="249"/>
      <c r="O2046" s="249"/>
      <c r="P2046" s="249"/>
      <c r="Q2046" s="249"/>
      <c r="R2046" s="249"/>
      <c r="S2046" s="249"/>
      <c r="T2046" s="249"/>
      <c r="U2046" s="249"/>
      <c r="V2046" s="249"/>
      <c r="W2046" s="249"/>
      <c r="X2046" s="249"/>
      <c r="Y2046" s="249"/>
      <c r="Z2046" s="249"/>
    </row>
    <row r="2047" spans="1:26" x14ac:dyDescent="0.25">
      <c r="A2047" s="249"/>
      <c r="B2047" s="249"/>
      <c r="C2047" s="249"/>
      <c r="D2047" s="249"/>
      <c r="E2047" s="249"/>
      <c r="F2047" s="249"/>
      <c r="G2047" s="249"/>
      <c r="H2047" s="249"/>
      <c r="I2047" s="258"/>
      <c r="J2047" s="249"/>
      <c r="K2047" s="249"/>
      <c r="L2047" s="249"/>
      <c r="M2047" s="259"/>
      <c r="N2047" s="249"/>
      <c r="O2047" s="249"/>
      <c r="P2047" s="249"/>
      <c r="Q2047" s="249"/>
      <c r="R2047" s="249"/>
      <c r="S2047" s="249"/>
      <c r="T2047" s="249"/>
      <c r="U2047" s="249"/>
      <c r="V2047" s="249"/>
      <c r="W2047" s="249"/>
      <c r="X2047" s="249"/>
      <c r="Y2047" s="249"/>
      <c r="Z2047" s="249"/>
    </row>
    <row r="2048" spans="1:26" x14ac:dyDescent="0.25">
      <c r="A2048" s="249"/>
      <c r="B2048" s="249"/>
      <c r="C2048" s="249"/>
      <c r="D2048" s="249"/>
      <c r="E2048" s="249"/>
      <c r="F2048" s="249"/>
      <c r="G2048" s="249"/>
      <c r="H2048" s="249"/>
      <c r="I2048" s="258"/>
      <c r="J2048" s="249"/>
      <c r="K2048" s="249"/>
      <c r="L2048" s="249"/>
      <c r="M2048" s="259"/>
      <c r="N2048" s="249"/>
      <c r="O2048" s="249"/>
      <c r="P2048" s="249"/>
      <c r="Q2048" s="249"/>
      <c r="R2048" s="249"/>
      <c r="S2048" s="249"/>
      <c r="T2048" s="249"/>
      <c r="U2048" s="249"/>
      <c r="V2048" s="249"/>
      <c r="W2048" s="249"/>
      <c r="X2048" s="249"/>
      <c r="Y2048" s="249"/>
      <c r="Z2048" s="249"/>
    </row>
    <row r="2049" spans="1:26" x14ac:dyDescent="0.25">
      <c r="A2049" s="249"/>
      <c r="B2049" s="249"/>
      <c r="C2049" s="249"/>
      <c r="D2049" s="249"/>
      <c r="E2049" s="249"/>
      <c r="F2049" s="249"/>
      <c r="G2049" s="249"/>
      <c r="H2049" s="249"/>
      <c r="I2049" s="258"/>
      <c r="J2049" s="249"/>
      <c r="K2049" s="249"/>
      <c r="L2049" s="249"/>
      <c r="M2049" s="259"/>
      <c r="N2049" s="249"/>
      <c r="O2049" s="249"/>
      <c r="P2049" s="249"/>
      <c r="Q2049" s="249"/>
      <c r="R2049" s="249"/>
      <c r="S2049" s="249"/>
      <c r="T2049" s="249"/>
      <c r="U2049" s="249"/>
      <c r="V2049" s="249"/>
      <c r="W2049" s="249"/>
      <c r="X2049" s="249"/>
      <c r="Y2049" s="249"/>
      <c r="Z2049" s="249"/>
    </row>
    <row r="2050" spans="1:26" x14ac:dyDescent="0.25">
      <c r="A2050" s="249"/>
      <c r="B2050" s="249"/>
      <c r="C2050" s="249"/>
      <c r="D2050" s="249"/>
      <c r="E2050" s="249"/>
      <c r="F2050" s="249"/>
      <c r="G2050" s="249"/>
      <c r="H2050" s="249"/>
      <c r="I2050" s="258"/>
      <c r="J2050" s="249"/>
      <c r="K2050" s="249"/>
      <c r="L2050" s="249"/>
      <c r="M2050" s="259"/>
      <c r="N2050" s="249"/>
      <c r="O2050" s="249"/>
      <c r="P2050" s="249"/>
      <c r="Q2050" s="249"/>
      <c r="R2050" s="249"/>
      <c r="S2050" s="249"/>
      <c r="T2050" s="249"/>
      <c r="U2050" s="249"/>
      <c r="V2050" s="249"/>
      <c r="W2050" s="249"/>
      <c r="X2050" s="249"/>
      <c r="Y2050" s="249"/>
      <c r="Z2050" s="249"/>
    </row>
    <row r="2051" spans="1:26" x14ac:dyDescent="0.25">
      <c r="A2051" s="249"/>
      <c r="B2051" s="249"/>
      <c r="C2051" s="249"/>
      <c r="D2051" s="249"/>
      <c r="E2051" s="249"/>
      <c r="F2051" s="249"/>
      <c r="G2051" s="249"/>
      <c r="H2051" s="249"/>
      <c r="I2051" s="258"/>
      <c r="J2051" s="249"/>
      <c r="K2051" s="249"/>
      <c r="L2051" s="249"/>
      <c r="M2051" s="259"/>
      <c r="N2051" s="249"/>
      <c r="O2051" s="249"/>
      <c r="P2051" s="249"/>
      <c r="Q2051" s="249"/>
      <c r="R2051" s="249"/>
      <c r="S2051" s="249"/>
      <c r="T2051" s="249"/>
      <c r="U2051" s="249"/>
      <c r="V2051" s="249"/>
      <c r="W2051" s="249"/>
      <c r="X2051" s="249"/>
      <c r="Y2051" s="249"/>
      <c r="Z2051" s="249"/>
    </row>
    <row r="2052" spans="1:26" x14ac:dyDescent="0.25">
      <c r="A2052" s="249"/>
      <c r="B2052" s="249"/>
      <c r="C2052" s="249"/>
      <c r="D2052" s="249"/>
      <c r="E2052" s="249"/>
      <c r="F2052" s="249"/>
      <c r="G2052" s="249"/>
      <c r="H2052" s="249"/>
      <c r="I2052" s="258"/>
      <c r="J2052" s="249"/>
      <c r="K2052" s="249"/>
      <c r="L2052" s="249"/>
      <c r="M2052" s="259"/>
      <c r="N2052" s="249"/>
      <c r="O2052" s="249"/>
      <c r="P2052" s="249"/>
      <c r="Q2052" s="249"/>
      <c r="R2052" s="249"/>
      <c r="S2052" s="249"/>
      <c r="T2052" s="249"/>
      <c r="U2052" s="249"/>
      <c r="V2052" s="249"/>
      <c r="W2052" s="249"/>
      <c r="X2052" s="249"/>
      <c r="Y2052" s="249"/>
      <c r="Z2052" s="249"/>
    </row>
    <row r="2053" spans="1:26" x14ac:dyDescent="0.25">
      <c r="A2053" s="249"/>
      <c r="B2053" s="249"/>
      <c r="C2053" s="249"/>
      <c r="D2053" s="249"/>
      <c r="E2053" s="249"/>
      <c r="F2053" s="249"/>
      <c r="G2053" s="249"/>
      <c r="H2053" s="249"/>
      <c r="I2053" s="258"/>
      <c r="J2053" s="249"/>
      <c r="K2053" s="249"/>
      <c r="L2053" s="249"/>
      <c r="M2053" s="259"/>
      <c r="N2053" s="249"/>
      <c r="O2053" s="249"/>
      <c r="P2053" s="249"/>
      <c r="Q2053" s="249"/>
      <c r="R2053" s="249"/>
      <c r="S2053" s="249"/>
      <c r="T2053" s="249"/>
      <c r="U2053" s="249"/>
      <c r="V2053" s="249"/>
      <c r="W2053" s="249"/>
      <c r="X2053" s="249"/>
      <c r="Y2053" s="249"/>
      <c r="Z2053" s="249"/>
    </row>
    <row r="2054" spans="1:26" x14ac:dyDescent="0.25">
      <c r="A2054" s="249"/>
      <c r="B2054" s="249"/>
      <c r="C2054" s="249"/>
      <c r="D2054" s="249"/>
      <c r="E2054" s="249"/>
      <c r="F2054" s="249"/>
      <c r="G2054" s="249"/>
      <c r="H2054" s="249"/>
      <c r="I2054" s="258"/>
      <c r="J2054" s="249"/>
      <c r="K2054" s="249"/>
      <c r="L2054" s="249"/>
      <c r="M2054" s="259"/>
      <c r="N2054" s="249"/>
      <c r="O2054" s="249"/>
      <c r="P2054" s="249"/>
      <c r="Q2054" s="249"/>
      <c r="R2054" s="249"/>
      <c r="S2054" s="249"/>
      <c r="T2054" s="249"/>
      <c r="U2054" s="249"/>
      <c r="V2054" s="249"/>
      <c r="W2054" s="249"/>
      <c r="X2054" s="249"/>
      <c r="Y2054" s="249"/>
      <c r="Z2054" s="249"/>
    </row>
    <row r="2055" spans="1:26" x14ac:dyDescent="0.25">
      <c r="A2055" s="249"/>
      <c r="B2055" s="249"/>
      <c r="C2055" s="249"/>
      <c r="D2055" s="249"/>
      <c r="E2055" s="249"/>
      <c r="F2055" s="249"/>
      <c r="G2055" s="249"/>
      <c r="H2055" s="249"/>
      <c r="I2055" s="258"/>
      <c r="J2055" s="249"/>
      <c r="K2055" s="249"/>
      <c r="L2055" s="249"/>
      <c r="M2055" s="259"/>
      <c r="N2055" s="249"/>
      <c r="O2055" s="249"/>
      <c r="P2055" s="249"/>
      <c r="Q2055" s="249"/>
      <c r="R2055" s="249"/>
      <c r="S2055" s="249"/>
      <c r="T2055" s="249"/>
      <c r="U2055" s="249"/>
      <c r="V2055" s="249"/>
      <c r="W2055" s="249"/>
      <c r="X2055" s="249"/>
      <c r="Y2055" s="249"/>
      <c r="Z2055" s="249"/>
    </row>
    <row r="2056" spans="1:26" x14ac:dyDescent="0.25">
      <c r="A2056" s="249"/>
      <c r="B2056" s="249"/>
      <c r="C2056" s="249"/>
      <c r="D2056" s="249"/>
      <c r="E2056" s="249"/>
      <c r="F2056" s="249"/>
      <c r="G2056" s="249"/>
      <c r="H2056" s="249"/>
      <c r="I2056" s="258"/>
      <c r="J2056" s="249"/>
      <c r="K2056" s="249"/>
      <c r="L2056" s="249"/>
      <c r="M2056" s="259"/>
      <c r="N2056" s="249"/>
      <c r="O2056" s="249"/>
      <c r="P2056" s="249"/>
      <c r="Q2056" s="249"/>
      <c r="R2056" s="249"/>
      <c r="S2056" s="249"/>
      <c r="T2056" s="249"/>
      <c r="U2056" s="249"/>
      <c r="V2056" s="249"/>
      <c r="W2056" s="249"/>
      <c r="X2056" s="249"/>
      <c r="Y2056" s="249"/>
      <c r="Z2056" s="249"/>
    </row>
    <row r="2057" spans="1:26" x14ac:dyDescent="0.25">
      <c r="A2057" s="249"/>
      <c r="B2057" s="249"/>
      <c r="C2057" s="249"/>
      <c r="D2057" s="249"/>
      <c r="E2057" s="249"/>
      <c r="F2057" s="249"/>
      <c r="G2057" s="249"/>
      <c r="H2057" s="249"/>
      <c r="I2057" s="258"/>
      <c r="J2057" s="249"/>
      <c r="K2057" s="249"/>
      <c r="L2057" s="249"/>
      <c r="M2057" s="259"/>
      <c r="N2057" s="249"/>
      <c r="O2057" s="249"/>
      <c r="P2057" s="249"/>
      <c r="Q2057" s="249"/>
      <c r="R2057" s="249"/>
      <c r="S2057" s="249"/>
      <c r="T2057" s="249"/>
      <c r="U2057" s="249"/>
      <c r="V2057" s="249"/>
      <c r="W2057" s="249"/>
      <c r="X2057" s="249"/>
      <c r="Y2057" s="249"/>
      <c r="Z2057" s="249"/>
    </row>
    <row r="2058" spans="1:26" x14ac:dyDescent="0.25">
      <c r="A2058" s="249"/>
      <c r="B2058" s="249"/>
      <c r="C2058" s="249"/>
      <c r="D2058" s="249"/>
      <c r="E2058" s="249"/>
      <c r="F2058" s="249"/>
      <c r="G2058" s="249"/>
      <c r="H2058" s="249"/>
      <c r="I2058" s="258"/>
      <c r="J2058" s="249"/>
      <c r="K2058" s="249"/>
      <c r="L2058" s="249"/>
      <c r="M2058" s="259"/>
      <c r="N2058" s="249"/>
      <c r="O2058" s="249"/>
      <c r="P2058" s="249"/>
      <c r="Q2058" s="249"/>
      <c r="R2058" s="249"/>
      <c r="S2058" s="249"/>
      <c r="T2058" s="249"/>
      <c r="U2058" s="249"/>
      <c r="V2058" s="249"/>
      <c r="W2058" s="249"/>
      <c r="X2058" s="249"/>
      <c r="Y2058" s="249"/>
      <c r="Z2058" s="249"/>
    </row>
    <row r="2059" spans="1:26" x14ac:dyDescent="0.25">
      <c r="A2059" s="249"/>
      <c r="B2059" s="249"/>
      <c r="C2059" s="249"/>
      <c r="D2059" s="249"/>
      <c r="E2059" s="249"/>
      <c r="F2059" s="249"/>
      <c r="G2059" s="249"/>
      <c r="H2059" s="249"/>
      <c r="I2059" s="258"/>
      <c r="J2059" s="249"/>
      <c r="K2059" s="249"/>
      <c r="L2059" s="249"/>
      <c r="M2059" s="259"/>
      <c r="N2059" s="249"/>
      <c r="O2059" s="249"/>
      <c r="P2059" s="249"/>
      <c r="Q2059" s="249"/>
      <c r="R2059" s="249"/>
      <c r="S2059" s="249"/>
      <c r="T2059" s="249"/>
      <c r="U2059" s="249"/>
      <c r="V2059" s="249"/>
      <c r="W2059" s="249"/>
      <c r="X2059" s="249"/>
      <c r="Y2059" s="249"/>
      <c r="Z2059" s="249"/>
    </row>
    <row r="2060" spans="1:26" x14ac:dyDescent="0.25">
      <c r="A2060" s="249"/>
      <c r="B2060" s="249"/>
      <c r="C2060" s="249"/>
      <c r="D2060" s="249"/>
      <c r="E2060" s="249"/>
      <c r="F2060" s="249"/>
      <c r="G2060" s="249"/>
      <c r="H2060" s="249"/>
      <c r="I2060" s="258"/>
      <c r="J2060" s="249"/>
      <c r="K2060" s="249"/>
      <c r="L2060" s="249"/>
      <c r="M2060" s="259"/>
      <c r="N2060" s="249"/>
      <c r="O2060" s="249"/>
      <c r="P2060" s="249"/>
      <c r="Q2060" s="249"/>
      <c r="R2060" s="249"/>
      <c r="S2060" s="249"/>
      <c r="T2060" s="249"/>
      <c r="U2060" s="249"/>
      <c r="V2060" s="249"/>
      <c r="W2060" s="249"/>
      <c r="X2060" s="249"/>
      <c r="Y2060" s="249"/>
      <c r="Z2060" s="249"/>
    </row>
    <row r="2061" spans="1:26" x14ac:dyDescent="0.25">
      <c r="A2061" s="249"/>
      <c r="B2061" s="249"/>
      <c r="C2061" s="249"/>
      <c r="D2061" s="249"/>
      <c r="E2061" s="249"/>
      <c r="F2061" s="249"/>
      <c r="G2061" s="249"/>
      <c r="H2061" s="249"/>
      <c r="I2061" s="258"/>
      <c r="J2061" s="249"/>
      <c r="K2061" s="249"/>
      <c r="L2061" s="249"/>
      <c r="M2061" s="259"/>
      <c r="N2061" s="249"/>
      <c r="O2061" s="249"/>
      <c r="P2061" s="249"/>
      <c r="Q2061" s="249"/>
      <c r="R2061" s="249"/>
      <c r="S2061" s="249"/>
      <c r="T2061" s="249"/>
      <c r="U2061" s="249"/>
      <c r="V2061" s="249"/>
      <c r="W2061" s="249"/>
      <c r="X2061" s="249"/>
      <c r="Y2061" s="249"/>
      <c r="Z2061" s="249"/>
    </row>
    <row r="2062" spans="1:26" x14ac:dyDescent="0.25">
      <c r="A2062" s="249"/>
      <c r="B2062" s="249"/>
      <c r="C2062" s="249"/>
      <c r="D2062" s="249"/>
      <c r="E2062" s="249"/>
      <c r="F2062" s="249"/>
      <c r="G2062" s="249"/>
      <c r="H2062" s="249"/>
      <c r="I2062" s="258"/>
      <c r="J2062" s="249"/>
      <c r="K2062" s="249"/>
      <c r="L2062" s="249"/>
      <c r="M2062" s="259"/>
      <c r="N2062" s="249"/>
      <c r="O2062" s="249"/>
      <c r="P2062" s="249"/>
      <c r="Q2062" s="249"/>
      <c r="R2062" s="249"/>
      <c r="S2062" s="249"/>
      <c r="T2062" s="249"/>
      <c r="U2062" s="249"/>
      <c r="V2062" s="249"/>
      <c r="W2062" s="249"/>
      <c r="X2062" s="249"/>
      <c r="Y2062" s="249"/>
      <c r="Z2062" s="249"/>
    </row>
    <row r="2063" spans="1:26" x14ac:dyDescent="0.25">
      <c r="A2063" s="249"/>
      <c r="B2063" s="249"/>
      <c r="C2063" s="249"/>
      <c r="D2063" s="249"/>
      <c r="E2063" s="249"/>
      <c r="F2063" s="249"/>
      <c r="G2063" s="249"/>
      <c r="H2063" s="249"/>
      <c r="I2063" s="258"/>
      <c r="J2063" s="249"/>
      <c r="K2063" s="249"/>
      <c r="L2063" s="249"/>
      <c r="M2063" s="259"/>
      <c r="N2063" s="249"/>
      <c r="O2063" s="249"/>
      <c r="P2063" s="249"/>
      <c r="Q2063" s="249"/>
      <c r="R2063" s="249"/>
      <c r="S2063" s="249"/>
      <c r="T2063" s="249"/>
      <c r="U2063" s="249"/>
      <c r="V2063" s="249"/>
      <c r="W2063" s="249"/>
      <c r="X2063" s="249"/>
      <c r="Y2063" s="249"/>
      <c r="Z2063" s="249"/>
    </row>
    <row r="2064" spans="1:26" x14ac:dyDescent="0.25">
      <c r="A2064" s="249"/>
      <c r="B2064" s="249"/>
      <c r="C2064" s="249"/>
      <c r="D2064" s="249"/>
      <c r="E2064" s="249"/>
      <c r="F2064" s="249"/>
      <c r="G2064" s="249"/>
      <c r="H2064" s="249"/>
      <c r="I2064" s="258"/>
      <c r="J2064" s="249"/>
      <c r="K2064" s="249"/>
      <c r="L2064" s="249"/>
      <c r="M2064" s="259"/>
      <c r="N2064" s="249"/>
      <c r="O2064" s="249"/>
      <c r="P2064" s="249"/>
      <c r="Q2064" s="249"/>
      <c r="R2064" s="249"/>
      <c r="S2064" s="249"/>
      <c r="T2064" s="249"/>
      <c r="U2064" s="249"/>
      <c r="V2064" s="249"/>
      <c r="W2064" s="249"/>
      <c r="X2064" s="249"/>
      <c r="Y2064" s="249"/>
      <c r="Z2064" s="249"/>
    </row>
    <row r="2065" spans="1:26" x14ac:dyDescent="0.25">
      <c r="A2065" s="249"/>
      <c r="B2065" s="249"/>
      <c r="C2065" s="249"/>
      <c r="D2065" s="249"/>
      <c r="E2065" s="249"/>
      <c r="F2065" s="249"/>
      <c r="G2065" s="249"/>
      <c r="H2065" s="249"/>
      <c r="I2065" s="258"/>
      <c r="J2065" s="249"/>
      <c r="K2065" s="249"/>
      <c r="L2065" s="249"/>
      <c r="M2065" s="259"/>
      <c r="N2065" s="249"/>
      <c r="O2065" s="249"/>
      <c r="P2065" s="249"/>
      <c r="Q2065" s="249"/>
      <c r="R2065" s="249"/>
      <c r="S2065" s="249"/>
      <c r="T2065" s="249"/>
      <c r="U2065" s="249"/>
      <c r="V2065" s="249"/>
      <c r="W2065" s="249"/>
      <c r="X2065" s="249"/>
      <c r="Y2065" s="249"/>
      <c r="Z2065" s="249"/>
    </row>
    <row r="2066" spans="1:26" x14ac:dyDescent="0.25">
      <c r="A2066" s="249"/>
      <c r="B2066" s="249"/>
      <c r="C2066" s="249"/>
      <c r="D2066" s="249"/>
      <c r="E2066" s="249"/>
      <c r="F2066" s="249"/>
      <c r="G2066" s="249"/>
      <c r="H2066" s="249"/>
      <c r="I2066" s="258"/>
      <c r="J2066" s="249"/>
      <c r="K2066" s="249"/>
      <c r="L2066" s="249"/>
      <c r="M2066" s="259"/>
      <c r="N2066" s="249"/>
      <c r="O2066" s="249"/>
      <c r="P2066" s="249"/>
      <c r="Q2066" s="249"/>
      <c r="R2066" s="249"/>
      <c r="S2066" s="249"/>
      <c r="T2066" s="249"/>
      <c r="U2066" s="249"/>
      <c r="V2066" s="249"/>
      <c r="W2066" s="249"/>
      <c r="X2066" s="249"/>
      <c r="Y2066" s="249"/>
      <c r="Z2066" s="249"/>
    </row>
    <row r="2067" spans="1:26" x14ac:dyDescent="0.25">
      <c r="A2067" s="249"/>
      <c r="B2067" s="249"/>
      <c r="C2067" s="249"/>
      <c r="D2067" s="249"/>
      <c r="E2067" s="249"/>
      <c r="F2067" s="249"/>
      <c r="G2067" s="249"/>
      <c r="H2067" s="249"/>
      <c r="I2067" s="258"/>
      <c r="J2067" s="249"/>
      <c r="K2067" s="249"/>
      <c r="L2067" s="249"/>
      <c r="M2067" s="259"/>
      <c r="N2067" s="249"/>
      <c r="O2067" s="249"/>
      <c r="P2067" s="249"/>
      <c r="Q2067" s="249"/>
      <c r="R2067" s="249"/>
      <c r="S2067" s="249"/>
      <c r="T2067" s="249"/>
      <c r="U2067" s="249"/>
      <c r="V2067" s="249"/>
      <c r="W2067" s="249"/>
      <c r="X2067" s="249"/>
      <c r="Y2067" s="249"/>
      <c r="Z2067" s="249"/>
    </row>
    <row r="2068" spans="1:26" x14ac:dyDescent="0.25">
      <c r="A2068" s="249"/>
      <c r="B2068" s="249"/>
      <c r="C2068" s="249"/>
      <c r="D2068" s="249"/>
      <c r="E2068" s="249"/>
      <c r="F2068" s="249"/>
      <c r="G2068" s="249"/>
      <c r="H2068" s="249"/>
      <c r="I2068" s="258"/>
      <c r="J2068" s="249"/>
      <c r="K2068" s="249"/>
      <c r="L2068" s="249"/>
      <c r="M2068" s="259"/>
      <c r="N2068" s="249"/>
      <c r="O2068" s="249"/>
      <c r="P2068" s="249"/>
      <c r="Q2068" s="249"/>
      <c r="R2068" s="249"/>
      <c r="S2068" s="249"/>
      <c r="T2068" s="249"/>
      <c r="U2068" s="249"/>
      <c r="V2068" s="249"/>
      <c r="W2068" s="249"/>
      <c r="X2068" s="249"/>
      <c r="Y2068" s="249"/>
      <c r="Z2068" s="249"/>
    </row>
    <row r="2069" spans="1:26" x14ac:dyDescent="0.25">
      <c r="A2069" s="249"/>
      <c r="B2069" s="249"/>
      <c r="C2069" s="249"/>
      <c r="D2069" s="249"/>
      <c r="E2069" s="249"/>
      <c r="F2069" s="249"/>
      <c r="G2069" s="249"/>
      <c r="H2069" s="249"/>
      <c r="I2069" s="258"/>
      <c r="J2069" s="249"/>
      <c r="K2069" s="249"/>
      <c r="L2069" s="249"/>
      <c r="M2069" s="259"/>
      <c r="N2069" s="249"/>
      <c r="O2069" s="249"/>
      <c r="P2069" s="249"/>
      <c r="Q2069" s="249"/>
      <c r="R2069" s="249"/>
      <c r="S2069" s="249"/>
      <c r="T2069" s="249"/>
      <c r="U2069" s="249"/>
      <c r="V2069" s="249"/>
      <c r="W2069" s="249"/>
      <c r="X2069" s="249"/>
      <c r="Y2069" s="249"/>
      <c r="Z2069" s="249"/>
    </row>
    <row r="2070" spans="1:26" x14ac:dyDescent="0.25">
      <c r="A2070" s="249"/>
      <c r="B2070" s="249"/>
      <c r="C2070" s="249"/>
      <c r="D2070" s="249"/>
      <c r="E2070" s="249"/>
      <c r="F2070" s="249"/>
      <c r="G2070" s="249"/>
      <c r="H2070" s="249"/>
      <c r="I2070" s="258"/>
      <c r="J2070" s="249"/>
      <c r="K2070" s="249"/>
      <c r="L2070" s="249"/>
      <c r="M2070" s="259"/>
      <c r="N2070" s="249"/>
      <c r="O2070" s="249"/>
      <c r="P2070" s="249"/>
      <c r="Q2070" s="249"/>
      <c r="R2070" s="249"/>
      <c r="S2070" s="249"/>
      <c r="T2070" s="249"/>
      <c r="U2070" s="249"/>
      <c r="V2070" s="249"/>
      <c r="W2070" s="249"/>
      <c r="X2070" s="249"/>
      <c r="Y2070" s="249"/>
      <c r="Z2070" s="249"/>
    </row>
    <row r="2071" spans="1:26" x14ac:dyDescent="0.25">
      <c r="A2071" s="249"/>
      <c r="B2071" s="249"/>
      <c r="C2071" s="249"/>
      <c r="D2071" s="249"/>
      <c r="E2071" s="249"/>
      <c r="F2071" s="249"/>
      <c r="G2071" s="249"/>
      <c r="H2071" s="249"/>
      <c r="I2071" s="258"/>
      <c r="J2071" s="249"/>
      <c r="K2071" s="249"/>
      <c r="L2071" s="249"/>
      <c r="M2071" s="259"/>
      <c r="N2071" s="249"/>
      <c r="O2071" s="249"/>
      <c r="P2071" s="249"/>
      <c r="Q2071" s="249"/>
      <c r="R2071" s="249"/>
      <c r="S2071" s="249"/>
      <c r="T2071" s="249"/>
      <c r="U2071" s="249"/>
      <c r="V2071" s="249"/>
      <c r="W2071" s="249"/>
      <c r="X2071" s="249"/>
      <c r="Y2071" s="249"/>
      <c r="Z2071" s="249"/>
    </row>
    <row r="2072" spans="1:26" x14ac:dyDescent="0.25">
      <c r="A2072" s="249"/>
      <c r="B2072" s="249"/>
      <c r="C2072" s="249"/>
      <c r="D2072" s="249"/>
      <c r="E2072" s="249"/>
      <c r="F2072" s="249"/>
      <c r="G2072" s="249"/>
      <c r="H2072" s="249"/>
      <c r="I2072" s="258"/>
      <c r="J2072" s="249"/>
      <c r="K2072" s="249"/>
      <c r="L2072" s="249"/>
      <c r="M2072" s="259"/>
      <c r="N2072" s="249"/>
      <c r="O2072" s="249"/>
      <c r="P2072" s="249"/>
      <c r="Q2072" s="249"/>
      <c r="R2072" s="249"/>
      <c r="S2072" s="249"/>
      <c r="T2072" s="249"/>
      <c r="U2072" s="249"/>
      <c r="V2072" s="249"/>
      <c r="W2072" s="249"/>
      <c r="X2072" s="249"/>
      <c r="Y2072" s="249"/>
      <c r="Z2072" s="249"/>
    </row>
    <row r="2073" spans="1:26" x14ac:dyDescent="0.25">
      <c r="A2073" s="249"/>
      <c r="B2073" s="249"/>
      <c r="C2073" s="249"/>
      <c r="D2073" s="249"/>
      <c r="E2073" s="249"/>
      <c r="F2073" s="249"/>
      <c r="G2073" s="249"/>
      <c r="H2073" s="249"/>
      <c r="I2073" s="258"/>
      <c r="J2073" s="249"/>
      <c r="K2073" s="249"/>
      <c r="L2073" s="249"/>
      <c r="M2073" s="259"/>
      <c r="N2073" s="249"/>
      <c r="O2073" s="249"/>
      <c r="P2073" s="249"/>
      <c r="Q2073" s="249"/>
      <c r="R2073" s="249"/>
      <c r="S2073" s="249"/>
      <c r="T2073" s="249"/>
      <c r="U2073" s="249"/>
      <c r="V2073" s="249"/>
      <c r="W2073" s="249"/>
      <c r="X2073" s="249"/>
      <c r="Y2073" s="249"/>
      <c r="Z2073" s="249"/>
    </row>
    <row r="2074" spans="1:26" x14ac:dyDescent="0.25">
      <c r="A2074" s="249"/>
      <c r="B2074" s="249"/>
      <c r="C2074" s="249"/>
      <c r="D2074" s="249"/>
      <c r="E2074" s="249"/>
      <c r="F2074" s="249"/>
      <c r="G2074" s="249"/>
      <c r="H2074" s="249"/>
      <c r="I2074" s="258"/>
      <c r="J2074" s="249"/>
      <c r="K2074" s="249"/>
      <c r="L2074" s="249"/>
      <c r="M2074" s="259"/>
      <c r="N2074" s="249"/>
      <c r="O2074" s="249"/>
      <c r="P2074" s="249"/>
      <c r="Q2074" s="249"/>
      <c r="R2074" s="249"/>
      <c r="S2074" s="249"/>
      <c r="T2074" s="249"/>
      <c r="U2074" s="249"/>
      <c r="V2074" s="249"/>
      <c r="W2074" s="249"/>
      <c r="X2074" s="249"/>
      <c r="Y2074" s="249"/>
      <c r="Z2074" s="249"/>
    </row>
    <row r="2075" spans="1:26" x14ac:dyDescent="0.25">
      <c r="A2075" s="249"/>
      <c r="B2075" s="249"/>
      <c r="C2075" s="249"/>
      <c r="D2075" s="249"/>
      <c r="E2075" s="249"/>
      <c r="F2075" s="249"/>
      <c r="G2075" s="249"/>
      <c r="H2075" s="249"/>
      <c r="I2075" s="258"/>
      <c r="J2075" s="249"/>
      <c r="K2075" s="249"/>
      <c r="L2075" s="249"/>
      <c r="M2075" s="259"/>
      <c r="N2075" s="249"/>
      <c r="O2075" s="249"/>
      <c r="P2075" s="249"/>
      <c r="Q2075" s="249"/>
      <c r="R2075" s="249"/>
      <c r="S2075" s="249"/>
      <c r="T2075" s="249"/>
      <c r="U2075" s="249"/>
      <c r="V2075" s="249"/>
      <c r="W2075" s="249"/>
      <c r="X2075" s="249"/>
      <c r="Y2075" s="249"/>
      <c r="Z2075" s="249"/>
    </row>
    <row r="2076" spans="1:26" x14ac:dyDescent="0.25">
      <c r="A2076" s="249"/>
      <c r="B2076" s="249"/>
      <c r="C2076" s="249"/>
      <c r="D2076" s="249"/>
      <c r="E2076" s="249"/>
      <c r="F2076" s="249"/>
      <c r="G2076" s="249"/>
      <c r="H2076" s="249"/>
      <c r="I2076" s="258"/>
      <c r="J2076" s="249"/>
      <c r="K2076" s="249"/>
      <c r="L2076" s="249"/>
      <c r="M2076" s="259"/>
      <c r="N2076" s="249"/>
      <c r="O2076" s="249"/>
      <c r="P2076" s="249"/>
      <c r="Q2076" s="249"/>
      <c r="R2076" s="249"/>
      <c r="S2076" s="249"/>
      <c r="T2076" s="249"/>
      <c r="U2076" s="249"/>
      <c r="V2076" s="249"/>
      <c r="W2076" s="249"/>
      <c r="X2076" s="249"/>
      <c r="Y2076" s="249"/>
      <c r="Z2076" s="249"/>
    </row>
    <row r="2077" spans="1:26" x14ac:dyDescent="0.25">
      <c r="A2077" s="249"/>
      <c r="B2077" s="249"/>
      <c r="C2077" s="249"/>
      <c r="D2077" s="249"/>
      <c r="E2077" s="249"/>
      <c r="F2077" s="249"/>
      <c r="G2077" s="249"/>
      <c r="H2077" s="249"/>
      <c r="I2077" s="258"/>
      <c r="J2077" s="249"/>
      <c r="K2077" s="249"/>
      <c r="L2077" s="249"/>
      <c r="M2077" s="259"/>
      <c r="N2077" s="249"/>
      <c r="O2077" s="249"/>
      <c r="P2077" s="249"/>
      <c r="Q2077" s="249"/>
      <c r="R2077" s="249"/>
      <c r="S2077" s="249"/>
      <c r="T2077" s="249"/>
      <c r="U2077" s="249"/>
      <c r="V2077" s="249"/>
      <c r="W2077" s="249"/>
      <c r="X2077" s="249"/>
      <c r="Y2077" s="249"/>
      <c r="Z2077" s="249"/>
    </row>
    <row r="2078" spans="1:26" x14ac:dyDescent="0.25">
      <c r="A2078" s="249"/>
      <c r="B2078" s="249"/>
      <c r="C2078" s="249"/>
      <c r="D2078" s="249"/>
      <c r="E2078" s="249"/>
      <c r="F2078" s="249"/>
      <c r="G2078" s="249"/>
      <c r="H2078" s="249"/>
      <c r="I2078" s="258"/>
      <c r="J2078" s="249"/>
      <c r="K2078" s="249"/>
      <c r="L2078" s="249"/>
      <c r="M2078" s="259"/>
      <c r="N2078" s="249"/>
      <c r="O2078" s="249"/>
      <c r="P2078" s="249"/>
      <c r="Q2078" s="249"/>
      <c r="R2078" s="249"/>
      <c r="S2078" s="249"/>
      <c r="T2078" s="249"/>
      <c r="U2078" s="249"/>
      <c r="V2078" s="249"/>
      <c r="W2078" s="249"/>
      <c r="X2078" s="249"/>
      <c r="Y2078" s="249"/>
      <c r="Z2078" s="249"/>
    </row>
    <row r="2079" spans="1:26" x14ac:dyDescent="0.25">
      <c r="A2079" s="249"/>
      <c r="B2079" s="249"/>
      <c r="C2079" s="249"/>
      <c r="D2079" s="249"/>
      <c r="E2079" s="249"/>
      <c r="F2079" s="249"/>
      <c r="G2079" s="249"/>
      <c r="H2079" s="249"/>
      <c r="I2079" s="258"/>
      <c r="J2079" s="249"/>
      <c r="K2079" s="249"/>
      <c r="L2079" s="249"/>
      <c r="M2079" s="259"/>
      <c r="N2079" s="249"/>
      <c r="O2079" s="249"/>
      <c r="P2079" s="249"/>
      <c r="Q2079" s="249"/>
      <c r="R2079" s="249"/>
      <c r="S2079" s="249"/>
      <c r="T2079" s="249"/>
      <c r="U2079" s="249"/>
      <c r="V2079" s="249"/>
      <c r="W2079" s="249"/>
      <c r="X2079" s="249"/>
      <c r="Y2079" s="249"/>
      <c r="Z2079" s="249"/>
    </row>
    <row r="2080" spans="1:26" x14ac:dyDescent="0.25">
      <c r="A2080" s="249"/>
      <c r="B2080" s="249"/>
      <c r="C2080" s="249"/>
      <c r="D2080" s="249"/>
      <c r="E2080" s="249"/>
      <c r="F2080" s="249"/>
      <c r="G2080" s="249"/>
      <c r="H2080" s="249"/>
      <c r="I2080" s="258"/>
      <c r="J2080" s="249"/>
      <c r="K2080" s="249"/>
      <c r="L2080" s="249"/>
      <c r="M2080" s="259"/>
      <c r="N2080" s="249"/>
      <c r="O2080" s="249"/>
      <c r="P2080" s="249"/>
      <c r="Q2080" s="249"/>
      <c r="R2080" s="249"/>
      <c r="S2080" s="249"/>
      <c r="T2080" s="249"/>
      <c r="U2080" s="249"/>
      <c r="V2080" s="249"/>
      <c r="W2080" s="249"/>
      <c r="X2080" s="249"/>
      <c r="Y2080" s="249"/>
      <c r="Z2080" s="249"/>
    </row>
    <row r="2081" spans="1:26" x14ac:dyDescent="0.25">
      <c r="A2081" s="249"/>
      <c r="B2081" s="249"/>
      <c r="C2081" s="249"/>
      <c r="D2081" s="249"/>
      <c r="E2081" s="249"/>
      <c r="F2081" s="249"/>
      <c r="G2081" s="249"/>
      <c r="H2081" s="249"/>
      <c r="I2081" s="258"/>
      <c r="J2081" s="249"/>
      <c r="K2081" s="249"/>
      <c r="L2081" s="249"/>
      <c r="M2081" s="259"/>
      <c r="N2081" s="249"/>
      <c r="O2081" s="249"/>
      <c r="P2081" s="249"/>
      <c r="Q2081" s="249"/>
      <c r="R2081" s="249"/>
      <c r="S2081" s="249"/>
      <c r="T2081" s="249"/>
      <c r="U2081" s="249"/>
      <c r="V2081" s="249"/>
      <c r="W2081" s="249"/>
      <c r="X2081" s="249"/>
      <c r="Y2081" s="249"/>
      <c r="Z2081" s="249"/>
    </row>
    <row r="2082" spans="1:26" x14ac:dyDescent="0.25">
      <c r="A2082" s="249"/>
      <c r="B2082" s="249"/>
      <c r="C2082" s="249"/>
      <c r="D2082" s="249"/>
      <c r="E2082" s="249"/>
      <c r="F2082" s="249"/>
      <c r="G2082" s="249"/>
      <c r="H2082" s="249"/>
      <c r="I2082" s="258"/>
      <c r="J2082" s="249"/>
      <c r="K2082" s="249"/>
      <c r="L2082" s="249"/>
      <c r="M2082" s="259"/>
      <c r="N2082" s="249"/>
      <c r="O2082" s="249"/>
      <c r="P2082" s="249"/>
      <c r="Q2082" s="249"/>
      <c r="R2082" s="249"/>
      <c r="S2082" s="249"/>
      <c r="T2082" s="249"/>
      <c r="U2082" s="249"/>
      <c r="V2082" s="249"/>
      <c r="W2082" s="249"/>
      <c r="X2082" s="249"/>
      <c r="Y2082" s="249"/>
      <c r="Z2082" s="249"/>
    </row>
    <row r="2083" spans="1:26" x14ac:dyDescent="0.25">
      <c r="A2083" s="249"/>
      <c r="B2083" s="249"/>
      <c r="C2083" s="249"/>
      <c r="D2083" s="249"/>
      <c r="E2083" s="249"/>
      <c r="F2083" s="249"/>
      <c r="G2083" s="249"/>
      <c r="H2083" s="249"/>
      <c r="I2083" s="258"/>
      <c r="J2083" s="249"/>
      <c r="K2083" s="249"/>
      <c r="L2083" s="249"/>
      <c r="M2083" s="259"/>
      <c r="N2083" s="249"/>
      <c r="O2083" s="249"/>
      <c r="P2083" s="249"/>
      <c r="Q2083" s="249"/>
      <c r="R2083" s="249"/>
      <c r="S2083" s="249"/>
      <c r="T2083" s="249"/>
      <c r="U2083" s="249"/>
      <c r="V2083" s="249"/>
      <c r="W2083" s="249"/>
      <c r="X2083" s="249"/>
      <c r="Y2083" s="249"/>
      <c r="Z2083" s="249"/>
    </row>
    <row r="2084" spans="1:26" x14ac:dyDescent="0.25">
      <c r="A2084" s="249"/>
      <c r="B2084" s="249"/>
      <c r="C2084" s="249"/>
      <c r="D2084" s="249"/>
      <c r="E2084" s="249"/>
      <c r="F2084" s="249"/>
      <c r="G2084" s="249"/>
      <c r="H2084" s="249"/>
      <c r="I2084" s="258"/>
      <c r="J2084" s="249"/>
      <c r="K2084" s="249"/>
      <c r="L2084" s="249"/>
      <c r="M2084" s="259"/>
      <c r="N2084" s="249"/>
      <c r="O2084" s="249"/>
      <c r="P2084" s="249"/>
      <c r="Q2084" s="249"/>
      <c r="R2084" s="249"/>
      <c r="S2084" s="249"/>
      <c r="T2084" s="249"/>
      <c r="U2084" s="249"/>
      <c r="V2084" s="249"/>
      <c r="W2084" s="249"/>
      <c r="X2084" s="249"/>
      <c r="Y2084" s="249"/>
      <c r="Z2084" s="249"/>
    </row>
    <row r="2085" spans="1:26" x14ac:dyDescent="0.25">
      <c r="A2085" s="249"/>
      <c r="B2085" s="249"/>
      <c r="C2085" s="249"/>
      <c r="D2085" s="249"/>
      <c r="E2085" s="249"/>
      <c r="F2085" s="249"/>
      <c r="G2085" s="249"/>
      <c r="H2085" s="249"/>
      <c r="I2085" s="258"/>
      <c r="J2085" s="249"/>
      <c r="K2085" s="249"/>
      <c r="L2085" s="249"/>
      <c r="M2085" s="259"/>
      <c r="N2085" s="249"/>
      <c r="O2085" s="249"/>
      <c r="P2085" s="249"/>
      <c r="Q2085" s="249"/>
      <c r="R2085" s="249"/>
      <c r="S2085" s="249"/>
      <c r="T2085" s="249"/>
      <c r="U2085" s="249"/>
      <c r="V2085" s="249"/>
      <c r="W2085" s="249"/>
      <c r="X2085" s="249"/>
      <c r="Y2085" s="249"/>
      <c r="Z2085" s="249"/>
    </row>
    <row r="2086" spans="1:26" x14ac:dyDescent="0.25">
      <c r="A2086" s="249"/>
      <c r="B2086" s="249"/>
      <c r="C2086" s="249"/>
      <c r="D2086" s="249"/>
      <c r="E2086" s="249"/>
      <c r="F2086" s="249"/>
      <c r="G2086" s="249"/>
      <c r="H2086" s="249"/>
      <c r="I2086" s="258"/>
      <c r="J2086" s="249"/>
      <c r="K2086" s="249"/>
      <c r="L2086" s="249"/>
      <c r="M2086" s="259"/>
      <c r="N2086" s="249"/>
      <c r="O2086" s="249"/>
      <c r="P2086" s="249"/>
      <c r="Q2086" s="249"/>
      <c r="R2086" s="249"/>
      <c r="S2086" s="249"/>
      <c r="T2086" s="249"/>
      <c r="U2086" s="249"/>
      <c r="V2086" s="249"/>
      <c r="W2086" s="249"/>
      <c r="X2086" s="249"/>
      <c r="Y2086" s="249"/>
      <c r="Z2086" s="249"/>
    </row>
    <row r="2087" spans="1:26" x14ac:dyDescent="0.25">
      <c r="A2087" s="249"/>
      <c r="B2087" s="249"/>
      <c r="C2087" s="249"/>
      <c r="D2087" s="249"/>
      <c r="E2087" s="249"/>
      <c r="F2087" s="249"/>
      <c r="G2087" s="249"/>
      <c r="H2087" s="249"/>
      <c r="I2087" s="258"/>
      <c r="J2087" s="249"/>
      <c r="K2087" s="249"/>
      <c r="L2087" s="249"/>
      <c r="M2087" s="259"/>
      <c r="N2087" s="249"/>
      <c r="O2087" s="249"/>
      <c r="P2087" s="249"/>
      <c r="Q2087" s="249"/>
      <c r="R2087" s="249"/>
      <c r="S2087" s="249"/>
      <c r="T2087" s="249"/>
      <c r="U2087" s="249"/>
      <c r="V2087" s="249"/>
      <c r="W2087" s="249"/>
      <c r="X2087" s="249"/>
      <c r="Y2087" s="249"/>
      <c r="Z2087" s="249"/>
    </row>
    <row r="2088" spans="1:26" x14ac:dyDescent="0.25">
      <c r="A2088" s="249"/>
      <c r="B2088" s="249"/>
      <c r="C2088" s="249"/>
      <c r="D2088" s="249"/>
      <c r="E2088" s="249"/>
      <c r="F2088" s="249"/>
      <c r="G2088" s="249"/>
      <c r="H2088" s="249"/>
      <c r="I2088" s="258"/>
      <c r="J2088" s="249"/>
      <c r="K2088" s="249"/>
      <c r="L2088" s="249"/>
      <c r="M2088" s="259"/>
      <c r="N2088" s="249"/>
      <c r="O2088" s="249"/>
      <c r="P2088" s="249"/>
      <c r="Q2088" s="249"/>
      <c r="R2088" s="249"/>
      <c r="S2088" s="249"/>
      <c r="T2088" s="249"/>
      <c r="U2088" s="249"/>
      <c r="V2088" s="249"/>
      <c r="W2088" s="249"/>
      <c r="X2088" s="249"/>
      <c r="Y2088" s="249"/>
      <c r="Z2088" s="249"/>
    </row>
    <row r="2089" spans="1:26" x14ac:dyDescent="0.25">
      <c r="A2089" s="249"/>
      <c r="B2089" s="249"/>
      <c r="C2089" s="249"/>
      <c r="D2089" s="249"/>
      <c r="E2089" s="249"/>
      <c r="F2089" s="249"/>
      <c r="G2089" s="249"/>
      <c r="H2089" s="249"/>
      <c r="I2089" s="258"/>
      <c r="J2089" s="249"/>
      <c r="K2089" s="249"/>
      <c r="L2089" s="249"/>
      <c r="M2089" s="259"/>
      <c r="N2089" s="249"/>
      <c r="O2089" s="249"/>
      <c r="P2089" s="249"/>
      <c r="Q2089" s="249"/>
      <c r="R2089" s="249"/>
      <c r="S2089" s="249"/>
      <c r="T2089" s="249"/>
      <c r="U2089" s="249"/>
      <c r="V2089" s="249"/>
      <c r="W2089" s="249"/>
      <c r="X2089" s="249"/>
      <c r="Y2089" s="249"/>
      <c r="Z2089" s="249"/>
    </row>
    <row r="2090" spans="1:26" x14ac:dyDescent="0.25">
      <c r="A2090" s="249"/>
      <c r="B2090" s="249"/>
      <c r="C2090" s="249"/>
      <c r="D2090" s="249"/>
      <c r="E2090" s="249"/>
      <c r="F2090" s="249"/>
      <c r="G2090" s="249"/>
      <c r="H2090" s="249"/>
      <c r="I2090" s="258"/>
      <c r="J2090" s="249"/>
      <c r="K2090" s="249"/>
      <c r="L2090" s="249"/>
      <c r="M2090" s="259"/>
      <c r="N2090" s="249"/>
      <c r="O2090" s="249"/>
      <c r="P2090" s="249"/>
      <c r="Q2090" s="249"/>
      <c r="R2090" s="249"/>
      <c r="S2090" s="249"/>
      <c r="T2090" s="249"/>
      <c r="U2090" s="249"/>
      <c r="V2090" s="249"/>
      <c r="W2090" s="249"/>
      <c r="X2090" s="249"/>
      <c r="Y2090" s="249"/>
      <c r="Z2090" s="249"/>
    </row>
    <row r="2091" spans="1:26" x14ac:dyDescent="0.25">
      <c r="A2091" s="249"/>
      <c r="B2091" s="249"/>
      <c r="C2091" s="249"/>
      <c r="D2091" s="249"/>
      <c r="E2091" s="249"/>
      <c r="F2091" s="249"/>
      <c r="G2091" s="249"/>
      <c r="H2091" s="249"/>
      <c r="I2091" s="258"/>
      <c r="J2091" s="249"/>
      <c r="K2091" s="249"/>
      <c r="L2091" s="249"/>
      <c r="M2091" s="259"/>
      <c r="N2091" s="249"/>
      <c r="O2091" s="249"/>
      <c r="P2091" s="249"/>
      <c r="Q2091" s="249"/>
      <c r="R2091" s="249"/>
      <c r="S2091" s="249"/>
      <c r="T2091" s="249"/>
      <c r="U2091" s="249"/>
      <c r="V2091" s="249"/>
      <c r="W2091" s="249"/>
      <c r="X2091" s="249"/>
      <c r="Y2091" s="249"/>
      <c r="Z2091" s="249"/>
    </row>
    <row r="2092" spans="1:26" x14ac:dyDescent="0.25">
      <c r="A2092" s="249"/>
      <c r="B2092" s="249"/>
      <c r="C2092" s="249"/>
      <c r="D2092" s="249"/>
      <c r="E2092" s="249"/>
      <c r="F2092" s="249"/>
      <c r="G2092" s="249"/>
      <c r="H2092" s="249"/>
      <c r="I2092" s="258"/>
      <c r="J2092" s="249"/>
      <c r="K2092" s="249"/>
      <c r="L2092" s="249"/>
      <c r="M2092" s="259"/>
      <c r="N2092" s="249"/>
      <c r="O2092" s="249"/>
      <c r="P2092" s="249"/>
      <c r="Q2092" s="249"/>
      <c r="R2092" s="249"/>
      <c r="S2092" s="249"/>
      <c r="T2092" s="249"/>
      <c r="U2092" s="249"/>
      <c r="V2092" s="249"/>
      <c r="W2092" s="249"/>
      <c r="X2092" s="249"/>
      <c r="Y2092" s="249"/>
      <c r="Z2092" s="249"/>
    </row>
    <row r="2093" spans="1:26" x14ac:dyDescent="0.25">
      <c r="A2093" s="249"/>
      <c r="B2093" s="249"/>
      <c r="C2093" s="249"/>
      <c r="D2093" s="249"/>
      <c r="E2093" s="249"/>
      <c r="F2093" s="249"/>
      <c r="G2093" s="249"/>
      <c r="H2093" s="249"/>
      <c r="I2093" s="258"/>
      <c r="J2093" s="249"/>
      <c r="K2093" s="249"/>
      <c r="L2093" s="249"/>
      <c r="M2093" s="259"/>
      <c r="N2093" s="249"/>
      <c r="O2093" s="249"/>
      <c r="P2093" s="249"/>
      <c r="Q2093" s="249"/>
      <c r="R2093" s="249"/>
      <c r="S2093" s="249"/>
      <c r="T2093" s="249"/>
      <c r="U2093" s="249"/>
      <c r="V2093" s="249"/>
      <c r="W2093" s="249"/>
      <c r="X2093" s="249"/>
      <c r="Y2093" s="249"/>
      <c r="Z2093" s="249"/>
    </row>
    <row r="2094" spans="1:26" x14ac:dyDescent="0.25">
      <c r="A2094" s="249"/>
      <c r="B2094" s="249"/>
      <c r="C2094" s="249"/>
      <c r="D2094" s="249"/>
      <c r="E2094" s="249"/>
      <c r="F2094" s="249"/>
      <c r="G2094" s="249"/>
      <c r="H2094" s="249"/>
      <c r="I2094" s="258"/>
      <c r="J2094" s="249"/>
      <c r="K2094" s="249"/>
      <c r="L2094" s="249"/>
      <c r="M2094" s="259"/>
      <c r="N2094" s="249"/>
      <c r="O2094" s="249"/>
      <c r="P2094" s="249"/>
      <c r="Q2094" s="249"/>
      <c r="R2094" s="249"/>
      <c r="S2094" s="249"/>
      <c r="T2094" s="249"/>
      <c r="U2094" s="249"/>
      <c r="V2094" s="249"/>
      <c r="W2094" s="249"/>
      <c r="X2094" s="249"/>
      <c r="Y2094" s="249"/>
      <c r="Z2094" s="249"/>
    </row>
    <row r="2095" spans="1:26" x14ac:dyDescent="0.25">
      <c r="A2095" s="249"/>
      <c r="B2095" s="249"/>
      <c r="C2095" s="249"/>
      <c r="D2095" s="249"/>
      <c r="E2095" s="249"/>
      <c r="F2095" s="249"/>
      <c r="G2095" s="249"/>
      <c r="H2095" s="249"/>
      <c r="I2095" s="258"/>
      <c r="J2095" s="249"/>
      <c r="K2095" s="249"/>
      <c r="L2095" s="249"/>
      <c r="M2095" s="259"/>
      <c r="N2095" s="249"/>
      <c r="O2095" s="249"/>
      <c r="P2095" s="249"/>
      <c r="Q2095" s="249"/>
      <c r="R2095" s="249"/>
      <c r="S2095" s="249"/>
      <c r="T2095" s="249"/>
      <c r="U2095" s="249"/>
      <c r="V2095" s="249"/>
      <c r="W2095" s="249"/>
      <c r="X2095" s="249"/>
      <c r="Y2095" s="249"/>
      <c r="Z2095" s="249"/>
    </row>
    <row r="2096" spans="1:26" x14ac:dyDescent="0.25">
      <c r="A2096" s="249"/>
      <c r="B2096" s="249"/>
      <c r="C2096" s="249"/>
      <c r="D2096" s="249"/>
      <c r="E2096" s="249"/>
      <c r="F2096" s="249"/>
      <c r="G2096" s="249"/>
      <c r="H2096" s="249"/>
      <c r="I2096" s="258"/>
      <c r="J2096" s="249"/>
      <c r="K2096" s="249"/>
      <c r="L2096" s="249"/>
      <c r="M2096" s="259"/>
      <c r="N2096" s="249"/>
      <c r="O2096" s="249"/>
      <c r="P2096" s="249"/>
      <c r="Q2096" s="249"/>
      <c r="R2096" s="249"/>
      <c r="S2096" s="249"/>
      <c r="T2096" s="249"/>
      <c r="U2096" s="249"/>
      <c r="V2096" s="249"/>
      <c r="W2096" s="249"/>
      <c r="X2096" s="249"/>
      <c r="Y2096" s="249"/>
      <c r="Z2096" s="249"/>
    </row>
    <row r="2097" spans="1:26" x14ac:dyDescent="0.25">
      <c r="A2097" s="249"/>
      <c r="B2097" s="249"/>
      <c r="C2097" s="249"/>
      <c r="D2097" s="249"/>
      <c r="E2097" s="249"/>
      <c r="F2097" s="249"/>
      <c r="G2097" s="249"/>
      <c r="H2097" s="249"/>
      <c r="I2097" s="258"/>
      <c r="J2097" s="249"/>
      <c r="K2097" s="249"/>
      <c r="L2097" s="249"/>
      <c r="M2097" s="259"/>
      <c r="N2097" s="249"/>
      <c r="O2097" s="249"/>
      <c r="P2097" s="249"/>
      <c r="Q2097" s="249"/>
      <c r="R2097" s="249"/>
      <c r="S2097" s="249"/>
      <c r="T2097" s="249"/>
      <c r="U2097" s="249"/>
      <c r="V2097" s="249"/>
      <c r="W2097" s="249"/>
      <c r="X2097" s="249"/>
      <c r="Y2097" s="249"/>
      <c r="Z2097" s="249"/>
    </row>
    <row r="2098" spans="1:26" x14ac:dyDescent="0.25">
      <c r="A2098" s="249"/>
      <c r="B2098" s="249"/>
      <c r="C2098" s="249"/>
      <c r="D2098" s="249"/>
      <c r="E2098" s="249"/>
      <c r="F2098" s="249"/>
      <c r="G2098" s="249"/>
      <c r="H2098" s="249"/>
      <c r="I2098" s="258"/>
      <c r="J2098" s="249"/>
      <c r="K2098" s="249"/>
      <c r="L2098" s="249"/>
      <c r="M2098" s="259"/>
      <c r="N2098" s="249"/>
      <c r="O2098" s="249"/>
      <c r="P2098" s="249"/>
      <c r="Q2098" s="249"/>
      <c r="R2098" s="249"/>
      <c r="S2098" s="249"/>
      <c r="T2098" s="249"/>
      <c r="U2098" s="249"/>
      <c r="V2098" s="249"/>
      <c r="W2098" s="249"/>
      <c r="X2098" s="249"/>
      <c r="Y2098" s="249"/>
      <c r="Z2098" s="249"/>
    </row>
    <row r="2099" spans="1:26" x14ac:dyDescent="0.25">
      <c r="A2099" s="249"/>
      <c r="B2099" s="249"/>
      <c r="C2099" s="249"/>
      <c r="D2099" s="249"/>
      <c r="E2099" s="249"/>
      <c r="F2099" s="249"/>
      <c r="G2099" s="249"/>
      <c r="H2099" s="249"/>
      <c r="I2099" s="258"/>
      <c r="J2099" s="249"/>
      <c r="K2099" s="249"/>
      <c r="L2099" s="249"/>
      <c r="M2099" s="259"/>
      <c r="N2099" s="249"/>
      <c r="O2099" s="249"/>
      <c r="P2099" s="249"/>
      <c r="Q2099" s="249"/>
      <c r="R2099" s="249"/>
      <c r="S2099" s="249"/>
      <c r="T2099" s="249"/>
      <c r="U2099" s="249"/>
      <c r="V2099" s="249"/>
      <c r="W2099" s="249"/>
      <c r="X2099" s="249"/>
      <c r="Y2099" s="249"/>
      <c r="Z2099" s="249"/>
    </row>
    <row r="2100" spans="1:26" x14ac:dyDescent="0.25">
      <c r="A2100" s="249"/>
      <c r="B2100" s="249"/>
      <c r="C2100" s="249"/>
      <c r="D2100" s="249"/>
      <c r="E2100" s="249"/>
      <c r="F2100" s="249"/>
      <c r="G2100" s="249"/>
      <c r="H2100" s="249"/>
      <c r="I2100" s="258"/>
      <c r="J2100" s="249"/>
      <c r="K2100" s="249"/>
      <c r="L2100" s="249"/>
      <c r="M2100" s="259"/>
      <c r="N2100" s="249"/>
      <c r="O2100" s="249"/>
      <c r="P2100" s="249"/>
      <c r="Q2100" s="249"/>
      <c r="R2100" s="249"/>
      <c r="S2100" s="249"/>
      <c r="T2100" s="249"/>
      <c r="U2100" s="249"/>
      <c r="V2100" s="249"/>
      <c r="W2100" s="249"/>
      <c r="X2100" s="249"/>
      <c r="Y2100" s="249"/>
      <c r="Z2100" s="249"/>
    </row>
    <row r="2101" spans="1:26" x14ac:dyDescent="0.25">
      <c r="A2101" s="249"/>
      <c r="B2101" s="249"/>
      <c r="C2101" s="249"/>
      <c r="D2101" s="249"/>
      <c r="E2101" s="249"/>
      <c r="F2101" s="249"/>
      <c r="G2101" s="249"/>
      <c r="H2101" s="249"/>
      <c r="I2101" s="258"/>
      <c r="J2101" s="249"/>
      <c r="K2101" s="249"/>
      <c r="L2101" s="249"/>
      <c r="M2101" s="259"/>
      <c r="N2101" s="249"/>
      <c r="O2101" s="249"/>
      <c r="P2101" s="249"/>
      <c r="Q2101" s="249"/>
      <c r="R2101" s="249"/>
      <c r="S2101" s="249"/>
      <c r="T2101" s="249"/>
      <c r="U2101" s="249"/>
      <c r="V2101" s="249"/>
      <c r="W2101" s="249"/>
      <c r="X2101" s="249"/>
      <c r="Y2101" s="249"/>
      <c r="Z2101" s="249"/>
    </row>
    <row r="2102" spans="1:26" x14ac:dyDescent="0.25">
      <c r="A2102" s="249"/>
      <c r="B2102" s="249"/>
      <c r="C2102" s="249"/>
      <c r="D2102" s="249"/>
      <c r="E2102" s="249"/>
      <c r="F2102" s="249"/>
      <c r="G2102" s="249"/>
      <c r="H2102" s="249"/>
      <c r="I2102" s="258"/>
      <c r="J2102" s="249"/>
      <c r="K2102" s="249"/>
      <c r="L2102" s="249"/>
      <c r="M2102" s="259"/>
      <c r="N2102" s="249"/>
      <c r="O2102" s="249"/>
      <c r="P2102" s="249"/>
      <c r="Q2102" s="249"/>
      <c r="R2102" s="249"/>
      <c r="S2102" s="249"/>
      <c r="T2102" s="249"/>
      <c r="U2102" s="249"/>
      <c r="V2102" s="249"/>
      <c r="W2102" s="249"/>
      <c r="X2102" s="249"/>
      <c r="Y2102" s="249"/>
      <c r="Z2102" s="249"/>
    </row>
    <row r="2103" spans="1:26" x14ac:dyDescent="0.25">
      <c r="A2103" s="249"/>
      <c r="B2103" s="249"/>
      <c r="C2103" s="249"/>
      <c r="D2103" s="249"/>
      <c r="E2103" s="249"/>
      <c r="F2103" s="249"/>
      <c r="G2103" s="249"/>
      <c r="H2103" s="249"/>
      <c r="I2103" s="258"/>
      <c r="J2103" s="249"/>
      <c r="K2103" s="249"/>
      <c r="L2103" s="249"/>
      <c r="M2103" s="259"/>
      <c r="N2103" s="249"/>
      <c r="O2103" s="249"/>
      <c r="P2103" s="249"/>
      <c r="Q2103" s="249"/>
      <c r="R2103" s="249"/>
      <c r="S2103" s="249"/>
      <c r="T2103" s="249"/>
      <c r="U2103" s="249"/>
      <c r="V2103" s="249"/>
      <c r="W2103" s="249"/>
      <c r="X2103" s="249"/>
      <c r="Y2103" s="249"/>
      <c r="Z2103" s="249"/>
    </row>
    <row r="2104" spans="1:26" x14ac:dyDescent="0.25">
      <c r="A2104" s="249"/>
      <c r="B2104" s="249"/>
      <c r="C2104" s="249"/>
      <c r="D2104" s="249"/>
      <c r="E2104" s="249"/>
      <c r="F2104" s="249"/>
      <c r="G2104" s="249"/>
      <c r="H2104" s="249"/>
      <c r="I2104" s="258"/>
      <c r="J2104" s="249"/>
      <c r="K2104" s="249"/>
      <c r="L2104" s="249"/>
      <c r="M2104" s="259"/>
      <c r="N2104" s="249"/>
      <c r="O2104" s="249"/>
      <c r="P2104" s="249"/>
      <c r="Q2104" s="249"/>
      <c r="R2104" s="249"/>
      <c r="S2104" s="249"/>
      <c r="T2104" s="249"/>
      <c r="U2104" s="249"/>
      <c r="V2104" s="249"/>
      <c r="W2104" s="249"/>
      <c r="X2104" s="249"/>
      <c r="Y2104" s="249"/>
      <c r="Z2104" s="249"/>
    </row>
    <row r="2105" spans="1:26" x14ac:dyDescent="0.25">
      <c r="A2105" s="249"/>
      <c r="B2105" s="249"/>
      <c r="C2105" s="249"/>
      <c r="D2105" s="249"/>
      <c r="E2105" s="249"/>
      <c r="F2105" s="249"/>
      <c r="G2105" s="249"/>
      <c r="H2105" s="249"/>
      <c r="I2105" s="258"/>
      <c r="J2105" s="249"/>
      <c r="K2105" s="249"/>
      <c r="L2105" s="249"/>
      <c r="M2105" s="259"/>
      <c r="N2105" s="249"/>
      <c r="O2105" s="249"/>
      <c r="P2105" s="249"/>
      <c r="Q2105" s="249"/>
      <c r="R2105" s="249"/>
      <c r="S2105" s="249"/>
      <c r="T2105" s="249"/>
      <c r="U2105" s="249"/>
      <c r="V2105" s="249"/>
      <c r="W2105" s="249"/>
      <c r="X2105" s="249"/>
      <c r="Y2105" s="249"/>
      <c r="Z2105" s="249"/>
    </row>
    <row r="2106" spans="1:26" x14ac:dyDescent="0.25">
      <c r="A2106" s="249"/>
      <c r="B2106" s="249"/>
      <c r="C2106" s="249"/>
      <c r="D2106" s="249"/>
      <c r="E2106" s="249"/>
      <c r="F2106" s="249"/>
      <c r="G2106" s="249"/>
      <c r="H2106" s="249"/>
      <c r="I2106" s="258"/>
      <c r="J2106" s="249"/>
      <c r="K2106" s="249"/>
      <c r="L2106" s="249"/>
      <c r="M2106" s="259"/>
      <c r="N2106" s="249"/>
      <c r="O2106" s="249"/>
      <c r="P2106" s="249"/>
      <c r="Q2106" s="249"/>
      <c r="R2106" s="249"/>
      <c r="S2106" s="249"/>
      <c r="T2106" s="249"/>
      <c r="U2106" s="249"/>
      <c r="V2106" s="249"/>
      <c r="W2106" s="249"/>
      <c r="X2106" s="249"/>
      <c r="Y2106" s="249"/>
      <c r="Z2106" s="249"/>
    </row>
    <row r="2107" spans="1:26" x14ac:dyDescent="0.25">
      <c r="A2107" s="249"/>
      <c r="B2107" s="249"/>
      <c r="C2107" s="249"/>
      <c r="D2107" s="249"/>
      <c r="E2107" s="249"/>
      <c r="F2107" s="249"/>
      <c r="G2107" s="249"/>
      <c r="H2107" s="249"/>
      <c r="I2107" s="258"/>
      <c r="J2107" s="249"/>
      <c r="K2107" s="249"/>
      <c r="L2107" s="249"/>
      <c r="M2107" s="259"/>
      <c r="N2107" s="249"/>
      <c r="O2107" s="249"/>
      <c r="P2107" s="249"/>
      <c r="Q2107" s="249"/>
      <c r="R2107" s="249"/>
      <c r="S2107" s="249"/>
      <c r="T2107" s="249"/>
      <c r="U2107" s="249"/>
      <c r="V2107" s="249"/>
      <c r="W2107" s="249"/>
      <c r="X2107" s="249"/>
      <c r="Y2107" s="249"/>
      <c r="Z2107" s="249"/>
    </row>
    <row r="2108" spans="1:26" x14ac:dyDescent="0.25">
      <c r="A2108" s="249"/>
      <c r="B2108" s="249"/>
      <c r="C2108" s="249"/>
      <c r="D2108" s="249"/>
      <c r="E2108" s="249"/>
      <c r="F2108" s="249"/>
      <c r="G2108" s="249"/>
      <c r="H2108" s="249"/>
      <c r="I2108" s="258"/>
      <c r="J2108" s="249"/>
      <c r="K2108" s="249"/>
      <c r="L2108" s="249"/>
      <c r="M2108" s="259"/>
      <c r="N2108" s="249"/>
      <c r="O2108" s="249"/>
      <c r="P2108" s="249"/>
      <c r="Q2108" s="249"/>
      <c r="R2108" s="249"/>
      <c r="S2108" s="249"/>
      <c r="T2108" s="249"/>
      <c r="U2108" s="249"/>
      <c r="V2108" s="249"/>
      <c r="W2108" s="249"/>
      <c r="X2108" s="249"/>
      <c r="Y2108" s="249"/>
      <c r="Z2108" s="249"/>
    </row>
    <row r="2109" spans="1:26" x14ac:dyDescent="0.25">
      <c r="A2109" s="249"/>
      <c r="B2109" s="249"/>
      <c r="C2109" s="249"/>
      <c r="D2109" s="249"/>
      <c r="E2109" s="249"/>
      <c r="F2109" s="249"/>
      <c r="G2109" s="249"/>
      <c r="H2109" s="249"/>
      <c r="I2109" s="258"/>
      <c r="J2109" s="249"/>
      <c r="K2109" s="249"/>
      <c r="L2109" s="249"/>
      <c r="M2109" s="259"/>
      <c r="N2109" s="249"/>
      <c r="O2109" s="249"/>
      <c r="P2109" s="249"/>
      <c r="Q2109" s="249"/>
      <c r="R2109" s="249"/>
      <c r="S2109" s="249"/>
      <c r="T2109" s="249"/>
      <c r="U2109" s="249"/>
      <c r="V2109" s="249"/>
      <c r="W2109" s="249"/>
      <c r="X2109" s="249"/>
      <c r="Y2109" s="249"/>
      <c r="Z2109" s="249"/>
    </row>
    <row r="2110" spans="1:26" x14ac:dyDescent="0.25">
      <c r="A2110" s="249"/>
      <c r="B2110" s="249"/>
      <c r="C2110" s="249"/>
      <c r="D2110" s="249"/>
      <c r="E2110" s="249"/>
      <c r="F2110" s="249"/>
      <c r="G2110" s="249"/>
      <c r="H2110" s="249"/>
      <c r="I2110" s="258"/>
      <c r="J2110" s="249"/>
      <c r="K2110" s="249"/>
      <c r="L2110" s="249"/>
      <c r="M2110" s="259"/>
      <c r="N2110" s="249"/>
      <c r="O2110" s="249"/>
      <c r="P2110" s="249"/>
      <c r="Q2110" s="249"/>
      <c r="R2110" s="249"/>
      <c r="S2110" s="249"/>
      <c r="T2110" s="249"/>
      <c r="U2110" s="249"/>
      <c r="V2110" s="249"/>
      <c r="W2110" s="249"/>
      <c r="X2110" s="249"/>
      <c r="Y2110" s="249"/>
      <c r="Z2110" s="249"/>
    </row>
    <row r="2111" spans="1:26" x14ac:dyDescent="0.25">
      <c r="A2111" s="249"/>
      <c r="B2111" s="249"/>
      <c r="C2111" s="249"/>
      <c r="D2111" s="249"/>
      <c r="E2111" s="249"/>
      <c r="F2111" s="249"/>
      <c r="G2111" s="249"/>
      <c r="H2111" s="249"/>
      <c r="I2111" s="258"/>
      <c r="J2111" s="249"/>
      <c r="K2111" s="249"/>
      <c r="L2111" s="249"/>
      <c r="M2111" s="259"/>
      <c r="N2111" s="249"/>
      <c r="O2111" s="249"/>
      <c r="P2111" s="249"/>
      <c r="Q2111" s="249"/>
      <c r="R2111" s="249"/>
      <c r="S2111" s="249"/>
      <c r="T2111" s="249"/>
      <c r="U2111" s="249"/>
      <c r="V2111" s="249"/>
      <c r="W2111" s="249"/>
      <c r="X2111" s="249"/>
      <c r="Y2111" s="249"/>
      <c r="Z2111" s="249"/>
    </row>
    <row r="2112" spans="1:26" x14ac:dyDescent="0.25">
      <c r="A2112" s="249"/>
      <c r="B2112" s="249"/>
      <c r="C2112" s="249"/>
      <c r="D2112" s="249"/>
      <c r="E2112" s="249"/>
      <c r="F2112" s="249"/>
      <c r="G2112" s="249"/>
      <c r="H2112" s="249"/>
      <c r="I2112" s="258"/>
      <c r="J2112" s="249"/>
      <c r="K2112" s="249"/>
      <c r="L2112" s="249"/>
      <c r="M2112" s="259"/>
      <c r="N2112" s="249"/>
      <c r="O2112" s="249"/>
      <c r="P2112" s="249"/>
      <c r="Q2112" s="249"/>
      <c r="R2112" s="249"/>
      <c r="S2112" s="249"/>
      <c r="T2112" s="249"/>
      <c r="U2112" s="249"/>
      <c r="V2112" s="249"/>
      <c r="W2112" s="249"/>
      <c r="X2112" s="249"/>
      <c r="Y2112" s="249"/>
      <c r="Z2112" s="249"/>
    </row>
    <row r="2113" spans="1:26" x14ac:dyDescent="0.25">
      <c r="A2113" s="249"/>
      <c r="B2113" s="249"/>
      <c r="C2113" s="249"/>
      <c r="D2113" s="249"/>
      <c r="E2113" s="249"/>
      <c r="F2113" s="249"/>
      <c r="G2113" s="249"/>
      <c r="H2113" s="249"/>
      <c r="I2113" s="258"/>
      <c r="J2113" s="249"/>
      <c r="K2113" s="249"/>
      <c r="L2113" s="249"/>
      <c r="M2113" s="259"/>
      <c r="N2113" s="249"/>
      <c r="O2113" s="249"/>
      <c r="P2113" s="249"/>
      <c r="Q2113" s="249"/>
      <c r="R2113" s="249"/>
      <c r="S2113" s="249"/>
      <c r="T2113" s="249"/>
      <c r="U2113" s="249"/>
      <c r="V2113" s="249"/>
      <c r="W2113" s="249"/>
      <c r="X2113" s="249"/>
      <c r="Y2113" s="249"/>
      <c r="Z2113" s="249"/>
    </row>
    <row r="2114" spans="1:26" x14ac:dyDescent="0.25">
      <c r="A2114" s="249"/>
      <c r="B2114" s="249"/>
      <c r="C2114" s="249"/>
      <c r="D2114" s="249"/>
      <c r="E2114" s="249"/>
      <c r="F2114" s="249"/>
      <c r="G2114" s="249"/>
      <c r="H2114" s="249"/>
      <c r="I2114" s="258"/>
      <c r="J2114" s="249"/>
      <c r="K2114" s="249"/>
      <c r="L2114" s="249"/>
      <c r="M2114" s="259"/>
      <c r="N2114" s="249"/>
      <c r="O2114" s="249"/>
      <c r="P2114" s="249"/>
      <c r="Q2114" s="249"/>
      <c r="R2114" s="249"/>
      <c r="S2114" s="249"/>
      <c r="T2114" s="249"/>
      <c r="U2114" s="249"/>
      <c r="V2114" s="249"/>
      <c r="W2114" s="249"/>
      <c r="X2114" s="249"/>
      <c r="Y2114" s="249"/>
      <c r="Z2114" s="249"/>
    </row>
    <row r="2115" spans="1:26" x14ac:dyDescent="0.25">
      <c r="A2115" s="249"/>
      <c r="B2115" s="249"/>
      <c r="C2115" s="249"/>
      <c r="D2115" s="249"/>
      <c r="E2115" s="249"/>
      <c r="F2115" s="249"/>
      <c r="G2115" s="249"/>
      <c r="H2115" s="249"/>
      <c r="I2115" s="258"/>
      <c r="J2115" s="249"/>
      <c r="K2115" s="249"/>
      <c r="L2115" s="249"/>
      <c r="M2115" s="259"/>
      <c r="N2115" s="249"/>
      <c r="O2115" s="249"/>
      <c r="P2115" s="249"/>
      <c r="Q2115" s="249"/>
      <c r="R2115" s="249"/>
      <c r="S2115" s="249"/>
      <c r="T2115" s="249"/>
      <c r="U2115" s="249"/>
      <c r="V2115" s="249"/>
      <c r="W2115" s="249"/>
      <c r="X2115" s="249"/>
      <c r="Y2115" s="249"/>
      <c r="Z2115" s="249"/>
    </row>
    <row r="2116" spans="1:26" x14ac:dyDescent="0.25">
      <c r="A2116" s="249"/>
      <c r="B2116" s="249"/>
      <c r="C2116" s="249"/>
      <c r="D2116" s="249"/>
      <c r="E2116" s="249"/>
      <c r="F2116" s="249"/>
      <c r="G2116" s="249"/>
      <c r="H2116" s="249"/>
      <c r="I2116" s="258"/>
      <c r="J2116" s="249"/>
      <c r="K2116" s="249"/>
      <c r="L2116" s="249"/>
      <c r="M2116" s="259"/>
      <c r="N2116" s="249"/>
      <c r="O2116" s="249"/>
      <c r="P2116" s="249"/>
      <c r="Q2116" s="249"/>
      <c r="R2116" s="249"/>
      <c r="S2116" s="249"/>
      <c r="T2116" s="249"/>
      <c r="U2116" s="249"/>
      <c r="V2116" s="249"/>
      <c r="W2116" s="249"/>
      <c r="X2116" s="249"/>
      <c r="Y2116" s="249"/>
      <c r="Z2116" s="249"/>
    </row>
    <row r="2117" spans="1:26" x14ac:dyDescent="0.25">
      <c r="A2117" s="249"/>
      <c r="B2117" s="249"/>
      <c r="C2117" s="249"/>
      <c r="D2117" s="249"/>
      <c r="E2117" s="249"/>
      <c r="F2117" s="249"/>
      <c r="G2117" s="249"/>
      <c r="H2117" s="249"/>
      <c r="I2117" s="258"/>
      <c r="J2117" s="249"/>
      <c r="K2117" s="249"/>
      <c r="L2117" s="249"/>
      <c r="M2117" s="259"/>
      <c r="N2117" s="249"/>
      <c r="O2117" s="249"/>
      <c r="P2117" s="249"/>
      <c r="Q2117" s="249"/>
      <c r="R2117" s="249"/>
      <c r="S2117" s="249"/>
      <c r="T2117" s="249"/>
      <c r="U2117" s="249"/>
      <c r="V2117" s="249"/>
      <c r="W2117" s="249"/>
      <c r="X2117" s="249"/>
      <c r="Y2117" s="249"/>
      <c r="Z2117" s="249"/>
    </row>
    <row r="2118" spans="1:26" x14ac:dyDescent="0.25">
      <c r="A2118" s="249"/>
      <c r="B2118" s="249"/>
      <c r="C2118" s="249"/>
      <c r="D2118" s="249"/>
      <c r="E2118" s="249"/>
      <c r="F2118" s="249"/>
      <c r="G2118" s="249"/>
      <c r="H2118" s="249"/>
      <c r="I2118" s="258"/>
      <c r="J2118" s="249"/>
      <c r="K2118" s="249"/>
      <c r="L2118" s="249"/>
      <c r="M2118" s="259"/>
      <c r="N2118" s="249"/>
      <c r="O2118" s="249"/>
      <c r="P2118" s="249"/>
      <c r="Q2118" s="249"/>
      <c r="R2118" s="249"/>
      <c r="S2118" s="249"/>
      <c r="T2118" s="249"/>
      <c r="U2118" s="249"/>
      <c r="V2118" s="249"/>
      <c r="W2118" s="249"/>
      <c r="X2118" s="249"/>
      <c r="Y2118" s="249"/>
      <c r="Z2118" s="249"/>
    </row>
    <row r="2119" spans="1:26" x14ac:dyDescent="0.25">
      <c r="A2119" s="249"/>
      <c r="B2119" s="249"/>
      <c r="C2119" s="249"/>
      <c r="D2119" s="249"/>
      <c r="E2119" s="249"/>
      <c r="F2119" s="249"/>
      <c r="G2119" s="249"/>
      <c r="H2119" s="249"/>
      <c r="I2119" s="258"/>
      <c r="J2119" s="249"/>
      <c r="K2119" s="249"/>
      <c r="L2119" s="249"/>
      <c r="M2119" s="259"/>
      <c r="N2119" s="249"/>
      <c r="O2119" s="249"/>
      <c r="P2119" s="249"/>
      <c r="Q2119" s="249"/>
      <c r="R2119" s="249"/>
      <c r="S2119" s="249"/>
      <c r="T2119" s="249"/>
      <c r="U2119" s="249"/>
      <c r="V2119" s="249"/>
      <c r="W2119" s="249"/>
      <c r="X2119" s="249"/>
      <c r="Y2119" s="249"/>
      <c r="Z2119" s="249"/>
    </row>
    <row r="2120" spans="1:26" x14ac:dyDescent="0.25">
      <c r="A2120" s="249"/>
      <c r="B2120" s="249"/>
      <c r="C2120" s="249"/>
      <c r="D2120" s="249"/>
      <c r="E2120" s="249"/>
      <c r="F2120" s="249"/>
      <c r="G2120" s="249"/>
      <c r="H2120" s="249"/>
      <c r="I2120" s="258"/>
      <c r="J2120" s="249"/>
      <c r="K2120" s="249"/>
      <c r="L2120" s="249"/>
      <c r="M2120" s="259"/>
      <c r="N2120" s="249"/>
      <c r="O2120" s="249"/>
      <c r="P2120" s="249"/>
      <c r="Q2120" s="249"/>
      <c r="R2120" s="249"/>
      <c r="S2120" s="249"/>
      <c r="T2120" s="249"/>
      <c r="U2120" s="249"/>
      <c r="V2120" s="249"/>
      <c r="W2120" s="249"/>
      <c r="X2120" s="249"/>
      <c r="Y2120" s="249"/>
      <c r="Z2120" s="249"/>
    </row>
    <row r="2121" spans="1:26" x14ac:dyDescent="0.25">
      <c r="A2121" s="249"/>
      <c r="B2121" s="249"/>
      <c r="C2121" s="249"/>
      <c r="D2121" s="249"/>
      <c r="E2121" s="249"/>
      <c r="F2121" s="249"/>
      <c r="G2121" s="249"/>
      <c r="H2121" s="249"/>
      <c r="I2121" s="258"/>
      <c r="J2121" s="249"/>
      <c r="K2121" s="249"/>
      <c r="L2121" s="249"/>
      <c r="M2121" s="259"/>
      <c r="N2121" s="249"/>
      <c r="O2121" s="249"/>
      <c r="P2121" s="249"/>
      <c r="Q2121" s="249"/>
      <c r="R2121" s="249"/>
      <c r="S2121" s="249"/>
      <c r="T2121" s="249"/>
      <c r="U2121" s="249"/>
      <c r="V2121" s="249"/>
      <c r="W2121" s="249"/>
      <c r="X2121" s="249"/>
      <c r="Y2121" s="249"/>
      <c r="Z2121" s="249"/>
    </row>
    <row r="2122" spans="1:26" x14ac:dyDescent="0.25">
      <c r="A2122" s="249"/>
      <c r="B2122" s="249"/>
      <c r="C2122" s="249"/>
      <c r="D2122" s="249"/>
      <c r="E2122" s="249"/>
      <c r="F2122" s="249"/>
      <c r="G2122" s="249"/>
      <c r="H2122" s="249"/>
      <c r="I2122" s="258"/>
      <c r="J2122" s="249"/>
      <c r="K2122" s="249"/>
      <c r="L2122" s="249"/>
      <c r="M2122" s="259"/>
      <c r="N2122" s="249"/>
      <c r="O2122" s="249"/>
      <c r="P2122" s="249"/>
      <c r="Q2122" s="249"/>
      <c r="R2122" s="249"/>
      <c r="S2122" s="249"/>
      <c r="T2122" s="249"/>
      <c r="U2122" s="249"/>
      <c r="V2122" s="249"/>
      <c r="W2122" s="249"/>
      <c r="X2122" s="249"/>
      <c r="Y2122" s="249"/>
      <c r="Z2122" s="249"/>
    </row>
    <row r="2123" spans="1:26" x14ac:dyDescent="0.25">
      <c r="A2123" s="249"/>
      <c r="B2123" s="249"/>
      <c r="C2123" s="249"/>
      <c r="D2123" s="249"/>
      <c r="E2123" s="249"/>
      <c r="F2123" s="249"/>
      <c r="G2123" s="249"/>
      <c r="H2123" s="249"/>
      <c r="I2123" s="258"/>
      <c r="J2123" s="249"/>
      <c r="K2123" s="249"/>
      <c r="L2123" s="249"/>
      <c r="M2123" s="259"/>
      <c r="N2123" s="249"/>
      <c r="O2123" s="249"/>
      <c r="P2123" s="249"/>
      <c r="Q2123" s="249"/>
      <c r="R2123" s="249"/>
      <c r="S2123" s="249"/>
      <c r="T2123" s="249"/>
      <c r="U2123" s="249"/>
      <c r="V2123" s="249"/>
      <c r="W2123" s="249"/>
      <c r="X2123" s="249"/>
      <c r="Y2123" s="249"/>
      <c r="Z2123" s="249"/>
    </row>
    <row r="2124" spans="1:26" x14ac:dyDescent="0.25">
      <c r="A2124" s="249"/>
      <c r="B2124" s="249"/>
      <c r="C2124" s="249"/>
      <c r="D2124" s="249"/>
      <c r="E2124" s="249"/>
      <c r="F2124" s="249"/>
      <c r="G2124" s="249"/>
      <c r="H2124" s="249"/>
      <c r="I2124" s="258"/>
      <c r="J2124" s="249"/>
      <c r="K2124" s="249"/>
      <c r="L2124" s="249"/>
      <c r="M2124" s="259"/>
      <c r="N2124" s="249"/>
      <c r="O2124" s="249"/>
      <c r="P2124" s="249"/>
      <c r="Q2124" s="249"/>
      <c r="R2124" s="249"/>
      <c r="S2124" s="249"/>
      <c r="T2124" s="249"/>
      <c r="U2124" s="249"/>
      <c r="V2124" s="249"/>
      <c r="W2124" s="249"/>
      <c r="X2124" s="249"/>
      <c r="Y2124" s="249"/>
      <c r="Z2124" s="249"/>
    </row>
    <row r="2125" spans="1:26" x14ac:dyDescent="0.25">
      <c r="A2125" s="249"/>
      <c r="B2125" s="249"/>
      <c r="C2125" s="249"/>
      <c r="D2125" s="249"/>
      <c r="E2125" s="249"/>
      <c r="F2125" s="249"/>
      <c r="G2125" s="249"/>
      <c r="H2125" s="249"/>
      <c r="I2125" s="258"/>
      <c r="J2125" s="249"/>
      <c r="K2125" s="249"/>
      <c r="L2125" s="249"/>
      <c r="M2125" s="259"/>
      <c r="N2125" s="249"/>
      <c r="O2125" s="249"/>
      <c r="P2125" s="249"/>
      <c r="Q2125" s="249"/>
      <c r="R2125" s="249"/>
      <c r="S2125" s="249"/>
      <c r="T2125" s="249"/>
      <c r="U2125" s="249"/>
      <c r="V2125" s="249"/>
      <c r="W2125" s="249"/>
      <c r="X2125" s="249"/>
      <c r="Y2125" s="249"/>
      <c r="Z2125" s="249"/>
    </row>
    <row r="2126" spans="1:26" x14ac:dyDescent="0.25">
      <c r="A2126" s="249"/>
      <c r="B2126" s="249"/>
      <c r="C2126" s="249"/>
      <c r="D2126" s="249"/>
      <c r="E2126" s="249"/>
      <c r="F2126" s="249"/>
      <c r="G2126" s="249"/>
      <c r="H2126" s="249"/>
      <c r="I2126" s="258"/>
      <c r="J2126" s="249"/>
      <c r="K2126" s="249"/>
      <c r="L2126" s="249"/>
      <c r="M2126" s="259"/>
      <c r="N2126" s="249"/>
      <c r="O2126" s="249"/>
      <c r="P2126" s="249"/>
      <c r="Q2126" s="249"/>
      <c r="R2126" s="249"/>
      <c r="S2126" s="249"/>
      <c r="T2126" s="249"/>
      <c r="U2126" s="249"/>
      <c r="V2126" s="249"/>
      <c r="W2126" s="249"/>
      <c r="X2126" s="249"/>
      <c r="Y2126" s="249"/>
      <c r="Z2126" s="249"/>
    </row>
    <row r="2127" spans="1:26" x14ac:dyDescent="0.25">
      <c r="A2127" s="249"/>
      <c r="B2127" s="249"/>
      <c r="C2127" s="249"/>
      <c r="D2127" s="249"/>
      <c r="E2127" s="249"/>
      <c r="F2127" s="249"/>
      <c r="G2127" s="249"/>
      <c r="H2127" s="249"/>
      <c r="I2127" s="258"/>
      <c r="J2127" s="249"/>
      <c r="K2127" s="249"/>
      <c r="L2127" s="249"/>
      <c r="M2127" s="259"/>
      <c r="N2127" s="249"/>
      <c r="O2127" s="249"/>
      <c r="P2127" s="249"/>
      <c r="Q2127" s="249"/>
      <c r="R2127" s="249"/>
      <c r="S2127" s="249"/>
      <c r="T2127" s="249"/>
      <c r="U2127" s="249"/>
      <c r="V2127" s="249"/>
      <c r="W2127" s="249"/>
      <c r="X2127" s="249"/>
      <c r="Y2127" s="249"/>
      <c r="Z2127" s="249"/>
    </row>
    <row r="2128" spans="1:26" x14ac:dyDescent="0.25">
      <c r="A2128" s="249"/>
      <c r="B2128" s="249"/>
      <c r="C2128" s="249"/>
      <c r="D2128" s="249"/>
      <c r="E2128" s="249"/>
      <c r="F2128" s="249"/>
      <c r="G2128" s="249"/>
      <c r="H2128" s="249"/>
      <c r="I2128" s="258"/>
      <c r="J2128" s="249"/>
      <c r="K2128" s="249"/>
      <c r="L2128" s="249"/>
      <c r="M2128" s="259"/>
      <c r="N2128" s="249"/>
      <c r="O2128" s="249"/>
      <c r="P2128" s="249"/>
      <c r="Q2128" s="249"/>
      <c r="R2128" s="249"/>
      <c r="S2128" s="249"/>
      <c r="T2128" s="249"/>
      <c r="U2128" s="249"/>
      <c r="V2128" s="249"/>
      <c r="W2128" s="249"/>
      <c r="X2128" s="249"/>
      <c r="Y2128" s="249"/>
      <c r="Z2128" s="249"/>
    </row>
    <row r="2129" spans="1:26" x14ac:dyDescent="0.25">
      <c r="A2129" s="249"/>
      <c r="B2129" s="249"/>
      <c r="C2129" s="249"/>
      <c r="D2129" s="249"/>
      <c r="E2129" s="249"/>
      <c r="F2129" s="249"/>
      <c r="G2129" s="249"/>
      <c r="H2129" s="249"/>
      <c r="I2129" s="258"/>
      <c r="J2129" s="249"/>
      <c r="K2129" s="249"/>
      <c r="L2129" s="249"/>
      <c r="M2129" s="259"/>
      <c r="N2129" s="249"/>
      <c r="O2129" s="249"/>
      <c r="P2129" s="249"/>
      <c r="Q2129" s="249"/>
      <c r="R2129" s="249"/>
      <c r="S2129" s="249"/>
      <c r="T2129" s="249"/>
      <c r="U2129" s="249"/>
      <c r="V2129" s="249"/>
      <c r="W2129" s="249"/>
      <c r="X2129" s="249"/>
      <c r="Y2129" s="249"/>
      <c r="Z2129" s="249"/>
    </row>
    <row r="2130" spans="1:26" x14ac:dyDescent="0.25">
      <c r="A2130" s="249"/>
      <c r="B2130" s="249"/>
      <c r="C2130" s="249"/>
      <c r="D2130" s="249"/>
      <c r="E2130" s="249"/>
      <c r="F2130" s="249"/>
      <c r="G2130" s="249"/>
      <c r="H2130" s="249"/>
      <c r="I2130" s="258"/>
      <c r="J2130" s="249"/>
      <c r="K2130" s="249"/>
      <c r="L2130" s="249"/>
      <c r="M2130" s="259"/>
      <c r="N2130" s="249"/>
      <c r="O2130" s="249"/>
      <c r="P2130" s="249"/>
      <c r="Q2130" s="249"/>
      <c r="R2130" s="249"/>
      <c r="S2130" s="249"/>
      <c r="T2130" s="249"/>
      <c r="U2130" s="249"/>
      <c r="V2130" s="249"/>
      <c r="W2130" s="249"/>
      <c r="X2130" s="249"/>
      <c r="Y2130" s="249"/>
      <c r="Z2130" s="249"/>
    </row>
    <row r="2131" spans="1:26" x14ac:dyDescent="0.25">
      <c r="A2131" s="249"/>
      <c r="B2131" s="249"/>
      <c r="C2131" s="249"/>
      <c r="D2131" s="249"/>
      <c r="E2131" s="249"/>
      <c r="F2131" s="249"/>
      <c r="G2131" s="249"/>
      <c r="H2131" s="249"/>
      <c r="I2131" s="258"/>
      <c r="J2131" s="249"/>
      <c r="K2131" s="249"/>
      <c r="L2131" s="249"/>
      <c r="M2131" s="259"/>
      <c r="N2131" s="249"/>
      <c r="O2131" s="249"/>
      <c r="P2131" s="249"/>
      <c r="Q2131" s="249"/>
      <c r="R2131" s="249"/>
      <c r="S2131" s="249"/>
      <c r="T2131" s="249"/>
      <c r="U2131" s="249"/>
      <c r="V2131" s="249"/>
      <c r="W2131" s="249"/>
      <c r="X2131" s="249"/>
      <c r="Y2131" s="249"/>
      <c r="Z2131" s="249"/>
    </row>
    <row r="2132" spans="1:26" x14ac:dyDescent="0.25">
      <c r="A2132" s="249"/>
      <c r="B2132" s="249"/>
      <c r="C2132" s="249"/>
      <c r="D2132" s="249"/>
      <c r="E2132" s="249"/>
      <c r="F2132" s="249"/>
      <c r="G2132" s="249"/>
      <c r="H2132" s="249"/>
      <c r="I2132" s="258"/>
      <c r="J2132" s="249"/>
      <c r="K2132" s="249"/>
      <c r="L2132" s="249"/>
      <c r="M2132" s="259"/>
      <c r="N2132" s="249"/>
      <c r="O2132" s="249"/>
      <c r="P2132" s="249"/>
      <c r="Q2132" s="249"/>
      <c r="R2132" s="249"/>
      <c r="S2132" s="249"/>
      <c r="T2132" s="249"/>
      <c r="U2132" s="249"/>
      <c r="V2132" s="249"/>
      <c r="W2132" s="249"/>
      <c r="X2132" s="249"/>
      <c r="Y2132" s="249"/>
      <c r="Z2132" s="249"/>
    </row>
    <row r="2133" spans="1:26" x14ac:dyDescent="0.25">
      <c r="A2133" s="249"/>
      <c r="B2133" s="249"/>
      <c r="C2133" s="249"/>
      <c r="D2133" s="249"/>
      <c r="E2133" s="249"/>
      <c r="F2133" s="249"/>
      <c r="G2133" s="249"/>
      <c r="H2133" s="249"/>
      <c r="I2133" s="258"/>
      <c r="J2133" s="249"/>
      <c r="K2133" s="249"/>
      <c r="L2133" s="249"/>
      <c r="M2133" s="259"/>
      <c r="N2133" s="249"/>
      <c r="O2133" s="249"/>
      <c r="P2133" s="249"/>
      <c r="Q2133" s="249"/>
      <c r="R2133" s="249"/>
      <c r="S2133" s="249"/>
      <c r="T2133" s="249"/>
      <c r="U2133" s="249"/>
      <c r="V2133" s="249"/>
      <c r="W2133" s="249"/>
      <c r="X2133" s="249"/>
      <c r="Y2133" s="249"/>
      <c r="Z2133" s="249"/>
    </row>
    <row r="2134" spans="1:26" x14ac:dyDescent="0.25">
      <c r="A2134" s="249"/>
      <c r="B2134" s="249"/>
      <c r="C2134" s="249"/>
      <c r="D2134" s="249"/>
      <c r="E2134" s="249"/>
      <c r="F2134" s="249"/>
      <c r="G2134" s="249"/>
      <c r="H2134" s="249"/>
      <c r="I2134" s="258"/>
      <c r="J2134" s="249"/>
      <c r="K2134" s="249"/>
      <c r="L2134" s="249"/>
      <c r="M2134" s="259"/>
      <c r="N2134" s="249"/>
      <c r="O2134" s="249"/>
      <c r="P2134" s="249"/>
      <c r="Q2134" s="249"/>
      <c r="R2134" s="249"/>
      <c r="S2134" s="249"/>
      <c r="T2134" s="249"/>
      <c r="U2134" s="249"/>
      <c r="V2134" s="249"/>
      <c r="W2134" s="249"/>
      <c r="X2134" s="249"/>
      <c r="Y2134" s="249"/>
      <c r="Z2134" s="249"/>
    </row>
    <row r="2135" spans="1:26" x14ac:dyDescent="0.25">
      <c r="A2135" s="249"/>
      <c r="B2135" s="249"/>
      <c r="C2135" s="249"/>
      <c r="D2135" s="249"/>
      <c r="E2135" s="249"/>
      <c r="F2135" s="249"/>
      <c r="G2135" s="249"/>
      <c r="H2135" s="249"/>
      <c r="I2135" s="258"/>
      <c r="J2135" s="249"/>
      <c r="K2135" s="249"/>
      <c r="L2135" s="249"/>
      <c r="M2135" s="259"/>
      <c r="N2135" s="249"/>
      <c r="O2135" s="249"/>
      <c r="P2135" s="249"/>
      <c r="Q2135" s="249"/>
      <c r="R2135" s="249"/>
      <c r="S2135" s="249"/>
      <c r="T2135" s="249"/>
      <c r="U2135" s="249"/>
      <c r="V2135" s="249"/>
      <c r="W2135" s="249"/>
      <c r="X2135" s="249"/>
      <c r="Y2135" s="249"/>
      <c r="Z2135" s="249"/>
    </row>
    <row r="2136" spans="1:26" x14ac:dyDescent="0.25">
      <c r="A2136" s="249"/>
      <c r="B2136" s="249"/>
      <c r="C2136" s="249"/>
      <c r="D2136" s="249"/>
      <c r="E2136" s="249"/>
      <c r="F2136" s="249"/>
      <c r="G2136" s="249"/>
      <c r="H2136" s="249"/>
      <c r="I2136" s="258"/>
      <c r="J2136" s="249"/>
      <c r="K2136" s="249"/>
      <c r="L2136" s="249"/>
      <c r="M2136" s="259"/>
      <c r="N2136" s="249"/>
      <c r="O2136" s="249"/>
      <c r="P2136" s="249"/>
      <c r="Q2136" s="249"/>
      <c r="R2136" s="249"/>
      <c r="S2136" s="249"/>
      <c r="T2136" s="249"/>
      <c r="U2136" s="249"/>
      <c r="V2136" s="249"/>
      <c r="W2136" s="249"/>
      <c r="X2136" s="249"/>
      <c r="Y2136" s="249"/>
      <c r="Z2136" s="249"/>
    </row>
    <row r="2137" spans="1:26" x14ac:dyDescent="0.25">
      <c r="A2137" s="249"/>
      <c r="B2137" s="249"/>
      <c r="C2137" s="249"/>
      <c r="D2137" s="249"/>
      <c r="E2137" s="249"/>
      <c r="F2137" s="249"/>
      <c r="G2137" s="249"/>
      <c r="H2137" s="249"/>
      <c r="I2137" s="258"/>
      <c r="J2137" s="249"/>
      <c r="K2137" s="249"/>
      <c r="L2137" s="249"/>
      <c r="M2137" s="259"/>
      <c r="N2137" s="249"/>
      <c r="O2137" s="249"/>
      <c r="P2137" s="249"/>
      <c r="Q2137" s="249"/>
      <c r="R2137" s="249"/>
      <c r="S2137" s="249"/>
      <c r="T2137" s="249"/>
      <c r="U2137" s="249"/>
      <c r="V2137" s="249"/>
      <c r="W2137" s="249"/>
      <c r="X2137" s="249"/>
      <c r="Y2137" s="249"/>
      <c r="Z2137" s="249"/>
    </row>
    <row r="2138" spans="1:26" x14ac:dyDescent="0.25">
      <c r="A2138" s="249"/>
      <c r="B2138" s="249"/>
      <c r="C2138" s="249"/>
      <c r="D2138" s="249"/>
      <c r="E2138" s="249"/>
      <c r="F2138" s="249"/>
      <c r="G2138" s="249"/>
      <c r="H2138" s="249"/>
      <c r="I2138" s="258"/>
      <c r="J2138" s="249"/>
      <c r="K2138" s="249"/>
      <c r="L2138" s="249"/>
      <c r="M2138" s="259"/>
      <c r="N2138" s="249"/>
      <c r="O2138" s="249"/>
      <c r="P2138" s="249"/>
      <c r="Q2138" s="249"/>
      <c r="R2138" s="249"/>
      <c r="S2138" s="249"/>
      <c r="T2138" s="249"/>
      <c r="U2138" s="249"/>
      <c r="V2138" s="249"/>
      <c r="W2138" s="249"/>
      <c r="X2138" s="249"/>
      <c r="Y2138" s="249"/>
      <c r="Z2138" s="249"/>
    </row>
    <row r="2139" spans="1:26" x14ac:dyDescent="0.25">
      <c r="A2139" s="249"/>
      <c r="B2139" s="249"/>
      <c r="C2139" s="249"/>
      <c r="D2139" s="249"/>
      <c r="E2139" s="249"/>
      <c r="F2139" s="249"/>
      <c r="G2139" s="249"/>
      <c r="H2139" s="249"/>
      <c r="I2139" s="258"/>
      <c r="J2139" s="249"/>
      <c r="K2139" s="249"/>
      <c r="L2139" s="249"/>
      <c r="M2139" s="259"/>
      <c r="N2139" s="249"/>
      <c r="O2139" s="249"/>
      <c r="P2139" s="249"/>
      <c r="Q2139" s="249"/>
      <c r="R2139" s="249"/>
      <c r="S2139" s="249"/>
      <c r="T2139" s="249"/>
      <c r="U2139" s="249"/>
      <c r="V2139" s="249"/>
      <c r="W2139" s="249"/>
      <c r="X2139" s="249"/>
      <c r="Y2139" s="249"/>
      <c r="Z2139" s="249"/>
    </row>
    <row r="2140" spans="1:26" x14ac:dyDescent="0.25">
      <c r="A2140" s="249"/>
      <c r="B2140" s="249"/>
      <c r="C2140" s="249"/>
      <c r="D2140" s="249"/>
      <c r="E2140" s="249"/>
      <c r="F2140" s="249"/>
      <c r="G2140" s="249"/>
      <c r="H2140" s="249"/>
      <c r="I2140" s="258"/>
      <c r="J2140" s="249"/>
      <c r="K2140" s="249"/>
      <c r="L2140" s="249"/>
      <c r="M2140" s="259"/>
      <c r="N2140" s="249"/>
      <c r="O2140" s="249"/>
      <c r="P2140" s="249"/>
      <c r="Q2140" s="249"/>
      <c r="R2140" s="249"/>
      <c r="S2140" s="249"/>
      <c r="T2140" s="249"/>
      <c r="U2140" s="249"/>
      <c r="V2140" s="249"/>
      <c r="W2140" s="249"/>
      <c r="X2140" s="249"/>
      <c r="Y2140" s="249"/>
      <c r="Z2140" s="249"/>
    </row>
    <row r="2141" spans="1:26" x14ac:dyDescent="0.25">
      <c r="A2141" s="249"/>
      <c r="B2141" s="249"/>
      <c r="C2141" s="249"/>
      <c r="D2141" s="249"/>
      <c r="E2141" s="249"/>
      <c r="F2141" s="249"/>
      <c r="G2141" s="249"/>
      <c r="H2141" s="249"/>
      <c r="I2141" s="258"/>
      <c r="J2141" s="249"/>
      <c r="K2141" s="249"/>
      <c r="L2141" s="249"/>
      <c r="M2141" s="259"/>
      <c r="N2141" s="249"/>
      <c r="O2141" s="249"/>
      <c r="P2141" s="249"/>
      <c r="Q2141" s="249"/>
      <c r="R2141" s="249"/>
      <c r="S2141" s="249"/>
      <c r="T2141" s="249"/>
      <c r="U2141" s="249"/>
      <c r="V2141" s="249"/>
      <c r="W2141" s="249"/>
      <c r="X2141" s="249"/>
      <c r="Y2141" s="249"/>
      <c r="Z2141" s="249"/>
    </row>
    <row r="2142" spans="1:26" x14ac:dyDescent="0.25">
      <c r="A2142" s="249"/>
      <c r="B2142" s="249"/>
      <c r="C2142" s="249"/>
      <c r="D2142" s="249"/>
      <c r="E2142" s="249"/>
      <c r="F2142" s="249"/>
      <c r="G2142" s="249"/>
      <c r="H2142" s="249"/>
      <c r="I2142" s="258"/>
      <c r="J2142" s="249"/>
      <c r="K2142" s="249"/>
      <c r="L2142" s="249"/>
      <c r="M2142" s="259"/>
      <c r="N2142" s="249"/>
      <c r="O2142" s="249"/>
      <c r="P2142" s="249"/>
      <c r="Q2142" s="249"/>
      <c r="R2142" s="249"/>
      <c r="S2142" s="249"/>
      <c r="T2142" s="249"/>
      <c r="U2142" s="249"/>
      <c r="V2142" s="249"/>
      <c r="W2142" s="249"/>
      <c r="X2142" s="249"/>
      <c r="Y2142" s="249"/>
      <c r="Z2142" s="249"/>
    </row>
    <row r="2143" spans="1:26" x14ac:dyDescent="0.25">
      <c r="A2143" s="249"/>
      <c r="B2143" s="249"/>
      <c r="C2143" s="249"/>
      <c r="D2143" s="249"/>
      <c r="E2143" s="249"/>
      <c r="F2143" s="249"/>
      <c r="G2143" s="249"/>
      <c r="H2143" s="249"/>
      <c r="I2143" s="258"/>
      <c r="J2143" s="249"/>
      <c r="K2143" s="249"/>
      <c r="L2143" s="249"/>
      <c r="M2143" s="259"/>
      <c r="N2143" s="249"/>
      <c r="O2143" s="249"/>
      <c r="P2143" s="249"/>
      <c r="Q2143" s="249"/>
      <c r="R2143" s="249"/>
      <c r="S2143" s="249"/>
      <c r="T2143" s="249"/>
      <c r="U2143" s="249"/>
      <c r="V2143" s="249"/>
      <c r="W2143" s="249"/>
      <c r="X2143" s="249"/>
      <c r="Y2143" s="249"/>
      <c r="Z2143" s="249"/>
    </row>
    <row r="2144" spans="1:26" x14ac:dyDescent="0.25">
      <c r="A2144" s="249"/>
      <c r="B2144" s="249"/>
      <c r="C2144" s="249"/>
      <c r="D2144" s="249"/>
      <c r="E2144" s="249"/>
      <c r="F2144" s="249"/>
      <c r="G2144" s="249"/>
      <c r="H2144" s="249"/>
      <c r="I2144" s="258"/>
      <c r="J2144" s="249"/>
      <c r="K2144" s="249"/>
      <c r="L2144" s="249"/>
      <c r="M2144" s="259"/>
      <c r="N2144" s="249"/>
      <c r="O2144" s="249"/>
      <c r="P2144" s="249"/>
      <c r="Q2144" s="249"/>
      <c r="R2144" s="249"/>
      <c r="S2144" s="249"/>
      <c r="T2144" s="249"/>
      <c r="U2144" s="249"/>
      <c r="V2144" s="249"/>
      <c r="W2144" s="249"/>
      <c r="X2144" s="249"/>
      <c r="Y2144" s="249"/>
      <c r="Z2144" s="249"/>
    </row>
    <row r="2145" spans="1:26" x14ac:dyDescent="0.25">
      <c r="A2145" s="249"/>
      <c r="B2145" s="249"/>
      <c r="C2145" s="249"/>
      <c r="D2145" s="249"/>
      <c r="E2145" s="249"/>
      <c r="F2145" s="249"/>
      <c r="G2145" s="249"/>
      <c r="H2145" s="249"/>
      <c r="I2145" s="258"/>
      <c r="J2145" s="249"/>
      <c r="K2145" s="249"/>
      <c r="L2145" s="249"/>
      <c r="M2145" s="259"/>
      <c r="N2145" s="249"/>
      <c r="O2145" s="249"/>
      <c r="P2145" s="249"/>
      <c r="Q2145" s="249"/>
      <c r="R2145" s="249"/>
      <c r="S2145" s="249"/>
      <c r="T2145" s="249"/>
      <c r="U2145" s="249"/>
      <c r="V2145" s="249"/>
      <c r="W2145" s="249"/>
      <c r="X2145" s="249"/>
      <c r="Y2145" s="249"/>
      <c r="Z2145" s="249"/>
    </row>
    <row r="2146" spans="1:26" x14ac:dyDescent="0.25">
      <c r="A2146" s="249"/>
      <c r="B2146" s="249"/>
      <c r="C2146" s="249"/>
      <c r="D2146" s="249"/>
      <c r="E2146" s="249"/>
      <c r="F2146" s="249"/>
      <c r="G2146" s="249"/>
      <c r="H2146" s="249"/>
      <c r="I2146" s="258"/>
      <c r="J2146" s="249"/>
      <c r="K2146" s="249"/>
      <c r="L2146" s="249"/>
      <c r="M2146" s="259"/>
      <c r="N2146" s="249"/>
      <c r="O2146" s="249"/>
      <c r="P2146" s="249"/>
      <c r="Q2146" s="249"/>
      <c r="R2146" s="249"/>
      <c r="S2146" s="249"/>
      <c r="T2146" s="249"/>
      <c r="U2146" s="249"/>
      <c r="V2146" s="249"/>
      <c r="W2146" s="249"/>
      <c r="X2146" s="249"/>
      <c r="Y2146" s="249"/>
      <c r="Z2146" s="249"/>
    </row>
    <row r="2147" spans="1:26" x14ac:dyDescent="0.25">
      <c r="A2147" s="249"/>
      <c r="B2147" s="249"/>
      <c r="C2147" s="249"/>
      <c r="D2147" s="249"/>
      <c r="E2147" s="249"/>
      <c r="F2147" s="249"/>
      <c r="G2147" s="249"/>
      <c r="H2147" s="249"/>
      <c r="I2147" s="258"/>
      <c r="J2147" s="249"/>
      <c r="K2147" s="249"/>
      <c r="L2147" s="249"/>
      <c r="M2147" s="259"/>
      <c r="N2147" s="249"/>
      <c r="O2147" s="249"/>
      <c r="P2147" s="249"/>
      <c r="Q2147" s="249"/>
      <c r="R2147" s="249"/>
      <c r="S2147" s="249"/>
      <c r="T2147" s="249"/>
      <c r="U2147" s="249"/>
      <c r="V2147" s="249"/>
      <c r="W2147" s="249"/>
      <c r="X2147" s="249"/>
      <c r="Y2147" s="249"/>
      <c r="Z2147" s="249"/>
    </row>
    <row r="2148" spans="1:26" x14ac:dyDescent="0.25">
      <c r="A2148" s="249"/>
      <c r="B2148" s="249"/>
      <c r="C2148" s="249"/>
      <c r="D2148" s="249"/>
      <c r="E2148" s="249"/>
      <c r="F2148" s="249"/>
      <c r="G2148" s="249"/>
      <c r="H2148" s="249"/>
      <c r="I2148" s="258"/>
      <c r="J2148" s="249"/>
      <c r="K2148" s="249"/>
      <c r="L2148" s="249"/>
      <c r="M2148" s="259"/>
      <c r="N2148" s="249"/>
      <c r="O2148" s="249"/>
      <c r="P2148" s="249"/>
      <c r="Q2148" s="249"/>
      <c r="R2148" s="249"/>
      <c r="S2148" s="249"/>
      <c r="T2148" s="249"/>
      <c r="U2148" s="249"/>
      <c r="V2148" s="249"/>
      <c r="W2148" s="249"/>
      <c r="X2148" s="249"/>
      <c r="Y2148" s="249"/>
      <c r="Z2148" s="249"/>
    </row>
    <row r="2149" spans="1:26" x14ac:dyDescent="0.25">
      <c r="A2149" s="249"/>
      <c r="B2149" s="249"/>
      <c r="C2149" s="249"/>
      <c r="D2149" s="249"/>
      <c r="E2149" s="249"/>
      <c r="F2149" s="249"/>
      <c r="G2149" s="249"/>
      <c r="H2149" s="249"/>
      <c r="I2149" s="258"/>
      <c r="J2149" s="249"/>
      <c r="K2149" s="249"/>
      <c r="L2149" s="249"/>
      <c r="M2149" s="259"/>
      <c r="N2149" s="249"/>
      <c r="O2149" s="249"/>
      <c r="P2149" s="249"/>
      <c r="Q2149" s="249"/>
      <c r="R2149" s="249"/>
      <c r="S2149" s="249"/>
      <c r="T2149" s="249"/>
      <c r="U2149" s="249"/>
      <c r="V2149" s="249"/>
      <c r="W2149" s="249"/>
      <c r="X2149" s="249"/>
      <c r="Y2149" s="249"/>
      <c r="Z2149" s="249"/>
    </row>
    <row r="2150" spans="1:26" x14ac:dyDescent="0.25">
      <c r="A2150" s="249"/>
      <c r="B2150" s="249"/>
      <c r="C2150" s="249"/>
      <c r="D2150" s="249"/>
      <c r="E2150" s="249"/>
      <c r="F2150" s="249"/>
      <c r="G2150" s="249"/>
      <c r="H2150" s="249"/>
      <c r="I2150" s="258"/>
      <c r="J2150" s="249"/>
      <c r="K2150" s="249"/>
      <c r="L2150" s="249"/>
      <c r="M2150" s="259"/>
      <c r="N2150" s="249"/>
      <c r="O2150" s="249"/>
      <c r="P2150" s="249"/>
      <c r="Q2150" s="249"/>
      <c r="R2150" s="249"/>
      <c r="S2150" s="249"/>
      <c r="T2150" s="249"/>
      <c r="U2150" s="249"/>
      <c r="V2150" s="249"/>
      <c r="W2150" s="249"/>
      <c r="X2150" s="249"/>
      <c r="Y2150" s="249"/>
      <c r="Z2150" s="249"/>
    </row>
    <row r="2151" spans="1:26" x14ac:dyDescent="0.25">
      <c r="A2151" s="249"/>
      <c r="B2151" s="249"/>
      <c r="C2151" s="249"/>
      <c r="D2151" s="249"/>
      <c r="E2151" s="249"/>
      <c r="F2151" s="249"/>
      <c r="G2151" s="249"/>
      <c r="H2151" s="249"/>
      <c r="I2151" s="258"/>
      <c r="J2151" s="249"/>
      <c r="K2151" s="249"/>
      <c r="L2151" s="249"/>
      <c r="M2151" s="259"/>
      <c r="N2151" s="249"/>
      <c r="O2151" s="249"/>
      <c r="P2151" s="249"/>
      <c r="Q2151" s="249"/>
      <c r="R2151" s="249"/>
      <c r="S2151" s="249"/>
      <c r="T2151" s="249"/>
      <c r="U2151" s="249"/>
      <c r="V2151" s="249"/>
      <c r="W2151" s="249"/>
      <c r="X2151" s="249"/>
      <c r="Y2151" s="249"/>
      <c r="Z2151" s="249"/>
    </row>
    <row r="2152" spans="1:26" x14ac:dyDescent="0.25">
      <c r="A2152" s="249"/>
      <c r="B2152" s="249"/>
      <c r="C2152" s="249"/>
      <c r="D2152" s="249"/>
      <c r="E2152" s="249"/>
      <c r="F2152" s="249"/>
      <c r="G2152" s="249"/>
      <c r="H2152" s="249"/>
      <c r="I2152" s="258"/>
      <c r="J2152" s="249"/>
      <c r="K2152" s="249"/>
      <c r="L2152" s="249"/>
      <c r="M2152" s="259"/>
      <c r="N2152" s="249"/>
      <c r="O2152" s="249"/>
      <c r="P2152" s="249"/>
      <c r="Q2152" s="249"/>
      <c r="R2152" s="249"/>
      <c r="S2152" s="249"/>
      <c r="T2152" s="249"/>
      <c r="U2152" s="249"/>
      <c r="V2152" s="249"/>
      <c r="W2152" s="249"/>
      <c r="X2152" s="249"/>
      <c r="Y2152" s="249"/>
      <c r="Z2152" s="249"/>
    </row>
    <row r="2153" spans="1:26" x14ac:dyDescent="0.25">
      <c r="A2153" s="249"/>
      <c r="B2153" s="249"/>
      <c r="C2153" s="249"/>
      <c r="D2153" s="249"/>
      <c r="E2153" s="249"/>
      <c r="F2153" s="249"/>
      <c r="G2153" s="249"/>
      <c r="H2153" s="249"/>
      <c r="I2153" s="258"/>
      <c r="J2153" s="249"/>
      <c r="K2153" s="249"/>
      <c r="L2153" s="249"/>
      <c r="M2153" s="259"/>
      <c r="N2153" s="249"/>
      <c r="O2153" s="249"/>
      <c r="P2153" s="249"/>
      <c r="Q2153" s="249"/>
      <c r="R2153" s="249"/>
      <c r="S2153" s="249"/>
      <c r="T2153" s="249"/>
      <c r="U2153" s="249"/>
      <c r="V2153" s="249"/>
      <c r="W2153" s="249"/>
      <c r="X2153" s="249"/>
      <c r="Y2153" s="249"/>
      <c r="Z2153" s="249"/>
    </row>
    <row r="2154" spans="1:26" x14ac:dyDescent="0.25">
      <c r="A2154" s="249"/>
      <c r="B2154" s="249"/>
      <c r="C2154" s="249"/>
      <c r="D2154" s="249"/>
      <c r="E2154" s="249"/>
      <c r="F2154" s="249"/>
      <c r="G2154" s="249"/>
      <c r="H2154" s="249"/>
      <c r="I2154" s="258"/>
      <c r="J2154" s="249"/>
      <c r="K2154" s="249"/>
      <c r="L2154" s="249"/>
      <c r="M2154" s="259"/>
      <c r="N2154" s="249"/>
      <c r="O2154" s="249"/>
      <c r="P2154" s="249"/>
      <c r="Q2154" s="249"/>
      <c r="R2154" s="249"/>
      <c r="S2154" s="249"/>
      <c r="T2154" s="249"/>
      <c r="U2154" s="249"/>
      <c r="V2154" s="249"/>
      <c r="W2154" s="249"/>
      <c r="X2154" s="249"/>
      <c r="Y2154" s="249"/>
      <c r="Z2154" s="249"/>
    </row>
    <row r="2155" spans="1:26" x14ac:dyDescent="0.25">
      <c r="A2155" s="249"/>
      <c r="B2155" s="249"/>
      <c r="C2155" s="249"/>
      <c r="D2155" s="249"/>
      <c r="E2155" s="249"/>
      <c r="F2155" s="249"/>
      <c r="G2155" s="249"/>
      <c r="H2155" s="249"/>
      <c r="I2155" s="258"/>
      <c r="J2155" s="249"/>
      <c r="K2155" s="249"/>
      <c r="L2155" s="249"/>
      <c r="M2155" s="259"/>
      <c r="N2155" s="249"/>
      <c r="O2155" s="249"/>
      <c r="P2155" s="249"/>
      <c r="Q2155" s="249"/>
      <c r="R2155" s="249"/>
      <c r="S2155" s="249"/>
      <c r="T2155" s="249"/>
      <c r="U2155" s="249"/>
      <c r="V2155" s="249"/>
      <c r="W2155" s="249"/>
      <c r="X2155" s="249"/>
      <c r="Y2155" s="249"/>
      <c r="Z2155" s="249"/>
    </row>
    <row r="2156" spans="1:26" x14ac:dyDescent="0.25">
      <c r="A2156" s="249"/>
      <c r="B2156" s="249"/>
      <c r="C2156" s="249"/>
      <c r="D2156" s="249"/>
      <c r="E2156" s="249"/>
      <c r="F2156" s="249"/>
      <c r="G2156" s="249"/>
      <c r="H2156" s="249"/>
      <c r="I2156" s="258"/>
      <c r="J2156" s="249"/>
      <c r="K2156" s="249"/>
      <c r="L2156" s="249"/>
      <c r="M2156" s="259"/>
      <c r="N2156" s="249"/>
      <c r="O2156" s="249"/>
      <c r="P2156" s="249"/>
      <c r="Q2156" s="249"/>
      <c r="R2156" s="249"/>
      <c r="S2156" s="249"/>
      <c r="T2156" s="249"/>
      <c r="U2156" s="249"/>
      <c r="V2156" s="249"/>
      <c r="W2156" s="249"/>
      <c r="X2156" s="249"/>
      <c r="Y2156" s="249"/>
      <c r="Z2156" s="249"/>
    </row>
    <row r="2157" spans="1:26" x14ac:dyDescent="0.25">
      <c r="A2157" s="249"/>
      <c r="B2157" s="249"/>
      <c r="C2157" s="249"/>
      <c r="D2157" s="249"/>
      <c r="E2157" s="249"/>
      <c r="F2157" s="249"/>
      <c r="G2157" s="249"/>
      <c r="H2157" s="249"/>
      <c r="I2157" s="258"/>
      <c r="J2157" s="249"/>
      <c r="K2157" s="249"/>
      <c r="L2157" s="249"/>
      <c r="M2157" s="259"/>
      <c r="N2157" s="249"/>
      <c r="O2157" s="249"/>
      <c r="P2157" s="249"/>
      <c r="Q2157" s="249"/>
      <c r="R2157" s="249"/>
      <c r="S2157" s="249"/>
      <c r="T2157" s="249"/>
      <c r="U2157" s="249"/>
      <c r="V2157" s="249"/>
      <c r="W2157" s="249"/>
      <c r="X2157" s="249"/>
      <c r="Y2157" s="249"/>
      <c r="Z2157" s="249"/>
    </row>
    <row r="2158" spans="1:26" x14ac:dyDescent="0.25">
      <c r="A2158" s="249"/>
      <c r="B2158" s="249"/>
      <c r="C2158" s="249"/>
      <c r="D2158" s="249"/>
      <c r="E2158" s="249"/>
      <c r="F2158" s="249"/>
      <c r="G2158" s="249"/>
      <c r="H2158" s="249"/>
      <c r="I2158" s="258"/>
      <c r="J2158" s="249"/>
      <c r="K2158" s="249"/>
      <c r="L2158" s="249"/>
      <c r="M2158" s="259"/>
      <c r="N2158" s="249"/>
      <c r="O2158" s="249"/>
      <c r="P2158" s="249"/>
      <c r="Q2158" s="249"/>
      <c r="R2158" s="249"/>
      <c r="S2158" s="249"/>
      <c r="T2158" s="249"/>
      <c r="U2158" s="249"/>
      <c r="V2158" s="249"/>
      <c r="W2158" s="249"/>
      <c r="X2158" s="249"/>
      <c r="Y2158" s="249"/>
      <c r="Z2158" s="249"/>
    </row>
    <row r="2159" spans="1:26" x14ac:dyDescent="0.25">
      <c r="A2159" s="249"/>
      <c r="B2159" s="249"/>
      <c r="C2159" s="249"/>
      <c r="D2159" s="249"/>
      <c r="E2159" s="249"/>
      <c r="F2159" s="249"/>
      <c r="G2159" s="249"/>
      <c r="H2159" s="249"/>
      <c r="I2159" s="258"/>
      <c r="J2159" s="249"/>
      <c r="K2159" s="249"/>
      <c r="L2159" s="249"/>
      <c r="M2159" s="259"/>
      <c r="N2159" s="249"/>
      <c r="O2159" s="249"/>
      <c r="P2159" s="249"/>
      <c r="Q2159" s="249"/>
      <c r="R2159" s="249"/>
      <c r="S2159" s="249"/>
      <c r="T2159" s="249"/>
      <c r="U2159" s="249"/>
      <c r="V2159" s="249"/>
      <c r="W2159" s="249"/>
      <c r="X2159" s="249"/>
      <c r="Y2159" s="249"/>
      <c r="Z2159" s="249"/>
    </row>
    <row r="2160" spans="1:26" x14ac:dyDescent="0.25">
      <c r="A2160" s="249"/>
      <c r="B2160" s="249"/>
      <c r="C2160" s="249"/>
      <c r="D2160" s="249"/>
      <c r="E2160" s="249"/>
      <c r="F2160" s="249"/>
      <c r="G2160" s="249"/>
      <c r="H2160" s="249"/>
      <c r="I2160" s="258"/>
      <c r="J2160" s="249"/>
      <c r="K2160" s="249"/>
      <c r="L2160" s="249"/>
      <c r="M2160" s="259"/>
      <c r="N2160" s="249"/>
      <c r="O2160" s="249"/>
      <c r="P2160" s="249"/>
      <c r="Q2160" s="249"/>
      <c r="R2160" s="249"/>
      <c r="S2160" s="249"/>
      <c r="T2160" s="249"/>
      <c r="U2160" s="249"/>
      <c r="V2160" s="249"/>
      <c r="W2160" s="249"/>
      <c r="X2160" s="249"/>
      <c r="Y2160" s="249"/>
      <c r="Z2160" s="249"/>
    </row>
    <row r="2161" spans="1:26" x14ac:dyDescent="0.25">
      <c r="A2161" s="249"/>
      <c r="B2161" s="249"/>
      <c r="C2161" s="249"/>
      <c r="D2161" s="249"/>
      <c r="E2161" s="249"/>
      <c r="F2161" s="249"/>
      <c r="G2161" s="249"/>
      <c r="H2161" s="249"/>
      <c r="I2161" s="258"/>
      <c r="J2161" s="249"/>
      <c r="K2161" s="249"/>
      <c r="L2161" s="249"/>
      <c r="M2161" s="259"/>
      <c r="N2161" s="249"/>
      <c r="O2161" s="249"/>
      <c r="P2161" s="249"/>
      <c r="Q2161" s="249"/>
      <c r="R2161" s="249"/>
      <c r="S2161" s="249"/>
      <c r="T2161" s="249"/>
      <c r="U2161" s="249"/>
      <c r="V2161" s="249"/>
      <c r="W2161" s="249"/>
      <c r="X2161" s="249"/>
      <c r="Y2161" s="249"/>
      <c r="Z2161" s="249"/>
    </row>
    <row r="2162" spans="1:26" x14ac:dyDescent="0.25">
      <c r="A2162" s="249"/>
      <c r="B2162" s="249"/>
      <c r="C2162" s="249"/>
      <c r="D2162" s="249"/>
      <c r="E2162" s="249"/>
      <c r="F2162" s="249"/>
      <c r="G2162" s="249"/>
      <c r="H2162" s="249"/>
      <c r="I2162" s="258"/>
      <c r="J2162" s="249"/>
      <c r="K2162" s="249"/>
      <c r="L2162" s="249"/>
      <c r="M2162" s="259"/>
      <c r="N2162" s="249"/>
      <c r="O2162" s="249"/>
      <c r="P2162" s="249"/>
      <c r="Q2162" s="249"/>
      <c r="R2162" s="249"/>
      <c r="S2162" s="249"/>
      <c r="T2162" s="249"/>
      <c r="U2162" s="249"/>
      <c r="V2162" s="249"/>
      <c r="W2162" s="249"/>
      <c r="X2162" s="249"/>
      <c r="Y2162" s="249"/>
      <c r="Z2162" s="249"/>
    </row>
    <row r="2163" spans="1:26" x14ac:dyDescent="0.25">
      <c r="A2163" s="249"/>
      <c r="B2163" s="249"/>
      <c r="C2163" s="249"/>
      <c r="D2163" s="249"/>
      <c r="E2163" s="249"/>
      <c r="F2163" s="249"/>
      <c r="G2163" s="249"/>
      <c r="H2163" s="249"/>
      <c r="I2163" s="258"/>
      <c r="J2163" s="249"/>
      <c r="K2163" s="249"/>
      <c r="L2163" s="249"/>
      <c r="M2163" s="259"/>
      <c r="N2163" s="249"/>
      <c r="O2163" s="249"/>
      <c r="P2163" s="249"/>
      <c r="Q2163" s="249"/>
      <c r="R2163" s="249"/>
      <c r="S2163" s="249"/>
      <c r="T2163" s="249"/>
      <c r="U2163" s="249"/>
      <c r="V2163" s="249"/>
      <c r="W2163" s="249"/>
      <c r="X2163" s="249"/>
      <c r="Y2163" s="249"/>
      <c r="Z2163" s="249"/>
    </row>
    <row r="2164" spans="1:26" x14ac:dyDescent="0.25">
      <c r="A2164" s="249"/>
      <c r="B2164" s="249"/>
      <c r="C2164" s="249"/>
      <c r="D2164" s="249"/>
      <c r="E2164" s="249"/>
      <c r="F2164" s="249"/>
      <c r="G2164" s="249"/>
      <c r="H2164" s="249"/>
      <c r="I2164" s="258"/>
      <c r="J2164" s="249"/>
      <c r="K2164" s="249"/>
      <c r="L2164" s="249"/>
      <c r="M2164" s="259"/>
      <c r="N2164" s="249"/>
      <c r="O2164" s="249"/>
      <c r="P2164" s="249"/>
      <c r="Q2164" s="249"/>
      <c r="R2164" s="249"/>
      <c r="S2164" s="249"/>
      <c r="T2164" s="249"/>
      <c r="U2164" s="249"/>
      <c r="V2164" s="249"/>
      <c r="W2164" s="249"/>
      <c r="X2164" s="249"/>
      <c r="Y2164" s="249"/>
      <c r="Z2164" s="249"/>
    </row>
    <row r="2165" spans="1:26" x14ac:dyDescent="0.25">
      <c r="A2165" s="249"/>
      <c r="B2165" s="249"/>
      <c r="C2165" s="249"/>
      <c r="D2165" s="249"/>
      <c r="E2165" s="249"/>
      <c r="F2165" s="249"/>
      <c r="G2165" s="249"/>
      <c r="H2165" s="249"/>
      <c r="I2165" s="258"/>
      <c r="J2165" s="249"/>
      <c r="K2165" s="249"/>
      <c r="L2165" s="249"/>
      <c r="M2165" s="259"/>
      <c r="N2165" s="249"/>
      <c r="O2165" s="249"/>
      <c r="P2165" s="249"/>
      <c r="Q2165" s="249"/>
      <c r="R2165" s="249"/>
      <c r="S2165" s="249"/>
      <c r="T2165" s="249"/>
      <c r="U2165" s="249"/>
      <c r="V2165" s="249"/>
      <c r="W2165" s="249"/>
      <c r="X2165" s="249"/>
      <c r="Y2165" s="249"/>
      <c r="Z2165" s="249"/>
    </row>
    <row r="2166" spans="1:26" x14ac:dyDescent="0.25">
      <c r="A2166" s="249"/>
      <c r="B2166" s="249"/>
      <c r="C2166" s="249"/>
      <c r="D2166" s="249"/>
      <c r="E2166" s="249"/>
      <c r="F2166" s="249"/>
      <c r="G2166" s="249"/>
      <c r="H2166" s="249"/>
      <c r="I2166" s="258"/>
      <c r="J2166" s="249"/>
      <c r="K2166" s="249"/>
      <c r="L2166" s="249"/>
      <c r="M2166" s="259"/>
      <c r="N2166" s="249"/>
      <c r="O2166" s="249"/>
      <c r="P2166" s="249"/>
      <c r="Q2166" s="249"/>
      <c r="R2166" s="249"/>
      <c r="S2166" s="249"/>
      <c r="T2166" s="249"/>
      <c r="U2166" s="249"/>
      <c r="V2166" s="249"/>
      <c r="W2166" s="249"/>
      <c r="X2166" s="249"/>
      <c r="Y2166" s="249"/>
      <c r="Z2166" s="249"/>
    </row>
    <row r="2167" spans="1:26" x14ac:dyDescent="0.25">
      <c r="A2167" s="249"/>
      <c r="B2167" s="249"/>
      <c r="C2167" s="249"/>
      <c r="D2167" s="249"/>
      <c r="E2167" s="249"/>
      <c r="F2167" s="249"/>
      <c r="G2167" s="249"/>
      <c r="H2167" s="249"/>
      <c r="I2167" s="258"/>
      <c r="J2167" s="249"/>
      <c r="K2167" s="249"/>
      <c r="L2167" s="249"/>
      <c r="M2167" s="259"/>
      <c r="N2167" s="249"/>
      <c r="O2167" s="249"/>
      <c r="P2167" s="249"/>
      <c r="Q2167" s="249"/>
      <c r="R2167" s="249"/>
      <c r="S2167" s="249"/>
      <c r="T2167" s="249"/>
      <c r="U2167" s="249"/>
      <c r="V2167" s="249"/>
      <c r="W2167" s="249"/>
      <c r="X2167" s="249"/>
      <c r="Y2167" s="249"/>
      <c r="Z2167" s="249"/>
    </row>
    <row r="2168" spans="1:26" x14ac:dyDescent="0.25">
      <c r="A2168" s="249"/>
      <c r="B2168" s="249"/>
      <c r="C2168" s="249"/>
      <c r="D2168" s="249"/>
      <c r="E2168" s="249"/>
      <c r="F2168" s="249"/>
      <c r="G2168" s="249"/>
      <c r="H2168" s="249"/>
      <c r="I2168" s="258"/>
      <c r="J2168" s="249"/>
      <c r="K2168" s="249"/>
      <c r="L2168" s="249"/>
      <c r="M2168" s="259"/>
      <c r="N2168" s="249"/>
      <c r="O2168" s="249"/>
      <c r="P2168" s="249"/>
      <c r="Q2168" s="249"/>
      <c r="R2168" s="249"/>
      <c r="S2168" s="249"/>
      <c r="T2168" s="249"/>
      <c r="U2168" s="249"/>
      <c r="V2168" s="249"/>
      <c r="W2168" s="249"/>
      <c r="X2168" s="249"/>
      <c r="Y2168" s="249"/>
      <c r="Z2168" s="249"/>
    </row>
    <row r="2169" spans="1:26" x14ac:dyDescent="0.25">
      <c r="A2169" s="249"/>
      <c r="B2169" s="249"/>
      <c r="C2169" s="249"/>
      <c r="D2169" s="249"/>
      <c r="E2169" s="249"/>
      <c r="F2169" s="249"/>
      <c r="G2169" s="249"/>
      <c r="H2169" s="249"/>
      <c r="I2169" s="258"/>
      <c r="J2169" s="249"/>
      <c r="K2169" s="249"/>
      <c r="L2169" s="249"/>
      <c r="M2169" s="259"/>
      <c r="N2169" s="249"/>
      <c r="O2169" s="249"/>
      <c r="P2169" s="249"/>
      <c r="Q2169" s="249"/>
      <c r="R2169" s="249"/>
      <c r="S2169" s="249"/>
      <c r="T2169" s="249"/>
      <c r="U2169" s="249"/>
      <c r="V2169" s="249"/>
      <c r="W2169" s="249"/>
      <c r="X2169" s="249"/>
      <c r="Y2169" s="249"/>
      <c r="Z2169" s="249"/>
    </row>
    <row r="2170" spans="1:26" x14ac:dyDescent="0.25">
      <c r="A2170" s="249"/>
      <c r="B2170" s="249"/>
      <c r="C2170" s="249"/>
      <c r="D2170" s="249"/>
      <c r="E2170" s="249"/>
      <c r="F2170" s="249"/>
      <c r="G2170" s="249"/>
      <c r="H2170" s="249"/>
      <c r="I2170" s="258"/>
      <c r="J2170" s="249"/>
      <c r="K2170" s="249"/>
      <c r="L2170" s="249"/>
      <c r="M2170" s="259"/>
      <c r="N2170" s="249"/>
      <c r="O2170" s="249"/>
      <c r="P2170" s="249"/>
      <c r="Q2170" s="249"/>
      <c r="R2170" s="249"/>
      <c r="S2170" s="249"/>
      <c r="T2170" s="249"/>
      <c r="U2170" s="249"/>
      <c r="V2170" s="249"/>
      <c r="W2170" s="249"/>
      <c r="X2170" s="249"/>
      <c r="Y2170" s="249"/>
      <c r="Z2170" s="249"/>
    </row>
    <row r="2171" spans="1:26" x14ac:dyDescent="0.25">
      <c r="A2171" s="249"/>
      <c r="B2171" s="249"/>
      <c r="C2171" s="249"/>
      <c r="D2171" s="249"/>
      <c r="E2171" s="249"/>
      <c r="F2171" s="249"/>
      <c r="G2171" s="249"/>
      <c r="H2171" s="249"/>
      <c r="I2171" s="258"/>
      <c r="J2171" s="249"/>
      <c r="K2171" s="249"/>
      <c r="L2171" s="249"/>
      <c r="M2171" s="259"/>
      <c r="N2171" s="249"/>
      <c r="O2171" s="249"/>
      <c r="P2171" s="249"/>
      <c r="Q2171" s="249"/>
      <c r="R2171" s="249"/>
      <c r="S2171" s="249"/>
      <c r="T2171" s="249"/>
      <c r="U2171" s="249"/>
      <c r="V2171" s="249"/>
      <c r="W2171" s="249"/>
      <c r="X2171" s="249"/>
      <c r="Y2171" s="249"/>
      <c r="Z2171" s="249"/>
    </row>
    <row r="2172" spans="1:26" x14ac:dyDescent="0.25">
      <c r="A2172" s="249"/>
      <c r="B2172" s="249"/>
      <c r="C2172" s="249"/>
      <c r="D2172" s="249"/>
      <c r="E2172" s="249"/>
      <c r="F2172" s="249"/>
      <c r="G2172" s="249"/>
      <c r="H2172" s="249"/>
      <c r="I2172" s="258"/>
      <c r="J2172" s="249"/>
      <c r="K2172" s="249"/>
      <c r="L2172" s="249"/>
      <c r="M2172" s="259"/>
      <c r="N2172" s="249"/>
      <c r="O2172" s="249"/>
      <c r="P2172" s="249"/>
      <c r="Q2172" s="249"/>
      <c r="R2172" s="249"/>
      <c r="S2172" s="249"/>
      <c r="T2172" s="249"/>
      <c r="U2172" s="249"/>
      <c r="V2172" s="249"/>
      <c r="W2172" s="249"/>
      <c r="X2172" s="249"/>
      <c r="Y2172" s="249"/>
      <c r="Z2172" s="249"/>
    </row>
    <row r="2173" spans="1:26" x14ac:dyDescent="0.25">
      <c r="A2173" s="249"/>
      <c r="B2173" s="249"/>
      <c r="C2173" s="249"/>
      <c r="D2173" s="249"/>
      <c r="E2173" s="249"/>
      <c r="F2173" s="249"/>
      <c r="G2173" s="249"/>
      <c r="H2173" s="249"/>
      <c r="I2173" s="258"/>
      <c r="J2173" s="249"/>
      <c r="K2173" s="249"/>
      <c r="L2173" s="249"/>
      <c r="M2173" s="259"/>
      <c r="N2173" s="249"/>
      <c r="O2173" s="249"/>
      <c r="P2173" s="249"/>
      <c r="Q2173" s="249"/>
      <c r="R2173" s="249"/>
      <c r="S2173" s="249"/>
      <c r="T2173" s="249"/>
      <c r="U2173" s="249"/>
      <c r="V2173" s="249"/>
      <c r="W2173" s="249"/>
      <c r="X2173" s="249"/>
      <c r="Y2173" s="249"/>
      <c r="Z2173" s="249"/>
    </row>
    <row r="2174" spans="1:26" x14ac:dyDescent="0.25">
      <c r="A2174" s="249"/>
      <c r="B2174" s="249"/>
      <c r="C2174" s="249"/>
      <c r="D2174" s="249"/>
      <c r="E2174" s="249"/>
      <c r="F2174" s="249"/>
      <c r="G2174" s="249"/>
      <c r="H2174" s="249"/>
      <c r="I2174" s="258"/>
      <c r="J2174" s="249"/>
      <c r="K2174" s="249"/>
      <c r="L2174" s="249"/>
      <c r="M2174" s="259"/>
      <c r="N2174" s="249"/>
      <c r="O2174" s="249"/>
      <c r="P2174" s="249"/>
      <c r="Q2174" s="249"/>
      <c r="R2174" s="249"/>
      <c r="S2174" s="249"/>
      <c r="T2174" s="249"/>
      <c r="U2174" s="249"/>
      <c r="V2174" s="249"/>
      <c r="W2174" s="249"/>
      <c r="X2174" s="249"/>
      <c r="Y2174" s="249"/>
      <c r="Z2174" s="249"/>
    </row>
    <row r="2175" spans="1:26" x14ac:dyDescent="0.25">
      <c r="A2175" s="249"/>
      <c r="B2175" s="249"/>
      <c r="C2175" s="249"/>
      <c r="D2175" s="249"/>
      <c r="E2175" s="249"/>
      <c r="F2175" s="249"/>
      <c r="G2175" s="249"/>
      <c r="H2175" s="249"/>
      <c r="I2175" s="258"/>
      <c r="J2175" s="249"/>
      <c r="K2175" s="249"/>
      <c r="L2175" s="249"/>
      <c r="M2175" s="259"/>
      <c r="N2175" s="249"/>
      <c r="O2175" s="249"/>
      <c r="P2175" s="249"/>
      <c r="Q2175" s="249"/>
      <c r="R2175" s="249"/>
      <c r="S2175" s="249"/>
      <c r="T2175" s="249"/>
      <c r="U2175" s="249"/>
      <c r="V2175" s="249"/>
      <c r="W2175" s="249"/>
      <c r="X2175" s="249"/>
      <c r="Y2175" s="249"/>
      <c r="Z2175" s="249"/>
    </row>
    <row r="2176" spans="1:26" x14ac:dyDescent="0.25">
      <c r="A2176" s="249"/>
      <c r="B2176" s="249"/>
      <c r="C2176" s="249"/>
      <c r="D2176" s="249"/>
      <c r="E2176" s="249"/>
      <c r="F2176" s="249"/>
      <c r="G2176" s="249"/>
      <c r="H2176" s="249"/>
      <c r="I2176" s="258"/>
      <c r="J2176" s="249"/>
      <c r="K2176" s="249"/>
      <c r="L2176" s="249"/>
      <c r="M2176" s="259"/>
      <c r="N2176" s="249"/>
      <c r="O2176" s="249"/>
      <c r="P2176" s="249"/>
      <c r="Q2176" s="249"/>
      <c r="R2176" s="249"/>
      <c r="S2176" s="249"/>
      <c r="T2176" s="249"/>
      <c r="U2176" s="249"/>
      <c r="V2176" s="249"/>
      <c r="W2176" s="249"/>
      <c r="X2176" s="249"/>
      <c r="Y2176" s="249"/>
      <c r="Z2176" s="249"/>
    </row>
    <row r="2177" spans="1:26" x14ac:dyDescent="0.25">
      <c r="A2177" s="249"/>
      <c r="B2177" s="249"/>
      <c r="C2177" s="249"/>
      <c r="D2177" s="249"/>
      <c r="E2177" s="249"/>
      <c r="F2177" s="249"/>
      <c r="G2177" s="249"/>
      <c r="H2177" s="249"/>
      <c r="I2177" s="258"/>
      <c r="J2177" s="249"/>
      <c r="K2177" s="249"/>
      <c r="L2177" s="249"/>
      <c r="M2177" s="259"/>
      <c r="N2177" s="249"/>
      <c r="O2177" s="249"/>
      <c r="P2177" s="249"/>
      <c r="Q2177" s="249"/>
      <c r="R2177" s="249"/>
      <c r="S2177" s="249"/>
      <c r="T2177" s="249"/>
      <c r="U2177" s="249"/>
      <c r="V2177" s="249"/>
      <c r="W2177" s="249"/>
      <c r="X2177" s="249"/>
      <c r="Y2177" s="249"/>
      <c r="Z2177" s="249"/>
    </row>
    <row r="2178" spans="1:26" x14ac:dyDescent="0.25">
      <c r="A2178" s="249"/>
      <c r="B2178" s="249"/>
      <c r="C2178" s="249"/>
      <c r="D2178" s="249"/>
      <c r="E2178" s="249"/>
      <c r="F2178" s="249"/>
      <c r="G2178" s="249"/>
      <c r="H2178" s="249"/>
      <c r="I2178" s="258"/>
      <c r="J2178" s="249"/>
      <c r="K2178" s="249"/>
      <c r="L2178" s="249"/>
      <c r="M2178" s="259"/>
      <c r="N2178" s="249"/>
      <c r="O2178" s="249"/>
      <c r="P2178" s="249"/>
      <c r="Q2178" s="249"/>
      <c r="R2178" s="249"/>
      <c r="S2178" s="249"/>
      <c r="T2178" s="249"/>
      <c r="U2178" s="249"/>
      <c r="V2178" s="249"/>
      <c r="W2178" s="249"/>
      <c r="X2178" s="249"/>
      <c r="Y2178" s="249"/>
      <c r="Z2178" s="249"/>
    </row>
    <row r="2179" spans="1:26" x14ac:dyDescent="0.25">
      <c r="A2179" s="249"/>
      <c r="B2179" s="249"/>
      <c r="C2179" s="249"/>
      <c r="D2179" s="249"/>
      <c r="E2179" s="249"/>
      <c r="F2179" s="249"/>
      <c r="G2179" s="249"/>
      <c r="H2179" s="249"/>
      <c r="I2179" s="258"/>
      <c r="J2179" s="249"/>
      <c r="K2179" s="249"/>
      <c r="L2179" s="249"/>
      <c r="M2179" s="259"/>
      <c r="N2179" s="249"/>
      <c r="O2179" s="249"/>
      <c r="P2179" s="249"/>
      <c r="Q2179" s="249"/>
      <c r="R2179" s="249"/>
      <c r="S2179" s="249"/>
      <c r="T2179" s="249"/>
      <c r="U2179" s="249"/>
      <c r="V2179" s="249"/>
      <c r="W2179" s="249"/>
      <c r="X2179" s="249"/>
      <c r="Y2179" s="249"/>
      <c r="Z2179" s="249"/>
    </row>
    <row r="2180" spans="1:26" x14ac:dyDescent="0.25">
      <c r="A2180" s="249"/>
      <c r="B2180" s="249"/>
      <c r="C2180" s="249"/>
      <c r="D2180" s="249"/>
      <c r="E2180" s="249"/>
      <c r="F2180" s="249"/>
      <c r="G2180" s="249"/>
      <c r="H2180" s="249"/>
      <c r="I2180" s="258"/>
      <c r="J2180" s="249"/>
      <c r="K2180" s="249"/>
      <c r="L2180" s="249"/>
      <c r="M2180" s="259"/>
      <c r="N2180" s="249"/>
      <c r="O2180" s="249"/>
      <c r="P2180" s="249"/>
      <c r="Q2180" s="249"/>
      <c r="R2180" s="249"/>
      <c r="S2180" s="249"/>
      <c r="T2180" s="249"/>
      <c r="U2180" s="249"/>
      <c r="V2180" s="249"/>
      <c r="W2180" s="249"/>
      <c r="X2180" s="249"/>
      <c r="Y2180" s="249"/>
      <c r="Z2180" s="249"/>
    </row>
    <row r="2181" spans="1:26" x14ac:dyDescent="0.25">
      <c r="A2181" s="249"/>
      <c r="B2181" s="249"/>
      <c r="C2181" s="249"/>
      <c r="D2181" s="249"/>
      <c r="E2181" s="249"/>
      <c r="F2181" s="249"/>
      <c r="G2181" s="249"/>
      <c r="H2181" s="249"/>
      <c r="I2181" s="258"/>
      <c r="J2181" s="249"/>
      <c r="K2181" s="249"/>
      <c r="L2181" s="249"/>
      <c r="M2181" s="259"/>
      <c r="N2181" s="249"/>
      <c r="O2181" s="249"/>
      <c r="P2181" s="249"/>
      <c r="Q2181" s="249"/>
      <c r="R2181" s="249"/>
      <c r="S2181" s="249"/>
      <c r="T2181" s="249"/>
      <c r="U2181" s="249"/>
      <c r="V2181" s="249"/>
      <c r="W2181" s="249"/>
      <c r="X2181" s="249"/>
      <c r="Y2181" s="249"/>
      <c r="Z2181" s="249"/>
    </row>
    <row r="2182" spans="1:26" x14ac:dyDescent="0.25">
      <c r="A2182" s="249"/>
      <c r="B2182" s="249"/>
      <c r="C2182" s="249"/>
      <c r="D2182" s="249"/>
      <c r="E2182" s="249"/>
      <c r="F2182" s="249"/>
      <c r="G2182" s="249"/>
      <c r="H2182" s="249"/>
      <c r="I2182" s="258"/>
      <c r="J2182" s="249"/>
      <c r="K2182" s="249"/>
      <c r="L2182" s="249"/>
      <c r="M2182" s="259"/>
      <c r="N2182" s="249"/>
      <c r="O2182" s="249"/>
      <c r="P2182" s="249"/>
      <c r="Q2182" s="249"/>
      <c r="R2182" s="249"/>
      <c r="S2182" s="249"/>
      <c r="T2182" s="249"/>
      <c r="U2182" s="249"/>
      <c r="V2182" s="249"/>
      <c r="W2182" s="249"/>
      <c r="X2182" s="249"/>
      <c r="Y2182" s="249"/>
      <c r="Z2182" s="249"/>
    </row>
    <row r="2183" spans="1:26" x14ac:dyDescent="0.25">
      <c r="A2183" s="249"/>
      <c r="B2183" s="249"/>
      <c r="C2183" s="249"/>
      <c r="D2183" s="249"/>
      <c r="E2183" s="249"/>
      <c r="F2183" s="249"/>
      <c r="G2183" s="249"/>
      <c r="H2183" s="249"/>
      <c r="I2183" s="258"/>
      <c r="J2183" s="249"/>
      <c r="K2183" s="249"/>
      <c r="L2183" s="249"/>
      <c r="M2183" s="259"/>
      <c r="N2183" s="249"/>
      <c r="O2183" s="249"/>
      <c r="P2183" s="249"/>
      <c r="Q2183" s="249"/>
      <c r="R2183" s="249"/>
      <c r="S2183" s="249"/>
      <c r="T2183" s="249"/>
      <c r="U2183" s="249"/>
      <c r="V2183" s="249"/>
      <c r="W2183" s="249"/>
      <c r="X2183" s="249"/>
      <c r="Y2183" s="249"/>
      <c r="Z2183" s="249"/>
    </row>
    <row r="2184" spans="1:26" x14ac:dyDescent="0.25">
      <c r="A2184" s="249"/>
      <c r="B2184" s="249"/>
      <c r="C2184" s="249"/>
      <c r="D2184" s="249"/>
      <c r="E2184" s="249"/>
      <c r="F2184" s="249"/>
      <c r="G2184" s="249"/>
      <c r="H2184" s="249"/>
      <c r="I2184" s="258"/>
      <c r="J2184" s="249"/>
      <c r="K2184" s="249"/>
      <c r="L2184" s="249"/>
      <c r="M2184" s="259"/>
      <c r="N2184" s="249"/>
      <c r="O2184" s="249"/>
      <c r="P2184" s="249"/>
      <c r="Q2184" s="249"/>
      <c r="R2184" s="249"/>
      <c r="S2184" s="249"/>
      <c r="T2184" s="249"/>
      <c r="U2184" s="249"/>
      <c r="V2184" s="249"/>
      <c r="W2184" s="249"/>
      <c r="X2184" s="249"/>
      <c r="Y2184" s="249"/>
      <c r="Z2184" s="249"/>
    </row>
    <row r="2185" spans="1:26" x14ac:dyDescent="0.25">
      <c r="A2185" s="249"/>
      <c r="B2185" s="249"/>
      <c r="C2185" s="249"/>
      <c r="D2185" s="249"/>
      <c r="E2185" s="249"/>
      <c r="F2185" s="249"/>
      <c r="G2185" s="249"/>
      <c r="H2185" s="249"/>
      <c r="I2185" s="258"/>
      <c r="J2185" s="249"/>
      <c r="K2185" s="249"/>
      <c r="L2185" s="249"/>
      <c r="M2185" s="259"/>
      <c r="N2185" s="249"/>
      <c r="O2185" s="249"/>
      <c r="P2185" s="249"/>
      <c r="Q2185" s="249"/>
      <c r="R2185" s="249"/>
      <c r="S2185" s="249"/>
      <c r="T2185" s="249"/>
      <c r="U2185" s="249"/>
      <c r="V2185" s="249"/>
      <c r="W2185" s="249"/>
      <c r="X2185" s="249"/>
      <c r="Y2185" s="249"/>
      <c r="Z2185" s="249"/>
    </row>
    <row r="2186" spans="1:26" x14ac:dyDescent="0.25">
      <c r="A2186" s="249"/>
      <c r="B2186" s="249"/>
      <c r="C2186" s="249"/>
      <c r="D2186" s="249"/>
      <c r="E2186" s="249"/>
      <c r="F2186" s="249"/>
      <c r="G2186" s="249"/>
      <c r="H2186" s="249"/>
      <c r="I2186" s="258"/>
      <c r="J2186" s="249"/>
      <c r="K2186" s="249"/>
      <c r="L2186" s="249"/>
      <c r="M2186" s="259"/>
      <c r="N2186" s="249"/>
      <c r="O2186" s="249"/>
      <c r="P2186" s="249"/>
      <c r="Q2186" s="249"/>
      <c r="R2186" s="249"/>
      <c r="S2186" s="249"/>
      <c r="T2186" s="249"/>
      <c r="U2186" s="249"/>
      <c r="V2186" s="249"/>
      <c r="W2186" s="249"/>
      <c r="X2186" s="249"/>
      <c r="Y2186" s="249"/>
      <c r="Z2186" s="249"/>
    </row>
    <row r="2187" spans="1:26" x14ac:dyDescent="0.25">
      <c r="A2187" s="249"/>
      <c r="B2187" s="249"/>
      <c r="C2187" s="249"/>
      <c r="D2187" s="249"/>
      <c r="E2187" s="249"/>
      <c r="F2187" s="249"/>
      <c r="G2187" s="249"/>
      <c r="H2187" s="249"/>
      <c r="I2187" s="258"/>
      <c r="J2187" s="249"/>
      <c r="K2187" s="249"/>
      <c r="L2187" s="249"/>
      <c r="M2187" s="259"/>
      <c r="N2187" s="249"/>
      <c r="O2187" s="249"/>
      <c r="P2187" s="249"/>
      <c r="Q2187" s="249"/>
      <c r="R2187" s="249"/>
      <c r="S2187" s="249"/>
      <c r="T2187" s="249"/>
      <c r="U2187" s="249"/>
      <c r="V2187" s="249"/>
      <c r="W2187" s="249"/>
      <c r="X2187" s="249"/>
      <c r="Y2187" s="249"/>
      <c r="Z2187" s="249"/>
    </row>
    <row r="2188" spans="1:26" x14ac:dyDescent="0.25">
      <c r="A2188" s="249"/>
      <c r="B2188" s="249"/>
      <c r="C2188" s="249"/>
      <c r="D2188" s="249"/>
      <c r="E2188" s="249"/>
      <c r="F2188" s="249"/>
      <c r="G2188" s="249"/>
      <c r="H2188" s="249"/>
      <c r="I2188" s="258"/>
      <c r="J2188" s="249"/>
      <c r="K2188" s="249"/>
      <c r="L2188" s="249"/>
      <c r="M2188" s="259"/>
      <c r="N2188" s="249"/>
      <c r="O2188" s="249"/>
      <c r="P2188" s="249"/>
      <c r="Q2188" s="249"/>
      <c r="R2188" s="249"/>
      <c r="S2188" s="249"/>
      <c r="T2188" s="249"/>
      <c r="U2188" s="249"/>
      <c r="V2188" s="249"/>
      <c r="W2188" s="249"/>
      <c r="X2188" s="249"/>
      <c r="Y2188" s="249"/>
      <c r="Z2188" s="249"/>
    </row>
    <row r="2189" spans="1:26" x14ac:dyDescent="0.25">
      <c r="A2189" s="249"/>
      <c r="B2189" s="249"/>
      <c r="C2189" s="249"/>
      <c r="D2189" s="249"/>
      <c r="E2189" s="249"/>
      <c r="F2189" s="249"/>
      <c r="G2189" s="249"/>
      <c r="H2189" s="249"/>
      <c r="I2189" s="258"/>
      <c r="J2189" s="249"/>
      <c r="K2189" s="249"/>
      <c r="L2189" s="249"/>
      <c r="M2189" s="259"/>
      <c r="N2189" s="249"/>
      <c r="O2189" s="249"/>
      <c r="P2189" s="249"/>
      <c r="Q2189" s="249"/>
      <c r="R2189" s="249"/>
      <c r="S2189" s="249"/>
      <c r="T2189" s="249"/>
      <c r="U2189" s="249"/>
      <c r="V2189" s="249"/>
      <c r="W2189" s="249"/>
      <c r="X2189" s="249"/>
      <c r="Y2189" s="249"/>
      <c r="Z2189" s="249"/>
    </row>
    <row r="2190" spans="1:26" x14ac:dyDescent="0.25">
      <c r="A2190" s="249"/>
      <c r="B2190" s="249"/>
      <c r="C2190" s="249"/>
      <c r="D2190" s="249"/>
      <c r="E2190" s="249"/>
      <c r="F2190" s="249"/>
      <c r="G2190" s="249"/>
      <c r="H2190" s="249"/>
      <c r="I2190" s="258"/>
      <c r="J2190" s="249"/>
      <c r="K2190" s="249"/>
      <c r="L2190" s="249"/>
      <c r="M2190" s="259"/>
      <c r="N2190" s="249"/>
      <c r="O2190" s="249"/>
      <c r="P2190" s="249"/>
      <c r="Q2190" s="249"/>
      <c r="R2190" s="249"/>
      <c r="S2190" s="249"/>
      <c r="T2190" s="249"/>
      <c r="U2190" s="249"/>
      <c r="V2190" s="249"/>
      <c r="W2190" s="249"/>
      <c r="X2190" s="249"/>
      <c r="Y2190" s="249"/>
      <c r="Z2190" s="249"/>
    </row>
    <row r="2191" spans="1:26" x14ac:dyDescent="0.25">
      <c r="A2191" s="249"/>
      <c r="B2191" s="249"/>
      <c r="C2191" s="249"/>
      <c r="D2191" s="249"/>
      <c r="E2191" s="249"/>
      <c r="F2191" s="249"/>
      <c r="G2191" s="249"/>
      <c r="H2191" s="249"/>
      <c r="I2191" s="258"/>
      <c r="J2191" s="249"/>
      <c r="K2191" s="249"/>
      <c r="L2191" s="249"/>
      <c r="M2191" s="259"/>
      <c r="N2191" s="249"/>
      <c r="O2191" s="249"/>
      <c r="P2191" s="249"/>
      <c r="Q2191" s="249"/>
      <c r="R2191" s="249"/>
      <c r="S2191" s="249"/>
      <c r="T2191" s="249"/>
      <c r="U2191" s="249"/>
      <c r="V2191" s="249"/>
      <c r="W2191" s="249"/>
      <c r="X2191" s="249"/>
      <c r="Y2191" s="249"/>
      <c r="Z2191" s="249"/>
    </row>
    <row r="2192" spans="1:26" x14ac:dyDescent="0.25">
      <c r="A2192" s="249"/>
      <c r="B2192" s="249"/>
      <c r="C2192" s="249"/>
      <c r="D2192" s="249"/>
      <c r="E2192" s="249"/>
      <c r="F2192" s="249"/>
      <c r="G2192" s="249"/>
      <c r="H2192" s="249"/>
      <c r="I2192" s="258"/>
      <c r="J2192" s="249"/>
      <c r="K2192" s="249"/>
      <c r="L2192" s="249"/>
      <c r="M2192" s="259"/>
      <c r="N2192" s="249"/>
      <c r="O2192" s="249"/>
      <c r="P2192" s="249"/>
      <c r="Q2192" s="249"/>
      <c r="R2192" s="249"/>
      <c r="S2192" s="249"/>
      <c r="T2192" s="249"/>
      <c r="U2192" s="249"/>
      <c r="V2192" s="249"/>
      <c r="W2192" s="249"/>
      <c r="X2192" s="249"/>
      <c r="Y2192" s="249"/>
      <c r="Z2192" s="249"/>
    </row>
    <row r="2193" spans="1:26" x14ac:dyDescent="0.25">
      <c r="A2193" s="249"/>
      <c r="B2193" s="249"/>
      <c r="C2193" s="249"/>
      <c r="D2193" s="249"/>
      <c r="E2193" s="249"/>
      <c r="F2193" s="249"/>
      <c r="G2193" s="249"/>
      <c r="H2193" s="249"/>
      <c r="I2193" s="258"/>
      <c r="J2193" s="249"/>
      <c r="K2193" s="249"/>
      <c r="L2193" s="249"/>
      <c r="M2193" s="259"/>
      <c r="N2193" s="249"/>
      <c r="O2193" s="249"/>
      <c r="P2193" s="249"/>
      <c r="Q2193" s="249"/>
      <c r="R2193" s="249"/>
      <c r="S2193" s="249"/>
      <c r="T2193" s="249"/>
      <c r="U2193" s="249"/>
      <c r="V2193" s="249"/>
      <c r="W2193" s="249"/>
      <c r="X2193" s="249"/>
      <c r="Y2193" s="249"/>
      <c r="Z2193" s="249"/>
    </row>
    <row r="2194" spans="1:26" x14ac:dyDescent="0.25">
      <c r="A2194" s="249"/>
      <c r="B2194" s="249"/>
      <c r="C2194" s="249"/>
      <c r="D2194" s="249"/>
      <c r="E2194" s="249"/>
      <c r="F2194" s="249"/>
      <c r="G2194" s="249"/>
      <c r="H2194" s="249"/>
      <c r="I2194" s="258"/>
      <c r="J2194" s="249"/>
      <c r="K2194" s="249"/>
      <c r="L2194" s="249"/>
      <c r="M2194" s="259"/>
      <c r="N2194" s="249"/>
      <c r="O2194" s="249"/>
      <c r="P2194" s="249"/>
      <c r="Q2194" s="249"/>
      <c r="R2194" s="249"/>
      <c r="S2194" s="249"/>
      <c r="T2194" s="249"/>
      <c r="U2194" s="249"/>
      <c r="V2194" s="249"/>
      <c r="W2194" s="249"/>
      <c r="X2194" s="249"/>
      <c r="Y2194" s="249"/>
      <c r="Z2194" s="249"/>
    </row>
    <row r="2195" spans="1:26" x14ac:dyDescent="0.25">
      <c r="A2195" s="249"/>
      <c r="B2195" s="249"/>
      <c r="C2195" s="249"/>
      <c r="D2195" s="249"/>
      <c r="E2195" s="249"/>
      <c r="F2195" s="249"/>
      <c r="G2195" s="249"/>
      <c r="H2195" s="249"/>
      <c r="I2195" s="258"/>
      <c r="J2195" s="249"/>
      <c r="K2195" s="249"/>
      <c r="L2195" s="249"/>
      <c r="M2195" s="259"/>
      <c r="N2195" s="249"/>
      <c r="O2195" s="249"/>
      <c r="P2195" s="249"/>
      <c r="Q2195" s="249"/>
      <c r="R2195" s="249"/>
      <c r="S2195" s="249"/>
      <c r="T2195" s="249"/>
      <c r="U2195" s="249"/>
      <c r="V2195" s="249"/>
      <c r="W2195" s="249"/>
      <c r="X2195" s="249"/>
      <c r="Y2195" s="249"/>
      <c r="Z2195" s="249"/>
    </row>
    <row r="2196" spans="1:26" x14ac:dyDescent="0.25">
      <c r="A2196" s="249"/>
      <c r="B2196" s="249"/>
      <c r="C2196" s="249"/>
      <c r="D2196" s="249"/>
      <c r="E2196" s="249"/>
      <c r="F2196" s="249"/>
      <c r="G2196" s="249"/>
      <c r="H2196" s="249"/>
      <c r="I2196" s="258"/>
      <c r="J2196" s="249"/>
      <c r="K2196" s="249"/>
      <c r="L2196" s="249"/>
      <c r="M2196" s="259"/>
      <c r="N2196" s="249"/>
      <c r="O2196" s="249"/>
      <c r="P2196" s="249"/>
      <c r="Q2196" s="249"/>
      <c r="R2196" s="249"/>
      <c r="S2196" s="249"/>
      <c r="T2196" s="249"/>
      <c r="U2196" s="249"/>
      <c r="V2196" s="249"/>
      <c r="W2196" s="249"/>
      <c r="X2196" s="249"/>
      <c r="Y2196" s="249"/>
      <c r="Z2196" s="249"/>
    </row>
    <row r="2197" spans="1:26" x14ac:dyDescent="0.25">
      <c r="A2197" s="249"/>
      <c r="B2197" s="249"/>
      <c r="C2197" s="249"/>
      <c r="D2197" s="249"/>
      <c r="E2197" s="249"/>
      <c r="F2197" s="249"/>
      <c r="G2197" s="249"/>
      <c r="H2197" s="249"/>
      <c r="I2197" s="258"/>
      <c r="J2197" s="249"/>
      <c r="K2197" s="249"/>
      <c r="L2197" s="249"/>
      <c r="M2197" s="259"/>
      <c r="N2197" s="249"/>
      <c r="O2197" s="249"/>
      <c r="P2197" s="249"/>
      <c r="Q2197" s="249"/>
      <c r="R2197" s="249"/>
      <c r="S2197" s="249"/>
      <c r="T2197" s="249"/>
      <c r="U2197" s="249"/>
      <c r="V2197" s="249"/>
      <c r="W2197" s="249"/>
      <c r="X2197" s="249"/>
      <c r="Y2197" s="249"/>
      <c r="Z2197" s="249"/>
    </row>
    <row r="2198" spans="1:26" x14ac:dyDescent="0.25">
      <c r="A2198" s="249"/>
      <c r="B2198" s="249"/>
      <c r="C2198" s="249"/>
      <c r="D2198" s="249"/>
      <c r="E2198" s="249"/>
      <c r="F2198" s="249"/>
      <c r="G2198" s="249"/>
      <c r="H2198" s="249"/>
      <c r="I2198" s="258"/>
      <c r="J2198" s="249"/>
      <c r="K2198" s="249"/>
      <c r="L2198" s="249"/>
      <c r="M2198" s="259"/>
      <c r="N2198" s="249"/>
      <c r="O2198" s="249"/>
      <c r="P2198" s="249"/>
      <c r="Q2198" s="249"/>
      <c r="R2198" s="249"/>
      <c r="S2198" s="249"/>
      <c r="T2198" s="249"/>
      <c r="U2198" s="249"/>
      <c r="V2198" s="249"/>
      <c r="W2198" s="249"/>
      <c r="X2198" s="249"/>
      <c r="Y2198" s="249"/>
      <c r="Z2198" s="249"/>
    </row>
    <row r="2199" spans="1:26" x14ac:dyDescent="0.25">
      <c r="A2199" s="249"/>
      <c r="B2199" s="249"/>
      <c r="C2199" s="249"/>
      <c r="D2199" s="249"/>
      <c r="E2199" s="249"/>
      <c r="F2199" s="249"/>
      <c r="G2199" s="249"/>
      <c r="H2199" s="249"/>
      <c r="I2199" s="258"/>
      <c r="J2199" s="249"/>
      <c r="K2199" s="249"/>
      <c r="L2199" s="249"/>
      <c r="M2199" s="259"/>
      <c r="N2199" s="249"/>
      <c r="O2199" s="249"/>
      <c r="P2199" s="249"/>
      <c r="Q2199" s="249"/>
      <c r="R2199" s="249"/>
      <c r="S2199" s="249"/>
      <c r="T2199" s="249"/>
      <c r="U2199" s="249"/>
      <c r="V2199" s="249"/>
      <c r="W2199" s="249"/>
      <c r="X2199" s="249"/>
      <c r="Y2199" s="249"/>
      <c r="Z2199" s="249"/>
    </row>
    <row r="2200" spans="1:26" x14ac:dyDescent="0.25">
      <c r="A2200" s="249"/>
      <c r="B2200" s="249"/>
      <c r="C2200" s="249"/>
      <c r="D2200" s="249"/>
      <c r="E2200" s="249"/>
      <c r="F2200" s="249"/>
      <c r="G2200" s="249"/>
      <c r="H2200" s="249"/>
      <c r="I2200" s="258"/>
      <c r="J2200" s="249"/>
      <c r="K2200" s="249"/>
      <c r="L2200" s="249"/>
      <c r="M2200" s="259"/>
      <c r="N2200" s="249"/>
      <c r="O2200" s="249"/>
      <c r="P2200" s="249"/>
      <c r="Q2200" s="249"/>
      <c r="R2200" s="249"/>
      <c r="S2200" s="249"/>
      <c r="T2200" s="249"/>
      <c r="U2200" s="249"/>
      <c r="V2200" s="249"/>
      <c r="W2200" s="249"/>
      <c r="X2200" s="249"/>
      <c r="Y2200" s="249"/>
      <c r="Z2200" s="249"/>
    </row>
    <row r="2201" spans="1:26" x14ac:dyDescent="0.25">
      <c r="A2201" s="249"/>
      <c r="B2201" s="249"/>
      <c r="C2201" s="249"/>
      <c r="D2201" s="249"/>
      <c r="E2201" s="249"/>
      <c r="F2201" s="249"/>
      <c r="G2201" s="249"/>
      <c r="H2201" s="249"/>
      <c r="I2201" s="258"/>
      <c r="J2201" s="249"/>
      <c r="K2201" s="249"/>
      <c r="L2201" s="249"/>
      <c r="M2201" s="259"/>
      <c r="N2201" s="249"/>
      <c r="O2201" s="249"/>
      <c r="P2201" s="249"/>
      <c r="Q2201" s="249"/>
      <c r="R2201" s="249"/>
      <c r="S2201" s="249"/>
      <c r="T2201" s="249"/>
      <c r="U2201" s="249"/>
      <c r="V2201" s="249"/>
      <c r="W2201" s="249"/>
      <c r="X2201" s="249"/>
      <c r="Y2201" s="249"/>
      <c r="Z2201" s="249"/>
    </row>
    <row r="2202" spans="1:26" x14ac:dyDescent="0.25">
      <c r="A2202" s="249"/>
      <c r="B2202" s="249"/>
      <c r="C2202" s="249"/>
      <c r="D2202" s="249"/>
      <c r="E2202" s="249"/>
      <c r="F2202" s="249"/>
      <c r="G2202" s="249"/>
      <c r="H2202" s="249"/>
      <c r="I2202" s="258"/>
      <c r="J2202" s="249"/>
      <c r="K2202" s="249"/>
      <c r="L2202" s="249"/>
      <c r="M2202" s="259"/>
      <c r="N2202" s="249"/>
      <c r="O2202" s="249"/>
      <c r="P2202" s="249"/>
      <c r="Q2202" s="249"/>
      <c r="R2202" s="249"/>
      <c r="S2202" s="249"/>
      <c r="T2202" s="249"/>
      <c r="U2202" s="249"/>
      <c r="V2202" s="249"/>
      <c r="W2202" s="249"/>
      <c r="X2202" s="249"/>
      <c r="Y2202" s="249"/>
      <c r="Z2202" s="249"/>
    </row>
    <row r="2203" spans="1:26" x14ac:dyDescent="0.25">
      <c r="A2203" s="249"/>
      <c r="B2203" s="249"/>
      <c r="C2203" s="249"/>
      <c r="D2203" s="249"/>
      <c r="E2203" s="249"/>
      <c r="F2203" s="249"/>
      <c r="G2203" s="249"/>
      <c r="H2203" s="249"/>
      <c r="I2203" s="258"/>
      <c r="J2203" s="249"/>
      <c r="K2203" s="249"/>
      <c r="L2203" s="249"/>
      <c r="M2203" s="259"/>
      <c r="N2203" s="249"/>
      <c r="O2203" s="249"/>
      <c r="P2203" s="249"/>
      <c r="Q2203" s="249"/>
      <c r="R2203" s="249"/>
      <c r="S2203" s="249"/>
      <c r="T2203" s="249"/>
      <c r="U2203" s="249"/>
      <c r="V2203" s="249"/>
      <c r="W2203" s="249"/>
      <c r="X2203" s="249"/>
      <c r="Y2203" s="249"/>
      <c r="Z2203" s="249"/>
    </row>
    <row r="2204" spans="1:26" x14ac:dyDescent="0.25">
      <c r="A2204" s="249"/>
      <c r="B2204" s="249"/>
      <c r="C2204" s="249"/>
      <c r="D2204" s="249"/>
      <c r="E2204" s="249"/>
      <c r="F2204" s="249"/>
      <c r="G2204" s="249"/>
      <c r="H2204" s="249"/>
      <c r="I2204" s="258"/>
      <c r="J2204" s="249"/>
      <c r="K2204" s="249"/>
      <c r="L2204" s="249"/>
      <c r="M2204" s="259"/>
      <c r="N2204" s="249"/>
      <c r="O2204" s="249"/>
      <c r="P2204" s="249"/>
      <c r="Q2204" s="249"/>
      <c r="R2204" s="249"/>
      <c r="S2204" s="249"/>
      <c r="T2204" s="249"/>
      <c r="U2204" s="249"/>
      <c r="V2204" s="249"/>
      <c r="W2204" s="249"/>
      <c r="X2204" s="249"/>
      <c r="Y2204" s="249"/>
      <c r="Z2204" s="249"/>
    </row>
    <row r="2205" spans="1:26" x14ac:dyDescent="0.25">
      <c r="A2205" s="249"/>
      <c r="B2205" s="249"/>
      <c r="C2205" s="249"/>
      <c r="D2205" s="249"/>
      <c r="E2205" s="249"/>
      <c r="F2205" s="249"/>
      <c r="G2205" s="249"/>
      <c r="H2205" s="249"/>
      <c r="I2205" s="258"/>
      <c r="J2205" s="249"/>
      <c r="K2205" s="249"/>
      <c r="L2205" s="249"/>
      <c r="M2205" s="259"/>
      <c r="N2205" s="249"/>
      <c r="O2205" s="249"/>
      <c r="P2205" s="249"/>
      <c r="Q2205" s="249"/>
      <c r="R2205" s="249"/>
      <c r="S2205" s="249"/>
      <c r="T2205" s="249"/>
      <c r="U2205" s="249"/>
      <c r="V2205" s="249"/>
      <c r="W2205" s="249"/>
      <c r="X2205" s="249"/>
      <c r="Y2205" s="249"/>
      <c r="Z2205" s="249"/>
    </row>
    <row r="2206" spans="1:26" x14ac:dyDescent="0.25">
      <c r="A2206" s="249"/>
      <c r="B2206" s="249"/>
      <c r="C2206" s="249"/>
      <c r="D2206" s="249"/>
      <c r="E2206" s="249"/>
      <c r="F2206" s="249"/>
      <c r="G2206" s="249"/>
      <c r="H2206" s="249"/>
      <c r="I2206" s="258"/>
      <c r="J2206" s="249"/>
      <c r="K2206" s="249"/>
      <c r="L2206" s="249"/>
      <c r="M2206" s="259"/>
      <c r="N2206" s="249"/>
      <c r="O2206" s="249"/>
      <c r="P2206" s="249"/>
      <c r="Q2206" s="249"/>
      <c r="R2206" s="249"/>
      <c r="S2206" s="249"/>
      <c r="T2206" s="249"/>
      <c r="U2206" s="249"/>
      <c r="V2206" s="249"/>
      <c r="W2206" s="249"/>
      <c r="X2206" s="249"/>
      <c r="Y2206" s="249"/>
      <c r="Z2206" s="249"/>
    </row>
    <row r="2207" spans="1:26" x14ac:dyDescent="0.25">
      <c r="A2207" s="249"/>
      <c r="B2207" s="249"/>
      <c r="C2207" s="249"/>
      <c r="D2207" s="249"/>
      <c r="E2207" s="249"/>
      <c r="F2207" s="249"/>
      <c r="G2207" s="249"/>
      <c r="H2207" s="249"/>
      <c r="I2207" s="258"/>
      <c r="J2207" s="249"/>
      <c r="K2207" s="249"/>
      <c r="L2207" s="249"/>
      <c r="M2207" s="259"/>
      <c r="N2207" s="249"/>
      <c r="O2207" s="249"/>
      <c r="P2207" s="249"/>
      <c r="Q2207" s="249"/>
      <c r="R2207" s="249"/>
      <c r="S2207" s="249"/>
      <c r="T2207" s="249"/>
      <c r="U2207" s="249"/>
      <c r="V2207" s="249"/>
      <c r="W2207" s="249"/>
      <c r="X2207" s="249"/>
      <c r="Y2207" s="249"/>
      <c r="Z2207" s="249"/>
    </row>
    <row r="2208" spans="1:26" x14ac:dyDescent="0.25">
      <c r="A2208" s="249"/>
      <c r="B2208" s="249"/>
      <c r="C2208" s="249"/>
      <c r="D2208" s="249"/>
      <c r="E2208" s="249"/>
      <c r="F2208" s="249"/>
      <c r="G2208" s="249"/>
      <c r="H2208" s="249"/>
      <c r="I2208" s="258"/>
      <c r="J2208" s="249"/>
      <c r="K2208" s="249"/>
      <c r="L2208" s="249"/>
      <c r="M2208" s="259"/>
      <c r="N2208" s="249"/>
      <c r="O2208" s="249"/>
      <c r="P2208" s="249"/>
      <c r="Q2208" s="249"/>
      <c r="R2208" s="249"/>
      <c r="S2208" s="249"/>
      <c r="T2208" s="249"/>
      <c r="U2208" s="249"/>
      <c r="V2208" s="249"/>
      <c r="W2208" s="249"/>
      <c r="X2208" s="249"/>
      <c r="Y2208" s="249"/>
      <c r="Z2208" s="249"/>
    </row>
    <row r="2209" spans="1:26" x14ac:dyDescent="0.25">
      <c r="A2209" s="249"/>
      <c r="B2209" s="249"/>
      <c r="C2209" s="249"/>
      <c r="D2209" s="249"/>
      <c r="E2209" s="249"/>
      <c r="F2209" s="249"/>
      <c r="G2209" s="249"/>
      <c r="H2209" s="249"/>
      <c r="I2209" s="258"/>
      <c r="J2209" s="249"/>
      <c r="K2209" s="249"/>
      <c r="L2209" s="249"/>
      <c r="M2209" s="259"/>
      <c r="N2209" s="249"/>
      <c r="O2209" s="249"/>
      <c r="P2209" s="249"/>
      <c r="Q2209" s="249"/>
      <c r="R2209" s="249"/>
      <c r="S2209" s="249"/>
      <c r="T2209" s="249"/>
      <c r="U2209" s="249"/>
      <c r="V2209" s="249"/>
      <c r="W2209" s="249"/>
      <c r="X2209" s="249"/>
      <c r="Y2209" s="249"/>
      <c r="Z2209" s="249"/>
    </row>
    <row r="2210" spans="1:26" x14ac:dyDescent="0.25">
      <c r="A2210" s="249"/>
      <c r="B2210" s="249"/>
      <c r="C2210" s="249"/>
      <c r="D2210" s="249"/>
      <c r="E2210" s="249"/>
      <c r="F2210" s="249"/>
      <c r="G2210" s="249"/>
      <c r="H2210" s="249"/>
      <c r="I2210" s="258"/>
      <c r="J2210" s="249"/>
      <c r="K2210" s="249"/>
      <c r="L2210" s="249"/>
      <c r="M2210" s="259"/>
      <c r="N2210" s="249"/>
      <c r="O2210" s="249"/>
      <c r="P2210" s="249"/>
      <c r="Q2210" s="249"/>
      <c r="R2210" s="249"/>
      <c r="S2210" s="249"/>
      <c r="T2210" s="249"/>
      <c r="U2210" s="249"/>
      <c r="V2210" s="249"/>
      <c r="W2210" s="249"/>
      <c r="X2210" s="249"/>
      <c r="Y2210" s="249"/>
      <c r="Z2210" s="249"/>
    </row>
    <row r="2211" spans="1:26" x14ac:dyDescent="0.25">
      <c r="A2211" s="249"/>
      <c r="B2211" s="249"/>
      <c r="C2211" s="249"/>
      <c r="D2211" s="249"/>
      <c r="E2211" s="249"/>
      <c r="F2211" s="249"/>
      <c r="G2211" s="249"/>
      <c r="H2211" s="249"/>
      <c r="I2211" s="258"/>
      <c r="J2211" s="249"/>
      <c r="K2211" s="249"/>
      <c r="L2211" s="249"/>
      <c r="M2211" s="259"/>
      <c r="N2211" s="249"/>
      <c r="O2211" s="249"/>
      <c r="P2211" s="249"/>
      <c r="Q2211" s="249"/>
      <c r="R2211" s="249"/>
      <c r="S2211" s="249"/>
      <c r="T2211" s="249"/>
      <c r="U2211" s="249"/>
      <c r="V2211" s="249"/>
      <c r="W2211" s="249"/>
      <c r="X2211" s="249"/>
      <c r="Y2211" s="249"/>
      <c r="Z2211" s="249"/>
    </row>
    <row r="2212" spans="1:26" x14ac:dyDescent="0.25">
      <c r="A2212" s="249"/>
      <c r="B2212" s="249"/>
      <c r="C2212" s="249"/>
      <c r="D2212" s="249"/>
      <c r="E2212" s="249"/>
      <c r="F2212" s="249"/>
      <c r="G2212" s="249"/>
      <c r="H2212" s="249"/>
      <c r="I2212" s="258"/>
      <c r="J2212" s="249"/>
      <c r="K2212" s="249"/>
      <c r="L2212" s="249"/>
      <c r="M2212" s="259"/>
      <c r="N2212" s="249"/>
      <c r="O2212" s="249"/>
      <c r="P2212" s="249"/>
      <c r="Q2212" s="249"/>
      <c r="R2212" s="249"/>
      <c r="S2212" s="249"/>
      <c r="T2212" s="249"/>
      <c r="U2212" s="249"/>
      <c r="V2212" s="249"/>
      <c r="W2212" s="249"/>
      <c r="X2212" s="249"/>
      <c r="Y2212" s="249"/>
      <c r="Z2212" s="249"/>
    </row>
    <row r="2213" spans="1:26" x14ac:dyDescent="0.25">
      <c r="A2213" s="249"/>
      <c r="B2213" s="249"/>
      <c r="C2213" s="249"/>
      <c r="D2213" s="249"/>
      <c r="E2213" s="249"/>
      <c r="F2213" s="249"/>
      <c r="G2213" s="249"/>
      <c r="H2213" s="249"/>
      <c r="I2213" s="258"/>
      <c r="J2213" s="249"/>
      <c r="K2213" s="249"/>
      <c r="L2213" s="249"/>
      <c r="M2213" s="259"/>
      <c r="N2213" s="249"/>
      <c r="O2213" s="249"/>
      <c r="P2213" s="249"/>
      <c r="Q2213" s="249"/>
      <c r="R2213" s="249"/>
      <c r="S2213" s="249"/>
      <c r="T2213" s="249"/>
      <c r="U2213" s="249"/>
      <c r="V2213" s="249"/>
      <c r="W2213" s="249"/>
      <c r="X2213" s="249"/>
      <c r="Y2213" s="249"/>
      <c r="Z2213" s="249"/>
    </row>
    <row r="2214" spans="1:26" x14ac:dyDescent="0.25">
      <c r="A2214" s="249"/>
      <c r="B2214" s="249"/>
      <c r="C2214" s="249"/>
      <c r="D2214" s="249"/>
      <c r="E2214" s="249"/>
      <c r="F2214" s="249"/>
      <c r="G2214" s="249"/>
      <c r="H2214" s="249"/>
      <c r="I2214" s="258"/>
      <c r="J2214" s="249"/>
      <c r="K2214" s="249"/>
      <c r="L2214" s="249"/>
      <c r="M2214" s="259"/>
      <c r="N2214" s="249"/>
      <c r="O2214" s="249"/>
      <c r="P2214" s="249"/>
      <c r="Q2214" s="249"/>
      <c r="R2214" s="249"/>
      <c r="S2214" s="249"/>
      <c r="T2214" s="249"/>
      <c r="U2214" s="249"/>
      <c r="V2214" s="249"/>
      <c r="W2214" s="249"/>
      <c r="X2214" s="249"/>
      <c r="Y2214" s="249"/>
      <c r="Z2214" s="249"/>
    </row>
    <row r="2215" spans="1:26" x14ac:dyDescent="0.25">
      <c r="A2215" s="249"/>
      <c r="B2215" s="249"/>
      <c r="C2215" s="249"/>
      <c r="D2215" s="249"/>
      <c r="E2215" s="249"/>
      <c r="F2215" s="249"/>
      <c r="G2215" s="249"/>
      <c r="H2215" s="249"/>
      <c r="I2215" s="258"/>
      <c r="J2215" s="249"/>
      <c r="K2215" s="249"/>
      <c r="L2215" s="249"/>
      <c r="M2215" s="259"/>
      <c r="N2215" s="249"/>
      <c r="O2215" s="249"/>
      <c r="P2215" s="249"/>
      <c r="Q2215" s="249"/>
      <c r="R2215" s="249"/>
      <c r="S2215" s="249"/>
      <c r="T2215" s="249"/>
      <c r="U2215" s="249"/>
      <c r="V2215" s="249"/>
      <c r="W2215" s="249"/>
      <c r="X2215" s="249"/>
      <c r="Y2215" s="249"/>
      <c r="Z2215" s="249"/>
    </row>
    <row r="2216" spans="1:26" x14ac:dyDescent="0.25">
      <c r="A2216" s="249"/>
      <c r="B2216" s="249"/>
      <c r="C2216" s="249"/>
      <c r="D2216" s="249"/>
      <c r="E2216" s="249"/>
      <c r="F2216" s="249"/>
      <c r="G2216" s="249"/>
      <c r="H2216" s="249"/>
      <c r="I2216" s="258"/>
      <c r="J2216" s="249"/>
      <c r="K2216" s="249"/>
      <c r="L2216" s="249"/>
      <c r="M2216" s="259"/>
      <c r="N2216" s="249"/>
      <c r="O2216" s="249"/>
      <c r="P2216" s="249"/>
      <c r="Q2216" s="249"/>
      <c r="R2216" s="249"/>
      <c r="S2216" s="249"/>
      <c r="T2216" s="249"/>
      <c r="U2216" s="249"/>
      <c r="V2216" s="249"/>
      <c r="W2216" s="249"/>
      <c r="X2216" s="249"/>
      <c r="Y2216" s="249"/>
      <c r="Z2216" s="249"/>
    </row>
    <row r="2217" spans="1:26" x14ac:dyDescent="0.25">
      <c r="A2217" s="249"/>
      <c r="B2217" s="249"/>
      <c r="C2217" s="249"/>
      <c r="D2217" s="249"/>
      <c r="E2217" s="249"/>
      <c r="F2217" s="249"/>
      <c r="G2217" s="249"/>
      <c r="H2217" s="249"/>
      <c r="I2217" s="258"/>
      <c r="J2217" s="249"/>
      <c r="K2217" s="249"/>
      <c r="L2217" s="249"/>
      <c r="M2217" s="259"/>
      <c r="N2217" s="249"/>
      <c r="O2217" s="249"/>
      <c r="P2217" s="249"/>
      <c r="Q2217" s="249"/>
      <c r="R2217" s="249"/>
      <c r="S2217" s="249"/>
      <c r="T2217" s="249"/>
      <c r="U2217" s="249"/>
      <c r="V2217" s="249"/>
      <c r="W2217" s="249"/>
      <c r="X2217" s="249"/>
      <c r="Y2217" s="249"/>
      <c r="Z2217" s="249"/>
    </row>
    <row r="2218" spans="1:26" x14ac:dyDescent="0.25">
      <c r="A2218" s="249"/>
      <c r="B2218" s="249"/>
      <c r="C2218" s="249"/>
      <c r="D2218" s="249"/>
      <c r="E2218" s="249"/>
      <c r="F2218" s="249"/>
      <c r="G2218" s="249"/>
      <c r="H2218" s="249"/>
      <c r="I2218" s="258"/>
      <c r="J2218" s="249"/>
      <c r="K2218" s="249"/>
      <c r="L2218" s="249"/>
      <c r="M2218" s="259"/>
      <c r="N2218" s="249"/>
      <c r="O2218" s="249"/>
      <c r="P2218" s="249"/>
      <c r="Q2218" s="249"/>
      <c r="R2218" s="249"/>
      <c r="S2218" s="249"/>
      <c r="T2218" s="249"/>
      <c r="U2218" s="249"/>
      <c r="V2218" s="249"/>
      <c r="W2218" s="249"/>
      <c r="X2218" s="249"/>
      <c r="Y2218" s="249"/>
      <c r="Z2218" s="249"/>
    </row>
    <row r="2219" spans="1:26" x14ac:dyDescent="0.25">
      <c r="A2219" s="249"/>
      <c r="B2219" s="249"/>
      <c r="C2219" s="249"/>
      <c r="D2219" s="249"/>
      <c r="E2219" s="249"/>
      <c r="F2219" s="249"/>
      <c r="G2219" s="249"/>
      <c r="H2219" s="249"/>
      <c r="I2219" s="258"/>
      <c r="J2219" s="249"/>
      <c r="K2219" s="249"/>
      <c r="L2219" s="249"/>
      <c r="M2219" s="259"/>
      <c r="N2219" s="249"/>
      <c r="O2219" s="249"/>
      <c r="P2219" s="249"/>
      <c r="Q2219" s="249"/>
      <c r="R2219" s="249"/>
      <c r="S2219" s="249"/>
      <c r="T2219" s="249"/>
      <c r="U2219" s="249"/>
      <c r="V2219" s="249"/>
      <c r="W2219" s="249"/>
      <c r="X2219" s="249"/>
      <c r="Y2219" s="249"/>
      <c r="Z2219" s="249"/>
    </row>
    <row r="2220" spans="1:26" x14ac:dyDescent="0.25">
      <c r="A2220" s="249"/>
      <c r="B2220" s="249"/>
      <c r="C2220" s="249"/>
      <c r="D2220" s="249"/>
      <c r="E2220" s="249"/>
      <c r="F2220" s="249"/>
      <c r="G2220" s="249"/>
      <c r="H2220" s="249"/>
      <c r="I2220" s="258"/>
      <c r="J2220" s="249"/>
      <c r="K2220" s="249"/>
      <c r="L2220" s="249"/>
      <c r="M2220" s="259"/>
      <c r="N2220" s="249"/>
      <c r="O2220" s="249"/>
      <c r="P2220" s="249"/>
      <c r="Q2220" s="249"/>
      <c r="R2220" s="249"/>
      <c r="S2220" s="249"/>
      <c r="T2220" s="249"/>
      <c r="U2220" s="249"/>
      <c r="V2220" s="249"/>
      <c r="W2220" s="249"/>
      <c r="X2220" s="249"/>
      <c r="Y2220" s="249"/>
      <c r="Z2220" s="249"/>
    </row>
    <row r="2221" spans="1:26" x14ac:dyDescent="0.25">
      <c r="A2221" s="249"/>
      <c r="B2221" s="249"/>
      <c r="C2221" s="249"/>
      <c r="D2221" s="249"/>
      <c r="E2221" s="249"/>
      <c r="F2221" s="249"/>
      <c r="G2221" s="249"/>
      <c r="H2221" s="249"/>
      <c r="I2221" s="258"/>
      <c r="J2221" s="249"/>
      <c r="K2221" s="249"/>
      <c r="L2221" s="249"/>
      <c r="M2221" s="259"/>
      <c r="N2221" s="249"/>
      <c r="O2221" s="249"/>
      <c r="P2221" s="249"/>
      <c r="Q2221" s="249"/>
      <c r="R2221" s="249"/>
      <c r="S2221" s="249"/>
      <c r="T2221" s="249"/>
      <c r="U2221" s="249"/>
      <c r="V2221" s="249"/>
      <c r="W2221" s="249"/>
      <c r="X2221" s="249"/>
      <c r="Y2221" s="249"/>
      <c r="Z2221" s="249"/>
    </row>
    <row r="2222" spans="1:26" x14ac:dyDescent="0.25">
      <c r="A2222" s="249"/>
      <c r="B2222" s="249"/>
      <c r="C2222" s="249"/>
      <c r="D2222" s="249"/>
      <c r="E2222" s="249"/>
      <c r="F2222" s="249"/>
      <c r="G2222" s="249"/>
      <c r="H2222" s="249"/>
      <c r="I2222" s="258"/>
      <c r="J2222" s="249"/>
      <c r="K2222" s="249"/>
      <c r="L2222" s="249"/>
      <c r="M2222" s="259"/>
      <c r="N2222" s="249"/>
      <c r="O2222" s="249"/>
      <c r="P2222" s="249"/>
      <c r="Q2222" s="249"/>
      <c r="R2222" s="249"/>
      <c r="S2222" s="249"/>
      <c r="T2222" s="249"/>
      <c r="U2222" s="249"/>
      <c r="V2222" s="249"/>
      <c r="W2222" s="249"/>
      <c r="X2222" s="249"/>
      <c r="Y2222" s="249"/>
      <c r="Z2222" s="249"/>
    </row>
    <row r="2223" spans="1:26" x14ac:dyDescent="0.25">
      <c r="A2223" s="249"/>
      <c r="B2223" s="249"/>
      <c r="C2223" s="249"/>
      <c r="D2223" s="249"/>
      <c r="E2223" s="249"/>
      <c r="F2223" s="249"/>
      <c r="G2223" s="249"/>
      <c r="H2223" s="249"/>
      <c r="I2223" s="258"/>
      <c r="J2223" s="249"/>
      <c r="K2223" s="249"/>
      <c r="L2223" s="249"/>
      <c r="M2223" s="259"/>
      <c r="N2223" s="249"/>
      <c r="O2223" s="249"/>
      <c r="P2223" s="249"/>
      <c r="Q2223" s="249"/>
      <c r="R2223" s="249"/>
      <c r="S2223" s="249"/>
      <c r="T2223" s="249"/>
      <c r="U2223" s="249"/>
      <c r="V2223" s="249"/>
      <c r="W2223" s="249"/>
      <c r="X2223" s="249"/>
      <c r="Y2223" s="249"/>
      <c r="Z2223" s="249"/>
    </row>
    <row r="2224" spans="1:26" x14ac:dyDescent="0.25">
      <c r="A2224" s="249"/>
      <c r="B2224" s="249"/>
      <c r="C2224" s="249"/>
      <c r="D2224" s="249"/>
      <c r="E2224" s="249"/>
      <c r="F2224" s="249"/>
      <c r="G2224" s="249"/>
      <c r="H2224" s="249"/>
      <c r="I2224" s="258"/>
      <c r="J2224" s="249"/>
      <c r="K2224" s="249"/>
      <c r="L2224" s="249"/>
      <c r="M2224" s="259"/>
      <c r="N2224" s="249"/>
      <c r="O2224" s="249"/>
      <c r="P2224" s="249"/>
      <c r="Q2224" s="249"/>
      <c r="R2224" s="249"/>
      <c r="S2224" s="249"/>
      <c r="T2224" s="249"/>
      <c r="U2224" s="249"/>
      <c r="V2224" s="249"/>
      <c r="W2224" s="249"/>
      <c r="X2224" s="249"/>
      <c r="Y2224" s="249"/>
      <c r="Z2224" s="249"/>
    </row>
    <row r="2225" spans="1:26" x14ac:dyDescent="0.25">
      <c r="A2225" s="249"/>
      <c r="B2225" s="249"/>
      <c r="C2225" s="249"/>
      <c r="D2225" s="249"/>
      <c r="E2225" s="249"/>
      <c r="F2225" s="249"/>
      <c r="G2225" s="249"/>
      <c r="H2225" s="249"/>
      <c r="I2225" s="258"/>
      <c r="J2225" s="249"/>
      <c r="K2225" s="249"/>
      <c r="L2225" s="249"/>
      <c r="M2225" s="259"/>
      <c r="N2225" s="249"/>
      <c r="O2225" s="249"/>
      <c r="P2225" s="249"/>
      <c r="Q2225" s="249"/>
      <c r="R2225" s="249"/>
      <c r="S2225" s="249"/>
      <c r="T2225" s="249"/>
      <c r="U2225" s="249"/>
      <c r="V2225" s="249"/>
      <c r="W2225" s="249"/>
      <c r="X2225" s="249"/>
      <c r="Y2225" s="249"/>
      <c r="Z2225" s="249"/>
    </row>
    <row r="2226" spans="1:26" x14ac:dyDescent="0.25">
      <c r="A2226" s="249"/>
      <c r="B2226" s="249"/>
      <c r="C2226" s="249"/>
      <c r="D2226" s="249"/>
      <c r="E2226" s="249"/>
      <c r="F2226" s="249"/>
      <c r="G2226" s="249"/>
      <c r="H2226" s="249"/>
      <c r="I2226" s="258"/>
      <c r="J2226" s="249"/>
      <c r="K2226" s="249"/>
      <c r="L2226" s="249"/>
      <c r="M2226" s="259"/>
      <c r="N2226" s="249"/>
      <c r="O2226" s="249"/>
      <c r="P2226" s="249"/>
      <c r="Q2226" s="249"/>
      <c r="R2226" s="249"/>
      <c r="S2226" s="249"/>
      <c r="T2226" s="249"/>
      <c r="U2226" s="249"/>
      <c r="V2226" s="249"/>
      <c r="W2226" s="249"/>
      <c r="X2226" s="249"/>
      <c r="Y2226" s="249"/>
      <c r="Z2226" s="249"/>
    </row>
    <row r="2227" spans="1:26" x14ac:dyDescent="0.25">
      <c r="A2227" s="249"/>
      <c r="B2227" s="249"/>
      <c r="C2227" s="249"/>
      <c r="D2227" s="249"/>
      <c r="E2227" s="249"/>
      <c r="F2227" s="249"/>
      <c r="G2227" s="249"/>
      <c r="H2227" s="249"/>
      <c r="I2227" s="258"/>
      <c r="J2227" s="249"/>
      <c r="K2227" s="249"/>
      <c r="L2227" s="249"/>
      <c r="M2227" s="259"/>
      <c r="N2227" s="249"/>
      <c r="O2227" s="249"/>
      <c r="P2227" s="249"/>
      <c r="Q2227" s="249"/>
      <c r="R2227" s="249"/>
      <c r="S2227" s="249"/>
      <c r="T2227" s="249"/>
      <c r="U2227" s="249"/>
      <c r="V2227" s="249"/>
      <c r="W2227" s="249"/>
      <c r="X2227" s="249"/>
      <c r="Y2227" s="249"/>
      <c r="Z2227" s="249"/>
    </row>
    <row r="2228" spans="1:26" x14ac:dyDescent="0.25">
      <c r="A2228" s="249"/>
      <c r="B2228" s="249"/>
      <c r="C2228" s="249"/>
      <c r="D2228" s="249"/>
      <c r="E2228" s="249"/>
      <c r="F2228" s="249"/>
      <c r="G2228" s="249"/>
      <c r="H2228" s="249"/>
      <c r="I2228" s="258"/>
      <c r="J2228" s="249"/>
      <c r="K2228" s="249"/>
      <c r="L2228" s="249"/>
      <c r="M2228" s="259"/>
      <c r="N2228" s="249"/>
      <c r="O2228" s="249"/>
      <c r="P2228" s="249"/>
      <c r="Q2228" s="249"/>
      <c r="R2228" s="249"/>
      <c r="S2228" s="249"/>
      <c r="T2228" s="249"/>
      <c r="U2228" s="249"/>
      <c r="V2228" s="249"/>
      <c r="W2228" s="249"/>
      <c r="X2228" s="249"/>
      <c r="Y2228" s="249"/>
      <c r="Z2228" s="249"/>
    </row>
    <row r="2229" spans="1:26" x14ac:dyDescent="0.25">
      <c r="A2229" s="249"/>
      <c r="B2229" s="249"/>
      <c r="C2229" s="249"/>
      <c r="D2229" s="249"/>
      <c r="E2229" s="249"/>
      <c r="F2229" s="249"/>
      <c r="G2229" s="249"/>
      <c r="H2229" s="249"/>
      <c r="I2229" s="258"/>
      <c r="J2229" s="249"/>
      <c r="K2229" s="249"/>
      <c r="L2229" s="249"/>
      <c r="M2229" s="259"/>
      <c r="N2229" s="249"/>
      <c r="O2229" s="249"/>
      <c r="P2229" s="249"/>
      <c r="Q2229" s="249"/>
      <c r="R2229" s="249"/>
      <c r="S2229" s="249"/>
      <c r="T2229" s="249"/>
      <c r="U2229" s="249"/>
      <c r="V2229" s="249"/>
      <c r="W2229" s="249"/>
      <c r="X2229" s="249"/>
      <c r="Y2229" s="249"/>
      <c r="Z2229" s="249"/>
    </row>
    <row r="2230" spans="1:26" x14ac:dyDescent="0.25">
      <c r="A2230" s="249"/>
      <c r="B2230" s="249"/>
      <c r="C2230" s="249"/>
      <c r="D2230" s="249"/>
      <c r="E2230" s="249"/>
      <c r="F2230" s="249"/>
      <c r="G2230" s="249"/>
      <c r="H2230" s="249"/>
      <c r="I2230" s="258"/>
      <c r="J2230" s="249"/>
      <c r="K2230" s="249"/>
      <c r="L2230" s="249"/>
      <c r="M2230" s="259"/>
      <c r="N2230" s="249"/>
      <c r="O2230" s="249"/>
      <c r="P2230" s="249"/>
      <c r="Q2230" s="249"/>
      <c r="R2230" s="249"/>
      <c r="S2230" s="249"/>
      <c r="T2230" s="249"/>
      <c r="U2230" s="249"/>
      <c r="V2230" s="249"/>
      <c r="W2230" s="249"/>
      <c r="X2230" s="249"/>
      <c r="Y2230" s="249"/>
      <c r="Z2230" s="249"/>
    </row>
    <row r="2231" spans="1:26" x14ac:dyDescent="0.25">
      <c r="A2231" s="249"/>
      <c r="B2231" s="249"/>
      <c r="C2231" s="249"/>
      <c r="D2231" s="249"/>
      <c r="E2231" s="249"/>
      <c r="F2231" s="249"/>
      <c r="G2231" s="249"/>
      <c r="H2231" s="249"/>
      <c r="I2231" s="258"/>
      <c r="J2231" s="249"/>
      <c r="K2231" s="249"/>
      <c r="L2231" s="249"/>
      <c r="M2231" s="259"/>
      <c r="N2231" s="249"/>
      <c r="O2231" s="249"/>
      <c r="P2231" s="249"/>
      <c r="Q2231" s="249"/>
      <c r="R2231" s="249"/>
      <c r="S2231" s="249"/>
      <c r="T2231" s="249"/>
      <c r="U2231" s="249"/>
      <c r="V2231" s="249"/>
      <c r="W2231" s="249"/>
      <c r="X2231" s="249"/>
      <c r="Y2231" s="249"/>
      <c r="Z2231" s="249"/>
    </row>
    <row r="2232" spans="1:26" x14ac:dyDescent="0.25">
      <c r="A2232" s="249"/>
      <c r="B2232" s="249"/>
      <c r="C2232" s="249"/>
      <c r="D2232" s="249"/>
      <c r="E2232" s="249"/>
      <c r="F2232" s="249"/>
      <c r="G2232" s="249"/>
      <c r="H2232" s="249"/>
      <c r="I2232" s="258"/>
      <c r="J2232" s="249"/>
      <c r="K2232" s="249"/>
      <c r="L2232" s="249"/>
      <c r="M2232" s="259"/>
      <c r="N2232" s="249"/>
      <c r="O2232" s="249"/>
      <c r="P2232" s="249"/>
      <c r="Q2232" s="249"/>
      <c r="R2232" s="249"/>
      <c r="S2232" s="249"/>
      <c r="T2232" s="249"/>
      <c r="U2232" s="249"/>
      <c r="V2232" s="249"/>
      <c r="W2232" s="249"/>
      <c r="X2232" s="249"/>
      <c r="Y2232" s="249"/>
      <c r="Z2232" s="249"/>
    </row>
    <row r="2233" spans="1:26" x14ac:dyDescent="0.25">
      <c r="A2233" s="249"/>
      <c r="B2233" s="249"/>
      <c r="C2233" s="249"/>
      <c r="D2233" s="249"/>
      <c r="E2233" s="249"/>
      <c r="F2233" s="249"/>
      <c r="G2233" s="249"/>
      <c r="H2233" s="249"/>
      <c r="I2233" s="258"/>
      <c r="J2233" s="249"/>
      <c r="K2233" s="249"/>
      <c r="L2233" s="249"/>
      <c r="M2233" s="259"/>
      <c r="N2233" s="249"/>
      <c r="O2233" s="249"/>
      <c r="P2233" s="249"/>
      <c r="Q2233" s="249"/>
      <c r="R2233" s="249"/>
      <c r="S2233" s="249"/>
      <c r="T2233" s="249"/>
      <c r="U2233" s="249"/>
      <c r="V2233" s="249"/>
      <c r="W2233" s="249"/>
      <c r="X2233" s="249"/>
      <c r="Y2233" s="249"/>
      <c r="Z2233" s="249"/>
    </row>
    <row r="2234" spans="1:26" x14ac:dyDescent="0.25">
      <c r="A2234" s="249"/>
      <c r="B2234" s="249"/>
      <c r="C2234" s="249"/>
      <c r="D2234" s="249"/>
      <c r="E2234" s="249"/>
      <c r="F2234" s="249"/>
      <c r="G2234" s="249"/>
      <c r="H2234" s="249"/>
      <c r="I2234" s="258"/>
      <c r="J2234" s="249"/>
      <c r="K2234" s="249"/>
      <c r="L2234" s="249"/>
      <c r="M2234" s="259"/>
      <c r="N2234" s="249"/>
      <c r="O2234" s="249"/>
      <c r="P2234" s="249"/>
      <c r="Q2234" s="249"/>
      <c r="R2234" s="249"/>
      <c r="S2234" s="249"/>
      <c r="T2234" s="249"/>
      <c r="U2234" s="249"/>
      <c r="V2234" s="249"/>
      <c r="W2234" s="249"/>
      <c r="X2234" s="249"/>
      <c r="Y2234" s="249"/>
      <c r="Z2234" s="249"/>
    </row>
    <row r="2235" spans="1:26" x14ac:dyDescent="0.25">
      <c r="A2235" s="249"/>
      <c r="B2235" s="249"/>
      <c r="C2235" s="249"/>
      <c r="D2235" s="249"/>
      <c r="E2235" s="249"/>
      <c r="F2235" s="249"/>
      <c r="G2235" s="249"/>
      <c r="H2235" s="249"/>
      <c r="I2235" s="258"/>
      <c r="J2235" s="249"/>
      <c r="K2235" s="249"/>
      <c r="L2235" s="249"/>
      <c r="M2235" s="259"/>
      <c r="N2235" s="249"/>
      <c r="O2235" s="249"/>
      <c r="P2235" s="249"/>
      <c r="Q2235" s="249"/>
      <c r="R2235" s="249"/>
      <c r="S2235" s="249"/>
      <c r="T2235" s="249"/>
      <c r="U2235" s="249"/>
      <c r="V2235" s="249"/>
      <c r="W2235" s="249"/>
      <c r="X2235" s="249"/>
      <c r="Y2235" s="249"/>
      <c r="Z2235" s="249"/>
    </row>
    <row r="2236" spans="1:26" x14ac:dyDescent="0.25">
      <c r="A2236" s="249"/>
      <c r="B2236" s="249"/>
      <c r="C2236" s="249"/>
      <c r="D2236" s="249"/>
      <c r="E2236" s="249"/>
      <c r="F2236" s="249"/>
      <c r="G2236" s="249"/>
      <c r="H2236" s="249"/>
      <c r="I2236" s="258"/>
      <c r="J2236" s="249"/>
      <c r="K2236" s="249"/>
      <c r="L2236" s="249"/>
      <c r="M2236" s="259"/>
      <c r="N2236" s="249"/>
      <c r="O2236" s="249"/>
      <c r="P2236" s="249"/>
      <c r="Q2236" s="249"/>
      <c r="R2236" s="249"/>
      <c r="S2236" s="249"/>
      <c r="T2236" s="249"/>
      <c r="U2236" s="249"/>
      <c r="V2236" s="249"/>
      <c r="W2236" s="249"/>
      <c r="X2236" s="249"/>
      <c r="Y2236" s="249"/>
      <c r="Z2236" s="249"/>
    </row>
    <row r="2237" spans="1:26" x14ac:dyDescent="0.25">
      <c r="A2237" s="249"/>
      <c r="B2237" s="249"/>
      <c r="C2237" s="249"/>
      <c r="D2237" s="249"/>
      <c r="E2237" s="249"/>
      <c r="F2237" s="249"/>
      <c r="G2237" s="249"/>
      <c r="H2237" s="249"/>
      <c r="I2237" s="258"/>
      <c r="J2237" s="249"/>
      <c r="K2237" s="249"/>
      <c r="L2237" s="249"/>
      <c r="M2237" s="259"/>
      <c r="N2237" s="249"/>
      <c r="O2237" s="249"/>
      <c r="P2237" s="249"/>
      <c r="Q2237" s="249"/>
      <c r="R2237" s="249"/>
      <c r="S2237" s="249"/>
      <c r="T2237" s="249"/>
      <c r="U2237" s="249"/>
      <c r="V2237" s="249"/>
      <c r="W2237" s="249"/>
      <c r="X2237" s="249"/>
      <c r="Y2237" s="249"/>
      <c r="Z2237" s="249"/>
    </row>
    <row r="2238" spans="1:26" x14ac:dyDescent="0.25">
      <c r="A2238" s="249"/>
      <c r="B2238" s="249"/>
      <c r="C2238" s="249"/>
      <c r="D2238" s="249"/>
      <c r="E2238" s="249"/>
      <c r="F2238" s="249"/>
      <c r="G2238" s="249"/>
      <c r="H2238" s="249"/>
      <c r="I2238" s="258"/>
      <c r="J2238" s="249"/>
      <c r="K2238" s="249"/>
      <c r="L2238" s="249"/>
      <c r="M2238" s="259"/>
      <c r="N2238" s="249"/>
      <c r="O2238" s="249"/>
      <c r="P2238" s="249"/>
      <c r="Q2238" s="249"/>
      <c r="R2238" s="249"/>
      <c r="S2238" s="249"/>
      <c r="T2238" s="249"/>
      <c r="U2238" s="249"/>
      <c r="V2238" s="249"/>
      <c r="W2238" s="249"/>
      <c r="X2238" s="249"/>
      <c r="Y2238" s="249"/>
      <c r="Z2238" s="249"/>
    </row>
    <row r="2239" spans="1:26" x14ac:dyDescent="0.25">
      <c r="A2239" s="249"/>
      <c r="B2239" s="249"/>
      <c r="C2239" s="249"/>
      <c r="D2239" s="249"/>
      <c r="E2239" s="249"/>
      <c r="F2239" s="249"/>
      <c r="G2239" s="249"/>
      <c r="H2239" s="249"/>
      <c r="I2239" s="258"/>
      <c r="J2239" s="249"/>
      <c r="K2239" s="249"/>
      <c r="L2239" s="249"/>
      <c r="M2239" s="259"/>
      <c r="N2239" s="249"/>
      <c r="O2239" s="249"/>
      <c r="P2239" s="249"/>
      <c r="Q2239" s="249"/>
      <c r="R2239" s="249"/>
      <c r="S2239" s="249"/>
      <c r="T2239" s="249"/>
      <c r="U2239" s="249"/>
      <c r="V2239" s="249"/>
      <c r="W2239" s="249"/>
      <c r="X2239" s="249"/>
      <c r="Y2239" s="249"/>
      <c r="Z2239" s="249"/>
    </row>
    <row r="2240" spans="1:26" x14ac:dyDescent="0.25">
      <c r="A2240" s="249"/>
      <c r="B2240" s="249"/>
      <c r="C2240" s="249"/>
      <c r="D2240" s="249"/>
      <c r="E2240" s="249"/>
      <c r="F2240" s="249"/>
      <c r="G2240" s="249"/>
      <c r="H2240" s="249"/>
      <c r="I2240" s="258"/>
      <c r="J2240" s="249"/>
      <c r="K2240" s="249"/>
      <c r="L2240" s="249"/>
      <c r="M2240" s="259"/>
      <c r="N2240" s="249"/>
      <c r="O2240" s="249"/>
      <c r="P2240" s="249"/>
      <c r="Q2240" s="249"/>
      <c r="R2240" s="249"/>
      <c r="S2240" s="249"/>
      <c r="T2240" s="249"/>
      <c r="U2240" s="249"/>
      <c r="V2240" s="249"/>
      <c r="W2240" s="249"/>
      <c r="X2240" s="249"/>
      <c r="Y2240" s="249"/>
      <c r="Z2240" s="249"/>
    </row>
    <row r="2241" spans="1:26" x14ac:dyDescent="0.25">
      <c r="A2241" s="249"/>
      <c r="B2241" s="249"/>
      <c r="C2241" s="249"/>
      <c r="D2241" s="249"/>
      <c r="E2241" s="249"/>
      <c r="F2241" s="249"/>
      <c r="G2241" s="249"/>
      <c r="H2241" s="249"/>
      <c r="I2241" s="258"/>
      <c r="J2241" s="249"/>
      <c r="K2241" s="249"/>
      <c r="L2241" s="249"/>
      <c r="M2241" s="259"/>
      <c r="N2241" s="249"/>
      <c r="O2241" s="249"/>
      <c r="P2241" s="249"/>
      <c r="Q2241" s="249"/>
      <c r="R2241" s="249"/>
      <c r="S2241" s="249"/>
      <c r="T2241" s="249"/>
      <c r="U2241" s="249"/>
      <c r="V2241" s="249"/>
      <c r="W2241" s="249"/>
      <c r="X2241" s="249"/>
      <c r="Y2241" s="249"/>
      <c r="Z2241" s="249"/>
    </row>
    <row r="2242" spans="1:26" x14ac:dyDescent="0.25">
      <c r="A2242" s="249"/>
      <c r="B2242" s="249"/>
      <c r="C2242" s="249"/>
      <c r="D2242" s="249"/>
      <c r="E2242" s="249"/>
      <c r="F2242" s="249"/>
      <c r="G2242" s="249"/>
      <c r="H2242" s="249"/>
      <c r="I2242" s="258"/>
      <c r="J2242" s="249"/>
      <c r="K2242" s="249"/>
      <c r="L2242" s="249"/>
      <c r="M2242" s="259"/>
      <c r="N2242" s="249"/>
      <c r="O2242" s="249"/>
      <c r="P2242" s="249"/>
      <c r="Q2242" s="249"/>
      <c r="R2242" s="249"/>
      <c r="S2242" s="249"/>
      <c r="T2242" s="249"/>
      <c r="U2242" s="249"/>
      <c r="V2242" s="249"/>
      <c r="W2242" s="249"/>
      <c r="X2242" s="249"/>
      <c r="Y2242" s="249"/>
      <c r="Z2242" s="249"/>
    </row>
    <row r="2243" spans="1:26" x14ac:dyDescent="0.25">
      <c r="A2243" s="249"/>
      <c r="B2243" s="249"/>
      <c r="C2243" s="249"/>
      <c r="D2243" s="249"/>
      <c r="E2243" s="249"/>
      <c r="F2243" s="249"/>
      <c r="G2243" s="249"/>
      <c r="H2243" s="249"/>
      <c r="I2243" s="258"/>
      <c r="J2243" s="249"/>
      <c r="K2243" s="249"/>
      <c r="L2243" s="249"/>
      <c r="M2243" s="259"/>
      <c r="N2243" s="249"/>
      <c r="O2243" s="249"/>
      <c r="P2243" s="249"/>
      <c r="Q2243" s="249"/>
      <c r="R2243" s="249"/>
      <c r="S2243" s="249"/>
      <c r="T2243" s="249"/>
      <c r="U2243" s="249"/>
      <c r="V2243" s="249"/>
      <c r="W2243" s="249"/>
      <c r="X2243" s="249"/>
      <c r="Y2243" s="249"/>
      <c r="Z2243" s="249"/>
    </row>
    <row r="2244" spans="1:26" x14ac:dyDescent="0.25">
      <c r="A2244" s="249"/>
      <c r="B2244" s="249"/>
      <c r="C2244" s="249"/>
      <c r="D2244" s="249"/>
      <c r="E2244" s="249"/>
      <c r="F2244" s="249"/>
      <c r="G2244" s="249"/>
      <c r="H2244" s="249"/>
      <c r="I2244" s="258"/>
      <c r="J2244" s="249"/>
      <c r="K2244" s="249"/>
      <c r="L2244" s="249"/>
      <c r="M2244" s="259"/>
      <c r="N2244" s="249"/>
      <c r="O2244" s="249"/>
      <c r="P2244" s="249"/>
      <c r="Q2244" s="249"/>
      <c r="R2244" s="249"/>
      <c r="S2244" s="249"/>
      <c r="T2244" s="249"/>
      <c r="U2244" s="249"/>
      <c r="V2244" s="249"/>
      <c r="W2244" s="249"/>
      <c r="X2244" s="249"/>
      <c r="Y2244" s="249"/>
      <c r="Z2244" s="249"/>
    </row>
    <row r="2245" spans="1:26" x14ac:dyDescent="0.25">
      <c r="A2245" s="249"/>
      <c r="B2245" s="249"/>
      <c r="C2245" s="249"/>
      <c r="D2245" s="249"/>
      <c r="E2245" s="249"/>
      <c r="F2245" s="249"/>
      <c r="G2245" s="249"/>
      <c r="H2245" s="249"/>
      <c r="I2245" s="258"/>
      <c r="J2245" s="249"/>
      <c r="K2245" s="249"/>
      <c r="L2245" s="249"/>
      <c r="M2245" s="259"/>
      <c r="N2245" s="249"/>
      <c r="O2245" s="249"/>
      <c r="P2245" s="249"/>
      <c r="Q2245" s="249"/>
      <c r="R2245" s="249"/>
      <c r="S2245" s="249"/>
      <c r="T2245" s="249"/>
      <c r="U2245" s="249"/>
      <c r="V2245" s="249"/>
      <c r="W2245" s="249"/>
      <c r="X2245" s="249"/>
      <c r="Y2245" s="249"/>
      <c r="Z2245" s="249"/>
    </row>
    <row r="2246" spans="1:26" x14ac:dyDescent="0.25">
      <c r="A2246" s="249"/>
      <c r="B2246" s="249"/>
      <c r="C2246" s="249"/>
      <c r="D2246" s="249"/>
      <c r="E2246" s="249"/>
      <c r="F2246" s="249"/>
      <c r="G2246" s="249"/>
      <c r="H2246" s="249"/>
      <c r="I2246" s="258"/>
      <c r="J2246" s="249"/>
      <c r="K2246" s="249"/>
      <c r="L2246" s="249"/>
      <c r="M2246" s="259"/>
      <c r="N2246" s="249"/>
      <c r="O2246" s="249"/>
      <c r="P2246" s="249"/>
      <c r="Q2246" s="249"/>
      <c r="R2246" s="249"/>
      <c r="S2246" s="249"/>
      <c r="T2246" s="249"/>
      <c r="U2246" s="249"/>
      <c r="V2246" s="249"/>
      <c r="W2246" s="249"/>
      <c r="X2246" s="249"/>
      <c r="Y2246" s="249"/>
      <c r="Z2246" s="249"/>
    </row>
    <row r="2247" spans="1:26" x14ac:dyDescent="0.25">
      <c r="A2247" s="249"/>
      <c r="B2247" s="249"/>
      <c r="C2247" s="249"/>
      <c r="D2247" s="249"/>
      <c r="E2247" s="249"/>
      <c r="F2247" s="249"/>
      <c r="G2247" s="249"/>
      <c r="H2247" s="249"/>
      <c r="I2247" s="258"/>
      <c r="J2247" s="249"/>
      <c r="K2247" s="249"/>
      <c r="L2247" s="249"/>
      <c r="M2247" s="259"/>
      <c r="N2247" s="249"/>
      <c r="O2247" s="249"/>
      <c r="P2247" s="249"/>
      <c r="Q2247" s="249"/>
      <c r="R2247" s="249"/>
      <c r="S2247" s="249"/>
      <c r="T2247" s="249"/>
      <c r="U2247" s="249"/>
      <c r="V2247" s="249"/>
      <c r="W2247" s="249"/>
      <c r="X2247" s="249"/>
      <c r="Y2247" s="249"/>
      <c r="Z2247" s="249"/>
    </row>
    <row r="2248" spans="1:26" x14ac:dyDescent="0.25">
      <c r="A2248" s="249"/>
      <c r="B2248" s="249"/>
      <c r="C2248" s="249"/>
      <c r="D2248" s="249"/>
      <c r="E2248" s="249"/>
      <c r="F2248" s="249"/>
      <c r="G2248" s="249"/>
      <c r="H2248" s="249"/>
      <c r="I2248" s="258"/>
      <c r="J2248" s="249"/>
      <c r="K2248" s="249"/>
      <c r="L2248" s="249"/>
      <c r="M2248" s="259"/>
      <c r="N2248" s="249"/>
      <c r="O2248" s="249"/>
      <c r="P2248" s="249"/>
      <c r="Q2248" s="249"/>
      <c r="R2248" s="249"/>
      <c r="S2248" s="249"/>
      <c r="T2248" s="249"/>
      <c r="U2248" s="249"/>
      <c r="V2248" s="249"/>
      <c r="W2248" s="249"/>
      <c r="X2248" s="249"/>
      <c r="Y2248" s="249"/>
      <c r="Z2248" s="249"/>
    </row>
    <row r="2249" spans="1:26" x14ac:dyDescent="0.25">
      <c r="A2249" s="249"/>
      <c r="B2249" s="249"/>
      <c r="C2249" s="249"/>
      <c r="D2249" s="249"/>
      <c r="E2249" s="249"/>
      <c r="F2249" s="249"/>
      <c r="G2249" s="249"/>
      <c r="H2249" s="249"/>
      <c r="I2249" s="258"/>
      <c r="J2249" s="249"/>
      <c r="K2249" s="249"/>
      <c r="L2249" s="249"/>
      <c r="M2249" s="259"/>
      <c r="N2249" s="249"/>
      <c r="O2249" s="249"/>
      <c r="P2249" s="249"/>
      <c r="Q2249" s="249"/>
      <c r="R2249" s="249"/>
      <c r="S2249" s="249"/>
      <c r="T2249" s="249"/>
      <c r="U2249" s="249"/>
      <c r="V2249" s="249"/>
      <c r="W2249" s="249"/>
      <c r="X2249" s="249"/>
      <c r="Y2249" s="249"/>
      <c r="Z2249" s="249"/>
    </row>
    <row r="2250" spans="1:26" x14ac:dyDescent="0.25">
      <c r="A2250" s="249"/>
      <c r="B2250" s="249"/>
      <c r="C2250" s="249"/>
      <c r="D2250" s="249"/>
      <c r="E2250" s="249"/>
      <c r="F2250" s="249"/>
      <c r="G2250" s="249"/>
      <c r="H2250" s="249"/>
      <c r="I2250" s="258"/>
      <c r="J2250" s="249"/>
      <c r="K2250" s="249"/>
      <c r="L2250" s="249"/>
      <c r="M2250" s="259"/>
      <c r="N2250" s="249"/>
      <c r="O2250" s="249"/>
      <c r="P2250" s="249"/>
      <c r="Q2250" s="249"/>
      <c r="R2250" s="249"/>
      <c r="S2250" s="249"/>
      <c r="T2250" s="249"/>
      <c r="U2250" s="249"/>
      <c r="V2250" s="249"/>
      <c r="W2250" s="249"/>
      <c r="X2250" s="249"/>
      <c r="Y2250" s="249"/>
      <c r="Z2250" s="249"/>
    </row>
    <row r="2251" spans="1:26" x14ac:dyDescent="0.25">
      <c r="A2251" s="249"/>
      <c r="B2251" s="249"/>
      <c r="C2251" s="249"/>
      <c r="D2251" s="249"/>
      <c r="E2251" s="249"/>
      <c r="F2251" s="249"/>
      <c r="G2251" s="249"/>
      <c r="H2251" s="249"/>
      <c r="I2251" s="258"/>
      <c r="J2251" s="249"/>
      <c r="K2251" s="249"/>
      <c r="L2251" s="249"/>
      <c r="M2251" s="259"/>
      <c r="N2251" s="249"/>
      <c r="O2251" s="249"/>
      <c r="P2251" s="249"/>
      <c r="Q2251" s="249"/>
      <c r="R2251" s="249"/>
      <c r="S2251" s="249"/>
      <c r="T2251" s="249"/>
      <c r="U2251" s="249"/>
      <c r="V2251" s="249"/>
      <c r="W2251" s="249"/>
      <c r="X2251" s="249"/>
      <c r="Y2251" s="249"/>
      <c r="Z2251" s="249"/>
    </row>
    <row r="2252" spans="1:26" x14ac:dyDescent="0.25">
      <c r="A2252" s="249"/>
      <c r="B2252" s="249"/>
      <c r="C2252" s="249"/>
      <c r="D2252" s="249"/>
      <c r="E2252" s="249"/>
      <c r="F2252" s="249"/>
      <c r="G2252" s="249"/>
      <c r="H2252" s="249"/>
      <c r="I2252" s="258"/>
      <c r="J2252" s="249"/>
      <c r="K2252" s="249"/>
      <c r="L2252" s="249"/>
      <c r="M2252" s="259"/>
      <c r="N2252" s="249"/>
      <c r="O2252" s="249"/>
      <c r="P2252" s="249"/>
      <c r="Q2252" s="249"/>
      <c r="R2252" s="249"/>
      <c r="S2252" s="249"/>
      <c r="T2252" s="249"/>
      <c r="U2252" s="249"/>
      <c r="V2252" s="249"/>
      <c r="W2252" s="249"/>
      <c r="X2252" s="249"/>
      <c r="Y2252" s="249"/>
      <c r="Z2252" s="249"/>
    </row>
    <row r="2253" spans="1:26" x14ac:dyDescent="0.25">
      <c r="A2253" s="249"/>
      <c r="B2253" s="249"/>
      <c r="C2253" s="249"/>
      <c r="D2253" s="249"/>
      <c r="E2253" s="249"/>
      <c r="F2253" s="249"/>
      <c r="G2253" s="249"/>
      <c r="H2253" s="249"/>
      <c r="I2253" s="258"/>
      <c r="J2253" s="249"/>
      <c r="K2253" s="249"/>
      <c r="L2253" s="249"/>
      <c r="M2253" s="259"/>
      <c r="N2253" s="249"/>
      <c r="O2253" s="249"/>
      <c r="P2253" s="249"/>
      <c r="Q2253" s="249"/>
      <c r="R2253" s="249"/>
      <c r="S2253" s="249"/>
      <c r="T2253" s="249"/>
      <c r="U2253" s="249"/>
      <c r="V2253" s="249"/>
      <c r="W2253" s="249"/>
      <c r="X2253" s="249"/>
      <c r="Y2253" s="249"/>
      <c r="Z2253" s="249"/>
    </row>
    <row r="2254" spans="1:26" x14ac:dyDescent="0.25">
      <c r="A2254" s="249"/>
      <c r="B2254" s="249"/>
      <c r="C2254" s="249"/>
      <c r="D2254" s="249"/>
      <c r="E2254" s="249"/>
      <c r="F2254" s="249"/>
      <c r="G2254" s="249"/>
      <c r="H2254" s="249"/>
      <c r="I2254" s="258"/>
      <c r="J2254" s="249"/>
      <c r="K2254" s="249"/>
      <c r="L2254" s="249"/>
      <c r="M2254" s="259"/>
      <c r="N2254" s="249"/>
      <c r="O2254" s="249"/>
      <c r="P2254" s="249"/>
      <c r="Q2254" s="249"/>
      <c r="R2254" s="249"/>
      <c r="S2254" s="249"/>
      <c r="T2254" s="249"/>
      <c r="U2254" s="249"/>
      <c r="V2254" s="249"/>
      <c r="W2254" s="249"/>
      <c r="X2254" s="249"/>
      <c r="Y2254" s="249"/>
      <c r="Z2254" s="249"/>
    </row>
    <row r="2255" spans="1:26" x14ac:dyDescent="0.25">
      <c r="A2255" s="249"/>
      <c r="B2255" s="249"/>
      <c r="C2255" s="249"/>
      <c r="D2255" s="249"/>
      <c r="E2255" s="249"/>
      <c r="F2255" s="249"/>
      <c r="G2255" s="249"/>
      <c r="H2255" s="249"/>
      <c r="I2255" s="258"/>
      <c r="J2255" s="249"/>
      <c r="K2255" s="249"/>
      <c r="L2255" s="249"/>
      <c r="M2255" s="259"/>
      <c r="N2255" s="249"/>
      <c r="O2255" s="249"/>
      <c r="P2255" s="249"/>
      <c r="Q2255" s="249"/>
      <c r="R2255" s="249"/>
      <c r="S2255" s="249"/>
      <c r="T2255" s="249"/>
      <c r="U2255" s="249"/>
      <c r="V2255" s="249"/>
      <c r="W2255" s="249"/>
      <c r="X2255" s="249"/>
      <c r="Y2255" s="249"/>
      <c r="Z2255" s="249"/>
    </row>
    <row r="2256" spans="1:26" x14ac:dyDescent="0.25">
      <c r="A2256" s="249"/>
      <c r="B2256" s="249"/>
      <c r="C2256" s="249"/>
      <c r="D2256" s="249"/>
      <c r="E2256" s="249"/>
      <c r="F2256" s="249"/>
      <c r="G2256" s="249"/>
      <c r="H2256" s="249"/>
      <c r="I2256" s="258"/>
      <c r="J2256" s="249"/>
      <c r="K2256" s="249"/>
      <c r="L2256" s="249"/>
      <c r="M2256" s="259"/>
      <c r="N2256" s="249"/>
      <c r="O2256" s="249"/>
      <c r="P2256" s="249"/>
      <c r="Q2256" s="249"/>
      <c r="R2256" s="249"/>
      <c r="S2256" s="249"/>
      <c r="T2256" s="249"/>
      <c r="U2256" s="249"/>
      <c r="V2256" s="249"/>
      <c r="W2256" s="249"/>
      <c r="X2256" s="249"/>
      <c r="Y2256" s="249"/>
      <c r="Z2256" s="249"/>
    </row>
    <row r="2257" spans="1:26" x14ac:dyDescent="0.25">
      <c r="A2257" s="249"/>
      <c r="B2257" s="249"/>
      <c r="C2257" s="249"/>
      <c r="D2257" s="249"/>
      <c r="E2257" s="249"/>
      <c r="F2257" s="249"/>
      <c r="G2257" s="249"/>
      <c r="H2257" s="249"/>
      <c r="I2257" s="258"/>
      <c r="J2257" s="249"/>
      <c r="K2257" s="249"/>
      <c r="L2257" s="249"/>
      <c r="M2257" s="259"/>
      <c r="N2257" s="249"/>
      <c r="O2257" s="249"/>
      <c r="P2257" s="249"/>
      <c r="Q2257" s="249"/>
      <c r="R2257" s="249"/>
      <c r="S2257" s="249"/>
      <c r="T2257" s="249"/>
      <c r="U2257" s="249"/>
      <c r="V2257" s="249"/>
      <c r="W2257" s="249"/>
      <c r="X2257" s="249"/>
      <c r="Y2257" s="249"/>
      <c r="Z2257" s="249"/>
    </row>
    <row r="2258" spans="1:26" x14ac:dyDescent="0.25">
      <c r="A2258" s="249"/>
      <c r="B2258" s="249"/>
      <c r="C2258" s="249"/>
      <c r="D2258" s="249"/>
      <c r="E2258" s="249"/>
      <c r="F2258" s="249"/>
      <c r="G2258" s="249"/>
      <c r="H2258" s="249"/>
      <c r="I2258" s="258"/>
      <c r="J2258" s="249"/>
      <c r="K2258" s="249"/>
      <c r="L2258" s="249"/>
      <c r="M2258" s="259"/>
      <c r="N2258" s="249"/>
      <c r="O2258" s="249"/>
      <c r="P2258" s="249"/>
      <c r="Q2258" s="249"/>
      <c r="R2258" s="249"/>
      <c r="S2258" s="249"/>
      <c r="T2258" s="249"/>
      <c r="U2258" s="249"/>
      <c r="V2258" s="249"/>
      <c r="W2258" s="249"/>
      <c r="X2258" s="249"/>
      <c r="Y2258" s="249"/>
      <c r="Z2258" s="249"/>
    </row>
    <row r="2259" spans="1:26" x14ac:dyDescent="0.25">
      <c r="A2259" s="249"/>
      <c r="B2259" s="249"/>
      <c r="C2259" s="249"/>
      <c r="D2259" s="249"/>
      <c r="E2259" s="249"/>
      <c r="F2259" s="249"/>
      <c r="G2259" s="249"/>
      <c r="H2259" s="249"/>
      <c r="I2259" s="258"/>
      <c r="J2259" s="249"/>
      <c r="K2259" s="249"/>
      <c r="L2259" s="249"/>
      <c r="M2259" s="259"/>
      <c r="N2259" s="249"/>
      <c r="O2259" s="249"/>
      <c r="P2259" s="249"/>
      <c r="Q2259" s="249"/>
      <c r="R2259" s="249"/>
      <c r="S2259" s="249"/>
      <c r="T2259" s="249"/>
      <c r="U2259" s="249"/>
      <c r="V2259" s="249"/>
      <c r="W2259" s="249"/>
      <c r="X2259" s="249"/>
      <c r="Y2259" s="249"/>
      <c r="Z2259" s="249"/>
    </row>
    <row r="2260" spans="1:26" x14ac:dyDescent="0.25">
      <c r="A2260" s="249"/>
      <c r="B2260" s="249"/>
      <c r="C2260" s="249"/>
      <c r="D2260" s="249"/>
      <c r="E2260" s="249"/>
      <c r="F2260" s="249"/>
      <c r="G2260" s="249"/>
      <c r="H2260" s="249"/>
      <c r="I2260" s="258"/>
      <c r="J2260" s="249"/>
      <c r="K2260" s="249"/>
      <c r="L2260" s="249"/>
      <c r="M2260" s="259"/>
      <c r="N2260" s="249"/>
      <c r="O2260" s="249"/>
      <c r="P2260" s="249"/>
      <c r="Q2260" s="249"/>
      <c r="R2260" s="249"/>
      <c r="S2260" s="249"/>
      <c r="T2260" s="249"/>
      <c r="U2260" s="249"/>
      <c r="V2260" s="249"/>
      <c r="W2260" s="249"/>
      <c r="X2260" s="249"/>
      <c r="Y2260" s="249"/>
      <c r="Z2260" s="249"/>
    </row>
    <row r="2261" spans="1:26" x14ac:dyDescent="0.25">
      <c r="A2261" s="249"/>
      <c r="B2261" s="249"/>
      <c r="C2261" s="249"/>
      <c r="D2261" s="249"/>
      <c r="E2261" s="249"/>
      <c r="F2261" s="249"/>
      <c r="G2261" s="249"/>
      <c r="H2261" s="249"/>
      <c r="I2261" s="258"/>
      <c r="J2261" s="249"/>
      <c r="K2261" s="249"/>
      <c r="L2261" s="249"/>
      <c r="M2261" s="259"/>
      <c r="N2261" s="249"/>
      <c r="O2261" s="249"/>
      <c r="P2261" s="249"/>
      <c r="Q2261" s="249"/>
      <c r="R2261" s="249"/>
      <c r="S2261" s="249"/>
      <c r="T2261" s="249"/>
      <c r="U2261" s="249"/>
      <c r="V2261" s="249"/>
      <c r="W2261" s="249"/>
      <c r="X2261" s="249"/>
      <c r="Y2261" s="249"/>
      <c r="Z2261" s="249"/>
    </row>
    <row r="2262" spans="1:26" x14ac:dyDescent="0.25">
      <c r="A2262" s="249"/>
      <c r="B2262" s="249"/>
      <c r="C2262" s="249"/>
      <c r="D2262" s="249"/>
      <c r="E2262" s="249"/>
      <c r="F2262" s="249"/>
      <c r="G2262" s="249"/>
      <c r="H2262" s="249"/>
      <c r="I2262" s="258"/>
      <c r="J2262" s="249"/>
      <c r="K2262" s="249"/>
      <c r="L2262" s="249"/>
      <c r="M2262" s="259"/>
      <c r="N2262" s="249"/>
      <c r="O2262" s="249"/>
      <c r="P2262" s="249"/>
      <c r="Q2262" s="249"/>
      <c r="R2262" s="249"/>
      <c r="S2262" s="249"/>
      <c r="T2262" s="249"/>
      <c r="U2262" s="249"/>
      <c r="V2262" s="249"/>
      <c r="W2262" s="249"/>
      <c r="X2262" s="249"/>
      <c r="Y2262" s="249"/>
      <c r="Z2262" s="249"/>
    </row>
    <row r="2263" spans="1:26" x14ac:dyDescent="0.25">
      <c r="A2263" s="249"/>
      <c r="B2263" s="249"/>
      <c r="C2263" s="249"/>
      <c r="D2263" s="249"/>
      <c r="E2263" s="249"/>
      <c r="F2263" s="249"/>
      <c r="G2263" s="249"/>
      <c r="H2263" s="249"/>
      <c r="I2263" s="258"/>
      <c r="J2263" s="249"/>
      <c r="K2263" s="249"/>
      <c r="L2263" s="249"/>
      <c r="M2263" s="259"/>
      <c r="N2263" s="249"/>
      <c r="O2263" s="249"/>
      <c r="P2263" s="249"/>
      <c r="Q2263" s="249"/>
      <c r="R2263" s="249"/>
      <c r="S2263" s="249"/>
      <c r="T2263" s="249"/>
      <c r="U2263" s="249"/>
      <c r="V2263" s="249"/>
      <c r="W2263" s="249"/>
      <c r="X2263" s="249"/>
      <c r="Y2263" s="249"/>
      <c r="Z2263" s="249"/>
    </row>
    <row r="2264" spans="1:26" x14ac:dyDescent="0.25">
      <c r="A2264" s="249"/>
      <c r="B2264" s="249"/>
      <c r="C2264" s="249"/>
      <c r="D2264" s="249"/>
      <c r="E2264" s="249"/>
      <c r="F2264" s="249"/>
      <c r="G2264" s="249"/>
      <c r="H2264" s="249"/>
      <c r="I2264" s="258"/>
      <c r="J2264" s="249"/>
      <c r="K2264" s="249"/>
      <c r="L2264" s="249"/>
      <c r="M2264" s="259"/>
      <c r="N2264" s="249"/>
      <c r="O2264" s="249"/>
      <c r="P2264" s="249"/>
      <c r="Q2264" s="249"/>
      <c r="R2264" s="249"/>
      <c r="S2264" s="249"/>
      <c r="T2264" s="249"/>
      <c r="U2264" s="249"/>
      <c r="V2264" s="249"/>
      <c r="W2264" s="249"/>
      <c r="X2264" s="249"/>
      <c r="Y2264" s="249"/>
      <c r="Z2264" s="249"/>
    </row>
    <row r="2265" spans="1:26" x14ac:dyDescent="0.25">
      <c r="A2265" s="249"/>
      <c r="B2265" s="249"/>
      <c r="C2265" s="249"/>
      <c r="D2265" s="249"/>
      <c r="E2265" s="249"/>
      <c r="F2265" s="249"/>
      <c r="G2265" s="249"/>
      <c r="H2265" s="249"/>
      <c r="I2265" s="258"/>
      <c r="J2265" s="249"/>
      <c r="K2265" s="249"/>
      <c r="L2265" s="249"/>
      <c r="M2265" s="259"/>
      <c r="N2265" s="249"/>
      <c r="O2265" s="249"/>
      <c r="P2265" s="249"/>
      <c r="Q2265" s="249"/>
      <c r="R2265" s="249"/>
      <c r="S2265" s="249"/>
      <c r="T2265" s="249"/>
      <c r="U2265" s="249"/>
      <c r="V2265" s="249"/>
      <c r="W2265" s="249"/>
      <c r="X2265" s="249"/>
      <c r="Y2265" s="249"/>
      <c r="Z2265" s="249"/>
    </row>
    <row r="2266" spans="1:26" x14ac:dyDescent="0.25">
      <c r="A2266" s="249"/>
      <c r="B2266" s="249"/>
      <c r="C2266" s="249"/>
      <c r="D2266" s="249"/>
      <c r="E2266" s="249"/>
      <c r="F2266" s="249"/>
      <c r="G2266" s="249"/>
      <c r="H2266" s="249"/>
      <c r="I2266" s="258"/>
      <c r="J2266" s="249"/>
      <c r="K2266" s="249"/>
      <c r="L2266" s="249"/>
      <c r="M2266" s="259"/>
      <c r="N2266" s="249"/>
      <c r="O2266" s="249"/>
      <c r="P2266" s="249"/>
      <c r="Q2266" s="249"/>
      <c r="R2266" s="249"/>
      <c r="S2266" s="249"/>
      <c r="T2266" s="249"/>
      <c r="U2266" s="249"/>
      <c r="V2266" s="249"/>
      <c r="W2266" s="249"/>
      <c r="X2266" s="249"/>
      <c r="Y2266" s="249"/>
      <c r="Z2266" s="249"/>
    </row>
    <row r="2267" spans="1:26" x14ac:dyDescent="0.25">
      <c r="A2267" s="249"/>
      <c r="B2267" s="249"/>
      <c r="C2267" s="249"/>
      <c r="D2267" s="249"/>
      <c r="E2267" s="249"/>
      <c r="F2267" s="249"/>
      <c r="G2267" s="249"/>
      <c r="H2267" s="249"/>
      <c r="I2267" s="258"/>
      <c r="J2267" s="249"/>
      <c r="K2267" s="249"/>
      <c r="L2267" s="249"/>
      <c r="M2267" s="259"/>
      <c r="N2267" s="249"/>
      <c r="O2267" s="249"/>
      <c r="P2267" s="249"/>
      <c r="Q2267" s="249"/>
      <c r="R2267" s="249"/>
      <c r="S2267" s="249"/>
      <c r="T2267" s="249"/>
      <c r="U2267" s="249"/>
      <c r="V2267" s="249"/>
      <c r="W2267" s="249"/>
      <c r="X2267" s="249"/>
      <c r="Y2267" s="249"/>
      <c r="Z2267" s="249"/>
    </row>
    <row r="2268" spans="1:26" x14ac:dyDescent="0.25">
      <c r="A2268" s="249"/>
      <c r="B2268" s="249"/>
      <c r="C2268" s="249"/>
      <c r="D2268" s="249"/>
      <c r="E2268" s="249"/>
      <c r="F2268" s="249"/>
      <c r="G2268" s="249"/>
      <c r="H2268" s="249"/>
      <c r="I2268" s="258"/>
      <c r="J2268" s="249"/>
      <c r="K2268" s="249"/>
      <c r="L2268" s="249"/>
      <c r="M2268" s="259"/>
      <c r="N2268" s="249"/>
      <c r="O2268" s="249"/>
      <c r="P2268" s="249"/>
      <c r="Q2268" s="249"/>
      <c r="R2268" s="249"/>
      <c r="S2268" s="249"/>
      <c r="T2268" s="249"/>
      <c r="U2268" s="249"/>
      <c r="V2268" s="249"/>
      <c r="W2268" s="249"/>
      <c r="X2268" s="249"/>
      <c r="Y2268" s="249"/>
      <c r="Z2268" s="249"/>
    </row>
    <row r="2269" spans="1:26" x14ac:dyDescent="0.25">
      <c r="A2269" s="249"/>
      <c r="B2269" s="249"/>
      <c r="C2269" s="249"/>
      <c r="D2269" s="249"/>
      <c r="E2269" s="249"/>
      <c r="F2269" s="249"/>
      <c r="G2269" s="249"/>
      <c r="H2269" s="249"/>
      <c r="I2269" s="258"/>
      <c r="J2269" s="249"/>
      <c r="K2269" s="249"/>
      <c r="L2269" s="249"/>
      <c r="M2269" s="259"/>
      <c r="N2269" s="249"/>
      <c r="O2269" s="249"/>
      <c r="P2269" s="249"/>
      <c r="Q2269" s="249"/>
      <c r="R2269" s="249"/>
      <c r="S2269" s="249"/>
      <c r="T2269" s="249"/>
      <c r="U2269" s="249"/>
      <c r="V2269" s="249"/>
      <c r="W2269" s="249"/>
      <c r="X2269" s="249"/>
      <c r="Y2269" s="249"/>
      <c r="Z2269" s="249"/>
    </row>
    <row r="2270" spans="1:26" x14ac:dyDescent="0.25">
      <c r="A2270" s="249"/>
      <c r="B2270" s="249"/>
      <c r="C2270" s="249"/>
      <c r="D2270" s="249"/>
      <c r="E2270" s="249"/>
      <c r="F2270" s="249"/>
      <c r="G2270" s="249"/>
      <c r="H2270" s="249"/>
      <c r="I2270" s="258"/>
      <c r="J2270" s="249"/>
      <c r="K2270" s="249"/>
      <c r="L2270" s="249"/>
      <c r="M2270" s="259"/>
      <c r="N2270" s="249"/>
      <c r="O2270" s="249"/>
      <c r="P2270" s="249"/>
      <c r="Q2270" s="249"/>
      <c r="R2270" s="249"/>
      <c r="S2270" s="249"/>
      <c r="T2270" s="249"/>
      <c r="U2270" s="249"/>
      <c r="V2270" s="249"/>
      <c r="W2270" s="249"/>
      <c r="X2270" s="249"/>
      <c r="Y2270" s="249"/>
      <c r="Z2270" s="249"/>
    </row>
    <row r="2271" spans="1:26" x14ac:dyDescent="0.25">
      <c r="A2271" s="249"/>
      <c r="B2271" s="249"/>
      <c r="C2271" s="249"/>
      <c r="D2271" s="249"/>
      <c r="E2271" s="249"/>
      <c r="F2271" s="249"/>
      <c r="G2271" s="249"/>
      <c r="H2271" s="249"/>
      <c r="I2271" s="258"/>
      <c r="J2271" s="249"/>
      <c r="K2271" s="249"/>
      <c r="L2271" s="249"/>
      <c r="M2271" s="259"/>
      <c r="N2271" s="249"/>
      <c r="O2271" s="249"/>
      <c r="P2271" s="249"/>
      <c r="Q2271" s="249"/>
      <c r="R2271" s="249"/>
      <c r="S2271" s="249"/>
      <c r="T2271" s="249"/>
      <c r="U2271" s="249"/>
      <c r="V2271" s="249"/>
      <c r="W2271" s="249"/>
      <c r="X2271" s="249"/>
      <c r="Y2271" s="249"/>
      <c r="Z2271" s="249"/>
    </row>
    <row r="2272" spans="1:26" x14ac:dyDescent="0.25">
      <c r="A2272" s="249"/>
      <c r="B2272" s="249"/>
      <c r="C2272" s="249"/>
      <c r="D2272" s="249"/>
      <c r="E2272" s="249"/>
      <c r="F2272" s="249"/>
      <c r="G2272" s="249"/>
      <c r="H2272" s="249"/>
      <c r="I2272" s="258"/>
      <c r="J2272" s="249"/>
      <c r="K2272" s="249"/>
      <c r="L2272" s="249"/>
      <c r="M2272" s="259"/>
      <c r="N2272" s="249"/>
      <c r="O2272" s="249"/>
      <c r="P2272" s="249"/>
      <c r="Q2272" s="249"/>
      <c r="R2272" s="249"/>
      <c r="S2272" s="249"/>
      <c r="T2272" s="249"/>
      <c r="U2272" s="249"/>
      <c r="V2272" s="249"/>
      <c r="W2272" s="249"/>
      <c r="X2272" s="249"/>
      <c r="Y2272" s="249"/>
      <c r="Z2272" s="249"/>
    </row>
    <row r="2273" spans="1:26" x14ac:dyDescent="0.25">
      <c r="A2273" s="249"/>
      <c r="B2273" s="249"/>
      <c r="C2273" s="249"/>
      <c r="D2273" s="249"/>
      <c r="E2273" s="249"/>
      <c r="F2273" s="249"/>
      <c r="G2273" s="249"/>
      <c r="H2273" s="249"/>
      <c r="I2273" s="258"/>
      <c r="J2273" s="249"/>
      <c r="K2273" s="249"/>
      <c r="L2273" s="249"/>
      <c r="M2273" s="259"/>
      <c r="N2273" s="249"/>
      <c r="O2273" s="249"/>
      <c r="P2273" s="249"/>
      <c r="Q2273" s="249"/>
      <c r="R2273" s="249"/>
      <c r="S2273" s="249"/>
      <c r="T2273" s="249"/>
      <c r="U2273" s="249"/>
      <c r="V2273" s="249"/>
      <c r="W2273" s="249"/>
      <c r="X2273" s="249"/>
      <c r="Y2273" s="249"/>
      <c r="Z2273" s="249"/>
    </row>
    <row r="2274" spans="1:26" x14ac:dyDescent="0.25">
      <c r="A2274" s="249"/>
      <c r="B2274" s="249"/>
      <c r="C2274" s="249"/>
      <c r="D2274" s="249"/>
      <c r="E2274" s="249"/>
      <c r="F2274" s="249"/>
      <c r="G2274" s="249"/>
      <c r="H2274" s="249"/>
      <c r="I2274" s="258"/>
      <c r="J2274" s="249"/>
      <c r="K2274" s="249"/>
      <c r="L2274" s="249"/>
      <c r="M2274" s="259"/>
      <c r="N2274" s="249"/>
      <c r="O2274" s="249"/>
      <c r="P2274" s="249"/>
      <c r="Q2274" s="249"/>
      <c r="R2274" s="249"/>
      <c r="S2274" s="249"/>
      <c r="T2274" s="249"/>
      <c r="U2274" s="249"/>
      <c r="V2274" s="249"/>
      <c r="W2274" s="249"/>
      <c r="X2274" s="249"/>
      <c r="Y2274" s="249"/>
      <c r="Z2274" s="249"/>
    </row>
  </sheetData>
  <phoneticPr fontId="31" type="noConversion"/>
  <conditionalFormatting sqref="A1">
    <cfRule type="duplicateValues" dxfId="163" priority="2271" stopIfTrue="1"/>
    <cfRule type="duplicateValues" dxfId="162" priority="2272"/>
  </conditionalFormatting>
  <conditionalFormatting sqref="A275:A1048576 A1:A163 A177:A267">
    <cfRule type="duplicateValues" dxfId="161" priority="5024"/>
  </conditionalFormatting>
  <conditionalFormatting sqref="B1">
    <cfRule type="duplicateValues" dxfId="160" priority="334" stopIfTrue="1"/>
    <cfRule type="duplicateValues" dxfId="159" priority="335" stopIfTrue="1"/>
  </conditionalFormatting>
  <conditionalFormatting sqref="B3:B91">
    <cfRule type="duplicateValues" dxfId="158" priority="6299"/>
  </conditionalFormatting>
  <conditionalFormatting sqref="B3:B60">
    <cfRule type="duplicateValues" dxfId="157" priority="6300"/>
    <cfRule type="duplicateValues" dxfId="156" priority="6301"/>
  </conditionalFormatting>
  <conditionalFormatting sqref="A164:A169">
    <cfRule type="duplicateValues" dxfId="155" priority="93"/>
  </conditionalFormatting>
  <conditionalFormatting sqref="A164:A169">
    <cfRule type="duplicateValues" dxfId="154" priority="90"/>
  </conditionalFormatting>
  <conditionalFormatting sqref="A164:A169">
    <cfRule type="duplicateValues" dxfId="153" priority="91"/>
    <cfRule type="duplicateValues" dxfId="152" priority="92"/>
  </conditionalFormatting>
  <conditionalFormatting sqref="B164:B172">
    <cfRule type="duplicateValues" dxfId="151" priority="87"/>
  </conditionalFormatting>
  <conditionalFormatting sqref="B164:B172">
    <cfRule type="duplicateValues" dxfId="150" priority="88"/>
    <cfRule type="duplicateValues" dxfId="149" priority="89"/>
  </conditionalFormatting>
  <conditionalFormatting sqref="A164:A169">
    <cfRule type="duplicateValues" dxfId="148" priority="94"/>
    <cfRule type="duplicateValues" dxfId="147" priority="95"/>
    <cfRule type="duplicateValues" dxfId="146" priority="96" stopIfTrue="1"/>
    <cfRule type="duplicateValues" dxfId="145" priority="97"/>
    <cfRule type="duplicateValues" dxfId="144" priority="98" stopIfTrue="1"/>
    <cfRule type="duplicateValues" dxfId="143" priority="99"/>
  </conditionalFormatting>
  <conditionalFormatting sqref="A164:A169">
    <cfRule type="duplicateValues" dxfId="142" priority="100"/>
    <cfRule type="duplicateValues" dxfId="141" priority="101" stopIfTrue="1"/>
    <cfRule type="duplicateValues" dxfId="140" priority="102"/>
  </conditionalFormatting>
  <conditionalFormatting sqref="A164:A169">
    <cfRule type="duplicateValues" dxfId="139" priority="103" stopIfTrue="1"/>
    <cfRule type="duplicateValues" dxfId="138" priority="104"/>
  </conditionalFormatting>
  <conditionalFormatting sqref="B173">
    <cfRule type="duplicateValues" dxfId="137" priority="69"/>
  </conditionalFormatting>
  <conditionalFormatting sqref="B173">
    <cfRule type="duplicateValues" dxfId="136" priority="70"/>
    <cfRule type="duplicateValues" dxfId="135" priority="71"/>
  </conditionalFormatting>
  <conditionalFormatting sqref="B174">
    <cfRule type="duplicateValues" dxfId="134" priority="63"/>
  </conditionalFormatting>
  <conditionalFormatting sqref="B174">
    <cfRule type="duplicateValues" dxfId="133" priority="64"/>
    <cfRule type="duplicateValues" dxfId="132" priority="65"/>
  </conditionalFormatting>
  <conditionalFormatting sqref="A170:A175">
    <cfRule type="duplicateValues" dxfId="131" priority="51"/>
  </conditionalFormatting>
  <conditionalFormatting sqref="A170:A175">
    <cfRule type="duplicateValues" dxfId="130" priority="52"/>
    <cfRule type="duplicateValues" dxfId="129" priority="53"/>
    <cfRule type="duplicateValues" dxfId="128" priority="54" stopIfTrue="1"/>
    <cfRule type="duplicateValues" dxfId="127" priority="55"/>
    <cfRule type="duplicateValues" dxfId="126" priority="56" stopIfTrue="1"/>
    <cfRule type="duplicateValues" dxfId="125" priority="57"/>
  </conditionalFormatting>
  <conditionalFormatting sqref="A170:A175">
    <cfRule type="duplicateValues" dxfId="124" priority="58"/>
    <cfRule type="duplicateValues" dxfId="123" priority="59" stopIfTrue="1"/>
    <cfRule type="duplicateValues" dxfId="122" priority="60"/>
  </conditionalFormatting>
  <conditionalFormatting sqref="A170:A175">
    <cfRule type="duplicateValues" dxfId="121" priority="61" stopIfTrue="1"/>
    <cfRule type="duplicateValues" dxfId="120" priority="62"/>
  </conditionalFormatting>
  <conditionalFormatting sqref="A176">
    <cfRule type="duplicateValues" dxfId="119" priority="27"/>
  </conditionalFormatting>
  <conditionalFormatting sqref="A176">
    <cfRule type="duplicateValues" dxfId="118" priority="28"/>
    <cfRule type="duplicateValues" dxfId="117" priority="29"/>
    <cfRule type="duplicateValues" dxfId="116" priority="30" stopIfTrue="1"/>
    <cfRule type="duplicateValues" dxfId="115" priority="31"/>
    <cfRule type="duplicateValues" dxfId="114" priority="32" stopIfTrue="1"/>
    <cfRule type="duplicateValues" dxfId="113" priority="33"/>
  </conditionalFormatting>
  <conditionalFormatting sqref="A176">
    <cfRule type="duplicateValues" dxfId="112" priority="34"/>
    <cfRule type="duplicateValues" dxfId="111" priority="35" stopIfTrue="1"/>
    <cfRule type="duplicateValues" dxfId="110" priority="36"/>
  </conditionalFormatting>
  <conditionalFormatting sqref="A176">
    <cfRule type="duplicateValues" dxfId="109" priority="37" stopIfTrue="1"/>
    <cfRule type="duplicateValues" dxfId="108" priority="38"/>
  </conditionalFormatting>
  <conditionalFormatting sqref="A268:A274">
    <cfRule type="duplicateValues" dxfId="107" priority="7"/>
  </conditionalFormatting>
  <conditionalFormatting sqref="B268">
    <cfRule type="duplicateValues" dxfId="106" priority="8"/>
  </conditionalFormatting>
  <conditionalFormatting sqref="B268">
    <cfRule type="duplicateValues" dxfId="105" priority="9"/>
  </conditionalFormatting>
  <conditionalFormatting sqref="A269:A274">
    <cfRule type="duplicateValues" dxfId="104" priority="10"/>
  </conditionalFormatting>
  <conditionalFormatting sqref="A269:A274">
    <cfRule type="duplicateValues" dxfId="103" priority="11"/>
    <cfRule type="duplicateValues" dxfId="102" priority="12"/>
  </conditionalFormatting>
  <conditionalFormatting sqref="B269">
    <cfRule type="duplicateValues" dxfId="101" priority="13"/>
  </conditionalFormatting>
  <conditionalFormatting sqref="B269">
    <cfRule type="duplicateValues" dxfId="100" priority="14"/>
    <cfRule type="duplicateValues" dxfId="99" priority="15"/>
  </conditionalFormatting>
  <conditionalFormatting sqref="A268:A274">
    <cfRule type="duplicateValues" dxfId="98" priority="16"/>
    <cfRule type="duplicateValues" dxfId="97" priority="17"/>
    <cfRule type="duplicateValues" dxfId="96" priority="18" stopIfTrue="1"/>
    <cfRule type="duplicateValues" dxfId="95" priority="19"/>
    <cfRule type="duplicateValues" dxfId="94" priority="20" stopIfTrue="1"/>
    <cfRule type="duplicateValues" dxfId="93" priority="21"/>
  </conditionalFormatting>
  <conditionalFormatting sqref="A268:A274">
    <cfRule type="duplicateValues" dxfId="92" priority="22"/>
    <cfRule type="duplicateValues" dxfId="91" priority="23" stopIfTrue="1"/>
    <cfRule type="duplicateValues" dxfId="90" priority="24"/>
  </conditionalFormatting>
  <conditionalFormatting sqref="A268:A274">
    <cfRule type="duplicateValues" dxfId="89" priority="25" stopIfTrue="1"/>
    <cfRule type="duplicateValues" dxfId="88" priority="26"/>
  </conditionalFormatting>
  <conditionalFormatting sqref="B175:B203 B2 B92:B163">
    <cfRule type="duplicateValues" dxfId="87" priority="8666"/>
  </conditionalFormatting>
  <conditionalFormatting sqref="B175:B203 B92:B163">
    <cfRule type="duplicateValues" dxfId="86" priority="8670"/>
  </conditionalFormatting>
  <conditionalFormatting sqref="L332">
    <cfRule type="expression" dxfId="85" priority="6">
      <formula>ROW()=CELL("fila")</formula>
    </cfRule>
  </conditionalFormatting>
  <conditionalFormatting sqref="B470">
    <cfRule type="duplicateValues" dxfId="84" priority="4"/>
  </conditionalFormatting>
  <conditionalFormatting sqref="B470">
    <cfRule type="duplicateValues" dxfId="83" priority="5"/>
  </conditionalFormatting>
  <conditionalFormatting sqref="A275:A525 A194:A267">
    <cfRule type="duplicateValues" dxfId="82" priority="10312"/>
  </conditionalFormatting>
  <conditionalFormatting sqref="A275:A525 A194:A267">
    <cfRule type="duplicateValues" dxfId="81" priority="10315"/>
    <cfRule type="duplicateValues" dxfId="80" priority="10316"/>
  </conditionalFormatting>
  <conditionalFormatting sqref="B204:B267 B270:B469 B471:B486 B525">
    <cfRule type="duplicateValues" dxfId="79" priority="10321"/>
  </conditionalFormatting>
  <conditionalFormatting sqref="B204:B267 B270:B469 B471:B486 B525">
    <cfRule type="duplicateValues" dxfId="78" priority="10325"/>
    <cfRule type="duplicateValues" dxfId="77" priority="10326"/>
  </conditionalFormatting>
  <conditionalFormatting sqref="A275:A525 A2:A163 A177:A267">
    <cfRule type="duplicateValues" dxfId="76" priority="10333"/>
    <cfRule type="duplicateValues" dxfId="75" priority="10334"/>
    <cfRule type="duplicateValues" dxfId="74" priority="10335" stopIfTrue="1"/>
    <cfRule type="duplicateValues" dxfId="73" priority="10336"/>
    <cfRule type="duplicateValues" dxfId="72" priority="10337" stopIfTrue="1"/>
    <cfRule type="duplicateValues" dxfId="71" priority="10338"/>
  </conditionalFormatting>
  <conditionalFormatting sqref="A275:A525 A1:A163 A177:A267">
    <cfRule type="duplicateValues" dxfId="70" priority="10357"/>
    <cfRule type="duplicateValues" dxfId="69" priority="10358" stopIfTrue="1"/>
    <cfRule type="duplicateValues" dxfId="68" priority="10359"/>
  </conditionalFormatting>
  <conditionalFormatting sqref="A275:A525 A2:A163 A177:A267">
    <cfRule type="duplicateValues" dxfId="67" priority="10369" stopIfTrue="1"/>
    <cfRule type="duplicateValues" dxfId="66" priority="10370"/>
  </conditionalFormatting>
  <conditionalFormatting sqref="B487:B524">
    <cfRule type="expression" dxfId="65" priority="1">
      <formula>FILA=CELL("FILA")</formula>
    </cfRule>
  </conditionalFormatting>
  <conditionalFormatting sqref="B487:B524">
    <cfRule type="duplicateValues" dxfId="64" priority="2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C775-81C8-44C1-94CB-55A3A74F2475}">
  <sheetPr codeName="Hoja8"/>
  <dimension ref="A1:Z335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K3" sqref="K3:N11"/>
    </sheetView>
  </sheetViews>
  <sheetFormatPr baseColWidth="10" defaultColWidth="9.140625" defaultRowHeight="12" customHeight="1" x14ac:dyDescent="0.25"/>
  <cols>
    <col min="1" max="1" width="12.85546875" bestFit="1" customWidth="1"/>
    <col min="2" max="2" width="13.7109375" customWidth="1"/>
    <col min="3" max="3" width="5.5703125" customWidth="1"/>
    <col min="4" max="4" width="17.5703125" bestFit="1" customWidth="1"/>
    <col min="5" max="5" width="8.42578125" customWidth="1"/>
    <col min="6" max="7" width="17.42578125" customWidth="1"/>
    <col min="8" max="8" width="20.140625" customWidth="1"/>
    <col min="9" max="9" width="14.7109375" customWidth="1"/>
    <col min="10" max="10" width="21.5703125" customWidth="1"/>
    <col min="11" max="11" width="22.7109375" style="1" bestFit="1" customWidth="1"/>
    <col min="12" max="12" width="24.28515625" style="1" customWidth="1"/>
    <col min="13" max="14" width="24.140625" style="1" bestFit="1" customWidth="1"/>
    <col min="15" max="15" width="14.7109375" hidden="1" customWidth="1"/>
    <col min="16" max="16" width="9.140625" hidden="1" customWidth="1"/>
    <col min="17" max="17" width="23" hidden="1" customWidth="1"/>
    <col min="18" max="18" width="21.42578125" hidden="1" customWidth="1"/>
    <col min="19" max="19" width="21.5703125" hidden="1" customWidth="1"/>
    <col min="20" max="20" width="12.42578125" hidden="1" customWidth="1"/>
    <col min="21" max="21" width="11.28515625" hidden="1" customWidth="1"/>
    <col min="22" max="22" width="19" hidden="1" customWidth="1"/>
    <col min="23" max="24" width="11.5703125" hidden="1" customWidth="1"/>
    <col min="25" max="25" width="33.140625" hidden="1" customWidth="1"/>
    <col min="26" max="26" width="32.85546875" hidden="1" customWidth="1"/>
    <col min="27" max="27" width="12" customWidth="1"/>
    <col min="28" max="28" width="10.28515625" customWidth="1"/>
    <col min="29" max="29" width="4.85546875" customWidth="1"/>
    <col min="30" max="30" width="5.140625" bestFit="1" customWidth="1"/>
    <col min="32" max="32" width="10.28515625" bestFit="1" customWidth="1"/>
    <col min="33" max="33" width="5.140625" bestFit="1" customWidth="1"/>
    <col min="35" max="35" width="7.140625" bestFit="1" customWidth="1"/>
    <col min="36" max="36" width="5.140625" bestFit="1" customWidth="1"/>
    <col min="37" max="37" width="12.140625" bestFit="1" customWidth="1"/>
    <col min="38" max="38" width="7.140625" bestFit="1" customWidth="1"/>
    <col min="39" max="39" width="5.140625" bestFit="1" customWidth="1"/>
    <col min="46" max="46" width="15" customWidth="1"/>
  </cols>
  <sheetData>
    <row r="1" spans="1:26" ht="12" customHeight="1" thickBot="1" x14ac:dyDescent="0.3">
      <c r="B1" s="95" t="s">
        <v>743</v>
      </c>
      <c r="C1" s="95"/>
      <c r="D1" s="95"/>
      <c r="E1" s="95"/>
      <c r="F1" s="95"/>
      <c r="G1" s="95"/>
      <c r="H1" s="95"/>
      <c r="I1" s="95"/>
      <c r="J1" s="95"/>
      <c r="M1" s="30"/>
      <c r="N1" s="155"/>
      <c r="S1" s="95"/>
      <c r="T1" s="95"/>
      <c r="U1" s="95"/>
      <c r="V1" s="96" t="s">
        <v>744</v>
      </c>
      <c r="W1" s="96"/>
      <c r="X1" s="96"/>
      <c r="Y1" s="96"/>
      <c r="Z1" s="96"/>
    </row>
    <row r="2" spans="1:26" ht="12" customHeight="1" thickBot="1" x14ac:dyDescent="0.3">
      <c r="A2" s="127" t="s">
        <v>2</v>
      </c>
      <c r="B2" s="127" t="s">
        <v>32</v>
      </c>
      <c r="C2" s="173" t="s">
        <v>745</v>
      </c>
      <c r="D2" s="51" t="s">
        <v>746</v>
      </c>
      <c r="E2" s="51" t="s">
        <v>62</v>
      </c>
      <c r="F2" s="51" t="s">
        <v>747</v>
      </c>
      <c r="G2" s="51" t="s">
        <v>748</v>
      </c>
      <c r="H2" s="51" t="s">
        <v>749</v>
      </c>
      <c r="I2" s="51" t="s">
        <v>69</v>
      </c>
      <c r="J2" s="51" t="s">
        <v>63</v>
      </c>
      <c r="K2" s="55" t="s">
        <v>744</v>
      </c>
      <c r="L2" s="154" t="s">
        <v>750</v>
      </c>
      <c r="M2" s="55" t="s">
        <v>71</v>
      </c>
      <c r="N2" s="56" t="s">
        <v>72</v>
      </c>
      <c r="O2" t="s">
        <v>358</v>
      </c>
      <c r="S2" s="54" t="s">
        <v>751</v>
      </c>
      <c r="T2" s="51" t="s">
        <v>752</v>
      </c>
      <c r="U2" s="54" t="s">
        <v>367</v>
      </c>
      <c r="V2" s="55" t="s">
        <v>744</v>
      </c>
      <c r="W2" s="55"/>
      <c r="X2" s="55"/>
      <c r="Y2" s="55" t="s">
        <v>753</v>
      </c>
      <c r="Z2" s="55" t="s">
        <v>754</v>
      </c>
    </row>
    <row r="3" spans="1:26" ht="12" customHeight="1" x14ac:dyDescent="0.25">
      <c r="A3" s="198" t="str">
        <f t="shared" ref="A3:A36" si="0">CONCATENATE(VLOOKUP(B3,$E$56:$F$73,2,0)," ",C3)</f>
        <v>PR 18</v>
      </c>
      <c r="B3" s="199" t="str">
        <f t="shared" ref="B3:B36" si="1">IFERROR(LEFT(D3,LEN(D3)-LEN(RIGHT(D3,2))-1),"")</f>
        <v>PARGO ROJO</v>
      </c>
      <c r="C3" s="211" t="str">
        <f t="shared" ref="C3:C36" si="2">RIGHT(D3,2)</f>
        <v>18</v>
      </c>
      <c r="D3" s="265" t="s">
        <v>1172</v>
      </c>
      <c r="E3" s="123">
        <f>VLOOKUP($A:$A,Tabla8[[sector/pisc]:[has]],2,0)</f>
        <v>4</v>
      </c>
      <c r="F3" s="18" t="str">
        <f>VLOOKUP($A:$A,Tabla4[[Columna1]:[PRECRIADERO]],15,0)</f>
        <v>PR PC 4</v>
      </c>
      <c r="G3" s="17">
        <f>VLOOKUP($A:$A,Tabla4[[Columna1]:[PRECRIADERO]],14,0)</f>
        <v>0.28999999999999998</v>
      </c>
      <c r="H3" s="18">
        <f>VLOOKUP(A:A,Tabla4[[Columna1]:[transferencia]],4,0)</f>
        <v>46105</v>
      </c>
      <c r="I3" s="124">
        <f>(VLOOKUP($A:$A,Tabla4[[Columna1]:[PRECRIADERO]],5,0))/E3</f>
        <v>215000</v>
      </c>
      <c r="J3" s="201">
        <f t="shared" ref="J3:J8" ca="1" si="3">TODAY()-H3</f>
        <v>63</v>
      </c>
      <c r="K3" s="156" t="str">
        <f>IF(V3="ASC","ASC",IF(V3="CONVENCIONAL","CONVENCIONAL",Q3))</f>
        <v>CONVENCIONAL</v>
      </c>
      <c r="L3" s="202" t="str">
        <f t="shared" ref="L3:L7" si="4">IF(O3="SIN ABLACION","✓","")</f>
        <v>✓</v>
      </c>
      <c r="M3" s="202" t="str">
        <f>VLOOKUP($A:$A,Tabla4[[Columna1]:[PRECRIADERO]],8,0)</f>
        <v>GENESIS</v>
      </c>
      <c r="N3" s="202" t="str">
        <f>VLOOKUP($A:$A,Tabla4[[Columna1]:[PRECRIADERO]],7,0)</f>
        <v>TEXCUMAR</v>
      </c>
      <c r="O3" s="80" t="str">
        <f>+VLOOKUP($A:$A,Tabla4[[Columna1]:[PRECRIADERO]],6,0)</f>
        <v>SIN ABLACION</v>
      </c>
      <c r="P3" s="80"/>
      <c r="Q3" s="80" t="str">
        <f t="shared" ref="Q3:Q5" si="5">IF(AND(ISERROR(R3),OR(A3="DO 29",A3="RO 14")),"BAP 3 ESTRELLAS",
 IF(ISERROR(R3),"ASC-BAP 3 ESTRELLAS",
 IF(OR(A3="DO 29",A3="RO 14"),"BAP 4 ESTRELLAS",
 R3)))</f>
        <v xml:space="preserve">CONVENCIONAL </v>
      </c>
      <c r="R3" s="156" t="str">
        <f t="shared" ref="R3:R34" si="6">IF(V3="ASC",V3&amp;"",V3&amp;" "&amp;W3)</f>
        <v xml:space="preserve">CONVENCIONAL </v>
      </c>
      <c r="S3" s="18">
        <f>VLOOKUP(A:A,Tabla4[[Columna1]:[siembra]],12,0)</f>
        <v>46090</v>
      </c>
      <c r="T3" s="125">
        <f t="shared" ref="T3:T28" si="7">(S3+U3)</f>
        <v>48737.85</v>
      </c>
      <c r="U3" s="17">
        <f>SUMIFS(COSECHAS!L:L,COSECHAS!A:A,A3,COSECHAS!G:G,"&gt;"&amp;TENTATIVOS!H3)</f>
        <v>2647.85</v>
      </c>
      <c r="V3" s="18" t="str">
        <f>+VLOOKUP(A3,DATOS!A:C,3,0)</f>
        <v>CONVENCIONAL</v>
      </c>
      <c r="W3" s="18" t="str">
        <f t="shared" ref="W3:W28" si="8">IF(V3="CONVENCIONAL","",X3)</f>
        <v/>
      </c>
      <c r="X3" s="18" t="str">
        <f t="shared" ref="X3:X28" si="9">IF(AND(S3&gt;=Y3,S3&lt;=Z3),"4 ESTRELLAS","3 ESTRELLAS")</f>
        <v>3 ESTRELLAS</v>
      </c>
      <c r="Y3" s="18">
        <f>VLOOKUP(M3,Tabla6[],3,0)</f>
        <v>45292</v>
      </c>
      <c r="Z3" s="6">
        <f>VLOOKUP(M3,DATOS!$E$30:$F$55,2,0)</f>
        <v>45413</v>
      </c>
    </row>
    <row r="4" spans="1:26" ht="12" customHeight="1" x14ac:dyDescent="0.25">
      <c r="A4" s="198" t="str">
        <f t="shared" si="0"/>
        <v>CH 19</v>
      </c>
      <c r="B4" s="199" t="str">
        <f>IFERROR(LEFT(D4,LEN(D4)-LEN(RIGHT(D4,2))-1),"")</f>
        <v>CHERNA</v>
      </c>
      <c r="C4" s="211" t="str">
        <f>RIGHT(D4,2)</f>
        <v>19</v>
      </c>
      <c r="D4" s="265" t="s">
        <v>1170</v>
      </c>
      <c r="E4" s="123">
        <f>VLOOKUP($A:$A,Tabla8[[sector/pisc]:[has]],2,0)</f>
        <v>10</v>
      </c>
      <c r="F4" s="18" t="str">
        <f>VLOOKUP($A:$A,Tabla4[[Columna1]:[PRECRIADERO]],15,0)</f>
        <v>CH PS 17</v>
      </c>
      <c r="G4" s="17">
        <f>VLOOKUP($A:$A,Tabla4[[Columna1]:[PRECRIADERO]],14,0)</f>
        <v>0.95</v>
      </c>
      <c r="H4" s="18">
        <f>VLOOKUP(A:A,Tabla4[[Columna1]:[transferencia]],4,0)</f>
        <v>46094</v>
      </c>
      <c r="I4" s="124">
        <f>(VLOOKUP($A:$A,Tabla4[[Columna1]:[PRECRIADERO]],5,0))/E4</f>
        <v>190000</v>
      </c>
      <c r="J4" s="201">
        <f t="shared" ca="1" si="3"/>
        <v>74</v>
      </c>
      <c r="K4" s="156" t="str">
        <f t="shared" ref="K4:K7" si="10">IF(V4="ASC","ASC",IF(V4="CONVENCIONAL","CONVENCIONAL",Q4))</f>
        <v>ASC</v>
      </c>
      <c r="L4" s="202" t="str">
        <f t="shared" si="4"/>
        <v>✓</v>
      </c>
      <c r="M4" s="202" t="str">
        <f>VLOOKUP($A:$A,Tabla4[[Columna1]:[PRECRIADERO]],8,0)</f>
        <v>BIOLACAM</v>
      </c>
      <c r="N4" s="202" t="str">
        <f>VLOOKUP($A:$A,Tabla4[[Columna1]:[PRECRIADERO]],7,0)</f>
        <v>TEXCUMAR</v>
      </c>
      <c r="O4" s="80" t="str">
        <f>+VLOOKUP($A:$A,Tabla4[[Columna1]:[PRECRIADERO]],6,0)</f>
        <v>SIN ABLACION</v>
      </c>
      <c r="P4" s="80"/>
      <c r="Q4" s="80" t="str">
        <f t="shared" si="5"/>
        <v>ASC</v>
      </c>
      <c r="R4" s="156" t="str">
        <f t="shared" si="6"/>
        <v>ASC</v>
      </c>
      <c r="S4" s="18">
        <f>VLOOKUP(A:A,Tabla4[[Columna1]:[siembra]],12,0)</f>
        <v>46074</v>
      </c>
      <c r="T4" s="125">
        <f t="shared" si="7"/>
        <v>69820.05</v>
      </c>
      <c r="U4" s="17">
        <f>SUMIFS(COSECHAS!L:L,COSECHAS!A:A,A4,COSECHAS!G:G,"&gt;"&amp;TENTATIVOS!H4)</f>
        <v>23746.05</v>
      </c>
      <c r="V4" s="18" t="str">
        <f>+VLOOKUP(A4,DATOS!A:C,3,0)</f>
        <v>ASC</v>
      </c>
      <c r="W4" s="18" t="str">
        <f t="shared" si="8"/>
        <v>4 ESTRELLAS</v>
      </c>
      <c r="X4" s="18" t="str">
        <f t="shared" si="9"/>
        <v>4 ESTRELLAS</v>
      </c>
      <c r="Y4" s="18">
        <f>VLOOKUP(M4,Tabla6[],3,0)</f>
        <v>45566</v>
      </c>
      <c r="Z4" s="6">
        <f>VLOOKUP(M4,DATOS!$E$30:$F$55,2,0)</f>
        <v>46139</v>
      </c>
    </row>
    <row r="5" spans="1:26" ht="12" customHeight="1" x14ac:dyDescent="0.25">
      <c r="A5" s="198" t="str">
        <f t="shared" si="0"/>
        <v>WA 17</v>
      </c>
      <c r="B5" s="199" t="str">
        <f>IFERROR(LEFT(D5,LEN(D5)-LEN(RIGHT(D5,2))-1),"")</f>
        <v>WAHOO</v>
      </c>
      <c r="C5" s="211" t="str">
        <f>RIGHT(D5,2)</f>
        <v>17</v>
      </c>
      <c r="D5" s="268" t="s">
        <v>1173</v>
      </c>
      <c r="E5" s="123">
        <f>VLOOKUP($A:$A,Tabla8[[sector/pisc]:[has]],2,0)</f>
        <v>5</v>
      </c>
      <c r="F5" s="18" t="str">
        <f>VLOOKUP($A:$A,Tabla4[[Columna1]:[PRECRIADERO]],15,0)</f>
        <v>WA 7- 8</v>
      </c>
      <c r="G5" s="17">
        <f>VLOOKUP($A:$A,Tabla4[[Columna1]:[PRECRIADERO]],14,0)</f>
        <v>1.0249999999999999</v>
      </c>
      <c r="H5" s="18">
        <f>VLOOKUP(A:A,Tabla4[[Columna1]:[transferencia]],4,0)</f>
        <v>46097</v>
      </c>
      <c r="I5" s="124">
        <f>(VLOOKUP($A:$A,Tabla4[[Columna1]:[PRECRIADERO]],5,0))/E5</f>
        <v>175000</v>
      </c>
      <c r="J5" s="201">
        <f ca="1">TODAY()-H5</f>
        <v>71</v>
      </c>
      <c r="K5" s="156" t="str">
        <f t="shared" si="10"/>
        <v>CONVENCIONAL</v>
      </c>
      <c r="L5" s="202" t="str">
        <f t="shared" si="4"/>
        <v>✓</v>
      </c>
      <c r="M5" s="202" t="str">
        <f>VLOOKUP($A:$A,Tabla4[[Columna1]:[PRECRIADERO]],8,0)</f>
        <v>TECSERV</v>
      </c>
      <c r="N5" s="202" t="str">
        <f>VLOOKUP($A:$A,Tabla4[[Columna1]:[PRECRIADERO]],7,0)</f>
        <v>SEMACUA</v>
      </c>
      <c r="O5" s="80" t="str">
        <f>+VLOOKUP($A:$A,Tabla4[[Columna1]:[PRECRIADERO]],6,0)</f>
        <v>SIN ABLACION</v>
      </c>
      <c r="P5" s="80"/>
      <c r="Q5" s="80" t="str">
        <f t="shared" si="5"/>
        <v xml:space="preserve">CONVENCIONAL </v>
      </c>
      <c r="R5" s="156" t="str">
        <f t="shared" si="6"/>
        <v xml:space="preserve">CONVENCIONAL </v>
      </c>
      <c r="S5" s="18">
        <f>VLOOKUP(A:A,Tabla4[[Columna1]:[siembra]],12,0)</f>
        <v>46077</v>
      </c>
      <c r="T5" s="125">
        <f t="shared" si="7"/>
        <v>54556.3</v>
      </c>
      <c r="U5" s="17">
        <f>SUMIFS(COSECHAS!L:L,COSECHAS!A:A,A5,COSECHAS!G:G,"&gt;"&amp;TENTATIVOS!H5)</f>
        <v>8479.2999999999993</v>
      </c>
      <c r="V5" s="18" t="str">
        <f>+VLOOKUP(A5,DATOS!A:C,3,0)</f>
        <v>CONVENCIONAL</v>
      </c>
      <c r="W5" s="18" t="str">
        <f t="shared" si="8"/>
        <v/>
      </c>
      <c r="X5" s="18" t="str">
        <f t="shared" si="9"/>
        <v>4 ESTRELLAS</v>
      </c>
      <c r="Y5" s="18">
        <f>VLOOKUP(M5,Tabla6[],3,0)</f>
        <v>45734</v>
      </c>
      <c r="Z5" s="6">
        <f>VLOOKUP(M5,DATOS!$E$30:$F$55,2,0)</f>
        <v>46460</v>
      </c>
    </row>
    <row r="6" spans="1:26" ht="12" customHeight="1" x14ac:dyDescent="0.25">
      <c r="A6" s="198" t="str">
        <f t="shared" si="0"/>
        <v>WA 18</v>
      </c>
      <c r="B6" s="199" t="str">
        <f>IFERROR(LEFT(D6,LEN(D6)-LEN(RIGHT(D6,2))-1),"")</f>
        <v>WAHOO</v>
      </c>
      <c r="C6" s="211" t="str">
        <f>RIGHT(D6,2)</f>
        <v>18</v>
      </c>
      <c r="D6" s="268" t="s">
        <v>1174</v>
      </c>
      <c r="E6" s="123">
        <f>VLOOKUP($A:$A,Tabla8[[sector/pisc]:[has]],2,0)</f>
        <v>4.5</v>
      </c>
      <c r="F6" s="18" t="str">
        <f>VLOOKUP($A:$A,Tabla4[[Columna1]:[PRECRIADERO]],15,0)</f>
        <v>WA PS 27 - 9</v>
      </c>
      <c r="G6" s="17">
        <f>VLOOKUP($A:$A,Tabla4[[Columna1]:[PRECRIADERO]],14,0)</f>
        <v>0.52</v>
      </c>
      <c r="H6" s="18">
        <f>VLOOKUP(A:A,Tabla4[[Columna1]:[transferencia]],4,0)</f>
        <v>46074</v>
      </c>
      <c r="I6" s="124">
        <f>(VLOOKUP($A:$A,Tabla4[[Columna1]:[PRECRIADERO]],5,0))/E6</f>
        <v>140000</v>
      </c>
      <c r="J6" s="201">
        <f t="shared" ca="1" si="3"/>
        <v>94</v>
      </c>
      <c r="K6" s="156" t="str">
        <f t="shared" si="10"/>
        <v>CONVENCIONAL</v>
      </c>
      <c r="L6" s="202" t="str">
        <f t="shared" si="4"/>
        <v>✓</v>
      </c>
      <c r="M6" s="202" t="str">
        <f>VLOOKUP($A:$A,Tabla4[[Columna1]:[PRECRIADERO]],8,0)</f>
        <v>GRILSAN/LARVASLAB</v>
      </c>
      <c r="N6" s="202" t="str">
        <f>VLOOKUP($A:$A,Tabla4[[Columna1]:[PRECRIADERO]],7,0)</f>
        <v>TEXCUMAR</v>
      </c>
      <c r="O6" s="80" t="str">
        <f>+VLOOKUP($A:$A,Tabla4[[Columna1]:[PRECRIADERO]],6,0)</f>
        <v>SIN ABLACION</v>
      </c>
      <c r="P6" s="80"/>
      <c r="Q6" s="80" t="str">
        <f t="shared" ref="Q6:Q34" si="11">IF(AND(ISERROR(R6),OR(A6="DO 29",A6="RO 14")),"BAP 3 ESTRELLAS",
 IF(ISERROR(R6),"ASC-BAP 3 ESTRELLAS",
 IF(OR(A6="DO 29",A6="RO 14"),"BAP 4 ESTRELLAS",
 R6)))</f>
        <v xml:space="preserve">CONVENCIONAL </v>
      </c>
      <c r="R6" s="156" t="str">
        <f t="shared" si="6"/>
        <v xml:space="preserve">CONVENCIONAL </v>
      </c>
      <c r="S6" s="18">
        <f>VLOOKUP(A:A,Tabla4[[Columna1]:[siembra]],12,0)</f>
        <v>46049</v>
      </c>
      <c r="T6" s="125">
        <f t="shared" si="7"/>
        <v>54222.270000000004</v>
      </c>
      <c r="U6" s="17">
        <f>SUMIFS(COSECHAS!L:L,COSECHAS!A:A,A6,COSECHAS!G:G,"&gt;"&amp;TENTATIVOS!H6)</f>
        <v>8173.27</v>
      </c>
      <c r="V6" s="18" t="str">
        <f>+VLOOKUP(A6,DATOS!A:C,3,0)</f>
        <v>CONVENCIONAL</v>
      </c>
      <c r="W6" s="18" t="str">
        <f t="shared" si="8"/>
        <v/>
      </c>
      <c r="X6" s="18" t="e">
        <f t="shared" si="9"/>
        <v>#N/A</v>
      </c>
      <c r="Y6" s="18" t="e">
        <f>VLOOKUP(M6,Tabla6[],3,0)</f>
        <v>#N/A</v>
      </c>
      <c r="Z6" s="6" t="e">
        <f>VLOOKUP(M6,DATOS!$E$30:$F$55,2,0)</f>
        <v>#N/A</v>
      </c>
    </row>
    <row r="7" spans="1:26" ht="12" customHeight="1" x14ac:dyDescent="0.25">
      <c r="A7" s="198" t="str">
        <f t="shared" si="0"/>
        <v>DE 23</v>
      </c>
      <c r="B7" s="199" t="str">
        <f>IFERROR(LEFT(D7,LEN(D7)-LEN(RIGHT(D7,2))-1),"")</f>
        <v>DELFIN</v>
      </c>
      <c r="C7" s="211" t="str">
        <f>RIGHT(D7,2)</f>
        <v>23</v>
      </c>
      <c r="D7" s="267" t="s">
        <v>1175</v>
      </c>
      <c r="E7" s="123">
        <f>VLOOKUP($A:$A,Tabla8[[sector/pisc]:[has]],2,0)</f>
        <v>5.5</v>
      </c>
      <c r="F7" s="18" t="str">
        <f>VLOOKUP($A:$A,Tabla4[[Columna1]:[PRECRIADERO]],15,0)</f>
        <v>DE 25</v>
      </c>
      <c r="G7" s="17">
        <f>VLOOKUP($A:$A,Tabla4[[Columna1]:[PRECRIADERO]],14,0)</f>
        <v>0.85</v>
      </c>
      <c r="H7" s="18">
        <f>VLOOKUP(A:A,Tabla4[[Columna1]:[transferencia]],4,0)</f>
        <v>46119</v>
      </c>
      <c r="I7" s="124">
        <f>(VLOOKUP($A:$A,Tabla4[[Columna1]:[PRECRIADERO]],5,0))/E7</f>
        <v>180000</v>
      </c>
      <c r="J7" s="201">
        <f t="shared" ca="1" si="3"/>
        <v>49</v>
      </c>
      <c r="K7" s="156" t="str">
        <f t="shared" si="10"/>
        <v>CONVENCIONAL</v>
      </c>
      <c r="L7" s="202" t="str">
        <f t="shared" si="4"/>
        <v>✓</v>
      </c>
      <c r="M7" s="202" t="str">
        <f>VLOOKUP($A:$A,Tabla4[[Columna1]:[PRECRIADERO]],8,0)</f>
        <v>TECSERV</v>
      </c>
      <c r="N7" s="202" t="str">
        <f>VLOOKUP($A:$A,Tabla4[[Columna1]:[PRECRIADERO]],7,0)</f>
        <v>TEXCUMAR</v>
      </c>
      <c r="O7" s="80" t="str">
        <f>+VLOOKUP($A:$A,Tabla4[[Columna1]:[PRECRIADERO]],6,0)</f>
        <v>SIN ABLACION</v>
      </c>
      <c r="P7" s="80"/>
      <c r="Q7" s="80" t="str">
        <f t="shared" si="11"/>
        <v xml:space="preserve">CONVENCIONAL </v>
      </c>
      <c r="R7" s="156" t="str">
        <f t="shared" si="6"/>
        <v xml:space="preserve">CONVENCIONAL </v>
      </c>
      <c r="S7" s="18">
        <f>VLOOKUP(A:A,Tabla4[[Columna1]:[siembra]],12,0)</f>
        <v>46098</v>
      </c>
      <c r="T7" s="125">
        <f t="shared" si="7"/>
        <v>46098</v>
      </c>
      <c r="U7" s="17">
        <f>SUMIFS(COSECHAS!L:L,COSECHAS!A:A,A7,COSECHAS!G:G,"&gt;"&amp;TENTATIVOS!H7)</f>
        <v>0</v>
      </c>
      <c r="V7" s="18" t="str">
        <f>+VLOOKUP(A7,DATOS!A:C,3,0)</f>
        <v>CONVENCIONAL</v>
      </c>
      <c r="W7" s="18" t="str">
        <f t="shared" si="8"/>
        <v/>
      </c>
      <c r="X7" s="18" t="str">
        <f t="shared" si="9"/>
        <v>4 ESTRELLAS</v>
      </c>
      <c r="Y7" s="18">
        <f>VLOOKUP(M7,Tabla6[],3,0)</f>
        <v>45734</v>
      </c>
      <c r="Z7" s="6">
        <f>VLOOKUP(M7,DATOS!$E$30:$F$55,2,0)</f>
        <v>46460</v>
      </c>
    </row>
    <row r="8" spans="1:26" ht="12" customHeight="1" x14ac:dyDescent="0.25">
      <c r="A8" s="198" t="str">
        <f t="shared" si="0"/>
        <v>DO 30</v>
      </c>
      <c r="B8" s="199" t="str">
        <f t="shared" si="1"/>
        <v>DORADO</v>
      </c>
      <c r="C8" s="211" t="str">
        <f t="shared" si="2"/>
        <v>30</v>
      </c>
      <c r="D8" s="267" t="s">
        <v>1176</v>
      </c>
      <c r="E8" s="123">
        <f>VLOOKUP($A:$A,Tabla8[[sector/pisc]:[has]],2,0)</f>
        <v>8.5399999999999991</v>
      </c>
      <c r="F8" s="18" t="str">
        <f>VLOOKUP($A:$A,Tabla4[[Columna1]:[PRECRIADERO]],15,0)</f>
        <v>DO 26</v>
      </c>
      <c r="G8" s="17">
        <f>VLOOKUP($A:$A,Tabla4[[Columna1]:[PRECRIADERO]],14,0)</f>
        <v>4.05</v>
      </c>
      <c r="H8" s="18">
        <f>VLOOKUP(A:A,Tabla4[[Columna1]:[transferencia]],4,0)</f>
        <v>46136</v>
      </c>
      <c r="I8" s="124">
        <f>(VLOOKUP($A:$A,Tabla4[[Columna1]:[PRECRIADERO]],5,0))/E8</f>
        <v>160774.1217798595</v>
      </c>
      <c r="J8" s="201">
        <f t="shared" ca="1" si="3"/>
        <v>32</v>
      </c>
      <c r="K8" s="156" t="str">
        <f t="shared" ref="K8:K69" si="12">IF(V8="ASC","ASC",IF(V8="CONVENCIONAL","CONVENCIONAL",Q8))</f>
        <v>ASC-BAP 3 ESTRELLAS</v>
      </c>
      <c r="L8" s="202" t="str">
        <f t="shared" ref="L8:L36" si="13">IF(O8="SIN ABLACION","✓","")</f>
        <v>✓</v>
      </c>
      <c r="M8" s="202" t="str">
        <f>VLOOKUP($A:$A,Tabla4[[Columna1]:[PRECRIADERO]],8,0)</f>
        <v>EMPAGRAM</v>
      </c>
      <c r="N8" s="202" t="str">
        <f>VLOOKUP($A:$A,Tabla4[[Columna1]:[PRECRIADERO]],7,0)</f>
        <v>EMPAGRAM</v>
      </c>
      <c r="O8" s="80" t="str">
        <f>+VLOOKUP($A:$A,Tabla4[[Columna1]:[PRECRIADERO]],6,0)</f>
        <v>SIN ABLACION</v>
      </c>
      <c r="P8" s="80"/>
      <c r="Q8" s="80" t="str">
        <f t="shared" si="11"/>
        <v>ASC-BAP 3 ESTRELLAS</v>
      </c>
      <c r="R8" s="156" t="e">
        <f t="shared" si="6"/>
        <v>#N/A</v>
      </c>
      <c r="S8" s="18">
        <f>VLOOKUP(A:A,Tabla4[[Columna1]:[siembra]],12,0)</f>
        <v>46116</v>
      </c>
      <c r="T8" s="125">
        <f t="shared" si="7"/>
        <v>46116</v>
      </c>
      <c r="U8" s="17">
        <f>SUMIFS(COSECHAS!L:L,COSECHAS!A:A,A8,COSECHAS!G:G,"&gt;"&amp;TENTATIVOS!H8)</f>
        <v>0</v>
      </c>
      <c r="V8" s="18" t="str">
        <f>+VLOOKUP(A8,DATOS!A:C,3,0)</f>
        <v>ASC-BAP</v>
      </c>
      <c r="W8" s="18" t="e">
        <f t="shared" si="8"/>
        <v>#N/A</v>
      </c>
      <c r="X8" s="18" t="e">
        <f t="shared" si="9"/>
        <v>#N/A</v>
      </c>
      <c r="Y8" s="18" t="e">
        <f>VLOOKUP(M8,Tabla6[],3,0)</f>
        <v>#N/A</v>
      </c>
      <c r="Z8" s="6" t="e">
        <f>VLOOKUP(M8,DATOS!$E$30:$F$55,2,0)</f>
        <v>#N/A</v>
      </c>
    </row>
    <row r="9" spans="1:26" ht="12" customHeight="1" x14ac:dyDescent="0.25">
      <c r="A9" s="198" t="str">
        <f t="shared" si="0"/>
        <v>PA 06</v>
      </c>
      <c r="B9" s="199" t="str">
        <f t="shared" si="1"/>
        <v>PAMPANO</v>
      </c>
      <c r="C9" s="211" t="str">
        <f t="shared" si="2"/>
        <v>06</v>
      </c>
      <c r="D9" s="214" t="s">
        <v>1177</v>
      </c>
      <c r="E9" s="123">
        <f>VLOOKUP($A:$A,Tabla8[[sector/pisc]:[has]],2,0)</f>
        <v>9.3000000000000007</v>
      </c>
      <c r="F9" s="18" t="str">
        <f>VLOOKUP($A:$A,Tabla4[[Columna1]:[PRECRIADERO]],15,0)</f>
        <v>MA 03 - PA PS 26</v>
      </c>
      <c r="G9" s="17">
        <f>VLOOKUP($A:$A,Tabla4[[Columna1]:[PRECRIADERO]],14,0)</f>
        <v>1.1000000000000001</v>
      </c>
      <c r="H9" s="18">
        <f>VLOOKUP(A:A,Tabla4[[Columna1]:[transferencia]],4,0)</f>
        <v>46107</v>
      </c>
      <c r="I9" s="124">
        <f>(VLOOKUP($A:$A,Tabla4[[Columna1]:[PRECRIADERO]],5,0))/E9</f>
        <v>160996.98924731181</v>
      </c>
      <c r="J9" s="201">
        <f t="shared" ref="J9:J36" ca="1" si="14">TODAY()-H9</f>
        <v>61</v>
      </c>
      <c r="K9" s="156" t="str">
        <f t="shared" si="12"/>
        <v>ASC-BAP 4 ESTRELLAS</v>
      </c>
      <c r="L9" s="202" t="str">
        <f t="shared" si="13"/>
        <v>✓</v>
      </c>
      <c r="M9" s="202" t="str">
        <f>VLOOKUP($A:$A,Tabla4[[Columna1]:[PRECRIADERO]],8,0)</f>
        <v>GABSO</v>
      </c>
      <c r="N9" s="202" t="str">
        <f>VLOOKUP($A:$A,Tabla4[[Columna1]:[PRECRIADERO]],7,0)</f>
        <v>TEXCUMAR</v>
      </c>
      <c r="O9" s="80" t="str">
        <f>+VLOOKUP($A:$A,Tabla4[[Columna1]:[PRECRIADERO]],6,0)</f>
        <v>SIN ABLACION</v>
      </c>
      <c r="P9" s="80"/>
      <c r="Q9" s="80" t="str">
        <f t="shared" si="11"/>
        <v>ASC-BAP 4 ESTRELLAS</v>
      </c>
      <c r="R9" s="156" t="str">
        <f t="shared" si="6"/>
        <v>ASC-BAP 4 ESTRELLAS</v>
      </c>
      <c r="S9" s="18">
        <f>VLOOKUP(A:A,Tabla4[[Columna1]:[siembra]],12,0)</f>
        <v>46082</v>
      </c>
      <c r="T9" s="125">
        <f t="shared" si="7"/>
        <v>52808.55</v>
      </c>
      <c r="U9" s="17">
        <f>SUMIFS(COSECHAS!L:L,COSECHAS!A:A,A9,COSECHAS!G:G,"&gt;"&amp;TENTATIVOS!H9)</f>
        <v>6726.55</v>
      </c>
      <c r="V9" s="18" t="str">
        <f>+VLOOKUP(A9,DATOS!A:C,3,0)</f>
        <v>ASC-BAP</v>
      </c>
      <c r="W9" s="18" t="str">
        <f t="shared" si="8"/>
        <v>4 ESTRELLAS</v>
      </c>
      <c r="X9" s="18" t="str">
        <f t="shared" si="9"/>
        <v>4 ESTRELLAS</v>
      </c>
      <c r="Y9" s="18">
        <f>VLOOKUP(M9,Tabla6[],3,0)</f>
        <v>45729</v>
      </c>
      <c r="Z9" s="6">
        <f>VLOOKUP(M9,DATOS!$E$30:$F$55,2,0)</f>
        <v>46120</v>
      </c>
    </row>
    <row r="10" spans="1:26" ht="12" customHeight="1" x14ac:dyDescent="0.25">
      <c r="A10" s="198" t="str">
        <f t="shared" si="0"/>
        <v>DO 18</v>
      </c>
      <c r="B10" s="199" t="str">
        <f t="shared" si="1"/>
        <v>DORADO</v>
      </c>
      <c r="C10" s="211" t="str">
        <f t="shared" si="2"/>
        <v>18</v>
      </c>
      <c r="D10" s="214" t="s">
        <v>1178</v>
      </c>
      <c r="E10" s="123">
        <f>VLOOKUP($A:$A,Tabla8[[sector/pisc]:[has]],2,0)</f>
        <v>9.5500000000000007</v>
      </c>
      <c r="F10" s="18" t="str">
        <f>VLOOKUP($A:$A,Tabla4[[Columna1]:[PRECRIADERO]],15,0)</f>
        <v>DO 03</v>
      </c>
      <c r="G10" s="17">
        <f>VLOOKUP($A:$A,Tabla4[[Columna1]:[PRECRIADERO]],14,0)</f>
        <v>0.86</v>
      </c>
      <c r="H10" s="18">
        <f>VLOOKUP(A:A,Tabla4[[Columna1]:[transferencia]],4,0)</f>
        <v>46107</v>
      </c>
      <c r="I10" s="124">
        <f>(VLOOKUP($A:$A,Tabla4[[Columna1]:[PRECRIADERO]],5,0))/E10</f>
        <v>91075.078534031403</v>
      </c>
      <c r="J10" s="201">
        <f t="shared" ca="1" si="14"/>
        <v>61</v>
      </c>
      <c r="K10" s="156" t="str">
        <f t="shared" si="12"/>
        <v>ASC-BAP 4 ESTRELLAS</v>
      </c>
      <c r="L10" s="202" t="str">
        <f t="shared" si="13"/>
        <v>✓</v>
      </c>
      <c r="M10" s="202" t="str">
        <f>VLOOKUP($A:$A,Tabla4[[Columna1]:[PRECRIADERO]],8,0)</f>
        <v>EMPAGRAN</v>
      </c>
      <c r="N10" s="202" t="str">
        <f>VLOOKUP($A:$A,Tabla4[[Columna1]:[PRECRIADERO]],7,0)</f>
        <v>EMPAGRAN</v>
      </c>
      <c r="O10" s="80" t="str">
        <f>+VLOOKUP($A:$A,Tabla4[[Columna1]:[PRECRIADERO]],6,0)</f>
        <v>SIN ABLACION</v>
      </c>
      <c r="P10" s="80"/>
      <c r="Q10" s="80" t="str">
        <f t="shared" si="11"/>
        <v>ASC-BAP 4 ESTRELLAS</v>
      </c>
      <c r="R10" s="156" t="str">
        <f t="shared" si="6"/>
        <v>ASC-BAP 4 ESTRELLAS</v>
      </c>
      <c r="S10" s="18">
        <f>VLOOKUP(A:A,Tabla4[[Columna1]:[siembra]],12,0)</f>
        <v>46079</v>
      </c>
      <c r="T10" s="125">
        <f t="shared" si="7"/>
        <v>58470.9</v>
      </c>
      <c r="U10" s="17">
        <f>SUMIFS(COSECHAS!L:L,COSECHAS!A:A,A10,COSECHAS!G:G,"&gt;"&amp;TENTATIVOS!H10)</f>
        <v>12391.9</v>
      </c>
      <c r="V10" s="18" t="str">
        <f>+VLOOKUP(A10,DATOS!A:C,3,0)</f>
        <v>ASC-BAP</v>
      </c>
      <c r="W10" s="18" t="str">
        <f t="shared" si="8"/>
        <v>4 ESTRELLAS</v>
      </c>
      <c r="X10" s="18" t="str">
        <f t="shared" si="9"/>
        <v>4 ESTRELLAS</v>
      </c>
      <c r="Y10" s="18">
        <f>VLOOKUP(M10,Tabla6[],3,0)</f>
        <v>45566</v>
      </c>
      <c r="Z10" s="6">
        <f>VLOOKUP(M10,DATOS!$E$30:$F$55,2,0)</f>
        <v>46354</v>
      </c>
    </row>
    <row r="11" spans="1:26" ht="12" customHeight="1" x14ac:dyDescent="0.25">
      <c r="A11" s="198" t="str">
        <f t="shared" si="0"/>
        <v>RO 14</v>
      </c>
      <c r="B11" s="199" t="str">
        <f t="shared" si="1"/>
        <v>ROBALO</v>
      </c>
      <c r="C11" s="211" t="str">
        <f t="shared" si="2"/>
        <v>14</v>
      </c>
      <c r="D11" s="214" t="s">
        <v>1179</v>
      </c>
      <c r="E11" s="123">
        <f>VLOOKUP($A:$A,Tabla8[[sector/pisc]:[has]],2,0)</f>
        <v>9.3000000000000007</v>
      </c>
      <c r="F11" s="18" t="str">
        <f>VLOOKUP($A:$A,Tabla4[[Columna1]:[PRECRIADERO]],15,0)</f>
        <v>RO 9</v>
      </c>
      <c r="G11" s="17">
        <f>VLOOKUP($A:$A,Tabla4[[Columna1]:[PRECRIADERO]],14,0)</f>
        <v>0.23</v>
      </c>
      <c r="H11" s="18">
        <f>VLOOKUP(A:A,Tabla4[[Columna1]:[transferencia]],4,0)</f>
        <v>46129</v>
      </c>
      <c r="I11" s="124">
        <f>(VLOOKUP($A:$A,Tabla4[[Columna1]:[PRECRIADERO]],5,0))/E11</f>
        <v>165000</v>
      </c>
      <c r="J11" s="201">
        <f t="shared" ca="1" si="14"/>
        <v>39</v>
      </c>
      <c r="K11" s="156" t="str">
        <f t="shared" si="12"/>
        <v>BAP 3 ESTRELLAS</v>
      </c>
      <c r="L11" s="202" t="str">
        <f t="shared" si="13"/>
        <v>✓</v>
      </c>
      <c r="M11" s="202" t="str">
        <f>VLOOKUP($A:$A,Tabla4[[Columna1]:[PRECRIADERO]],8,0)</f>
        <v>EMPAGRAM</v>
      </c>
      <c r="N11" s="202" t="str">
        <f>VLOOKUP($A:$A,Tabla4[[Columna1]:[PRECRIADERO]],7,0)</f>
        <v>PRONAUPLIO</v>
      </c>
      <c r="O11" s="80" t="str">
        <f>+VLOOKUP($A:$A,Tabla4[[Columna1]:[PRECRIADERO]],6,0)</f>
        <v>SIN ABLACION</v>
      </c>
      <c r="P11" s="80"/>
      <c r="Q11" s="80" t="str">
        <f t="shared" si="11"/>
        <v>BAP 3 ESTRELLAS</v>
      </c>
      <c r="R11" s="156" t="e">
        <f t="shared" si="6"/>
        <v>#N/A</v>
      </c>
      <c r="S11" s="18">
        <f>VLOOKUP(A:A,Tabla4[[Columna1]:[siembra]],12,0)</f>
        <v>46116</v>
      </c>
      <c r="T11" s="125">
        <f t="shared" si="7"/>
        <v>46116</v>
      </c>
      <c r="U11" s="17">
        <f>SUMIFS(COSECHAS!L:L,COSECHAS!A:A,A11,COSECHAS!G:G,"&gt;"&amp;TENTATIVOS!H11)</f>
        <v>0</v>
      </c>
      <c r="V11" s="18" t="str">
        <f>+VLOOKUP(A11,DATOS!A:C,3,0)</f>
        <v>BAP</v>
      </c>
      <c r="W11" s="18" t="e">
        <f t="shared" si="8"/>
        <v>#N/A</v>
      </c>
      <c r="X11" s="18" t="e">
        <f t="shared" si="9"/>
        <v>#N/A</v>
      </c>
      <c r="Y11" s="18" t="e">
        <f>VLOOKUP(M11,Tabla6[],3,0)</f>
        <v>#N/A</v>
      </c>
      <c r="Z11" s="6" t="e">
        <f>VLOOKUP(M11,DATOS!$E$30:$F$55,2,0)</f>
        <v>#N/A</v>
      </c>
    </row>
    <row r="12" spans="1:26" ht="12" customHeight="1" x14ac:dyDescent="0.25">
      <c r="A12" s="198" t="e">
        <f t="shared" si="0"/>
        <v>#N/A</v>
      </c>
      <c r="B12" s="199" t="str">
        <f t="shared" si="1"/>
        <v/>
      </c>
      <c r="C12" s="211" t="str">
        <f t="shared" si="2"/>
        <v/>
      </c>
      <c r="D12" s="214"/>
      <c r="E12" s="123" t="e">
        <f>VLOOKUP($A:$A,Tabla8[[sector/pisc]:[has]],2,0)</f>
        <v>#N/A</v>
      </c>
      <c r="F12" s="18" t="e">
        <f>VLOOKUP($A:$A,Tabla4[[Columna1]:[PRECRIADERO]],15,0)</f>
        <v>#N/A</v>
      </c>
      <c r="G12" s="17" t="e">
        <f>VLOOKUP($A:$A,Tabla4[[Columna1]:[PRECRIADERO]],14,0)</f>
        <v>#N/A</v>
      </c>
      <c r="H12" s="18" t="e">
        <f>VLOOKUP(A:A,Tabla4[[Columna1]:[transferencia]],4,0)</f>
        <v>#N/A</v>
      </c>
      <c r="I12" s="124" t="e">
        <f>(VLOOKUP($A:$A,Tabla4[[Columna1]:[PRECRIADERO]],5,0))/E12</f>
        <v>#N/A</v>
      </c>
      <c r="J12" s="201" t="e">
        <f t="shared" ca="1" si="14"/>
        <v>#N/A</v>
      </c>
      <c r="K12" s="156" t="e">
        <f t="shared" si="12"/>
        <v>#N/A</v>
      </c>
      <c r="L12" s="202" t="e">
        <f t="shared" si="13"/>
        <v>#N/A</v>
      </c>
      <c r="M12" s="202" t="e">
        <f>VLOOKUP($A:$A,Tabla4[[Columna1]:[PRECRIADERO]],8,0)</f>
        <v>#N/A</v>
      </c>
      <c r="N12" s="202" t="e">
        <f>VLOOKUP($A:$A,Tabla4[[Columna1]:[PRECRIADERO]],7,0)</f>
        <v>#N/A</v>
      </c>
      <c r="O12" s="80" t="e">
        <f>+VLOOKUP($A:$A,Tabla4[[Columna1]:[PRECRIADERO]],6,0)</f>
        <v>#N/A</v>
      </c>
      <c r="P12" s="80"/>
      <c r="Q12" s="80" t="e">
        <f t="shared" si="11"/>
        <v>#N/A</v>
      </c>
      <c r="R12" s="156" t="e">
        <f t="shared" si="6"/>
        <v>#N/A</v>
      </c>
      <c r="S12" s="18" t="e">
        <f>VLOOKUP(A:A,Tabla4[[Columna1]:[siembra]],12,0)</f>
        <v>#N/A</v>
      </c>
      <c r="T12" s="125" t="e">
        <f t="shared" si="7"/>
        <v>#N/A</v>
      </c>
      <c r="U12" s="17">
        <f>SUMIFS(COSECHAS!L:L,COSECHAS!A:A,A12,COSECHAS!G:G,"&gt;"&amp;TENTATIVOS!H12)</f>
        <v>0</v>
      </c>
      <c r="V12" s="18" t="e">
        <f>+VLOOKUP(A12,DATOS!A:C,3,0)</f>
        <v>#N/A</v>
      </c>
      <c r="W12" s="18" t="e">
        <f t="shared" si="8"/>
        <v>#N/A</v>
      </c>
      <c r="X12" s="18" t="e">
        <f t="shared" si="9"/>
        <v>#N/A</v>
      </c>
      <c r="Y12" s="18" t="e">
        <f>VLOOKUP(M12,Tabla6[],3,0)</f>
        <v>#N/A</v>
      </c>
      <c r="Z12" s="6" t="e">
        <f>VLOOKUP(M12,DATOS!$E$30:$F$55,2,0)</f>
        <v>#N/A</v>
      </c>
    </row>
    <row r="13" spans="1:26" ht="12" customHeight="1" x14ac:dyDescent="0.25">
      <c r="A13" s="198" t="e">
        <f t="shared" si="0"/>
        <v>#N/A</v>
      </c>
      <c r="B13" s="199" t="str">
        <f t="shared" si="1"/>
        <v/>
      </c>
      <c r="C13" s="211" t="str">
        <f t="shared" si="2"/>
        <v/>
      </c>
      <c r="D13" s="213"/>
      <c r="E13" s="123" t="e">
        <f>VLOOKUP($A:$A,Tabla8[[sector/pisc]:[has]],2,0)</f>
        <v>#N/A</v>
      </c>
      <c r="F13" s="18" t="e">
        <f>VLOOKUP($A:$A,Tabla4[[Columna1]:[PRECRIADERO]],15,0)</f>
        <v>#N/A</v>
      </c>
      <c r="G13" s="17" t="e">
        <f>VLOOKUP($A:$A,Tabla4[[Columna1]:[PRECRIADERO]],14,0)</f>
        <v>#N/A</v>
      </c>
      <c r="H13" s="18" t="e">
        <f>VLOOKUP(A:A,Tabla4[[Columna1]:[transferencia]],4,0)</f>
        <v>#N/A</v>
      </c>
      <c r="I13" s="124" t="e">
        <f>(VLOOKUP($A:$A,Tabla4[[Columna1]:[PRECRIADERO]],5,0))/E13</f>
        <v>#N/A</v>
      </c>
      <c r="J13" s="201" t="e">
        <f t="shared" ca="1" si="14"/>
        <v>#N/A</v>
      </c>
      <c r="K13" s="156" t="e">
        <f t="shared" si="12"/>
        <v>#N/A</v>
      </c>
      <c r="L13" s="202" t="e">
        <f t="shared" si="13"/>
        <v>#N/A</v>
      </c>
      <c r="M13" s="202" t="e">
        <f>VLOOKUP($A:$A,Tabla4[[Columna1]:[PRECRIADERO]],8,0)</f>
        <v>#N/A</v>
      </c>
      <c r="N13" s="202" t="e">
        <f>VLOOKUP($A:$A,Tabla4[[Columna1]:[PRECRIADERO]],7,0)</f>
        <v>#N/A</v>
      </c>
      <c r="O13" s="80" t="e">
        <f>+VLOOKUP($A:$A,Tabla4[[Columna1]:[PRECRIADERO]],6,0)</f>
        <v>#N/A</v>
      </c>
      <c r="P13" s="80"/>
      <c r="Q13" s="80" t="e">
        <f t="shared" si="11"/>
        <v>#N/A</v>
      </c>
      <c r="R13" s="156" t="e">
        <f t="shared" si="6"/>
        <v>#N/A</v>
      </c>
      <c r="S13" s="18" t="e">
        <f>VLOOKUP(A:A,Tabla4[[Columna1]:[siembra]],12,0)</f>
        <v>#N/A</v>
      </c>
      <c r="T13" s="125" t="e">
        <f t="shared" si="7"/>
        <v>#N/A</v>
      </c>
      <c r="U13" s="17">
        <f>SUMIFS(COSECHAS!L:L,COSECHAS!A:A,A13,COSECHAS!G:G,"&gt;"&amp;TENTATIVOS!H13)</f>
        <v>0</v>
      </c>
      <c r="V13" s="18" t="e">
        <f>+VLOOKUP(A13,DATOS!A:C,3,0)</f>
        <v>#N/A</v>
      </c>
      <c r="W13" s="18" t="e">
        <f t="shared" si="8"/>
        <v>#N/A</v>
      </c>
      <c r="X13" s="18" t="e">
        <f t="shared" si="9"/>
        <v>#N/A</v>
      </c>
      <c r="Y13" s="18" t="e">
        <f>VLOOKUP(M13,Tabla6[],3,0)</f>
        <v>#N/A</v>
      </c>
      <c r="Z13" s="6" t="e">
        <f>VLOOKUP(M13,DATOS!$E$30:$F$55,2,0)</f>
        <v>#N/A</v>
      </c>
    </row>
    <row r="14" spans="1:26" ht="12" customHeight="1" x14ac:dyDescent="0.25">
      <c r="A14" s="198" t="e">
        <f t="shared" si="0"/>
        <v>#N/A</v>
      </c>
      <c r="B14" s="199" t="str">
        <f t="shared" si="1"/>
        <v/>
      </c>
      <c r="C14" s="211" t="str">
        <f t="shared" si="2"/>
        <v/>
      </c>
      <c r="D14" s="213"/>
      <c r="E14" s="123" t="e">
        <f>VLOOKUP($A:$A,Tabla8[[sector/pisc]:[has]],2,0)</f>
        <v>#N/A</v>
      </c>
      <c r="F14" s="18" t="e">
        <f>VLOOKUP($A:$A,Tabla4[[Columna1]:[PRECRIADERO]],15,0)</f>
        <v>#N/A</v>
      </c>
      <c r="G14" s="17" t="e">
        <f>VLOOKUP($A:$A,Tabla4[[Columna1]:[PRECRIADERO]],14,0)</f>
        <v>#N/A</v>
      </c>
      <c r="H14" s="18" t="e">
        <f>VLOOKUP(A:A,Tabla4[[Columna1]:[transferencia]],4,0)</f>
        <v>#N/A</v>
      </c>
      <c r="I14" s="124" t="e">
        <f>(VLOOKUP($A:$A,Tabla4[[Columna1]:[PRECRIADERO]],5,0))/E14</f>
        <v>#N/A</v>
      </c>
      <c r="J14" s="201" t="e">
        <f t="shared" ca="1" si="14"/>
        <v>#N/A</v>
      </c>
      <c r="K14" s="156" t="e">
        <f t="shared" si="12"/>
        <v>#N/A</v>
      </c>
      <c r="L14" s="202" t="e">
        <f t="shared" si="13"/>
        <v>#N/A</v>
      </c>
      <c r="M14" s="202" t="e">
        <f>VLOOKUP($A:$A,Tabla4[[Columna1]:[PRECRIADERO]],8,0)</f>
        <v>#N/A</v>
      </c>
      <c r="N14" s="202" t="e">
        <f>VLOOKUP($A:$A,Tabla4[[Columna1]:[PRECRIADERO]],7,0)</f>
        <v>#N/A</v>
      </c>
      <c r="O14" s="80" t="e">
        <f>+VLOOKUP($A:$A,Tabla4[[Columna1]:[PRECRIADERO]],6,0)</f>
        <v>#N/A</v>
      </c>
      <c r="P14" s="80"/>
      <c r="Q14" s="80" t="e">
        <f t="shared" si="11"/>
        <v>#N/A</v>
      </c>
      <c r="R14" s="156" t="e">
        <f t="shared" si="6"/>
        <v>#N/A</v>
      </c>
      <c r="S14" s="18" t="e">
        <f>VLOOKUP(A:A,Tabla4[[Columna1]:[siembra]],12,0)</f>
        <v>#N/A</v>
      </c>
      <c r="T14" s="125" t="e">
        <f t="shared" si="7"/>
        <v>#N/A</v>
      </c>
      <c r="U14" s="17">
        <f>SUMIFS(COSECHAS!L:L,COSECHAS!A:A,A14,COSECHAS!G:G,"&gt;"&amp;TENTATIVOS!H14)</f>
        <v>0</v>
      </c>
      <c r="V14" s="18" t="e">
        <f>+VLOOKUP(A14,DATOS!A:C,3,0)</f>
        <v>#N/A</v>
      </c>
      <c r="W14" s="18" t="e">
        <f t="shared" si="8"/>
        <v>#N/A</v>
      </c>
      <c r="X14" s="18" t="e">
        <f t="shared" si="9"/>
        <v>#N/A</v>
      </c>
      <c r="Y14" s="18" t="e">
        <f>VLOOKUP(M14,Tabla6[],3,0)</f>
        <v>#N/A</v>
      </c>
      <c r="Z14" s="6" t="e">
        <f>VLOOKUP(M14,DATOS!$E$30:$F$55,2,0)</f>
        <v>#N/A</v>
      </c>
    </row>
    <row r="15" spans="1:26" ht="12" customHeight="1" x14ac:dyDescent="0.25">
      <c r="A15" s="198" t="e">
        <f t="shared" si="0"/>
        <v>#N/A</v>
      </c>
      <c r="B15" s="199" t="str">
        <f t="shared" si="1"/>
        <v/>
      </c>
      <c r="C15" s="211"/>
      <c r="D15" s="213"/>
      <c r="E15" s="123" t="e">
        <f>VLOOKUP($A:$A,Tabla8[[sector/pisc]:[has]],2,0)</f>
        <v>#N/A</v>
      </c>
      <c r="F15" s="18" t="e">
        <f>VLOOKUP($A:$A,Tabla4[[Columna1]:[PRECRIADERO]],15,0)</f>
        <v>#N/A</v>
      </c>
      <c r="G15" s="17" t="e">
        <f>VLOOKUP($A:$A,Tabla4[[Columna1]:[PRECRIADERO]],14,0)</f>
        <v>#N/A</v>
      </c>
      <c r="H15" s="18" t="e">
        <f>VLOOKUP(A:A,Tabla4[[Columna1]:[transferencia]],4,0)</f>
        <v>#N/A</v>
      </c>
      <c r="I15" s="124" t="e">
        <f>(VLOOKUP($A:$A,Tabla4[[Columna1]:[PRECRIADERO]],5,0))/E15</f>
        <v>#N/A</v>
      </c>
      <c r="J15" s="201" t="e">
        <f t="shared" ca="1" si="14"/>
        <v>#N/A</v>
      </c>
      <c r="K15" s="156" t="e">
        <f t="shared" si="12"/>
        <v>#N/A</v>
      </c>
      <c r="L15" s="202" t="e">
        <f t="shared" si="13"/>
        <v>#N/A</v>
      </c>
      <c r="M15" s="202" t="e">
        <f>VLOOKUP($A:$A,Tabla4[[Columna1]:[PRECRIADERO]],8,0)</f>
        <v>#N/A</v>
      </c>
      <c r="N15" s="202" t="e">
        <f>VLOOKUP($A:$A,Tabla4[[Columna1]:[PRECRIADERO]],7,0)</f>
        <v>#N/A</v>
      </c>
      <c r="O15" s="80" t="e">
        <f>+VLOOKUP($A:$A,Tabla4[[Columna1]:[PRECRIADERO]],6,0)</f>
        <v>#N/A</v>
      </c>
      <c r="P15" s="80"/>
      <c r="Q15" s="80" t="e">
        <f t="shared" si="11"/>
        <v>#N/A</v>
      </c>
      <c r="R15" s="156" t="e">
        <f t="shared" si="6"/>
        <v>#N/A</v>
      </c>
      <c r="S15" s="18" t="e">
        <f>VLOOKUP(A:A,Tabla4[[Columna1]:[siembra]],12,0)</f>
        <v>#N/A</v>
      </c>
      <c r="T15" s="125" t="e">
        <f t="shared" si="7"/>
        <v>#N/A</v>
      </c>
      <c r="U15" s="17">
        <f>SUMIFS(COSECHAS!L:L,COSECHAS!A:A,A15,COSECHAS!G:G,"&gt;"&amp;TENTATIVOS!H15)</f>
        <v>0</v>
      </c>
      <c r="V15" s="18" t="e">
        <f>+VLOOKUP(A15,DATOS!A:C,3,0)</f>
        <v>#N/A</v>
      </c>
      <c r="W15" s="18" t="e">
        <f t="shared" si="8"/>
        <v>#N/A</v>
      </c>
      <c r="X15" s="18" t="e">
        <f t="shared" si="9"/>
        <v>#N/A</v>
      </c>
      <c r="Y15" s="18" t="e">
        <f>VLOOKUP(M15,Tabla6[],3,0)</f>
        <v>#N/A</v>
      </c>
      <c r="Z15" s="6" t="e">
        <f>VLOOKUP(M15,DATOS!$E$30:$F$55,2,0)</f>
        <v>#N/A</v>
      </c>
    </row>
    <row r="16" spans="1:26" ht="12" customHeight="1" x14ac:dyDescent="0.25">
      <c r="A16" s="198" t="e">
        <f t="shared" si="0"/>
        <v>#N/A</v>
      </c>
      <c r="B16" s="199" t="str">
        <f t="shared" si="1"/>
        <v/>
      </c>
      <c r="C16" s="211" t="str">
        <f t="shared" si="2"/>
        <v/>
      </c>
      <c r="D16" s="213"/>
      <c r="E16" s="123" t="e">
        <f>VLOOKUP($A:$A,Tabla8[[sector/pisc]:[has]],2,0)</f>
        <v>#N/A</v>
      </c>
      <c r="F16" s="18" t="e">
        <f>VLOOKUP($A:$A,Tabla4[[Columna1]:[PRECRIADERO]],15,0)</f>
        <v>#N/A</v>
      </c>
      <c r="G16" s="17" t="e">
        <f>VLOOKUP($A:$A,Tabla4[[Columna1]:[PRECRIADERO]],14,0)</f>
        <v>#N/A</v>
      </c>
      <c r="H16" s="18" t="e">
        <f>VLOOKUP(A:A,Tabla4[[Columna1]:[transferencia]],4,0)</f>
        <v>#N/A</v>
      </c>
      <c r="I16" s="124" t="e">
        <f>(VLOOKUP($A:$A,Tabla4[[Columna1]:[PRECRIADERO]],5,0))/E16</f>
        <v>#N/A</v>
      </c>
      <c r="J16" s="201" t="e">
        <f t="shared" ca="1" si="14"/>
        <v>#N/A</v>
      </c>
      <c r="K16" s="156" t="e">
        <f t="shared" si="12"/>
        <v>#N/A</v>
      </c>
      <c r="L16" s="202" t="e">
        <f t="shared" si="13"/>
        <v>#N/A</v>
      </c>
      <c r="M16" s="202" t="e">
        <f>VLOOKUP($A:$A,Tabla4[[Columna1]:[PRECRIADERO]],8,0)</f>
        <v>#N/A</v>
      </c>
      <c r="N16" s="202" t="e">
        <f>VLOOKUP($A:$A,Tabla4[[Columna1]:[PRECRIADERO]],7,0)</f>
        <v>#N/A</v>
      </c>
      <c r="O16" s="80" t="e">
        <f>+VLOOKUP($A:$A,Tabla4[[Columna1]:[PRECRIADERO]],6,0)</f>
        <v>#N/A</v>
      </c>
      <c r="P16" s="80"/>
      <c r="Q16" s="80" t="e">
        <f t="shared" si="11"/>
        <v>#N/A</v>
      </c>
      <c r="R16" s="156" t="e">
        <f t="shared" si="6"/>
        <v>#N/A</v>
      </c>
      <c r="S16" s="18" t="e">
        <f>VLOOKUP(A:A,Tabla4[[Columna1]:[siembra]],12,0)</f>
        <v>#N/A</v>
      </c>
      <c r="T16" s="125" t="e">
        <f t="shared" si="7"/>
        <v>#N/A</v>
      </c>
      <c r="U16" s="17">
        <f>SUMIFS(COSECHAS!L:L,COSECHAS!A:A,A16,COSECHAS!G:G,"&gt;"&amp;TENTATIVOS!H16)</f>
        <v>0</v>
      </c>
      <c r="V16" s="18" t="e">
        <f>+VLOOKUP(A16,DATOS!A:C,3,0)</f>
        <v>#N/A</v>
      </c>
      <c r="W16" s="18" t="e">
        <f t="shared" si="8"/>
        <v>#N/A</v>
      </c>
      <c r="X16" s="18" t="e">
        <f t="shared" si="9"/>
        <v>#N/A</v>
      </c>
      <c r="Y16" s="18" t="e">
        <f>VLOOKUP(M16,Tabla6[],3,0)</f>
        <v>#N/A</v>
      </c>
      <c r="Z16" s="6" t="e">
        <f>VLOOKUP(M16,DATOS!$E$30:$F$55,2,0)</f>
        <v>#N/A</v>
      </c>
    </row>
    <row r="17" spans="1:26" ht="12" customHeight="1" x14ac:dyDescent="0.25">
      <c r="A17" s="198" t="e">
        <f t="shared" si="0"/>
        <v>#N/A</v>
      </c>
      <c r="B17" s="199" t="str">
        <f t="shared" si="1"/>
        <v/>
      </c>
      <c r="C17" s="211" t="str">
        <f t="shared" si="2"/>
        <v/>
      </c>
      <c r="D17" s="213"/>
      <c r="E17" s="123" t="e">
        <f>VLOOKUP($A:$A,Tabla8[[sector/pisc]:[has]],2,0)</f>
        <v>#N/A</v>
      </c>
      <c r="F17" s="18" t="e">
        <f>VLOOKUP($A:$A,Tabla4[[Columna1]:[PRECRIADERO]],15,0)</f>
        <v>#N/A</v>
      </c>
      <c r="G17" s="17" t="e">
        <f>VLOOKUP($A:$A,Tabla4[[Columna1]:[PRECRIADERO]],14,0)</f>
        <v>#N/A</v>
      </c>
      <c r="H17" s="18" t="e">
        <f>VLOOKUP(A:A,Tabla4[[Columna1]:[transferencia]],4,0)</f>
        <v>#N/A</v>
      </c>
      <c r="I17" s="124" t="e">
        <f>(VLOOKUP($A:$A,Tabla4[[Columna1]:[PRECRIADERO]],5,0))/E17</f>
        <v>#N/A</v>
      </c>
      <c r="J17" s="201" t="e">
        <f t="shared" ca="1" si="14"/>
        <v>#N/A</v>
      </c>
      <c r="K17" s="156" t="e">
        <f t="shared" si="12"/>
        <v>#N/A</v>
      </c>
      <c r="L17" s="202" t="e">
        <f t="shared" si="13"/>
        <v>#N/A</v>
      </c>
      <c r="M17" s="202" t="e">
        <f>VLOOKUP($A:$A,Tabla4[[Columna1]:[PRECRIADERO]],8,0)</f>
        <v>#N/A</v>
      </c>
      <c r="N17" s="202" t="e">
        <f>VLOOKUP($A:$A,Tabla4[[Columna1]:[PRECRIADERO]],7,0)</f>
        <v>#N/A</v>
      </c>
      <c r="O17" s="80" t="e">
        <f>+VLOOKUP($A:$A,Tabla4[[Columna1]:[PRECRIADERO]],6,0)</f>
        <v>#N/A</v>
      </c>
      <c r="P17" s="80"/>
      <c r="Q17" s="80" t="e">
        <f t="shared" si="11"/>
        <v>#N/A</v>
      </c>
      <c r="R17" s="156" t="e">
        <f t="shared" si="6"/>
        <v>#N/A</v>
      </c>
      <c r="S17" s="18" t="e">
        <f>VLOOKUP(A:A,Tabla4[[Columna1]:[siembra]],12,0)</f>
        <v>#N/A</v>
      </c>
      <c r="T17" s="125" t="e">
        <f t="shared" si="7"/>
        <v>#N/A</v>
      </c>
      <c r="U17" s="17">
        <f>SUMIFS(COSECHAS!L:L,COSECHAS!A:A,A17,COSECHAS!G:G,"&gt;"&amp;TENTATIVOS!H17)</f>
        <v>0</v>
      </c>
      <c r="V17" s="18" t="e">
        <f>+VLOOKUP(A17,DATOS!A:C,3,0)</f>
        <v>#N/A</v>
      </c>
      <c r="W17" s="18" t="e">
        <f t="shared" si="8"/>
        <v>#N/A</v>
      </c>
      <c r="X17" s="18" t="e">
        <f t="shared" si="9"/>
        <v>#N/A</v>
      </c>
      <c r="Y17" s="18" t="e">
        <f>VLOOKUP(M17,Tabla6[],3,0)</f>
        <v>#N/A</v>
      </c>
      <c r="Z17" s="6" t="e">
        <f>VLOOKUP(M17,DATOS!$E$30:$F$55,2,0)</f>
        <v>#N/A</v>
      </c>
    </row>
    <row r="18" spans="1:26" ht="12" customHeight="1" x14ac:dyDescent="0.25">
      <c r="A18" s="198" t="e">
        <f t="shared" si="0"/>
        <v>#N/A</v>
      </c>
      <c r="B18" s="199" t="str">
        <f t="shared" si="1"/>
        <v/>
      </c>
      <c r="C18" s="211" t="str">
        <f t="shared" si="2"/>
        <v/>
      </c>
      <c r="D18" s="213"/>
      <c r="E18" s="123" t="e">
        <f>VLOOKUP($A:$A,Tabla8[[sector/pisc]:[has]],2,0)</f>
        <v>#N/A</v>
      </c>
      <c r="F18" s="18" t="e">
        <f>VLOOKUP($A:$A,Tabla4[[Columna1]:[PRECRIADERO]],15,0)</f>
        <v>#N/A</v>
      </c>
      <c r="G18" s="17" t="e">
        <f>VLOOKUP($A:$A,Tabla4[[Columna1]:[PRECRIADERO]],14,0)</f>
        <v>#N/A</v>
      </c>
      <c r="H18" s="18" t="e">
        <f>VLOOKUP(A:A,Tabla4[[Columna1]:[transferencia]],4,0)</f>
        <v>#N/A</v>
      </c>
      <c r="I18" s="124" t="e">
        <f>(VLOOKUP($A:$A,Tabla4[[Columna1]:[PRECRIADERO]],5,0))/E18</f>
        <v>#N/A</v>
      </c>
      <c r="J18" s="201" t="e">
        <f t="shared" ca="1" si="14"/>
        <v>#N/A</v>
      </c>
      <c r="K18" s="156" t="e">
        <f t="shared" si="12"/>
        <v>#N/A</v>
      </c>
      <c r="L18" s="202" t="e">
        <f t="shared" si="13"/>
        <v>#N/A</v>
      </c>
      <c r="M18" s="202" t="e">
        <f>VLOOKUP($A:$A,Tabla4[[Columna1]:[PRECRIADERO]],8,0)</f>
        <v>#N/A</v>
      </c>
      <c r="N18" s="202" t="e">
        <f>VLOOKUP($A:$A,Tabla4[[Columna1]:[PRECRIADERO]],7,0)</f>
        <v>#N/A</v>
      </c>
      <c r="O18" s="80" t="e">
        <f>+VLOOKUP($A:$A,Tabla4[[Columna1]:[PRECRIADERO]],6,0)</f>
        <v>#N/A</v>
      </c>
      <c r="P18" s="80"/>
      <c r="Q18" s="80" t="e">
        <f t="shared" si="11"/>
        <v>#N/A</v>
      </c>
      <c r="R18" s="156" t="e">
        <f t="shared" si="6"/>
        <v>#N/A</v>
      </c>
      <c r="S18" s="18" t="e">
        <f>VLOOKUP(A:A,Tabla4[[Columna1]:[siembra]],12,0)</f>
        <v>#N/A</v>
      </c>
      <c r="T18" s="125" t="e">
        <f t="shared" si="7"/>
        <v>#N/A</v>
      </c>
      <c r="U18" s="17">
        <f>SUMIFS(COSECHAS!L:L,COSECHAS!A:A,A18,COSECHAS!G:G,"&gt;"&amp;TENTATIVOS!H18)</f>
        <v>0</v>
      </c>
      <c r="V18" s="18" t="e">
        <f>+VLOOKUP(A18,DATOS!A:C,3,0)</f>
        <v>#N/A</v>
      </c>
      <c r="W18" s="18" t="e">
        <f t="shared" si="8"/>
        <v>#N/A</v>
      </c>
      <c r="X18" s="18" t="e">
        <f t="shared" si="9"/>
        <v>#N/A</v>
      </c>
      <c r="Y18" s="18" t="e">
        <f>VLOOKUP(M18,Tabla6[],3,0)</f>
        <v>#N/A</v>
      </c>
      <c r="Z18" s="6" t="e">
        <f>VLOOKUP(M18,DATOS!$E$30:$F$55,2,0)</f>
        <v>#N/A</v>
      </c>
    </row>
    <row r="19" spans="1:26" ht="12" customHeight="1" x14ac:dyDescent="0.25">
      <c r="A19" s="198" t="e">
        <f t="shared" si="0"/>
        <v>#N/A</v>
      </c>
      <c r="B19" s="199" t="str">
        <f t="shared" si="1"/>
        <v/>
      </c>
      <c r="C19" s="211" t="str">
        <f t="shared" si="2"/>
        <v/>
      </c>
      <c r="D19" s="213"/>
      <c r="E19" s="123" t="e">
        <f>VLOOKUP($A:$A,Tabla8[[sector/pisc]:[has]],2,0)</f>
        <v>#N/A</v>
      </c>
      <c r="F19" s="18" t="e">
        <f>VLOOKUP($A:$A,Tabla4[[Columna1]:[PRECRIADERO]],15,0)</f>
        <v>#N/A</v>
      </c>
      <c r="G19" s="17" t="e">
        <f>VLOOKUP($A:$A,Tabla4[[Columna1]:[PRECRIADERO]],14,0)</f>
        <v>#N/A</v>
      </c>
      <c r="H19" s="18" t="e">
        <f>VLOOKUP(A:A,Tabla4[[Columna1]:[transferencia]],4,0)</f>
        <v>#N/A</v>
      </c>
      <c r="I19" s="124" t="e">
        <f>(VLOOKUP($A:$A,Tabla4[[Columna1]:[PRECRIADERO]],5,0))/E19</f>
        <v>#N/A</v>
      </c>
      <c r="J19" s="201" t="e">
        <f t="shared" ca="1" si="14"/>
        <v>#N/A</v>
      </c>
      <c r="K19" s="156" t="e">
        <f t="shared" si="12"/>
        <v>#N/A</v>
      </c>
      <c r="L19" s="202" t="e">
        <f t="shared" si="13"/>
        <v>#N/A</v>
      </c>
      <c r="M19" s="202" t="e">
        <f>VLOOKUP($A:$A,Tabla4[[Columna1]:[PRECRIADERO]],8,0)</f>
        <v>#N/A</v>
      </c>
      <c r="N19" s="202" t="e">
        <f>VLOOKUP($A:$A,Tabla4[[Columna1]:[PRECRIADERO]],7,0)</f>
        <v>#N/A</v>
      </c>
      <c r="O19" s="80" t="e">
        <f>+VLOOKUP($A:$A,Tabla4[[Columna1]:[PRECRIADERO]],6,0)</f>
        <v>#N/A</v>
      </c>
      <c r="P19" s="80"/>
      <c r="Q19" s="80" t="e">
        <f t="shared" si="11"/>
        <v>#N/A</v>
      </c>
      <c r="R19" s="156" t="e">
        <f t="shared" si="6"/>
        <v>#N/A</v>
      </c>
      <c r="S19" s="18" t="e">
        <f>VLOOKUP(A:A,Tabla4[[Columna1]:[siembra]],12,0)</f>
        <v>#N/A</v>
      </c>
      <c r="T19" s="125" t="e">
        <f t="shared" si="7"/>
        <v>#N/A</v>
      </c>
      <c r="U19" s="17">
        <f>SUMIFS(COSECHAS!L:L,COSECHAS!A:A,A19,COSECHAS!G:G,"&gt;"&amp;TENTATIVOS!H19)</f>
        <v>0</v>
      </c>
      <c r="V19" s="18" t="e">
        <f>+VLOOKUP(A19,DATOS!A:C,3,0)</f>
        <v>#N/A</v>
      </c>
      <c r="W19" s="18" t="e">
        <f t="shared" si="8"/>
        <v>#N/A</v>
      </c>
      <c r="X19" s="18" t="e">
        <f t="shared" si="9"/>
        <v>#N/A</v>
      </c>
      <c r="Y19" s="18" t="e">
        <f>VLOOKUP(M19,Tabla6[],3,0)</f>
        <v>#N/A</v>
      </c>
      <c r="Z19" s="6" t="e">
        <f>VLOOKUP(M19,DATOS!$E$30:$F$55,2,0)</f>
        <v>#N/A</v>
      </c>
    </row>
    <row r="20" spans="1:26" ht="12" customHeight="1" x14ac:dyDescent="0.25">
      <c r="A20" s="198" t="e">
        <f t="shared" si="0"/>
        <v>#N/A</v>
      </c>
      <c r="B20" s="199" t="str">
        <f t="shared" si="1"/>
        <v/>
      </c>
      <c r="C20" s="211" t="str">
        <f t="shared" si="2"/>
        <v/>
      </c>
      <c r="D20" s="213"/>
      <c r="E20" s="123" t="e">
        <f>VLOOKUP($A:$A,Tabla8[[sector/pisc]:[has]],2,0)</f>
        <v>#N/A</v>
      </c>
      <c r="F20" s="18" t="e">
        <f>VLOOKUP($A:$A,Tabla4[[Columna1]:[PRECRIADERO]],15,0)</f>
        <v>#N/A</v>
      </c>
      <c r="G20" s="17" t="e">
        <f>VLOOKUP($A:$A,Tabla4[[Columna1]:[PRECRIADERO]],14,0)</f>
        <v>#N/A</v>
      </c>
      <c r="H20" s="18" t="e">
        <f>VLOOKUP(A:A,Tabla4[[Columna1]:[transferencia]],4,0)</f>
        <v>#N/A</v>
      </c>
      <c r="I20" s="124" t="e">
        <f>(VLOOKUP($A:$A,Tabla4[[Columna1]:[PRECRIADERO]],5,0))/E20</f>
        <v>#N/A</v>
      </c>
      <c r="J20" s="201" t="e">
        <f t="shared" ca="1" si="14"/>
        <v>#N/A</v>
      </c>
      <c r="K20" s="156" t="e">
        <f t="shared" si="12"/>
        <v>#N/A</v>
      </c>
      <c r="L20" s="202" t="e">
        <f t="shared" si="13"/>
        <v>#N/A</v>
      </c>
      <c r="M20" s="202" t="e">
        <f>VLOOKUP($A:$A,Tabla4[[Columna1]:[PRECRIADERO]],8,0)</f>
        <v>#N/A</v>
      </c>
      <c r="N20" s="202" t="e">
        <f>VLOOKUP($A:$A,Tabla4[[Columna1]:[PRECRIADERO]],7,0)</f>
        <v>#N/A</v>
      </c>
      <c r="O20" s="80" t="e">
        <f>+VLOOKUP($A:$A,Tabla4[[Columna1]:[PRECRIADERO]],6,0)</f>
        <v>#N/A</v>
      </c>
      <c r="P20" s="80"/>
      <c r="Q20" s="80" t="e">
        <f t="shared" si="11"/>
        <v>#N/A</v>
      </c>
      <c r="R20" s="156" t="e">
        <f t="shared" si="6"/>
        <v>#N/A</v>
      </c>
      <c r="S20" s="18" t="e">
        <f>VLOOKUP(A:A,Tabla4[[Columna1]:[siembra]],12,0)</f>
        <v>#N/A</v>
      </c>
      <c r="T20" s="125" t="e">
        <f t="shared" si="7"/>
        <v>#N/A</v>
      </c>
      <c r="U20" s="17">
        <f>SUMIFS(COSECHAS!L:L,COSECHAS!A:A,A20,COSECHAS!G:G,"&gt;"&amp;TENTATIVOS!H20)</f>
        <v>0</v>
      </c>
      <c r="V20" s="18" t="e">
        <f>+VLOOKUP(A20,DATOS!A:C,3,0)</f>
        <v>#N/A</v>
      </c>
      <c r="W20" s="18" t="e">
        <f t="shared" si="8"/>
        <v>#N/A</v>
      </c>
      <c r="X20" s="18" t="e">
        <f t="shared" si="9"/>
        <v>#N/A</v>
      </c>
      <c r="Y20" s="18" t="e">
        <f>VLOOKUP(M20,Tabla6[],3,0)</f>
        <v>#N/A</v>
      </c>
      <c r="Z20" s="6" t="e">
        <f>VLOOKUP(M20,DATOS!$E$30:$F$55,2,0)</f>
        <v>#N/A</v>
      </c>
    </row>
    <row r="21" spans="1:26" ht="12" customHeight="1" x14ac:dyDescent="0.25">
      <c r="A21" s="198" t="e">
        <f t="shared" si="0"/>
        <v>#N/A</v>
      </c>
      <c r="B21" s="199" t="str">
        <f t="shared" si="1"/>
        <v/>
      </c>
      <c r="C21" s="211" t="str">
        <f t="shared" si="2"/>
        <v/>
      </c>
      <c r="D21" s="213"/>
      <c r="E21" s="123" t="e">
        <f>VLOOKUP($A:$A,Tabla8[[sector/pisc]:[has]],2,0)</f>
        <v>#N/A</v>
      </c>
      <c r="F21" s="18" t="e">
        <f>VLOOKUP($A:$A,Tabla4[[Columna1]:[PRECRIADERO]],15,0)</f>
        <v>#N/A</v>
      </c>
      <c r="G21" s="17" t="e">
        <f>VLOOKUP($A:$A,Tabla4[[Columna1]:[PRECRIADERO]],14,0)</f>
        <v>#N/A</v>
      </c>
      <c r="H21" s="18" t="e">
        <f>VLOOKUP(A:A,Tabla4[[Columna1]:[transferencia]],4,0)</f>
        <v>#N/A</v>
      </c>
      <c r="I21" s="124" t="e">
        <f>(VLOOKUP($A:$A,Tabla4[[Columna1]:[PRECRIADERO]],5,0))/E21</f>
        <v>#N/A</v>
      </c>
      <c r="J21" s="201" t="e">
        <f t="shared" ca="1" si="14"/>
        <v>#N/A</v>
      </c>
      <c r="K21" s="156" t="e">
        <f t="shared" si="12"/>
        <v>#N/A</v>
      </c>
      <c r="L21" s="202" t="e">
        <f t="shared" si="13"/>
        <v>#N/A</v>
      </c>
      <c r="M21" s="202" t="e">
        <f>VLOOKUP($A:$A,Tabla4[[Columna1]:[PRECRIADERO]],8,0)</f>
        <v>#N/A</v>
      </c>
      <c r="N21" s="202" t="e">
        <f>VLOOKUP($A:$A,Tabla4[[Columna1]:[PRECRIADERO]],7,0)</f>
        <v>#N/A</v>
      </c>
      <c r="O21" s="80" t="e">
        <f>+VLOOKUP($A:$A,Tabla4[[Columna1]:[PRECRIADERO]],6,0)</f>
        <v>#N/A</v>
      </c>
      <c r="P21" s="80"/>
      <c r="Q21" s="80" t="e">
        <f t="shared" si="11"/>
        <v>#N/A</v>
      </c>
      <c r="R21" s="156" t="e">
        <f t="shared" si="6"/>
        <v>#N/A</v>
      </c>
      <c r="S21" s="18" t="e">
        <f>VLOOKUP(A:A,Tabla4[[Columna1]:[siembra]],12,0)</f>
        <v>#N/A</v>
      </c>
      <c r="T21" s="125" t="e">
        <f t="shared" si="7"/>
        <v>#N/A</v>
      </c>
      <c r="U21" s="17">
        <f>SUMIFS(COSECHAS!L:L,COSECHAS!A:A,A21,COSECHAS!G:G,"&gt;"&amp;TENTATIVOS!H21)</f>
        <v>0</v>
      </c>
      <c r="V21" s="18" t="e">
        <f>+VLOOKUP(A21,DATOS!A:C,3,0)</f>
        <v>#N/A</v>
      </c>
      <c r="W21" s="18" t="e">
        <f t="shared" si="8"/>
        <v>#N/A</v>
      </c>
      <c r="X21" s="18" t="e">
        <f t="shared" si="9"/>
        <v>#N/A</v>
      </c>
      <c r="Y21" s="18" t="e">
        <f>VLOOKUP(M21,Tabla6[],3,0)</f>
        <v>#N/A</v>
      </c>
      <c r="Z21" s="6" t="e">
        <f>VLOOKUP(M21,DATOS!$E$30:$F$55,2,0)</f>
        <v>#N/A</v>
      </c>
    </row>
    <row r="22" spans="1:26" ht="12" customHeight="1" x14ac:dyDescent="0.25">
      <c r="A22" s="198" t="e">
        <f t="shared" si="0"/>
        <v>#N/A</v>
      </c>
      <c r="B22" s="199" t="str">
        <f t="shared" si="1"/>
        <v/>
      </c>
      <c r="C22" s="211" t="str">
        <f t="shared" si="2"/>
        <v/>
      </c>
      <c r="D22" s="213"/>
      <c r="E22" s="123" t="e">
        <f>VLOOKUP($A:$A,Tabla8[[sector/pisc]:[has]],2,0)</f>
        <v>#N/A</v>
      </c>
      <c r="F22" s="18" t="e">
        <f>VLOOKUP($A:$A,Tabla4[[Columna1]:[PRECRIADERO]],15,0)</f>
        <v>#N/A</v>
      </c>
      <c r="G22" s="17" t="e">
        <f>VLOOKUP($A:$A,Tabla4[[Columna1]:[PRECRIADERO]],14,0)</f>
        <v>#N/A</v>
      </c>
      <c r="H22" s="18" t="e">
        <f>VLOOKUP(A:A,Tabla4[[Columna1]:[transferencia]],4,0)</f>
        <v>#N/A</v>
      </c>
      <c r="I22" s="124" t="e">
        <f>(VLOOKUP($A:$A,Tabla4[[Columna1]:[PRECRIADERO]],5,0))/E22</f>
        <v>#N/A</v>
      </c>
      <c r="J22" s="201" t="e">
        <f t="shared" ca="1" si="14"/>
        <v>#N/A</v>
      </c>
      <c r="K22" s="156" t="e">
        <f t="shared" si="12"/>
        <v>#N/A</v>
      </c>
      <c r="L22" s="202" t="e">
        <f t="shared" si="13"/>
        <v>#N/A</v>
      </c>
      <c r="M22" s="202" t="e">
        <f>VLOOKUP($A:$A,Tabla4[[Columna1]:[PRECRIADERO]],8,0)</f>
        <v>#N/A</v>
      </c>
      <c r="N22" s="202" t="e">
        <f>VLOOKUP($A:$A,Tabla4[[Columna1]:[PRECRIADERO]],7,0)</f>
        <v>#N/A</v>
      </c>
      <c r="O22" s="80" t="e">
        <f>+VLOOKUP($A:$A,Tabla4[[Columna1]:[PRECRIADERO]],6,0)</f>
        <v>#N/A</v>
      </c>
      <c r="P22" s="80"/>
      <c r="Q22" s="80" t="e">
        <f t="shared" si="11"/>
        <v>#N/A</v>
      </c>
      <c r="R22" s="156" t="e">
        <f t="shared" si="6"/>
        <v>#N/A</v>
      </c>
      <c r="S22" s="18" t="e">
        <f>VLOOKUP(A:A,Tabla4[[Columna1]:[siembra]],12,0)</f>
        <v>#N/A</v>
      </c>
      <c r="T22" s="125" t="e">
        <f t="shared" si="7"/>
        <v>#N/A</v>
      </c>
      <c r="U22" s="17">
        <f>SUMIFS(COSECHAS!L:L,COSECHAS!A:A,A22,COSECHAS!G:G,"&gt;"&amp;TENTATIVOS!H22)</f>
        <v>0</v>
      </c>
      <c r="V22" s="18" t="e">
        <f>+VLOOKUP(A22,DATOS!A:C,3,0)</f>
        <v>#N/A</v>
      </c>
      <c r="W22" s="18" t="e">
        <f t="shared" si="8"/>
        <v>#N/A</v>
      </c>
      <c r="X22" s="18" t="e">
        <f t="shared" si="9"/>
        <v>#N/A</v>
      </c>
      <c r="Y22" s="18" t="e">
        <f>VLOOKUP(M22,Tabla6[],3,0)</f>
        <v>#N/A</v>
      </c>
      <c r="Z22" s="6" t="e">
        <f>VLOOKUP(M22,DATOS!$E$30:$F$55,2,0)</f>
        <v>#N/A</v>
      </c>
    </row>
    <row r="23" spans="1:26" ht="12" customHeight="1" x14ac:dyDescent="0.25">
      <c r="A23" s="198" t="e">
        <f t="shared" si="0"/>
        <v>#N/A</v>
      </c>
      <c r="B23" s="199" t="str">
        <f t="shared" si="1"/>
        <v/>
      </c>
      <c r="C23" s="211" t="str">
        <f t="shared" si="2"/>
        <v/>
      </c>
      <c r="D23" s="213"/>
      <c r="E23" s="123" t="e">
        <f>VLOOKUP($A:$A,Tabla8[[sector/pisc]:[has]],2,0)</f>
        <v>#N/A</v>
      </c>
      <c r="F23" s="18" t="e">
        <f>VLOOKUP($A:$A,Tabla4[[Columna1]:[PRECRIADERO]],15,0)</f>
        <v>#N/A</v>
      </c>
      <c r="G23" s="17" t="e">
        <f>VLOOKUP($A:$A,Tabla4[[Columna1]:[PRECRIADERO]],14,0)</f>
        <v>#N/A</v>
      </c>
      <c r="H23" s="18" t="e">
        <f>VLOOKUP(A:A,Tabla4[[Columna1]:[transferencia]],4,0)</f>
        <v>#N/A</v>
      </c>
      <c r="I23" s="124" t="e">
        <f>(VLOOKUP($A:$A,Tabla4[[Columna1]:[PRECRIADERO]],5,0))/E23</f>
        <v>#N/A</v>
      </c>
      <c r="J23" s="201" t="e">
        <f t="shared" ca="1" si="14"/>
        <v>#N/A</v>
      </c>
      <c r="K23" s="156" t="e">
        <f t="shared" si="12"/>
        <v>#N/A</v>
      </c>
      <c r="L23" s="202" t="e">
        <f t="shared" si="13"/>
        <v>#N/A</v>
      </c>
      <c r="M23" s="202" t="e">
        <f>VLOOKUP($A:$A,Tabla4[[Columna1]:[PRECRIADERO]],8,0)</f>
        <v>#N/A</v>
      </c>
      <c r="N23" s="202" t="e">
        <f>VLOOKUP($A:$A,Tabla4[[Columna1]:[PRECRIADERO]],7,0)</f>
        <v>#N/A</v>
      </c>
      <c r="O23" s="80" t="e">
        <f>+VLOOKUP($A:$A,Tabla4[[Columna1]:[PRECRIADERO]],6,0)</f>
        <v>#N/A</v>
      </c>
      <c r="P23" s="80"/>
      <c r="Q23" s="80" t="e">
        <f t="shared" si="11"/>
        <v>#N/A</v>
      </c>
      <c r="R23" s="156" t="e">
        <f t="shared" si="6"/>
        <v>#N/A</v>
      </c>
      <c r="S23" s="18" t="e">
        <f>VLOOKUP(A:A,Tabla4[[Columna1]:[siembra]],12,0)</f>
        <v>#N/A</v>
      </c>
      <c r="T23" s="125" t="e">
        <f t="shared" si="7"/>
        <v>#N/A</v>
      </c>
      <c r="U23" s="17">
        <f>SUMIFS(COSECHAS!L:L,COSECHAS!A:A,A23,COSECHAS!G:G,"&gt;"&amp;TENTATIVOS!H23)</f>
        <v>0</v>
      </c>
      <c r="V23" s="18" t="e">
        <f>+VLOOKUP(A23,DATOS!A:C,3,0)</f>
        <v>#N/A</v>
      </c>
      <c r="W23" s="18" t="e">
        <f t="shared" si="8"/>
        <v>#N/A</v>
      </c>
      <c r="X23" s="18" t="e">
        <f t="shared" si="9"/>
        <v>#N/A</v>
      </c>
      <c r="Y23" s="18" t="e">
        <f>VLOOKUP(M23,Tabla6[],3,0)</f>
        <v>#N/A</v>
      </c>
      <c r="Z23" s="6" t="e">
        <f>VLOOKUP(M23,DATOS!$E$30:$F$55,2,0)</f>
        <v>#N/A</v>
      </c>
    </row>
    <row r="24" spans="1:26" ht="12" customHeight="1" x14ac:dyDescent="0.25">
      <c r="A24" s="198" t="e">
        <f t="shared" si="0"/>
        <v>#N/A</v>
      </c>
      <c r="B24" s="199" t="str">
        <f t="shared" si="1"/>
        <v/>
      </c>
      <c r="C24" s="211" t="str">
        <f t="shared" si="2"/>
        <v/>
      </c>
      <c r="D24" s="213"/>
      <c r="E24" s="123" t="e">
        <f>VLOOKUP($A:$A,Tabla8[[sector/pisc]:[has]],2,0)</f>
        <v>#N/A</v>
      </c>
      <c r="F24" s="18" t="e">
        <f>VLOOKUP($A:$A,Tabla4[[Columna1]:[PRECRIADERO]],15,0)</f>
        <v>#N/A</v>
      </c>
      <c r="G24" s="17" t="e">
        <f>VLOOKUP($A:$A,Tabla4[[Columna1]:[PRECRIADERO]],14,0)</f>
        <v>#N/A</v>
      </c>
      <c r="H24" s="18" t="e">
        <f>VLOOKUP(A:A,Tabla4[[Columna1]:[transferencia]],4,0)</f>
        <v>#N/A</v>
      </c>
      <c r="I24" s="124" t="e">
        <f>(VLOOKUP($A:$A,Tabla4[[Columna1]:[PRECRIADERO]],5,0))/E24</f>
        <v>#N/A</v>
      </c>
      <c r="J24" s="201" t="e">
        <f t="shared" ca="1" si="14"/>
        <v>#N/A</v>
      </c>
      <c r="K24" s="156" t="e">
        <f t="shared" si="12"/>
        <v>#N/A</v>
      </c>
      <c r="L24" s="202" t="e">
        <f t="shared" si="13"/>
        <v>#N/A</v>
      </c>
      <c r="M24" s="202" t="e">
        <f>VLOOKUP($A:$A,Tabla4[[Columna1]:[PRECRIADERO]],8,0)</f>
        <v>#N/A</v>
      </c>
      <c r="N24" s="202" t="e">
        <f>VLOOKUP($A:$A,Tabla4[[Columna1]:[PRECRIADERO]],7,0)</f>
        <v>#N/A</v>
      </c>
      <c r="O24" s="80" t="e">
        <f>+VLOOKUP($A:$A,Tabla4[[Columna1]:[PRECRIADERO]],6,0)</f>
        <v>#N/A</v>
      </c>
      <c r="P24" s="80"/>
      <c r="Q24" s="80" t="e">
        <f t="shared" si="11"/>
        <v>#N/A</v>
      </c>
      <c r="R24" s="156" t="e">
        <f t="shared" si="6"/>
        <v>#N/A</v>
      </c>
      <c r="S24" s="18" t="e">
        <f>VLOOKUP(A:A,Tabla4[[Columna1]:[siembra]],12,0)</f>
        <v>#N/A</v>
      </c>
      <c r="T24" s="125" t="e">
        <f t="shared" si="7"/>
        <v>#N/A</v>
      </c>
      <c r="U24" s="17">
        <f>SUMIFS(COSECHAS!L:L,COSECHAS!A:A,A24,COSECHAS!G:G,"&gt;"&amp;TENTATIVOS!H24)</f>
        <v>0</v>
      </c>
      <c r="V24" s="18" t="e">
        <f>+VLOOKUP(A24,DATOS!A:C,3,0)</f>
        <v>#N/A</v>
      </c>
      <c r="W24" s="18" t="e">
        <f t="shared" si="8"/>
        <v>#N/A</v>
      </c>
      <c r="X24" s="18" t="e">
        <f t="shared" si="9"/>
        <v>#N/A</v>
      </c>
      <c r="Y24" s="18" t="e">
        <f>VLOOKUP(M24,Tabla6[],3,0)</f>
        <v>#N/A</v>
      </c>
      <c r="Z24" s="6" t="e">
        <f>VLOOKUP(M24,DATOS!$E$30:$F$55,2,0)</f>
        <v>#N/A</v>
      </c>
    </row>
    <row r="25" spans="1:26" ht="12" customHeight="1" x14ac:dyDescent="0.25">
      <c r="A25" s="198" t="e">
        <f t="shared" si="0"/>
        <v>#N/A</v>
      </c>
      <c r="B25" s="199" t="str">
        <f t="shared" si="1"/>
        <v/>
      </c>
      <c r="C25" s="211" t="str">
        <f t="shared" si="2"/>
        <v/>
      </c>
      <c r="D25" s="213"/>
      <c r="E25" s="123" t="e">
        <f>VLOOKUP($A:$A,Tabla8[[sector/pisc]:[has]],2,0)</f>
        <v>#N/A</v>
      </c>
      <c r="F25" s="18" t="e">
        <f>VLOOKUP($A:$A,Tabla4[[Columna1]:[PRECRIADERO]],15,0)</f>
        <v>#N/A</v>
      </c>
      <c r="G25" s="17" t="e">
        <f>VLOOKUP($A:$A,Tabla4[[Columna1]:[PRECRIADERO]],14,0)</f>
        <v>#N/A</v>
      </c>
      <c r="H25" s="18" t="e">
        <f>VLOOKUP(A:A,Tabla4[[Columna1]:[transferencia]],4,0)</f>
        <v>#N/A</v>
      </c>
      <c r="I25" s="124" t="e">
        <f>(VLOOKUP($A:$A,Tabla4[[Columna1]:[PRECRIADERO]],5,0))/E25</f>
        <v>#N/A</v>
      </c>
      <c r="J25" s="201" t="e">
        <f t="shared" ca="1" si="14"/>
        <v>#N/A</v>
      </c>
      <c r="K25" s="156" t="e">
        <f t="shared" si="12"/>
        <v>#N/A</v>
      </c>
      <c r="L25" s="202" t="e">
        <f t="shared" si="13"/>
        <v>#N/A</v>
      </c>
      <c r="M25" s="202" t="e">
        <f>VLOOKUP($A:$A,Tabla4[[Columna1]:[PRECRIADERO]],8,0)</f>
        <v>#N/A</v>
      </c>
      <c r="N25" s="202" t="e">
        <f>VLOOKUP($A:$A,Tabla4[[Columna1]:[PRECRIADERO]],7,0)</f>
        <v>#N/A</v>
      </c>
      <c r="O25" s="80" t="e">
        <f>+VLOOKUP($A:$A,Tabla4[[Columna1]:[PRECRIADERO]],6,0)</f>
        <v>#N/A</v>
      </c>
      <c r="P25" s="80"/>
      <c r="Q25" s="80" t="e">
        <f t="shared" si="11"/>
        <v>#N/A</v>
      </c>
      <c r="R25" s="156" t="e">
        <f t="shared" si="6"/>
        <v>#N/A</v>
      </c>
      <c r="S25" s="18" t="e">
        <f>VLOOKUP(A:A,Tabla4[[Columna1]:[siembra]],12,0)</f>
        <v>#N/A</v>
      </c>
      <c r="T25" s="125" t="e">
        <f t="shared" si="7"/>
        <v>#N/A</v>
      </c>
      <c r="U25" s="17">
        <f>SUMIFS(COSECHAS!L:L,COSECHAS!A:A,A25,COSECHAS!G:G,"&gt;"&amp;TENTATIVOS!H25)</f>
        <v>0</v>
      </c>
      <c r="V25" s="18" t="e">
        <f>+VLOOKUP(A25,DATOS!A:C,3,0)</f>
        <v>#N/A</v>
      </c>
      <c r="W25" s="18" t="e">
        <f t="shared" si="8"/>
        <v>#N/A</v>
      </c>
      <c r="X25" s="18" t="e">
        <f t="shared" si="9"/>
        <v>#N/A</v>
      </c>
      <c r="Y25" s="18" t="e">
        <f>VLOOKUP(M25,Tabla6[],3,0)</f>
        <v>#N/A</v>
      </c>
      <c r="Z25" s="6" t="e">
        <f>VLOOKUP(M25,DATOS!$E$30:$F$55,2,0)</f>
        <v>#N/A</v>
      </c>
    </row>
    <row r="26" spans="1:26" ht="12" customHeight="1" x14ac:dyDescent="0.25">
      <c r="A26" s="198" t="e">
        <f t="shared" si="0"/>
        <v>#N/A</v>
      </c>
      <c r="B26" s="199" t="str">
        <f t="shared" si="1"/>
        <v/>
      </c>
      <c r="C26" s="211" t="str">
        <f t="shared" si="2"/>
        <v/>
      </c>
      <c r="D26" s="213"/>
      <c r="E26" s="123" t="e">
        <f>VLOOKUP($A:$A,Tabla8[[sector/pisc]:[has]],2,0)</f>
        <v>#N/A</v>
      </c>
      <c r="F26" s="18" t="e">
        <f>VLOOKUP($A:$A,Tabla4[[Columna1]:[PRECRIADERO]],15,0)</f>
        <v>#N/A</v>
      </c>
      <c r="G26" s="17" t="e">
        <f>VLOOKUP($A:$A,Tabla4[[Columna1]:[PRECRIADERO]],14,0)</f>
        <v>#N/A</v>
      </c>
      <c r="H26" s="18" t="e">
        <f>VLOOKUP(A:A,Tabla4[[Columna1]:[transferencia]],4,0)</f>
        <v>#N/A</v>
      </c>
      <c r="I26" s="124" t="e">
        <f>(VLOOKUP($A:$A,Tabla4[[Columna1]:[PRECRIADERO]],5,0))/E26</f>
        <v>#N/A</v>
      </c>
      <c r="J26" s="201" t="e">
        <f t="shared" ca="1" si="14"/>
        <v>#N/A</v>
      </c>
      <c r="K26" s="156" t="e">
        <f t="shared" si="12"/>
        <v>#N/A</v>
      </c>
      <c r="L26" s="202" t="e">
        <f t="shared" si="13"/>
        <v>#N/A</v>
      </c>
      <c r="M26" s="202" t="e">
        <f>VLOOKUP($A:$A,Tabla4[[Columna1]:[PRECRIADERO]],8,0)</f>
        <v>#N/A</v>
      </c>
      <c r="N26" s="202" t="e">
        <f>VLOOKUP($A:$A,Tabla4[[Columna1]:[PRECRIADERO]],7,0)</f>
        <v>#N/A</v>
      </c>
      <c r="O26" s="80" t="e">
        <f>+VLOOKUP($A:$A,Tabla4[[Columna1]:[PRECRIADERO]],6,0)</f>
        <v>#N/A</v>
      </c>
      <c r="P26" s="80"/>
      <c r="Q26" s="80" t="e">
        <f t="shared" si="11"/>
        <v>#N/A</v>
      </c>
      <c r="R26" s="156" t="e">
        <f t="shared" si="6"/>
        <v>#N/A</v>
      </c>
      <c r="S26" s="18" t="e">
        <f>VLOOKUP(A:A,Tabla4[[Columna1]:[siembra]],12,0)</f>
        <v>#N/A</v>
      </c>
      <c r="T26" s="125" t="e">
        <f t="shared" si="7"/>
        <v>#N/A</v>
      </c>
      <c r="U26" s="17">
        <f>SUMIFS(COSECHAS!L:L,COSECHAS!A:A,A26,COSECHAS!G:G,"&gt;"&amp;TENTATIVOS!H26)</f>
        <v>0</v>
      </c>
      <c r="V26" s="18" t="e">
        <f>+VLOOKUP(A26,DATOS!A:C,3,0)</f>
        <v>#N/A</v>
      </c>
      <c r="W26" s="18" t="e">
        <f t="shared" si="8"/>
        <v>#N/A</v>
      </c>
      <c r="X26" s="18" t="e">
        <f t="shared" si="9"/>
        <v>#N/A</v>
      </c>
      <c r="Y26" s="18" t="e">
        <f>VLOOKUP(M26,Tabla6[],3,0)</f>
        <v>#N/A</v>
      </c>
      <c r="Z26" s="6" t="e">
        <f>VLOOKUP(M26,DATOS!$E$30:$F$55,2,0)</f>
        <v>#N/A</v>
      </c>
    </row>
    <row r="27" spans="1:26" ht="12" customHeight="1" x14ac:dyDescent="0.25">
      <c r="A27" s="198" t="e">
        <f t="shared" si="0"/>
        <v>#N/A</v>
      </c>
      <c r="B27" s="199" t="str">
        <f t="shared" si="1"/>
        <v/>
      </c>
      <c r="C27" s="211" t="str">
        <f t="shared" si="2"/>
        <v/>
      </c>
      <c r="D27" s="213"/>
      <c r="E27" s="123" t="e">
        <f>VLOOKUP($A:$A,Tabla8[[sector/pisc]:[has]],2,0)</f>
        <v>#N/A</v>
      </c>
      <c r="F27" s="18" t="e">
        <f>VLOOKUP($A:$A,Tabla4[[Columna1]:[PRECRIADERO]],15,0)</f>
        <v>#N/A</v>
      </c>
      <c r="G27" s="17" t="e">
        <f>VLOOKUP($A:$A,Tabla4[[Columna1]:[PRECRIADERO]],14,0)</f>
        <v>#N/A</v>
      </c>
      <c r="H27" s="18" t="e">
        <f>VLOOKUP(A:A,Tabla4[[Columna1]:[transferencia]],4,0)</f>
        <v>#N/A</v>
      </c>
      <c r="I27" s="124" t="e">
        <f>(VLOOKUP($A:$A,Tabla4[[Columna1]:[PRECRIADERO]],5,0))/E27</f>
        <v>#N/A</v>
      </c>
      <c r="J27" s="201" t="e">
        <f t="shared" ca="1" si="14"/>
        <v>#N/A</v>
      </c>
      <c r="K27" s="156" t="e">
        <f t="shared" si="12"/>
        <v>#N/A</v>
      </c>
      <c r="L27" s="202" t="e">
        <f t="shared" si="13"/>
        <v>#N/A</v>
      </c>
      <c r="M27" s="202" t="e">
        <f>VLOOKUP($A:$A,Tabla4[[Columna1]:[PRECRIADERO]],8,0)</f>
        <v>#N/A</v>
      </c>
      <c r="N27" s="202" t="e">
        <f>VLOOKUP($A:$A,Tabla4[[Columna1]:[PRECRIADERO]],7,0)</f>
        <v>#N/A</v>
      </c>
      <c r="O27" s="80" t="e">
        <f>+VLOOKUP($A:$A,Tabla4[[Columna1]:[PRECRIADERO]],6,0)</f>
        <v>#N/A</v>
      </c>
      <c r="P27" s="80"/>
      <c r="Q27" s="80" t="e">
        <f t="shared" si="11"/>
        <v>#N/A</v>
      </c>
      <c r="R27" s="156" t="e">
        <f t="shared" si="6"/>
        <v>#N/A</v>
      </c>
      <c r="S27" s="18" t="e">
        <f>VLOOKUP(A:A,Tabla4[[Columna1]:[siembra]],12,0)</f>
        <v>#N/A</v>
      </c>
      <c r="T27" s="125" t="e">
        <f t="shared" si="7"/>
        <v>#N/A</v>
      </c>
      <c r="U27" s="17">
        <f>SUMIFS(COSECHAS!L:L,COSECHAS!A:A,A27,COSECHAS!G:G,"&gt;"&amp;TENTATIVOS!H27)</f>
        <v>0</v>
      </c>
      <c r="V27" s="18" t="e">
        <f>+VLOOKUP(A27,DATOS!A:C,3,0)</f>
        <v>#N/A</v>
      </c>
      <c r="W27" s="18" t="e">
        <f t="shared" si="8"/>
        <v>#N/A</v>
      </c>
      <c r="X27" s="18" t="e">
        <f t="shared" si="9"/>
        <v>#N/A</v>
      </c>
      <c r="Y27" s="18" t="e">
        <f>VLOOKUP(M27,Tabla6[],3,0)</f>
        <v>#N/A</v>
      </c>
      <c r="Z27" s="6" t="e">
        <f>VLOOKUP(M27,DATOS!$E$30:$F$55,2,0)</f>
        <v>#N/A</v>
      </c>
    </row>
    <row r="28" spans="1:26" ht="12" customHeight="1" x14ac:dyDescent="0.25">
      <c r="A28" s="198" t="e">
        <f t="shared" si="0"/>
        <v>#N/A</v>
      </c>
      <c r="B28" s="199" t="str">
        <f t="shared" si="1"/>
        <v/>
      </c>
      <c r="C28" s="211" t="str">
        <f t="shared" si="2"/>
        <v/>
      </c>
      <c r="D28" s="213"/>
      <c r="E28" s="123" t="e">
        <f>VLOOKUP($A:$A,Tabla8[[sector/pisc]:[has]],2,0)</f>
        <v>#N/A</v>
      </c>
      <c r="F28" s="18" t="e">
        <f>VLOOKUP($A:$A,Tabla4[[Columna1]:[PRECRIADERO]],15,0)</f>
        <v>#N/A</v>
      </c>
      <c r="G28" s="17" t="e">
        <f>VLOOKUP($A:$A,Tabla4[[Columna1]:[PRECRIADERO]],14,0)</f>
        <v>#N/A</v>
      </c>
      <c r="H28" s="18" t="e">
        <f>VLOOKUP(A:A,Tabla4[[Columna1]:[transferencia]],4,0)</f>
        <v>#N/A</v>
      </c>
      <c r="I28" s="124" t="e">
        <f>(VLOOKUP($A:$A,Tabla4[[Columna1]:[PRECRIADERO]],5,0))/E28</f>
        <v>#N/A</v>
      </c>
      <c r="J28" s="201" t="e">
        <f t="shared" ca="1" si="14"/>
        <v>#N/A</v>
      </c>
      <c r="K28" s="156" t="e">
        <f t="shared" si="12"/>
        <v>#N/A</v>
      </c>
      <c r="L28" s="202" t="e">
        <f t="shared" si="13"/>
        <v>#N/A</v>
      </c>
      <c r="M28" s="202" t="e">
        <f>VLOOKUP($A:$A,Tabla4[[Columna1]:[PRECRIADERO]],8,0)</f>
        <v>#N/A</v>
      </c>
      <c r="N28" s="202" t="e">
        <f>VLOOKUP($A:$A,Tabla4[[Columna1]:[PRECRIADERO]],7,0)</f>
        <v>#N/A</v>
      </c>
      <c r="O28" s="80" t="e">
        <f>+VLOOKUP($A:$A,Tabla4[[Columna1]:[PRECRIADERO]],6,0)</f>
        <v>#N/A</v>
      </c>
      <c r="P28" s="80"/>
      <c r="Q28" s="80" t="e">
        <f t="shared" si="11"/>
        <v>#N/A</v>
      </c>
      <c r="R28" s="156" t="e">
        <f t="shared" si="6"/>
        <v>#N/A</v>
      </c>
      <c r="S28" s="18" t="e">
        <f>VLOOKUP(A:A,Tabla4[[Columna1]:[siembra]],12,0)</f>
        <v>#N/A</v>
      </c>
      <c r="T28" s="125" t="e">
        <f t="shared" si="7"/>
        <v>#N/A</v>
      </c>
      <c r="U28" s="17">
        <f>SUMIFS(COSECHAS!L:L,COSECHAS!A:A,A28,COSECHAS!G:G,"&gt;"&amp;TENTATIVOS!H28)</f>
        <v>0</v>
      </c>
      <c r="V28" s="18" t="e">
        <f>+VLOOKUP(A28,DATOS!A:C,3,0)</f>
        <v>#N/A</v>
      </c>
      <c r="W28" s="18" t="e">
        <f t="shared" si="8"/>
        <v>#N/A</v>
      </c>
      <c r="X28" s="18" t="e">
        <f t="shared" si="9"/>
        <v>#N/A</v>
      </c>
      <c r="Y28" s="18" t="e">
        <f>VLOOKUP(M28,Tabla6[],3,0)</f>
        <v>#N/A</v>
      </c>
      <c r="Z28" s="6" t="e">
        <f>VLOOKUP(M28,DATOS!$E$30:$F$55,2,0)</f>
        <v>#N/A</v>
      </c>
    </row>
    <row r="29" spans="1:26" ht="12" customHeight="1" x14ac:dyDescent="0.25">
      <c r="A29" s="198" t="e">
        <f t="shared" si="0"/>
        <v>#N/A</v>
      </c>
      <c r="B29" s="199" t="str">
        <f t="shared" si="1"/>
        <v/>
      </c>
      <c r="C29" s="211" t="str">
        <f t="shared" si="2"/>
        <v/>
      </c>
      <c r="D29" s="213"/>
      <c r="E29" s="123" t="e">
        <f>VLOOKUP($A:$A,Tabla8[[sector/pisc]:[has]],2,0)</f>
        <v>#N/A</v>
      </c>
      <c r="F29" s="18" t="e">
        <f>VLOOKUP($A:$A,Tabla4[[Columna1]:[PRECRIADERO]],15,0)</f>
        <v>#N/A</v>
      </c>
      <c r="G29" s="17" t="e">
        <f>VLOOKUP($A:$A,Tabla4[[Columna1]:[PRECRIADERO]],14,0)</f>
        <v>#N/A</v>
      </c>
      <c r="H29" s="18" t="e">
        <f>VLOOKUP(A:A,Tabla4[[Columna1]:[transferencia]],4,0)</f>
        <v>#N/A</v>
      </c>
      <c r="I29" s="124" t="e">
        <f>(VLOOKUP($A:$A,Tabla4[[Columna1]:[PRECRIADERO]],5,0))/E29</f>
        <v>#N/A</v>
      </c>
      <c r="J29" s="201" t="e">
        <f t="shared" ca="1" si="14"/>
        <v>#N/A</v>
      </c>
      <c r="K29" s="156" t="e">
        <f t="shared" si="12"/>
        <v>#N/A</v>
      </c>
      <c r="L29" s="202" t="e">
        <f t="shared" si="13"/>
        <v>#N/A</v>
      </c>
      <c r="M29" s="202" t="e">
        <f>VLOOKUP($A:$A,Tabla4[[Columna1]:[PRECRIADERO]],8,0)</f>
        <v>#N/A</v>
      </c>
      <c r="N29" s="202" t="e">
        <f>VLOOKUP($A:$A,Tabla4[[Columna1]:[PRECRIADERO]],7,0)</f>
        <v>#N/A</v>
      </c>
      <c r="O29" s="80" t="e">
        <f>+VLOOKUP($A:$A,Tabla4[[Columna1]:[PRECRIADERO]],6,0)</f>
        <v>#N/A</v>
      </c>
      <c r="P29" s="80"/>
      <c r="Q29" s="80" t="e">
        <f t="shared" si="11"/>
        <v>#N/A</v>
      </c>
      <c r="R29" s="156" t="e">
        <f t="shared" si="6"/>
        <v>#N/A</v>
      </c>
      <c r="S29" s="18" t="e">
        <f>VLOOKUP(A:A,Tabla4[[Columna1]:[siembra]],12,0)</f>
        <v>#N/A</v>
      </c>
      <c r="T29" s="125" t="e">
        <f t="shared" ref="T29:T39" si="15">(S29+U29)</f>
        <v>#N/A</v>
      </c>
      <c r="U29" s="17">
        <f>SUMIFS(COSECHAS!L:L,COSECHAS!A:A,A29,COSECHAS!G:G,"&gt;"&amp;TENTATIVOS!H29)</f>
        <v>0</v>
      </c>
      <c r="V29" s="18" t="e">
        <f>+VLOOKUP(A29,DATOS!A:C,3,0)</f>
        <v>#N/A</v>
      </c>
      <c r="W29" s="18" t="e">
        <f t="shared" ref="W29:W39" si="16">IF(V29="CONVENCIONAL","",X29)</f>
        <v>#N/A</v>
      </c>
      <c r="X29" s="18" t="e">
        <f t="shared" ref="X29:X39" si="17">IF(AND(S29&gt;=Y29,S29&lt;=Z29),"4 ESTRELLAS","3 ESTRELLAS")</f>
        <v>#N/A</v>
      </c>
      <c r="Y29" s="18" t="e">
        <f>VLOOKUP(M29,Tabla6[],3,0)</f>
        <v>#N/A</v>
      </c>
      <c r="Z29" s="6" t="e">
        <f>VLOOKUP(M29,DATOS!$E$30:$F$55,2,0)</f>
        <v>#N/A</v>
      </c>
    </row>
    <row r="30" spans="1:26" ht="12" customHeight="1" x14ac:dyDescent="0.25">
      <c r="A30" s="198" t="e">
        <f t="shared" si="0"/>
        <v>#N/A</v>
      </c>
      <c r="B30" s="199" t="str">
        <f t="shared" si="1"/>
        <v/>
      </c>
      <c r="C30" s="211" t="str">
        <f t="shared" si="2"/>
        <v/>
      </c>
      <c r="D30" s="213"/>
      <c r="E30" s="123" t="e">
        <f>VLOOKUP($A:$A,Tabla8[[sector/pisc]:[has]],2,0)</f>
        <v>#N/A</v>
      </c>
      <c r="F30" s="18" t="e">
        <f>VLOOKUP($A:$A,Tabla4[[Columna1]:[PRECRIADERO]],15,0)</f>
        <v>#N/A</v>
      </c>
      <c r="G30" s="17" t="e">
        <f>VLOOKUP($A:$A,Tabla4[[Columna1]:[PRECRIADERO]],14,0)</f>
        <v>#N/A</v>
      </c>
      <c r="H30" s="18" t="e">
        <f>VLOOKUP(A:A,Tabla4[[Columna1]:[transferencia]],4,0)</f>
        <v>#N/A</v>
      </c>
      <c r="I30" s="124" t="e">
        <f>(VLOOKUP($A:$A,Tabla4[[Columna1]:[PRECRIADERO]],5,0))/E30</f>
        <v>#N/A</v>
      </c>
      <c r="J30" s="201" t="e">
        <f t="shared" ca="1" si="14"/>
        <v>#N/A</v>
      </c>
      <c r="K30" s="156" t="e">
        <f t="shared" si="12"/>
        <v>#N/A</v>
      </c>
      <c r="L30" s="202" t="e">
        <f t="shared" si="13"/>
        <v>#N/A</v>
      </c>
      <c r="M30" s="202" t="e">
        <f>VLOOKUP($A:$A,Tabla4[[Columna1]:[PRECRIADERO]],8,0)</f>
        <v>#N/A</v>
      </c>
      <c r="N30" s="202" t="e">
        <f>VLOOKUP($A:$A,Tabla4[[Columna1]:[PRECRIADERO]],7,0)</f>
        <v>#N/A</v>
      </c>
      <c r="O30" s="80" t="e">
        <f>+VLOOKUP($A:$A,Tabla4[[Columna1]:[PRECRIADERO]],6,0)</f>
        <v>#N/A</v>
      </c>
      <c r="P30" s="80"/>
      <c r="Q30" s="80" t="e">
        <f t="shared" si="11"/>
        <v>#N/A</v>
      </c>
      <c r="R30" s="156" t="e">
        <f t="shared" si="6"/>
        <v>#N/A</v>
      </c>
      <c r="S30" s="18" t="e">
        <f>VLOOKUP(A:A,Tabla4[[Columna1]:[siembra]],12,0)</f>
        <v>#N/A</v>
      </c>
      <c r="T30" s="125" t="e">
        <f t="shared" si="15"/>
        <v>#N/A</v>
      </c>
      <c r="U30" s="17">
        <f>SUMIFS(COSECHAS!L:L,COSECHAS!A:A,A30,COSECHAS!G:G,"&gt;"&amp;TENTATIVOS!H30)</f>
        <v>0</v>
      </c>
      <c r="V30" s="18" t="e">
        <f>+VLOOKUP(A30,DATOS!A:C,3,0)</f>
        <v>#N/A</v>
      </c>
      <c r="W30" s="18" t="e">
        <f t="shared" si="16"/>
        <v>#N/A</v>
      </c>
      <c r="X30" s="18" t="e">
        <f t="shared" si="17"/>
        <v>#N/A</v>
      </c>
      <c r="Y30" s="18" t="e">
        <f>VLOOKUP(M30,Tabla6[],3,0)</f>
        <v>#N/A</v>
      </c>
      <c r="Z30" s="6" t="e">
        <f>VLOOKUP(M30,DATOS!$E$30:$F$55,2,0)</f>
        <v>#N/A</v>
      </c>
    </row>
    <row r="31" spans="1:26" ht="12" hidden="1" customHeight="1" x14ac:dyDescent="0.25">
      <c r="A31" s="198" t="str">
        <f t="shared" si="0"/>
        <v>CH 15</v>
      </c>
      <c r="B31" s="199" t="str">
        <f t="shared" si="1"/>
        <v>CHERNA</v>
      </c>
      <c r="C31" s="211" t="str">
        <f t="shared" si="2"/>
        <v>15</v>
      </c>
      <c r="D31" s="213" t="s">
        <v>755</v>
      </c>
      <c r="E31" s="123">
        <f>VLOOKUP($A:$A,Tabla8[[sector/pisc]:[has]],2,0)</f>
        <v>1.65</v>
      </c>
      <c r="F31" s="18" t="e">
        <f>VLOOKUP($A:$A,Tabla4[[Columna1]:[PRECRIADERO]],15,0)</f>
        <v>#N/A</v>
      </c>
      <c r="G31" s="17" t="e">
        <f>VLOOKUP($A:$A,Tabla4[[Columna1]:[PRECRIADERO]],14,0)</f>
        <v>#N/A</v>
      </c>
      <c r="H31" s="18" t="e">
        <f>VLOOKUP(A:A,Tabla4[[Columna1]:[transferencia]],4,0)</f>
        <v>#N/A</v>
      </c>
      <c r="I31" s="124" t="e">
        <f>(VLOOKUP($A:$A,Tabla4[[Columna1]:[PRECRIADERO]],5,0))/E31</f>
        <v>#N/A</v>
      </c>
      <c r="J31" s="201" t="e">
        <f t="shared" ca="1" si="14"/>
        <v>#N/A</v>
      </c>
      <c r="K31" s="156" t="str">
        <f t="shared" si="12"/>
        <v>ASC</v>
      </c>
      <c r="L31" s="202" t="e">
        <f t="shared" si="13"/>
        <v>#N/A</v>
      </c>
      <c r="M31" s="202" t="e">
        <f>VLOOKUP($A:$A,Tabla4[[Columna1]:[PRECRIADERO]],8,0)</f>
        <v>#N/A</v>
      </c>
      <c r="N31" s="202" t="e">
        <f>VLOOKUP($A:$A,Tabla4[[Columna1]:[PRECRIADERO]],7,0)</f>
        <v>#N/A</v>
      </c>
      <c r="O31" s="80" t="e">
        <f>+VLOOKUP($A:$A,Tabla4[[Columna1]:[PRECRIADERO]],6,0)</f>
        <v>#N/A</v>
      </c>
      <c r="P31" s="80"/>
      <c r="Q31" s="80" t="str">
        <f t="shared" si="11"/>
        <v>ASC</v>
      </c>
      <c r="R31" s="156" t="str">
        <f t="shared" si="6"/>
        <v>ASC</v>
      </c>
      <c r="S31" s="18" t="e">
        <f>VLOOKUP(A:A,Tabla4[[Columna1]:[siembra]],12,0)</f>
        <v>#N/A</v>
      </c>
      <c r="T31" s="125" t="e">
        <f t="shared" si="15"/>
        <v>#N/A</v>
      </c>
      <c r="U31" s="17">
        <f>SUMIFS(COSECHAS!L:L,COSECHAS!A:A,A31,COSECHAS!G:G,"&gt;"&amp;TENTATIVOS!H31)</f>
        <v>0</v>
      </c>
      <c r="V31" s="18" t="str">
        <f>+VLOOKUP(A31,DATOS!A:C,3,0)</f>
        <v>ASC</v>
      </c>
      <c r="W31" s="18" t="e">
        <f t="shared" si="16"/>
        <v>#N/A</v>
      </c>
      <c r="X31" s="18" t="e">
        <f t="shared" si="17"/>
        <v>#N/A</v>
      </c>
      <c r="Y31" s="18" t="e">
        <f>VLOOKUP(M31,Tabla6[],3,0)</f>
        <v>#N/A</v>
      </c>
      <c r="Z31" s="6" t="e">
        <f>VLOOKUP(M31,DATOS!$E$30:$F$55,2,0)</f>
        <v>#N/A</v>
      </c>
    </row>
    <row r="32" spans="1:26" ht="12" hidden="1" customHeight="1" x14ac:dyDescent="0.25">
      <c r="A32" s="198" t="str">
        <f t="shared" si="0"/>
        <v>CH 10</v>
      </c>
      <c r="B32" s="199" t="str">
        <f t="shared" si="1"/>
        <v>CHERNA</v>
      </c>
      <c r="C32" s="211" t="str">
        <f t="shared" si="2"/>
        <v>10</v>
      </c>
      <c r="D32" s="213" t="s">
        <v>756</v>
      </c>
      <c r="E32" s="123">
        <f>VLOOKUP($A:$A,Tabla8[[sector/pisc]:[has]],2,0)</f>
        <v>7.8</v>
      </c>
      <c r="F32" s="18" t="e">
        <f>VLOOKUP($A:$A,Tabla4[[Columna1]:[PRECRIADERO]],15,0)</f>
        <v>#N/A</v>
      </c>
      <c r="G32" s="17" t="e">
        <f>VLOOKUP($A:$A,Tabla4[[Columna1]:[PRECRIADERO]],14,0)</f>
        <v>#N/A</v>
      </c>
      <c r="H32" s="18" t="e">
        <f>VLOOKUP(A:A,Tabla4[[Columna1]:[transferencia]],4,0)</f>
        <v>#N/A</v>
      </c>
      <c r="I32" s="124" t="e">
        <f>(VLOOKUP($A:$A,Tabla4[[Columna1]:[PRECRIADERO]],5,0))/E32</f>
        <v>#N/A</v>
      </c>
      <c r="J32" s="201" t="e">
        <f t="shared" ca="1" si="14"/>
        <v>#N/A</v>
      </c>
      <c r="K32" s="156" t="str">
        <f t="shared" si="12"/>
        <v>ASC</v>
      </c>
      <c r="L32" s="202" t="e">
        <f t="shared" si="13"/>
        <v>#N/A</v>
      </c>
      <c r="M32" s="202" t="e">
        <f>VLOOKUP($A:$A,Tabla4[[Columna1]:[PRECRIADERO]],8,0)</f>
        <v>#N/A</v>
      </c>
      <c r="N32" s="202" t="e">
        <f>VLOOKUP($A:$A,Tabla4[[Columna1]:[PRECRIADERO]],7,0)</f>
        <v>#N/A</v>
      </c>
      <c r="O32" s="80" t="e">
        <f>+VLOOKUP($A:$A,Tabla4[[Columna1]:[PRECRIADERO]],6,0)</f>
        <v>#N/A</v>
      </c>
      <c r="P32" s="80"/>
      <c r="Q32" s="80" t="str">
        <f t="shared" si="11"/>
        <v>ASC</v>
      </c>
      <c r="R32" s="156" t="str">
        <f t="shared" si="6"/>
        <v>ASC</v>
      </c>
      <c r="S32" s="18" t="e">
        <f>VLOOKUP(A:A,Tabla4[[Columna1]:[siembra]],12,0)</f>
        <v>#N/A</v>
      </c>
      <c r="T32" s="125" t="e">
        <f t="shared" si="15"/>
        <v>#N/A</v>
      </c>
      <c r="U32" s="17">
        <f>SUMIFS(COSECHAS!L:L,COSECHAS!A:A,A32,COSECHAS!G:G,"&gt;"&amp;TENTATIVOS!H32)</f>
        <v>0</v>
      </c>
      <c r="V32" s="18" t="str">
        <f>+VLOOKUP(A32,DATOS!A:C,3,0)</f>
        <v>ASC</v>
      </c>
      <c r="W32" s="18" t="e">
        <f t="shared" si="16"/>
        <v>#N/A</v>
      </c>
      <c r="X32" s="18" t="e">
        <f t="shared" si="17"/>
        <v>#N/A</v>
      </c>
      <c r="Y32" s="18" t="e">
        <f>VLOOKUP(M32,Tabla6[],3,0)</f>
        <v>#N/A</v>
      </c>
      <c r="Z32" s="6" t="e">
        <f>VLOOKUP(M32,DATOS!$E$30:$F$55,2,0)</f>
        <v>#N/A</v>
      </c>
    </row>
    <row r="33" spans="1:26" ht="12" hidden="1" customHeight="1" x14ac:dyDescent="0.25">
      <c r="A33" s="198" t="str">
        <f t="shared" si="0"/>
        <v>DO 23</v>
      </c>
      <c r="B33" s="199" t="str">
        <f t="shared" si="1"/>
        <v>DORADO</v>
      </c>
      <c r="C33" s="211" t="str">
        <f t="shared" si="2"/>
        <v>23</v>
      </c>
      <c r="D33" s="213" t="s">
        <v>757</v>
      </c>
      <c r="E33" s="123">
        <f>VLOOKUP($A:$A,Tabla8[[sector/pisc]:[has]],2,0)</f>
        <v>13.72</v>
      </c>
      <c r="F33" s="18" t="e">
        <f>VLOOKUP($A:$A,Tabla4[[Columna1]:[PRECRIADERO]],15,0)</f>
        <v>#N/A</v>
      </c>
      <c r="G33" s="17" t="e">
        <f>VLOOKUP($A:$A,Tabla4[[Columna1]:[PRECRIADERO]],14,0)</f>
        <v>#N/A</v>
      </c>
      <c r="H33" s="18" t="e">
        <f>VLOOKUP(A:A,Tabla4[[Columna1]:[transferencia]],4,0)</f>
        <v>#N/A</v>
      </c>
      <c r="I33" s="124" t="e">
        <f>(VLOOKUP($A:$A,Tabla4[[Columna1]:[PRECRIADERO]],5,0))/E33</f>
        <v>#N/A</v>
      </c>
      <c r="J33" s="201" t="e">
        <f t="shared" ca="1" si="14"/>
        <v>#N/A</v>
      </c>
      <c r="K33" s="156" t="str">
        <f t="shared" si="12"/>
        <v>ASC-BAP 3 ESTRELLAS</v>
      </c>
      <c r="L33" s="202" t="e">
        <f t="shared" si="13"/>
        <v>#N/A</v>
      </c>
      <c r="M33" s="202" t="e">
        <f>VLOOKUP($A:$A,Tabla4[[Columna1]:[PRECRIADERO]],8,0)</f>
        <v>#N/A</v>
      </c>
      <c r="N33" s="202" t="e">
        <f>VLOOKUP($A:$A,Tabla4[[Columna1]:[PRECRIADERO]],7,0)</f>
        <v>#N/A</v>
      </c>
      <c r="O33" s="80" t="e">
        <f>+VLOOKUP($A:$A,Tabla4[[Columna1]:[PRECRIADERO]],6,0)</f>
        <v>#N/A</v>
      </c>
      <c r="P33" s="80"/>
      <c r="Q33" s="80" t="str">
        <f t="shared" si="11"/>
        <v>ASC-BAP 3 ESTRELLAS</v>
      </c>
      <c r="R33" s="156" t="e">
        <f t="shared" si="6"/>
        <v>#N/A</v>
      </c>
      <c r="S33" s="18" t="e">
        <f>VLOOKUP(A:A,Tabla4[[Columna1]:[siembra]],12,0)</f>
        <v>#N/A</v>
      </c>
      <c r="T33" s="125" t="e">
        <f t="shared" si="15"/>
        <v>#N/A</v>
      </c>
      <c r="U33" s="17">
        <f>SUMIFS(COSECHAS!L:L,COSECHAS!A:A,A33,COSECHAS!G:G,"&gt;"&amp;TENTATIVOS!H33)</f>
        <v>0</v>
      </c>
      <c r="V33" s="18" t="str">
        <f>+VLOOKUP(A33,DATOS!A:C,3,0)</f>
        <v>ASC-BAP</v>
      </c>
      <c r="W33" s="18" t="e">
        <f t="shared" si="16"/>
        <v>#N/A</v>
      </c>
      <c r="X33" s="18" t="e">
        <f t="shared" si="17"/>
        <v>#N/A</v>
      </c>
      <c r="Y33" s="18" t="e">
        <f>VLOOKUP(M33,Tabla6[],3,0)</f>
        <v>#N/A</v>
      </c>
      <c r="Z33" s="6" t="e">
        <f>VLOOKUP(M33,DATOS!$E$30:$F$55,2,0)</f>
        <v>#N/A</v>
      </c>
    </row>
    <row r="34" spans="1:26" ht="12" hidden="1" customHeight="1" x14ac:dyDescent="0.25">
      <c r="A34" s="198" t="str">
        <f t="shared" si="0"/>
        <v>GT 09</v>
      </c>
      <c r="B34" s="199" t="str">
        <f t="shared" si="1"/>
        <v>GUATO</v>
      </c>
      <c r="C34" s="211" t="str">
        <f t="shared" si="2"/>
        <v>09</v>
      </c>
      <c r="D34" s="213" t="s">
        <v>758</v>
      </c>
      <c r="E34" s="123">
        <f>VLOOKUP($A:$A,Tabla8[[sector/pisc]:[has]],2,0)</f>
        <v>3.8</v>
      </c>
      <c r="F34" s="18" t="e">
        <f>VLOOKUP($A:$A,Tabla4[[Columna1]:[PRECRIADERO]],15,0)</f>
        <v>#N/A</v>
      </c>
      <c r="G34" s="17" t="e">
        <f>VLOOKUP($A:$A,Tabla4[[Columna1]:[PRECRIADERO]],14,0)</f>
        <v>#N/A</v>
      </c>
      <c r="H34" s="18" t="e">
        <f>VLOOKUP(A:A,Tabla4[[Columna1]:[transferencia]],4,0)</f>
        <v>#N/A</v>
      </c>
      <c r="I34" s="124" t="e">
        <f>(VLOOKUP($A:$A,Tabla4[[Columna1]:[PRECRIADERO]],5,0))/E34</f>
        <v>#N/A</v>
      </c>
      <c r="J34" s="201" t="e">
        <f t="shared" ca="1" si="14"/>
        <v>#N/A</v>
      </c>
      <c r="K34" s="156" t="str">
        <f t="shared" si="12"/>
        <v>CONVENCIONAL</v>
      </c>
      <c r="L34" s="202" t="e">
        <f t="shared" si="13"/>
        <v>#N/A</v>
      </c>
      <c r="M34" s="202" t="e">
        <f>VLOOKUP($A:$A,Tabla4[[Columna1]:[PRECRIADERO]],8,0)</f>
        <v>#N/A</v>
      </c>
      <c r="N34" s="202" t="e">
        <f>VLOOKUP($A:$A,Tabla4[[Columna1]:[PRECRIADERO]],7,0)</f>
        <v>#N/A</v>
      </c>
      <c r="O34" s="80" t="e">
        <f>+VLOOKUP($A:$A,Tabla4[[Columna1]:[PRECRIADERO]],6,0)</f>
        <v>#N/A</v>
      </c>
      <c r="P34" s="80"/>
      <c r="Q34" s="80" t="str">
        <f t="shared" si="11"/>
        <v xml:space="preserve">CONVENCIONAL </v>
      </c>
      <c r="R34" s="156" t="str">
        <f t="shared" si="6"/>
        <v xml:space="preserve">CONVENCIONAL </v>
      </c>
      <c r="S34" s="18" t="e">
        <f>VLOOKUP(A:A,Tabla4[[Columna1]:[siembra]],12,0)</f>
        <v>#N/A</v>
      </c>
      <c r="T34" s="125" t="e">
        <f t="shared" si="15"/>
        <v>#N/A</v>
      </c>
      <c r="U34" s="17">
        <f>SUMIFS(COSECHAS!L:L,COSECHAS!A:A,A34,COSECHAS!G:G,"&gt;"&amp;TENTATIVOS!H34)</f>
        <v>0</v>
      </c>
      <c r="V34" s="18" t="str">
        <f>+VLOOKUP(A34,DATOS!A:C,3,0)</f>
        <v>CONVENCIONAL</v>
      </c>
      <c r="W34" s="18" t="str">
        <f t="shared" si="16"/>
        <v/>
      </c>
      <c r="X34" s="18" t="e">
        <f t="shared" si="17"/>
        <v>#N/A</v>
      </c>
      <c r="Y34" s="18" t="e">
        <f>VLOOKUP(M34,Tabla6[],3,0)</f>
        <v>#N/A</v>
      </c>
      <c r="Z34" s="6" t="e">
        <f>VLOOKUP(M34,DATOS!$E$30:$F$55,2,0)</f>
        <v>#N/A</v>
      </c>
    </row>
    <row r="35" spans="1:26" ht="12" hidden="1" customHeight="1" x14ac:dyDescent="0.25">
      <c r="A35" s="198" t="str">
        <f t="shared" si="0"/>
        <v>GT 03</v>
      </c>
      <c r="B35" s="199" t="str">
        <f t="shared" si="1"/>
        <v>GUATO</v>
      </c>
      <c r="C35" s="211" t="str">
        <f t="shared" si="2"/>
        <v>03</v>
      </c>
      <c r="D35" s="213" t="s">
        <v>759</v>
      </c>
      <c r="E35" s="123">
        <f>VLOOKUP($A:$A,Tabla8[[sector/pisc]:[has]],2,0)</f>
        <v>7.52</v>
      </c>
      <c r="F35" s="18" t="e">
        <f>VLOOKUP($A:$A,Tabla4[[Columna1]:[PRECRIADERO]],15,0)</f>
        <v>#N/A</v>
      </c>
      <c r="G35" s="17" t="e">
        <f>VLOOKUP($A:$A,Tabla4[[Columna1]:[PRECRIADERO]],14,0)</f>
        <v>#N/A</v>
      </c>
      <c r="H35" s="18" t="e">
        <f>VLOOKUP(A:A,Tabla4[[Columna1]:[transferencia]],4,0)</f>
        <v>#N/A</v>
      </c>
      <c r="I35" s="124" t="e">
        <f>(VLOOKUP($A:$A,Tabla4[[Columna1]:[PRECRIADERO]],5,0))/E35</f>
        <v>#N/A</v>
      </c>
      <c r="J35" s="201" t="e">
        <f t="shared" ca="1" si="14"/>
        <v>#N/A</v>
      </c>
      <c r="K35" s="156" t="str">
        <f t="shared" si="12"/>
        <v>CONVENCIONAL</v>
      </c>
      <c r="L35" s="202" t="e">
        <f t="shared" si="13"/>
        <v>#N/A</v>
      </c>
      <c r="M35" s="202" t="e">
        <f>VLOOKUP($A:$A,Tabla4[[Columna1]:[PRECRIADERO]],8,0)</f>
        <v>#N/A</v>
      </c>
      <c r="N35" s="202" t="e">
        <f>VLOOKUP($A:$A,Tabla4[[Columna1]:[PRECRIADERO]],7,0)</f>
        <v>#N/A</v>
      </c>
      <c r="O35" s="80" t="e">
        <f>+VLOOKUP($A:$A,Tabla4[[Columna1]:[PRECRIADERO]],6,0)</f>
        <v>#N/A</v>
      </c>
      <c r="P35" s="80"/>
      <c r="Q35" s="80" t="str">
        <f t="shared" ref="Q35:Q54" si="18">IF(AND(ISERROR(R35),OR(A35="DO 29",A35="RO 14")),"BAP 3 ESTRELLAS",
 IF(ISERROR(R35),"ASC-BAP 3 ESTRELLAS",
 IF(OR(A35="DO 29",A35="RO 14"),"BAP 4 ESTRELLAS",
 R35)))</f>
        <v xml:space="preserve">CONVENCIONAL </v>
      </c>
      <c r="R35" s="156" t="str">
        <f t="shared" ref="R35:R44" si="19">IF(V35="ASC",V35&amp;"",V35&amp;" "&amp;W35)</f>
        <v xml:space="preserve">CONVENCIONAL </v>
      </c>
      <c r="S35" s="18" t="e">
        <f>VLOOKUP(A:A,Tabla4[[Columna1]:[siembra]],12,0)</f>
        <v>#N/A</v>
      </c>
      <c r="T35" s="125" t="e">
        <f t="shared" si="15"/>
        <v>#N/A</v>
      </c>
      <c r="U35" s="17">
        <f>SUMIFS(COSECHAS!L:L,COSECHAS!A:A,A35,COSECHAS!G:G,"&gt;"&amp;TENTATIVOS!H35)</f>
        <v>0</v>
      </c>
      <c r="V35" s="18" t="str">
        <f>+VLOOKUP(A35,DATOS!A:C,3,0)</f>
        <v>CONVENCIONAL</v>
      </c>
      <c r="W35" s="18" t="str">
        <f t="shared" si="16"/>
        <v/>
      </c>
      <c r="X35" s="18" t="e">
        <f t="shared" si="17"/>
        <v>#N/A</v>
      </c>
      <c r="Y35" s="18" t="e">
        <f>VLOOKUP(M35,Tabla6[],3,0)</f>
        <v>#N/A</v>
      </c>
      <c r="Z35" s="6" t="e">
        <f>VLOOKUP(M35,DATOS!$E$30:$F$55,2,0)</f>
        <v>#N/A</v>
      </c>
    </row>
    <row r="36" spans="1:26" ht="12" hidden="1" customHeight="1" x14ac:dyDescent="0.25">
      <c r="A36" s="198" t="str">
        <f t="shared" si="0"/>
        <v>GT 04</v>
      </c>
      <c r="B36" s="199" t="str">
        <f t="shared" si="1"/>
        <v>GUATO</v>
      </c>
      <c r="C36" s="211" t="str">
        <f t="shared" si="2"/>
        <v>04</v>
      </c>
      <c r="D36" s="213" t="s">
        <v>760</v>
      </c>
      <c r="E36" s="123">
        <f>VLOOKUP($A:$A,Tabla8[[sector/pisc]:[has]],2,0)</f>
        <v>6.62</v>
      </c>
      <c r="F36" s="18" t="e">
        <f>VLOOKUP($A:$A,Tabla4[[Columna1]:[PRECRIADERO]],15,0)</f>
        <v>#N/A</v>
      </c>
      <c r="G36" s="17" t="e">
        <f>VLOOKUP($A:$A,Tabla4[[Columna1]:[PRECRIADERO]],14,0)</f>
        <v>#N/A</v>
      </c>
      <c r="H36" s="18" t="e">
        <f>VLOOKUP(A:A,Tabla4[[Columna1]:[transferencia]],4,0)</f>
        <v>#N/A</v>
      </c>
      <c r="I36" s="124" t="e">
        <f>(VLOOKUP($A:$A,Tabla4[[Columna1]:[PRECRIADERO]],5,0))/E36</f>
        <v>#N/A</v>
      </c>
      <c r="J36" s="201" t="e">
        <f t="shared" ca="1" si="14"/>
        <v>#N/A</v>
      </c>
      <c r="K36" s="156" t="str">
        <f t="shared" si="12"/>
        <v>CONVENCIONAL</v>
      </c>
      <c r="L36" s="202" t="e">
        <f t="shared" si="13"/>
        <v>#N/A</v>
      </c>
      <c r="M36" s="202" t="e">
        <f>VLOOKUP($A:$A,Tabla4[[Columna1]:[PRECRIADERO]],8,0)</f>
        <v>#N/A</v>
      </c>
      <c r="N36" s="202" t="e">
        <f>VLOOKUP($A:$A,Tabla4[[Columna1]:[PRECRIADERO]],7,0)</f>
        <v>#N/A</v>
      </c>
      <c r="O36" s="80" t="e">
        <f>+VLOOKUP($A:$A,Tabla4[[Columna1]:[PRECRIADERO]],6,0)</f>
        <v>#N/A</v>
      </c>
      <c r="P36" s="80"/>
      <c r="Q36" s="80" t="str">
        <f t="shared" si="18"/>
        <v xml:space="preserve">CONVENCIONAL </v>
      </c>
      <c r="R36" s="156" t="str">
        <f t="shared" si="19"/>
        <v xml:space="preserve">CONVENCIONAL </v>
      </c>
      <c r="S36" s="18" t="e">
        <f>VLOOKUP(A:A,Tabla4[[Columna1]:[siembra]],12,0)</f>
        <v>#N/A</v>
      </c>
      <c r="T36" s="125" t="e">
        <f t="shared" si="15"/>
        <v>#N/A</v>
      </c>
      <c r="U36" s="17">
        <f>SUMIFS(COSECHAS!L:L,COSECHAS!A:A,A36,COSECHAS!G:G,"&gt;"&amp;TENTATIVOS!H36)</f>
        <v>0</v>
      </c>
      <c r="V36" s="18" t="str">
        <f>+VLOOKUP(A36,DATOS!A:C,3,0)</f>
        <v>CONVENCIONAL</v>
      </c>
      <c r="W36" s="18" t="str">
        <f t="shared" si="16"/>
        <v/>
      </c>
      <c r="X36" s="18" t="e">
        <f t="shared" si="17"/>
        <v>#N/A</v>
      </c>
      <c r="Y36" s="18" t="e">
        <f>VLOOKUP(M36,Tabla6[],3,0)</f>
        <v>#N/A</v>
      </c>
      <c r="Z36" s="6" t="e">
        <f>VLOOKUP(M36,DATOS!$E$30:$F$55,2,0)</f>
        <v>#N/A</v>
      </c>
    </row>
    <row r="37" spans="1:26" ht="12" hidden="1" customHeight="1" x14ac:dyDescent="0.25">
      <c r="A37" s="198" t="str">
        <f t="shared" ref="A37:A100" si="20">CONCATENATE(VLOOKUP(B37,$E$56:$F$73,2,0)," ",C37)</f>
        <v>GT 18</v>
      </c>
      <c r="B37" s="199" t="str">
        <f t="shared" ref="B37:B100" si="21">IFERROR(LEFT(D37,LEN(D37)-LEN(RIGHT(D37,2))-1),"")</f>
        <v>GUATO</v>
      </c>
      <c r="C37" s="211" t="str">
        <f t="shared" ref="C37:C100" si="22">RIGHT(D37,2)</f>
        <v>18</v>
      </c>
      <c r="D37" s="213" t="s">
        <v>761</v>
      </c>
      <c r="E37" s="123">
        <f>VLOOKUP($A:$A,Tabla8[[sector/pisc]:[has]],2,0)</f>
        <v>4.47</v>
      </c>
      <c r="F37" s="18" t="e">
        <f>VLOOKUP($A:$A,Tabla4[[Columna1]:[PRECRIADERO]],15,0)</f>
        <v>#N/A</v>
      </c>
      <c r="G37" s="17" t="e">
        <f>VLOOKUP($A:$A,Tabla4[[Columna1]:[PRECRIADERO]],14,0)</f>
        <v>#N/A</v>
      </c>
      <c r="H37" s="18" t="e">
        <f>VLOOKUP(A:A,Tabla4[[Columna1]:[transferencia]],4,0)</f>
        <v>#N/A</v>
      </c>
      <c r="I37" s="124" t="e">
        <f>(VLOOKUP($A:$A,Tabla4[[Columna1]:[PRECRIADERO]],5,0))/E37</f>
        <v>#N/A</v>
      </c>
      <c r="J37" s="201" t="e">
        <f t="shared" ref="J37:J54" ca="1" si="23">TODAY()-H37</f>
        <v>#N/A</v>
      </c>
      <c r="K37" s="156" t="str">
        <f t="shared" si="12"/>
        <v>CONVENCIONAL</v>
      </c>
      <c r="L37" s="202" t="e">
        <f t="shared" ref="L37:L54" si="24">IF(O37="SIN ABLACION","✓","")</f>
        <v>#N/A</v>
      </c>
      <c r="M37" s="202" t="e">
        <f>VLOOKUP($A:$A,Tabla4[[Columna1]:[PRECRIADERO]],8,0)</f>
        <v>#N/A</v>
      </c>
      <c r="N37" s="202" t="e">
        <f>VLOOKUP($A:$A,Tabla4[[Columna1]:[PRECRIADERO]],7,0)</f>
        <v>#N/A</v>
      </c>
      <c r="O37" s="80" t="e">
        <f>+VLOOKUP($A:$A,Tabla4[[Columna1]:[PRECRIADERO]],6,0)</f>
        <v>#N/A</v>
      </c>
      <c r="P37" s="80"/>
      <c r="Q37" s="80" t="str">
        <f t="shared" si="18"/>
        <v xml:space="preserve">CONVENCIONAL </v>
      </c>
      <c r="R37" s="156" t="str">
        <f t="shared" si="19"/>
        <v xml:space="preserve">CONVENCIONAL </v>
      </c>
      <c r="S37" s="18" t="e">
        <f>VLOOKUP(A:A,Tabla4[[Columna1]:[siembra]],12,0)</f>
        <v>#N/A</v>
      </c>
      <c r="T37" s="125" t="e">
        <f t="shared" si="15"/>
        <v>#N/A</v>
      </c>
      <c r="U37" s="17">
        <f>SUMIFS(COSECHAS!L:L,COSECHAS!A:A,A37,COSECHAS!G:G,"&gt;"&amp;TENTATIVOS!H37)</f>
        <v>0</v>
      </c>
      <c r="V37" s="18" t="str">
        <f>+VLOOKUP(A37,DATOS!A:C,3,0)</f>
        <v>CONVENCIONAL</v>
      </c>
      <c r="W37" s="18" t="str">
        <f t="shared" si="16"/>
        <v/>
      </c>
      <c r="X37" s="18" t="e">
        <f t="shared" si="17"/>
        <v>#N/A</v>
      </c>
      <c r="Y37" s="18" t="e">
        <f>VLOOKUP(M37,Tabla6[],3,0)</f>
        <v>#N/A</v>
      </c>
      <c r="Z37" s="6" t="e">
        <f>VLOOKUP(M37,DATOS!$E$30:$F$55,2,0)</f>
        <v>#N/A</v>
      </c>
    </row>
    <row r="38" spans="1:26" ht="12" hidden="1" customHeight="1" x14ac:dyDescent="0.25">
      <c r="A38" s="198" t="str">
        <f t="shared" si="20"/>
        <v>GT 05</v>
      </c>
      <c r="B38" s="199" t="str">
        <f t="shared" si="21"/>
        <v>GUATO</v>
      </c>
      <c r="C38" s="211" t="str">
        <f t="shared" si="22"/>
        <v>05</v>
      </c>
      <c r="D38" s="213" t="s">
        <v>762</v>
      </c>
      <c r="E38" s="123">
        <f>VLOOKUP($A:$A,Tabla8[[sector/pisc]:[has]],2,0)</f>
        <v>4.3</v>
      </c>
      <c r="F38" s="18" t="e">
        <f>VLOOKUP($A:$A,Tabla4[[Columna1]:[PRECRIADERO]],15,0)</f>
        <v>#N/A</v>
      </c>
      <c r="G38" s="17" t="e">
        <f>VLOOKUP($A:$A,Tabla4[[Columna1]:[PRECRIADERO]],14,0)</f>
        <v>#N/A</v>
      </c>
      <c r="H38" s="18" t="e">
        <f>VLOOKUP(A:A,Tabla4[[Columna1]:[transferencia]],4,0)</f>
        <v>#N/A</v>
      </c>
      <c r="I38" s="124" t="e">
        <f>(VLOOKUP($A:$A,Tabla4[[Columna1]:[PRECRIADERO]],5,0))/E38</f>
        <v>#N/A</v>
      </c>
      <c r="J38" s="201" t="e">
        <f t="shared" ca="1" si="23"/>
        <v>#N/A</v>
      </c>
      <c r="K38" s="156" t="str">
        <f t="shared" si="12"/>
        <v>CONVENCIONAL</v>
      </c>
      <c r="L38" s="202" t="e">
        <f t="shared" si="24"/>
        <v>#N/A</v>
      </c>
      <c r="M38" s="202" t="e">
        <f>VLOOKUP($A:$A,Tabla4[[Columna1]:[PRECRIADERO]],8,0)</f>
        <v>#N/A</v>
      </c>
      <c r="N38" s="202" t="e">
        <f>VLOOKUP($A:$A,Tabla4[[Columna1]:[PRECRIADERO]],7,0)</f>
        <v>#N/A</v>
      </c>
      <c r="O38" s="80" t="e">
        <f>+VLOOKUP($A:$A,Tabla4[[Columna1]:[PRECRIADERO]],6,0)</f>
        <v>#N/A</v>
      </c>
      <c r="P38" s="80"/>
      <c r="Q38" s="80" t="str">
        <f t="shared" si="18"/>
        <v xml:space="preserve">CONVENCIONAL </v>
      </c>
      <c r="R38" s="156" t="str">
        <f t="shared" si="19"/>
        <v xml:space="preserve">CONVENCIONAL </v>
      </c>
      <c r="S38" s="18" t="e">
        <f>VLOOKUP(A:A,Tabla4[[Columna1]:[siembra]],12,0)</f>
        <v>#N/A</v>
      </c>
      <c r="T38" s="125" t="e">
        <f t="shared" si="15"/>
        <v>#N/A</v>
      </c>
      <c r="U38" s="17">
        <f>SUMIFS(COSECHAS!L:L,COSECHAS!A:A,A38,COSECHAS!G:G,"&gt;"&amp;TENTATIVOS!H38)</f>
        <v>0</v>
      </c>
      <c r="V38" s="18" t="str">
        <f>+VLOOKUP(A38,DATOS!A:C,3,0)</f>
        <v>CONVENCIONAL</v>
      </c>
      <c r="W38" s="18" t="str">
        <f t="shared" si="16"/>
        <v/>
      </c>
      <c r="X38" s="18" t="e">
        <f t="shared" si="17"/>
        <v>#N/A</v>
      </c>
      <c r="Y38" s="18" t="e">
        <f>VLOOKUP(M38,Tabla6[],3,0)</f>
        <v>#N/A</v>
      </c>
      <c r="Z38" s="6" t="e">
        <f>VLOOKUP(M38,DATOS!$E$30:$F$55,2,0)</f>
        <v>#N/A</v>
      </c>
    </row>
    <row r="39" spans="1:26" ht="12" hidden="1" customHeight="1" x14ac:dyDescent="0.25">
      <c r="A39" s="198" t="str">
        <f t="shared" si="20"/>
        <v>GT 15</v>
      </c>
      <c r="B39" s="199" t="str">
        <f t="shared" si="21"/>
        <v>GUATO</v>
      </c>
      <c r="C39" s="211" t="str">
        <f t="shared" si="22"/>
        <v>15</v>
      </c>
      <c r="D39" s="213" t="s">
        <v>763</v>
      </c>
      <c r="E39" s="123">
        <f>VLOOKUP($A:$A,Tabla8[[sector/pisc]:[has]],2,0)</f>
        <v>2.69</v>
      </c>
      <c r="F39" s="18" t="e">
        <f>VLOOKUP($A:$A,Tabla4[[Columna1]:[PRECRIADERO]],15,0)</f>
        <v>#N/A</v>
      </c>
      <c r="G39" s="18"/>
      <c r="H39" s="18" t="e">
        <f>VLOOKUP(A:A,Tabla4[[Columna1]:[transferencia]],4,0)</f>
        <v>#N/A</v>
      </c>
      <c r="I39" s="124" t="e">
        <f>(VLOOKUP($A:$A,Tabla4[[Columna1]:[PRECRIADERO]],5,0))/E39</f>
        <v>#N/A</v>
      </c>
      <c r="J39" s="201" t="e">
        <f t="shared" ca="1" si="23"/>
        <v>#N/A</v>
      </c>
      <c r="K39" s="156" t="str">
        <f t="shared" si="12"/>
        <v>CONVENCIONAL</v>
      </c>
      <c r="L39" s="202" t="e">
        <f t="shared" si="24"/>
        <v>#N/A</v>
      </c>
      <c r="M39" s="202" t="e">
        <f>VLOOKUP($A:$A,Tabla4[[Columna1]:[PRECRIADERO]],8,0)</f>
        <v>#N/A</v>
      </c>
      <c r="N39" s="202" t="e">
        <f>VLOOKUP($A:$A,Tabla4[[Columna1]:[PRECRIADERO]],7,0)</f>
        <v>#N/A</v>
      </c>
      <c r="O39" s="80" t="e">
        <f>+VLOOKUP($A:$A,Tabla4[[Columna1]:[PRECRIADERO]],6,0)</f>
        <v>#N/A</v>
      </c>
      <c r="P39" s="80"/>
      <c r="Q39" s="80" t="str">
        <f t="shared" si="18"/>
        <v xml:space="preserve">CONVENCIONAL </v>
      </c>
      <c r="R39" s="156" t="str">
        <f t="shared" si="19"/>
        <v xml:space="preserve">CONVENCIONAL </v>
      </c>
      <c r="S39" s="18" t="e">
        <f>VLOOKUP(A:A,Tabla4[[Columna1]:[siembra]],12,0)</f>
        <v>#N/A</v>
      </c>
      <c r="T39" s="125" t="e">
        <f t="shared" si="15"/>
        <v>#N/A</v>
      </c>
      <c r="U39" s="17">
        <f>SUMIFS(COSECHAS!L:L,COSECHAS!A:A,A39,COSECHAS!G:G,"&gt;"&amp;TENTATIVOS!H39)</f>
        <v>0</v>
      </c>
      <c r="V39" s="18" t="str">
        <f>+VLOOKUP(A39,DATOS!A:C,3,0)</f>
        <v>CONVENCIONAL</v>
      </c>
      <c r="W39" s="18" t="str">
        <f t="shared" si="16"/>
        <v/>
      </c>
      <c r="X39" s="18" t="e">
        <f t="shared" si="17"/>
        <v>#N/A</v>
      </c>
      <c r="Y39" s="18" t="e">
        <f>VLOOKUP(M39,Tabla6[],3,0)</f>
        <v>#N/A</v>
      </c>
      <c r="Z39" s="6" t="e">
        <f>VLOOKUP(M39,DATOS!$E$30:$F$55,2,0)</f>
        <v>#N/A</v>
      </c>
    </row>
    <row r="40" spans="1:26" ht="12" hidden="1" customHeight="1" x14ac:dyDescent="0.25">
      <c r="A40" s="198" t="str">
        <f t="shared" si="20"/>
        <v>GT 04</v>
      </c>
      <c r="B40" s="199" t="str">
        <f t="shared" si="21"/>
        <v>GUATO</v>
      </c>
      <c r="C40" s="211" t="str">
        <f t="shared" si="22"/>
        <v>04</v>
      </c>
      <c r="D40" s="213" t="s">
        <v>760</v>
      </c>
      <c r="E40" s="123">
        <f>VLOOKUP($A:$A,Tabla8[[sector/pisc]:[has]],2,0)</f>
        <v>6.62</v>
      </c>
      <c r="F40" s="18" t="e">
        <f>VLOOKUP($A:$A,Tabla4[[Columna1]:[PRECRIADERO]],15,0)</f>
        <v>#N/A</v>
      </c>
      <c r="G40" s="18"/>
      <c r="H40" s="18" t="e">
        <f>VLOOKUP(A:A,Tabla4[[Columna1]:[transferencia]],4,0)</f>
        <v>#N/A</v>
      </c>
      <c r="I40" s="124" t="e">
        <f>(VLOOKUP($A:$A,Tabla4[[Columna1]:[PRECRIADERO]],5,0))/E40</f>
        <v>#N/A</v>
      </c>
      <c r="J40" s="201" t="e">
        <f t="shared" ca="1" si="23"/>
        <v>#N/A</v>
      </c>
      <c r="K40" s="156" t="str">
        <f t="shared" si="12"/>
        <v>CONVENCIONAL</v>
      </c>
      <c r="L40" s="202" t="e">
        <f t="shared" si="24"/>
        <v>#N/A</v>
      </c>
      <c r="M40" s="202" t="e">
        <f>VLOOKUP($A:$A,Tabla4[[Columna1]:[PRECRIADERO]],8,0)</f>
        <v>#N/A</v>
      </c>
      <c r="N40" s="202" t="e">
        <f>VLOOKUP($A:$A,Tabla4[[Columna1]:[PRECRIADERO]],7,0)</f>
        <v>#N/A</v>
      </c>
      <c r="O40" s="80" t="e">
        <f>+VLOOKUP($A:$A,Tabla4[[Columna1]:[PRECRIADERO]],6,0)</f>
        <v>#N/A</v>
      </c>
      <c r="P40" s="80"/>
      <c r="Q40" s="80" t="str">
        <f t="shared" si="18"/>
        <v xml:space="preserve">CONVENCIONAL </v>
      </c>
      <c r="R40" s="156" t="str">
        <f t="shared" si="19"/>
        <v xml:space="preserve">CONVENCIONAL </v>
      </c>
      <c r="S40" s="18" t="e">
        <f>VLOOKUP(A:A,Tabla4[[Columna1]:[siembra]],12,0)</f>
        <v>#N/A</v>
      </c>
      <c r="T40" s="125" t="e">
        <f>(S40+U40)</f>
        <v>#N/A</v>
      </c>
      <c r="U40" s="17">
        <f>SUMIFS(COSECHAS!L:L,COSECHAS!A:A,A40,COSECHAS!G:G,"&gt;"&amp;TENTATIVOS!H40)</f>
        <v>0</v>
      </c>
      <c r="V40" s="18" t="str">
        <f>+VLOOKUP(A40,DATOS!A:C,3,0)</f>
        <v>CONVENCIONAL</v>
      </c>
      <c r="W40" s="18" t="str">
        <f>IF(V40="CONVENCIONAL","",X40)</f>
        <v/>
      </c>
      <c r="X40" s="18" t="e">
        <f>IF(AND(S40&gt;=Y40,S40&lt;=Z40),"4 ESTRELLAS","3 ESTRELLAS")</f>
        <v>#N/A</v>
      </c>
      <c r="Y40" s="18" t="e">
        <f>VLOOKUP(M40,Tabla6[],3,0)</f>
        <v>#N/A</v>
      </c>
      <c r="Z40" s="6" t="e">
        <f>VLOOKUP(M40,DATOS!$E$30:$F$55,2,0)</f>
        <v>#N/A</v>
      </c>
    </row>
    <row r="41" spans="1:26" ht="12" hidden="1" customHeight="1" x14ac:dyDescent="0.25">
      <c r="A41" s="198" t="str">
        <f t="shared" si="20"/>
        <v>GT 04</v>
      </c>
      <c r="B41" s="199" t="str">
        <f t="shared" si="21"/>
        <v>GUATO</v>
      </c>
      <c r="C41" s="211" t="str">
        <f t="shared" si="22"/>
        <v>04</v>
      </c>
      <c r="D41" s="213" t="s">
        <v>760</v>
      </c>
      <c r="E41" s="123">
        <f>VLOOKUP($A:$A,Tabla8[[sector/pisc]:[has]],2,0)</f>
        <v>6.62</v>
      </c>
      <c r="F41" s="18" t="e">
        <f>VLOOKUP($A:$A,Tabla4[[Columna1]:[PRECRIADERO]],15,0)</f>
        <v>#N/A</v>
      </c>
      <c r="G41" s="18"/>
      <c r="H41" s="18" t="e">
        <f>VLOOKUP(A:A,Tabla4[[Columna1]:[transferencia]],4,0)</f>
        <v>#N/A</v>
      </c>
      <c r="I41" s="124" t="e">
        <f>(VLOOKUP($A:$A,Tabla4[[Columna1]:[PRECRIADERO]],5,0))/E41</f>
        <v>#N/A</v>
      </c>
      <c r="J41" s="201" t="e">
        <f t="shared" ca="1" si="23"/>
        <v>#N/A</v>
      </c>
      <c r="K41" s="156" t="str">
        <f t="shared" si="12"/>
        <v>CONVENCIONAL</v>
      </c>
      <c r="L41" s="202" t="e">
        <f t="shared" si="24"/>
        <v>#N/A</v>
      </c>
      <c r="M41" s="202" t="e">
        <f>VLOOKUP($A:$A,Tabla4[[Columna1]:[PRECRIADERO]],8,0)</f>
        <v>#N/A</v>
      </c>
      <c r="N41" s="202" t="e">
        <f>VLOOKUP($A:$A,Tabla4[[Columna1]:[PRECRIADERO]],7,0)</f>
        <v>#N/A</v>
      </c>
      <c r="O41" s="80" t="e">
        <f>+VLOOKUP($A:$A,Tabla4[[Columna1]:[PRECRIADERO]],6,0)</f>
        <v>#N/A</v>
      </c>
      <c r="P41" s="80"/>
      <c r="Q41" s="80" t="str">
        <f t="shared" si="18"/>
        <v xml:space="preserve">CONVENCIONAL </v>
      </c>
      <c r="R41" s="156" t="str">
        <f t="shared" si="19"/>
        <v xml:space="preserve">CONVENCIONAL </v>
      </c>
      <c r="S41" s="18" t="e">
        <f>VLOOKUP(A:A,Tabla4[[Columna1]:[siembra]],12,0)</f>
        <v>#N/A</v>
      </c>
      <c r="T41" s="125" t="e">
        <f>(S41+U41)</f>
        <v>#N/A</v>
      </c>
      <c r="U41" s="17">
        <f>SUMIFS(COSECHAS!L:L,COSECHAS!A:A,A41,COSECHAS!G:G,"&gt;"&amp;TENTATIVOS!H41)</f>
        <v>0</v>
      </c>
      <c r="V41" s="18" t="str">
        <f>+VLOOKUP(A41,DATOS!A:C,3,0)</f>
        <v>CONVENCIONAL</v>
      </c>
      <c r="W41" s="18" t="str">
        <f>IF(V41="CONVENCIONAL","",X41)</f>
        <v/>
      </c>
      <c r="X41" s="18" t="e">
        <f>IF(AND(S41&gt;=Y41,S41&lt;=Z41),"4 ESTRELLAS","3 ESTRELLAS")</f>
        <v>#N/A</v>
      </c>
      <c r="Y41" s="18" t="e">
        <f>VLOOKUP(M41,Tabla6[],3,0)</f>
        <v>#N/A</v>
      </c>
      <c r="Z41" s="6" t="e">
        <f>VLOOKUP(M41,DATOS!$E$30:$F$55,2,0)</f>
        <v>#N/A</v>
      </c>
    </row>
    <row r="42" spans="1:26" ht="12" hidden="1" customHeight="1" x14ac:dyDescent="0.25">
      <c r="A42" s="198" t="str">
        <f t="shared" si="20"/>
        <v>GT 18</v>
      </c>
      <c r="B42" s="199" t="str">
        <f t="shared" si="21"/>
        <v>GUATO</v>
      </c>
      <c r="C42" s="211" t="str">
        <f t="shared" si="22"/>
        <v>18</v>
      </c>
      <c r="D42" s="213" t="s">
        <v>761</v>
      </c>
      <c r="E42" s="123">
        <f>VLOOKUP($A:$A,Tabla8[[sector/pisc]:[has]],2,0)</f>
        <v>4.47</v>
      </c>
      <c r="F42" s="18" t="e">
        <f>VLOOKUP($A:$A,Tabla4[[Columna1]:[PRECRIADERO]],15,0)</f>
        <v>#N/A</v>
      </c>
      <c r="G42" s="18"/>
      <c r="H42" s="18" t="e">
        <f>VLOOKUP(A:A,Tabla4[[Columna1]:[transferencia]],4,0)</f>
        <v>#N/A</v>
      </c>
      <c r="I42" s="124" t="e">
        <f>(VLOOKUP($A:$A,Tabla4[[Columna1]:[PRECRIADERO]],5,0))/E42</f>
        <v>#N/A</v>
      </c>
      <c r="J42" s="201" t="e">
        <f t="shared" ca="1" si="23"/>
        <v>#N/A</v>
      </c>
      <c r="K42" s="156" t="str">
        <f t="shared" si="12"/>
        <v>CONVENCIONAL</v>
      </c>
      <c r="L42" s="202" t="e">
        <f t="shared" si="24"/>
        <v>#N/A</v>
      </c>
      <c r="M42" s="202" t="e">
        <f>VLOOKUP($A:$A,Tabla4[[Columna1]:[PRECRIADERO]],8,0)</f>
        <v>#N/A</v>
      </c>
      <c r="N42" s="202" t="e">
        <f>VLOOKUP($A:$A,Tabla4[[Columna1]:[PRECRIADERO]],7,0)</f>
        <v>#N/A</v>
      </c>
      <c r="O42" s="80" t="e">
        <f>+VLOOKUP($A:$A,Tabla4[[Columna1]:[PRECRIADERO]],6,0)</f>
        <v>#N/A</v>
      </c>
      <c r="P42" s="80"/>
      <c r="Q42" s="80" t="str">
        <f t="shared" si="18"/>
        <v xml:space="preserve">CONVENCIONAL </v>
      </c>
      <c r="R42" s="156" t="str">
        <f t="shared" si="19"/>
        <v xml:space="preserve">CONVENCIONAL </v>
      </c>
      <c r="S42" s="18" t="e">
        <f>VLOOKUP(A:A,Tabla4[[Columna1]:[siembra]],12,0)</f>
        <v>#N/A</v>
      </c>
      <c r="T42" s="125" t="e">
        <f>(S42+U42)</f>
        <v>#N/A</v>
      </c>
      <c r="U42" s="17">
        <f>SUMIFS(COSECHAS!L:L,COSECHAS!A:A,A42,COSECHAS!G:G,"&gt;"&amp;TENTATIVOS!H42)</f>
        <v>0</v>
      </c>
      <c r="V42" s="18" t="str">
        <f>+VLOOKUP(A42,DATOS!A:C,3,0)</f>
        <v>CONVENCIONAL</v>
      </c>
      <c r="W42" s="18" t="str">
        <f>IF(V42="CONVENCIONAL","",X42)</f>
        <v/>
      </c>
      <c r="X42" s="18" t="e">
        <f>IF(AND(S42&gt;=Y42,S42&lt;=Z42),"4 ESTRELLAS","3 ESTRELLAS")</f>
        <v>#N/A</v>
      </c>
      <c r="Y42" s="18" t="e">
        <f>VLOOKUP(M42,Tabla6[],3,0)</f>
        <v>#N/A</v>
      </c>
      <c r="Z42" s="6" t="e">
        <f>VLOOKUP(M42,DATOS!$E$30:$F$55,2,0)</f>
        <v>#N/A</v>
      </c>
    </row>
    <row r="43" spans="1:26" ht="12" hidden="1" customHeight="1" x14ac:dyDescent="0.25">
      <c r="A43" s="198" t="str">
        <f t="shared" si="20"/>
        <v>GT 18</v>
      </c>
      <c r="B43" s="199" t="str">
        <f t="shared" si="21"/>
        <v>GUATO</v>
      </c>
      <c r="C43" s="211" t="str">
        <f t="shared" si="22"/>
        <v>18</v>
      </c>
      <c r="D43" s="213" t="s">
        <v>761</v>
      </c>
      <c r="E43" s="123">
        <f>VLOOKUP($A:$A,Tabla8[[sector/pisc]:[has]],2,0)</f>
        <v>4.47</v>
      </c>
      <c r="F43" s="18" t="e">
        <f>VLOOKUP($A:$A,Tabla4[[Columna1]:[PRECRIADERO]],15,0)</f>
        <v>#N/A</v>
      </c>
      <c r="G43" s="18"/>
      <c r="H43" s="18" t="e">
        <f>VLOOKUP(A:A,Tabla4[[Columna1]:[transferencia]],4,0)</f>
        <v>#N/A</v>
      </c>
      <c r="I43" s="124" t="e">
        <f>(VLOOKUP($A:$A,Tabla4[[Columna1]:[PRECRIADERO]],5,0))/E43</f>
        <v>#N/A</v>
      </c>
      <c r="J43" s="201" t="e">
        <f t="shared" ca="1" si="23"/>
        <v>#N/A</v>
      </c>
      <c r="K43" s="156" t="str">
        <f t="shared" si="12"/>
        <v>CONVENCIONAL</v>
      </c>
      <c r="L43" s="202" t="e">
        <f t="shared" si="24"/>
        <v>#N/A</v>
      </c>
      <c r="M43" s="202" t="e">
        <f>VLOOKUP($A:$A,Tabla4[[Columna1]:[PRECRIADERO]],8,0)</f>
        <v>#N/A</v>
      </c>
      <c r="N43" s="202" t="e">
        <f>VLOOKUP($A:$A,Tabla4[[Columna1]:[PRECRIADERO]],7,0)</f>
        <v>#N/A</v>
      </c>
      <c r="O43" s="80" t="e">
        <f>+VLOOKUP($A:$A,Tabla4[[Columna1]:[PRECRIADERO]],6,0)</f>
        <v>#N/A</v>
      </c>
      <c r="P43" s="80"/>
      <c r="Q43" s="80" t="str">
        <f t="shared" si="18"/>
        <v xml:space="preserve">CONVENCIONAL </v>
      </c>
      <c r="R43" s="156" t="str">
        <f t="shared" si="19"/>
        <v xml:space="preserve">CONVENCIONAL </v>
      </c>
      <c r="S43" s="18" t="e">
        <f>VLOOKUP(A:A,Tabla4[[Columna1]:[siembra]],12,0)</f>
        <v>#N/A</v>
      </c>
      <c r="T43" s="125" t="e">
        <f>(S43+U43)</f>
        <v>#N/A</v>
      </c>
      <c r="U43" s="17">
        <f>SUMIFS(COSECHAS!L:L,COSECHAS!A:A,A43,COSECHAS!G:G,"&gt;"&amp;TENTATIVOS!H43)</f>
        <v>0</v>
      </c>
      <c r="V43" s="18" t="str">
        <f>+VLOOKUP(A43,DATOS!A:C,3,0)</f>
        <v>CONVENCIONAL</v>
      </c>
      <c r="W43" s="18" t="str">
        <f>IF(V43="CONVENCIONAL","",X43)</f>
        <v/>
      </c>
      <c r="X43" s="18" t="e">
        <f>IF(AND(S43&gt;=Y43,S43&lt;=Z43),"4 ESTRELLAS","3 ESTRELLAS")</f>
        <v>#N/A</v>
      </c>
      <c r="Y43" s="18" t="e">
        <f>VLOOKUP(M43,Tabla6[],3,0)</f>
        <v>#N/A</v>
      </c>
      <c r="Z43" s="6" t="e">
        <f>VLOOKUP(M43,DATOS!$E$30:$F$55,2,0)</f>
        <v>#N/A</v>
      </c>
    </row>
    <row r="44" spans="1:26" ht="12" hidden="1" customHeight="1" x14ac:dyDescent="0.25">
      <c r="A44" s="198" t="str">
        <f t="shared" si="20"/>
        <v>GT 05</v>
      </c>
      <c r="B44" s="199" t="str">
        <f t="shared" si="21"/>
        <v>GUATO</v>
      </c>
      <c r="C44" s="211" t="str">
        <f t="shared" si="22"/>
        <v>05</v>
      </c>
      <c r="D44" s="213" t="s">
        <v>762</v>
      </c>
      <c r="E44" s="123">
        <f>VLOOKUP($A:$A,Tabla8[[sector/pisc]:[has]],2,0)</f>
        <v>4.3</v>
      </c>
      <c r="F44" s="18" t="e">
        <f>VLOOKUP($A:$A,Tabla4[[Columna1]:[PRECRIADERO]],15,0)</f>
        <v>#N/A</v>
      </c>
      <c r="G44" s="18"/>
      <c r="H44" s="18" t="e">
        <f>VLOOKUP(A:A,Tabla4[[Columna1]:[transferencia]],4,0)</f>
        <v>#N/A</v>
      </c>
      <c r="I44" s="124" t="e">
        <f>(VLOOKUP($A:$A,Tabla4[[Columna1]:[PRECRIADERO]],5,0))/E44</f>
        <v>#N/A</v>
      </c>
      <c r="J44" s="201" t="e">
        <f t="shared" ca="1" si="23"/>
        <v>#N/A</v>
      </c>
      <c r="K44" s="156" t="str">
        <f t="shared" si="12"/>
        <v>CONVENCIONAL</v>
      </c>
      <c r="L44" s="202" t="e">
        <f t="shared" si="24"/>
        <v>#N/A</v>
      </c>
      <c r="M44" s="202" t="e">
        <f>VLOOKUP($A:$A,Tabla4[[Columna1]:[PRECRIADERO]],8,0)</f>
        <v>#N/A</v>
      </c>
      <c r="N44" s="202" t="e">
        <f>VLOOKUP($A:$A,Tabla4[[Columna1]:[PRECRIADERO]],7,0)</f>
        <v>#N/A</v>
      </c>
      <c r="O44" s="80" t="e">
        <f>+VLOOKUP($A:$A,Tabla4[[Columna1]:[PRECRIADERO]],6,0)</f>
        <v>#N/A</v>
      </c>
      <c r="P44" s="80"/>
      <c r="Q44" s="80" t="str">
        <f t="shared" si="18"/>
        <v xml:space="preserve">CONVENCIONAL </v>
      </c>
      <c r="R44" s="156" t="str">
        <f t="shared" si="19"/>
        <v xml:space="preserve">CONVENCIONAL </v>
      </c>
      <c r="S44" s="18" t="e">
        <f>VLOOKUP(A:A,Tabla4[[Columna1]:[siembra]],12,0)</f>
        <v>#N/A</v>
      </c>
      <c r="T44" s="125" t="e">
        <f>(S44+U44)</f>
        <v>#N/A</v>
      </c>
      <c r="U44" s="17">
        <f>SUMIFS(COSECHAS!L:L,COSECHAS!A:A,A44,COSECHAS!G:G,"&gt;"&amp;TENTATIVOS!H44)</f>
        <v>0</v>
      </c>
      <c r="V44" s="18" t="str">
        <f>+VLOOKUP(A44,DATOS!A:C,3,0)</f>
        <v>CONVENCIONAL</v>
      </c>
      <c r="W44" s="18" t="str">
        <f>IF(V44="CONVENCIONAL","",X44)</f>
        <v/>
      </c>
      <c r="X44" s="18" t="e">
        <f>IF(AND(S44&gt;=Y44,S44&lt;=Z44),"4 ESTRELLAS","3 ESTRELLAS")</f>
        <v>#N/A</v>
      </c>
      <c r="Y44" s="18" t="e">
        <f>VLOOKUP(M44,Tabla6[],3,0)</f>
        <v>#N/A</v>
      </c>
      <c r="Z44" s="6" t="e">
        <f>VLOOKUP(M44,DATOS!$E$30:$F$55,2,0)</f>
        <v>#N/A</v>
      </c>
    </row>
    <row r="45" spans="1:26" ht="12" hidden="1" customHeight="1" x14ac:dyDescent="0.25">
      <c r="A45" s="198" t="str">
        <f t="shared" si="20"/>
        <v>GT 15</v>
      </c>
      <c r="B45" s="199" t="str">
        <f t="shared" si="21"/>
        <v>GUATO</v>
      </c>
      <c r="C45" s="211" t="str">
        <f t="shared" si="22"/>
        <v>15</v>
      </c>
      <c r="D45" s="213" t="s">
        <v>763</v>
      </c>
      <c r="E45" s="123">
        <f>VLOOKUP($A:$A,Tabla8[[sector/pisc]:[has]],2,0)</f>
        <v>2.69</v>
      </c>
      <c r="F45" s="18" t="e">
        <f>VLOOKUP($A:$A,Tabla4[[Columna1]:[PRECRIADERO]],15,0)</f>
        <v>#N/A</v>
      </c>
      <c r="G45" s="18"/>
      <c r="H45" s="18" t="e">
        <f>VLOOKUP(A:A,Tabla4[[Columna1]:[transferencia]],4,0)</f>
        <v>#N/A</v>
      </c>
      <c r="I45" s="124" t="e">
        <f>(VLOOKUP($A:$A,Tabla4[[Columna1]:[PRECRIADERO]],5,0))/E45</f>
        <v>#N/A</v>
      </c>
      <c r="J45" s="201" t="e">
        <f t="shared" ca="1" si="23"/>
        <v>#N/A</v>
      </c>
      <c r="K45" s="156" t="str">
        <f t="shared" si="12"/>
        <v>CONVENCIONAL</v>
      </c>
      <c r="L45" s="202" t="e">
        <f t="shared" si="24"/>
        <v>#N/A</v>
      </c>
      <c r="M45" s="202" t="e">
        <f>VLOOKUP($A:$A,Tabla4[[Columna1]:[PRECRIADERO]],8,0)</f>
        <v>#N/A</v>
      </c>
      <c r="N45" s="202" t="e">
        <f>VLOOKUP($A:$A,Tabla4[[Columna1]:[PRECRIADERO]],7,0)</f>
        <v>#N/A</v>
      </c>
      <c r="O45" s="80" t="e">
        <f>+VLOOKUP($A:$A,Tabla4[[Columna1]:[PRECRIADERO]],6,0)</f>
        <v>#N/A</v>
      </c>
      <c r="P45" s="80"/>
      <c r="Q45" s="80" t="str">
        <f t="shared" si="18"/>
        <v xml:space="preserve">CONVENCIONAL </v>
      </c>
      <c r="R45" s="156" t="str">
        <f t="shared" ref="R45:R54" si="25">IF(V45="ASC",V45&amp;"",V45&amp;" "&amp;W45)</f>
        <v xml:space="preserve">CONVENCIONAL </v>
      </c>
      <c r="S45" s="18" t="e">
        <f>VLOOKUP(A:A,Tabla4[[Columna1]:[siembra]],12,0)</f>
        <v>#N/A</v>
      </c>
      <c r="T45" s="125" t="e">
        <f t="shared" ref="T45:T54" si="26">(S45+U45)</f>
        <v>#N/A</v>
      </c>
      <c r="U45" s="17">
        <f>SUMIFS(COSECHAS!L:L,COSECHAS!A:A,A45,COSECHAS!G:G,"&gt;"&amp;TENTATIVOS!H45)</f>
        <v>0</v>
      </c>
      <c r="V45" s="18" t="str">
        <f>+VLOOKUP(A45,DATOS!A:C,3,0)</f>
        <v>CONVENCIONAL</v>
      </c>
      <c r="W45" s="18" t="str">
        <f t="shared" ref="W45:W54" si="27">IF(V45="CONVENCIONAL","",X45)</f>
        <v/>
      </c>
      <c r="X45" s="18" t="e">
        <f t="shared" ref="X45:X54" si="28">IF(AND(S45&gt;=Y45,S45&lt;=Z45),"4 ESTRELLAS","3 ESTRELLAS")</f>
        <v>#N/A</v>
      </c>
      <c r="Y45" s="18" t="e">
        <f>VLOOKUP(M45,Tabla6[],3,0)</f>
        <v>#N/A</v>
      </c>
      <c r="Z45" s="6" t="e">
        <f>VLOOKUP(M45,DATOS!$E$30:$F$55,2,0)</f>
        <v>#N/A</v>
      </c>
    </row>
    <row r="46" spans="1:26" ht="12" hidden="1" customHeight="1" x14ac:dyDescent="0.25">
      <c r="A46" s="198" t="str">
        <f t="shared" si="20"/>
        <v>ME 09</v>
      </c>
      <c r="B46" s="199" t="str">
        <f t="shared" si="21"/>
        <v>MERO</v>
      </c>
      <c r="C46" s="211" t="str">
        <f t="shared" si="22"/>
        <v>09</v>
      </c>
      <c r="D46" s="213" t="s">
        <v>764</v>
      </c>
      <c r="E46" s="123">
        <f>VLOOKUP($A:$A,Tabla8[[sector/pisc]:[has]],2,0)</f>
        <v>7.6</v>
      </c>
      <c r="F46" s="18" t="e">
        <f>VLOOKUP($A:$A,Tabla4[[Columna1]:[PRECRIADERO]],15,0)</f>
        <v>#N/A</v>
      </c>
      <c r="G46" s="18"/>
      <c r="H46" s="18" t="e">
        <f>VLOOKUP(A:A,Tabla4[[Columna1]:[transferencia]],4,0)</f>
        <v>#N/A</v>
      </c>
      <c r="I46" s="124" t="e">
        <f>(VLOOKUP($A:$A,Tabla4[[Columna1]:[PRECRIADERO]],5,0))/E46</f>
        <v>#N/A</v>
      </c>
      <c r="J46" s="201" t="e">
        <f t="shared" ca="1" si="23"/>
        <v>#N/A</v>
      </c>
      <c r="K46" s="156" t="str">
        <f t="shared" si="12"/>
        <v>CONVENCIONAL</v>
      </c>
      <c r="L46" s="202" t="e">
        <f t="shared" si="24"/>
        <v>#N/A</v>
      </c>
      <c r="M46" s="202" t="e">
        <f>VLOOKUP($A:$A,Tabla4[[Columna1]:[PRECRIADERO]],8,0)</f>
        <v>#N/A</v>
      </c>
      <c r="N46" s="202" t="e">
        <f>VLOOKUP($A:$A,Tabla4[[Columna1]:[PRECRIADERO]],7,0)</f>
        <v>#N/A</v>
      </c>
      <c r="O46" s="80" t="e">
        <f>+VLOOKUP($A:$A,Tabla4[[Columna1]:[PRECRIADERO]],6,0)</f>
        <v>#N/A</v>
      </c>
      <c r="P46" s="80"/>
      <c r="Q46" s="80" t="str">
        <f t="shared" si="18"/>
        <v xml:space="preserve">CONVENCIONAL </v>
      </c>
      <c r="R46" s="156" t="str">
        <f t="shared" si="25"/>
        <v xml:space="preserve">CONVENCIONAL </v>
      </c>
      <c r="S46" s="18" t="e">
        <f>VLOOKUP(A:A,Tabla4[[Columna1]:[siembra]],12,0)</f>
        <v>#N/A</v>
      </c>
      <c r="T46" s="125" t="e">
        <f t="shared" si="26"/>
        <v>#N/A</v>
      </c>
      <c r="U46" s="17">
        <f>SUMIFS(COSECHAS!L:L,COSECHAS!A:A,A46,COSECHAS!G:G,"&gt;"&amp;TENTATIVOS!H46)</f>
        <v>0</v>
      </c>
      <c r="V46" s="18" t="str">
        <f>+VLOOKUP(A46,DATOS!A:C,3,0)</f>
        <v>CONVENCIONAL</v>
      </c>
      <c r="W46" s="18" t="str">
        <f t="shared" si="27"/>
        <v/>
      </c>
      <c r="X46" s="18" t="e">
        <f t="shared" si="28"/>
        <v>#N/A</v>
      </c>
      <c r="Y46" s="18" t="e">
        <f>VLOOKUP(M46,Tabla6[],3,0)</f>
        <v>#N/A</v>
      </c>
      <c r="Z46" s="6" t="e">
        <f>VLOOKUP(M46,DATOS!$E$30:$F$55,2,0)</f>
        <v>#N/A</v>
      </c>
    </row>
    <row r="47" spans="1:26" ht="12" hidden="1" customHeight="1" x14ac:dyDescent="0.25">
      <c r="A47" s="198" t="str">
        <f t="shared" si="20"/>
        <v>ME 05</v>
      </c>
      <c r="B47" s="199" t="str">
        <f t="shared" si="21"/>
        <v>MERO</v>
      </c>
      <c r="C47" s="211" t="str">
        <f t="shared" si="22"/>
        <v>05</v>
      </c>
      <c r="D47" s="213" t="s">
        <v>765</v>
      </c>
      <c r="E47" s="123">
        <f>VLOOKUP($A:$A,Tabla8[[sector/pisc]:[has]],2,0)</f>
        <v>3.47</v>
      </c>
      <c r="F47" s="18" t="e">
        <f>VLOOKUP($A:$A,Tabla4[[Columna1]:[PRECRIADERO]],15,0)</f>
        <v>#N/A</v>
      </c>
      <c r="G47" s="18"/>
      <c r="H47" s="18" t="e">
        <f>VLOOKUP(A:A,Tabla4[[Columna1]:[transferencia]],4,0)</f>
        <v>#N/A</v>
      </c>
      <c r="I47" s="124" t="e">
        <f>(VLOOKUP($A:$A,Tabla4[[Columna1]:[PRECRIADERO]],5,0))/E47</f>
        <v>#N/A</v>
      </c>
      <c r="J47" s="201" t="e">
        <f t="shared" ca="1" si="23"/>
        <v>#N/A</v>
      </c>
      <c r="K47" s="156" t="str">
        <f t="shared" si="12"/>
        <v>CONVENCIONAL</v>
      </c>
      <c r="L47" s="202" t="e">
        <f t="shared" si="24"/>
        <v>#N/A</v>
      </c>
      <c r="M47" s="202" t="e">
        <f>VLOOKUP($A:$A,Tabla4[[Columna1]:[PRECRIADERO]],8,0)</f>
        <v>#N/A</v>
      </c>
      <c r="N47" s="202" t="e">
        <f>VLOOKUP($A:$A,Tabla4[[Columna1]:[PRECRIADERO]],7,0)</f>
        <v>#N/A</v>
      </c>
      <c r="O47" s="80" t="e">
        <f>+VLOOKUP($A:$A,Tabla4[[Columna1]:[PRECRIADERO]],6,0)</f>
        <v>#N/A</v>
      </c>
      <c r="P47" s="80"/>
      <c r="Q47" s="80" t="str">
        <f t="shared" si="18"/>
        <v xml:space="preserve">CONVENCIONAL </v>
      </c>
      <c r="R47" s="156" t="str">
        <f t="shared" si="25"/>
        <v xml:space="preserve">CONVENCIONAL </v>
      </c>
      <c r="S47" s="18" t="e">
        <f>VLOOKUP(A:A,Tabla4[[Columna1]:[siembra]],12,0)</f>
        <v>#N/A</v>
      </c>
      <c r="T47" s="125" t="e">
        <f t="shared" si="26"/>
        <v>#N/A</v>
      </c>
      <c r="U47" s="17">
        <f>SUMIFS(COSECHAS!L:L,COSECHAS!A:A,A47,COSECHAS!G:G,"&gt;"&amp;TENTATIVOS!H47)</f>
        <v>0</v>
      </c>
      <c r="V47" s="18" t="str">
        <f>+VLOOKUP(A47,DATOS!A:C,3,0)</f>
        <v>CONVENCIONAL</v>
      </c>
      <c r="W47" s="18" t="str">
        <f t="shared" si="27"/>
        <v/>
      </c>
      <c r="X47" s="18" t="e">
        <f t="shared" si="28"/>
        <v>#N/A</v>
      </c>
      <c r="Y47" s="18" t="e">
        <f>VLOOKUP(M47,Tabla6[],3,0)</f>
        <v>#N/A</v>
      </c>
      <c r="Z47" s="6" t="e">
        <f>VLOOKUP(M47,DATOS!$E$30:$F$55,2,0)</f>
        <v>#N/A</v>
      </c>
    </row>
    <row r="48" spans="1:26" ht="12" hidden="1" customHeight="1" x14ac:dyDescent="0.25">
      <c r="A48" s="198" t="str">
        <f t="shared" si="20"/>
        <v>ME 07</v>
      </c>
      <c r="B48" s="199" t="str">
        <f t="shared" si="21"/>
        <v>MERO</v>
      </c>
      <c r="C48" s="211" t="str">
        <f t="shared" si="22"/>
        <v>07</v>
      </c>
      <c r="D48" s="213" t="s">
        <v>766</v>
      </c>
      <c r="E48" s="123">
        <f>VLOOKUP($A:$A,Tabla8[[sector/pisc]:[has]],2,0)</f>
        <v>4.5999999999999996</v>
      </c>
      <c r="F48" s="18" t="e">
        <f>VLOOKUP($A:$A,Tabla4[[Columna1]:[PRECRIADERO]],15,0)</f>
        <v>#N/A</v>
      </c>
      <c r="G48" s="18"/>
      <c r="H48" s="18" t="e">
        <f>VLOOKUP(A:A,Tabla4[[Columna1]:[transferencia]],4,0)</f>
        <v>#N/A</v>
      </c>
      <c r="I48" s="124" t="e">
        <f>(VLOOKUP($A:$A,Tabla4[[Columna1]:[PRECRIADERO]],5,0))/E48</f>
        <v>#N/A</v>
      </c>
      <c r="J48" s="201" t="e">
        <f t="shared" ca="1" si="23"/>
        <v>#N/A</v>
      </c>
      <c r="K48" s="156" t="str">
        <f t="shared" si="12"/>
        <v>CONVENCIONAL</v>
      </c>
      <c r="L48" s="202" t="e">
        <f t="shared" si="24"/>
        <v>#N/A</v>
      </c>
      <c r="M48" s="202" t="e">
        <f>VLOOKUP($A:$A,Tabla4[[Columna1]:[PRECRIADERO]],8,0)</f>
        <v>#N/A</v>
      </c>
      <c r="N48" s="202" t="e">
        <f>VLOOKUP($A:$A,Tabla4[[Columna1]:[PRECRIADERO]],7,0)</f>
        <v>#N/A</v>
      </c>
      <c r="O48" s="80" t="e">
        <f>+VLOOKUP($A:$A,Tabla4[[Columna1]:[PRECRIADERO]],6,0)</f>
        <v>#N/A</v>
      </c>
      <c r="P48" s="80"/>
      <c r="Q48" s="80" t="str">
        <f t="shared" si="18"/>
        <v xml:space="preserve">CONVENCIONAL </v>
      </c>
      <c r="R48" s="156" t="str">
        <f t="shared" si="25"/>
        <v xml:space="preserve">CONVENCIONAL </v>
      </c>
      <c r="S48" s="18" t="e">
        <f>VLOOKUP(A:A,Tabla4[[Columna1]:[siembra]],12,0)</f>
        <v>#N/A</v>
      </c>
      <c r="T48" s="125" t="e">
        <f t="shared" si="26"/>
        <v>#N/A</v>
      </c>
      <c r="U48" s="17">
        <f>SUMIFS(COSECHAS!L:L,COSECHAS!A:A,A48,COSECHAS!G:G,"&gt;"&amp;TENTATIVOS!H48)</f>
        <v>0</v>
      </c>
      <c r="V48" s="18" t="str">
        <f>+VLOOKUP(A48,DATOS!A:C,3,0)</f>
        <v>CONVENCIONAL</v>
      </c>
      <c r="W48" s="18" t="str">
        <f t="shared" si="27"/>
        <v/>
      </c>
      <c r="X48" s="18" t="e">
        <f t="shared" si="28"/>
        <v>#N/A</v>
      </c>
      <c r="Y48" s="18" t="e">
        <f>VLOOKUP(M48,Tabla6[],3,0)</f>
        <v>#N/A</v>
      </c>
      <c r="Z48" s="6" t="e">
        <f>VLOOKUP(M48,DATOS!$E$30:$F$55,2,0)</f>
        <v>#N/A</v>
      </c>
    </row>
    <row r="49" spans="1:26" ht="12" hidden="1" customHeight="1" x14ac:dyDescent="0.25">
      <c r="A49" s="198" t="str">
        <f t="shared" si="20"/>
        <v>ME 14</v>
      </c>
      <c r="B49" s="199" t="str">
        <f t="shared" si="21"/>
        <v>MERO</v>
      </c>
      <c r="C49" s="211" t="str">
        <f t="shared" si="22"/>
        <v>14</v>
      </c>
      <c r="D49" s="213" t="s">
        <v>767</v>
      </c>
      <c r="E49" s="123">
        <f>VLOOKUP($A:$A,Tabla8[[sector/pisc]:[has]],2,0)</f>
        <v>1.4</v>
      </c>
      <c r="F49" s="18" t="e">
        <f>VLOOKUP($A:$A,Tabla4[[Columna1]:[PRECRIADERO]],15,0)</f>
        <v>#N/A</v>
      </c>
      <c r="G49" s="18"/>
      <c r="H49" s="18" t="e">
        <f>VLOOKUP(A:A,Tabla4[[Columna1]:[transferencia]],4,0)</f>
        <v>#N/A</v>
      </c>
      <c r="I49" s="124" t="e">
        <f>(VLOOKUP($A:$A,Tabla4[[Columna1]:[PRECRIADERO]],5,0))/E49</f>
        <v>#N/A</v>
      </c>
      <c r="J49" s="201" t="e">
        <f t="shared" ca="1" si="23"/>
        <v>#N/A</v>
      </c>
      <c r="K49" s="156" t="str">
        <f t="shared" si="12"/>
        <v>CONVENCIONAL</v>
      </c>
      <c r="L49" s="202" t="e">
        <f t="shared" si="24"/>
        <v>#N/A</v>
      </c>
      <c r="M49" s="202" t="e">
        <f>VLOOKUP($A:$A,Tabla4[[Columna1]:[PRECRIADERO]],8,0)</f>
        <v>#N/A</v>
      </c>
      <c r="N49" s="202" t="e">
        <f>VLOOKUP($A:$A,Tabla4[[Columna1]:[PRECRIADERO]],7,0)</f>
        <v>#N/A</v>
      </c>
      <c r="O49" s="80" t="e">
        <f>+VLOOKUP($A:$A,Tabla4[[Columna1]:[PRECRIADERO]],6,0)</f>
        <v>#N/A</v>
      </c>
      <c r="P49" s="80"/>
      <c r="Q49" s="80" t="str">
        <f t="shared" si="18"/>
        <v xml:space="preserve">CONVENCIONAL </v>
      </c>
      <c r="R49" s="156" t="str">
        <f t="shared" si="25"/>
        <v xml:space="preserve">CONVENCIONAL </v>
      </c>
      <c r="S49" s="18" t="e">
        <f>VLOOKUP(A:A,Tabla4[[Columna1]:[siembra]],12,0)</f>
        <v>#N/A</v>
      </c>
      <c r="T49" s="125" t="e">
        <f t="shared" si="26"/>
        <v>#N/A</v>
      </c>
      <c r="U49" s="17">
        <f>SUMIFS(COSECHAS!L:L,COSECHAS!A:A,A49,COSECHAS!G:G,"&gt;"&amp;TENTATIVOS!H49)</f>
        <v>0</v>
      </c>
      <c r="V49" s="18" t="str">
        <f>+VLOOKUP(A49,DATOS!A:C,3,0)</f>
        <v>CONVENCIONAL</v>
      </c>
      <c r="W49" s="18" t="str">
        <f t="shared" si="27"/>
        <v/>
      </c>
      <c r="X49" s="18" t="e">
        <f t="shared" si="28"/>
        <v>#N/A</v>
      </c>
      <c r="Y49" s="18" t="e">
        <f>VLOOKUP(M49,Tabla6[],3,0)</f>
        <v>#N/A</v>
      </c>
      <c r="Z49" s="6" t="e">
        <f>VLOOKUP(M49,DATOS!$E$30:$F$55,2,0)</f>
        <v>#N/A</v>
      </c>
    </row>
    <row r="50" spans="1:26" ht="12" hidden="1" customHeight="1" x14ac:dyDescent="0.25">
      <c r="A50" s="198" t="str">
        <f t="shared" si="20"/>
        <v>ME 15</v>
      </c>
      <c r="B50" s="199" t="str">
        <f t="shared" si="21"/>
        <v>MERO</v>
      </c>
      <c r="C50" s="211" t="str">
        <f t="shared" si="22"/>
        <v>15</v>
      </c>
      <c r="D50" s="213" t="s">
        <v>768</v>
      </c>
      <c r="E50" s="123">
        <f>VLOOKUP($A:$A,Tabla8[[sector/pisc]:[has]],2,0)</f>
        <v>2.6</v>
      </c>
      <c r="F50" s="18" t="e">
        <f>VLOOKUP($A:$A,Tabla4[[Columna1]:[PRECRIADERO]],15,0)</f>
        <v>#N/A</v>
      </c>
      <c r="G50" s="18"/>
      <c r="H50" s="18" t="e">
        <f>VLOOKUP(A:A,Tabla4[[Columna1]:[transferencia]],4,0)</f>
        <v>#N/A</v>
      </c>
      <c r="I50" s="124" t="e">
        <f>(VLOOKUP($A:$A,Tabla4[[Columna1]:[PRECRIADERO]],5,0))/E50</f>
        <v>#N/A</v>
      </c>
      <c r="J50" s="201" t="e">
        <f t="shared" ca="1" si="23"/>
        <v>#N/A</v>
      </c>
      <c r="K50" s="156" t="str">
        <f t="shared" si="12"/>
        <v>CONVENCIONAL</v>
      </c>
      <c r="L50" s="202" t="e">
        <f t="shared" si="24"/>
        <v>#N/A</v>
      </c>
      <c r="M50" s="202" t="e">
        <f>VLOOKUP($A:$A,Tabla4[[Columna1]:[PRECRIADERO]],8,0)</f>
        <v>#N/A</v>
      </c>
      <c r="N50" s="202" t="e">
        <f>VLOOKUP($A:$A,Tabla4[[Columna1]:[PRECRIADERO]],7,0)</f>
        <v>#N/A</v>
      </c>
      <c r="O50" s="80" t="e">
        <f>+VLOOKUP($A:$A,Tabla4[[Columna1]:[PRECRIADERO]],6,0)</f>
        <v>#N/A</v>
      </c>
      <c r="P50" s="80"/>
      <c r="Q50" s="80" t="str">
        <f t="shared" si="18"/>
        <v xml:space="preserve">CONVENCIONAL </v>
      </c>
      <c r="R50" s="156" t="str">
        <f t="shared" si="25"/>
        <v xml:space="preserve">CONVENCIONAL </v>
      </c>
      <c r="S50" s="18" t="e">
        <f>VLOOKUP(A:A,Tabla4[[Columna1]:[siembra]],12,0)</f>
        <v>#N/A</v>
      </c>
      <c r="T50" s="125" t="e">
        <f t="shared" si="26"/>
        <v>#N/A</v>
      </c>
      <c r="U50" s="17">
        <f>SUMIFS(COSECHAS!L:L,COSECHAS!A:A,A50,COSECHAS!G:G,"&gt;"&amp;TENTATIVOS!H50)</f>
        <v>0</v>
      </c>
      <c r="V50" s="18" t="str">
        <f>+VLOOKUP(A50,DATOS!A:C,3,0)</f>
        <v>CONVENCIONAL</v>
      </c>
      <c r="W50" s="18" t="str">
        <f t="shared" si="27"/>
        <v/>
      </c>
      <c r="X50" s="18" t="e">
        <f t="shared" si="28"/>
        <v>#N/A</v>
      </c>
      <c r="Y50" s="18" t="e">
        <f>VLOOKUP(M50,Tabla6[],3,0)</f>
        <v>#N/A</v>
      </c>
      <c r="Z50" s="6" t="e">
        <f>VLOOKUP(M50,DATOS!$E$30:$F$55,2,0)</f>
        <v>#N/A</v>
      </c>
    </row>
    <row r="51" spans="1:26" ht="12" hidden="1" customHeight="1" x14ac:dyDescent="0.25">
      <c r="A51" s="198" t="str">
        <f t="shared" si="20"/>
        <v>ME 18</v>
      </c>
      <c r="B51" s="199" t="str">
        <f t="shared" si="21"/>
        <v>MERO</v>
      </c>
      <c r="C51" s="211" t="str">
        <f t="shared" si="22"/>
        <v>18</v>
      </c>
      <c r="D51" s="213" t="s">
        <v>769</v>
      </c>
      <c r="E51" s="123">
        <f>VLOOKUP($A:$A,Tabla8[[sector/pisc]:[has]],2,0)</f>
        <v>3.05</v>
      </c>
      <c r="F51" s="18" t="e">
        <f>VLOOKUP($A:$A,Tabla4[[Columna1]:[PRECRIADERO]],15,0)</f>
        <v>#N/A</v>
      </c>
      <c r="G51" s="18"/>
      <c r="H51" s="18" t="e">
        <f>VLOOKUP(A:A,Tabla4[[Columna1]:[transferencia]],4,0)</f>
        <v>#N/A</v>
      </c>
      <c r="I51" s="124" t="e">
        <f>(VLOOKUP($A:$A,Tabla4[[Columna1]:[PRECRIADERO]],5,0))/E51</f>
        <v>#N/A</v>
      </c>
      <c r="J51" s="201" t="e">
        <f t="shared" ca="1" si="23"/>
        <v>#N/A</v>
      </c>
      <c r="K51" s="156" t="str">
        <f t="shared" si="12"/>
        <v>CONVENCIONAL</v>
      </c>
      <c r="L51" s="202" t="e">
        <f t="shared" si="24"/>
        <v>#N/A</v>
      </c>
      <c r="M51" s="202" t="e">
        <f>VLOOKUP($A:$A,Tabla4[[Columna1]:[PRECRIADERO]],8,0)</f>
        <v>#N/A</v>
      </c>
      <c r="N51" s="202" t="e">
        <f>VLOOKUP($A:$A,Tabla4[[Columna1]:[PRECRIADERO]],7,0)</f>
        <v>#N/A</v>
      </c>
      <c r="O51" s="80" t="e">
        <f>+VLOOKUP($A:$A,Tabla4[[Columna1]:[PRECRIADERO]],6,0)</f>
        <v>#N/A</v>
      </c>
      <c r="P51" s="80"/>
      <c r="Q51" s="80" t="str">
        <f t="shared" si="18"/>
        <v xml:space="preserve">CONVENCIONAL </v>
      </c>
      <c r="R51" s="156" t="str">
        <f t="shared" si="25"/>
        <v xml:space="preserve">CONVENCIONAL </v>
      </c>
      <c r="S51" s="18" t="e">
        <f>VLOOKUP(A:A,Tabla4[[Columna1]:[siembra]],12,0)</f>
        <v>#N/A</v>
      </c>
      <c r="T51" s="125" t="e">
        <f t="shared" si="26"/>
        <v>#N/A</v>
      </c>
      <c r="U51" s="17">
        <f>SUMIFS(COSECHAS!L:L,COSECHAS!A:A,A51,COSECHAS!G:G,"&gt;"&amp;TENTATIVOS!H51)</f>
        <v>0</v>
      </c>
      <c r="V51" s="18" t="str">
        <f>+VLOOKUP(A51,DATOS!A:C,3,0)</f>
        <v>CONVENCIONAL</v>
      </c>
      <c r="W51" s="18" t="str">
        <f t="shared" si="27"/>
        <v/>
      </c>
      <c r="X51" s="18" t="e">
        <f t="shared" si="28"/>
        <v>#N/A</v>
      </c>
      <c r="Y51" s="18" t="e">
        <f>VLOOKUP(M51,Tabla6[],3,0)</f>
        <v>#N/A</v>
      </c>
      <c r="Z51" s="6" t="e">
        <f>VLOOKUP(M51,DATOS!$E$30:$F$55,2,0)</f>
        <v>#N/A</v>
      </c>
    </row>
    <row r="52" spans="1:26" ht="12" hidden="1" customHeight="1" x14ac:dyDescent="0.25">
      <c r="A52" s="198" t="str">
        <f t="shared" si="20"/>
        <v>WA 36</v>
      </c>
      <c r="B52" s="199" t="str">
        <f t="shared" si="21"/>
        <v>WAHOO</v>
      </c>
      <c r="C52" s="211" t="str">
        <f t="shared" si="22"/>
        <v>36</v>
      </c>
      <c r="D52" s="213" t="s">
        <v>770</v>
      </c>
      <c r="E52" s="123">
        <f>VLOOKUP($A:$A,Tabla8[[sector/pisc]:[has]],2,0)</f>
        <v>10</v>
      </c>
      <c r="F52" s="18" t="e">
        <f>VLOOKUP($A:$A,Tabla4[[Columna1]:[PRECRIADERO]],15,0)</f>
        <v>#N/A</v>
      </c>
      <c r="G52" s="18"/>
      <c r="H52" s="18" t="e">
        <f>VLOOKUP(A:A,Tabla4[[Columna1]:[transferencia]],4,0)</f>
        <v>#N/A</v>
      </c>
      <c r="I52" s="124" t="e">
        <f>(VLOOKUP($A:$A,Tabla4[[Columna1]:[PRECRIADERO]],5,0))/E52</f>
        <v>#N/A</v>
      </c>
      <c r="J52" s="201" t="e">
        <f t="shared" ca="1" si="23"/>
        <v>#N/A</v>
      </c>
      <c r="K52" s="156" t="str">
        <f t="shared" si="12"/>
        <v>CONVENCIONAL</v>
      </c>
      <c r="L52" s="202" t="e">
        <f t="shared" si="24"/>
        <v>#N/A</v>
      </c>
      <c r="M52" s="202" t="e">
        <f>VLOOKUP($A:$A,Tabla4[[Columna1]:[PRECRIADERO]],8,0)</f>
        <v>#N/A</v>
      </c>
      <c r="N52" s="202" t="e">
        <f>VLOOKUP($A:$A,Tabla4[[Columna1]:[PRECRIADERO]],7,0)</f>
        <v>#N/A</v>
      </c>
      <c r="O52" s="80" t="e">
        <f>+VLOOKUP($A:$A,Tabla4[[Columna1]:[PRECRIADERO]],6,0)</f>
        <v>#N/A</v>
      </c>
      <c r="P52" s="80"/>
      <c r="Q52" s="80" t="str">
        <f t="shared" si="18"/>
        <v xml:space="preserve">CONVENCIONAL </v>
      </c>
      <c r="R52" s="156" t="str">
        <f t="shared" si="25"/>
        <v xml:space="preserve">CONVENCIONAL </v>
      </c>
      <c r="S52" s="18" t="e">
        <f>VLOOKUP(A:A,Tabla4[[Columna1]:[siembra]],12,0)</f>
        <v>#N/A</v>
      </c>
      <c r="T52" s="125" t="e">
        <f t="shared" si="26"/>
        <v>#N/A</v>
      </c>
      <c r="U52" s="17">
        <f>SUMIFS(COSECHAS!L:L,COSECHAS!A:A,A52,COSECHAS!G:G,"&gt;"&amp;TENTATIVOS!H52)</f>
        <v>0</v>
      </c>
      <c r="V52" s="18" t="str">
        <f>+VLOOKUP(A52,DATOS!A:C,3,0)</f>
        <v>CONVENCIONAL</v>
      </c>
      <c r="W52" s="18" t="str">
        <f t="shared" si="27"/>
        <v/>
      </c>
      <c r="X52" s="18" t="e">
        <f t="shared" si="28"/>
        <v>#N/A</v>
      </c>
      <c r="Y52" s="18" t="e">
        <f>VLOOKUP(M52,Tabla6[],3,0)</f>
        <v>#N/A</v>
      </c>
      <c r="Z52" s="6" t="e">
        <f>VLOOKUP(M52,DATOS!$E$30:$F$55,2,0)</f>
        <v>#N/A</v>
      </c>
    </row>
    <row r="53" spans="1:26" ht="12" hidden="1" customHeight="1" x14ac:dyDescent="0.25">
      <c r="A53" s="198" t="str">
        <f t="shared" si="20"/>
        <v>WA 11</v>
      </c>
      <c r="B53" s="199" t="str">
        <f t="shared" si="21"/>
        <v>WAHOO</v>
      </c>
      <c r="C53" s="211" t="str">
        <f t="shared" si="22"/>
        <v>11</v>
      </c>
      <c r="D53" s="213" t="s">
        <v>771</v>
      </c>
      <c r="E53" s="123">
        <f>VLOOKUP($A:$A,Tabla8[[sector/pisc]:[has]],2,0)</f>
        <v>10.3</v>
      </c>
      <c r="F53" s="18" t="e">
        <f>VLOOKUP($A:$A,Tabla4[[Columna1]:[PRECRIADERO]],15,0)</f>
        <v>#N/A</v>
      </c>
      <c r="G53" s="18"/>
      <c r="H53" s="18" t="e">
        <f>VLOOKUP(A:A,Tabla4[[Columna1]:[transferencia]],4,0)</f>
        <v>#N/A</v>
      </c>
      <c r="I53" s="124" t="e">
        <f>(VLOOKUP($A:$A,Tabla4[[Columna1]:[PRECRIADERO]],5,0))/E53</f>
        <v>#N/A</v>
      </c>
      <c r="J53" s="201" t="e">
        <f t="shared" ca="1" si="23"/>
        <v>#N/A</v>
      </c>
      <c r="K53" s="156" t="str">
        <f t="shared" si="12"/>
        <v>CONVENCIONAL</v>
      </c>
      <c r="L53" s="202" t="e">
        <f t="shared" si="24"/>
        <v>#N/A</v>
      </c>
      <c r="M53" s="202" t="e">
        <f>VLOOKUP($A:$A,Tabla4[[Columna1]:[PRECRIADERO]],8,0)</f>
        <v>#N/A</v>
      </c>
      <c r="N53" s="202" t="e">
        <f>VLOOKUP($A:$A,Tabla4[[Columna1]:[PRECRIADERO]],7,0)</f>
        <v>#N/A</v>
      </c>
      <c r="O53" s="80" t="e">
        <f>+VLOOKUP($A:$A,Tabla4[[Columna1]:[PRECRIADERO]],6,0)</f>
        <v>#N/A</v>
      </c>
      <c r="P53" s="80"/>
      <c r="Q53" s="80" t="str">
        <f t="shared" si="18"/>
        <v xml:space="preserve">CONVENCIONAL </v>
      </c>
      <c r="R53" s="156" t="str">
        <f t="shared" si="25"/>
        <v xml:space="preserve">CONVENCIONAL </v>
      </c>
      <c r="S53" s="18" t="e">
        <f>VLOOKUP(A:A,Tabla4[[Columna1]:[siembra]],12,0)</f>
        <v>#N/A</v>
      </c>
      <c r="T53" s="125" t="e">
        <f t="shared" si="26"/>
        <v>#N/A</v>
      </c>
      <c r="U53" s="17">
        <f>SUMIFS(COSECHAS!L:L,COSECHAS!A:A,A53,COSECHAS!G:G,"&gt;"&amp;TENTATIVOS!H53)</f>
        <v>0</v>
      </c>
      <c r="V53" s="18" t="str">
        <f>+VLOOKUP(A53,DATOS!A:C,3,0)</f>
        <v>CONVENCIONAL</v>
      </c>
      <c r="W53" s="18" t="str">
        <f t="shared" si="27"/>
        <v/>
      </c>
      <c r="X53" s="18" t="e">
        <f t="shared" si="28"/>
        <v>#N/A</v>
      </c>
      <c r="Y53" s="18" t="e">
        <f>VLOOKUP(M53,Tabla6[],3,0)</f>
        <v>#N/A</v>
      </c>
      <c r="Z53" s="6" t="e">
        <f>VLOOKUP(M53,DATOS!$E$30:$F$55,2,0)</f>
        <v>#N/A</v>
      </c>
    </row>
    <row r="54" spans="1:26" ht="12" hidden="1" customHeight="1" x14ac:dyDescent="0.25">
      <c r="A54" s="198" t="str">
        <f t="shared" si="20"/>
        <v>WA 03</v>
      </c>
      <c r="B54" s="199" t="str">
        <f t="shared" si="21"/>
        <v>WAHOO</v>
      </c>
      <c r="C54" s="211" t="str">
        <f t="shared" si="22"/>
        <v>03</v>
      </c>
      <c r="D54" s="213" t="s">
        <v>772</v>
      </c>
      <c r="E54" s="123">
        <f>VLOOKUP($A:$A,Tabla8[[sector/pisc]:[has]],2,0)</f>
        <v>3.5</v>
      </c>
      <c r="F54" s="18" t="e">
        <f>VLOOKUP($A:$A,Tabla4[[Columna1]:[PRECRIADERO]],15,0)</f>
        <v>#N/A</v>
      </c>
      <c r="G54" s="18"/>
      <c r="H54" s="18" t="e">
        <f>VLOOKUP(A:A,Tabla4[[Columna1]:[transferencia]],4,0)</f>
        <v>#N/A</v>
      </c>
      <c r="I54" s="124" t="e">
        <f>(VLOOKUP($A:$A,Tabla4[[Columna1]:[PRECRIADERO]],5,0))/E54</f>
        <v>#N/A</v>
      </c>
      <c r="J54" s="201" t="e">
        <f t="shared" ca="1" si="23"/>
        <v>#N/A</v>
      </c>
      <c r="K54" s="156" t="str">
        <f t="shared" si="12"/>
        <v>CONVENCIONAL</v>
      </c>
      <c r="L54" s="202" t="e">
        <f t="shared" si="24"/>
        <v>#N/A</v>
      </c>
      <c r="M54" s="202" t="e">
        <f>VLOOKUP($A:$A,Tabla4[[Columna1]:[PRECRIADERO]],8,0)</f>
        <v>#N/A</v>
      </c>
      <c r="N54" s="202" t="e">
        <f>VLOOKUP($A:$A,Tabla4[[Columna1]:[PRECRIADERO]],7,0)</f>
        <v>#N/A</v>
      </c>
      <c r="O54" s="80" t="e">
        <f>+VLOOKUP($A:$A,Tabla4[[Columna1]:[PRECRIADERO]],6,0)</f>
        <v>#N/A</v>
      </c>
      <c r="P54" s="80"/>
      <c r="Q54" s="80" t="str">
        <f t="shared" si="18"/>
        <v xml:space="preserve">CONVENCIONAL </v>
      </c>
      <c r="R54" s="156" t="str">
        <f t="shared" si="25"/>
        <v xml:space="preserve">CONVENCIONAL </v>
      </c>
      <c r="S54" s="18" t="e">
        <f>VLOOKUP(A:A,Tabla4[[Columna1]:[siembra]],12,0)</f>
        <v>#N/A</v>
      </c>
      <c r="T54" s="125" t="e">
        <f t="shared" si="26"/>
        <v>#N/A</v>
      </c>
      <c r="U54" s="17">
        <f>SUMIFS(COSECHAS!L:L,COSECHAS!A:A,A54,COSECHAS!G:G,"&gt;"&amp;TENTATIVOS!H54)</f>
        <v>0</v>
      </c>
      <c r="V54" s="18" t="str">
        <f>+VLOOKUP(A54,DATOS!A:C,3,0)</f>
        <v>CONVENCIONAL</v>
      </c>
      <c r="W54" s="18" t="str">
        <f t="shared" si="27"/>
        <v/>
      </c>
      <c r="X54" s="18" t="e">
        <f t="shared" si="28"/>
        <v>#N/A</v>
      </c>
      <c r="Y54" s="18" t="e">
        <f>VLOOKUP(M54,Tabla6[],3,0)</f>
        <v>#N/A</v>
      </c>
      <c r="Z54" s="6" t="e">
        <f>VLOOKUP(M54,DATOS!$E$30:$F$55,2,0)</f>
        <v>#N/A</v>
      </c>
    </row>
    <row r="55" spans="1:26" ht="12" hidden="1" customHeight="1" x14ac:dyDescent="0.25">
      <c r="A55" s="198" t="str">
        <f t="shared" si="20"/>
        <v>WA 05</v>
      </c>
      <c r="B55" s="199" t="str">
        <f t="shared" si="21"/>
        <v>WAHOO</v>
      </c>
      <c r="C55" s="211" t="str">
        <f t="shared" si="22"/>
        <v>05</v>
      </c>
      <c r="D55" s="212" t="s">
        <v>773</v>
      </c>
      <c r="K55" s="156">
        <f t="shared" si="12"/>
        <v>0</v>
      </c>
    </row>
    <row r="56" spans="1:26" ht="12" hidden="1" customHeight="1" x14ac:dyDescent="0.25">
      <c r="A56" s="198" t="str">
        <f t="shared" si="20"/>
        <v>WA 24</v>
      </c>
      <c r="B56" s="199" t="str">
        <f t="shared" si="21"/>
        <v>WAHOO</v>
      </c>
      <c r="C56" s="211" t="str">
        <f t="shared" si="22"/>
        <v>24</v>
      </c>
      <c r="D56" s="212" t="s">
        <v>774</v>
      </c>
      <c r="E56" s="203" t="s">
        <v>46</v>
      </c>
      <c r="F56" s="204" t="s">
        <v>775</v>
      </c>
      <c r="K56" s="156">
        <f t="shared" si="12"/>
        <v>0</v>
      </c>
    </row>
    <row r="57" spans="1:26" ht="12" hidden="1" customHeight="1" x14ac:dyDescent="0.25">
      <c r="A57" s="198" t="str">
        <f t="shared" si="20"/>
        <v>WA 38</v>
      </c>
      <c r="B57" s="199" t="str">
        <f t="shared" si="21"/>
        <v>WAHOO</v>
      </c>
      <c r="C57" s="211" t="str">
        <f t="shared" si="22"/>
        <v>38</v>
      </c>
      <c r="D57" s="212" t="s">
        <v>776</v>
      </c>
      <c r="E57" s="203" t="s">
        <v>777</v>
      </c>
      <c r="F57" s="204" t="s">
        <v>778</v>
      </c>
      <c r="K57" s="156">
        <f t="shared" si="12"/>
        <v>0</v>
      </c>
    </row>
    <row r="58" spans="1:26" ht="12" hidden="1" customHeight="1" x14ac:dyDescent="0.25">
      <c r="A58" s="198" t="str">
        <f t="shared" si="20"/>
        <v>WA 20</v>
      </c>
      <c r="B58" s="199" t="str">
        <f t="shared" si="21"/>
        <v>WAHOO</v>
      </c>
      <c r="C58" s="211" t="str">
        <f t="shared" si="22"/>
        <v>20</v>
      </c>
      <c r="D58" s="212" t="s">
        <v>779</v>
      </c>
      <c r="E58" s="203" t="s">
        <v>780</v>
      </c>
      <c r="F58" s="204" t="s">
        <v>781</v>
      </c>
      <c r="K58" s="156">
        <f t="shared" si="12"/>
        <v>0</v>
      </c>
    </row>
    <row r="59" spans="1:26" ht="12" hidden="1" customHeight="1" x14ac:dyDescent="0.25">
      <c r="A59" s="198" t="str">
        <f t="shared" si="20"/>
        <v>WA 07</v>
      </c>
      <c r="B59" s="199" t="str">
        <f t="shared" si="21"/>
        <v>WAHOO</v>
      </c>
      <c r="C59" s="211" t="str">
        <f t="shared" si="22"/>
        <v>07</v>
      </c>
      <c r="D59" s="212" t="s">
        <v>782</v>
      </c>
      <c r="E59" s="203" t="s">
        <v>47</v>
      </c>
      <c r="F59" s="204" t="s">
        <v>783</v>
      </c>
      <c r="K59" s="156">
        <f t="shared" si="12"/>
        <v>0</v>
      </c>
    </row>
    <row r="60" spans="1:26" ht="12" hidden="1" customHeight="1" x14ac:dyDescent="0.25">
      <c r="A60" s="198" t="str">
        <f t="shared" si="20"/>
        <v>WA 19</v>
      </c>
      <c r="B60" s="199" t="str">
        <f t="shared" si="21"/>
        <v>WAHOO</v>
      </c>
      <c r="C60" s="211" t="str">
        <f t="shared" si="22"/>
        <v>19</v>
      </c>
      <c r="D60" s="212" t="s">
        <v>784</v>
      </c>
      <c r="E60" s="203" t="s">
        <v>39</v>
      </c>
      <c r="F60" s="204" t="s">
        <v>583</v>
      </c>
      <c r="K60" s="156">
        <f t="shared" si="12"/>
        <v>0</v>
      </c>
    </row>
    <row r="61" spans="1:26" ht="12" hidden="1" customHeight="1" x14ac:dyDescent="0.25">
      <c r="A61" s="198" t="str">
        <f t="shared" si="20"/>
        <v>WA 02</v>
      </c>
      <c r="B61" s="199" t="str">
        <f t="shared" si="21"/>
        <v>WAHOO</v>
      </c>
      <c r="C61" s="211" t="str">
        <f t="shared" si="22"/>
        <v>02</v>
      </c>
      <c r="D61" s="212" t="s">
        <v>785</v>
      </c>
      <c r="E61" s="203" t="s">
        <v>35</v>
      </c>
      <c r="F61" s="204" t="s">
        <v>786</v>
      </c>
      <c r="K61" s="156">
        <f t="shared" si="12"/>
        <v>0</v>
      </c>
    </row>
    <row r="62" spans="1:26" ht="12" hidden="1" customHeight="1" x14ac:dyDescent="0.25">
      <c r="A62" s="198" t="str">
        <f t="shared" si="20"/>
        <v>WA 08</v>
      </c>
      <c r="B62" s="199" t="str">
        <f t="shared" si="21"/>
        <v>WAHOO</v>
      </c>
      <c r="C62" s="211" t="str">
        <f t="shared" si="22"/>
        <v>08</v>
      </c>
      <c r="D62" s="212" t="s">
        <v>787</v>
      </c>
      <c r="E62" s="203" t="s">
        <v>41</v>
      </c>
      <c r="F62" s="204" t="s">
        <v>788</v>
      </c>
      <c r="K62" s="156">
        <f t="shared" si="12"/>
        <v>0</v>
      </c>
    </row>
    <row r="63" spans="1:26" ht="12" hidden="1" customHeight="1" x14ac:dyDescent="0.25">
      <c r="A63" s="198" t="str">
        <f t="shared" si="20"/>
        <v>WA 29</v>
      </c>
      <c r="B63" s="199" t="str">
        <f t="shared" si="21"/>
        <v>WAHOO</v>
      </c>
      <c r="C63" s="211" t="str">
        <f t="shared" si="22"/>
        <v>29</v>
      </c>
      <c r="D63" s="212" t="s">
        <v>789</v>
      </c>
      <c r="E63" s="203" t="s">
        <v>43</v>
      </c>
      <c r="F63" s="204" t="s">
        <v>790</v>
      </c>
      <c r="K63" s="156">
        <f t="shared" si="12"/>
        <v>0</v>
      </c>
    </row>
    <row r="64" spans="1:26" ht="12" hidden="1" customHeight="1" x14ac:dyDescent="0.25">
      <c r="A64" s="198" t="str">
        <f t="shared" si="20"/>
        <v>WA 14</v>
      </c>
      <c r="B64" s="199" t="str">
        <f t="shared" si="21"/>
        <v>WAHOO</v>
      </c>
      <c r="C64" s="211" t="str">
        <f t="shared" si="22"/>
        <v>14</v>
      </c>
      <c r="D64" s="212" t="s">
        <v>791</v>
      </c>
      <c r="E64" s="203" t="s">
        <v>48</v>
      </c>
      <c r="F64" s="204" t="s">
        <v>792</v>
      </c>
      <c r="K64" s="156">
        <f t="shared" si="12"/>
        <v>0</v>
      </c>
    </row>
    <row r="65" spans="1:14" ht="12" hidden="1" customHeight="1" x14ac:dyDescent="0.25">
      <c r="A65" s="198" t="str">
        <f t="shared" si="20"/>
        <v>WA 16</v>
      </c>
      <c r="B65" s="199" t="str">
        <f t="shared" si="21"/>
        <v>WAHOO</v>
      </c>
      <c r="C65" s="211" t="str">
        <f t="shared" si="22"/>
        <v>16</v>
      </c>
      <c r="D65" s="212" t="s">
        <v>793</v>
      </c>
      <c r="E65" s="203" t="s">
        <v>38</v>
      </c>
      <c r="F65" s="204" t="s">
        <v>794</v>
      </c>
      <c r="K65" s="156">
        <f t="shared" si="12"/>
        <v>0</v>
      </c>
    </row>
    <row r="66" spans="1:14" ht="12" hidden="1" customHeight="1" x14ac:dyDescent="0.25">
      <c r="A66" s="198" t="str">
        <f t="shared" si="20"/>
        <v>WA 03</v>
      </c>
      <c r="B66" s="199" t="str">
        <f t="shared" si="21"/>
        <v>WAHOO</v>
      </c>
      <c r="C66" s="211" t="str">
        <f t="shared" si="22"/>
        <v>03</v>
      </c>
      <c r="D66" s="212" t="s">
        <v>772</v>
      </c>
      <c r="E66" s="203" t="s">
        <v>42</v>
      </c>
      <c r="F66" s="204" t="s">
        <v>795</v>
      </c>
      <c r="K66" s="156">
        <f t="shared" si="12"/>
        <v>0</v>
      </c>
    </row>
    <row r="67" spans="1:14" ht="12" hidden="1" customHeight="1" x14ac:dyDescent="0.25">
      <c r="A67" s="198" t="str">
        <f t="shared" si="20"/>
        <v>WA 05</v>
      </c>
      <c r="B67" s="199" t="str">
        <f t="shared" si="21"/>
        <v>WAHOO</v>
      </c>
      <c r="C67" s="211" t="str">
        <f t="shared" si="22"/>
        <v>05</v>
      </c>
      <c r="D67" s="212" t="s">
        <v>773</v>
      </c>
      <c r="E67" s="203" t="s">
        <v>37</v>
      </c>
      <c r="F67" s="204" t="s">
        <v>796</v>
      </c>
      <c r="K67" s="156">
        <f t="shared" si="12"/>
        <v>0</v>
      </c>
    </row>
    <row r="68" spans="1:14" ht="12" hidden="1" customHeight="1" x14ac:dyDescent="0.25">
      <c r="A68" s="198" t="str">
        <f t="shared" si="20"/>
        <v>PR 15</v>
      </c>
      <c r="B68" s="199" t="str">
        <f t="shared" si="21"/>
        <v>PARGO ROJO</v>
      </c>
      <c r="C68" s="211" t="str">
        <f t="shared" si="22"/>
        <v>15</v>
      </c>
      <c r="D68" s="212" t="s">
        <v>797</v>
      </c>
      <c r="E68" s="203" t="s">
        <v>39</v>
      </c>
      <c r="F68" s="204" t="s">
        <v>583</v>
      </c>
      <c r="K68" s="156">
        <f t="shared" si="12"/>
        <v>0</v>
      </c>
    </row>
    <row r="69" spans="1:14" ht="12" hidden="1" customHeight="1" x14ac:dyDescent="0.25">
      <c r="A69" s="198" t="str">
        <f t="shared" si="20"/>
        <v>PR 16</v>
      </c>
      <c r="B69" s="199" t="str">
        <f t="shared" si="21"/>
        <v>PARGO ROJO</v>
      </c>
      <c r="C69" s="211" t="str">
        <f t="shared" si="22"/>
        <v>16</v>
      </c>
      <c r="D69" s="212" t="s">
        <v>798</v>
      </c>
      <c r="E69" s="203" t="s">
        <v>40</v>
      </c>
      <c r="F69" s="204" t="s">
        <v>799</v>
      </c>
      <c r="K69" s="156">
        <f t="shared" si="12"/>
        <v>0</v>
      </c>
    </row>
    <row r="70" spans="1:14" ht="12" hidden="1" customHeight="1" x14ac:dyDescent="0.25">
      <c r="A70" s="198" t="str">
        <f t="shared" si="20"/>
        <v>PR 17</v>
      </c>
      <c r="B70" s="199" t="str">
        <f t="shared" si="21"/>
        <v>PARGO ROJO</v>
      </c>
      <c r="C70" s="211" t="str">
        <f t="shared" si="22"/>
        <v>17</v>
      </c>
      <c r="D70" s="212" t="s">
        <v>800</v>
      </c>
      <c r="E70" s="203" t="s">
        <v>44</v>
      </c>
      <c r="F70" s="204" t="s">
        <v>801</v>
      </c>
      <c r="K70" s="156">
        <f t="shared" ref="K70:K83" si="29">IF(V70="ASC","ASC",IF(V70="CONVENCIONAL","CONVENCIONAL",Q70))</f>
        <v>0</v>
      </c>
    </row>
    <row r="71" spans="1:14" ht="12" hidden="1" customHeight="1" x14ac:dyDescent="0.25">
      <c r="A71" s="198" t="str">
        <f t="shared" si="20"/>
        <v>PR 02</v>
      </c>
      <c r="B71" s="199" t="str">
        <f t="shared" si="21"/>
        <v>PARGO ROJO</v>
      </c>
      <c r="C71" s="211" t="str">
        <f t="shared" si="22"/>
        <v>02</v>
      </c>
      <c r="D71" s="212" t="s">
        <v>802</v>
      </c>
      <c r="E71" s="203" t="s">
        <v>36</v>
      </c>
      <c r="F71" s="204" t="s">
        <v>803</v>
      </c>
      <c r="K71" s="156">
        <f t="shared" si="29"/>
        <v>0</v>
      </c>
    </row>
    <row r="72" spans="1:14" ht="12" hidden="1" customHeight="1" x14ac:dyDescent="0.25">
      <c r="A72" s="198" t="str">
        <f t="shared" si="20"/>
        <v>PR 03</v>
      </c>
      <c r="B72" s="199" t="str">
        <f t="shared" si="21"/>
        <v>PARGO ROJO</v>
      </c>
      <c r="C72" s="211" t="str">
        <f t="shared" si="22"/>
        <v>03</v>
      </c>
      <c r="D72" s="212" t="s">
        <v>804</v>
      </c>
      <c r="E72" s="203" t="s">
        <v>45</v>
      </c>
      <c r="F72" s="204" t="s">
        <v>805</v>
      </c>
      <c r="K72" s="156">
        <f t="shared" si="29"/>
        <v>0</v>
      </c>
    </row>
    <row r="73" spans="1:14" ht="12" hidden="1" customHeight="1" x14ac:dyDescent="0.25">
      <c r="A73" s="198" t="str">
        <f t="shared" si="20"/>
        <v>PR 05</v>
      </c>
      <c r="B73" s="199" t="str">
        <f t="shared" si="21"/>
        <v>PARGO ROJO</v>
      </c>
      <c r="C73" s="211" t="str">
        <f t="shared" si="22"/>
        <v>05</v>
      </c>
      <c r="D73" s="212" t="s">
        <v>806</v>
      </c>
      <c r="E73" s="203" t="s">
        <v>49</v>
      </c>
      <c r="F73" s="204" t="s">
        <v>807</v>
      </c>
      <c r="K73" s="156">
        <f t="shared" si="29"/>
        <v>0</v>
      </c>
    </row>
    <row r="74" spans="1:14" ht="12" hidden="1" customHeight="1" x14ac:dyDescent="0.25">
      <c r="A74" s="198" t="str">
        <f t="shared" si="20"/>
        <v>PR 14</v>
      </c>
      <c r="B74" s="199" t="str">
        <f t="shared" si="21"/>
        <v>PARGO ROJO</v>
      </c>
      <c r="C74" s="211" t="str">
        <f t="shared" si="22"/>
        <v>14</v>
      </c>
      <c r="D74" s="212" t="s">
        <v>808</v>
      </c>
      <c r="K74" s="156">
        <f t="shared" si="29"/>
        <v>0</v>
      </c>
    </row>
    <row r="75" spans="1:14" ht="12" hidden="1" customHeight="1" x14ac:dyDescent="0.25">
      <c r="A75" s="198" t="str">
        <f t="shared" si="20"/>
        <v>PR 21</v>
      </c>
      <c r="B75" s="199" t="str">
        <f t="shared" si="21"/>
        <v>PARGO ROJO</v>
      </c>
      <c r="C75" s="211" t="str">
        <f t="shared" si="22"/>
        <v>21</v>
      </c>
      <c r="D75" s="212" t="s">
        <v>809</v>
      </c>
      <c r="K75" s="156">
        <f t="shared" si="29"/>
        <v>0</v>
      </c>
    </row>
    <row r="76" spans="1:14" ht="12" hidden="1" customHeight="1" x14ac:dyDescent="0.25">
      <c r="A76" s="198" t="str">
        <f t="shared" si="20"/>
        <v>PR 22</v>
      </c>
      <c r="B76" s="199" t="str">
        <f t="shared" si="21"/>
        <v>PARGO ROJO</v>
      </c>
      <c r="C76" s="211" t="str">
        <f t="shared" si="22"/>
        <v>22</v>
      </c>
      <c r="D76" s="212" t="s">
        <v>810</v>
      </c>
      <c r="K76" s="156">
        <f t="shared" si="29"/>
        <v>0</v>
      </c>
    </row>
    <row r="77" spans="1:14" ht="12" hidden="1" customHeight="1" x14ac:dyDescent="0.25">
      <c r="A77" s="198" t="e">
        <f t="shared" si="20"/>
        <v>#N/A</v>
      </c>
      <c r="B77" s="199" t="str">
        <f t="shared" si="21"/>
        <v/>
      </c>
      <c r="C77" s="211" t="str">
        <f t="shared" si="22"/>
        <v/>
      </c>
      <c r="D77" s="212"/>
      <c r="K77" s="156">
        <f t="shared" si="29"/>
        <v>0</v>
      </c>
    </row>
    <row r="78" spans="1:14" ht="12" hidden="1" customHeight="1" x14ac:dyDescent="0.25">
      <c r="A78" s="198" t="e">
        <f t="shared" si="20"/>
        <v>#N/A</v>
      </c>
      <c r="B78" s="199" t="str">
        <f t="shared" si="21"/>
        <v/>
      </c>
      <c r="C78" s="211" t="str">
        <f t="shared" si="22"/>
        <v/>
      </c>
      <c r="D78" s="212"/>
      <c r="K78" s="156">
        <f t="shared" si="29"/>
        <v>0</v>
      </c>
    </row>
    <row r="79" spans="1:14" ht="12" customHeight="1" x14ac:dyDescent="0.25">
      <c r="A79" s="198" t="e">
        <f t="shared" si="20"/>
        <v>#N/A</v>
      </c>
      <c r="B79" s="199" t="str">
        <f t="shared" si="21"/>
        <v/>
      </c>
      <c r="C79" s="211" t="str">
        <f t="shared" si="22"/>
        <v/>
      </c>
      <c r="D79" s="213"/>
      <c r="E79" s="123" t="e">
        <f>VLOOKUP($A:$A,Tabla8[[sector/pisc]:[has]],2,0)</f>
        <v>#N/A</v>
      </c>
      <c r="F79" s="18" t="e">
        <f>VLOOKUP($A:$A,Tabla4[[Columna1]:[PRECRIADERO]],15,0)</f>
        <v>#N/A</v>
      </c>
      <c r="G79" s="17" t="e">
        <f>VLOOKUP($A:$A,Tabla4[[Columna1]:[PRECRIADERO]],14,0)</f>
        <v>#N/A</v>
      </c>
      <c r="H79" s="18" t="e">
        <f>VLOOKUP(A:A,Tabla4[[Columna1]:[transferencia]],4,0)</f>
        <v>#N/A</v>
      </c>
      <c r="I79" s="124" t="e">
        <f>(VLOOKUP($A:$A,Tabla4[[Columna1]:[PRECRIADERO]],5,0))/E79</f>
        <v>#N/A</v>
      </c>
      <c r="J79" s="201" t="e">
        <f t="shared" ref="J79:J124" ca="1" si="30">TODAY()-H79</f>
        <v>#N/A</v>
      </c>
      <c r="K79" s="156">
        <f t="shared" si="29"/>
        <v>0</v>
      </c>
      <c r="L79" s="202" t="str">
        <f t="shared" ref="L79:L124" si="31">IF(O79="SIN ABLACION","✓","")</f>
        <v/>
      </c>
      <c r="M79" s="202" t="e">
        <f>VLOOKUP($A:$A,Tabla4[[Columna1]:[PRECRIADERO]],8,0)</f>
        <v>#N/A</v>
      </c>
      <c r="N79" s="202" t="e">
        <f>VLOOKUP($A:$A,Tabla4[[Columna1]:[PRECRIADERO]],7,0)</f>
        <v>#N/A</v>
      </c>
    </row>
    <row r="80" spans="1:14" ht="12" customHeight="1" x14ac:dyDescent="0.25">
      <c r="A80" s="198" t="e">
        <f t="shared" si="20"/>
        <v>#N/A</v>
      </c>
      <c r="B80" s="199" t="str">
        <f t="shared" si="21"/>
        <v/>
      </c>
      <c r="C80" s="211" t="str">
        <f t="shared" si="22"/>
        <v/>
      </c>
      <c r="D80" s="212"/>
      <c r="E80" s="123" t="e">
        <f>VLOOKUP($A:$A,Tabla8[[sector/pisc]:[has]],2,0)</f>
        <v>#N/A</v>
      </c>
      <c r="F80" s="18" t="e">
        <f>VLOOKUP($A:$A,Tabla4[[Columna1]:[PRECRIADERO]],15,0)</f>
        <v>#N/A</v>
      </c>
      <c r="G80" s="17" t="e">
        <f>VLOOKUP($A:$A,Tabla4[[Columna1]:[PRECRIADERO]],14,0)</f>
        <v>#N/A</v>
      </c>
      <c r="H80" s="18" t="e">
        <f>VLOOKUP(A:A,Tabla4[[Columna1]:[transferencia]],4,0)</f>
        <v>#N/A</v>
      </c>
      <c r="I80" s="124" t="e">
        <f>(VLOOKUP($A:$A,Tabla4[[Columna1]:[PRECRIADERO]],5,0))/E80</f>
        <v>#N/A</v>
      </c>
      <c r="J80" s="201" t="e">
        <f t="shared" ca="1" si="30"/>
        <v>#N/A</v>
      </c>
      <c r="K80" s="156">
        <f t="shared" si="29"/>
        <v>0</v>
      </c>
      <c r="L80" s="202" t="str">
        <f t="shared" si="31"/>
        <v/>
      </c>
      <c r="M80" s="202" t="e">
        <f>VLOOKUP($A:$A,Tabla4[[Columna1]:[PRECRIADERO]],8,0)</f>
        <v>#N/A</v>
      </c>
      <c r="N80" s="202" t="e">
        <f>VLOOKUP($A:$A,Tabla4[[Columna1]:[PRECRIADERO]],7,0)</f>
        <v>#N/A</v>
      </c>
    </row>
    <row r="81" spans="1:14" ht="12" customHeight="1" x14ac:dyDescent="0.25">
      <c r="A81" s="198" t="e">
        <f t="shared" si="20"/>
        <v>#N/A</v>
      </c>
      <c r="B81" s="199" t="str">
        <f t="shared" si="21"/>
        <v/>
      </c>
      <c r="C81" s="211" t="str">
        <f t="shared" si="22"/>
        <v/>
      </c>
      <c r="D81" s="212"/>
      <c r="E81" s="123" t="e">
        <f>VLOOKUP($A:$A,Tabla8[[sector/pisc]:[has]],2,0)</f>
        <v>#N/A</v>
      </c>
      <c r="F81" s="18" t="e">
        <f>VLOOKUP($A:$A,Tabla4[[Columna1]:[PRECRIADERO]],15,0)</f>
        <v>#N/A</v>
      </c>
      <c r="G81" s="17" t="e">
        <f>VLOOKUP($A:$A,Tabla4[[Columna1]:[PRECRIADERO]],14,0)</f>
        <v>#N/A</v>
      </c>
      <c r="H81" s="18" t="e">
        <f>VLOOKUP(A:A,Tabla4[[Columna1]:[transferencia]],4,0)</f>
        <v>#N/A</v>
      </c>
      <c r="I81" s="124" t="e">
        <f>(VLOOKUP($A:$A,Tabla4[[Columna1]:[PRECRIADERO]],5,0))/E81</f>
        <v>#N/A</v>
      </c>
      <c r="J81" s="201" t="e">
        <f t="shared" ca="1" si="30"/>
        <v>#N/A</v>
      </c>
      <c r="K81" s="156">
        <f t="shared" si="29"/>
        <v>0</v>
      </c>
      <c r="L81" s="202" t="str">
        <f t="shared" si="31"/>
        <v/>
      </c>
      <c r="M81" s="202" t="e">
        <f>VLOOKUP($A:$A,Tabla4[[Columna1]:[PRECRIADERO]],8,0)</f>
        <v>#N/A</v>
      </c>
      <c r="N81" s="202" t="e">
        <f>VLOOKUP($A:$A,Tabla4[[Columna1]:[PRECRIADERO]],7,0)</f>
        <v>#N/A</v>
      </c>
    </row>
    <row r="82" spans="1:14" ht="12" customHeight="1" x14ac:dyDescent="0.25">
      <c r="A82" s="198" t="e">
        <f t="shared" si="20"/>
        <v>#N/A</v>
      </c>
      <c r="B82" s="199" t="str">
        <f t="shared" si="21"/>
        <v/>
      </c>
      <c r="C82" s="211" t="str">
        <f t="shared" si="22"/>
        <v/>
      </c>
      <c r="D82" s="212"/>
      <c r="E82" s="123" t="e">
        <f>VLOOKUP($A:$A,Tabla8[[sector/pisc]:[has]],2,0)</f>
        <v>#N/A</v>
      </c>
      <c r="F82" s="18" t="e">
        <f>VLOOKUP($A:$A,Tabla4[[Columna1]:[PRECRIADERO]],15,0)</f>
        <v>#N/A</v>
      </c>
      <c r="G82" s="17" t="e">
        <f>VLOOKUP($A:$A,Tabla4[[Columna1]:[PRECRIADERO]],14,0)</f>
        <v>#N/A</v>
      </c>
      <c r="H82" s="18" t="e">
        <f>VLOOKUP(A:A,Tabla4[[Columna1]:[transferencia]],4,0)</f>
        <v>#N/A</v>
      </c>
      <c r="I82" s="124" t="e">
        <f>(VLOOKUP($A:$A,Tabla4[[Columna1]:[PRECRIADERO]],5,0))/E82</f>
        <v>#N/A</v>
      </c>
      <c r="J82" s="201" t="e">
        <f t="shared" ca="1" si="30"/>
        <v>#N/A</v>
      </c>
      <c r="K82" s="156">
        <f t="shared" si="29"/>
        <v>0</v>
      </c>
      <c r="L82" s="202" t="str">
        <f t="shared" si="31"/>
        <v/>
      </c>
      <c r="M82" s="202" t="e">
        <f>VLOOKUP($A:$A,Tabla4[[Columna1]:[PRECRIADERO]],8,0)</f>
        <v>#N/A</v>
      </c>
      <c r="N82" s="202" t="e">
        <f>VLOOKUP($A:$A,Tabla4[[Columna1]:[PRECRIADERO]],7,0)</f>
        <v>#N/A</v>
      </c>
    </row>
    <row r="83" spans="1:14" ht="12" customHeight="1" x14ac:dyDescent="0.25">
      <c r="A83" s="198" t="e">
        <f t="shared" si="20"/>
        <v>#N/A</v>
      </c>
      <c r="B83" s="199" t="str">
        <f t="shared" si="21"/>
        <v/>
      </c>
      <c r="C83" s="211" t="str">
        <f t="shared" si="22"/>
        <v/>
      </c>
      <c r="D83" s="212"/>
      <c r="E83" s="123" t="e">
        <f>VLOOKUP($A:$A,Tabla8[[sector/pisc]:[has]],2,0)</f>
        <v>#N/A</v>
      </c>
      <c r="F83" s="18" t="e">
        <f>VLOOKUP($A:$A,Tabla4[[Columna1]:[PRECRIADERO]],15,0)</f>
        <v>#N/A</v>
      </c>
      <c r="G83" s="17" t="e">
        <f>VLOOKUP($A:$A,Tabla4[[Columna1]:[PRECRIADERO]],14,0)</f>
        <v>#N/A</v>
      </c>
      <c r="H83" s="18" t="e">
        <f>VLOOKUP(A:A,Tabla4[[Columna1]:[transferencia]],4,0)</f>
        <v>#N/A</v>
      </c>
      <c r="I83" s="124" t="e">
        <f>(VLOOKUP($A:$A,Tabla4[[Columna1]:[PRECRIADERO]],5,0))/E83</f>
        <v>#N/A</v>
      </c>
      <c r="J83" s="201" t="e">
        <f t="shared" ca="1" si="30"/>
        <v>#N/A</v>
      </c>
      <c r="K83" s="156">
        <f t="shared" si="29"/>
        <v>0</v>
      </c>
      <c r="L83" s="202" t="str">
        <f t="shared" si="31"/>
        <v/>
      </c>
      <c r="M83" s="202" t="e">
        <f>VLOOKUP($A:$A,Tabla4[[Columna1]:[PRECRIADERO]],8,0)</f>
        <v>#N/A</v>
      </c>
      <c r="N83" s="202" t="e">
        <f>VLOOKUP($A:$A,Tabla4[[Columna1]:[PRECRIADERO]],7,0)</f>
        <v>#N/A</v>
      </c>
    </row>
    <row r="84" spans="1:14" ht="12" customHeight="1" x14ac:dyDescent="0.25">
      <c r="A84" s="198" t="e">
        <f t="shared" si="20"/>
        <v>#N/A</v>
      </c>
      <c r="B84" s="199" t="str">
        <f t="shared" si="21"/>
        <v/>
      </c>
      <c r="C84" s="211" t="str">
        <f t="shared" si="22"/>
        <v/>
      </c>
      <c r="D84" s="212"/>
      <c r="E84" s="123" t="e">
        <f>VLOOKUP($A:$A,Tabla8[[sector/pisc]:[has]],2,0)</f>
        <v>#N/A</v>
      </c>
      <c r="F84" s="18" t="e">
        <f>VLOOKUP($A:$A,Tabla4[[Columna1]:[PRECRIADERO]],15,0)</f>
        <v>#N/A</v>
      </c>
      <c r="G84" s="17" t="e">
        <f>VLOOKUP($A:$A,Tabla4[[Columna1]:[PRECRIADERO]],14,0)</f>
        <v>#N/A</v>
      </c>
      <c r="H84" s="18" t="e">
        <f>VLOOKUP(A:A,Tabla4[[Columna1]:[transferencia]],4,0)</f>
        <v>#N/A</v>
      </c>
      <c r="I84" s="124" t="e">
        <f>(VLOOKUP($A:$A,Tabla4[[Columna1]:[PRECRIADERO]],5,0))/E84</f>
        <v>#N/A</v>
      </c>
      <c r="J84" s="201" t="e">
        <f t="shared" ca="1" si="30"/>
        <v>#N/A</v>
      </c>
      <c r="K84" s="156">
        <f t="shared" ref="K84:K124" si="32">IF(V84="ASC","ASC",IF(V84="CONVENCIONAL","CONVENCIONAL",Q84))</f>
        <v>0</v>
      </c>
      <c r="L84" s="202" t="str">
        <f t="shared" si="31"/>
        <v/>
      </c>
      <c r="M84" s="202" t="e">
        <f>VLOOKUP($A:$A,Tabla4[[Columna1]:[PRECRIADERO]],8,0)</f>
        <v>#N/A</v>
      </c>
      <c r="N84" s="202" t="e">
        <f>VLOOKUP($A:$A,Tabla4[[Columna1]:[PRECRIADERO]],7,0)</f>
        <v>#N/A</v>
      </c>
    </row>
    <row r="85" spans="1:14" ht="12" customHeight="1" x14ac:dyDescent="0.25">
      <c r="A85" s="198" t="e">
        <f t="shared" si="20"/>
        <v>#N/A</v>
      </c>
      <c r="B85" s="199" t="str">
        <f t="shared" si="21"/>
        <v/>
      </c>
      <c r="C85" s="211" t="str">
        <f t="shared" si="22"/>
        <v/>
      </c>
      <c r="D85" s="212"/>
      <c r="E85" s="123" t="e">
        <f>VLOOKUP($A:$A,Tabla8[[sector/pisc]:[has]],2,0)</f>
        <v>#N/A</v>
      </c>
      <c r="F85" s="18" t="e">
        <f>VLOOKUP($A:$A,Tabla4[[Columna1]:[PRECRIADERO]],15,0)</f>
        <v>#N/A</v>
      </c>
      <c r="G85" s="17" t="e">
        <f>VLOOKUP($A:$A,Tabla4[[Columna1]:[PRECRIADERO]],14,0)</f>
        <v>#N/A</v>
      </c>
      <c r="H85" s="18" t="e">
        <f>VLOOKUP(A:A,Tabla4[[Columna1]:[transferencia]],4,0)</f>
        <v>#N/A</v>
      </c>
      <c r="I85" s="124" t="e">
        <f>(VLOOKUP($A:$A,Tabla4[[Columna1]:[PRECRIADERO]],5,0))/E85</f>
        <v>#N/A</v>
      </c>
      <c r="J85" s="201" t="e">
        <f t="shared" ca="1" si="30"/>
        <v>#N/A</v>
      </c>
      <c r="K85" s="156">
        <f t="shared" si="32"/>
        <v>0</v>
      </c>
      <c r="L85" s="202" t="str">
        <f t="shared" si="31"/>
        <v/>
      </c>
      <c r="M85" s="202" t="e">
        <f>VLOOKUP($A:$A,Tabla4[[Columna1]:[PRECRIADERO]],8,0)</f>
        <v>#N/A</v>
      </c>
      <c r="N85" s="202" t="e">
        <f>VLOOKUP($A:$A,Tabla4[[Columna1]:[PRECRIADERO]],7,0)</f>
        <v>#N/A</v>
      </c>
    </row>
    <row r="86" spans="1:14" ht="12" customHeight="1" x14ac:dyDescent="0.25">
      <c r="A86" s="198" t="e">
        <f t="shared" si="20"/>
        <v>#N/A</v>
      </c>
      <c r="B86" s="199" t="str">
        <f t="shared" si="21"/>
        <v/>
      </c>
      <c r="C86" s="211" t="str">
        <f t="shared" si="22"/>
        <v/>
      </c>
      <c r="D86" s="212"/>
      <c r="E86" s="123" t="e">
        <f>VLOOKUP($A:$A,Tabla8[[sector/pisc]:[has]],2,0)</f>
        <v>#N/A</v>
      </c>
      <c r="F86" s="18" t="e">
        <f>VLOOKUP($A:$A,Tabla4[[Columna1]:[PRECRIADERO]],15,0)</f>
        <v>#N/A</v>
      </c>
      <c r="G86" s="17" t="e">
        <f>VLOOKUP($A:$A,Tabla4[[Columna1]:[PRECRIADERO]],14,0)</f>
        <v>#N/A</v>
      </c>
      <c r="H86" s="18" t="e">
        <f>VLOOKUP(A:A,Tabla4[[Columna1]:[transferencia]],4,0)</f>
        <v>#N/A</v>
      </c>
      <c r="I86" s="124" t="e">
        <f>(VLOOKUP($A:$A,Tabla4[[Columna1]:[PRECRIADERO]],5,0))/E86</f>
        <v>#N/A</v>
      </c>
      <c r="J86" s="201" t="e">
        <f t="shared" ca="1" si="30"/>
        <v>#N/A</v>
      </c>
      <c r="K86" s="156">
        <f t="shared" si="32"/>
        <v>0</v>
      </c>
      <c r="L86" s="202" t="str">
        <f t="shared" si="31"/>
        <v/>
      </c>
      <c r="M86" s="202" t="e">
        <f>VLOOKUP($A:$A,Tabla4[[Columna1]:[PRECRIADERO]],8,0)</f>
        <v>#N/A</v>
      </c>
      <c r="N86" s="202" t="e">
        <f>VLOOKUP($A:$A,Tabla4[[Columna1]:[PRECRIADERO]],7,0)</f>
        <v>#N/A</v>
      </c>
    </row>
    <row r="87" spans="1:14" ht="12" customHeight="1" x14ac:dyDescent="0.25">
      <c r="A87" s="198" t="e">
        <f t="shared" si="20"/>
        <v>#N/A</v>
      </c>
      <c r="B87" s="199" t="str">
        <f t="shared" si="21"/>
        <v/>
      </c>
      <c r="C87" s="211" t="str">
        <f t="shared" si="22"/>
        <v/>
      </c>
      <c r="D87" s="212"/>
      <c r="E87" s="123" t="e">
        <f>VLOOKUP($A:$A,Tabla8[[sector/pisc]:[has]],2,0)</f>
        <v>#N/A</v>
      </c>
      <c r="F87" s="18" t="e">
        <f>VLOOKUP($A:$A,Tabla4[[Columna1]:[PRECRIADERO]],15,0)</f>
        <v>#N/A</v>
      </c>
      <c r="G87" s="17" t="e">
        <f>VLOOKUP($A:$A,Tabla4[[Columna1]:[PRECRIADERO]],14,0)</f>
        <v>#N/A</v>
      </c>
      <c r="H87" s="18" t="e">
        <f>VLOOKUP(A:A,Tabla4[[Columna1]:[transferencia]],4,0)</f>
        <v>#N/A</v>
      </c>
      <c r="I87" s="124" t="e">
        <f>(VLOOKUP($A:$A,Tabla4[[Columna1]:[PRECRIADERO]],5,0))/E87</f>
        <v>#N/A</v>
      </c>
      <c r="J87" s="201" t="e">
        <f t="shared" ca="1" si="30"/>
        <v>#N/A</v>
      </c>
      <c r="K87" s="156">
        <f t="shared" si="32"/>
        <v>0</v>
      </c>
      <c r="L87" s="202" t="str">
        <f t="shared" si="31"/>
        <v/>
      </c>
      <c r="M87" s="202" t="e">
        <f>VLOOKUP($A:$A,Tabla4[[Columna1]:[PRECRIADERO]],8,0)</f>
        <v>#N/A</v>
      </c>
      <c r="N87" s="202" t="e">
        <f>VLOOKUP($A:$A,Tabla4[[Columna1]:[PRECRIADERO]],7,0)</f>
        <v>#N/A</v>
      </c>
    </row>
    <row r="88" spans="1:14" ht="12" customHeight="1" x14ac:dyDescent="0.25">
      <c r="A88" s="198" t="e">
        <f t="shared" si="20"/>
        <v>#N/A</v>
      </c>
      <c r="B88" s="199" t="str">
        <f t="shared" si="21"/>
        <v/>
      </c>
      <c r="C88" s="211" t="str">
        <f t="shared" si="22"/>
        <v/>
      </c>
      <c r="D88" s="212"/>
      <c r="E88" s="123" t="e">
        <f>VLOOKUP($A:$A,Tabla8[[sector/pisc]:[has]],2,0)</f>
        <v>#N/A</v>
      </c>
      <c r="F88" s="18" t="e">
        <f>VLOOKUP($A:$A,Tabla4[[Columna1]:[PRECRIADERO]],15,0)</f>
        <v>#N/A</v>
      </c>
      <c r="G88" s="17" t="e">
        <f>VLOOKUP($A:$A,Tabla4[[Columna1]:[PRECRIADERO]],14,0)</f>
        <v>#N/A</v>
      </c>
      <c r="H88" s="18" t="e">
        <f>VLOOKUP(A:A,Tabla4[[Columna1]:[transferencia]],4,0)</f>
        <v>#N/A</v>
      </c>
      <c r="I88" s="124" t="e">
        <f>(VLOOKUP($A:$A,Tabla4[[Columna1]:[PRECRIADERO]],5,0))/E88</f>
        <v>#N/A</v>
      </c>
      <c r="J88" s="201" t="e">
        <f t="shared" ca="1" si="30"/>
        <v>#N/A</v>
      </c>
      <c r="K88" s="156">
        <f t="shared" si="32"/>
        <v>0</v>
      </c>
      <c r="L88" s="202" t="str">
        <f t="shared" si="31"/>
        <v/>
      </c>
      <c r="M88" s="202" t="e">
        <f>VLOOKUP($A:$A,Tabla4[[Columna1]:[PRECRIADERO]],8,0)</f>
        <v>#N/A</v>
      </c>
      <c r="N88" s="202" t="e">
        <f>VLOOKUP($A:$A,Tabla4[[Columna1]:[PRECRIADERO]],7,0)</f>
        <v>#N/A</v>
      </c>
    </row>
    <row r="89" spans="1:14" ht="12" customHeight="1" x14ac:dyDescent="0.25">
      <c r="A89" s="198" t="e">
        <f t="shared" si="20"/>
        <v>#N/A</v>
      </c>
      <c r="B89" s="199" t="str">
        <f t="shared" si="21"/>
        <v/>
      </c>
      <c r="C89" s="211" t="str">
        <f t="shared" si="22"/>
        <v/>
      </c>
      <c r="D89" s="212"/>
      <c r="E89" s="123" t="e">
        <f>VLOOKUP($A:$A,Tabla8[[sector/pisc]:[has]],2,0)</f>
        <v>#N/A</v>
      </c>
      <c r="F89" s="18" t="e">
        <f>VLOOKUP($A:$A,Tabla4[[Columna1]:[PRECRIADERO]],15,0)</f>
        <v>#N/A</v>
      </c>
      <c r="G89" s="17" t="e">
        <f>VLOOKUP($A:$A,Tabla4[[Columna1]:[PRECRIADERO]],14,0)</f>
        <v>#N/A</v>
      </c>
      <c r="H89" s="18" t="e">
        <f>VLOOKUP(A:A,Tabla4[[Columna1]:[transferencia]],4,0)</f>
        <v>#N/A</v>
      </c>
      <c r="I89" s="124" t="e">
        <f>(VLOOKUP($A:$A,Tabla4[[Columna1]:[PRECRIADERO]],5,0))/E89</f>
        <v>#N/A</v>
      </c>
      <c r="J89" s="201" t="e">
        <f t="shared" ca="1" si="30"/>
        <v>#N/A</v>
      </c>
      <c r="K89" s="156">
        <f t="shared" si="32"/>
        <v>0</v>
      </c>
      <c r="L89" s="202" t="str">
        <f t="shared" si="31"/>
        <v/>
      </c>
      <c r="M89" s="202" t="e">
        <f>VLOOKUP($A:$A,Tabla4[[Columna1]:[PRECRIADERO]],8,0)</f>
        <v>#N/A</v>
      </c>
      <c r="N89" s="202" t="e">
        <f>VLOOKUP($A:$A,Tabla4[[Columna1]:[PRECRIADERO]],7,0)</f>
        <v>#N/A</v>
      </c>
    </row>
    <row r="90" spans="1:14" ht="12" customHeight="1" x14ac:dyDescent="0.25">
      <c r="A90" s="198" t="e">
        <f t="shared" si="20"/>
        <v>#N/A</v>
      </c>
      <c r="B90" s="199" t="str">
        <f t="shared" si="21"/>
        <v/>
      </c>
      <c r="C90" s="211" t="str">
        <f t="shared" si="22"/>
        <v/>
      </c>
      <c r="D90" s="212"/>
      <c r="E90" s="123" t="e">
        <f>VLOOKUP($A:$A,Tabla8[[sector/pisc]:[has]],2,0)</f>
        <v>#N/A</v>
      </c>
      <c r="F90" s="18" t="e">
        <f>VLOOKUP($A:$A,Tabla4[[Columna1]:[PRECRIADERO]],15,0)</f>
        <v>#N/A</v>
      </c>
      <c r="G90" s="17" t="e">
        <f>VLOOKUP($A:$A,Tabla4[[Columna1]:[PRECRIADERO]],14,0)</f>
        <v>#N/A</v>
      </c>
      <c r="H90" s="18" t="e">
        <f>VLOOKUP(A:A,Tabla4[[Columna1]:[transferencia]],4,0)</f>
        <v>#N/A</v>
      </c>
      <c r="I90" s="124" t="e">
        <f>(VLOOKUP($A:$A,Tabla4[[Columna1]:[PRECRIADERO]],5,0))/E90</f>
        <v>#N/A</v>
      </c>
      <c r="J90" s="201" t="e">
        <f t="shared" ca="1" si="30"/>
        <v>#N/A</v>
      </c>
      <c r="K90" s="156">
        <f t="shared" si="32"/>
        <v>0</v>
      </c>
      <c r="L90" s="202" t="str">
        <f t="shared" si="31"/>
        <v/>
      </c>
      <c r="M90" s="202" t="e">
        <f>VLOOKUP($A:$A,Tabla4[[Columna1]:[PRECRIADERO]],8,0)</f>
        <v>#N/A</v>
      </c>
      <c r="N90" s="202" t="e">
        <f>VLOOKUP($A:$A,Tabla4[[Columna1]:[PRECRIADERO]],7,0)</f>
        <v>#N/A</v>
      </c>
    </row>
    <row r="91" spans="1:14" ht="12" customHeight="1" x14ac:dyDescent="0.25">
      <c r="A91" s="198" t="e">
        <f t="shared" si="20"/>
        <v>#N/A</v>
      </c>
      <c r="B91" s="199" t="str">
        <f t="shared" si="21"/>
        <v/>
      </c>
      <c r="C91" s="211" t="str">
        <f t="shared" si="22"/>
        <v/>
      </c>
      <c r="D91" s="212"/>
      <c r="E91" s="123" t="e">
        <f>VLOOKUP($A:$A,Tabla8[[sector/pisc]:[has]],2,0)</f>
        <v>#N/A</v>
      </c>
      <c r="F91" s="18" t="e">
        <f>VLOOKUP($A:$A,Tabla4[[Columna1]:[PRECRIADERO]],15,0)</f>
        <v>#N/A</v>
      </c>
      <c r="G91" s="17" t="e">
        <f>VLOOKUP($A:$A,Tabla4[[Columna1]:[PRECRIADERO]],14,0)</f>
        <v>#N/A</v>
      </c>
      <c r="H91" s="18" t="e">
        <f>VLOOKUP(A:A,Tabla4[[Columna1]:[transferencia]],4,0)</f>
        <v>#N/A</v>
      </c>
      <c r="I91" s="124" t="e">
        <f>(VLOOKUP($A:$A,Tabla4[[Columna1]:[PRECRIADERO]],5,0))/E91</f>
        <v>#N/A</v>
      </c>
      <c r="J91" s="201" t="e">
        <f t="shared" ca="1" si="30"/>
        <v>#N/A</v>
      </c>
      <c r="K91" s="156">
        <f t="shared" si="32"/>
        <v>0</v>
      </c>
      <c r="L91" s="202" t="str">
        <f t="shared" si="31"/>
        <v/>
      </c>
      <c r="M91" s="202" t="e">
        <f>VLOOKUP($A:$A,Tabla4[[Columna1]:[PRECRIADERO]],8,0)</f>
        <v>#N/A</v>
      </c>
      <c r="N91" s="202" t="e">
        <f>VLOOKUP($A:$A,Tabla4[[Columna1]:[PRECRIADERO]],7,0)</f>
        <v>#N/A</v>
      </c>
    </row>
    <row r="92" spans="1:14" ht="12" customHeight="1" x14ac:dyDescent="0.25">
      <c r="A92" s="198" t="e">
        <f t="shared" si="20"/>
        <v>#N/A</v>
      </c>
      <c r="B92" s="199" t="str">
        <f t="shared" si="21"/>
        <v/>
      </c>
      <c r="C92" s="211" t="str">
        <f t="shared" si="22"/>
        <v/>
      </c>
      <c r="D92" s="212"/>
      <c r="E92" s="123" t="e">
        <f>VLOOKUP($A:$A,Tabla8[[sector/pisc]:[has]],2,0)</f>
        <v>#N/A</v>
      </c>
      <c r="F92" s="18" t="e">
        <f>VLOOKUP($A:$A,Tabla4[[Columna1]:[PRECRIADERO]],15,0)</f>
        <v>#N/A</v>
      </c>
      <c r="G92" s="17" t="e">
        <f>VLOOKUP($A:$A,Tabla4[[Columna1]:[PRECRIADERO]],14,0)</f>
        <v>#N/A</v>
      </c>
      <c r="H92" s="18" t="e">
        <f>VLOOKUP(A:A,Tabla4[[Columna1]:[transferencia]],4,0)</f>
        <v>#N/A</v>
      </c>
      <c r="I92" s="124" t="e">
        <f>(VLOOKUP($A:$A,Tabla4[[Columna1]:[PRECRIADERO]],5,0))/E92</f>
        <v>#N/A</v>
      </c>
      <c r="J92" s="201" t="e">
        <f t="shared" ca="1" si="30"/>
        <v>#N/A</v>
      </c>
      <c r="K92" s="156">
        <f t="shared" si="32"/>
        <v>0</v>
      </c>
      <c r="L92" s="202" t="str">
        <f t="shared" si="31"/>
        <v/>
      </c>
      <c r="M92" s="202" t="e">
        <f>VLOOKUP($A:$A,Tabla4[[Columna1]:[PRECRIADERO]],8,0)</f>
        <v>#N/A</v>
      </c>
      <c r="N92" s="202" t="e">
        <f>VLOOKUP($A:$A,Tabla4[[Columna1]:[PRECRIADERO]],7,0)</f>
        <v>#N/A</v>
      </c>
    </row>
    <row r="93" spans="1:14" ht="12" customHeight="1" x14ac:dyDescent="0.25">
      <c r="A93" s="198" t="e">
        <f t="shared" si="20"/>
        <v>#N/A</v>
      </c>
      <c r="B93" s="199" t="str">
        <f t="shared" si="21"/>
        <v/>
      </c>
      <c r="C93" s="211" t="str">
        <f t="shared" si="22"/>
        <v/>
      </c>
      <c r="D93" s="212"/>
      <c r="E93" s="123" t="e">
        <f>VLOOKUP($A:$A,Tabla8[[sector/pisc]:[has]],2,0)</f>
        <v>#N/A</v>
      </c>
      <c r="F93" s="18" t="e">
        <f>VLOOKUP($A:$A,Tabla4[[Columna1]:[PRECRIADERO]],15,0)</f>
        <v>#N/A</v>
      </c>
      <c r="G93" s="17" t="e">
        <f>VLOOKUP($A:$A,Tabla4[[Columna1]:[PRECRIADERO]],14,0)</f>
        <v>#N/A</v>
      </c>
      <c r="H93" s="18" t="e">
        <f>VLOOKUP(A:A,Tabla4[[Columna1]:[transferencia]],4,0)</f>
        <v>#N/A</v>
      </c>
      <c r="I93" s="124" t="e">
        <f>(VLOOKUP($A:$A,Tabla4[[Columna1]:[PRECRIADERO]],5,0))/E93</f>
        <v>#N/A</v>
      </c>
      <c r="J93" s="201" t="e">
        <f t="shared" ca="1" si="30"/>
        <v>#N/A</v>
      </c>
      <c r="K93" s="156">
        <f t="shared" si="32"/>
        <v>0</v>
      </c>
      <c r="L93" s="202" t="str">
        <f t="shared" si="31"/>
        <v/>
      </c>
      <c r="M93" s="202" t="e">
        <f>VLOOKUP($A:$A,Tabla4[[Columna1]:[PRECRIADERO]],8,0)</f>
        <v>#N/A</v>
      </c>
      <c r="N93" s="202" t="e">
        <f>VLOOKUP($A:$A,Tabla4[[Columna1]:[PRECRIADERO]],7,0)</f>
        <v>#N/A</v>
      </c>
    </row>
    <row r="94" spans="1:14" ht="12" customHeight="1" x14ac:dyDescent="0.25">
      <c r="A94" s="198" t="e">
        <f t="shared" si="20"/>
        <v>#N/A</v>
      </c>
      <c r="B94" s="199" t="str">
        <f t="shared" si="21"/>
        <v/>
      </c>
      <c r="C94" s="211" t="str">
        <f t="shared" si="22"/>
        <v/>
      </c>
      <c r="D94" s="212"/>
      <c r="E94" s="123" t="e">
        <f>VLOOKUP($A:$A,Tabla8[[sector/pisc]:[has]],2,0)</f>
        <v>#N/A</v>
      </c>
      <c r="F94" s="18" t="e">
        <f>VLOOKUP($A:$A,Tabla4[[Columna1]:[PRECRIADERO]],15,0)</f>
        <v>#N/A</v>
      </c>
      <c r="G94" s="17" t="e">
        <f>VLOOKUP($A:$A,Tabla4[[Columna1]:[PRECRIADERO]],14,0)</f>
        <v>#N/A</v>
      </c>
      <c r="H94" s="18" t="e">
        <f>VLOOKUP(A:A,Tabla4[[Columna1]:[transferencia]],4,0)</f>
        <v>#N/A</v>
      </c>
      <c r="I94" s="124" t="e">
        <f>(VLOOKUP($A:$A,Tabla4[[Columna1]:[PRECRIADERO]],5,0))/E94</f>
        <v>#N/A</v>
      </c>
      <c r="J94" s="201" t="e">
        <f t="shared" ca="1" si="30"/>
        <v>#N/A</v>
      </c>
      <c r="K94" s="156">
        <f t="shared" si="32"/>
        <v>0</v>
      </c>
      <c r="L94" s="202" t="str">
        <f t="shared" si="31"/>
        <v/>
      </c>
      <c r="M94" s="202" t="e">
        <f>VLOOKUP($A:$A,Tabla4[[Columna1]:[PRECRIADERO]],8,0)</f>
        <v>#N/A</v>
      </c>
      <c r="N94" s="202" t="e">
        <f>VLOOKUP($A:$A,Tabla4[[Columna1]:[PRECRIADERO]],7,0)</f>
        <v>#N/A</v>
      </c>
    </row>
    <row r="95" spans="1:14" ht="12" customHeight="1" x14ac:dyDescent="0.25">
      <c r="A95" s="198" t="e">
        <f t="shared" si="20"/>
        <v>#N/A</v>
      </c>
      <c r="B95" s="199" t="str">
        <f t="shared" si="21"/>
        <v/>
      </c>
      <c r="C95" s="211" t="str">
        <f t="shared" si="22"/>
        <v/>
      </c>
      <c r="D95" s="212"/>
      <c r="E95" s="123" t="e">
        <f>VLOOKUP($A:$A,Tabla8[[sector/pisc]:[has]],2,0)</f>
        <v>#N/A</v>
      </c>
      <c r="F95" s="18" t="e">
        <f>VLOOKUP($A:$A,Tabla4[[Columna1]:[PRECRIADERO]],15,0)</f>
        <v>#N/A</v>
      </c>
      <c r="G95" s="17" t="e">
        <f>VLOOKUP($A:$A,Tabla4[[Columna1]:[PRECRIADERO]],14,0)</f>
        <v>#N/A</v>
      </c>
      <c r="H95" s="18" t="e">
        <f>VLOOKUP(A:A,Tabla4[[Columna1]:[transferencia]],4,0)</f>
        <v>#N/A</v>
      </c>
      <c r="I95" s="124" t="e">
        <f>(VLOOKUP($A:$A,Tabla4[[Columna1]:[PRECRIADERO]],5,0))/E95</f>
        <v>#N/A</v>
      </c>
      <c r="J95" s="201" t="e">
        <f t="shared" ca="1" si="30"/>
        <v>#N/A</v>
      </c>
      <c r="K95" s="156">
        <f t="shared" si="32"/>
        <v>0</v>
      </c>
      <c r="L95" s="202" t="str">
        <f t="shared" si="31"/>
        <v/>
      </c>
      <c r="M95" s="202" t="e">
        <f>VLOOKUP($A:$A,Tabla4[[Columna1]:[PRECRIADERO]],8,0)</f>
        <v>#N/A</v>
      </c>
      <c r="N95" s="202" t="e">
        <f>VLOOKUP($A:$A,Tabla4[[Columna1]:[PRECRIADERO]],7,0)</f>
        <v>#N/A</v>
      </c>
    </row>
    <row r="96" spans="1:14" ht="12" customHeight="1" x14ac:dyDescent="0.25">
      <c r="A96" s="198" t="e">
        <f t="shared" si="20"/>
        <v>#N/A</v>
      </c>
      <c r="B96" s="199" t="str">
        <f t="shared" si="21"/>
        <v/>
      </c>
      <c r="C96" s="211" t="str">
        <f t="shared" si="22"/>
        <v/>
      </c>
      <c r="D96" s="212"/>
      <c r="E96" s="123" t="e">
        <f>VLOOKUP($A:$A,Tabla8[[sector/pisc]:[has]],2,0)</f>
        <v>#N/A</v>
      </c>
      <c r="F96" s="18" t="e">
        <f>VLOOKUP($A:$A,Tabla4[[Columna1]:[PRECRIADERO]],15,0)</f>
        <v>#N/A</v>
      </c>
      <c r="G96" s="17" t="e">
        <f>VLOOKUP($A:$A,Tabla4[[Columna1]:[PRECRIADERO]],14,0)</f>
        <v>#N/A</v>
      </c>
      <c r="H96" s="18" t="e">
        <f>VLOOKUP(A:A,Tabla4[[Columna1]:[transferencia]],4,0)</f>
        <v>#N/A</v>
      </c>
      <c r="I96" s="124" t="e">
        <f>(VLOOKUP($A:$A,Tabla4[[Columna1]:[PRECRIADERO]],5,0))/E96</f>
        <v>#N/A</v>
      </c>
      <c r="J96" s="201" t="e">
        <f t="shared" ca="1" si="30"/>
        <v>#N/A</v>
      </c>
      <c r="K96" s="156">
        <f t="shared" si="32"/>
        <v>0</v>
      </c>
      <c r="L96" s="202" t="str">
        <f t="shared" si="31"/>
        <v/>
      </c>
      <c r="M96" s="202" t="e">
        <f>VLOOKUP($A:$A,Tabla4[[Columna1]:[PRECRIADERO]],8,0)</f>
        <v>#N/A</v>
      </c>
      <c r="N96" s="202" t="e">
        <f>VLOOKUP($A:$A,Tabla4[[Columna1]:[PRECRIADERO]],7,0)</f>
        <v>#N/A</v>
      </c>
    </row>
    <row r="97" spans="1:22" ht="12" customHeight="1" x14ac:dyDescent="0.25">
      <c r="A97" s="198" t="e">
        <f t="shared" si="20"/>
        <v>#N/A</v>
      </c>
      <c r="B97" s="199" t="str">
        <f t="shared" si="21"/>
        <v/>
      </c>
      <c r="C97" s="211" t="str">
        <f t="shared" si="22"/>
        <v/>
      </c>
      <c r="D97" s="212"/>
      <c r="E97" s="123" t="e">
        <f>VLOOKUP($A:$A,Tabla8[[sector/pisc]:[has]],2,0)</f>
        <v>#N/A</v>
      </c>
      <c r="F97" s="18" t="e">
        <f>VLOOKUP($A:$A,Tabla4[[Columna1]:[PRECRIADERO]],15,0)</f>
        <v>#N/A</v>
      </c>
      <c r="G97" s="17" t="e">
        <f>VLOOKUP($A:$A,Tabla4[[Columna1]:[PRECRIADERO]],14,0)</f>
        <v>#N/A</v>
      </c>
      <c r="H97" s="18" t="e">
        <f>VLOOKUP(A:A,Tabla4[[Columna1]:[transferencia]],4,0)</f>
        <v>#N/A</v>
      </c>
      <c r="I97" s="124" t="e">
        <f>(VLOOKUP($A:$A,Tabla4[[Columna1]:[PRECRIADERO]],5,0))/E97</f>
        <v>#N/A</v>
      </c>
      <c r="J97" s="201" t="e">
        <f t="shared" ca="1" si="30"/>
        <v>#N/A</v>
      </c>
      <c r="K97" s="156">
        <f t="shared" si="32"/>
        <v>0</v>
      </c>
      <c r="L97" s="202" t="str">
        <f t="shared" si="31"/>
        <v/>
      </c>
      <c r="M97" s="202" t="e">
        <f>VLOOKUP($A:$A,Tabla4[[Columna1]:[PRECRIADERO]],8,0)</f>
        <v>#N/A</v>
      </c>
      <c r="N97" s="202" t="e">
        <f>VLOOKUP($A:$A,Tabla4[[Columna1]:[PRECRIADERO]],7,0)</f>
        <v>#N/A</v>
      </c>
    </row>
    <row r="98" spans="1:22" ht="12" customHeight="1" x14ac:dyDescent="0.25">
      <c r="A98" s="198" t="e">
        <f t="shared" si="20"/>
        <v>#N/A</v>
      </c>
      <c r="B98" s="199" t="str">
        <f t="shared" si="21"/>
        <v/>
      </c>
      <c r="C98" s="211" t="str">
        <f t="shared" si="22"/>
        <v/>
      </c>
      <c r="D98" s="212"/>
      <c r="E98" s="123" t="e">
        <f>VLOOKUP($A:$A,Tabla8[[sector/pisc]:[has]],2,0)</f>
        <v>#N/A</v>
      </c>
      <c r="F98" s="18" t="e">
        <f>VLOOKUP($A:$A,Tabla4[[Columna1]:[PRECRIADERO]],15,0)</f>
        <v>#N/A</v>
      </c>
      <c r="G98" s="17" t="e">
        <f>VLOOKUP($A:$A,Tabla4[[Columna1]:[PRECRIADERO]],14,0)</f>
        <v>#N/A</v>
      </c>
      <c r="H98" s="18" t="e">
        <f>VLOOKUP(A:A,Tabla4[[Columna1]:[transferencia]],4,0)</f>
        <v>#N/A</v>
      </c>
      <c r="I98" s="124" t="e">
        <f>(VLOOKUP($A:$A,Tabla4[[Columna1]:[PRECRIADERO]],5,0))/E98</f>
        <v>#N/A</v>
      </c>
      <c r="J98" s="201" t="e">
        <f t="shared" ca="1" si="30"/>
        <v>#N/A</v>
      </c>
      <c r="K98" s="156">
        <f t="shared" si="32"/>
        <v>0</v>
      </c>
      <c r="L98" s="202" t="str">
        <f t="shared" si="31"/>
        <v/>
      </c>
      <c r="M98" s="202" t="e">
        <f>VLOOKUP($A:$A,Tabla4[[Columna1]:[PRECRIADERO]],8,0)</f>
        <v>#N/A</v>
      </c>
      <c r="N98" s="202" t="e">
        <f>VLOOKUP($A:$A,Tabla4[[Columna1]:[PRECRIADERO]],7,0)</f>
        <v>#N/A</v>
      </c>
    </row>
    <row r="99" spans="1:22" ht="12" customHeight="1" x14ac:dyDescent="0.25">
      <c r="A99" s="198" t="e">
        <f t="shared" si="20"/>
        <v>#N/A</v>
      </c>
      <c r="B99" s="199" t="str">
        <f t="shared" si="21"/>
        <v/>
      </c>
      <c r="C99" s="211" t="str">
        <f t="shared" si="22"/>
        <v/>
      </c>
      <c r="D99" s="212"/>
      <c r="E99" s="123" t="e">
        <f>VLOOKUP($A:$A,Tabla8[[sector/pisc]:[has]],2,0)</f>
        <v>#N/A</v>
      </c>
      <c r="F99" s="18" t="e">
        <f>VLOOKUP($A:$A,Tabla4[[Columna1]:[PRECRIADERO]],15,0)</f>
        <v>#N/A</v>
      </c>
      <c r="G99" s="17" t="e">
        <f>VLOOKUP($A:$A,Tabla4[[Columna1]:[PRECRIADERO]],14,0)</f>
        <v>#N/A</v>
      </c>
      <c r="H99" s="18" t="e">
        <f>VLOOKUP(A:A,Tabla4[[Columna1]:[transferencia]],4,0)</f>
        <v>#N/A</v>
      </c>
      <c r="I99" s="124" t="e">
        <f>(VLOOKUP($A:$A,Tabla4[[Columna1]:[PRECRIADERO]],5,0))/E99</f>
        <v>#N/A</v>
      </c>
      <c r="J99" s="201" t="e">
        <f t="shared" ca="1" si="30"/>
        <v>#N/A</v>
      </c>
      <c r="K99" s="156">
        <f t="shared" si="32"/>
        <v>0</v>
      </c>
      <c r="L99" s="202" t="str">
        <f t="shared" si="31"/>
        <v/>
      </c>
      <c r="M99" s="202" t="e">
        <f>VLOOKUP($A:$A,Tabla4[[Columna1]:[PRECRIADERO]],8,0)</f>
        <v>#N/A</v>
      </c>
      <c r="N99" s="202" t="e">
        <f>VLOOKUP($A:$A,Tabla4[[Columna1]:[PRECRIADERO]],7,0)</f>
        <v>#N/A</v>
      </c>
    </row>
    <row r="100" spans="1:22" ht="12" customHeight="1" x14ac:dyDescent="0.25">
      <c r="A100" s="198" t="e">
        <f t="shared" si="20"/>
        <v>#N/A</v>
      </c>
      <c r="B100" s="199" t="str">
        <f t="shared" si="21"/>
        <v/>
      </c>
      <c r="C100" s="211" t="str">
        <f t="shared" si="22"/>
        <v/>
      </c>
      <c r="D100" s="212"/>
      <c r="E100" s="123" t="e">
        <f>VLOOKUP($A:$A,Tabla8[[sector/pisc]:[has]],2,0)</f>
        <v>#N/A</v>
      </c>
      <c r="F100" s="18" t="e">
        <f>VLOOKUP($A:$A,Tabla4[[Columna1]:[PRECRIADERO]],15,0)</f>
        <v>#N/A</v>
      </c>
      <c r="G100" s="17" t="e">
        <f>VLOOKUP($A:$A,Tabla4[[Columna1]:[PRECRIADERO]],14,0)</f>
        <v>#N/A</v>
      </c>
      <c r="H100" s="18" t="e">
        <f>VLOOKUP(A:A,Tabla4[[Columna1]:[transferencia]],4,0)</f>
        <v>#N/A</v>
      </c>
      <c r="I100" s="124" t="e">
        <f>(VLOOKUP($A:$A,Tabla4[[Columna1]:[PRECRIADERO]],5,0))/E100</f>
        <v>#N/A</v>
      </c>
      <c r="J100" s="201" t="e">
        <f t="shared" ca="1" si="30"/>
        <v>#N/A</v>
      </c>
      <c r="K100" s="156">
        <f t="shared" si="32"/>
        <v>0</v>
      </c>
      <c r="L100" s="202" t="str">
        <f t="shared" si="31"/>
        <v/>
      </c>
      <c r="M100" s="202" t="e">
        <f>VLOOKUP($A:$A,Tabla4[[Columna1]:[PRECRIADERO]],8,0)</f>
        <v>#N/A</v>
      </c>
      <c r="N100" s="202" t="e">
        <f>VLOOKUP($A:$A,Tabla4[[Columna1]:[PRECRIADERO]],7,0)</f>
        <v>#N/A</v>
      </c>
    </row>
    <row r="101" spans="1:22" ht="12" customHeight="1" x14ac:dyDescent="0.25">
      <c r="A101" s="198" t="e">
        <f t="shared" ref="A101:A164" si="33">CONCATENATE(VLOOKUP(B101,$E$56:$F$73,2,0)," ",C101)</f>
        <v>#N/A</v>
      </c>
      <c r="B101" s="199" t="str">
        <f t="shared" ref="B101:B164" si="34">IFERROR(LEFT(D101,LEN(D101)-LEN(RIGHT(D101,2))-1),"")</f>
        <v/>
      </c>
      <c r="C101" s="211" t="str">
        <f t="shared" ref="C101:C164" si="35">RIGHT(D101,2)</f>
        <v/>
      </c>
      <c r="D101" s="212"/>
      <c r="E101" s="123" t="e">
        <f>VLOOKUP($A:$A,Tabla8[[sector/pisc]:[has]],2,0)</f>
        <v>#N/A</v>
      </c>
      <c r="F101" s="18" t="e">
        <f>VLOOKUP($A:$A,Tabla4[[Columna1]:[PRECRIADERO]],15,0)</f>
        <v>#N/A</v>
      </c>
      <c r="G101" s="17" t="e">
        <f>VLOOKUP($A:$A,Tabla4[[Columna1]:[PRECRIADERO]],14,0)</f>
        <v>#N/A</v>
      </c>
      <c r="H101" s="18" t="e">
        <f>VLOOKUP(A:A,Tabla4[[Columna1]:[transferencia]],4,0)</f>
        <v>#N/A</v>
      </c>
      <c r="I101" s="124" t="e">
        <f>(VLOOKUP($A:$A,Tabla4[[Columna1]:[PRECRIADERO]],5,0))/E101</f>
        <v>#N/A</v>
      </c>
      <c r="J101" s="201" t="e">
        <f t="shared" ca="1" si="30"/>
        <v>#N/A</v>
      </c>
      <c r="K101" s="156">
        <f t="shared" si="32"/>
        <v>0</v>
      </c>
      <c r="L101" s="202" t="str">
        <f t="shared" si="31"/>
        <v/>
      </c>
      <c r="M101" s="202" t="e">
        <f>VLOOKUP($A:$A,Tabla4[[Columna1]:[PRECRIADERO]],8,0)</f>
        <v>#N/A</v>
      </c>
      <c r="N101" s="202" t="e">
        <f>VLOOKUP($A:$A,Tabla4[[Columna1]:[PRECRIADERO]],7,0)</f>
        <v>#N/A</v>
      </c>
    </row>
    <row r="102" spans="1:22" ht="12" customHeight="1" x14ac:dyDescent="0.25">
      <c r="A102" s="198" t="e">
        <f t="shared" si="33"/>
        <v>#N/A</v>
      </c>
      <c r="B102" s="199" t="str">
        <f t="shared" si="34"/>
        <v/>
      </c>
      <c r="C102" s="211" t="str">
        <f t="shared" si="35"/>
        <v/>
      </c>
      <c r="D102" s="212"/>
      <c r="E102" s="123" t="e">
        <f>VLOOKUP($A:$A,Tabla8[[sector/pisc]:[has]],2,0)</f>
        <v>#N/A</v>
      </c>
      <c r="F102" s="18" t="e">
        <f>VLOOKUP($A:$A,Tabla4[[Columna1]:[PRECRIADERO]],15,0)</f>
        <v>#N/A</v>
      </c>
      <c r="G102" s="17" t="e">
        <f>VLOOKUP($A:$A,Tabla4[[Columna1]:[PRECRIADERO]],14,0)</f>
        <v>#N/A</v>
      </c>
      <c r="H102" s="18" t="e">
        <f>VLOOKUP(A:A,Tabla4[[Columna1]:[transferencia]],4,0)</f>
        <v>#N/A</v>
      </c>
      <c r="I102" s="124" t="e">
        <f>(VLOOKUP($A:$A,Tabla4[[Columna1]:[PRECRIADERO]],5,0))/E102</f>
        <v>#N/A</v>
      </c>
      <c r="J102" s="201" t="e">
        <f t="shared" ca="1" si="30"/>
        <v>#N/A</v>
      </c>
      <c r="K102" s="156">
        <f t="shared" si="32"/>
        <v>0</v>
      </c>
      <c r="L102" s="202" t="str">
        <f t="shared" si="31"/>
        <v/>
      </c>
      <c r="M102" s="202" t="e">
        <f>VLOOKUP($A:$A,Tabla4[[Columna1]:[PRECRIADERO]],8,0)</f>
        <v>#N/A</v>
      </c>
      <c r="N102" s="202" t="e">
        <f>VLOOKUP($A:$A,Tabla4[[Columna1]:[PRECRIADERO]],7,0)</f>
        <v>#N/A</v>
      </c>
    </row>
    <row r="103" spans="1:22" ht="12" customHeight="1" x14ac:dyDescent="0.25">
      <c r="A103" s="198" t="e">
        <f t="shared" si="33"/>
        <v>#N/A</v>
      </c>
      <c r="B103" s="199" t="str">
        <f t="shared" si="34"/>
        <v/>
      </c>
      <c r="C103" s="211" t="str">
        <f t="shared" si="35"/>
        <v/>
      </c>
      <c r="D103" s="212"/>
      <c r="E103" s="123" t="e">
        <f>VLOOKUP($A:$A,Tabla8[[sector/pisc]:[has]],2,0)</f>
        <v>#N/A</v>
      </c>
      <c r="F103" s="18" t="e">
        <f>VLOOKUP($A:$A,Tabla4[[Columna1]:[PRECRIADERO]],15,0)</f>
        <v>#N/A</v>
      </c>
      <c r="G103" s="17" t="e">
        <f>VLOOKUP($A:$A,Tabla4[[Columna1]:[PRECRIADERO]],14,0)</f>
        <v>#N/A</v>
      </c>
      <c r="H103" s="18" t="e">
        <f>VLOOKUP(A:A,Tabla4[[Columna1]:[transferencia]],4,0)</f>
        <v>#N/A</v>
      </c>
      <c r="I103" s="124" t="e">
        <f>(VLOOKUP($A:$A,Tabla4[[Columna1]:[PRECRIADERO]],5,0))/E103</f>
        <v>#N/A</v>
      </c>
      <c r="J103" s="201" t="e">
        <f t="shared" ca="1" si="30"/>
        <v>#N/A</v>
      </c>
      <c r="K103" s="156">
        <f t="shared" si="32"/>
        <v>0</v>
      </c>
      <c r="L103" s="202" t="str">
        <f t="shared" si="31"/>
        <v/>
      </c>
      <c r="M103" s="202" t="e">
        <f>VLOOKUP($A:$A,Tabla4[[Columna1]:[PRECRIADERO]],8,0)</f>
        <v>#N/A</v>
      </c>
      <c r="N103" s="202" t="e">
        <f>VLOOKUP($A:$A,Tabla4[[Columna1]:[PRECRIADERO]],7,0)</f>
        <v>#N/A</v>
      </c>
    </row>
    <row r="104" spans="1:22" ht="12" customHeight="1" x14ac:dyDescent="0.25">
      <c r="A104" s="198" t="e">
        <f t="shared" si="33"/>
        <v>#N/A</v>
      </c>
      <c r="B104" s="199" t="str">
        <f t="shared" si="34"/>
        <v/>
      </c>
      <c r="C104" s="211" t="str">
        <f t="shared" si="35"/>
        <v/>
      </c>
      <c r="D104" s="212"/>
      <c r="E104" s="123" t="e">
        <f>VLOOKUP($A:$A,Tabla8[[sector/pisc]:[has]],2,0)</f>
        <v>#N/A</v>
      </c>
      <c r="F104" s="18" t="e">
        <f>VLOOKUP($A:$A,Tabla4[[Columna1]:[PRECRIADERO]],15,0)</f>
        <v>#N/A</v>
      </c>
      <c r="G104" s="17" t="e">
        <f>VLOOKUP($A:$A,Tabla4[[Columna1]:[PRECRIADERO]],14,0)</f>
        <v>#N/A</v>
      </c>
      <c r="H104" s="18" t="e">
        <f>VLOOKUP(A:A,Tabla4[[Columna1]:[transferencia]],4,0)</f>
        <v>#N/A</v>
      </c>
      <c r="I104" s="124" t="e">
        <f>(VLOOKUP($A:$A,Tabla4[[Columna1]:[PRECRIADERO]],5,0))/E104</f>
        <v>#N/A</v>
      </c>
      <c r="J104" s="201" t="e">
        <f t="shared" ca="1" si="30"/>
        <v>#N/A</v>
      </c>
      <c r="K104" s="156">
        <f t="shared" si="32"/>
        <v>0</v>
      </c>
      <c r="L104" s="202" t="str">
        <f t="shared" si="31"/>
        <v/>
      </c>
      <c r="M104" s="202" t="e">
        <f>VLOOKUP($A:$A,Tabla4[[Columna1]:[PRECRIADERO]],8,0)</f>
        <v>#N/A</v>
      </c>
      <c r="N104" s="202" t="e">
        <f>VLOOKUP($A:$A,Tabla4[[Columna1]:[PRECRIADERO]],7,0)</f>
        <v>#N/A</v>
      </c>
      <c r="S104" s="16"/>
      <c r="T104" s="16"/>
      <c r="U104" s="16"/>
    </row>
    <row r="105" spans="1:22" ht="12" customHeight="1" x14ac:dyDescent="0.25">
      <c r="A105" s="198" t="e">
        <f t="shared" si="33"/>
        <v>#N/A</v>
      </c>
      <c r="B105" s="199" t="str">
        <f t="shared" si="34"/>
        <v/>
      </c>
      <c r="C105" s="211" t="str">
        <f t="shared" si="35"/>
        <v/>
      </c>
      <c r="D105" s="212"/>
      <c r="E105" s="123" t="e">
        <f>VLOOKUP($A:$A,Tabla8[[sector/pisc]:[has]],2,0)</f>
        <v>#N/A</v>
      </c>
      <c r="F105" s="18" t="e">
        <f>VLOOKUP($A:$A,Tabla4[[Columna1]:[PRECRIADERO]],15,0)</f>
        <v>#N/A</v>
      </c>
      <c r="G105" s="17" t="e">
        <f>VLOOKUP($A:$A,Tabla4[[Columna1]:[PRECRIADERO]],14,0)</f>
        <v>#N/A</v>
      </c>
      <c r="H105" s="18" t="e">
        <f>VLOOKUP(A:A,Tabla4[[Columna1]:[transferencia]],4,0)</f>
        <v>#N/A</v>
      </c>
      <c r="I105" s="124" t="e">
        <f>(VLOOKUP($A:$A,Tabla4[[Columna1]:[PRECRIADERO]],5,0))/E105</f>
        <v>#N/A</v>
      </c>
      <c r="J105" s="201" t="e">
        <f t="shared" ca="1" si="30"/>
        <v>#N/A</v>
      </c>
      <c r="K105" s="156">
        <f t="shared" si="32"/>
        <v>0</v>
      </c>
      <c r="L105" s="202" t="str">
        <f t="shared" si="31"/>
        <v/>
      </c>
      <c r="M105" s="202" t="e">
        <f>VLOOKUP($A:$A,Tabla4[[Columna1]:[PRECRIADERO]],8,0)</f>
        <v>#N/A</v>
      </c>
      <c r="N105" s="202" t="e">
        <f>VLOOKUP($A:$A,Tabla4[[Columna1]:[PRECRIADERO]],7,0)</f>
        <v>#N/A</v>
      </c>
      <c r="S105" s="16"/>
      <c r="T105" s="16"/>
      <c r="U105" s="16"/>
    </row>
    <row r="106" spans="1:22" ht="12" customHeight="1" x14ac:dyDescent="0.25">
      <c r="A106" s="198" t="e">
        <f t="shared" si="33"/>
        <v>#N/A</v>
      </c>
      <c r="B106" s="199" t="str">
        <f t="shared" si="34"/>
        <v/>
      </c>
      <c r="C106" s="211" t="str">
        <f t="shared" si="35"/>
        <v/>
      </c>
      <c r="D106" s="212"/>
      <c r="E106" s="123" t="e">
        <f>VLOOKUP($A:$A,Tabla8[[sector/pisc]:[has]],2,0)</f>
        <v>#N/A</v>
      </c>
      <c r="F106" s="18" t="e">
        <f>VLOOKUP($A:$A,Tabla4[[Columna1]:[PRECRIADERO]],15,0)</f>
        <v>#N/A</v>
      </c>
      <c r="G106" s="17" t="e">
        <f>VLOOKUP($A:$A,Tabla4[[Columna1]:[PRECRIADERO]],14,0)</f>
        <v>#N/A</v>
      </c>
      <c r="H106" s="18" t="e">
        <f>VLOOKUP(A:A,Tabla4[[Columna1]:[transferencia]],4,0)</f>
        <v>#N/A</v>
      </c>
      <c r="I106" s="124" t="e">
        <f>(VLOOKUP($A:$A,Tabla4[[Columna1]:[PRECRIADERO]],5,0))/E106</f>
        <v>#N/A</v>
      </c>
      <c r="J106" s="201" t="e">
        <f t="shared" ca="1" si="30"/>
        <v>#N/A</v>
      </c>
      <c r="K106" s="156">
        <f t="shared" si="32"/>
        <v>0</v>
      </c>
      <c r="L106" s="202" t="str">
        <f t="shared" si="31"/>
        <v/>
      </c>
      <c r="M106" s="202" t="e">
        <f>VLOOKUP($A:$A,Tabla4[[Columna1]:[PRECRIADERO]],8,0)</f>
        <v>#N/A</v>
      </c>
      <c r="N106" s="202" t="e">
        <f>VLOOKUP($A:$A,Tabla4[[Columna1]:[PRECRIADERO]],7,0)</f>
        <v>#N/A</v>
      </c>
      <c r="S106" s="16"/>
      <c r="T106" s="16"/>
      <c r="U106" s="16"/>
    </row>
    <row r="107" spans="1:22" ht="12" customHeight="1" x14ac:dyDescent="0.25">
      <c r="A107" s="198" t="e">
        <f t="shared" si="33"/>
        <v>#N/A</v>
      </c>
      <c r="B107" s="199" t="str">
        <f t="shared" si="34"/>
        <v/>
      </c>
      <c r="C107" s="211" t="str">
        <f t="shared" si="35"/>
        <v/>
      </c>
      <c r="D107" s="212"/>
      <c r="E107" s="123" t="e">
        <f>VLOOKUP($A:$A,Tabla8[[sector/pisc]:[has]],2,0)</f>
        <v>#N/A</v>
      </c>
      <c r="F107" s="18" t="e">
        <f>VLOOKUP($A:$A,Tabla4[[Columna1]:[PRECRIADERO]],15,0)</f>
        <v>#N/A</v>
      </c>
      <c r="G107" s="17" t="e">
        <f>VLOOKUP($A:$A,Tabla4[[Columna1]:[PRECRIADERO]],14,0)</f>
        <v>#N/A</v>
      </c>
      <c r="H107" s="18" t="e">
        <f>VLOOKUP(A:A,Tabla4[[Columna1]:[transferencia]],4,0)</f>
        <v>#N/A</v>
      </c>
      <c r="I107" s="124" t="e">
        <f>(VLOOKUP($A:$A,Tabla4[[Columna1]:[PRECRIADERO]],5,0))/E107</f>
        <v>#N/A</v>
      </c>
      <c r="J107" s="201" t="e">
        <f t="shared" ca="1" si="30"/>
        <v>#N/A</v>
      </c>
      <c r="K107" s="156">
        <f t="shared" si="32"/>
        <v>0</v>
      </c>
      <c r="L107" s="202" t="str">
        <f t="shared" si="31"/>
        <v/>
      </c>
      <c r="M107" s="202" t="e">
        <f>VLOOKUP($A:$A,Tabla4[[Columna1]:[PRECRIADERO]],8,0)</f>
        <v>#N/A</v>
      </c>
      <c r="N107" s="202" t="e">
        <f>VLOOKUP($A:$A,Tabla4[[Columna1]:[PRECRIADERO]],7,0)</f>
        <v>#N/A</v>
      </c>
      <c r="S107" s="16"/>
      <c r="T107" s="16"/>
      <c r="U107" s="16"/>
      <c r="V107" s="16"/>
    </row>
    <row r="108" spans="1:22" ht="12" customHeight="1" x14ac:dyDescent="0.25">
      <c r="A108" s="198" t="e">
        <f t="shared" si="33"/>
        <v>#N/A</v>
      </c>
      <c r="B108" s="199" t="str">
        <f t="shared" si="34"/>
        <v/>
      </c>
      <c r="C108" s="211" t="str">
        <f t="shared" si="35"/>
        <v/>
      </c>
      <c r="D108" s="212"/>
      <c r="E108" s="123" t="e">
        <f>VLOOKUP($A:$A,Tabla8[[sector/pisc]:[has]],2,0)</f>
        <v>#N/A</v>
      </c>
      <c r="F108" s="18" t="e">
        <f>VLOOKUP($A:$A,Tabla4[[Columna1]:[PRECRIADERO]],15,0)</f>
        <v>#N/A</v>
      </c>
      <c r="G108" s="17" t="e">
        <f>VLOOKUP($A:$A,Tabla4[[Columna1]:[PRECRIADERO]],14,0)</f>
        <v>#N/A</v>
      </c>
      <c r="H108" s="18" t="e">
        <f>VLOOKUP(A:A,Tabla4[[Columna1]:[transferencia]],4,0)</f>
        <v>#N/A</v>
      </c>
      <c r="I108" s="124" t="e">
        <f>(VLOOKUP($A:$A,Tabla4[[Columna1]:[PRECRIADERO]],5,0))/E108</f>
        <v>#N/A</v>
      </c>
      <c r="J108" s="201" t="e">
        <f t="shared" ca="1" si="30"/>
        <v>#N/A</v>
      </c>
      <c r="K108" s="156">
        <f t="shared" si="32"/>
        <v>0</v>
      </c>
      <c r="L108" s="202" t="str">
        <f t="shared" si="31"/>
        <v/>
      </c>
      <c r="M108" s="202" t="e">
        <f>VLOOKUP($A:$A,Tabla4[[Columna1]:[PRECRIADERO]],8,0)</f>
        <v>#N/A</v>
      </c>
      <c r="N108" s="202" t="e">
        <f>VLOOKUP($A:$A,Tabla4[[Columna1]:[PRECRIADERO]],7,0)</f>
        <v>#N/A</v>
      </c>
      <c r="S108" s="16"/>
      <c r="T108" s="16"/>
      <c r="U108" s="16"/>
      <c r="V108" s="16"/>
    </row>
    <row r="109" spans="1:22" ht="12" customHeight="1" x14ac:dyDescent="0.25">
      <c r="A109" s="198" t="e">
        <f t="shared" si="33"/>
        <v>#N/A</v>
      </c>
      <c r="B109" s="199" t="str">
        <f t="shared" si="34"/>
        <v/>
      </c>
      <c r="C109" s="211" t="str">
        <f t="shared" si="35"/>
        <v/>
      </c>
      <c r="D109" s="212"/>
      <c r="E109" s="123" t="e">
        <f>VLOOKUP($A:$A,Tabla8[[sector/pisc]:[has]],2,0)</f>
        <v>#N/A</v>
      </c>
      <c r="F109" s="18" t="e">
        <f>VLOOKUP($A:$A,Tabla4[[Columna1]:[PRECRIADERO]],15,0)</f>
        <v>#N/A</v>
      </c>
      <c r="G109" s="17" t="e">
        <f>VLOOKUP($A:$A,Tabla4[[Columna1]:[PRECRIADERO]],14,0)</f>
        <v>#N/A</v>
      </c>
      <c r="H109" s="18" t="e">
        <f>VLOOKUP(A:A,Tabla4[[Columna1]:[transferencia]],4,0)</f>
        <v>#N/A</v>
      </c>
      <c r="I109" s="124" t="e">
        <f>(VLOOKUP($A:$A,Tabla4[[Columna1]:[PRECRIADERO]],5,0))/E109</f>
        <v>#N/A</v>
      </c>
      <c r="J109" s="201" t="e">
        <f t="shared" ca="1" si="30"/>
        <v>#N/A</v>
      </c>
      <c r="K109" s="156">
        <f t="shared" si="32"/>
        <v>0</v>
      </c>
      <c r="L109" s="202" t="str">
        <f t="shared" si="31"/>
        <v/>
      </c>
      <c r="M109" s="202" t="e">
        <f>VLOOKUP($A:$A,Tabla4[[Columna1]:[PRECRIADERO]],8,0)</f>
        <v>#N/A</v>
      </c>
      <c r="N109" s="202" t="e">
        <f>VLOOKUP($A:$A,Tabla4[[Columna1]:[PRECRIADERO]],7,0)</f>
        <v>#N/A</v>
      </c>
      <c r="S109" s="16"/>
      <c r="T109" s="16"/>
      <c r="U109" s="16"/>
      <c r="V109" s="16"/>
    </row>
    <row r="110" spans="1:22" ht="12" customHeight="1" x14ac:dyDescent="0.25">
      <c r="A110" s="198" t="e">
        <f t="shared" si="33"/>
        <v>#N/A</v>
      </c>
      <c r="B110" s="199" t="str">
        <f t="shared" si="34"/>
        <v/>
      </c>
      <c r="C110" s="211" t="str">
        <f t="shared" si="35"/>
        <v/>
      </c>
      <c r="D110" s="212"/>
      <c r="E110" s="123" t="e">
        <f>VLOOKUP($A:$A,Tabla8[[sector/pisc]:[has]],2,0)</f>
        <v>#N/A</v>
      </c>
      <c r="F110" s="18" t="e">
        <f>VLOOKUP($A:$A,Tabla4[[Columna1]:[PRECRIADERO]],15,0)</f>
        <v>#N/A</v>
      </c>
      <c r="G110" s="17" t="e">
        <f>VLOOKUP($A:$A,Tabla4[[Columna1]:[PRECRIADERO]],14,0)</f>
        <v>#N/A</v>
      </c>
      <c r="H110" s="18" t="e">
        <f>VLOOKUP(A:A,Tabla4[[Columna1]:[transferencia]],4,0)</f>
        <v>#N/A</v>
      </c>
      <c r="I110" s="124" t="e">
        <f>(VLOOKUP($A:$A,Tabla4[[Columna1]:[PRECRIADERO]],5,0))/E110</f>
        <v>#N/A</v>
      </c>
      <c r="J110" s="201" t="e">
        <f t="shared" ca="1" si="30"/>
        <v>#N/A</v>
      </c>
      <c r="K110" s="156">
        <f t="shared" si="32"/>
        <v>0</v>
      </c>
      <c r="L110" s="202" t="str">
        <f t="shared" si="31"/>
        <v/>
      </c>
      <c r="M110" s="202" t="e">
        <f>VLOOKUP($A:$A,Tabla4[[Columna1]:[PRECRIADERO]],8,0)</f>
        <v>#N/A</v>
      </c>
      <c r="N110" s="202" t="e">
        <f>VLOOKUP($A:$A,Tabla4[[Columna1]:[PRECRIADERO]],7,0)</f>
        <v>#N/A</v>
      </c>
      <c r="S110" s="16"/>
      <c r="T110" s="16"/>
      <c r="U110" s="16"/>
      <c r="V110" s="16"/>
    </row>
    <row r="111" spans="1:22" ht="12" customHeight="1" x14ac:dyDescent="0.25">
      <c r="A111" s="198" t="e">
        <f t="shared" si="33"/>
        <v>#N/A</v>
      </c>
      <c r="B111" s="199" t="str">
        <f t="shared" si="34"/>
        <v/>
      </c>
      <c r="C111" s="211" t="str">
        <f t="shared" si="35"/>
        <v/>
      </c>
      <c r="D111" s="212"/>
      <c r="E111" s="123" t="e">
        <f>VLOOKUP($A:$A,Tabla8[[sector/pisc]:[has]],2,0)</f>
        <v>#N/A</v>
      </c>
      <c r="F111" s="18" t="e">
        <f>VLOOKUP($A:$A,Tabla4[[Columna1]:[PRECRIADERO]],15,0)</f>
        <v>#N/A</v>
      </c>
      <c r="G111" s="17" t="e">
        <f>VLOOKUP($A:$A,Tabla4[[Columna1]:[PRECRIADERO]],14,0)</f>
        <v>#N/A</v>
      </c>
      <c r="H111" s="18" t="e">
        <f>VLOOKUP(A:A,Tabla4[[Columna1]:[transferencia]],4,0)</f>
        <v>#N/A</v>
      </c>
      <c r="I111" s="124" t="e">
        <f>(VLOOKUP($A:$A,Tabla4[[Columna1]:[PRECRIADERO]],5,0))/E111</f>
        <v>#N/A</v>
      </c>
      <c r="J111" s="201" t="e">
        <f t="shared" ca="1" si="30"/>
        <v>#N/A</v>
      </c>
      <c r="K111" s="156">
        <f t="shared" si="32"/>
        <v>0</v>
      </c>
      <c r="L111" s="202" t="str">
        <f t="shared" si="31"/>
        <v/>
      </c>
      <c r="M111" s="202" t="e">
        <f>VLOOKUP($A:$A,Tabla4[[Columna1]:[PRECRIADERO]],8,0)</f>
        <v>#N/A</v>
      </c>
      <c r="N111" s="202" t="e">
        <f>VLOOKUP($A:$A,Tabla4[[Columna1]:[PRECRIADERO]],7,0)</f>
        <v>#N/A</v>
      </c>
      <c r="S111" s="16"/>
      <c r="U111" s="16"/>
    </row>
    <row r="112" spans="1:22" ht="12" customHeight="1" x14ac:dyDescent="0.25">
      <c r="A112" s="198" t="e">
        <f t="shared" si="33"/>
        <v>#N/A</v>
      </c>
      <c r="B112" s="199" t="str">
        <f t="shared" si="34"/>
        <v/>
      </c>
      <c r="C112" s="211" t="str">
        <f t="shared" si="35"/>
        <v/>
      </c>
      <c r="D112" s="212"/>
      <c r="E112" s="123" t="e">
        <f>VLOOKUP($A:$A,Tabla8[[sector/pisc]:[has]],2,0)</f>
        <v>#N/A</v>
      </c>
      <c r="F112" s="18" t="e">
        <f>VLOOKUP($A:$A,Tabla4[[Columna1]:[PRECRIADERO]],15,0)</f>
        <v>#N/A</v>
      </c>
      <c r="G112" s="17" t="e">
        <f>VLOOKUP($A:$A,Tabla4[[Columna1]:[PRECRIADERO]],14,0)</f>
        <v>#N/A</v>
      </c>
      <c r="H112" s="18" t="e">
        <f>VLOOKUP(A:A,Tabla4[[Columna1]:[transferencia]],4,0)</f>
        <v>#N/A</v>
      </c>
      <c r="I112" s="124" t="e">
        <f>(VLOOKUP($A:$A,Tabla4[[Columna1]:[PRECRIADERO]],5,0))/E112</f>
        <v>#N/A</v>
      </c>
      <c r="J112" s="201" t="e">
        <f t="shared" ca="1" si="30"/>
        <v>#N/A</v>
      </c>
      <c r="K112" s="156">
        <f t="shared" si="32"/>
        <v>0</v>
      </c>
      <c r="L112" s="202" t="str">
        <f t="shared" si="31"/>
        <v/>
      </c>
      <c r="M112" s="202" t="e">
        <f>VLOOKUP($A:$A,Tabla4[[Columna1]:[PRECRIADERO]],8,0)</f>
        <v>#N/A</v>
      </c>
      <c r="N112" s="202" t="e">
        <f>VLOOKUP($A:$A,Tabla4[[Columna1]:[PRECRIADERO]],7,0)</f>
        <v>#N/A</v>
      </c>
      <c r="S112" s="16"/>
      <c r="U112" s="16"/>
    </row>
    <row r="113" spans="1:21" ht="12" customHeight="1" x14ac:dyDescent="0.25">
      <c r="A113" s="198" t="e">
        <f t="shared" si="33"/>
        <v>#N/A</v>
      </c>
      <c r="B113" s="199" t="str">
        <f t="shared" si="34"/>
        <v/>
      </c>
      <c r="C113" s="211" t="str">
        <f t="shared" si="35"/>
        <v/>
      </c>
      <c r="D113" s="212"/>
      <c r="E113" s="123" t="e">
        <f>VLOOKUP($A:$A,Tabla8[[sector/pisc]:[has]],2,0)</f>
        <v>#N/A</v>
      </c>
      <c r="F113" s="18" t="e">
        <f>VLOOKUP($A:$A,Tabla4[[Columna1]:[PRECRIADERO]],15,0)</f>
        <v>#N/A</v>
      </c>
      <c r="G113" s="17" t="e">
        <f>VLOOKUP($A:$A,Tabla4[[Columna1]:[PRECRIADERO]],14,0)</f>
        <v>#N/A</v>
      </c>
      <c r="H113" s="18" t="e">
        <f>VLOOKUP(A:A,Tabla4[[Columna1]:[transferencia]],4,0)</f>
        <v>#N/A</v>
      </c>
      <c r="I113" s="124" t="e">
        <f>(VLOOKUP($A:$A,Tabla4[[Columna1]:[PRECRIADERO]],5,0))/E113</f>
        <v>#N/A</v>
      </c>
      <c r="J113" s="201" t="e">
        <f t="shared" ca="1" si="30"/>
        <v>#N/A</v>
      </c>
      <c r="K113" s="156">
        <f t="shared" si="32"/>
        <v>0</v>
      </c>
      <c r="L113" s="202" t="str">
        <f t="shared" si="31"/>
        <v/>
      </c>
      <c r="M113" s="202" t="e">
        <f>VLOOKUP($A:$A,Tabla4[[Columna1]:[PRECRIADERO]],8,0)</f>
        <v>#N/A</v>
      </c>
      <c r="N113" s="202" t="e">
        <f>VLOOKUP($A:$A,Tabla4[[Columna1]:[PRECRIADERO]],7,0)</f>
        <v>#N/A</v>
      </c>
      <c r="S113" s="16"/>
      <c r="U113" s="16"/>
    </row>
    <row r="114" spans="1:21" ht="12" customHeight="1" x14ac:dyDescent="0.25">
      <c r="A114" s="198" t="e">
        <f t="shared" si="33"/>
        <v>#N/A</v>
      </c>
      <c r="B114" s="199" t="str">
        <f t="shared" si="34"/>
        <v/>
      </c>
      <c r="C114" s="211" t="str">
        <f t="shared" si="35"/>
        <v/>
      </c>
      <c r="D114" s="212"/>
      <c r="E114" s="123" t="e">
        <f>VLOOKUP($A:$A,Tabla8[[sector/pisc]:[has]],2,0)</f>
        <v>#N/A</v>
      </c>
      <c r="F114" s="18" t="e">
        <f>VLOOKUP($A:$A,Tabla4[[Columna1]:[PRECRIADERO]],15,0)</f>
        <v>#N/A</v>
      </c>
      <c r="G114" s="17" t="e">
        <f>VLOOKUP($A:$A,Tabla4[[Columna1]:[PRECRIADERO]],14,0)</f>
        <v>#N/A</v>
      </c>
      <c r="H114" s="18" t="e">
        <f>VLOOKUP(A:A,Tabla4[[Columna1]:[transferencia]],4,0)</f>
        <v>#N/A</v>
      </c>
      <c r="I114" s="124" t="e">
        <f>(VLOOKUP($A:$A,Tabla4[[Columna1]:[PRECRIADERO]],5,0))/E114</f>
        <v>#N/A</v>
      </c>
      <c r="J114" s="201" t="e">
        <f t="shared" ca="1" si="30"/>
        <v>#N/A</v>
      </c>
      <c r="K114" s="156">
        <f t="shared" si="32"/>
        <v>0</v>
      </c>
      <c r="L114" s="202" t="str">
        <f t="shared" si="31"/>
        <v/>
      </c>
      <c r="M114" s="202" t="e">
        <f>VLOOKUP($A:$A,Tabla4[[Columna1]:[PRECRIADERO]],8,0)</f>
        <v>#N/A</v>
      </c>
      <c r="N114" s="202" t="e">
        <f>VLOOKUP($A:$A,Tabla4[[Columna1]:[PRECRIADERO]],7,0)</f>
        <v>#N/A</v>
      </c>
      <c r="S114" s="16"/>
      <c r="U114" s="16"/>
    </row>
    <row r="115" spans="1:21" ht="12" customHeight="1" x14ac:dyDescent="0.25">
      <c r="A115" s="198" t="e">
        <f t="shared" si="33"/>
        <v>#N/A</v>
      </c>
      <c r="B115" s="199" t="str">
        <f t="shared" si="34"/>
        <v/>
      </c>
      <c r="C115" s="211" t="str">
        <f t="shared" si="35"/>
        <v/>
      </c>
      <c r="D115" s="212"/>
      <c r="E115" s="123" t="e">
        <f>VLOOKUP($A:$A,Tabla8[[sector/pisc]:[has]],2,0)</f>
        <v>#N/A</v>
      </c>
      <c r="F115" s="18" t="e">
        <f>VLOOKUP($A:$A,Tabla4[[Columna1]:[PRECRIADERO]],15,0)</f>
        <v>#N/A</v>
      </c>
      <c r="G115" s="17" t="e">
        <f>VLOOKUP($A:$A,Tabla4[[Columna1]:[PRECRIADERO]],14,0)</f>
        <v>#N/A</v>
      </c>
      <c r="H115" s="18" t="e">
        <f>VLOOKUP(A:A,Tabla4[[Columna1]:[transferencia]],4,0)</f>
        <v>#N/A</v>
      </c>
      <c r="I115" s="124" t="e">
        <f>(VLOOKUP($A:$A,Tabla4[[Columna1]:[PRECRIADERO]],5,0))/E115</f>
        <v>#N/A</v>
      </c>
      <c r="J115" s="201" t="e">
        <f t="shared" ca="1" si="30"/>
        <v>#N/A</v>
      </c>
      <c r="K115" s="156">
        <f t="shared" si="32"/>
        <v>0</v>
      </c>
      <c r="L115" s="202" t="str">
        <f t="shared" si="31"/>
        <v/>
      </c>
      <c r="M115" s="202" t="e">
        <f>VLOOKUP($A:$A,Tabla4[[Columna1]:[PRECRIADERO]],8,0)</f>
        <v>#N/A</v>
      </c>
      <c r="N115" s="202" t="e">
        <f>VLOOKUP($A:$A,Tabla4[[Columna1]:[PRECRIADERO]],7,0)</f>
        <v>#N/A</v>
      </c>
    </row>
    <row r="116" spans="1:21" ht="12" customHeight="1" x14ac:dyDescent="0.25">
      <c r="A116" s="198" t="e">
        <f t="shared" si="33"/>
        <v>#N/A</v>
      </c>
      <c r="B116" s="199" t="str">
        <f t="shared" si="34"/>
        <v/>
      </c>
      <c r="C116" s="211" t="str">
        <f t="shared" si="35"/>
        <v/>
      </c>
      <c r="D116" s="212"/>
      <c r="E116" s="123" t="e">
        <f>VLOOKUP($A:$A,Tabla8[[sector/pisc]:[has]],2,0)</f>
        <v>#N/A</v>
      </c>
      <c r="F116" s="18" t="e">
        <f>VLOOKUP($A:$A,Tabla4[[Columna1]:[PRECRIADERO]],15,0)</f>
        <v>#N/A</v>
      </c>
      <c r="G116" s="17" t="e">
        <f>VLOOKUP($A:$A,Tabla4[[Columna1]:[PRECRIADERO]],14,0)</f>
        <v>#N/A</v>
      </c>
      <c r="H116" s="18" t="e">
        <f>VLOOKUP(A:A,Tabla4[[Columna1]:[transferencia]],4,0)</f>
        <v>#N/A</v>
      </c>
      <c r="I116" s="124" t="e">
        <f>(VLOOKUP($A:$A,Tabla4[[Columna1]:[PRECRIADERO]],5,0))/E116</f>
        <v>#N/A</v>
      </c>
      <c r="J116" s="201" t="e">
        <f t="shared" ca="1" si="30"/>
        <v>#N/A</v>
      </c>
      <c r="K116" s="156">
        <f t="shared" si="32"/>
        <v>0</v>
      </c>
      <c r="L116" s="202" t="str">
        <f t="shared" si="31"/>
        <v/>
      </c>
      <c r="M116" s="202" t="e">
        <f>VLOOKUP($A:$A,Tabla4[[Columna1]:[PRECRIADERO]],8,0)</f>
        <v>#N/A</v>
      </c>
      <c r="N116" s="202" t="e">
        <f>VLOOKUP($A:$A,Tabla4[[Columna1]:[PRECRIADERO]],7,0)</f>
        <v>#N/A</v>
      </c>
    </row>
    <row r="117" spans="1:21" ht="12" customHeight="1" x14ac:dyDescent="0.25">
      <c r="A117" s="198" t="e">
        <f t="shared" si="33"/>
        <v>#N/A</v>
      </c>
      <c r="B117" s="199" t="str">
        <f t="shared" si="34"/>
        <v/>
      </c>
      <c r="C117" s="211" t="str">
        <f t="shared" si="35"/>
        <v/>
      </c>
      <c r="D117" s="212"/>
      <c r="E117" s="123" t="e">
        <f>VLOOKUP($A:$A,Tabla8[[sector/pisc]:[has]],2,0)</f>
        <v>#N/A</v>
      </c>
      <c r="F117" s="18" t="e">
        <f>VLOOKUP($A:$A,Tabla4[[Columna1]:[PRECRIADERO]],15,0)</f>
        <v>#N/A</v>
      </c>
      <c r="G117" s="17" t="e">
        <f>VLOOKUP($A:$A,Tabla4[[Columna1]:[PRECRIADERO]],14,0)</f>
        <v>#N/A</v>
      </c>
      <c r="H117" s="18" t="e">
        <f>VLOOKUP(A:A,Tabla4[[Columna1]:[transferencia]],4,0)</f>
        <v>#N/A</v>
      </c>
      <c r="I117" s="124" t="e">
        <f>(VLOOKUP($A:$A,Tabla4[[Columna1]:[PRECRIADERO]],5,0))/E117</f>
        <v>#N/A</v>
      </c>
      <c r="J117" s="201" t="e">
        <f t="shared" ca="1" si="30"/>
        <v>#N/A</v>
      </c>
      <c r="K117" s="156">
        <f t="shared" si="32"/>
        <v>0</v>
      </c>
      <c r="L117" s="202" t="str">
        <f t="shared" si="31"/>
        <v/>
      </c>
      <c r="M117" s="202" t="e">
        <f>VLOOKUP($A:$A,Tabla4[[Columna1]:[PRECRIADERO]],8,0)</f>
        <v>#N/A</v>
      </c>
      <c r="N117" s="202" t="e">
        <f>VLOOKUP($A:$A,Tabla4[[Columna1]:[PRECRIADERO]],7,0)</f>
        <v>#N/A</v>
      </c>
    </row>
    <row r="118" spans="1:21" ht="12" customHeight="1" x14ac:dyDescent="0.25">
      <c r="A118" s="198" t="e">
        <f t="shared" si="33"/>
        <v>#N/A</v>
      </c>
      <c r="B118" s="199" t="str">
        <f t="shared" si="34"/>
        <v/>
      </c>
      <c r="C118" s="211" t="str">
        <f t="shared" si="35"/>
        <v/>
      </c>
      <c r="D118" s="212"/>
      <c r="E118" s="123" t="e">
        <f>VLOOKUP($A:$A,Tabla8[[sector/pisc]:[has]],2,0)</f>
        <v>#N/A</v>
      </c>
      <c r="F118" s="18" t="e">
        <f>VLOOKUP($A:$A,Tabla4[[Columna1]:[PRECRIADERO]],15,0)</f>
        <v>#N/A</v>
      </c>
      <c r="G118" s="17" t="e">
        <f>VLOOKUP($A:$A,Tabla4[[Columna1]:[PRECRIADERO]],14,0)</f>
        <v>#N/A</v>
      </c>
      <c r="H118" s="18" t="e">
        <f>VLOOKUP(A:A,Tabla4[[Columna1]:[transferencia]],4,0)</f>
        <v>#N/A</v>
      </c>
      <c r="I118" s="124" t="e">
        <f>(VLOOKUP($A:$A,Tabla4[[Columna1]:[PRECRIADERO]],5,0))/E118</f>
        <v>#N/A</v>
      </c>
      <c r="J118" s="201" t="e">
        <f t="shared" ca="1" si="30"/>
        <v>#N/A</v>
      </c>
      <c r="K118" s="156">
        <f t="shared" si="32"/>
        <v>0</v>
      </c>
      <c r="L118" s="202" t="str">
        <f t="shared" si="31"/>
        <v/>
      </c>
      <c r="M118" s="202" t="e">
        <f>VLOOKUP($A:$A,Tabla4[[Columna1]:[PRECRIADERO]],8,0)</f>
        <v>#N/A</v>
      </c>
      <c r="N118" s="202" t="e">
        <f>VLOOKUP($A:$A,Tabla4[[Columna1]:[PRECRIADERO]],7,0)</f>
        <v>#N/A</v>
      </c>
    </row>
    <row r="119" spans="1:21" ht="12" customHeight="1" x14ac:dyDescent="0.25">
      <c r="A119" s="198" t="e">
        <f t="shared" si="33"/>
        <v>#N/A</v>
      </c>
      <c r="B119" s="199" t="str">
        <f t="shared" si="34"/>
        <v/>
      </c>
      <c r="C119" s="211" t="str">
        <f t="shared" si="35"/>
        <v/>
      </c>
      <c r="D119" s="212"/>
      <c r="E119" s="123" t="e">
        <f>VLOOKUP($A:$A,Tabla8[[sector/pisc]:[has]],2,0)</f>
        <v>#N/A</v>
      </c>
      <c r="F119" s="18" t="e">
        <f>VLOOKUP($A:$A,Tabla4[[Columna1]:[PRECRIADERO]],15,0)</f>
        <v>#N/A</v>
      </c>
      <c r="G119" s="17" t="e">
        <f>VLOOKUP($A:$A,Tabla4[[Columna1]:[PRECRIADERO]],14,0)</f>
        <v>#N/A</v>
      </c>
      <c r="H119" s="18" t="e">
        <f>VLOOKUP(A:A,Tabla4[[Columna1]:[transferencia]],4,0)</f>
        <v>#N/A</v>
      </c>
      <c r="I119" s="124" t="e">
        <f>(VLOOKUP($A:$A,Tabla4[[Columna1]:[PRECRIADERO]],5,0))/E119</f>
        <v>#N/A</v>
      </c>
      <c r="J119" s="201" t="e">
        <f t="shared" ca="1" si="30"/>
        <v>#N/A</v>
      </c>
      <c r="K119" s="156">
        <f t="shared" si="32"/>
        <v>0</v>
      </c>
      <c r="L119" s="202" t="str">
        <f t="shared" si="31"/>
        <v/>
      </c>
      <c r="M119" s="202" t="e">
        <f>VLOOKUP($A:$A,Tabla4[[Columna1]:[PRECRIADERO]],8,0)</f>
        <v>#N/A</v>
      </c>
      <c r="N119" s="202" t="e">
        <f>VLOOKUP($A:$A,Tabla4[[Columna1]:[PRECRIADERO]],7,0)</f>
        <v>#N/A</v>
      </c>
    </row>
    <row r="120" spans="1:21" ht="12" customHeight="1" x14ac:dyDescent="0.25">
      <c r="A120" s="198" t="e">
        <f t="shared" si="33"/>
        <v>#N/A</v>
      </c>
      <c r="B120" s="199" t="str">
        <f t="shared" si="34"/>
        <v/>
      </c>
      <c r="C120" s="211" t="str">
        <f t="shared" si="35"/>
        <v/>
      </c>
      <c r="D120" s="212"/>
      <c r="E120" s="123" t="e">
        <f>VLOOKUP($A:$A,Tabla8[[sector/pisc]:[has]],2,0)</f>
        <v>#N/A</v>
      </c>
      <c r="F120" s="18" t="e">
        <f>VLOOKUP($A:$A,Tabla4[[Columna1]:[PRECRIADERO]],15,0)</f>
        <v>#N/A</v>
      </c>
      <c r="G120" s="17" t="e">
        <f>VLOOKUP($A:$A,Tabla4[[Columna1]:[PRECRIADERO]],14,0)</f>
        <v>#N/A</v>
      </c>
      <c r="H120" s="18" t="e">
        <f>VLOOKUP(A:A,Tabla4[[Columna1]:[transferencia]],4,0)</f>
        <v>#N/A</v>
      </c>
      <c r="I120" s="124" t="e">
        <f>(VLOOKUP($A:$A,Tabla4[[Columna1]:[PRECRIADERO]],5,0))/E120</f>
        <v>#N/A</v>
      </c>
      <c r="J120" s="201" t="e">
        <f t="shared" ca="1" si="30"/>
        <v>#N/A</v>
      </c>
      <c r="K120" s="156">
        <f t="shared" si="32"/>
        <v>0</v>
      </c>
      <c r="L120" s="202" t="str">
        <f t="shared" si="31"/>
        <v/>
      </c>
      <c r="M120" s="202" t="e">
        <f>VLOOKUP($A:$A,Tabla4[[Columna1]:[PRECRIADERO]],8,0)</f>
        <v>#N/A</v>
      </c>
      <c r="N120" s="202" t="e">
        <f>VLOOKUP($A:$A,Tabla4[[Columna1]:[PRECRIADERO]],7,0)</f>
        <v>#N/A</v>
      </c>
    </row>
    <row r="121" spans="1:21" ht="12" customHeight="1" x14ac:dyDescent="0.25">
      <c r="A121" s="198" t="e">
        <f t="shared" si="33"/>
        <v>#N/A</v>
      </c>
      <c r="B121" s="199" t="str">
        <f t="shared" si="34"/>
        <v/>
      </c>
      <c r="C121" s="211" t="str">
        <f t="shared" si="35"/>
        <v/>
      </c>
      <c r="D121" s="212"/>
      <c r="E121" s="123" t="e">
        <f>VLOOKUP($A:$A,Tabla8[[sector/pisc]:[has]],2,0)</f>
        <v>#N/A</v>
      </c>
      <c r="F121" s="18" t="e">
        <f>VLOOKUP($A:$A,Tabla4[[Columna1]:[PRECRIADERO]],15,0)</f>
        <v>#N/A</v>
      </c>
      <c r="G121" s="17" t="e">
        <f>VLOOKUP($A:$A,Tabla4[[Columna1]:[PRECRIADERO]],14,0)</f>
        <v>#N/A</v>
      </c>
      <c r="H121" s="18" t="e">
        <f>VLOOKUP(A:A,Tabla4[[Columna1]:[transferencia]],4,0)</f>
        <v>#N/A</v>
      </c>
      <c r="I121" s="124" t="e">
        <f>(VLOOKUP($A:$A,Tabla4[[Columna1]:[PRECRIADERO]],5,0))/E121</f>
        <v>#N/A</v>
      </c>
      <c r="J121" s="201" t="e">
        <f t="shared" ca="1" si="30"/>
        <v>#N/A</v>
      </c>
      <c r="K121" s="156">
        <f t="shared" si="32"/>
        <v>0</v>
      </c>
      <c r="L121" s="202" t="str">
        <f t="shared" si="31"/>
        <v/>
      </c>
      <c r="M121" s="202" t="e">
        <f>VLOOKUP($A:$A,Tabla4[[Columna1]:[PRECRIADERO]],8,0)</f>
        <v>#N/A</v>
      </c>
      <c r="N121" s="202" t="e">
        <f>VLOOKUP($A:$A,Tabla4[[Columna1]:[PRECRIADERO]],7,0)</f>
        <v>#N/A</v>
      </c>
    </row>
    <row r="122" spans="1:21" ht="12" customHeight="1" x14ac:dyDescent="0.25">
      <c r="A122" s="198" t="e">
        <f t="shared" si="33"/>
        <v>#N/A</v>
      </c>
      <c r="B122" s="199" t="str">
        <f t="shared" si="34"/>
        <v/>
      </c>
      <c r="C122" s="211" t="str">
        <f t="shared" si="35"/>
        <v/>
      </c>
      <c r="D122" s="212"/>
      <c r="E122" s="123" t="e">
        <f>VLOOKUP($A:$A,Tabla8[[sector/pisc]:[has]],2,0)</f>
        <v>#N/A</v>
      </c>
      <c r="F122" s="18" t="e">
        <f>VLOOKUP($A:$A,Tabla4[[Columna1]:[PRECRIADERO]],15,0)</f>
        <v>#N/A</v>
      </c>
      <c r="G122" s="17" t="e">
        <f>VLOOKUP($A:$A,Tabla4[[Columna1]:[PRECRIADERO]],14,0)</f>
        <v>#N/A</v>
      </c>
      <c r="H122" s="18" t="e">
        <f>VLOOKUP(A:A,Tabla4[[Columna1]:[transferencia]],4,0)</f>
        <v>#N/A</v>
      </c>
      <c r="I122" s="124" t="e">
        <f>(VLOOKUP($A:$A,Tabla4[[Columna1]:[PRECRIADERO]],5,0))/E122</f>
        <v>#N/A</v>
      </c>
      <c r="J122" s="201" t="e">
        <f t="shared" ca="1" si="30"/>
        <v>#N/A</v>
      </c>
      <c r="K122" s="156">
        <f t="shared" si="32"/>
        <v>0</v>
      </c>
      <c r="L122" s="202" t="str">
        <f t="shared" si="31"/>
        <v/>
      </c>
      <c r="M122" s="202" t="e">
        <f>VLOOKUP($A:$A,Tabla4[[Columna1]:[PRECRIADERO]],8,0)</f>
        <v>#N/A</v>
      </c>
      <c r="N122" s="202" t="e">
        <f>VLOOKUP($A:$A,Tabla4[[Columna1]:[PRECRIADERO]],7,0)</f>
        <v>#N/A</v>
      </c>
    </row>
    <row r="123" spans="1:21" ht="12" customHeight="1" x14ac:dyDescent="0.25">
      <c r="A123" s="198" t="e">
        <f t="shared" si="33"/>
        <v>#N/A</v>
      </c>
      <c r="B123" s="199" t="str">
        <f t="shared" si="34"/>
        <v/>
      </c>
      <c r="C123" s="211" t="str">
        <f t="shared" si="35"/>
        <v/>
      </c>
      <c r="D123" s="212"/>
      <c r="E123" s="123" t="e">
        <f>VLOOKUP($A:$A,Tabla8[[sector/pisc]:[has]],2,0)</f>
        <v>#N/A</v>
      </c>
      <c r="F123" s="18" t="e">
        <f>VLOOKUP($A:$A,Tabla4[[Columna1]:[PRECRIADERO]],15,0)</f>
        <v>#N/A</v>
      </c>
      <c r="G123" s="17" t="e">
        <f>VLOOKUP($A:$A,Tabla4[[Columna1]:[PRECRIADERO]],14,0)</f>
        <v>#N/A</v>
      </c>
      <c r="H123" s="18" t="e">
        <f>VLOOKUP(A:A,Tabla4[[Columna1]:[transferencia]],4,0)</f>
        <v>#N/A</v>
      </c>
      <c r="I123" s="124" t="e">
        <f>(VLOOKUP($A:$A,Tabla4[[Columna1]:[PRECRIADERO]],5,0))/E123</f>
        <v>#N/A</v>
      </c>
      <c r="J123" s="201" t="e">
        <f t="shared" ca="1" si="30"/>
        <v>#N/A</v>
      </c>
      <c r="K123" s="156">
        <f t="shared" si="32"/>
        <v>0</v>
      </c>
      <c r="L123" s="202" t="str">
        <f t="shared" si="31"/>
        <v/>
      </c>
      <c r="M123" s="202" t="e">
        <f>VLOOKUP($A:$A,Tabla4[[Columna1]:[PRECRIADERO]],8,0)</f>
        <v>#N/A</v>
      </c>
      <c r="N123" s="202" t="e">
        <f>VLOOKUP($A:$A,Tabla4[[Columna1]:[PRECRIADERO]],7,0)</f>
        <v>#N/A</v>
      </c>
    </row>
    <row r="124" spans="1:21" ht="12" customHeight="1" x14ac:dyDescent="0.25">
      <c r="A124" s="198" t="e">
        <f t="shared" si="33"/>
        <v>#N/A</v>
      </c>
      <c r="B124" s="199" t="str">
        <f t="shared" si="34"/>
        <v/>
      </c>
      <c r="C124" s="211" t="str">
        <f t="shared" si="35"/>
        <v/>
      </c>
      <c r="D124" s="212"/>
      <c r="E124" s="123" t="e">
        <f>VLOOKUP($A:$A,Tabla8[[sector/pisc]:[has]],2,0)</f>
        <v>#N/A</v>
      </c>
      <c r="F124" s="18" t="e">
        <f>VLOOKUP($A:$A,Tabla4[[Columna1]:[PRECRIADERO]],15,0)</f>
        <v>#N/A</v>
      </c>
      <c r="G124" s="17" t="e">
        <f>VLOOKUP($A:$A,Tabla4[[Columna1]:[PRECRIADERO]],14,0)</f>
        <v>#N/A</v>
      </c>
      <c r="H124" s="18" t="e">
        <f>VLOOKUP(A:A,Tabla4[[Columna1]:[transferencia]],4,0)</f>
        <v>#N/A</v>
      </c>
      <c r="I124" s="124" t="e">
        <f>(VLOOKUP($A:$A,Tabla4[[Columna1]:[PRECRIADERO]],5,0))/E124</f>
        <v>#N/A</v>
      </c>
      <c r="J124" s="201" t="e">
        <f t="shared" ca="1" si="30"/>
        <v>#N/A</v>
      </c>
      <c r="K124" s="156">
        <f t="shared" si="32"/>
        <v>0</v>
      </c>
      <c r="L124" s="202" t="str">
        <f t="shared" si="31"/>
        <v/>
      </c>
      <c r="M124" s="202" t="e">
        <f>VLOOKUP($A:$A,Tabla4[[Columna1]:[PRECRIADERO]],8,0)</f>
        <v>#N/A</v>
      </c>
      <c r="N124" s="202" t="e">
        <f>VLOOKUP($A:$A,Tabla4[[Columna1]:[PRECRIADERO]],7,0)</f>
        <v>#N/A</v>
      </c>
    </row>
    <row r="125" spans="1:21" ht="12" customHeight="1" x14ac:dyDescent="0.25">
      <c r="A125" s="198" t="e">
        <f t="shared" si="33"/>
        <v>#N/A</v>
      </c>
      <c r="B125" s="199" t="str">
        <f t="shared" si="34"/>
        <v/>
      </c>
      <c r="C125" s="211" t="str">
        <f t="shared" si="35"/>
        <v/>
      </c>
      <c r="D125" s="212"/>
    </row>
    <row r="126" spans="1:21" ht="12" customHeight="1" x14ac:dyDescent="0.25">
      <c r="A126" s="198" t="e">
        <f t="shared" si="33"/>
        <v>#N/A</v>
      </c>
      <c r="B126" s="199" t="str">
        <f t="shared" si="34"/>
        <v/>
      </c>
      <c r="C126" s="211" t="str">
        <f t="shared" si="35"/>
        <v/>
      </c>
      <c r="D126" s="212"/>
    </row>
    <row r="127" spans="1:21" ht="12" customHeight="1" x14ac:dyDescent="0.25">
      <c r="A127" s="198" t="e">
        <f t="shared" si="33"/>
        <v>#N/A</v>
      </c>
      <c r="B127" s="199" t="str">
        <f t="shared" si="34"/>
        <v/>
      </c>
      <c r="C127" s="211" t="str">
        <f t="shared" si="35"/>
        <v/>
      </c>
      <c r="D127" s="212"/>
    </row>
    <row r="128" spans="1:21" ht="12" customHeight="1" x14ac:dyDescent="0.25">
      <c r="A128" s="198" t="e">
        <f t="shared" si="33"/>
        <v>#N/A</v>
      </c>
      <c r="B128" s="199" t="str">
        <f t="shared" si="34"/>
        <v/>
      </c>
      <c r="C128" s="211" t="str">
        <f t="shared" si="35"/>
        <v/>
      </c>
      <c r="D128" s="212"/>
    </row>
    <row r="129" spans="1:6" ht="12" customHeight="1" x14ac:dyDescent="0.25">
      <c r="A129" s="198" t="e">
        <f t="shared" si="33"/>
        <v>#N/A</v>
      </c>
      <c r="B129" s="199" t="str">
        <f t="shared" si="34"/>
        <v/>
      </c>
      <c r="C129" s="211" t="str">
        <f t="shared" si="35"/>
        <v/>
      </c>
      <c r="D129" s="212"/>
    </row>
    <row r="130" spans="1:6" ht="12" customHeight="1" x14ac:dyDescent="0.25">
      <c r="A130" s="198" t="e">
        <f t="shared" si="33"/>
        <v>#N/A</v>
      </c>
      <c r="B130" s="199" t="str">
        <f t="shared" si="34"/>
        <v/>
      </c>
      <c r="C130" s="211" t="str">
        <f t="shared" si="35"/>
        <v/>
      </c>
      <c r="D130" s="212"/>
    </row>
    <row r="131" spans="1:6" ht="12" customHeight="1" x14ac:dyDescent="0.25">
      <c r="A131" s="198" t="e">
        <f t="shared" si="33"/>
        <v>#N/A</v>
      </c>
      <c r="B131" s="199" t="str">
        <f t="shared" si="34"/>
        <v/>
      </c>
      <c r="C131" s="200" t="str">
        <f t="shared" si="35"/>
        <v/>
      </c>
      <c r="E131" s="16"/>
      <c r="F131" s="16"/>
    </row>
    <row r="132" spans="1:6" ht="12" customHeight="1" x14ac:dyDescent="0.25">
      <c r="A132" s="198" t="e">
        <f t="shared" si="33"/>
        <v>#N/A</v>
      </c>
      <c r="B132" s="199" t="str">
        <f t="shared" si="34"/>
        <v/>
      </c>
      <c r="C132" s="200" t="str">
        <f t="shared" si="35"/>
        <v/>
      </c>
      <c r="E132" s="16"/>
      <c r="F132" s="16"/>
    </row>
    <row r="133" spans="1:6" ht="12" customHeight="1" x14ac:dyDescent="0.25">
      <c r="A133" s="198" t="e">
        <f t="shared" si="33"/>
        <v>#N/A</v>
      </c>
      <c r="B133" s="199" t="str">
        <f t="shared" si="34"/>
        <v/>
      </c>
      <c r="C133" s="200" t="str">
        <f t="shared" si="35"/>
        <v/>
      </c>
      <c r="E133" s="16"/>
      <c r="F133" s="16"/>
    </row>
    <row r="134" spans="1:6" ht="12" customHeight="1" x14ac:dyDescent="0.25">
      <c r="A134" s="198" t="e">
        <f t="shared" si="33"/>
        <v>#N/A</v>
      </c>
      <c r="B134" s="199" t="str">
        <f t="shared" si="34"/>
        <v/>
      </c>
      <c r="C134" s="200" t="str">
        <f t="shared" si="35"/>
        <v/>
      </c>
      <c r="E134" s="16"/>
      <c r="F134" s="16"/>
    </row>
    <row r="135" spans="1:6" ht="12" customHeight="1" x14ac:dyDescent="0.25">
      <c r="A135" s="198" t="e">
        <f t="shared" si="33"/>
        <v>#N/A</v>
      </c>
      <c r="B135" s="199" t="str">
        <f t="shared" si="34"/>
        <v/>
      </c>
      <c r="C135" s="200" t="str">
        <f t="shared" si="35"/>
        <v/>
      </c>
      <c r="E135" s="16"/>
      <c r="F135" s="16"/>
    </row>
    <row r="136" spans="1:6" ht="12" customHeight="1" x14ac:dyDescent="0.25">
      <c r="A136" s="198" t="e">
        <f t="shared" si="33"/>
        <v>#N/A</v>
      </c>
      <c r="B136" s="199" t="str">
        <f t="shared" si="34"/>
        <v/>
      </c>
      <c r="C136" s="200" t="str">
        <f t="shared" si="35"/>
        <v/>
      </c>
      <c r="E136" s="16"/>
      <c r="F136" s="16"/>
    </row>
    <row r="137" spans="1:6" ht="12" customHeight="1" x14ac:dyDescent="0.25">
      <c r="A137" s="198" t="e">
        <f t="shared" si="33"/>
        <v>#N/A</v>
      </c>
      <c r="B137" s="199" t="str">
        <f t="shared" si="34"/>
        <v/>
      </c>
      <c r="C137" s="200" t="str">
        <f t="shared" si="35"/>
        <v/>
      </c>
      <c r="E137" s="16"/>
      <c r="F137" s="16"/>
    </row>
    <row r="138" spans="1:6" ht="12" customHeight="1" x14ac:dyDescent="0.25">
      <c r="A138" s="198" t="e">
        <f t="shared" si="33"/>
        <v>#N/A</v>
      </c>
      <c r="B138" s="199" t="str">
        <f t="shared" si="34"/>
        <v/>
      </c>
      <c r="C138" s="200" t="str">
        <f t="shared" si="35"/>
        <v/>
      </c>
      <c r="E138" s="16"/>
      <c r="F138" s="16"/>
    </row>
    <row r="139" spans="1:6" ht="12" customHeight="1" x14ac:dyDescent="0.25">
      <c r="A139" s="198" t="e">
        <f t="shared" si="33"/>
        <v>#N/A</v>
      </c>
      <c r="B139" s="199" t="str">
        <f t="shared" si="34"/>
        <v/>
      </c>
      <c r="C139" s="200" t="str">
        <f t="shared" si="35"/>
        <v/>
      </c>
      <c r="E139" s="16"/>
      <c r="F139" s="16"/>
    </row>
    <row r="140" spans="1:6" ht="12" customHeight="1" x14ac:dyDescent="0.25">
      <c r="A140" s="198" t="e">
        <f t="shared" si="33"/>
        <v>#N/A</v>
      </c>
      <c r="B140" s="199" t="str">
        <f t="shared" si="34"/>
        <v/>
      </c>
      <c r="C140" s="200" t="str">
        <f t="shared" si="35"/>
        <v/>
      </c>
      <c r="E140" s="16"/>
      <c r="F140" s="16"/>
    </row>
    <row r="141" spans="1:6" ht="12" customHeight="1" x14ac:dyDescent="0.25">
      <c r="A141" s="198" t="e">
        <f t="shared" si="33"/>
        <v>#N/A</v>
      </c>
      <c r="B141" s="199" t="str">
        <f t="shared" si="34"/>
        <v/>
      </c>
      <c r="C141" s="200" t="str">
        <f t="shared" si="35"/>
        <v/>
      </c>
      <c r="E141" s="16"/>
      <c r="F141" s="16"/>
    </row>
    <row r="142" spans="1:6" ht="12" customHeight="1" x14ac:dyDescent="0.25">
      <c r="A142" s="198" t="e">
        <f t="shared" si="33"/>
        <v>#N/A</v>
      </c>
      <c r="B142" s="199" t="str">
        <f t="shared" si="34"/>
        <v/>
      </c>
      <c r="C142" s="200" t="str">
        <f t="shared" si="35"/>
        <v/>
      </c>
    </row>
    <row r="143" spans="1:6" ht="12" customHeight="1" x14ac:dyDescent="0.25">
      <c r="A143" s="198" t="e">
        <f t="shared" si="33"/>
        <v>#N/A</v>
      </c>
      <c r="B143" s="199" t="str">
        <f t="shared" si="34"/>
        <v/>
      </c>
      <c r="C143" s="200" t="str">
        <f t="shared" si="35"/>
        <v/>
      </c>
    </row>
    <row r="144" spans="1:6" ht="12" customHeight="1" x14ac:dyDescent="0.25">
      <c r="A144" s="198" t="e">
        <f t="shared" si="33"/>
        <v>#N/A</v>
      </c>
      <c r="B144" s="199" t="str">
        <f t="shared" si="34"/>
        <v/>
      </c>
      <c r="C144" s="200" t="str">
        <f t="shared" si="35"/>
        <v/>
      </c>
    </row>
    <row r="145" spans="1:3" ht="12" customHeight="1" x14ac:dyDescent="0.25">
      <c r="A145" s="198" t="e">
        <f t="shared" si="33"/>
        <v>#N/A</v>
      </c>
      <c r="B145" s="199" t="str">
        <f t="shared" si="34"/>
        <v/>
      </c>
      <c r="C145" s="200" t="str">
        <f t="shared" si="35"/>
        <v/>
      </c>
    </row>
    <row r="146" spans="1:3" ht="12" customHeight="1" x14ac:dyDescent="0.25">
      <c r="A146" s="198" t="e">
        <f t="shared" si="33"/>
        <v>#N/A</v>
      </c>
      <c r="B146" s="199" t="str">
        <f t="shared" si="34"/>
        <v/>
      </c>
      <c r="C146" s="200" t="str">
        <f t="shared" si="35"/>
        <v/>
      </c>
    </row>
    <row r="147" spans="1:3" ht="12" customHeight="1" x14ac:dyDescent="0.25">
      <c r="A147" s="198" t="e">
        <f t="shared" si="33"/>
        <v>#N/A</v>
      </c>
      <c r="B147" s="199" t="str">
        <f t="shared" si="34"/>
        <v/>
      </c>
      <c r="C147" s="200" t="str">
        <f t="shared" si="35"/>
        <v/>
      </c>
    </row>
    <row r="148" spans="1:3" ht="12" customHeight="1" x14ac:dyDescent="0.25">
      <c r="A148" s="198" t="e">
        <f t="shared" si="33"/>
        <v>#N/A</v>
      </c>
      <c r="B148" s="199" t="str">
        <f t="shared" si="34"/>
        <v/>
      </c>
      <c r="C148" s="200" t="str">
        <f t="shared" si="35"/>
        <v/>
      </c>
    </row>
    <row r="149" spans="1:3" ht="12" customHeight="1" x14ac:dyDescent="0.25">
      <c r="A149" s="198" t="e">
        <f t="shared" si="33"/>
        <v>#N/A</v>
      </c>
      <c r="B149" s="199" t="str">
        <f t="shared" si="34"/>
        <v/>
      </c>
      <c r="C149" s="200" t="str">
        <f t="shared" si="35"/>
        <v/>
      </c>
    </row>
    <row r="150" spans="1:3" ht="12" customHeight="1" x14ac:dyDescent="0.25">
      <c r="A150" s="198" t="e">
        <f t="shared" si="33"/>
        <v>#N/A</v>
      </c>
      <c r="B150" s="199" t="str">
        <f t="shared" si="34"/>
        <v/>
      </c>
      <c r="C150" s="200" t="str">
        <f t="shared" si="35"/>
        <v/>
      </c>
    </row>
    <row r="151" spans="1:3" ht="12" customHeight="1" x14ac:dyDescent="0.25">
      <c r="A151" s="198" t="e">
        <f t="shared" si="33"/>
        <v>#N/A</v>
      </c>
      <c r="B151" s="199" t="str">
        <f t="shared" si="34"/>
        <v/>
      </c>
      <c r="C151" s="200" t="str">
        <f t="shared" si="35"/>
        <v/>
      </c>
    </row>
    <row r="152" spans="1:3" ht="12" customHeight="1" x14ac:dyDescent="0.25">
      <c r="A152" s="198" t="e">
        <f t="shared" si="33"/>
        <v>#N/A</v>
      </c>
      <c r="B152" s="199" t="str">
        <f t="shared" si="34"/>
        <v/>
      </c>
      <c r="C152" s="200" t="str">
        <f t="shared" si="35"/>
        <v/>
      </c>
    </row>
    <row r="153" spans="1:3" ht="12" customHeight="1" x14ac:dyDescent="0.25">
      <c r="A153" s="198" t="e">
        <f t="shared" si="33"/>
        <v>#N/A</v>
      </c>
      <c r="B153" s="199" t="str">
        <f t="shared" si="34"/>
        <v/>
      </c>
      <c r="C153" s="200" t="str">
        <f t="shared" si="35"/>
        <v/>
      </c>
    </row>
    <row r="154" spans="1:3" ht="12" customHeight="1" x14ac:dyDescent="0.25">
      <c r="A154" s="198" t="e">
        <f t="shared" si="33"/>
        <v>#N/A</v>
      </c>
      <c r="B154" s="199" t="str">
        <f t="shared" si="34"/>
        <v/>
      </c>
      <c r="C154" s="200" t="str">
        <f t="shared" si="35"/>
        <v/>
      </c>
    </row>
    <row r="155" spans="1:3" ht="12" customHeight="1" x14ac:dyDescent="0.25">
      <c r="A155" s="198" t="e">
        <f t="shared" si="33"/>
        <v>#N/A</v>
      </c>
      <c r="B155" s="199" t="str">
        <f t="shared" si="34"/>
        <v/>
      </c>
      <c r="C155" s="200" t="str">
        <f t="shared" si="35"/>
        <v/>
      </c>
    </row>
    <row r="156" spans="1:3" ht="12" customHeight="1" x14ac:dyDescent="0.25">
      <c r="A156" s="198" t="e">
        <f t="shared" si="33"/>
        <v>#N/A</v>
      </c>
      <c r="B156" s="199" t="str">
        <f t="shared" si="34"/>
        <v/>
      </c>
      <c r="C156" s="200" t="str">
        <f t="shared" si="35"/>
        <v/>
      </c>
    </row>
    <row r="157" spans="1:3" ht="12" customHeight="1" x14ac:dyDescent="0.25">
      <c r="A157" s="198" t="e">
        <f t="shared" si="33"/>
        <v>#N/A</v>
      </c>
      <c r="B157" s="199" t="str">
        <f t="shared" si="34"/>
        <v/>
      </c>
      <c r="C157" s="200" t="str">
        <f t="shared" si="35"/>
        <v/>
      </c>
    </row>
    <row r="158" spans="1:3" ht="12" customHeight="1" x14ac:dyDescent="0.25">
      <c r="A158" s="198" t="e">
        <f t="shared" si="33"/>
        <v>#N/A</v>
      </c>
      <c r="B158" s="199" t="str">
        <f t="shared" si="34"/>
        <v/>
      </c>
      <c r="C158" s="200" t="str">
        <f t="shared" si="35"/>
        <v/>
      </c>
    </row>
    <row r="159" spans="1:3" ht="12" customHeight="1" x14ac:dyDescent="0.25">
      <c r="A159" s="198" t="e">
        <f t="shared" si="33"/>
        <v>#N/A</v>
      </c>
      <c r="B159" s="199" t="str">
        <f t="shared" si="34"/>
        <v/>
      </c>
      <c r="C159" s="200" t="str">
        <f t="shared" si="35"/>
        <v/>
      </c>
    </row>
    <row r="160" spans="1:3" ht="12" customHeight="1" x14ac:dyDescent="0.25">
      <c r="A160" s="198" t="e">
        <f t="shared" si="33"/>
        <v>#N/A</v>
      </c>
      <c r="B160" s="199" t="str">
        <f t="shared" si="34"/>
        <v/>
      </c>
      <c r="C160" s="200" t="str">
        <f t="shared" si="35"/>
        <v/>
      </c>
    </row>
    <row r="161" spans="1:3" ht="12" customHeight="1" x14ac:dyDescent="0.25">
      <c r="A161" s="198" t="e">
        <f t="shared" si="33"/>
        <v>#N/A</v>
      </c>
      <c r="B161" s="199" t="str">
        <f t="shared" si="34"/>
        <v/>
      </c>
      <c r="C161" s="200" t="str">
        <f t="shared" si="35"/>
        <v/>
      </c>
    </row>
    <row r="162" spans="1:3" ht="12" customHeight="1" x14ac:dyDescent="0.25">
      <c r="A162" s="198" t="e">
        <f t="shared" si="33"/>
        <v>#N/A</v>
      </c>
      <c r="B162" s="199" t="str">
        <f t="shared" si="34"/>
        <v/>
      </c>
      <c r="C162" s="200" t="str">
        <f t="shared" si="35"/>
        <v/>
      </c>
    </row>
    <row r="163" spans="1:3" ht="12" customHeight="1" x14ac:dyDescent="0.25">
      <c r="A163" s="198" t="e">
        <f t="shared" si="33"/>
        <v>#N/A</v>
      </c>
      <c r="B163" s="199" t="str">
        <f t="shared" si="34"/>
        <v/>
      </c>
      <c r="C163" s="200" t="str">
        <f t="shared" si="35"/>
        <v/>
      </c>
    </row>
    <row r="164" spans="1:3" ht="12" customHeight="1" x14ac:dyDescent="0.25">
      <c r="A164" s="198" t="e">
        <f t="shared" si="33"/>
        <v>#N/A</v>
      </c>
      <c r="B164" s="199" t="str">
        <f t="shared" si="34"/>
        <v/>
      </c>
      <c r="C164" s="200" t="str">
        <f t="shared" si="35"/>
        <v/>
      </c>
    </row>
    <row r="165" spans="1:3" ht="12" customHeight="1" x14ac:dyDescent="0.25">
      <c r="A165" s="198" t="e">
        <f t="shared" ref="A165:A228" si="36">CONCATENATE(VLOOKUP(B165,$E$56:$F$73,2,0)," ",C165)</f>
        <v>#N/A</v>
      </c>
      <c r="B165" s="199" t="str">
        <f t="shared" ref="B165:B228" si="37">IFERROR(LEFT(D165,LEN(D165)-LEN(RIGHT(D165,2))-1),"")</f>
        <v/>
      </c>
      <c r="C165" s="200" t="str">
        <f t="shared" ref="C165:C228" si="38">RIGHT(D165,2)</f>
        <v/>
      </c>
    </row>
    <row r="166" spans="1:3" ht="12" customHeight="1" x14ac:dyDescent="0.25">
      <c r="A166" s="198" t="e">
        <f t="shared" si="36"/>
        <v>#N/A</v>
      </c>
      <c r="B166" s="199" t="str">
        <f t="shared" si="37"/>
        <v/>
      </c>
      <c r="C166" s="200" t="str">
        <f t="shared" si="38"/>
        <v/>
      </c>
    </row>
    <row r="167" spans="1:3" ht="12" customHeight="1" x14ac:dyDescent="0.25">
      <c r="A167" s="198" t="e">
        <f t="shared" si="36"/>
        <v>#N/A</v>
      </c>
      <c r="B167" s="199" t="str">
        <f t="shared" si="37"/>
        <v/>
      </c>
      <c r="C167" s="200" t="str">
        <f t="shared" si="38"/>
        <v/>
      </c>
    </row>
    <row r="168" spans="1:3" ht="12" customHeight="1" x14ac:dyDescent="0.25">
      <c r="A168" s="198" t="e">
        <f t="shared" si="36"/>
        <v>#N/A</v>
      </c>
      <c r="B168" s="199" t="str">
        <f t="shared" si="37"/>
        <v/>
      </c>
      <c r="C168" s="200" t="str">
        <f t="shared" si="38"/>
        <v/>
      </c>
    </row>
    <row r="169" spans="1:3" ht="12" customHeight="1" x14ac:dyDescent="0.25">
      <c r="A169" s="198" t="e">
        <f t="shared" si="36"/>
        <v>#N/A</v>
      </c>
      <c r="B169" s="199" t="str">
        <f t="shared" si="37"/>
        <v/>
      </c>
      <c r="C169" s="200" t="str">
        <f t="shared" si="38"/>
        <v/>
      </c>
    </row>
    <row r="170" spans="1:3" ht="12" customHeight="1" x14ac:dyDescent="0.25">
      <c r="A170" s="198" t="e">
        <f t="shared" si="36"/>
        <v>#N/A</v>
      </c>
      <c r="B170" s="199" t="str">
        <f t="shared" si="37"/>
        <v/>
      </c>
      <c r="C170" s="200" t="str">
        <f t="shared" si="38"/>
        <v/>
      </c>
    </row>
    <row r="171" spans="1:3" ht="12" customHeight="1" x14ac:dyDescent="0.25">
      <c r="A171" s="198" t="e">
        <f t="shared" si="36"/>
        <v>#N/A</v>
      </c>
      <c r="B171" s="199" t="str">
        <f t="shared" si="37"/>
        <v/>
      </c>
      <c r="C171" s="200" t="str">
        <f t="shared" si="38"/>
        <v/>
      </c>
    </row>
    <row r="172" spans="1:3" ht="12" customHeight="1" x14ac:dyDescent="0.25">
      <c r="A172" s="198" t="e">
        <f t="shared" si="36"/>
        <v>#N/A</v>
      </c>
      <c r="B172" s="199" t="str">
        <f t="shared" si="37"/>
        <v/>
      </c>
      <c r="C172" s="200" t="str">
        <f t="shared" si="38"/>
        <v/>
      </c>
    </row>
    <row r="173" spans="1:3" ht="12" customHeight="1" x14ac:dyDescent="0.25">
      <c r="A173" s="198" t="e">
        <f t="shared" si="36"/>
        <v>#N/A</v>
      </c>
      <c r="B173" s="199" t="str">
        <f t="shared" si="37"/>
        <v/>
      </c>
      <c r="C173" s="200" t="str">
        <f t="shared" si="38"/>
        <v/>
      </c>
    </row>
    <row r="174" spans="1:3" ht="12" customHeight="1" x14ac:dyDescent="0.25">
      <c r="A174" s="198" t="e">
        <f t="shared" si="36"/>
        <v>#N/A</v>
      </c>
      <c r="B174" s="199" t="str">
        <f t="shared" si="37"/>
        <v/>
      </c>
      <c r="C174" s="200" t="str">
        <f t="shared" si="38"/>
        <v/>
      </c>
    </row>
    <row r="175" spans="1:3" ht="12" customHeight="1" x14ac:dyDescent="0.25">
      <c r="A175" s="198" t="e">
        <f t="shared" si="36"/>
        <v>#N/A</v>
      </c>
      <c r="B175" s="199" t="str">
        <f t="shared" si="37"/>
        <v/>
      </c>
      <c r="C175" s="200" t="str">
        <f t="shared" si="38"/>
        <v/>
      </c>
    </row>
    <row r="176" spans="1:3" ht="12" customHeight="1" x14ac:dyDescent="0.25">
      <c r="A176" s="198" t="e">
        <f t="shared" si="36"/>
        <v>#N/A</v>
      </c>
      <c r="B176" s="199" t="str">
        <f t="shared" si="37"/>
        <v/>
      </c>
      <c r="C176" s="200" t="str">
        <f t="shared" si="38"/>
        <v/>
      </c>
    </row>
    <row r="177" spans="1:3" ht="12" customHeight="1" x14ac:dyDescent="0.25">
      <c r="A177" s="198" t="e">
        <f t="shared" si="36"/>
        <v>#N/A</v>
      </c>
      <c r="B177" s="199" t="str">
        <f t="shared" si="37"/>
        <v/>
      </c>
      <c r="C177" s="200" t="str">
        <f t="shared" si="38"/>
        <v/>
      </c>
    </row>
    <row r="178" spans="1:3" ht="12" customHeight="1" x14ac:dyDescent="0.25">
      <c r="A178" s="198" t="e">
        <f t="shared" si="36"/>
        <v>#N/A</v>
      </c>
      <c r="B178" s="199" t="str">
        <f t="shared" si="37"/>
        <v/>
      </c>
      <c r="C178" s="200" t="str">
        <f t="shared" si="38"/>
        <v/>
      </c>
    </row>
    <row r="179" spans="1:3" ht="12" customHeight="1" x14ac:dyDescent="0.25">
      <c r="A179" s="198" t="e">
        <f t="shared" si="36"/>
        <v>#N/A</v>
      </c>
      <c r="B179" s="199" t="str">
        <f t="shared" si="37"/>
        <v/>
      </c>
      <c r="C179" s="200" t="str">
        <f t="shared" si="38"/>
        <v/>
      </c>
    </row>
    <row r="180" spans="1:3" ht="12" customHeight="1" x14ac:dyDescent="0.25">
      <c r="A180" s="198" t="e">
        <f t="shared" si="36"/>
        <v>#N/A</v>
      </c>
      <c r="B180" s="199" t="str">
        <f t="shared" si="37"/>
        <v/>
      </c>
      <c r="C180" s="200" t="str">
        <f t="shared" si="38"/>
        <v/>
      </c>
    </row>
    <row r="181" spans="1:3" ht="12" customHeight="1" x14ac:dyDescent="0.25">
      <c r="A181" s="198" t="e">
        <f t="shared" si="36"/>
        <v>#N/A</v>
      </c>
      <c r="B181" s="199" t="str">
        <f t="shared" si="37"/>
        <v/>
      </c>
      <c r="C181" s="200" t="str">
        <f t="shared" si="38"/>
        <v/>
      </c>
    </row>
    <row r="182" spans="1:3" ht="12" customHeight="1" x14ac:dyDescent="0.25">
      <c r="A182" s="198" t="e">
        <f t="shared" si="36"/>
        <v>#N/A</v>
      </c>
      <c r="B182" s="199" t="str">
        <f t="shared" si="37"/>
        <v/>
      </c>
      <c r="C182" s="200" t="str">
        <f t="shared" si="38"/>
        <v/>
      </c>
    </row>
    <row r="183" spans="1:3" ht="12" customHeight="1" x14ac:dyDescent="0.25">
      <c r="A183" s="198" t="e">
        <f t="shared" si="36"/>
        <v>#N/A</v>
      </c>
      <c r="B183" s="199" t="str">
        <f t="shared" si="37"/>
        <v/>
      </c>
      <c r="C183" s="200" t="str">
        <f t="shared" si="38"/>
        <v/>
      </c>
    </row>
    <row r="184" spans="1:3" ht="12" customHeight="1" x14ac:dyDescent="0.25">
      <c r="A184" s="198" t="e">
        <f t="shared" si="36"/>
        <v>#N/A</v>
      </c>
      <c r="B184" s="199" t="str">
        <f t="shared" si="37"/>
        <v/>
      </c>
      <c r="C184" s="200" t="str">
        <f t="shared" si="38"/>
        <v/>
      </c>
    </row>
    <row r="185" spans="1:3" ht="12" customHeight="1" x14ac:dyDescent="0.25">
      <c r="A185" s="198" t="e">
        <f t="shared" si="36"/>
        <v>#N/A</v>
      </c>
      <c r="B185" s="199" t="str">
        <f t="shared" si="37"/>
        <v/>
      </c>
      <c r="C185" s="200" t="str">
        <f t="shared" si="38"/>
        <v/>
      </c>
    </row>
    <row r="186" spans="1:3" ht="12" customHeight="1" x14ac:dyDescent="0.25">
      <c r="A186" s="198" t="e">
        <f t="shared" si="36"/>
        <v>#N/A</v>
      </c>
      <c r="B186" s="199" t="str">
        <f t="shared" si="37"/>
        <v/>
      </c>
      <c r="C186" s="200" t="str">
        <f t="shared" si="38"/>
        <v/>
      </c>
    </row>
    <row r="187" spans="1:3" ht="12" customHeight="1" x14ac:dyDescent="0.25">
      <c r="A187" s="198" t="e">
        <f t="shared" si="36"/>
        <v>#N/A</v>
      </c>
      <c r="B187" s="199" t="str">
        <f t="shared" si="37"/>
        <v/>
      </c>
      <c r="C187" s="200" t="str">
        <f t="shared" si="38"/>
        <v/>
      </c>
    </row>
    <row r="188" spans="1:3" ht="12" customHeight="1" x14ac:dyDescent="0.25">
      <c r="A188" s="198" t="e">
        <f t="shared" si="36"/>
        <v>#N/A</v>
      </c>
      <c r="B188" s="199" t="str">
        <f t="shared" si="37"/>
        <v/>
      </c>
      <c r="C188" s="200" t="str">
        <f t="shared" si="38"/>
        <v/>
      </c>
    </row>
    <row r="189" spans="1:3" ht="12" customHeight="1" x14ac:dyDescent="0.25">
      <c r="A189" s="198" t="e">
        <f t="shared" si="36"/>
        <v>#N/A</v>
      </c>
      <c r="B189" s="199" t="str">
        <f t="shared" si="37"/>
        <v/>
      </c>
      <c r="C189" s="200" t="str">
        <f t="shared" si="38"/>
        <v/>
      </c>
    </row>
    <row r="190" spans="1:3" ht="12" customHeight="1" x14ac:dyDescent="0.25">
      <c r="A190" s="198" t="e">
        <f t="shared" si="36"/>
        <v>#N/A</v>
      </c>
      <c r="B190" s="199" t="str">
        <f t="shared" si="37"/>
        <v/>
      </c>
      <c r="C190" s="200" t="str">
        <f t="shared" si="38"/>
        <v/>
      </c>
    </row>
    <row r="191" spans="1:3" ht="12" customHeight="1" x14ac:dyDescent="0.25">
      <c r="A191" s="198" t="e">
        <f t="shared" si="36"/>
        <v>#N/A</v>
      </c>
      <c r="B191" s="199" t="str">
        <f t="shared" si="37"/>
        <v/>
      </c>
      <c r="C191" s="200" t="str">
        <f t="shared" si="38"/>
        <v/>
      </c>
    </row>
    <row r="192" spans="1:3" ht="12" customHeight="1" x14ac:dyDescent="0.25">
      <c r="A192" s="198" t="e">
        <f t="shared" si="36"/>
        <v>#N/A</v>
      </c>
      <c r="B192" s="199" t="str">
        <f t="shared" si="37"/>
        <v/>
      </c>
      <c r="C192" s="200" t="str">
        <f t="shared" si="38"/>
        <v/>
      </c>
    </row>
    <row r="193" spans="1:3" ht="12" customHeight="1" x14ac:dyDescent="0.25">
      <c r="A193" s="198" t="e">
        <f t="shared" si="36"/>
        <v>#N/A</v>
      </c>
      <c r="B193" s="199" t="str">
        <f t="shared" si="37"/>
        <v/>
      </c>
      <c r="C193" s="200" t="str">
        <f t="shared" si="38"/>
        <v/>
      </c>
    </row>
    <row r="194" spans="1:3" ht="12" customHeight="1" x14ac:dyDescent="0.25">
      <c r="A194" s="198" t="e">
        <f t="shared" si="36"/>
        <v>#N/A</v>
      </c>
      <c r="B194" s="199" t="str">
        <f t="shared" si="37"/>
        <v/>
      </c>
      <c r="C194" s="200" t="str">
        <f t="shared" si="38"/>
        <v/>
      </c>
    </row>
    <row r="195" spans="1:3" ht="12" customHeight="1" x14ac:dyDescent="0.25">
      <c r="A195" s="198" t="e">
        <f t="shared" si="36"/>
        <v>#N/A</v>
      </c>
      <c r="B195" s="199" t="str">
        <f t="shared" si="37"/>
        <v/>
      </c>
      <c r="C195" s="200" t="str">
        <f t="shared" si="38"/>
        <v/>
      </c>
    </row>
    <row r="196" spans="1:3" ht="12" customHeight="1" x14ac:dyDescent="0.25">
      <c r="A196" s="198" t="e">
        <f t="shared" si="36"/>
        <v>#N/A</v>
      </c>
      <c r="B196" s="199" t="str">
        <f t="shared" si="37"/>
        <v/>
      </c>
      <c r="C196" s="200" t="str">
        <f t="shared" si="38"/>
        <v/>
      </c>
    </row>
    <row r="197" spans="1:3" ht="12" customHeight="1" x14ac:dyDescent="0.25">
      <c r="A197" s="198" t="e">
        <f t="shared" si="36"/>
        <v>#N/A</v>
      </c>
      <c r="B197" s="199" t="str">
        <f t="shared" si="37"/>
        <v/>
      </c>
      <c r="C197" s="200" t="str">
        <f t="shared" si="38"/>
        <v/>
      </c>
    </row>
    <row r="198" spans="1:3" ht="12" customHeight="1" x14ac:dyDescent="0.25">
      <c r="A198" s="198" t="e">
        <f t="shared" si="36"/>
        <v>#N/A</v>
      </c>
      <c r="B198" s="199" t="str">
        <f t="shared" si="37"/>
        <v/>
      </c>
      <c r="C198" s="200" t="str">
        <f t="shared" si="38"/>
        <v/>
      </c>
    </row>
    <row r="199" spans="1:3" ht="12" customHeight="1" x14ac:dyDescent="0.25">
      <c r="A199" s="198" t="e">
        <f t="shared" si="36"/>
        <v>#N/A</v>
      </c>
      <c r="B199" s="199" t="str">
        <f t="shared" si="37"/>
        <v/>
      </c>
      <c r="C199" s="200" t="str">
        <f t="shared" si="38"/>
        <v/>
      </c>
    </row>
    <row r="200" spans="1:3" ht="12" customHeight="1" x14ac:dyDescent="0.25">
      <c r="A200" s="198" t="e">
        <f t="shared" si="36"/>
        <v>#N/A</v>
      </c>
      <c r="B200" s="199" t="str">
        <f t="shared" si="37"/>
        <v/>
      </c>
      <c r="C200" s="200" t="str">
        <f t="shared" si="38"/>
        <v/>
      </c>
    </row>
    <row r="201" spans="1:3" ht="12" customHeight="1" x14ac:dyDescent="0.25">
      <c r="A201" s="198" t="e">
        <f t="shared" si="36"/>
        <v>#N/A</v>
      </c>
      <c r="B201" s="199" t="str">
        <f t="shared" si="37"/>
        <v/>
      </c>
      <c r="C201" s="200" t="str">
        <f t="shared" si="38"/>
        <v/>
      </c>
    </row>
    <row r="202" spans="1:3" ht="12" customHeight="1" x14ac:dyDescent="0.25">
      <c r="A202" s="198" t="e">
        <f t="shared" si="36"/>
        <v>#N/A</v>
      </c>
      <c r="B202" s="199" t="str">
        <f t="shared" si="37"/>
        <v/>
      </c>
      <c r="C202" s="200" t="str">
        <f t="shared" si="38"/>
        <v/>
      </c>
    </row>
    <row r="203" spans="1:3" ht="12" customHeight="1" x14ac:dyDescent="0.25">
      <c r="A203" s="198" t="e">
        <f t="shared" si="36"/>
        <v>#N/A</v>
      </c>
      <c r="B203" s="199" t="str">
        <f t="shared" si="37"/>
        <v/>
      </c>
      <c r="C203" s="200" t="str">
        <f t="shared" si="38"/>
        <v/>
      </c>
    </row>
    <row r="204" spans="1:3" ht="12" customHeight="1" x14ac:dyDescent="0.25">
      <c r="A204" s="198" t="e">
        <f t="shared" si="36"/>
        <v>#N/A</v>
      </c>
      <c r="B204" s="199" t="str">
        <f t="shared" si="37"/>
        <v/>
      </c>
      <c r="C204" s="200" t="str">
        <f t="shared" si="38"/>
        <v/>
      </c>
    </row>
    <row r="205" spans="1:3" ht="12" customHeight="1" x14ac:dyDescent="0.25">
      <c r="A205" s="198" t="e">
        <f t="shared" si="36"/>
        <v>#N/A</v>
      </c>
      <c r="B205" s="199" t="str">
        <f t="shared" si="37"/>
        <v/>
      </c>
      <c r="C205" s="200" t="str">
        <f t="shared" si="38"/>
        <v/>
      </c>
    </row>
    <row r="206" spans="1:3" ht="12" customHeight="1" x14ac:dyDescent="0.25">
      <c r="A206" s="198" t="e">
        <f t="shared" si="36"/>
        <v>#N/A</v>
      </c>
      <c r="B206" s="199" t="str">
        <f t="shared" si="37"/>
        <v/>
      </c>
      <c r="C206" s="200" t="str">
        <f t="shared" si="38"/>
        <v/>
      </c>
    </row>
    <row r="207" spans="1:3" ht="12" customHeight="1" x14ac:dyDescent="0.25">
      <c r="A207" s="198" t="e">
        <f t="shared" si="36"/>
        <v>#N/A</v>
      </c>
      <c r="B207" s="199" t="str">
        <f t="shared" si="37"/>
        <v/>
      </c>
      <c r="C207" s="200" t="str">
        <f t="shared" si="38"/>
        <v/>
      </c>
    </row>
    <row r="208" spans="1:3" ht="12" customHeight="1" x14ac:dyDescent="0.25">
      <c r="A208" s="198" t="e">
        <f t="shared" si="36"/>
        <v>#N/A</v>
      </c>
      <c r="B208" s="199" t="str">
        <f t="shared" si="37"/>
        <v/>
      </c>
      <c r="C208" s="200" t="str">
        <f t="shared" si="38"/>
        <v/>
      </c>
    </row>
    <row r="209" spans="1:3" ht="12" customHeight="1" x14ac:dyDescent="0.25">
      <c r="A209" s="198" t="e">
        <f t="shared" si="36"/>
        <v>#N/A</v>
      </c>
      <c r="B209" s="199" t="str">
        <f t="shared" si="37"/>
        <v/>
      </c>
      <c r="C209" s="200" t="str">
        <f t="shared" si="38"/>
        <v/>
      </c>
    </row>
    <row r="210" spans="1:3" ht="12" customHeight="1" x14ac:dyDescent="0.25">
      <c r="A210" s="198" t="e">
        <f t="shared" si="36"/>
        <v>#N/A</v>
      </c>
      <c r="B210" s="199" t="str">
        <f t="shared" si="37"/>
        <v/>
      </c>
      <c r="C210" s="200" t="str">
        <f t="shared" si="38"/>
        <v/>
      </c>
    </row>
    <row r="211" spans="1:3" ht="12" customHeight="1" x14ac:dyDescent="0.25">
      <c r="A211" s="198" t="e">
        <f t="shared" si="36"/>
        <v>#N/A</v>
      </c>
      <c r="B211" s="199" t="str">
        <f t="shared" si="37"/>
        <v/>
      </c>
      <c r="C211" s="200" t="str">
        <f t="shared" si="38"/>
        <v/>
      </c>
    </row>
    <row r="212" spans="1:3" ht="12" customHeight="1" x14ac:dyDescent="0.25">
      <c r="A212" s="198" t="e">
        <f t="shared" si="36"/>
        <v>#N/A</v>
      </c>
      <c r="B212" s="199" t="str">
        <f t="shared" si="37"/>
        <v/>
      </c>
      <c r="C212" s="200" t="str">
        <f t="shared" si="38"/>
        <v/>
      </c>
    </row>
    <row r="213" spans="1:3" ht="12" customHeight="1" x14ac:dyDescent="0.25">
      <c r="A213" s="198" t="e">
        <f t="shared" si="36"/>
        <v>#N/A</v>
      </c>
      <c r="B213" s="199" t="str">
        <f t="shared" si="37"/>
        <v/>
      </c>
      <c r="C213" s="200" t="str">
        <f t="shared" si="38"/>
        <v/>
      </c>
    </row>
    <row r="214" spans="1:3" ht="12" customHeight="1" x14ac:dyDescent="0.25">
      <c r="A214" s="198" t="e">
        <f t="shared" si="36"/>
        <v>#N/A</v>
      </c>
      <c r="B214" s="199" t="str">
        <f t="shared" si="37"/>
        <v/>
      </c>
      <c r="C214" s="200" t="str">
        <f t="shared" si="38"/>
        <v/>
      </c>
    </row>
    <row r="215" spans="1:3" ht="12" customHeight="1" x14ac:dyDescent="0.25">
      <c r="A215" s="198" t="e">
        <f t="shared" si="36"/>
        <v>#N/A</v>
      </c>
      <c r="B215" s="199" t="str">
        <f t="shared" si="37"/>
        <v/>
      </c>
      <c r="C215" s="200" t="str">
        <f t="shared" si="38"/>
        <v/>
      </c>
    </row>
    <row r="216" spans="1:3" ht="12" customHeight="1" x14ac:dyDescent="0.25">
      <c r="A216" s="198" t="e">
        <f t="shared" si="36"/>
        <v>#N/A</v>
      </c>
      <c r="B216" s="199" t="str">
        <f t="shared" si="37"/>
        <v/>
      </c>
      <c r="C216" s="200" t="str">
        <f t="shared" si="38"/>
        <v/>
      </c>
    </row>
    <row r="217" spans="1:3" ht="12" customHeight="1" x14ac:dyDescent="0.25">
      <c r="A217" s="198" t="e">
        <f t="shared" si="36"/>
        <v>#N/A</v>
      </c>
      <c r="B217" s="199" t="str">
        <f t="shared" si="37"/>
        <v/>
      </c>
      <c r="C217" s="200" t="str">
        <f t="shared" si="38"/>
        <v/>
      </c>
    </row>
    <row r="218" spans="1:3" ht="12" customHeight="1" x14ac:dyDescent="0.25">
      <c r="A218" s="198" t="e">
        <f t="shared" si="36"/>
        <v>#N/A</v>
      </c>
      <c r="B218" s="199" t="str">
        <f t="shared" si="37"/>
        <v/>
      </c>
      <c r="C218" s="200" t="str">
        <f t="shared" si="38"/>
        <v/>
      </c>
    </row>
    <row r="219" spans="1:3" ht="12" customHeight="1" x14ac:dyDescent="0.25">
      <c r="A219" s="198" t="e">
        <f t="shared" si="36"/>
        <v>#N/A</v>
      </c>
      <c r="B219" s="199" t="str">
        <f t="shared" si="37"/>
        <v/>
      </c>
      <c r="C219" s="200" t="str">
        <f t="shared" si="38"/>
        <v/>
      </c>
    </row>
    <row r="220" spans="1:3" ht="12" customHeight="1" x14ac:dyDescent="0.25">
      <c r="A220" s="198" t="e">
        <f t="shared" si="36"/>
        <v>#N/A</v>
      </c>
      <c r="B220" s="199" t="str">
        <f t="shared" si="37"/>
        <v/>
      </c>
      <c r="C220" s="200" t="str">
        <f t="shared" si="38"/>
        <v/>
      </c>
    </row>
    <row r="221" spans="1:3" ht="12" customHeight="1" x14ac:dyDescent="0.25">
      <c r="A221" s="198" t="e">
        <f t="shared" si="36"/>
        <v>#N/A</v>
      </c>
      <c r="B221" s="199" t="str">
        <f t="shared" si="37"/>
        <v/>
      </c>
      <c r="C221" s="200" t="str">
        <f t="shared" si="38"/>
        <v/>
      </c>
    </row>
    <row r="222" spans="1:3" ht="12" customHeight="1" x14ac:dyDescent="0.25">
      <c r="A222" s="198" t="e">
        <f t="shared" si="36"/>
        <v>#N/A</v>
      </c>
      <c r="B222" s="199" t="str">
        <f t="shared" si="37"/>
        <v/>
      </c>
      <c r="C222" s="200" t="str">
        <f t="shared" si="38"/>
        <v/>
      </c>
    </row>
    <row r="223" spans="1:3" ht="12" customHeight="1" x14ac:dyDescent="0.25">
      <c r="A223" s="198" t="e">
        <f t="shared" si="36"/>
        <v>#N/A</v>
      </c>
      <c r="B223" s="199" t="str">
        <f t="shared" si="37"/>
        <v/>
      </c>
      <c r="C223" s="200" t="str">
        <f t="shared" si="38"/>
        <v/>
      </c>
    </row>
    <row r="224" spans="1:3" ht="12" customHeight="1" x14ac:dyDescent="0.25">
      <c r="A224" s="198" t="e">
        <f t="shared" si="36"/>
        <v>#N/A</v>
      </c>
      <c r="B224" s="199" t="str">
        <f t="shared" si="37"/>
        <v/>
      </c>
      <c r="C224" s="200" t="str">
        <f t="shared" si="38"/>
        <v/>
      </c>
    </row>
    <row r="225" spans="1:3" ht="12" customHeight="1" x14ac:dyDescent="0.25">
      <c r="A225" s="198" t="e">
        <f t="shared" si="36"/>
        <v>#N/A</v>
      </c>
      <c r="B225" s="199" t="str">
        <f t="shared" si="37"/>
        <v/>
      </c>
      <c r="C225" s="200" t="str">
        <f t="shared" si="38"/>
        <v/>
      </c>
    </row>
    <row r="226" spans="1:3" ht="12" customHeight="1" x14ac:dyDescent="0.25">
      <c r="A226" s="198" t="e">
        <f t="shared" si="36"/>
        <v>#N/A</v>
      </c>
      <c r="B226" s="199" t="str">
        <f t="shared" si="37"/>
        <v/>
      </c>
      <c r="C226" s="200" t="str">
        <f t="shared" si="38"/>
        <v/>
      </c>
    </row>
    <row r="227" spans="1:3" ht="12" customHeight="1" x14ac:dyDescent="0.25">
      <c r="A227" s="198" t="e">
        <f t="shared" si="36"/>
        <v>#N/A</v>
      </c>
      <c r="B227" s="199" t="str">
        <f t="shared" si="37"/>
        <v/>
      </c>
      <c r="C227" s="200" t="str">
        <f t="shared" si="38"/>
        <v/>
      </c>
    </row>
    <row r="228" spans="1:3" ht="12" customHeight="1" x14ac:dyDescent="0.25">
      <c r="A228" s="198" t="e">
        <f t="shared" si="36"/>
        <v>#N/A</v>
      </c>
      <c r="B228" s="199" t="str">
        <f t="shared" si="37"/>
        <v/>
      </c>
      <c r="C228" s="200" t="str">
        <f t="shared" si="38"/>
        <v/>
      </c>
    </row>
    <row r="229" spans="1:3" ht="12" customHeight="1" x14ac:dyDescent="0.25">
      <c r="A229" s="198" t="e">
        <f t="shared" ref="A229:A292" si="39">CONCATENATE(VLOOKUP(B229,$E$56:$F$73,2,0)," ",C229)</f>
        <v>#N/A</v>
      </c>
      <c r="B229" s="199" t="str">
        <f t="shared" ref="B229:B292" si="40">IFERROR(LEFT(D229,LEN(D229)-LEN(RIGHT(D229,2))-1),"")</f>
        <v/>
      </c>
      <c r="C229" s="200" t="str">
        <f t="shared" ref="C229:C292" si="41">RIGHT(D229,2)</f>
        <v/>
      </c>
    </row>
    <row r="230" spans="1:3" ht="12" customHeight="1" x14ac:dyDescent="0.25">
      <c r="A230" s="198" t="e">
        <f t="shared" si="39"/>
        <v>#N/A</v>
      </c>
      <c r="B230" s="199" t="str">
        <f t="shared" si="40"/>
        <v/>
      </c>
      <c r="C230" s="200" t="str">
        <f t="shared" si="41"/>
        <v/>
      </c>
    </row>
    <row r="231" spans="1:3" ht="12" customHeight="1" x14ac:dyDescent="0.25">
      <c r="A231" s="198" t="e">
        <f t="shared" si="39"/>
        <v>#N/A</v>
      </c>
      <c r="B231" s="199" t="str">
        <f t="shared" si="40"/>
        <v/>
      </c>
      <c r="C231" s="200" t="str">
        <f t="shared" si="41"/>
        <v/>
      </c>
    </row>
    <row r="232" spans="1:3" ht="12" customHeight="1" x14ac:dyDescent="0.25">
      <c r="A232" s="198" t="e">
        <f t="shared" si="39"/>
        <v>#N/A</v>
      </c>
      <c r="B232" s="199" t="str">
        <f t="shared" si="40"/>
        <v/>
      </c>
      <c r="C232" s="200" t="str">
        <f t="shared" si="41"/>
        <v/>
      </c>
    </row>
    <row r="233" spans="1:3" ht="12" customHeight="1" x14ac:dyDescent="0.25">
      <c r="A233" s="198" t="e">
        <f t="shared" si="39"/>
        <v>#N/A</v>
      </c>
      <c r="B233" s="199" t="str">
        <f t="shared" si="40"/>
        <v/>
      </c>
      <c r="C233" s="200" t="str">
        <f t="shared" si="41"/>
        <v/>
      </c>
    </row>
    <row r="234" spans="1:3" ht="12" customHeight="1" x14ac:dyDescent="0.25">
      <c r="A234" s="198" t="e">
        <f t="shared" si="39"/>
        <v>#N/A</v>
      </c>
      <c r="B234" s="199" t="str">
        <f t="shared" si="40"/>
        <v/>
      </c>
      <c r="C234" s="200" t="str">
        <f t="shared" si="41"/>
        <v/>
      </c>
    </row>
    <row r="235" spans="1:3" ht="12" customHeight="1" x14ac:dyDescent="0.25">
      <c r="A235" s="198" t="e">
        <f t="shared" si="39"/>
        <v>#N/A</v>
      </c>
      <c r="B235" s="199" t="str">
        <f t="shared" si="40"/>
        <v/>
      </c>
      <c r="C235" s="200" t="str">
        <f t="shared" si="41"/>
        <v/>
      </c>
    </row>
    <row r="236" spans="1:3" ht="12" customHeight="1" x14ac:dyDescent="0.25">
      <c r="A236" s="198" t="e">
        <f t="shared" si="39"/>
        <v>#N/A</v>
      </c>
      <c r="B236" s="199" t="str">
        <f t="shared" si="40"/>
        <v/>
      </c>
      <c r="C236" s="200" t="str">
        <f t="shared" si="41"/>
        <v/>
      </c>
    </row>
    <row r="237" spans="1:3" ht="12" customHeight="1" x14ac:dyDescent="0.25">
      <c r="A237" s="198" t="e">
        <f t="shared" si="39"/>
        <v>#N/A</v>
      </c>
      <c r="B237" s="199" t="str">
        <f t="shared" si="40"/>
        <v/>
      </c>
      <c r="C237" s="200" t="str">
        <f t="shared" si="41"/>
        <v/>
      </c>
    </row>
    <row r="238" spans="1:3" ht="12" customHeight="1" x14ac:dyDescent="0.25">
      <c r="A238" s="198" t="e">
        <f t="shared" si="39"/>
        <v>#N/A</v>
      </c>
      <c r="B238" s="199" t="str">
        <f t="shared" si="40"/>
        <v/>
      </c>
      <c r="C238" s="200" t="str">
        <f t="shared" si="41"/>
        <v/>
      </c>
    </row>
    <row r="239" spans="1:3" ht="12" customHeight="1" x14ac:dyDescent="0.25">
      <c r="A239" s="198" t="e">
        <f t="shared" si="39"/>
        <v>#N/A</v>
      </c>
      <c r="B239" s="199" t="str">
        <f t="shared" si="40"/>
        <v/>
      </c>
      <c r="C239" s="200" t="str">
        <f t="shared" si="41"/>
        <v/>
      </c>
    </row>
    <row r="240" spans="1:3" ht="12" customHeight="1" x14ac:dyDescent="0.25">
      <c r="A240" s="198" t="e">
        <f t="shared" si="39"/>
        <v>#N/A</v>
      </c>
      <c r="B240" s="199" t="str">
        <f t="shared" si="40"/>
        <v/>
      </c>
      <c r="C240" s="200" t="str">
        <f t="shared" si="41"/>
        <v/>
      </c>
    </row>
    <row r="241" spans="1:3" ht="12" customHeight="1" x14ac:dyDescent="0.25">
      <c r="A241" s="198" t="e">
        <f t="shared" si="39"/>
        <v>#N/A</v>
      </c>
      <c r="B241" s="199" t="str">
        <f t="shared" si="40"/>
        <v/>
      </c>
      <c r="C241" s="200" t="str">
        <f t="shared" si="41"/>
        <v/>
      </c>
    </row>
    <row r="242" spans="1:3" ht="12" customHeight="1" x14ac:dyDescent="0.25">
      <c r="A242" s="198" t="e">
        <f t="shared" si="39"/>
        <v>#N/A</v>
      </c>
      <c r="B242" s="199" t="str">
        <f t="shared" si="40"/>
        <v/>
      </c>
      <c r="C242" s="200" t="str">
        <f t="shared" si="41"/>
        <v/>
      </c>
    </row>
    <row r="243" spans="1:3" ht="12" customHeight="1" x14ac:dyDescent="0.25">
      <c r="A243" s="198" t="e">
        <f t="shared" si="39"/>
        <v>#N/A</v>
      </c>
      <c r="B243" s="199" t="str">
        <f t="shared" si="40"/>
        <v/>
      </c>
      <c r="C243" s="200" t="str">
        <f t="shared" si="41"/>
        <v/>
      </c>
    </row>
    <row r="244" spans="1:3" ht="12" customHeight="1" x14ac:dyDescent="0.25">
      <c r="A244" s="198" t="e">
        <f t="shared" si="39"/>
        <v>#N/A</v>
      </c>
      <c r="B244" s="199" t="str">
        <f t="shared" si="40"/>
        <v/>
      </c>
      <c r="C244" s="200" t="str">
        <f t="shared" si="41"/>
        <v/>
      </c>
    </row>
    <row r="245" spans="1:3" ht="12" customHeight="1" x14ac:dyDescent="0.25">
      <c r="A245" s="198" t="e">
        <f t="shared" si="39"/>
        <v>#N/A</v>
      </c>
      <c r="B245" s="199" t="str">
        <f t="shared" si="40"/>
        <v/>
      </c>
      <c r="C245" s="200" t="str">
        <f t="shared" si="41"/>
        <v/>
      </c>
    </row>
    <row r="246" spans="1:3" ht="12" customHeight="1" x14ac:dyDescent="0.25">
      <c r="A246" s="198" t="e">
        <f t="shared" si="39"/>
        <v>#N/A</v>
      </c>
      <c r="B246" s="199" t="str">
        <f t="shared" si="40"/>
        <v/>
      </c>
      <c r="C246" s="200" t="str">
        <f t="shared" si="41"/>
        <v/>
      </c>
    </row>
    <row r="247" spans="1:3" ht="12" customHeight="1" x14ac:dyDescent="0.25">
      <c r="A247" s="198" t="e">
        <f t="shared" si="39"/>
        <v>#N/A</v>
      </c>
      <c r="B247" s="199" t="str">
        <f t="shared" si="40"/>
        <v/>
      </c>
      <c r="C247" s="200" t="str">
        <f t="shared" si="41"/>
        <v/>
      </c>
    </row>
    <row r="248" spans="1:3" ht="12" customHeight="1" x14ac:dyDescent="0.25">
      <c r="A248" s="198" t="e">
        <f t="shared" si="39"/>
        <v>#N/A</v>
      </c>
      <c r="B248" s="199" t="str">
        <f t="shared" si="40"/>
        <v/>
      </c>
      <c r="C248" s="200" t="str">
        <f t="shared" si="41"/>
        <v/>
      </c>
    </row>
    <row r="249" spans="1:3" ht="12" customHeight="1" x14ac:dyDescent="0.25">
      <c r="A249" s="198" t="e">
        <f t="shared" si="39"/>
        <v>#N/A</v>
      </c>
      <c r="B249" s="199" t="str">
        <f t="shared" si="40"/>
        <v/>
      </c>
      <c r="C249" s="200" t="str">
        <f t="shared" si="41"/>
        <v/>
      </c>
    </row>
    <row r="250" spans="1:3" ht="12" customHeight="1" x14ac:dyDescent="0.25">
      <c r="A250" s="198" t="e">
        <f t="shared" si="39"/>
        <v>#N/A</v>
      </c>
      <c r="B250" s="199" t="str">
        <f t="shared" si="40"/>
        <v/>
      </c>
      <c r="C250" s="200" t="str">
        <f t="shared" si="41"/>
        <v/>
      </c>
    </row>
    <row r="251" spans="1:3" ht="12" customHeight="1" x14ac:dyDescent="0.25">
      <c r="A251" s="198" t="e">
        <f t="shared" si="39"/>
        <v>#N/A</v>
      </c>
      <c r="B251" s="199" t="str">
        <f t="shared" si="40"/>
        <v/>
      </c>
      <c r="C251" s="200" t="str">
        <f t="shared" si="41"/>
        <v/>
      </c>
    </row>
    <row r="252" spans="1:3" ht="12" customHeight="1" x14ac:dyDescent="0.25">
      <c r="A252" s="198" t="e">
        <f t="shared" si="39"/>
        <v>#N/A</v>
      </c>
      <c r="B252" s="199" t="str">
        <f t="shared" si="40"/>
        <v/>
      </c>
      <c r="C252" s="200" t="str">
        <f t="shared" si="41"/>
        <v/>
      </c>
    </row>
    <row r="253" spans="1:3" ht="12" customHeight="1" x14ac:dyDescent="0.25">
      <c r="A253" s="198" t="e">
        <f t="shared" si="39"/>
        <v>#N/A</v>
      </c>
      <c r="B253" s="199" t="str">
        <f t="shared" si="40"/>
        <v/>
      </c>
      <c r="C253" s="200" t="str">
        <f t="shared" si="41"/>
        <v/>
      </c>
    </row>
    <row r="254" spans="1:3" ht="12" customHeight="1" x14ac:dyDescent="0.25">
      <c r="A254" s="198" t="e">
        <f t="shared" si="39"/>
        <v>#N/A</v>
      </c>
      <c r="B254" s="199" t="str">
        <f t="shared" si="40"/>
        <v/>
      </c>
      <c r="C254" s="200" t="str">
        <f t="shared" si="41"/>
        <v/>
      </c>
    </row>
    <row r="255" spans="1:3" ht="12" customHeight="1" x14ac:dyDescent="0.25">
      <c r="A255" s="198" t="e">
        <f t="shared" si="39"/>
        <v>#N/A</v>
      </c>
      <c r="B255" s="199" t="str">
        <f t="shared" si="40"/>
        <v/>
      </c>
      <c r="C255" s="200" t="str">
        <f t="shared" si="41"/>
        <v/>
      </c>
    </row>
    <row r="256" spans="1:3" ht="12" customHeight="1" x14ac:dyDescent="0.25">
      <c r="A256" s="198" t="e">
        <f t="shared" si="39"/>
        <v>#N/A</v>
      </c>
      <c r="B256" s="199" t="str">
        <f t="shared" si="40"/>
        <v/>
      </c>
      <c r="C256" s="200" t="str">
        <f t="shared" si="41"/>
        <v/>
      </c>
    </row>
    <row r="257" spans="1:3" ht="12" customHeight="1" x14ac:dyDescent="0.25">
      <c r="A257" s="198" t="e">
        <f t="shared" si="39"/>
        <v>#N/A</v>
      </c>
      <c r="B257" s="199" t="str">
        <f t="shared" si="40"/>
        <v/>
      </c>
      <c r="C257" s="200" t="str">
        <f t="shared" si="41"/>
        <v/>
      </c>
    </row>
    <row r="258" spans="1:3" ht="12" customHeight="1" x14ac:dyDescent="0.25">
      <c r="A258" s="198" t="e">
        <f t="shared" si="39"/>
        <v>#N/A</v>
      </c>
      <c r="B258" s="199" t="str">
        <f t="shared" si="40"/>
        <v/>
      </c>
      <c r="C258" s="200" t="str">
        <f t="shared" si="41"/>
        <v/>
      </c>
    </row>
    <row r="259" spans="1:3" ht="12" customHeight="1" x14ac:dyDescent="0.25">
      <c r="A259" s="198" t="e">
        <f t="shared" si="39"/>
        <v>#N/A</v>
      </c>
      <c r="B259" s="199" t="str">
        <f t="shared" si="40"/>
        <v/>
      </c>
      <c r="C259" s="200" t="str">
        <f t="shared" si="41"/>
        <v/>
      </c>
    </row>
    <row r="260" spans="1:3" ht="12" customHeight="1" x14ac:dyDescent="0.25">
      <c r="A260" s="198" t="e">
        <f t="shared" si="39"/>
        <v>#N/A</v>
      </c>
      <c r="B260" s="199" t="str">
        <f t="shared" si="40"/>
        <v/>
      </c>
      <c r="C260" s="200" t="str">
        <f t="shared" si="41"/>
        <v/>
      </c>
    </row>
    <row r="261" spans="1:3" ht="12" customHeight="1" x14ac:dyDescent="0.25">
      <c r="A261" s="198" t="e">
        <f t="shared" si="39"/>
        <v>#N/A</v>
      </c>
      <c r="B261" s="199" t="str">
        <f t="shared" si="40"/>
        <v/>
      </c>
      <c r="C261" s="200" t="str">
        <f t="shared" si="41"/>
        <v/>
      </c>
    </row>
    <row r="262" spans="1:3" ht="12" customHeight="1" x14ac:dyDescent="0.25">
      <c r="A262" s="198" t="e">
        <f t="shared" si="39"/>
        <v>#N/A</v>
      </c>
      <c r="B262" s="199" t="str">
        <f t="shared" si="40"/>
        <v/>
      </c>
      <c r="C262" s="200" t="str">
        <f t="shared" si="41"/>
        <v/>
      </c>
    </row>
    <row r="263" spans="1:3" ht="12" customHeight="1" x14ac:dyDescent="0.25">
      <c r="A263" s="198" t="e">
        <f t="shared" si="39"/>
        <v>#N/A</v>
      </c>
      <c r="B263" s="199" t="str">
        <f t="shared" si="40"/>
        <v/>
      </c>
      <c r="C263" s="200" t="str">
        <f t="shared" si="41"/>
        <v/>
      </c>
    </row>
    <row r="264" spans="1:3" ht="12" customHeight="1" x14ac:dyDescent="0.25">
      <c r="A264" s="198" t="e">
        <f t="shared" si="39"/>
        <v>#N/A</v>
      </c>
      <c r="B264" s="199" t="str">
        <f t="shared" si="40"/>
        <v/>
      </c>
      <c r="C264" s="200" t="str">
        <f t="shared" si="41"/>
        <v/>
      </c>
    </row>
    <row r="265" spans="1:3" ht="12" customHeight="1" x14ac:dyDescent="0.25">
      <c r="A265" s="198" t="e">
        <f t="shared" si="39"/>
        <v>#N/A</v>
      </c>
      <c r="B265" s="199" t="str">
        <f t="shared" si="40"/>
        <v/>
      </c>
      <c r="C265" s="200" t="str">
        <f t="shared" si="41"/>
        <v/>
      </c>
    </row>
    <row r="266" spans="1:3" ht="12" customHeight="1" x14ac:dyDescent="0.25">
      <c r="A266" s="198" t="e">
        <f t="shared" si="39"/>
        <v>#N/A</v>
      </c>
      <c r="B266" s="199" t="str">
        <f t="shared" si="40"/>
        <v/>
      </c>
      <c r="C266" s="200" t="str">
        <f t="shared" si="41"/>
        <v/>
      </c>
    </row>
    <row r="267" spans="1:3" ht="12" customHeight="1" x14ac:dyDescent="0.25">
      <c r="A267" s="198" t="e">
        <f t="shared" si="39"/>
        <v>#N/A</v>
      </c>
      <c r="B267" s="199" t="str">
        <f t="shared" si="40"/>
        <v/>
      </c>
      <c r="C267" s="200" t="str">
        <f t="shared" si="41"/>
        <v/>
      </c>
    </row>
    <row r="268" spans="1:3" ht="12" customHeight="1" x14ac:dyDescent="0.25">
      <c r="A268" s="198" t="e">
        <f t="shared" si="39"/>
        <v>#N/A</v>
      </c>
      <c r="B268" s="199" t="str">
        <f t="shared" si="40"/>
        <v/>
      </c>
      <c r="C268" s="200" t="str">
        <f t="shared" si="41"/>
        <v/>
      </c>
    </row>
    <row r="269" spans="1:3" ht="12" customHeight="1" x14ac:dyDescent="0.25">
      <c r="A269" s="198" t="e">
        <f t="shared" si="39"/>
        <v>#N/A</v>
      </c>
      <c r="B269" s="199" t="str">
        <f t="shared" si="40"/>
        <v/>
      </c>
      <c r="C269" s="200" t="str">
        <f t="shared" si="41"/>
        <v/>
      </c>
    </row>
    <row r="270" spans="1:3" ht="12" customHeight="1" x14ac:dyDescent="0.25">
      <c r="A270" s="198" t="e">
        <f t="shared" si="39"/>
        <v>#N/A</v>
      </c>
      <c r="B270" s="199" t="str">
        <f t="shared" si="40"/>
        <v/>
      </c>
      <c r="C270" s="200" t="str">
        <f t="shared" si="41"/>
        <v/>
      </c>
    </row>
    <row r="271" spans="1:3" ht="12" customHeight="1" x14ac:dyDescent="0.25">
      <c r="A271" s="198" t="e">
        <f t="shared" si="39"/>
        <v>#N/A</v>
      </c>
      <c r="B271" s="199" t="str">
        <f t="shared" si="40"/>
        <v/>
      </c>
      <c r="C271" s="200" t="str">
        <f t="shared" si="41"/>
        <v/>
      </c>
    </row>
    <row r="272" spans="1:3" ht="12" customHeight="1" x14ac:dyDescent="0.25">
      <c r="A272" s="198" t="e">
        <f t="shared" si="39"/>
        <v>#N/A</v>
      </c>
      <c r="B272" s="199" t="str">
        <f t="shared" si="40"/>
        <v/>
      </c>
      <c r="C272" s="200" t="str">
        <f t="shared" si="41"/>
        <v/>
      </c>
    </row>
    <row r="273" spans="1:3" ht="12" customHeight="1" x14ac:dyDescent="0.25">
      <c r="A273" s="198" t="e">
        <f t="shared" si="39"/>
        <v>#N/A</v>
      </c>
      <c r="B273" s="199" t="str">
        <f t="shared" si="40"/>
        <v/>
      </c>
      <c r="C273" s="200" t="str">
        <f t="shared" si="41"/>
        <v/>
      </c>
    </row>
    <row r="274" spans="1:3" ht="12" customHeight="1" x14ac:dyDescent="0.25">
      <c r="A274" s="198" t="e">
        <f t="shared" si="39"/>
        <v>#N/A</v>
      </c>
      <c r="B274" s="199" t="str">
        <f t="shared" si="40"/>
        <v/>
      </c>
      <c r="C274" s="200" t="str">
        <f t="shared" si="41"/>
        <v/>
      </c>
    </row>
    <row r="275" spans="1:3" ht="12" customHeight="1" x14ac:dyDescent="0.25">
      <c r="A275" s="198" t="e">
        <f t="shared" si="39"/>
        <v>#N/A</v>
      </c>
      <c r="B275" s="199" t="str">
        <f t="shared" si="40"/>
        <v/>
      </c>
      <c r="C275" s="200" t="str">
        <f t="shared" si="41"/>
        <v/>
      </c>
    </row>
    <row r="276" spans="1:3" ht="12" customHeight="1" x14ac:dyDescent="0.25">
      <c r="A276" s="198" t="e">
        <f t="shared" si="39"/>
        <v>#N/A</v>
      </c>
      <c r="B276" s="199" t="str">
        <f t="shared" si="40"/>
        <v/>
      </c>
      <c r="C276" s="200" t="str">
        <f t="shared" si="41"/>
        <v/>
      </c>
    </row>
    <row r="277" spans="1:3" ht="12" customHeight="1" x14ac:dyDescent="0.25">
      <c r="A277" s="198" t="e">
        <f t="shared" si="39"/>
        <v>#N/A</v>
      </c>
      <c r="B277" s="199" t="str">
        <f t="shared" si="40"/>
        <v/>
      </c>
      <c r="C277" s="200" t="str">
        <f t="shared" si="41"/>
        <v/>
      </c>
    </row>
    <row r="278" spans="1:3" ht="12" customHeight="1" x14ac:dyDescent="0.25">
      <c r="A278" s="198" t="e">
        <f t="shared" si="39"/>
        <v>#N/A</v>
      </c>
      <c r="B278" s="199" t="str">
        <f t="shared" si="40"/>
        <v/>
      </c>
      <c r="C278" s="200" t="str">
        <f t="shared" si="41"/>
        <v/>
      </c>
    </row>
    <row r="279" spans="1:3" ht="12" customHeight="1" x14ac:dyDescent="0.25">
      <c r="A279" s="198" t="e">
        <f t="shared" si="39"/>
        <v>#N/A</v>
      </c>
      <c r="B279" s="199" t="str">
        <f t="shared" si="40"/>
        <v/>
      </c>
      <c r="C279" s="200" t="str">
        <f t="shared" si="41"/>
        <v/>
      </c>
    </row>
    <row r="280" spans="1:3" ht="12" customHeight="1" x14ac:dyDescent="0.25">
      <c r="A280" s="198" t="e">
        <f t="shared" si="39"/>
        <v>#N/A</v>
      </c>
      <c r="B280" s="199" t="str">
        <f t="shared" si="40"/>
        <v/>
      </c>
      <c r="C280" s="200" t="str">
        <f t="shared" si="41"/>
        <v/>
      </c>
    </row>
    <row r="281" spans="1:3" ht="12" customHeight="1" x14ac:dyDescent="0.25">
      <c r="A281" s="198" t="e">
        <f t="shared" si="39"/>
        <v>#N/A</v>
      </c>
      <c r="B281" s="199" t="str">
        <f t="shared" si="40"/>
        <v/>
      </c>
      <c r="C281" s="200" t="str">
        <f t="shared" si="41"/>
        <v/>
      </c>
    </row>
    <row r="282" spans="1:3" ht="12" customHeight="1" x14ac:dyDescent="0.25">
      <c r="A282" s="198" t="e">
        <f t="shared" si="39"/>
        <v>#N/A</v>
      </c>
      <c r="B282" s="199" t="str">
        <f t="shared" si="40"/>
        <v/>
      </c>
      <c r="C282" s="200" t="str">
        <f t="shared" si="41"/>
        <v/>
      </c>
    </row>
    <row r="283" spans="1:3" ht="12" customHeight="1" x14ac:dyDescent="0.25">
      <c r="A283" s="198" t="e">
        <f t="shared" si="39"/>
        <v>#N/A</v>
      </c>
      <c r="B283" s="199" t="str">
        <f t="shared" si="40"/>
        <v/>
      </c>
      <c r="C283" s="200" t="str">
        <f t="shared" si="41"/>
        <v/>
      </c>
    </row>
    <row r="284" spans="1:3" ht="12" customHeight="1" x14ac:dyDescent="0.25">
      <c r="A284" s="198" t="e">
        <f t="shared" si="39"/>
        <v>#N/A</v>
      </c>
      <c r="B284" s="199" t="str">
        <f t="shared" si="40"/>
        <v/>
      </c>
      <c r="C284" s="200" t="str">
        <f t="shared" si="41"/>
        <v/>
      </c>
    </row>
    <row r="285" spans="1:3" ht="12" customHeight="1" x14ac:dyDescent="0.25">
      <c r="A285" s="198" t="e">
        <f t="shared" si="39"/>
        <v>#N/A</v>
      </c>
      <c r="B285" s="199" t="str">
        <f t="shared" si="40"/>
        <v/>
      </c>
      <c r="C285" s="200" t="str">
        <f t="shared" si="41"/>
        <v/>
      </c>
    </row>
    <row r="286" spans="1:3" ht="12" customHeight="1" x14ac:dyDescent="0.25">
      <c r="A286" s="198" t="e">
        <f t="shared" si="39"/>
        <v>#N/A</v>
      </c>
      <c r="B286" s="199" t="str">
        <f t="shared" si="40"/>
        <v/>
      </c>
      <c r="C286" s="200" t="str">
        <f t="shared" si="41"/>
        <v/>
      </c>
    </row>
    <row r="287" spans="1:3" ht="12" customHeight="1" x14ac:dyDescent="0.25">
      <c r="A287" s="198" t="e">
        <f t="shared" si="39"/>
        <v>#N/A</v>
      </c>
      <c r="B287" s="199" t="str">
        <f t="shared" si="40"/>
        <v/>
      </c>
      <c r="C287" s="200" t="str">
        <f t="shared" si="41"/>
        <v/>
      </c>
    </row>
    <row r="288" spans="1:3" ht="12" customHeight="1" x14ac:dyDescent="0.25">
      <c r="A288" s="198" t="e">
        <f t="shared" si="39"/>
        <v>#N/A</v>
      </c>
      <c r="B288" s="199" t="str">
        <f t="shared" si="40"/>
        <v/>
      </c>
      <c r="C288" s="200" t="str">
        <f t="shared" si="41"/>
        <v/>
      </c>
    </row>
    <row r="289" spans="1:3" ht="12" customHeight="1" x14ac:dyDescent="0.25">
      <c r="A289" s="198" t="e">
        <f t="shared" si="39"/>
        <v>#N/A</v>
      </c>
      <c r="B289" s="199" t="str">
        <f t="shared" si="40"/>
        <v/>
      </c>
      <c r="C289" s="200" t="str">
        <f t="shared" si="41"/>
        <v/>
      </c>
    </row>
    <row r="290" spans="1:3" ht="12" customHeight="1" x14ac:dyDescent="0.25">
      <c r="A290" s="198" t="e">
        <f t="shared" si="39"/>
        <v>#N/A</v>
      </c>
      <c r="B290" s="199" t="str">
        <f t="shared" si="40"/>
        <v/>
      </c>
      <c r="C290" s="200" t="str">
        <f t="shared" si="41"/>
        <v/>
      </c>
    </row>
    <row r="291" spans="1:3" ht="12" customHeight="1" x14ac:dyDescent="0.25">
      <c r="A291" s="198" t="e">
        <f t="shared" si="39"/>
        <v>#N/A</v>
      </c>
      <c r="B291" s="199" t="str">
        <f t="shared" si="40"/>
        <v/>
      </c>
      <c r="C291" s="200" t="str">
        <f t="shared" si="41"/>
        <v/>
      </c>
    </row>
    <row r="292" spans="1:3" ht="12" customHeight="1" x14ac:dyDescent="0.25">
      <c r="A292" s="198" t="e">
        <f t="shared" si="39"/>
        <v>#N/A</v>
      </c>
      <c r="B292" s="199" t="str">
        <f t="shared" si="40"/>
        <v/>
      </c>
      <c r="C292" s="200" t="str">
        <f t="shared" si="41"/>
        <v/>
      </c>
    </row>
    <row r="293" spans="1:3" ht="12" customHeight="1" x14ac:dyDescent="0.25">
      <c r="A293" s="198" t="e">
        <f t="shared" ref="A293:A335" si="42">CONCATENATE(VLOOKUP(B293,$E$56:$F$73,2,0)," ",C293)</f>
        <v>#N/A</v>
      </c>
      <c r="B293" s="199" t="str">
        <f t="shared" ref="B293:B335" si="43">IFERROR(LEFT(D293,LEN(D293)-LEN(RIGHT(D293,2))-1),"")</f>
        <v/>
      </c>
      <c r="C293" s="200" t="str">
        <f t="shared" ref="C293:C335" si="44">RIGHT(D293,2)</f>
        <v/>
      </c>
    </row>
    <row r="294" spans="1:3" ht="12" customHeight="1" x14ac:dyDescent="0.25">
      <c r="A294" s="198" t="e">
        <f t="shared" si="42"/>
        <v>#N/A</v>
      </c>
      <c r="B294" s="199" t="str">
        <f t="shared" si="43"/>
        <v/>
      </c>
      <c r="C294" s="200" t="str">
        <f t="shared" si="44"/>
        <v/>
      </c>
    </row>
    <row r="295" spans="1:3" ht="12" customHeight="1" x14ac:dyDescent="0.25">
      <c r="A295" s="198" t="e">
        <f t="shared" si="42"/>
        <v>#N/A</v>
      </c>
      <c r="B295" s="199" t="str">
        <f t="shared" si="43"/>
        <v/>
      </c>
      <c r="C295" s="200" t="str">
        <f t="shared" si="44"/>
        <v/>
      </c>
    </row>
    <row r="296" spans="1:3" ht="12" customHeight="1" x14ac:dyDescent="0.25">
      <c r="A296" s="198" t="e">
        <f t="shared" si="42"/>
        <v>#N/A</v>
      </c>
      <c r="B296" s="199" t="str">
        <f t="shared" si="43"/>
        <v/>
      </c>
      <c r="C296" s="200" t="str">
        <f t="shared" si="44"/>
        <v/>
      </c>
    </row>
    <row r="297" spans="1:3" ht="12" customHeight="1" x14ac:dyDescent="0.25">
      <c r="A297" s="198" t="e">
        <f t="shared" si="42"/>
        <v>#N/A</v>
      </c>
      <c r="B297" s="199" t="str">
        <f t="shared" si="43"/>
        <v/>
      </c>
      <c r="C297" s="200" t="str">
        <f t="shared" si="44"/>
        <v/>
      </c>
    </row>
    <row r="298" spans="1:3" ht="12" customHeight="1" x14ac:dyDescent="0.25">
      <c r="A298" s="198" t="e">
        <f t="shared" si="42"/>
        <v>#N/A</v>
      </c>
      <c r="B298" s="199" t="str">
        <f t="shared" si="43"/>
        <v/>
      </c>
      <c r="C298" s="200" t="str">
        <f t="shared" si="44"/>
        <v/>
      </c>
    </row>
    <row r="299" spans="1:3" ht="12" customHeight="1" x14ac:dyDescent="0.25">
      <c r="A299" s="198" t="e">
        <f t="shared" si="42"/>
        <v>#N/A</v>
      </c>
      <c r="B299" s="199" t="str">
        <f t="shared" si="43"/>
        <v/>
      </c>
      <c r="C299" s="200" t="str">
        <f t="shared" si="44"/>
        <v/>
      </c>
    </row>
    <row r="300" spans="1:3" ht="12" customHeight="1" x14ac:dyDescent="0.25">
      <c r="A300" s="198" t="e">
        <f t="shared" si="42"/>
        <v>#N/A</v>
      </c>
      <c r="B300" s="199" t="str">
        <f t="shared" si="43"/>
        <v/>
      </c>
      <c r="C300" s="200" t="str">
        <f t="shared" si="44"/>
        <v/>
      </c>
    </row>
    <row r="301" spans="1:3" ht="12" customHeight="1" x14ac:dyDescent="0.25">
      <c r="A301" s="198" t="e">
        <f t="shared" si="42"/>
        <v>#N/A</v>
      </c>
      <c r="B301" s="199" t="str">
        <f t="shared" si="43"/>
        <v/>
      </c>
      <c r="C301" s="200" t="str">
        <f t="shared" si="44"/>
        <v/>
      </c>
    </row>
    <row r="302" spans="1:3" ht="12" customHeight="1" x14ac:dyDescent="0.25">
      <c r="A302" s="198" t="e">
        <f t="shared" si="42"/>
        <v>#N/A</v>
      </c>
      <c r="B302" s="199" t="str">
        <f t="shared" si="43"/>
        <v/>
      </c>
      <c r="C302" s="200" t="str">
        <f t="shared" si="44"/>
        <v/>
      </c>
    </row>
    <row r="303" spans="1:3" ht="12" customHeight="1" x14ac:dyDescent="0.25">
      <c r="A303" s="198" t="e">
        <f t="shared" si="42"/>
        <v>#N/A</v>
      </c>
      <c r="B303" s="199" t="str">
        <f t="shared" si="43"/>
        <v/>
      </c>
      <c r="C303" s="200" t="str">
        <f t="shared" si="44"/>
        <v/>
      </c>
    </row>
    <row r="304" spans="1:3" ht="12" customHeight="1" x14ac:dyDescent="0.25">
      <c r="A304" s="198" t="e">
        <f t="shared" si="42"/>
        <v>#N/A</v>
      </c>
      <c r="B304" s="199" t="str">
        <f t="shared" si="43"/>
        <v/>
      </c>
      <c r="C304" s="200" t="str">
        <f t="shared" si="44"/>
        <v/>
      </c>
    </row>
    <row r="305" spans="1:3" ht="12" customHeight="1" x14ac:dyDescent="0.25">
      <c r="A305" s="198" t="e">
        <f t="shared" si="42"/>
        <v>#N/A</v>
      </c>
      <c r="B305" s="199" t="str">
        <f t="shared" si="43"/>
        <v/>
      </c>
      <c r="C305" s="200" t="str">
        <f t="shared" si="44"/>
        <v/>
      </c>
    </row>
    <row r="306" spans="1:3" ht="12" customHeight="1" x14ac:dyDescent="0.25">
      <c r="A306" s="198" t="e">
        <f t="shared" si="42"/>
        <v>#N/A</v>
      </c>
      <c r="B306" s="199" t="str">
        <f t="shared" si="43"/>
        <v/>
      </c>
      <c r="C306" s="200" t="str">
        <f t="shared" si="44"/>
        <v/>
      </c>
    </row>
    <row r="307" spans="1:3" ht="12" customHeight="1" x14ac:dyDescent="0.25">
      <c r="A307" s="198" t="e">
        <f t="shared" si="42"/>
        <v>#N/A</v>
      </c>
      <c r="B307" s="199" t="str">
        <f t="shared" si="43"/>
        <v/>
      </c>
      <c r="C307" s="200" t="str">
        <f t="shared" si="44"/>
        <v/>
      </c>
    </row>
    <row r="308" spans="1:3" ht="12" customHeight="1" x14ac:dyDescent="0.25">
      <c r="A308" s="198" t="e">
        <f t="shared" si="42"/>
        <v>#N/A</v>
      </c>
      <c r="B308" s="199" t="str">
        <f t="shared" si="43"/>
        <v/>
      </c>
      <c r="C308" s="200" t="str">
        <f t="shared" si="44"/>
        <v/>
      </c>
    </row>
    <row r="309" spans="1:3" ht="12" customHeight="1" x14ac:dyDescent="0.25">
      <c r="A309" s="198" t="e">
        <f t="shared" si="42"/>
        <v>#N/A</v>
      </c>
      <c r="B309" s="199" t="str">
        <f t="shared" si="43"/>
        <v/>
      </c>
      <c r="C309" s="200" t="str">
        <f t="shared" si="44"/>
        <v/>
      </c>
    </row>
    <row r="310" spans="1:3" ht="12" customHeight="1" x14ac:dyDescent="0.25">
      <c r="A310" s="198" t="e">
        <f t="shared" si="42"/>
        <v>#N/A</v>
      </c>
      <c r="B310" s="199" t="str">
        <f t="shared" si="43"/>
        <v/>
      </c>
      <c r="C310" s="200" t="str">
        <f t="shared" si="44"/>
        <v/>
      </c>
    </row>
    <row r="311" spans="1:3" ht="12" customHeight="1" x14ac:dyDescent="0.25">
      <c r="A311" s="198" t="e">
        <f t="shared" si="42"/>
        <v>#N/A</v>
      </c>
      <c r="B311" s="199" t="str">
        <f t="shared" si="43"/>
        <v/>
      </c>
      <c r="C311" s="200" t="str">
        <f t="shared" si="44"/>
        <v/>
      </c>
    </row>
    <row r="312" spans="1:3" ht="12" customHeight="1" x14ac:dyDescent="0.25">
      <c r="A312" s="198" t="e">
        <f t="shared" si="42"/>
        <v>#N/A</v>
      </c>
      <c r="B312" s="199" t="str">
        <f t="shared" si="43"/>
        <v/>
      </c>
      <c r="C312" s="200" t="str">
        <f t="shared" si="44"/>
        <v/>
      </c>
    </row>
    <row r="313" spans="1:3" ht="12" customHeight="1" x14ac:dyDescent="0.25">
      <c r="A313" s="198" t="e">
        <f t="shared" si="42"/>
        <v>#N/A</v>
      </c>
      <c r="B313" s="199" t="str">
        <f t="shared" si="43"/>
        <v/>
      </c>
      <c r="C313" s="200" t="str">
        <f t="shared" si="44"/>
        <v/>
      </c>
    </row>
    <row r="314" spans="1:3" ht="12" customHeight="1" x14ac:dyDescent="0.25">
      <c r="A314" s="198" t="e">
        <f t="shared" si="42"/>
        <v>#N/A</v>
      </c>
      <c r="B314" s="199" t="str">
        <f t="shared" si="43"/>
        <v/>
      </c>
      <c r="C314" s="200" t="str">
        <f t="shared" si="44"/>
        <v/>
      </c>
    </row>
    <row r="315" spans="1:3" ht="12" customHeight="1" x14ac:dyDescent="0.25">
      <c r="A315" s="198" t="e">
        <f t="shared" si="42"/>
        <v>#N/A</v>
      </c>
      <c r="B315" s="199" t="str">
        <f t="shared" si="43"/>
        <v/>
      </c>
      <c r="C315" s="200" t="str">
        <f t="shared" si="44"/>
        <v/>
      </c>
    </row>
    <row r="316" spans="1:3" ht="12" customHeight="1" x14ac:dyDescent="0.25">
      <c r="A316" s="198" t="e">
        <f t="shared" si="42"/>
        <v>#N/A</v>
      </c>
      <c r="B316" s="199" t="str">
        <f t="shared" si="43"/>
        <v/>
      </c>
      <c r="C316" s="200" t="str">
        <f t="shared" si="44"/>
        <v/>
      </c>
    </row>
    <row r="317" spans="1:3" ht="12" customHeight="1" x14ac:dyDescent="0.25">
      <c r="A317" s="198" t="e">
        <f t="shared" si="42"/>
        <v>#N/A</v>
      </c>
      <c r="B317" s="199" t="str">
        <f t="shared" si="43"/>
        <v/>
      </c>
      <c r="C317" s="200" t="str">
        <f t="shared" si="44"/>
        <v/>
      </c>
    </row>
    <row r="318" spans="1:3" ht="12" customHeight="1" x14ac:dyDescent="0.25">
      <c r="A318" s="198" t="e">
        <f t="shared" si="42"/>
        <v>#N/A</v>
      </c>
      <c r="B318" s="199" t="str">
        <f t="shared" si="43"/>
        <v/>
      </c>
      <c r="C318" s="200" t="str">
        <f t="shared" si="44"/>
        <v/>
      </c>
    </row>
    <row r="319" spans="1:3" ht="12" customHeight="1" x14ac:dyDescent="0.25">
      <c r="A319" s="198" t="e">
        <f t="shared" si="42"/>
        <v>#N/A</v>
      </c>
      <c r="B319" s="199" t="str">
        <f t="shared" si="43"/>
        <v/>
      </c>
      <c r="C319" s="200" t="str">
        <f t="shared" si="44"/>
        <v/>
      </c>
    </row>
    <row r="320" spans="1:3" ht="12" customHeight="1" x14ac:dyDescent="0.25">
      <c r="A320" s="198" t="e">
        <f t="shared" si="42"/>
        <v>#N/A</v>
      </c>
      <c r="B320" s="199" t="str">
        <f t="shared" si="43"/>
        <v/>
      </c>
      <c r="C320" s="200" t="str">
        <f t="shared" si="44"/>
        <v/>
      </c>
    </row>
    <row r="321" spans="1:3" ht="12" customHeight="1" x14ac:dyDescent="0.25">
      <c r="A321" s="198" t="e">
        <f t="shared" si="42"/>
        <v>#N/A</v>
      </c>
      <c r="B321" s="199" t="str">
        <f t="shared" si="43"/>
        <v/>
      </c>
      <c r="C321" s="200" t="str">
        <f t="shared" si="44"/>
        <v/>
      </c>
    </row>
    <row r="322" spans="1:3" ht="12" customHeight="1" x14ac:dyDescent="0.25">
      <c r="A322" s="198" t="e">
        <f t="shared" si="42"/>
        <v>#N/A</v>
      </c>
      <c r="B322" s="199" t="str">
        <f t="shared" si="43"/>
        <v/>
      </c>
      <c r="C322" s="200" t="str">
        <f t="shared" si="44"/>
        <v/>
      </c>
    </row>
    <row r="323" spans="1:3" ht="12" customHeight="1" x14ac:dyDescent="0.25">
      <c r="A323" s="198" t="e">
        <f t="shared" si="42"/>
        <v>#N/A</v>
      </c>
      <c r="B323" s="199" t="str">
        <f t="shared" si="43"/>
        <v/>
      </c>
      <c r="C323" s="200" t="str">
        <f t="shared" si="44"/>
        <v/>
      </c>
    </row>
    <row r="324" spans="1:3" ht="12" customHeight="1" x14ac:dyDescent="0.25">
      <c r="A324" s="198" t="e">
        <f t="shared" si="42"/>
        <v>#N/A</v>
      </c>
      <c r="B324" s="199" t="str">
        <f t="shared" si="43"/>
        <v/>
      </c>
      <c r="C324" s="200" t="str">
        <f t="shared" si="44"/>
        <v/>
      </c>
    </row>
    <row r="325" spans="1:3" ht="12" customHeight="1" x14ac:dyDescent="0.25">
      <c r="A325" s="198" t="e">
        <f t="shared" si="42"/>
        <v>#N/A</v>
      </c>
      <c r="B325" s="199" t="str">
        <f t="shared" si="43"/>
        <v/>
      </c>
      <c r="C325" s="200" t="str">
        <f t="shared" si="44"/>
        <v/>
      </c>
    </row>
    <row r="326" spans="1:3" ht="12" customHeight="1" x14ac:dyDescent="0.25">
      <c r="A326" s="198" t="e">
        <f t="shared" si="42"/>
        <v>#N/A</v>
      </c>
      <c r="B326" s="199" t="str">
        <f t="shared" si="43"/>
        <v/>
      </c>
      <c r="C326" s="200" t="str">
        <f t="shared" si="44"/>
        <v/>
      </c>
    </row>
    <row r="327" spans="1:3" ht="12" customHeight="1" x14ac:dyDescent="0.25">
      <c r="A327" s="198" t="e">
        <f t="shared" si="42"/>
        <v>#N/A</v>
      </c>
      <c r="B327" s="199" t="str">
        <f t="shared" si="43"/>
        <v/>
      </c>
      <c r="C327" s="200" t="str">
        <f t="shared" si="44"/>
        <v/>
      </c>
    </row>
    <row r="328" spans="1:3" ht="12" customHeight="1" x14ac:dyDescent="0.25">
      <c r="A328" s="198" t="e">
        <f t="shared" si="42"/>
        <v>#N/A</v>
      </c>
      <c r="B328" s="199" t="str">
        <f t="shared" si="43"/>
        <v/>
      </c>
      <c r="C328" s="200" t="str">
        <f t="shared" si="44"/>
        <v/>
      </c>
    </row>
    <row r="329" spans="1:3" ht="12" customHeight="1" x14ac:dyDescent="0.25">
      <c r="A329" s="198" t="e">
        <f t="shared" si="42"/>
        <v>#N/A</v>
      </c>
      <c r="B329" s="199" t="str">
        <f t="shared" si="43"/>
        <v/>
      </c>
      <c r="C329" s="200" t="str">
        <f t="shared" si="44"/>
        <v/>
      </c>
    </row>
    <row r="330" spans="1:3" ht="12" customHeight="1" x14ac:dyDescent="0.25">
      <c r="A330" s="198" t="e">
        <f t="shared" si="42"/>
        <v>#N/A</v>
      </c>
      <c r="B330" s="199" t="str">
        <f t="shared" si="43"/>
        <v/>
      </c>
      <c r="C330" s="200" t="str">
        <f t="shared" si="44"/>
        <v/>
      </c>
    </row>
    <row r="331" spans="1:3" ht="12" customHeight="1" x14ac:dyDescent="0.25">
      <c r="A331" s="198" t="e">
        <f t="shared" si="42"/>
        <v>#N/A</v>
      </c>
      <c r="B331" s="199" t="str">
        <f t="shared" si="43"/>
        <v/>
      </c>
      <c r="C331" s="200" t="str">
        <f t="shared" si="44"/>
        <v/>
      </c>
    </row>
    <row r="332" spans="1:3" ht="12" customHeight="1" x14ac:dyDescent="0.25">
      <c r="A332" s="198" t="e">
        <f t="shared" si="42"/>
        <v>#N/A</v>
      </c>
      <c r="B332" s="199" t="str">
        <f t="shared" si="43"/>
        <v/>
      </c>
      <c r="C332" s="200" t="str">
        <f t="shared" si="44"/>
        <v/>
      </c>
    </row>
    <row r="333" spans="1:3" ht="12" customHeight="1" x14ac:dyDescent="0.25">
      <c r="A333" s="198" t="e">
        <f t="shared" si="42"/>
        <v>#N/A</v>
      </c>
      <c r="B333" s="199" t="str">
        <f t="shared" si="43"/>
        <v/>
      </c>
      <c r="C333" s="200" t="str">
        <f t="shared" si="44"/>
        <v/>
      </c>
    </row>
    <row r="334" spans="1:3" ht="12" customHeight="1" x14ac:dyDescent="0.25">
      <c r="A334" s="198" t="e">
        <f t="shared" si="42"/>
        <v>#N/A</v>
      </c>
      <c r="B334" s="199" t="str">
        <f t="shared" si="43"/>
        <v/>
      </c>
      <c r="C334" s="200" t="str">
        <f t="shared" si="44"/>
        <v/>
      </c>
    </row>
    <row r="335" spans="1:3" ht="12" customHeight="1" x14ac:dyDescent="0.25">
      <c r="A335" s="198" t="e">
        <f t="shared" si="42"/>
        <v>#N/A</v>
      </c>
      <c r="B335" s="199" t="str">
        <f t="shared" si="43"/>
        <v/>
      </c>
      <c r="C335" s="200" t="str">
        <f t="shared" si="44"/>
        <v/>
      </c>
    </row>
  </sheetData>
  <autoFilter ref="A2:N335" xr:uid="{B1AF732D-DEA4-47C7-8C3D-121CC43419C6}"/>
  <conditionalFormatting sqref="S2 S55:S114">
    <cfRule type="cellIs" dxfId="30" priority="10" operator="greaterThan">
      <formula>0.65</formula>
    </cfRule>
  </conditionalFormatting>
  <conditionalFormatting sqref="A55:N335 A3:C12 A13:D54 E3:N54">
    <cfRule type="expression" dxfId="29" priority="3">
      <formula>FILA=CELL("FILA")</formula>
    </cfRule>
  </conditionalFormatting>
  <conditionalFormatting sqref="A3:A335">
    <cfRule type="duplicateValues" dxfId="28" priority="9862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9E398-3FAC-4033-9451-9799D7B2DB6D}">
  <sheetPr codeName="Hoja9"/>
  <dimension ref="A1:O477"/>
  <sheetViews>
    <sheetView workbookViewId="0">
      <selection activeCell="E113" sqref="E113"/>
    </sheetView>
  </sheetViews>
  <sheetFormatPr baseColWidth="10" defaultColWidth="11.42578125" defaultRowHeight="15" x14ac:dyDescent="0.25"/>
  <cols>
    <col min="2" max="2" width="10.7109375" bestFit="1" customWidth="1"/>
    <col min="3" max="3" width="15.42578125" customWidth="1"/>
    <col min="4" max="4" width="16.7109375" bestFit="1" customWidth="1"/>
    <col min="5" max="5" width="19.85546875" bestFit="1" customWidth="1"/>
    <col min="6" max="7" width="20.85546875" bestFit="1" customWidth="1"/>
    <col min="8" max="8" width="21.5703125" bestFit="1" customWidth="1"/>
    <col min="10" max="11" width="10.7109375" bestFit="1" customWidth="1"/>
    <col min="12" max="12" width="9.140625" bestFit="1" customWidth="1"/>
    <col min="13" max="13" width="23.5703125" bestFit="1" customWidth="1"/>
  </cols>
  <sheetData>
    <row r="1" spans="1:15" x14ac:dyDescent="0.25">
      <c r="A1" s="71" t="s">
        <v>811</v>
      </c>
      <c r="B1" t="s">
        <v>812</v>
      </c>
      <c r="C1" t="s">
        <v>813</v>
      </c>
      <c r="M1" t="s">
        <v>814</v>
      </c>
      <c r="N1" t="s">
        <v>815</v>
      </c>
      <c r="O1" t="s">
        <v>816</v>
      </c>
    </row>
    <row r="2" spans="1:15" x14ac:dyDescent="0.25">
      <c r="A2" s="71" t="s">
        <v>226</v>
      </c>
      <c r="B2" s="2">
        <v>5</v>
      </c>
      <c r="C2" t="s">
        <v>401</v>
      </c>
      <c r="E2" t="s">
        <v>2</v>
      </c>
      <c r="F2" t="s">
        <v>32</v>
      </c>
      <c r="G2" t="s">
        <v>744</v>
      </c>
      <c r="H2" t="s">
        <v>402</v>
      </c>
      <c r="I2" t="s">
        <v>416</v>
      </c>
      <c r="J2" t="s">
        <v>817</v>
      </c>
      <c r="M2" s="6">
        <v>44928</v>
      </c>
      <c r="N2" s="6">
        <v>44943</v>
      </c>
      <c r="O2" s="6" t="s">
        <v>818</v>
      </c>
    </row>
    <row r="3" spans="1:15" x14ac:dyDescent="0.25">
      <c r="A3" s="71" t="s">
        <v>207</v>
      </c>
      <c r="B3" s="2">
        <v>4.2</v>
      </c>
      <c r="C3" t="s">
        <v>401</v>
      </c>
      <c r="E3" t="s">
        <v>775</v>
      </c>
      <c r="F3" t="s">
        <v>46</v>
      </c>
      <c r="G3" t="s">
        <v>401</v>
      </c>
      <c r="H3" t="s">
        <v>819</v>
      </c>
      <c r="I3" s="6">
        <v>44562</v>
      </c>
      <c r="J3" s="6">
        <f t="shared" ref="J3:J12" ca="1" si="0">TODAY()</f>
        <v>46168</v>
      </c>
    </row>
    <row r="4" spans="1:15" x14ac:dyDescent="0.25">
      <c r="A4" s="71" t="s">
        <v>205</v>
      </c>
      <c r="B4" s="2">
        <v>3</v>
      </c>
      <c r="C4" t="s">
        <v>401</v>
      </c>
      <c r="E4" t="s">
        <v>783</v>
      </c>
      <c r="F4" t="s">
        <v>47</v>
      </c>
      <c r="G4" t="s">
        <v>1</v>
      </c>
      <c r="H4" t="s">
        <v>819</v>
      </c>
      <c r="I4" s="6">
        <v>44562</v>
      </c>
      <c r="J4" s="6">
        <f t="shared" ca="1" si="0"/>
        <v>46168</v>
      </c>
      <c r="M4" t="s">
        <v>820</v>
      </c>
      <c r="N4" t="s">
        <v>821</v>
      </c>
    </row>
    <row r="5" spans="1:15" x14ac:dyDescent="0.25">
      <c r="A5" s="71" t="s">
        <v>202</v>
      </c>
      <c r="B5" s="2">
        <v>10</v>
      </c>
      <c r="C5" t="s">
        <v>401</v>
      </c>
      <c r="E5" t="s">
        <v>794</v>
      </c>
      <c r="F5" t="s">
        <v>38</v>
      </c>
      <c r="G5" t="s">
        <v>401</v>
      </c>
      <c r="H5" t="s">
        <v>822</v>
      </c>
      <c r="I5" s="6">
        <v>44562</v>
      </c>
      <c r="J5" s="6">
        <f t="shared" ca="1" si="0"/>
        <v>46168</v>
      </c>
      <c r="M5" t="s">
        <v>823</v>
      </c>
      <c r="N5" t="s">
        <v>824</v>
      </c>
    </row>
    <row r="6" spans="1:15" x14ac:dyDescent="0.25">
      <c r="A6" s="71" t="s">
        <v>209</v>
      </c>
      <c r="B6" s="2">
        <v>4</v>
      </c>
      <c r="C6" t="s">
        <v>401</v>
      </c>
      <c r="E6" t="s">
        <v>825</v>
      </c>
      <c r="F6" t="s">
        <v>826</v>
      </c>
      <c r="G6" t="s">
        <v>401</v>
      </c>
      <c r="H6" t="s">
        <v>827</v>
      </c>
      <c r="I6" s="6">
        <v>45126</v>
      </c>
      <c r="J6" s="6">
        <f t="shared" ca="1" si="0"/>
        <v>46168</v>
      </c>
      <c r="M6" t="s">
        <v>828</v>
      </c>
    </row>
    <row r="7" spans="1:15" x14ac:dyDescent="0.25">
      <c r="A7" s="71" t="s">
        <v>241</v>
      </c>
      <c r="B7" s="2">
        <v>5.4</v>
      </c>
      <c r="C7" t="s">
        <v>401</v>
      </c>
      <c r="E7" t="s">
        <v>829</v>
      </c>
      <c r="F7" t="s">
        <v>830</v>
      </c>
      <c r="G7" t="s">
        <v>401</v>
      </c>
      <c r="H7" t="s">
        <v>827</v>
      </c>
      <c r="I7" s="6">
        <v>45126</v>
      </c>
      <c r="J7" s="6">
        <f t="shared" ca="1" si="0"/>
        <v>46168</v>
      </c>
      <c r="M7" t="s">
        <v>831</v>
      </c>
      <c r="N7" t="s">
        <v>832</v>
      </c>
    </row>
    <row r="8" spans="1:15" x14ac:dyDescent="0.25">
      <c r="A8" t="s">
        <v>200</v>
      </c>
      <c r="B8" s="2">
        <v>9.2200000000000006</v>
      </c>
      <c r="C8" t="s">
        <v>833</v>
      </c>
      <c r="E8" t="s">
        <v>834</v>
      </c>
      <c r="F8" t="s">
        <v>835</v>
      </c>
      <c r="G8" t="s">
        <v>401</v>
      </c>
      <c r="H8" t="s">
        <v>827</v>
      </c>
      <c r="I8" s="6">
        <v>45126</v>
      </c>
      <c r="J8" s="6">
        <f t="shared" ca="1" si="0"/>
        <v>46168</v>
      </c>
      <c r="M8" t="s">
        <v>836</v>
      </c>
    </row>
    <row r="9" spans="1:15" x14ac:dyDescent="0.25">
      <c r="A9" t="s">
        <v>203</v>
      </c>
      <c r="B9" s="2">
        <v>10.3</v>
      </c>
      <c r="C9" t="s">
        <v>833</v>
      </c>
      <c r="E9" t="s">
        <v>795</v>
      </c>
      <c r="F9" t="s">
        <v>42</v>
      </c>
      <c r="G9" t="s">
        <v>401</v>
      </c>
      <c r="H9" t="s">
        <v>837</v>
      </c>
      <c r="I9" s="6">
        <v>45126</v>
      </c>
      <c r="J9" s="6">
        <f t="shared" ca="1" si="0"/>
        <v>46168</v>
      </c>
    </row>
    <row r="10" spans="1:15" x14ac:dyDescent="0.25">
      <c r="A10" t="s">
        <v>277</v>
      </c>
      <c r="B10" s="2">
        <v>9.4</v>
      </c>
      <c r="C10" t="s">
        <v>833</v>
      </c>
      <c r="E10" t="s">
        <v>838</v>
      </c>
      <c r="F10" t="s">
        <v>839</v>
      </c>
      <c r="G10" t="s">
        <v>401</v>
      </c>
      <c r="H10" t="s">
        <v>827</v>
      </c>
      <c r="I10" s="6">
        <v>45126</v>
      </c>
      <c r="J10" s="6">
        <f t="shared" ca="1" si="0"/>
        <v>46168</v>
      </c>
    </row>
    <row r="11" spans="1:15" x14ac:dyDescent="0.25">
      <c r="A11" t="s">
        <v>213</v>
      </c>
      <c r="B11" s="2">
        <v>7.72</v>
      </c>
      <c r="C11" t="s">
        <v>833</v>
      </c>
      <c r="E11" t="s">
        <v>840</v>
      </c>
      <c r="F11" t="s">
        <v>841</v>
      </c>
      <c r="G11" t="s">
        <v>401</v>
      </c>
      <c r="H11" t="s">
        <v>827</v>
      </c>
      <c r="I11" s="6">
        <v>45126</v>
      </c>
      <c r="J11" s="6">
        <f t="shared" ca="1" si="0"/>
        <v>46168</v>
      </c>
    </row>
    <row r="12" spans="1:15" x14ac:dyDescent="0.25">
      <c r="A12" t="s">
        <v>842</v>
      </c>
      <c r="B12" s="2">
        <v>0.85</v>
      </c>
      <c r="C12" t="s">
        <v>833</v>
      </c>
      <c r="E12" t="s">
        <v>843</v>
      </c>
      <c r="F12" t="s">
        <v>844</v>
      </c>
      <c r="G12" t="s">
        <v>401</v>
      </c>
      <c r="H12" t="s">
        <v>827</v>
      </c>
      <c r="I12" s="6">
        <v>45126</v>
      </c>
      <c r="J12" s="6">
        <f t="shared" ca="1" si="0"/>
        <v>46168</v>
      </c>
    </row>
    <row r="13" spans="1:15" x14ac:dyDescent="0.25">
      <c r="A13" t="s">
        <v>212</v>
      </c>
      <c r="B13" s="2">
        <v>11.4</v>
      </c>
      <c r="C13" t="s">
        <v>833</v>
      </c>
      <c r="E13" t="s">
        <v>583</v>
      </c>
      <c r="F13" t="s">
        <v>39</v>
      </c>
      <c r="G13" t="s">
        <v>1</v>
      </c>
      <c r="H13" t="s">
        <v>823</v>
      </c>
      <c r="I13" s="6">
        <v>45049</v>
      </c>
      <c r="J13" s="6">
        <v>45048</v>
      </c>
    </row>
    <row r="14" spans="1:15" x14ac:dyDescent="0.25">
      <c r="A14" t="s">
        <v>136</v>
      </c>
      <c r="B14" s="2">
        <v>2.36</v>
      </c>
      <c r="C14" t="s">
        <v>833</v>
      </c>
      <c r="E14" t="s">
        <v>801</v>
      </c>
      <c r="F14" t="s">
        <v>44</v>
      </c>
      <c r="G14" t="s">
        <v>401</v>
      </c>
      <c r="H14" t="s">
        <v>845</v>
      </c>
      <c r="I14" s="6">
        <v>44562</v>
      </c>
      <c r="J14" s="6">
        <f t="shared" ref="J14:J20" ca="1" si="1">TODAY()</f>
        <v>46168</v>
      </c>
    </row>
    <row r="15" spans="1:15" x14ac:dyDescent="0.25">
      <c r="A15" t="s">
        <v>316</v>
      </c>
      <c r="B15" s="2">
        <v>0.63</v>
      </c>
      <c r="C15" t="s">
        <v>833</v>
      </c>
      <c r="E15" t="s">
        <v>803</v>
      </c>
      <c r="F15" t="s">
        <v>36</v>
      </c>
      <c r="G15" t="s">
        <v>1</v>
      </c>
      <c r="H15" t="s">
        <v>846</v>
      </c>
      <c r="I15" s="6">
        <v>45049</v>
      </c>
      <c r="J15" s="6">
        <f t="shared" ca="1" si="1"/>
        <v>46168</v>
      </c>
    </row>
    <row r="16" spans="1:15" x14ac:dyDescent="0.25">
      <c r="A16" t="s">
        <v>317</v>
      </c>
      <c r="B16" s="2">
        <v>0.87</v>
      </c>
      <c r="C16" t="s">
        <v>833</v>
      </c>
      <c r="E16" t="s">
        <v>805</v>
      </c>
      <c r="F16" t="s">
        <v>45</v>
      </c>
      <c r="G16" t="s">
        <v>1</v>
      </c>
      <c r="H16" t="s">
        <v>846</v>
      </c>
      <c r="I16" s="6">
        <v>45049</v>
      </c>
      <c r="J16" s="6">
        <f t="shared" ca="1" si="1"/>
        <v>46168</v>
      </c>
    </row>
    <row r="17" spans="1:10" x14ac:dyDescent="0.25">
      <c r="A17" t="s">
        <v>295</v>
      </c>
      <c r="B17" s="2">
        <v>2.2999999999999998</v>
      </c>
      <c r="C17" t="s">
        <v>833</v>
      </c>
      <c r="E17" t="s">
        <v>786</v>
      </c>
      <c r="F17" t="s">
        <v>35</v>
      </c>
      <c r="G17" t="s">
        <v>401</v>
      </c>
      <c r="H17" t="s">
        <v>847</v>
      </c>
      <c r="I17" s="6">
        <v>45049</v>
      </c>
      <c r="J17" s="6">
        <f t="shared" ca="1" si="1"/>
        <v>46168</v>
      </c>
    </row>
    <row r="18" spans="1:10" x14ac:dyDescent="0.25">
      <c r="A18" t="s">
        <v>245</v>
      </c>
      <c r="B18" s="2">
        <v>8</v>
      </c>
      <c r="C18" t="s">
        <v>833</v>
      </c>
      <c r="E18" t="s">
        <v>788</v>
      </c>
      <c r="F18" t="s">
        <v>41</v>
      </c>
      <c r="G18" t="s">
        <v>1</v>
      </c>
      <c r="H18" t="s">
        <v>847</v>
      </c>
      <c r="I18" s="6">
        <v>45049</v>
      </c>
      <c r="J18" s="6">
        <f t="shared" ca="1" si="1"/>
        <v>46168</v>
      </c>
    </row>
    <row r="19" spans="1:10" x14ac:dyDescent="0.25">
      <c r="A19" t="s">
        <v>110</v>
      </c>
      <c r="B19" s="2">
        <v>7.5</v>
      </c>
      <c r="C19" t="s">
        <v>833</v>
      </c>
      <c r="E19" t="s">
        <v>790</v>
      </c>
      <c r="F19" t="s">
        <v>43</v>
      </c>
      <c r="G19" t="s">
        <v>1</v>
      </c>
      <c r="H19" t="s">
        <v>847</v>
      </c>
      <c r="I19" s="6">
        <v>45049</v>
      </c>
      <c r="J19" s="6">
        <f t="shared" ca="1" si="1"/>
        <v>46168</v>
      </c>
    </row>
    <row r="20" spans="1:10" x14ac:dyDescent="0.25">
      <c r="A20" t="s">
        <v>114</v>
      </c>
      <c r="B20" s="2">
        <v>5.5</v>
      </c>
      <c r="C20" t="s">
        <v>833</v>
      </c>
      <c r="E20" t="s">
        <v>792</v>
      </c>
      <c r="F20" t="s">
        <v>48</v>
      </c>
      <c r="G20" t="s">
        <v>1</v>
      </c>
      <c r="H20" t="s">
        <v>847</v>
      </c>
      <c r="I20" s="6">
        <v>45049</v>
      </c>
      <c r="J20" s="6">
        <f t="shared" ca="1" si="1"/>
        <v>46168</v>
      </c>
    </row>
    <row r="21" spans="1:10" x14ac:dyDescent="0.25">
      <c r="A21" t="s">
        <v>848</v>
      </c>
      <c r="B21" s="2">
        <v>5</v>
      </c>
      <c r="C21" t="s">
        <v>833</v>
      </c>
      <c r="E21" t="s">
        <v>803</v>
      </c>
      <c r="F21" t="s">
        <v>36</v>
      </c>
      <c r="G21" t="s">
        <v>1</v>
      </c>
      <c r="H21" t="s">
        <v>846</v>
      </c>
      <c r="I21" s="6">
        <v>44562</v>
      </c>
      <c r="J21" s="6">
        <v>45048</v>
      </c>
    </row>
    <row r="22" spans="1:10" x14ac:dyDescent="0.25">
      <c r="A22" t="s">
        <v>849</v>
      </c>
      <c r="B22" s="2">
        <v>0.7</v>
      </c>
      <c r="C22" t="s">
        <v>833</v>
      </c>
      <c r="E22" t="s">
        <v>796</v>
      </c>
      <c r="F22" t="s">
        <v>37</v>
      </c>
      <c r="G22" t="s">
        <v>1</v>
      </c>
      <c r="H22" t="s">
        <v>850</v>
      </c>
      <c r="I22" s="6">
        <v>45049</v>
      </c>
      <c r="J22" s="6">
        <f ca="1">TODAY()</f>
        <v>46168</v>
      </c>
    </row>
    <row r="23" spans="1:10" x14ac:dyDescent="0.25">
      <c r="A23" t="s">
        <v>320</v>
      </c>
      <c r="B23" s="2">
        <v>4</v>
      </c>
      <c r="C23" t="s">
        <v>833</v>
      </c>
      <c r="E23" t="s">
        <v>805</v>
      </c>
      <c r="F23" t="s">
        <v>45</v>
      </c>
      <c r="G23" t="s">
        <v>1</v>
      </c>
      <c r="H23" t="s">
        <v>846</v>
      </c>
      <c r="I23" s="6">
        <v>44562</v>
      </c>
      <c r="J23" s="6">
        <v>45048</v>
      </c>
    </row>
    <row r="24" spans="1:10" x14ac:dyDescent="0.25">
      <c r="A24" s="71" t="s">
        <v>851</v>
      </c>
      <c r="B24" s="2">
        <v>6.1</v>
      </c>
      <c r="C24" t="s">
        <v>401</v>
      </c>
      <c r="E24" t="s">
        <v>852</v>
      </c>
      <c r="F24" t="s">
        <v>853</v>
      </c>
      <c r="G24" t="s">
        <v>401</v>
      </c>
      <c r="H24" t="s">
        <v>846</v>
      </c>
      <c r="I24" s="6">
        <v>44562</v>
      </c>
      <c r="J24" s="6">
        <f ca="1">TODAY()</f>
        <v>46168</v>
      </c>
    </row>
    <row r="25" spans="1:10" x14ac:dyDescent="0.25">
      <c r="A25" s="71" t="s">
        <v>854</v>
      </c>
      <c r="B25" s="2">
        <v>5.54</v>
      </c>
      <c r="C25" t="s">
        <v>401</v>
      </c>
      <c r="E25" t="s">
        <v>807</v>
      </c>
      <c r="F25" t="s">
        <v>49</v>
      </c>
      <c r="G25" t="s">
        <v>401</v>
      </c>
      <c r="H25" t="s">
        <v>855</v>
      </c>
      <c r="I25" s="206">
        <v>44562</v>
      </c>
      <c r="J25" s="6">
        <f ca="1">TODAY()</f>
        <v>46168</v>
      </c>
    </row>
    <row r="26" spans="1:10" x14ac:dyDescent="0.25">
      <c r="A26" s="71" t="s">
        <v>856</v>
      </c>
      <c r="B26" s="2">
        <v>2.2000000000000002</v>
      </c>
      <c r="C26" t="s">
        <v>401</v>
      </c>
      <c r="E26" t="s">
        <v>799</v>
      </c>
      <c r="F26" t="s">
        <v>40</v>
      </c>
      <c r="G26" t="s">
        <v>401</v>
      </c>
      <c r="H26" t="s">
        <v>857</v>
      </c>
      <c r="I26" s="206">
        <v>44562</v>
      </c>
      <c r="J26" s="6">
        <f ca="1">TODAY()</f>
        <v>46168</v>
      </c>
    </row>
    <row r="27" spans="1:10" x14ac:dyDescent="0.25">
      <c r="A27" s="71" t="s">
        <v>858</v>
      </c>
      <c r="B27" s="2">
        <v>0.85</v>
      </c>
      <c r="C27" t="s">
        <v>833</v>
      </c>
      <c r="E27" t="s">
        <v>859</v>
      </c>
      <c r="F27" t="s">
        <v>860</v>
      </c>
      <c r="G27" t="s">
        <v>401</v>
      </c>
      <c r="H27" t="s">
        <v>837</v>
      </c>
      <c r="I27" s="6">
        <v>46149</v>
      </c>
      <c r="J27" s="6">
        <f ca="1">TODAY()</f>
        <v>46168</v>
      </c>
    </row>
    <row r="28" spans="1:10" x14ac:dyDescent="0.25">
      <c r="A28" s="71" t="s">
        <v>578</v>
      </c>
      <c r="B28" s="2">
        <v>1.01</v>
      </c>
      <c r="C28" t="s">
        <v>833</v>
      </c>
      <c r="I28" s="6"/>
      <c r="J28" s="6"/>
    </row>
    <row r="29" spans="1:10" x14ac:dyDescent="0.25">
      <c r="A29" s="71" t="s">
        <v>7</v>
      </c>
      <c r="B29" s="2">
        <v>7.54</v>
      </c>
      <c r="C29" t="s">
        <v>1</v>
      </c>
      <c r="I29" s="6"/>
      <c r="J29" s="6"/>
    </row>
    <row r="30" spans="1:10" x14ac:dyDescent="0.25">
      <c r="A30" s="71" t="s">
        <v>8</v>
      </c>
      <c r="B30" s="2">
        <v>7.5</v>
      </c>
      <c r="C30" t="s">
        <v>1</v>
      </c>
      <c r="E30" s="7" t="s">
        <v>71</v>
      </c>
      <c r="F30" s="7" t="s">
        <v>861</v>
      </c>
      <c r="G30" s="7" t="s">
        <v>862</v>
      </c>
      <c r="I30" s="6"/>
      <c r="J30" s="6"/>
    </row>
    <row r="31" spans="1:10" x14ac:dyDescent="0.25">
      <c r="A31" s="71" t="s">
        <v>9</v>
      </c>
      <c r="B31" s="2">
        <v>6.45</v>
      </c>
      <c r="C31" t="s">
        <v>1</v>
      </c>
      <c r="E31" s="7" t="s">
        <v>418</v>
      </c>
      <c r="F31" s="153">
        <v>46354</v>
      </c>
      <c r="G31" s="161">
        <v>45566</v>
      </c>
      <c r="I31" s="6"/>
      <c r="J31" s="6"/>
    </row>
    <row r="32" spans="1:10" x14ac:dyDescent="0.25">
      <c r="A32" s="71" t="s">
        <v>10</v>
      </c>
      <c r="B32" s="2">
        <v>4.82</v>
      </c>
      <c r="C32" t="s">
        <v>1</v>
      </c>
      <c r="E32" s="7" t="s">
        <v>528</v>
      </c>
      <c r="F32" s="153">
        <v>46139</v>
      </c>
      <c r="G32" s="161">
        <v>45566</v>
      </c>
      <c r="I32" s="6"/>
      <c r="J32" s="6"/>
    </row>
    <row r="33" spans="1:10" x14ac:dyDescent="0.25">
      <c r="A33" s="71" t="s">
        <v>11</v>
      </c>
      <c r="B33" s="2">
        <v>5.4</v>
      </c>
      <c r="C33" t="s">
        <v>1</v>
      </c>
      <c r="E33" s="7" t="s">
        <v>431</v>
      </c>
      <c r="F33" s="153">
        <v>46139</v>
      </c>
      <c r="G33" s="161">
        <v>45566</v>
      </c>
      <c r="I33" s="6"/>
      <c r="J33" s="6"/>
    </row>
    <row r="34" spans="1:10" x14ac:dyDescent="0.25">
      <c r="A34" s="71" t="s">
        <v>12</v>
      </c>
      <c r="B34" s="2">
        <v>4.53</v>
      </c>
      <c r="C34" t="s">
        <v>1</v>
      </c>
      <c r="E34" s="7" t="s">
        <v>863</v>
      </c>
      <c r="F34" s="153">
        <v>45908</v>
      </c>
      <c r="G34" s="161">
        <v>45566</v>
      </c>
      <c r="I34" s="6"/>
      <c r="J34" s="6"/>
    </row>
    <row r="35" spans="1:10" x14ac:dyDescent="0.25">
      <c r="A35" s="71" t="s">
        <v>13</v>
      </c>
      <c r="B35" s="2">
        <v>3.3</v>
      </c>
      <c r="C35" t="s">
        <v>1</v>
      </c>
      <c r="E35" s="7" t="s">
        <v>433</v>
      </c>
      <c r="F35" s="153">
        <v>46256</v>
      </c>
      <c r="G35" s="161">
        <v>45566</v>
      </c>
      <c r="I35" s="6"/>
      <c r="J35" s="6"/>
    </row>
    <row r="36" spans="1:10" x14ac:dyDescent="0.25">
      <c r="A36" s="71" t="s">
        <v>14</v>
      </c>
      <c r="B36" s="2">
        <v>2.4</v>
      </c>
      <c r="C36" t="s">
        <v>1</v>
      </c>
      <c r="E36" s="7" t="s">
        <v>506</v>
      </c>
      <c r="F36" s="153">
        <v>46139</v>
      </c>
      <c r="G36" s="161">
        <v>45566</v>
      </c>
      <c r="I36" s="6"/>
      <c r="J36" s="6"/>
    </row>
    <row r="37" spans="1:10" x14ac:dyDescent="0.25">
      <c r="A37" s="71" t="s">
        <v>15</v>
      </c>
      <c r="B37" s="2">
        <v>9.4</v>
      </c>
      <c r="C37" t="s">
        <v>1</v>
      </c>
      <c r="E37" s="7" t="s">
        <v>419</v>
      </c>
      <c r="F37" s="153">
        <v>46460</v>
      </c>
      <c r="G37" s="161">
        <v>45734</v>
      </c>
      <c r="I37" s="6"/>
      <c r="J37" s="6"/>
    </row>
    <row r="38" spans="1:10" x14ac:dyDescent="0.25">
      <c r="A38" s="71" t="s">
        <v>16</v>
      </c>
      <c r="B38" s="2">
        <v>7.8</v>
      </c>
      <c r="C38" t="s">
        <v>1</v>
      </c>
      <c r="E38" s="7" t="s">
        <v>671</v>
      </c>
      <c r="F38" s="153">
        <v>45585</v>
      </c>
      <c r="G38" s="161">
        <v>45566</v>
      </c>
      <c r="I38" s="6"/>
      <c r="J38" s="6"/>
    </row>
    <row r="39" spans="1:10" x14ac:dyDescent="0.25">
      <c r="A39" s="71" t="s">
        <v>17</v>
      </c>
      <c r="B39" s="2">
        <v>6.38</v>
      </c>
      <c r="C39" t="s">
        <v>1</v>
      </c>
      <c r="E39" t="s">
        <v>724</v>
      </c>
      <c r="F39" s="6">
        <v>45585</v>
      </c>
      <c r="G39" s="161">
        <v>45566</v>
      </c>
      <c r="I39" s="6"/>
      <c r="J39" s="6"/>
    </row>
    <row r="40" spans="1:10" x14ac:dyDescent="0.25">
      <c r="A40" s="71" t="s">
        <v>18</v>
      </c>
      <c r="B40" s="2">
        <v>6.08</v>
      </c>
      <c r="C40" t="s">
        <v>1</v>
      </c>
      <c r="E40" s="7" t="s">
        <v>454</v>
      </c>
      <c r="F40" s="153">
        <v>45413</v>
      </c>
      <c r="G40" s="161">
        <v>45292</v>
      </c>
    </row>
    <row r="41" spans="1:10" x14ac:dyDescent="0.25">
      <c r="A41" s="71" t="s">
        <v>19</v>
      </c>
      <c r="B41" s="2">
        <v>6.3</v>
      </c>
      <c r="C41" t="s">
        <v>1</v>
      </c>
      <c r="E41" s="7" t="s">
        <v>864</v>
      </c>
      <c r="F41" s="153">
        <v>45413</v>
      </c>
      <c r="G41" s="161">
        <v>45292</v>
      </c>
    </row>
    <row r="42" spans="1:10" x14ac:dyDescent="0.25">
      <c r="A42" s="71" t="s">
        <v>20</v>
      </c>
      <c r="B42" s="2">
        <v>5.0999999999999996</v>
      </c>
      <c r="C42" t="s">
        <v>1</v>
      </c>
      <c r="E42" s="7" t="s">
        <v>616</v>
      </c>
      <c r="F42" s="153">
        <v>46095</v>
      </c>
      <c r="G42" s="161">
        <v>45734</v>
      </c>
    </row>
    <row r="43" spans="1:10" x14ac:dyDescent="0.25">
      <c r="A43" s="71" t="s">
        <v>21</v>
      </c>
      <c r="B43" s="2">
        <v>1.65</v>
      </c>
      <c r="C43" t="s">
        <v>1</v>
      </c>
      <c r="E43" s="7" t="s">
        <v>495</v>
      </c>
      <c r="F43" s="153">
        <v>45413</v>
      </c>
      <c r="G43" s="161">
        <v>45292</v>
      </c>
    </row>
    <row r="44" spans="1:10" x14ac:dyDescent="0.25">
      <c r="A44" s="71" t="s">
        <v>22</v>
      </c>
      <c r="B44" s="2">
        <v>7</v>
      </c>
      <c r="C44" t="s">
        <v>1</v>
      </c>
      <c r="E44" s="7" t="s">
        <v>504</v>
      </c>
      <c r="F44" s="153">
        <v>45413</v>
      </c>
      <c r="G44" s="161">
        <v>45292</v>
      </c>
    </row>
    <row r="45" spans="1:10" x14ac:dyDescent="0.25">
      <c r="A45" s="71" t="s">
        <v>865</v>
      </c>
      <c r="B45" s="2">
        <v>5.07</v>
      </c>
      <c r="C45" t="s">
        <v>1</v>
      </c>
      <c r="E45" s="7" t="s">
        <v>866</v>
      </c>
      <c r="F45" s="153">
        <v>45413</v>
      </c>
      <c r="G45" s="161">
        <v>45292</v>
      </c>
    </row>
    <row r="46" spans="1:10" x14ac:dyDescent="0.25">
      <c r="A46" s="71" t="s">
        <v>23</v>
      </c>
      <c r="B46" s="2">
        <v>10.6</v>
      </c>
      <c r="C46" t="s">
        <v>1</v>
      </c>
      <c r="E46" s="7" t="s">
        <v>867</v>
      </c>
      <c r="F46" s="153">
        <v>45413</v>
      </c>
      <c r="G46" s="161">
        <v>45292</v>
      </c>
    </row>
    <row r="47" spans="1:10" x14ac:dyDescent="0.25">
      <c r="A47" s="71" t="s">
        <v>30</v>
      </c>
      <c r="B47" s="2">
        <v>10</v>
      </c>
      <c r="C47" t="s">
        <v>1</v>
      </c>
      <c r="E47" s="7" t="s">
        <v>447</v>
      </c>
      <c r="F47" s="153">
        <v>45413</v>
      </c>
      <c r="G47" s="161">
        <v>45292</v>
      </c>
    </row>
    <row r="48" spans="1:10" x14ac:dyDescent="0.25">
      <c r="A48" s="71" t="s">
        <v>24</v>
      </c>
      <c r="B48" s="2">
        <v>6.45</v>
      </c>
      <c r="C48" t="s">
        <v>1</v>
      </c>
      <c r="E48" s="7" t="s">
        <v>450</v>
      </c>
      <c r="F48" s="153">
        <v>45413</v>
      </c>
      <c r="G48" s="161">
        <v>45292</v>
      </c>
    </row>
    <row r="49" spans="1:7" x14ac:dyDescent="0.25">
      <c r="A49" s="71" t="s">
        <v>25</v>
      </c>
      <c r="B49" s="2">
        <v>5.15</v>
      </c>
      <c r="C49" t="s">
        <v>1</v>
      </c>
      <c r="E49" s="7" t="s">
        <v>868</v>
      </c>
      <c r="F49" s="153">
        <v>45413</v>
      </c>
      <c r="G49" s="161">
        <v>45292</v>
      </c>
    </row>
    <row r="50" spans="1:7" x14ac:dyDescent="0.25">
      <c r="A50" s="71" t="s">
        <v>28</v>
      </c>
      <c r="B50" s="2">
        <v>5.36</v>
      </c>
      <c r="C50" t="s">
        <v>1</v>
      </c>
      <c r="E50" s="7" t="s">
        <v>520</v>
      </c>
      <c r="F50" s="153">
        <v>45413</v>
      </c>
      <c r="G50" s="161">
        <v>45292</v>
      </c>
    </row>
    <row r="51" spans="1:7" x14ac:dyDescent="0.25">
      <c r="A51" s="71" t="s">
        <v>26</v>
      </c>
      <c r="B51" s="2">
        <v>6.1</v>
      </c>
      <c r="C51" t="s">
        <v>1</v>
      </c>
      <c r="E51" s="7" t="s">
        <v>490</v>
      </c>
      <c r="F51" s="153">
        <v>45413</v>
      </c>
      <c r="G51" s="161">
        <v>45292</v>
      </c>
    </row>
    <row r="52" spans="1:7" x14ac:dyDescent="0.25">
      <c r="A52" s="71" t="s">
        <v>27</v>
      </c>
      <c r="B52" s="2">
        <v>5.54</v>
      </c>
      <c r="C52" t="s">
        <v>1</v>
      </c>
      <c r="E52" s="7" t="s">
        <v>423</v>
      </c>
      <c r="F52" s="153">
        <v>46120</v>
      </c>
      <c r="G52" s="171">
        <v>45729</v>
      </c>
    </row>
    <row r="53" spans="1:7" x14ac:dyDescent="0.25">
      <c r="A53" s="71" t="s">
        <v>29</v>
      </c>
      <c r="B53" s="2">
        <v>2.2000000000000002</v>
      </c>
      <c r="C53" t="s">
        <v>1</v>
      </c>
      <c r="E53" s="7" t="s">
        <v>444</v>
      </c>
      <c r="F53" s="153">
        <v>46460</v>
      </c>
      <c r="G53" s="153">
        <v>45886</v>
      </c>
    </row>
    <row r="54" spans="1:7" x14ac:dyDescent="0.25">
      <c r="A54" s="71" t="s">
        <v>296</v>
      </c>
      <c r="B54" s="2">
        <v>7.6</v>
      </c>
      <c r="C54" t="s">
        <v>401</v>
      </c>
      <c r="E54" s="7" t="s">
        <v>615</v>
      </c>
      <c r="F54" s="153">
        <v>46095</v>
      </c>
      <c r="G54" s="171">
        <v>46006</v>
      </c>
    </row>
    <row r="55" spans="1:7" x14ac:dyDescent="0.25">
      <c r="A55" s="71" t="s">
        <v>301</v>
      </c>
      <c r="B55" s="2">
        <v>6.5</v>
      </c>
      <c r="C55" t="s">
        <v>401</v>
      </c>
      <c r="E55" s="7"/>
      <c r="F55" s="153"/>
      <c r="G55" s="153"/>
    </row>
    <row r="56" spans="1:7" x14ac:dyDescent="0.25">
      <c r="A56" s="71" t="s">
        <v>196</v>
      </c>
      <c r="B56" s="2">
        <v>5.7</v>
      </c>
      <c r="C56" t="s">
        <v>401</v>
      </c>
      <c r="G56" s="114"/>
    </row>
    <row r="57" spans="1:7" x14ac:dyDescent="0.25">
      <c r="A57" s="71" t="s">
        <v>265</v>
      </c>
      <c r="B57" s="2">
        <v>7.76</v>
      </c>
      <c r="C57" t="s">
        <v>401</v>
      </c>
      <c r="G57" s="7"/>
    </row>
    <row r="58" spans="1:7" x14ac:dyDescent="0.25">
      <c r="A58" s="71" t="s">
        <v>309</v>
      </c>
      <c r="B58" s="2">
        <v>7.67</v>
      </c>
      <c r="C58" t="s">
        <v>401</v>
      </c>
      <c r="G58" s="114"/>
    </row>
    <row r="59" spans="1:7" x14ac:dyDescent="0.25">
      <c r="A59" s="71" t="s">
        <v>242</v>
      </c>
      <c r="B59" s="2">
        <v>8.69</v>
      </c>
      <c r="C59" t="s">
        <v>401</v>
      </c>
      <c r="G59" s="7"/>
    </row>
    <row r="60" spans="1:7" x14ac:dyDescent="0.25">
      <c r="A60" s="71" t="s">
        <v>174</v>
      </c>
      <c r="B60" s="2">
        <v>10.23</v>
      </c>
      <c r="C60" t="s">
        <v>401</v>
      </c>
    </row>
    <row r="61" spans="1:7" x14ac:dyDescent="0.25">
      <c r="A61" s="71" t="s">
        <v>276</v>
      </c>
      <c r="B61" s="2">
        <v>8.15</v>
      </c>
      <c r="C61" t="s">
        <v>401</v>
      </c>
    </row>
    <row r="62" spans="1:7" x14ac:dyDescent="0.25">
      <c r="A62" s="71" t="s">
        <v>177</v>
      </c>
      <c r="B62" s="2">
        <v>7.45</v>
      </c>
      <c r="C62" t="s">
        <v>401</v>
      </c>
    </row>
    <row r="63" spans="1:7" x14ac:dyDescent="0.25">
      <c r="A63" s="71" t="s">
        <v>283</v>
      </c>
      <c r="B63" s="2">
        <v>8.8699999999999992</v>
      </c>
      <c r="C63" t="s">
        <v>401</v>
      </c>
    </row>
    <row r="64" spans="1:7" x14ac:dyDescent="0.25">
      <c r="A64" s="71" t="s">
        <v>712</v>
      </c>
      <c r="B64" s="2">
        <v>4.26</v>
      </c>
      <c r="C64" t="s">
        <v>401</v>
      </c>
    </row>
    <row r="65" spans="1:10" x14ac:dyDescent="0.25">
      <c r="A65" s="71" t="s">
        <v>254</v>
      </c>
      <c r="B65" s="2">
        <v>8.77</v>
      </c>
      <c r="C65" t="s">
        <v>401</v>
      </c>
    </row>
    <row r="66" spans="1:10" x14ac:dyDescent="0.25">
      <c r="A66" s="71" t="s">
        <v>252</v>
      </c>
      <c r="B66" s="2">
        <v>9.18</v>
      </c>
      <c r="C66" t="s">
        <v>401</v>
      </c>
    </row>
    <row r="67" spans="1:10" x14ac:dyDescent="0.25">
      <c r="A67" s="71" t="s">
        <v>580</v>
      </c>
      <c r="B67" s="2">
        <v>2.58</v>
      </c>
      <c r="C67" t="s">
        <v>401</v>
      </c>
    </row>
    <row r="68" spans="1:10" x14ac:dyDescent="0.25">
      <c r="A68" s="71" t="s">
        <v>125</v>
      </c>
      <c r="B68" s="2">
        <v>7.5</v>
      </c>
      <c r="C68" t="s">
        <v>401</v>
      </c>
    </row>
    <row r="69" spans="1:10" x14ac:dyDescent="0.25">
      <c r="A69" s="71" t="s">
        <v>273</v>
      </c>
      <c r="B69" s="2">
        <v>5.92</v>
      </c>
      <c r="C69" t="s">
        <v>401</v>
      </c>
    </row>
    <row r="70" spans="1:10" x14ac:dyDescent="0.25">
      <c r="A70" s="71" t="s">
        <v>581</v>
      </c>
      <c r="B70" s="2">
        <v>2.27</v>
      </c>
      <c r="C70" t="s">
        <v>401</v>
      </c>
    </row>
    <row r="71" spans="1:10" x14ac:dyDescent="0.25">
      <c r="A71" s="71" t="s">
        <v>269</v>
      </c>
      <c r="B71" s="2">
        <v>5.94</v>
      </c>
      <c r="C71" t="s">
        <v>401</v>
      </c>
    </row>
    <row r="72" spans="1:10" x14ac:dyDescent="0.25">
      <c r="A72" s="71" t="s">
        <v>115</v>
      </c>
      <c r="B72" s="2">
        <v>5</v>
      </c>
      <c r="C72" t="s">
        <v>401</v>
      </c>
    </row>
    <row r="73" spans="1:10" x14ac:dyDescent="0.25">
      <c r="A73" s="71" t="s">
        <v>194</v>
      </c>
      <c r="B73" s="2">
        <v>3.8</v>
      </c>
      <c r="C73" t="s">
        <v>401</v>
      </c>
    </row>
    <row r="74" spans="1:10" x14ac:dyDescent="0.25">
      <c r="A74" s="71" t="s">
        <v>193</v>
      </c>
      <c r="B74" s="2">
        <v>5.4</v>
      </c>
      <c r="C74" t="s">
        <v>401</v>
      </c>
    </row>
    <row r="75" spans="1:10" x14ac:dyDescent="0.25">
      <c r="A75" s="71" t="s">
        <v>187</v>
      </c>
      <c r="B75" s="2">
        <v>5.7</v>
      </c>
      <c r="C75" t="s">
        <v>401</v>
      </c>
    </row>
    <row r="76" spans="1:10" x14ac:dyDescent="0.25">
      <c r="A76" s="71" t="s">
        <v>302</v>
      </c>
      <c r="B76" s="2">
        <v>5.5</v>
      </c>
      <c r="C76" t="s">
        <v>401</v>
      </c>
    </row>
    <row r="77" spans="1:10" x14ac:dyDescent="0.25">
      <c r="A77" s="71" t="s">
        <v>182</v>
      </c>
      <c r="B77" s="2">
        <v>5.3</v>
      </c>
      <c r="C77" t="s">
        <v>401</v>
      </c>
      <c r="E77" t="s">
        <v>2</v>
      </c>
      <c r="F77" t="s">
        <v>32</v>
      </c>
      <c r="G77" t="s">
        <v>744</v>
      </c>
      <c r="H77" t="s">
        <v>402</v>
      </c>
      <c r="I77" t="s">
        <v>416</v>
      </c>
      <c r="J77" t="s">
        <v>817</v>
      </c>
    </row>
    <row r="78" spans="1:10" x14ac:dyDescent="0.25">
      <c r="A78" s="71" t="s">
        <v>368</v>
      </c>
      <c r="B78" s="2">
        <v>11.6</v>
      </c>
      <c r="C78" t="s">
        <v>401</v>
      </c>
      <c r="E78" t="s">
        <v>775</v>
      </c>
      <c r="F78" t="s">
        <v>46</v>
      </c>
      <c r="G78" t="s">
        <v>401</v>
      </c>
      <c r="H78" t="s">
        <v>819</v>
      </c>
      <c r="I78" s="6">
        <v>44562</v>
      </c>
      <c r="J78" s="6">
        <f ca="1">TODAY()</f>
        <v>46168</v>
      </c>
    </row>
    <row r="79" spans="1:10" x14ac:dyDescent="0.25">
      <c r="A79" s="71" t="s">
        <v>130</v>
      </c>
      <c r="B79" s="2">
        <v>13.5</v>
      </c>
      <c r="C79" t="s">
        <v>401</v>
      </c>
      <c r="E79" t="s">
        <v>783</v>
      </c>
      <c r="F79" t="s">
        <v>47</v>
      </c>
      <c r="G79" t="s">
        <v>1</v>
      </c>
      <c r="H79" t="s">
        <v>819</v>
      </c>
      <c r="I79" s="6">
        <v>44562</v>
      </c>
      <c r="J79" s="6">
        <f ca="1">TODAY()</f>
        <v>46168</v>
      </c>
    </row>
    <row r="80" spans="1:10" x14ac:dyDescent="0.25">
      <c r="A80" s="71" t="s">
        <v>424</v>
      </c>
      <c r="B80" s="2">
        <v>3.5</v>
      </c>
      <c r="C80" t="s">
        <v>401</v>
      </c>
      <c r="E80" t="s">
        <v>583</v>
      </c>
      <c r="F80" t="s">
        <v>39</v>
      </c>
      <c r="G80" t="s">
        <v>1</v>
      </c>
      <c r="H80" t="s">
        <v>869</v>
      </c>
      <c r="I80" s="6">
        <v>44835</v>
      </c>
      <c r="J80" s="6">
        <v>45046</v>
      </c>
    </row>
    <row r="81" spans="1:10" x14ac:dyDescent="0.25">
      <c r="A81" t="s">
        <v>270</v>
      </c>
      <c r="B81" s="2">
        <v>4.5999999999999996</v>
      </c>
      <c r="C81" t="s">
        <v>833</v>
      </c>
      <c r="E81" t="s">
        <v>786</v>
      </c>
      <c r="F81" t="s">
        <v>35</v>
      </c>
      <c r="G81" t="s">
        <v>1</v>
      </c>
      <c r="H81" t="s">
        <v>847</v>
      </c>
      <c r="I81" s="6">
        <v>44562</v>
      </c>
      <c r="J81" s="6">
        <v>45048</v>
      </c>
    </row>
    <row r="82" spans="1:10" x14ac:dyDescent="0.25">
      <c r="A82" t="s">
        <v>350</v>
      </c>
      <c r="B82" s="2">
        <v>4.72</v>
      </c>
      <c r="C82" t="s">
        <v>833</v>
      </c>
      <c r="E82" t="s">
        <v>788</v>
      </c>
      <c r="F82" t="s">
        <v>41</v>
      </c>
      <c r="G82" t="s">
        <v>1</v>
      </c>
      <c r="H82" t="s">
        <v>847</v>
      </c>
      <c r="I82" s="6">
        <v>44562</v>
      </c>
      <c r="J82" s="6">
        <v>45048</v>
      </c>
    </row>
    <row r="83" spans="1:10" x14ac:dyDescent="0.25">
      <c r="A83" t="s">
        <v>260</v>
      </c>
      <c r="B83" s="2">
        <v>4.24</v>
      </c>
      <c r="C83" t="s">
        <v>833</v>
      </c>
      <c r="E83" t="s">
        <v>790</v>
      </c>
      <c r="F83" t="s">
        <v>43</v>
      </c>
      <c r="G83" t="s">
        <v>1</v>
      </c>
      <c r="H83" t="s">
        <v>870</v>
      </c>
      <c r="I83" s="6">
        <v>44562</v>
      </c>
      <c r="J83" s="6">
        <v>45048</v>
      </c>
    </row>
    <row r="84" spans="1:10" x14ac:dyDescent="0.25">
      <c r="A84" t="s">
        <v>208</v>
      </c>
      <c r="B84" s="2">
        <v>9.81</v>
      </c>
      <c r="C84" t="s">
        <v>833</v>
      </c>
      <c r="E84" t="s">
        <v>792</v>
      </c>
      <c r="F84" t="s">
        <v>48</v>
      </c>
      <c r="G84" t="s">
        <v>1</v>
      </c>
      <c r="H84" t="s">
        <v>870</v>
      </c>
      <c r="I84" s="6">
        <v>44562</v>
      </c>
      <c r="J84" s="6">
        <v>45048</v>
      </c>
    </row>
    <row r="85" spans="1:10" x14ac:dyDescent="0.25">
      <c r="A85" t="s">
        <v>183</v>
      </c>
      <c r="B85" s="2">
        <v>3.84</v>
      </c>
      <c r="C85" t="s">
        <v>833</v>
      </c>
      <c r="E85" t="s">
        <v>794</v>
      </c>
      <c r="F85" t="s">
        <v>38</v>
      </c>
      <c r="G85" t="s">
        <v>401</v>
      </c>
      <c r="H85" t="s">
        <v>871</v>
      </c>
      <c r="I85" s="6">
        <v>44562</v>
      </c>
      <c r="J85" s="6">
        <f ca="1">TODAY()</f>
        <v>46168</v>
      </c>
    </row>
    <row r="86" spans="1:10" x14ac:dyDescent="0.25">
      <c r="A86" t="s">
        <v>126</v>
      </c>
      <c r="B86" s="2">
        <v>5.23</v>
      </c>
      <c r="C86" t="s">
        <v>833</v>
      </c>
      <c r="E86" t="s">
        <v>796</v>
      </c>
      <c r="F86" t="s">
        <v>37</v>
      </c>
      <c r="G86" t="s">
        <v>401</v>
      </c>
      <c r="H86" t="s">
        <v>823</v>
      </c>
      <c r="I86" s="6">
        <v>44562</v>
      </c>
      <c r="J86" s="6">
        <v>45048</v>
      </c>
    </row>
    <row r="87" spans="1:10" x14ac:dyDescent="0.25">
      <c r="A87" t="s">
        <v>127</v>
      </c>
      <c r="B87" s="2">
        <v>6.31</v>
      </c>
      <c r="C87" t="s">
        <v>833</v>
      </c>
      <c r="E87" t="s">
        <v>583</v>
      </c>
      <c r="F87" t="s">
        <v>39</v>
      </c>
      <c r="G87" t="s">
        <v>1</v>
      </c>
      <c r="H87" t="s">
        <v>823</v>
      </c>
      <c r="I87" s="6">
        <v>45049</v>
      </c>
      <c r="J87" s="6">
        <v>45048</v>
      </c>
    </row>
    <row r="88" spans="1:10" x14ac:dyDescent="0.25">
      <c r="A88" t="s">
        <v>147</v>
      </c>
      <c r="B88" s="2">
        <v>7.95</v>
      </c>
      <c r="C88" t="s">
        <v>833</v>
      </c>
      <c r="E88" t="s">
        <v>801</v>
      </c>
      <c r="F88" t="s">
        <v>44</v>
      </c>
      <c r="G88" t="s">
        <v>401</v>
      </c>
      <c r="H88" t="s">
        <v>857</v>
      </c>
      <c r="I88" s="6">
        <v>44562</v>
      </c>
      <c r="J88" s="6">
        <f ca="1">TODAY()</f>
        <v>46168</v>
      </c>
    </row>
    <row r="89" spans="1:10" x14ac:dyDescent="0.25">
      <c r="A89" t="s">
        <v>144</v>
      </c>
      <c r="B89" s="2">
        <v>7.95</v>
      </c>
      <c r="C89" t="s">
        <v>833</v>
      </c>
      <c r="E89" t="s">
        <v>803</v>
      </c>
      <c r="F89" t="s">
        <v>36</v>
      </c>
      <c r="G89" t="s">
        <v>1</v>
      </c>
      <c r="H89" t="s">
        <v>836</v>
      </c>
      <c r="I89" s="6">
        <v>45049</v>
      </c>
      <c r="J89" s="6">
        <f ca="1">TODAY()</f>
        <v>46168</v>
      </c>
    </row>
    <row r="90" spans="1:10" x14ac:dyDescent="0.25">
      <c r="A90" t="s">
        <v>250</v>
      </c>
      <c r="B90" s="2">
        <v>4.0199999999999996</v>
      </c>
      <c r="C90" t="s">
        <v>833</v>
      </c>
      <c r="E90" t="s">
        <v>805</v>
      </c>
      <c r="F90" t="s">
        <v>45</v>
      </c>
      <c r="G90" t="s">
        <v>1</v>
      </c>
      <c r="H90" t="s">
        <v>836</v>
      </c>
      <c r="I90" s="6">
        <v>45049</v>
      </c>
      <c r="J90" s="6">
        <f ca="1">TODAY()</f>
        <v>46168</v>
      </c>
    </row>
    <row r="91" spans="1:10" x14ac:dyDescent="0.25">
      <c r="A91" t="s">
        <v>219</v>
      </c>
      <c r="B91" s="2">
        <v>13.43</v>
      </c>
      <c r="C91" t="s">
        <v>833</v>
      </c>
      <c r="E91" t="s">
        <v>825</v>
      </c>
      <c r="F91" t="s">
        <v>826</v>
      </c>
      <c r="G91" t="s">
        <v>401</v>
      </c>
      <c r="H91" t="s">
        <v>872</v>
      </c>
      <c r="I91" s="6">
        <v>45047</v>
      </c>
      <c r="J91" s="6">
        <v>45125</v>
      </c>
    </row>
    <row r="92" spans="1:10" x14ac:dyDescent="0.25">
      <c r="A92" t="s">
        <v>169</v>
      </c>
      <c r="B92" s="2">
        <v>7.8</v>
      </c>
      <c r="C92" t="s">
        <v>833</v>
      </c>
      <c r="E92" t="s">
        <v>829</v>
      </c>
      <c r="F92" t="s">
        <v>830</v>
      </c>
      <c r="G92" t="s">
        <v>401</v>
      </c>
      <c r="H92" t="s">
        <v>872</v>
      </c>
      <c r="I92" s="6">
        <v>45047</v>
      </c>
      <c r="J92" s="6">
        <v>45125</v>
      </c>
    </row>
    <row r="93" spans="1:10" x14ac:dyDescent="0.25">
      <c r="A93" t="s">
        <v>220</v>
      </c>
      <c r="B93" s="2">
        <v>5.7</v>
      </c>
      <c r="C93" t="s">
        <v>833</v>
      </c>
      <c r="E93" t="s">
        <v>834</v>
      </c>
      <c r="F93" t="s">
        <v>835</v>
      </c>
      <c r="G93" t="s">
        <v>401</v>
      </c>
      <c r="H93" t="s">
        <v>872</v>
      </c>
      <c r="I93" s="6">
        <v>45047</v>
      </c>
      <c r="J93" s="6">
        <v>45125</v>
      </c>
    </row>
    <row r="94" spans="1:10" x14ac:dyDescent="0.25">
      <c r="A94" t="s">
        <v>249</v>
      </c>
      <c r="B94" s="2">
        <v>8.61</v>
      </c>
      <c r="C94" t="s">
        <v>833</v>
      </c>
      <c r="E94" t="s">
        <v>795</v>
      </c>
      <c r="F94" t="s">
        <v>42</v>
      </c>
      <c r="G94" t="s">
        <v>401</v>
      </c>
      <c r="H94" t="s">
        <v>872</v>
      </c>
      <c r="I94" s="6">
        <v>45047</v>
      </c>
      <c r="J94" s="6">
        <v>45125</v>
      </c>
    </row>
    <row r="95" spans="1:10" x14ac:dyDescent="0.25">
      <c r="A95" t="s">
        <v>873</v>
      </c>
      <c r="B95" s="2">
        <v>4.46</v>
      </c>
      <c r="C95" t="s">
        <v>833</v>
      </c>
      <c r="E95" t="s">
        <v>838</v>
      </c>
      <c r="F95" t="s">
        <v>839</v>
      </c>
      <c r="G95" t="s">
        <v>401</v>
      </c>
      <c r="H95" t="s">
        <v>872</v>
      </c>
      <c r="I95" s="6">
        <v>45047</v>
      </c>
      <c r="J95" s="6">
        <v>45125</v>
      </c>
    </row>
    <row r="96" spans="1:10" x14ac:dyDescent="0.25">
      <c r="A96" t="s">
        <v>253</v>
      </c>
      <c r="B96" s="2">
        <v>4.74</v>
      </c>
      <c r="C96" t="s">
        <v>833</v>
      </c>
      <c r="E96" t="s">
        <v>840</v>
      </c>
      <c r="F96" t="s">
        <v>841</v>
      </c>
      <c r="G96" t="s">
        <v>401</v>
      </c>
      <c r="H96" t="s">
        <v>872</v>
      </c>
      <c r="I96" s="6">
        <v>45047</v>
      </c>
      <c r="J96" s="6">
        <v>45125</v>
      </c>
    </row>
    <row r="97" spans="1:10" x14ac:dyDescent="0.25">
      <c r="A97" t="s">
        <v>267</v>
      </c>
      <c r="B97" s="2">
        <v>5.01</v>
      </c>
      <c r="C97" t="s">
        <v>833</v>
      </c>
      <c r="E97" t="s">
        <v>843</v>
      </c>
      <c r="F97" t="s">
        <v>844</v>
      </c>
      <c r="G97" t="s">
        <v>401</v>
      </c>
      <c r="H97" t="s">
        <v>872</v>
      </c>
      <c r="I97" s="6">
        <v>45047</v>
      </c>
      <c r="J97" s="6">
        <v>45125</v>
      </c>
    </row>
    <row r="98" spans="1:10" x14ac:dyDescent="0.25">
      <c r="A98" t="s">
        <v>297</v>
      </c>
      <c r="B98" s="2">
        <v>9.5500000000000007</v>
      </c>
      <c r="C98" t="s">
        <v>833</v>
      </c>
      <c r="E98" t="s">
        <v>786</v>
      </c>
      <c r="F98" t="s">
        <v>35</v>
      </c>
      <c r="G98" t="s">
        <v>1</v>
      </c>
      <c r="H98" t="s">
        <v>874</v>
      </c>
      <c r="I98" s="6">
        <v>45049</v>
      </c>
      <c r="J98" s="6">
        <f ca="1">TODAY()</f>
        <v>46168</v>
      </c>
    </row>
    <row r="99" spans="1:10" x14ac:dyDescent="0.25">
      <c r="A99" t="s">
        <v>184</v>
      </c>
      <c r="B99" s="2">
        <v>8.8699999999999992</v>
      </c>
      <c r="C99" t="s">
        <v>833</v>
      </c>
      <c r="E99" t="s">
        <v>788</v>
      </c>
      <c r="F99" t="s">
        <v>41</v>
      </c>
      <c r="G99" t="s">
        <v>1</v>
      </c>
      <c r="H99" t="s">
        <v>874</v>
      </c>
      <c r="I99" s="6">
        <v>45049</v>
      </c>
      <c r="J99" s="6">
        <f ca="1">TODAY()</f>
        <v>46168</v>
      </c>
    </row>
    <row r="100" spans="1:10" x14ac:dyDescent="0.25">
      <c r="A100" t="s">
        <v>137</v>
      </c>
      <c r="B100" s="2">
        <v>9.18</v>
      </c>
      <c r="C100" t="s">
        <v>833</v>
      </c>
      <c r="E100" t="s">
        <v>790</v>
      </c>
      <c r="F100" t="s">
        <v>43</v>
      </c>
      <c r="G100" t="s">
        <v>1</v>
      </c>
      <c r="H100" t="s">
        <v>874</v>
      </c>
      <c r="I100" s="6">
        <v>45049</v>
      </c>
      <c r="J100" s="6">
        <f ca="1">TODAY()</f>
        <v>46168</v>
      </c>
    </row>
    <row r="101" spans="1:10" x14ac:dyDescent="0.25">
      <c r="A101" t="s">
        <v>216</v>
      </c>
      <c r="B101" s="2">
        <v>7.78</v>
      </c>
      <c r="C101" t="s">
        <v>833</v>
      </c>
      <c r="E101" t="s">
        <v>792</v>
      </c>
      <c r="F101" t="s">
        <v>48</v>
      </c>
      <c r="G101" t="s">
        <v>1</v>
      </c>
      <c r="H101" t="s">
        <v>874</v>
      </c>
      <c r="I101" s="6">
        <v>45049</v>
      </c>
      <c r="J101" s="6">
        <f ca="1">TODAY()</f>
        <v>46168</v>
      </c>
    </row>
    <row r="102" spans="1:10" x14ac:dyDescent="0.25">
      <c r="A102" t="s">
        <v>323</v>
      </c>
      <c r="B102" s="2">
        <v>6.85</v>
      </c>
      <c r="C102" t="s">
        <v>833</v>
      </c>
      <c r="E102" t="s">
        <v>803</v>
      </c>
      <c r="F102" t="s">
        <v>36</v>
      </c>
      <c r="G102" t="s">
        <v>1</v>
      </c>
      <c r="H102" t="s">
        <v>875</v>
      </c>
      <c r="I102" s="6">
        <v>44562</v>
      </c>
      <c r="J102" s="6">
        <v>45048</v>
      </c>
    </row>
    <row r="103" spans="1:10" x14ac:dyDescent="0.25">
      <c r="A103" t="s">
        <v>159</v>
      </c>
      <c r="B103" s="2">
        <v>13.72</v>
      </c>
      <c r="C103" t="s">
        <v>833</v>
      </c>
      <c r="E103" t="s">
        <v>796</v>
      </c>
      <c r="F103" t="s">
        <v>37</v>
      </c>
      <c r="G103" t="s">
        <v>401</v>
      </c>
      <c r="H103" t="s">
        <v>850</v>
      </c>
      <c r="I103" s="6">
        <v>45049</v>
      </c>
      <c r="J103" s="6">
        <f ca="1">TODAY()</f>
        <v>46168</v>
      </c>
    </row>
    <row r="104" spans="1:10" x14ac:dyDescent="0.25">
      <c r="A104" t="s">
        <v>307</v>
      </c>
      <c r="B104" s="2">
        <v>14.61</v>
      </c>
      <c r="C104" t="s">
        <v>833</v>
      </c>
      <c r="E104" t="s">
        <v>805</v>
      </c>
      <c r="F104" t="s">
        <v>45</v>
      </c>
      <c r="G104" t="s">
        <v>1</v>
      </c>
      <c r="H104" t="s">
        <v>875</v>
      </c>
      <c r="I104" s="6">
        <v>44562</v>
      </c>
      <c r="J104" s="6">
        <v>45048</v>
      </c>
    </row>
    <row r="105" spans="1:10" x14ac:dyDescent="0.25">
      <c r="A105" t="s">
        <v>331</v>
      </c>
      <c r="B105" s="2">
        <v>14.77</v>
      </c>
      <c r="C105" t="s">
        <v>833</v>
      </c>
      <c r="E105" t="s">
        <v>852</v>
      </c>
      <c r="F105" t="s">
        <v>853</v>
      </c>
      <c r="G105" t="s">
        <v>401</v>
      </c>
      <c r="H105" t="s">
        <v>846</v>
      </c>
      <c r="I105" s="6">
        <v>44562</v>
      </c>
      <c r="J105" s="6">
        <f t="shared" ref="J105:J112" ca="1" si="2">TODAY()</f>
        <v>46168</v>
      </c>
    </row>
    <row r="106" spans="1:10" x14ac:dyDescent="0.25">
      <c r="A106" t="s">
        <v>308</v>
      </c>
      <c r="B106" s="2">
        <v>6.91</v>
      </c>
      <c r="C106" t="s">
        <v>833</v>
      </c>
      <c r="E106" t="s">
        <v>825</v>
      </c>
      <c r="F106" t="s">
        <v>826</v>
      </c>
      <c r="G106" t="s">
        <v>401</v>
      </c>
      <c r="H106" t="s">
        <v>831</v>
      </c>
      <c r="I106" s="6">
        <v>45126</v>
      </c>
      <c r="J106" s="6">
        <f t="shared" ca="1" si="2"/>
        <v>46168</v>
      </c>
    </row>
    <row r="107" spans="1:10" x14ac:dyDescent="0.25">
      <c r="A107" t="s">
        <v>206</v>
      </c>
      <c r="B107" s="2">
        <v>5.34</v>
      </c>
      <c r="C107" t="s">
        <v>833</v>
      </c>
      <c r="E107" t="s">
        <v>829</v>
      </c>
      <c r="F107" t="s">
        <v>830</v>
      </c>
      <c r="G107" t="s">
        <v>401</v>
      </c>
      <c r="H107" t="s">
        <v>831</v>
      </c>
      <c r="I107" s="6">
        <v>45126</v>
      </c>
      <c r="J107" s="6">
        <f t="shared" ca="1" si="2"/>
        <v>46168</v>
      </c>
    </row>
    <row r="108" spans="1:10" x14ac:dyDescent="0.25">
      <c r="A108" t="s">
        <v>132</v>
      </c>
      <c r="B108" s="2">
        <v>7.74</v>
      </c>
      <c r="C108" t="s">
        <v>833</v>
      </c>
      <c r="E108" t="s">
        <v>834</v>
      </c>
      <c r="F108" t="s">
        <v>835</v>
      </c>
      <c r="G108" t="s">
        <v>401</v>
      </c>
      <c r="H108" t="s">
        <v>831</v>
      </c>
      <c r="I108" s="6">
        <v>45126</v>
      </c>
      <c r="J108" s="6">
        <f t="shared" ca="1" si="2"/>
        <v>46168</v>
      </c>
    </row>
    <row r="109" spans="1:10" x14ac:dyDescent="0.25">
      <c r="A109" s="71" t="s">
        <v>286</v>
      </c>
      <c r="B109" s="2">
        <v>6.1</v>
      </c>
      <c r="C109" t="s">
        <v>876</v>
      </c>
      <c r="E109" t="s">
        <v>795</v>
      </c>
      <c r="F109" t="s">
        <v>42</v>
      </c>
      <c r="G109" t="s">
        <v>401</v>
      </c>
      <c r="H109" t="s">
        <v>871</v>
      </c>
      <c r="I109" s="6">
        <v>45126</v>
      </c>
      <c r="J109" s="6">
        <f t="shared" ca="1" si="2"/>
        <v>46168</v>
      </c>
    </row>
    <row r="110" spans="1:10" x14ac:dyDescent="0.25">
      <c r="A110" t="s">
        <v>152</v>
      </c>
      <c r="B110" s="2">
        <v>8.5399999999999991</v>
      </c>
      <c r="C110" t="s">
        <v>833</v>
      </c>
      <c r="E110" t="s">
        <v>838</v>
      </c>
      <c r="F110" t="s">
        <v>839</v>
      </c>
      <c r="G110" t="s">
        <v>401</v>
      </c>
      <c r="H110" t="s">
        <v>831</v>
      </c>
      <c r="I110" s="6">
        <v>45126</v>
      </c>
      <c r="J110" s="6">
        <f t="shared" ca="1" si="2"/>
        <v>46168</v>
      </c>
    </row>
    <row r="111" spans="1:10" x14ac:dyDescent="0.25">
      <c r="A111" s="71" t="s">
        <v>280</v>
      </c>
      <c r="B111" s="2">
        <v>4.5</v>
      </c>
      <c r="C111" t="s">
        <v>401</v>
      </c>
      <c r="E111" t="s">
        <v>840</v>
      </c>
      <c r="F111" t="s">
        <v>841</v>
      </c>
      <c r="G111" t="s">
        <v>401</v>
      </c>
      <c r="H111" t="s">
        <v>831</v>
      </c>
      <c r="I111" s="6">
        <v>45126</v>
      </c>
      <c r="J111" s="6">
        <f t="shared" ca="1" si="2"/>
        <v>46168</v>
      </c>
    </row>
    <row r="112" spans="1:10" x14ac:dyDescent="0.25">
      <c r="A112" s="71" t="s">
        <v>321</v>
      </c>
      <c r="B112" s="2">
        <v>4</v>
      </c>
      <c r="C112" t="s">
        <v>401</v>
      </c>
      <c r="E112" t="s">
        <v>843</v>
      </c>
      <c r="F112" t="s">
        <v>844</v>
      </c>
      <c r="G112" t="s">
        <v>401</v>
      </c>
      <c r="H112" t="s">
        <v>831</v>
      </c>
      <c r="I112" s="6">
        <v>45126</v>
      </c>
      <c r="J112" s="6">
        <f t="shared" ca="1" si="2"/>
        <v>46168</v>
      </c>
    </row>
    <row r="113" spans="1:10" x14ac:dyDescent="0.25">
      <c r="A113" s="71" t="s">
        <v>326</v>
      </c>
      <c r="B113" s="2">
        <v>7.52</v>
      </c>
      <c r="C113" t="s">
        <v>401</v>
      </c>
      <c r="E113" t="s">
        <v>859</v>
      </c>
      <c r="F113" t="s">
        <v>860</v>
      </c>
      <c r="G113" t="s">
        <v>401</v>
      </c>
      <c r="H113" t="s">
        <v>837</v>
      </c>
      <c r="I113" s="6">
        <v>46149</v>
      </c>
      <c r="J113" s="6">
        <v>46154</v>
      </c>
    </row>
    <row r="114" spans="1:10" x14ac:dyDescent="0.25">
      <c r="A114" s="71" t="s">
        <v>138</v>
      </c>
      <c r="B114" s="2">
        <v>6.62</v>
      </c>
      <c r="C114" t="s">
        <v>401</v>
      </c>
    </row>
    <row r="115" spans="1:10" x14ac:dyDescent="0.25">
      <c r="A115" s="71" t="s">
        <v>153</v>
      </c>
      <c r="B115" s="2">
        <v>4.3</v>
      </c>
      <c r="C115" t="s">
        <v>401</v>
      </c>
    </row>
    <row r="116" spans="1:10" x14ac:dyDescent="0.25">
      <c r="A116" s="71" t="s">
        <v>238</v>
      </c>
      <c r="B116" s="2">
        <v>9.8000000000000007</v>
      </c>
      <c r="C116" t="s">
        <v>401</v>
      </c>
      <c r="E116" s="162" t="s">
        <v>71</v>
      </c>
      <c r="F116" s="162" t="s">
        <v>2</v>
      </c>
    </row>
    <row r="117" spans="1:10" x14ac:dyDescent="0.25">
      <c r="A117" s="71" t="s">
        <v>148</v>
      </c>
      <c r="B117" s="2">
        <v>4.42</v>
      </c>
      <c r="C117" t="s">
        <v>401</v>
      </c>
      <c r="E117" s="163" t="s">
        <v>433</v>
      </c>
      <c r="F117" s="163" t="s">
        <v>877</v>
      </c>
    </row>
    <row r="118" spans="1:10" x14ac:dyDescent="0.25">
      <c r="A118" s="71" t="s">
        <v>327</v>
      </c>
      <c r="B118" s="2">
        <v>3.6</v>
      </c>
      <c r="C118" t="s">
        <v>401</v>
      </c>
      <c r="E118" s="163" t="s">
        <v>878</v>
      </c>
      <c r="F118" s="163" t="s">
        <v>879</v>
      </c>
    </row>
    <row r="119" spans="1:10" x14ac:dyDescent="0.25">
      <c r="A119" s="71" t="s">
        <v>329</v>
      </c>
      <c r="B119" s="2">
        <v>3.8</v>
      </c>
      <c r="C119" t="s">
        <v>401</v>
      </c>
      <c r="E119" s="163" t="s">
        <v>880</v>
      </c>
      <c r="F119" s="163" t="s">
        <v>879</v>
      </c>
    </row>
    <row r="120" spans="1:10" x14ac:dyDescent="0.25">
      <c r="A120" s="71" t="s">
        <v>314</v>
      </c>
      <c r="B120" s="2">
        <v>5.75</v>
      </c>
      <c r="C120" t="s">
        <v>401</v>
      </c>
      <c r="E120" s="163" t="s">
        <v>450</v>
      </c>
      <c r="F120" s="163">
        <v>0</v>
      </c>
    </row>
    <row r="121" spans="1:10" x14ac:dyDescent="0.25">
      <c r="A121" s="71" t="s">
        <v>318</v>
      </c>
      <c r="B121" s="2">
        <v>4.42</v>
      </c>
      <c r="C121" t="s">
        <v>401</v>
      </c>
      <c r="E121" s="163" t="s">
        <v>615</v>
      </c>
      <c r="F121" s="163" t="s">
        <v>881</v>
      </c>
    </row>
    <row r="122" spans="1:10" x14ac:dyDescent="0.25">
      <c r="A122" s="71" t="s">
        <v>312</v>
      </c>
      <c r="B122" s="2">
        <v>8</v>
      </c>
      <c r="C122" t="s">
        <v>401</v>
      </c>
      <c r="E122" s="163" t="s">
        <v>520</v>
      </c>
      <c r="F122" s="163">
        <v>0</v>
      </c>
    </row>
    <row r="123" spans="1:10" x14ac:dyDescent="0.25">
      <c r="A123" s="71" t="s">
        <v>310</v>
      </c>
      <c r="B123" s="2">
        <v>2.25</v>
      </c>
      <c r="C123" t="s">
        <v>401</v>
      </c>
      <c r="E123" s="163" t="s">
        <v>431</v>
      </c>
      <c r="F123" s="163" t="s">
        <v>882</v>
      </c>
    </row>
    <row r="124" spans="1:10" x14ac:dyDescent="0.25">
      <c r="A124" s="71" t="s">
        <v>233</v>
      </c>
      <c r="B124" s="2">
        <v>5.26</v>
      </c>
      <c r="C124" t="s">
        <v>401</v>
      </c>
      <c r="E124" s="163" t="s">
        <v>529</v>
      </c>
      <c r="F124" s="163" t="s">
        <v>883</v>
      </c>
    </row>
    <row r="125" spans="1:10" x14ac:dyDescent="0.25">
      <c r="A125" s="71" t="s">
        <v>145</v>
      </c>
      <c r="B125" s="2">
        <v>2.69</v>
      </c>
      <c r="C125" t="s">
        <v>401</v>
      </c>
      <c r="E125" s="163" t="s">
        <v>864</v>
      </c>
      <c r="F125" s="163">
        <v>0</v>
      </c>
    </row>
    <row r="126" spans="1:10" x14ac:dyDescent="0.25">
      <c r="A126" s="71" t="s">
        <v>231</v>
      </c>
      <c r="B126" s="2">
        <v>2.4</v>
      </c>
      <c r="C126" t="s">
        <v>401</v>
      </c>
      <c r="E126" s="163" t="s">
        <v>738</v>
      </c>
      <c r="F126" s="163"/>
    </row>
    <row r="127" spans="1:10" x14ac:dyDescent="0.25">
      <c r="A127" s="71" t="s">
        <v>222</v>
      </c>
      <c r="B127" s="2">
        <v>5.9</v>
      </c>
      <c r="C127" t="s">
        <v>401</v>
      </c>
      <c r="E127" s="163" t="s">
        <v>418</v>
      </c>
      <c r="F127" s="163" t="s">
        <v>884</v>
      </c>
    </row>
    <row r="128" spans="1:10" x14ac:dyDescent="0.25">
      <c r="A128" s="71" t="s">
        <v>140</v>
      </c>
      <c r="B128" s="2">
        <v>4.47</v>
      </c>
      <c r="C128" t="s">
        <v>401</v>
      </c>
      <c r="E128" s="163" t="s">
        <v>885</v>
      </c>
      <c r="F128" s="163" t="s">
        <v>886</v>
      </c>
    </row>
    <row r="129" spans="1:6" x14ac:dyDescent="0.25">
      <c r="A129" s="71" t="s">
        <v>240</v>
      </c>
      <c r="B129" s="2">
        <v>3.35</v>
      </c>
      <c r="C129" t="s">
        <v>401</v>
      </c>
      <c r="E129" s="163" t="s">
        <v>887</v>
      </c>
      <c r="F129" s="163" t="s">
        <v>888</v>
      </c>
    </row>
    <row r="130" spans="1:6" x14ac:dyDescent="0.25">
      <c r="A130" s="71" t="s">
        <v>243</v>
      </c>
      <c r="B130" s="72">
        <v>2.04</v>
      </c>
      <c r="C130" t="s">
        <v>401</v>
      </c>
      <c r="E130" s="163" t="s">
        <v>454</v>
      </c>
      <c r="F130" s="163">
        <v>0</v>
      </c>
    </row>
    <row r="131" spans="1:6" x14ac:dyDescent="0.25">
      <c r="A131" s="71" t="s">
        <v>134</v>
      </c>
      <c r="B131" s="72">
        <v>3.32</v>
      </c>
      <c r="C131" t="s">
        <v>401</v>
      </c>
      <c r="E131" s="163" t="s">
        <v>889</v>
      </c>
      <c r="F131" s="163" t="s">
        <v>890</v>
      </c>
    </row>
    <row r="132" spans="1:6" x14ac:dyDescent="0.25">
      <c r="A132" s="71" t="s">
        <v>891</v>
      </c>
      <c r="B132" s="72">
        <v>1.52</v>
      </c>
      <c r="C132" t="s">
        <v>401</v>
      </c>
      <c r="E132" s="163" t="s">
        <v>892</v>
      </c>
      <c r="F132" s="163" t="s">
        <v>886</v>
      </c>
    </row>
    <row r="133" spans="1:6" x14ac:dyDescent="0.25">
      <c r="A133" s="71" t="s">
        <v>893</v>
      </c>
      <c r="B133" s="72">
        <v>0.54</v>
      </c>
      <c r="C133" t="s">
        <v>401</v>
      </c>
      <c r="E133" s="163" t="s">
        <v>894</v>
      </c>
      <c r="F133" s="163" t="s">
        <v>895</v>
      </c>
    </row>
    <row r="134" spans="1:6" x14ac:dyDescent="0.25">
      <c r="A134" s="71" t="s">
        <v>896</v>
      </c>
      <c r="B134" s="72">
        <v>0.9</v>
      </c>
      <c r="C134" t="s">
        <v>401</v>
      </c>
      <c r="E134" s="163" t="s">
        <v>504</v>
      </c>
      <c r="F134" s="163">
        <v>0</v>
      </c>
    </row>
    <row r="135" spans="1:6" x14ac:dyDescent="0.25">
      <c r="A135" s="71" t="s">
        <v>666</v>
      </c>
      <c r="B135" s="72">
        <v>1</v>
      </c>
      <c r="C135" t="s">
        <v>401</v>
      </c>
      <c r="E135" s="163" t="s">
        <v>867</v>
      </c>
      <c r="F135" s="163">
        <v>0</v>
      </c>
    </row>
    <row r="136" spans="1:6" x14ac:dyDescent="0.25">
      <c r="A136" s="71" t="s">
        <v>658</v>
      </c>
      <c r="B136" s="72">
        <v>1.2</v>
      </c>
      <c r="C136" t="s">
        <v>401</v>
      </c>
      <c r="E136" s="163" t="s">
        <v>868</v>
      </c>
      <c r="F136" s="163">
        <v>0</v>
      </c>
    </row>
    <row r="137" spans="1:6" x14ac:dyDescent="0.25">
      <c r="A137" s="71" t="s">
        <v>680</v>
      </c>
      <c r="B137" s="72">
        <v>1.04</v>
      </c>
      <c r="C137" t="s">
        <v>401</v>
      </c>
      <c r="E137" s="163" t="s">
        <v>897</v>
      </c>
      <c r="F137" s="163" t="s">
        <v>886</v>
      </c>
    </row>
    <row r="138" spans="1:6" x14ac:dyDescent="0.25">
      <c r="A138" s="71" t="s">
        <v>663</v>
      </c>
      <c r="B138" s="72">
        <v>0.9</v>
      </c>
      <c r="C138" t="s">
        <v>401</v>
      </c>
      <c r="E138" s="163" t="s">
        <v>898</v>
      </c>
      <c r="F138" s="163" t="s">
        <v>899</v>
      </c>
    </row>
    <row r="139" spans="1:6" x14ac:dyDescent="0.25">
      <c r="A139" s="71" t="s">
        <v>657</v>
      </c>
      <c r="B139" s="72">
        <v>1</v>
      </c>
      <c r="C139" t="s">
        <v>401</v>
      </c>
      <c r="E139" s="163" t="s">
        <v>866</v>
      </c>
      <c r="F139" s="163">
        <v>0</v>
      </c>
    </row>
    <row r="140" spans="1:6" x14ac:dyDescent="0.25">
      <c r="A140" s="71" t="s">
        <v>900</v>
      </c>
      <c r="B140" s="72">
        <v>5.79</v>
      </c>
      <c r="C140" t="s">
        <v>401</v>
      </c>
      <c r="E140" s="163" t="s">
        <v>863</v>
      </c>
      <c r="F140" s="163" t="s">
        <v>901</v>
      </c>
    </row>
    <row r="141" spans="1:6" x14ac:dyDescent="0.25">
      <c r="A141" s="71" t="s">
        <v>902</v>
      </c>
      <c r="B141" s="72">
        <v>6.25</v>
      </c>
      <c r="C141" t="s">
        <v>401</v>
      </c>
      <c r="E141" s="163" t="s">
        <v>903</v>
      </c>
      <c r="F141" s="163" t="s">
        <v>904</v>
      </c>
    </row>
    <row r="142" spans="1:6" x14ac:dyDescent="0.25">
      <c r="A142" s="71" t="s">
        <v>905</v>
      </c>
      <c r="B142" s="72">
        <v>3.44</v>
      </c>
      <c r="C142" t="s">
        <v>401</v>
      </c>
      <c r="E142" s="163" t="s">
        <v>906</v>
      </c>
      <c r="F142" s="163" t="s">
        <v>907</v>
      </c>
    </row>
    <row r="143" spans="1:6" x14ac:dyDescent="0.25">
      <c r="A143" s="71" t="s">
        <v>908</v>
      </c>
      <c r="B143" s="72">
        <v>7.27</v>
      </c>
      <c r="C143" t="s">
        <v>401</v>
      </c>
      <c r="E143" s="163" t="s">
        <v>909</v>
      </c>
      <c r="F143" s="163" t="s">
        <v>910</v>
      </c>
    </row>
    <row r="144" spans="1:6" x14ac:dyDescent="0.25">
      <c r="A144" s="71" t="s">
        <v>911</v>
      </c>
      <c r="B144" s="72">
        <v>5.7</v>
      </c>
      <c r="C144" t="s">
        <v>401</v>
      </c>
      <c r="E144" s="163" t="s">
        <v>912</v>
      </c>
      <c r="F144" s="163" t="s">
        <v>913</v>
      </c>
    </row>
    <row r="145" spans="1:6" x14ac:dyDescent="0.25">
      <c r="A145" s="71" t="s">
        <v>914</v>
      </c>
      <c r="B145" s="72">
        <v>9.48</v>
      </c>
      <c r="C145" t="s">
        <v>401</v>
      </c>
      <c r="E145" s="163" t="s">
        <v>915</v>
      </c>
      <c r="F145" s="163" t="s">
        <v>916</v>
      </c>
    </row>
    <row r="146" spans="1:6" x14ac:dyDescent="0.25">
      <c r="A146" s="71" t="s">
        <v>917</v>
      </c>
      <c r="B146" s="72">
        <v>2.89</v>
      </c>
      <c r="C146" t="s">
        <v>401</v>
      </c>
      <c r="E146" s="163" t="s">
        <v>671</v>
      </c>
      <c r="F146" s="163">
        <v>0</v>
      </c>
    </row>
    <row r="147" spans="1:6" x14ac:dyDescent="0.25">
      <c r="A147" s="71" t="s">
        <v>918</v>
      </c>
      <c r="B147" s="2">
        <v>5.58</v>
      </c>
      <c r="C147" t="s">
        <v>401</v>
      </c>
      <c r="E147" s="163" t="s">
        <v>528</v>
      </c>
      <c r="F147" s="163" t="s">
        <v>919</v>
      </c>
    </row>
    <row r="148" spans="1:6" x14ac:dyDescent="0.25">
      <c r="A148" s="71" t="s">
        <v>920</v>
      </c>
      <c r="B148" s="2">
        <v>5.74</v>
      </c>
      <c r="C148" t="s">
        <v>401</v>
      </c>
      <c r="E148" s="163" t="s">
        <v>921</v>
      </c>
      <c r="F148" s="163" t="s">
        <v>922</v>
      </c>
    </row>
    <row r="149" spans="1:6" x14ac:dyDescent="0.25">
      <c r="A149" s="71" t="s">
        <v>923</v>
      </c>
      <c r="B149" s="2">
        <v>3.53</v>
      </c>
      <c r="C149" t="s">
        <v>401</v>
      </c>
      <c r="E149" s="163" t="s">
        <v>924</v>
      </c>
      <c r="F149" s="163" t="s">
        <v>925</v>
      </c>
    </row>
    <row r="150" spans="1:6" x14ac:dyDescent="0.25">
      <c r="A150" s="71" t="s">
        <v>926</v>
      </c>
      <c r="B150" s="2">
        <v>7.68</v>
      </c>
      <c r="C150" t="s">
        <v>401</v>
      </c>
      <c r="E150" s="163" t="s">
        <v>469</v>
      </c>
      <c r="F150" s="163">
        <v>0</v>
      </c>
    </row>
    <row r="151" spans="1:6" x14ac:dyDescent="0.25">
      <c r="A151" s="71" t="s">
        <v>927</v>
      </c>
      <c r="B151" s="2">
        <v>3.89</v>
      </c>
      <c r="C151" t="s">
        <v>401</v>
      </c>
      <c r="E151" s="163" t="s">
        <v>447</v>
      </c>
      <c r="F151" s="163">
        <v>0</v>
      </c>
    </row>
    <row r="152" spans="1:6" x14ac:dyDescent="0.25">
      <c r="A152" s="71" t="s">
        <v>928</v>
      </c>
      <c r="B152" s="2">
        <v>4.42</v>
      </c>
      <c r="C152" t="s">
        <v>401</v>
      </c>
      <c r="E152" s="163" t="s">
        <v>929</v>
      </c>
      <c r="F152" s="163" t="s">
        <v>886</v>
      </c>
    </row>
    <row r="153" spans="1:6" x14ac:dyDescent="0.25">
      <c r="A153" s="71" t="s">
        <v>930</v>
      </c>
      <c r="B153" s="2">
        <v>2.96</v>
      </c>
      <c r="C153" t="s">
        <v>401</v>
      </c>
      <c r="E153" s="163" t="s">
        <v>616</v>
      </c>
      <c r="F153" s="163" t="s">
        <v>931</v>
      </c>
    </row>
    <row r="154" spans="1:6" x14ac:dyDescent="0.25">
      <c r="A154" s="71" t="s">
        <v>932</v>
      </c>
      <c r="B154" s="2">
        <v>3.81</v>
      </c>
      <c r="C154" t="s">
        <v>401</v>
      </c>
      <c r="E154" s="163" t="s">
        <v>506</v>
      </c>
      <c r="F154" s="163" t="s">
        <v>933</v>
      </c>
    </row>
    <row r="155" spans="1:6" x14ac:dyDescent="0.25">
      <c r="A155" s="71" t="s">
        <v>934</v>
      </c>
      <c r="B155" s="2">
        <v>2.48</v>
      </c>
      <c r="C155" t="s">
        <v>401</v>
      </c>
      <c r="E155" s="163" t="s">
        <v>935</v>
      </c>
      <c r="F155" s="163" t="s">
        <v>936</v>
      </c>
    </row>
    <row r="156" spans="1:6" x14ac:dyDescent="0.25">
      <c r="A156" s="71" t="s">
        <v>937</v>
      </c>
      <c r="B156" s="2">
        <v>3.43</v>
      </c>
      <c r="C156" t="s">
        <v>401</v>
      </c>
      <c r="E156" s="163" t="s">
        <v>490</v>
      </c>
      <c r="F156" s="163">
        <v>0</v>
      </c>
    </row>
    <row r="157" spans="1:6" x14ac:dyDescent="0.25">
      <c r="A157" s="71" t="s">
        <v>938</v>
      </c>
      <c r="B157" s="2">
        <v>2.89</v>
      </c>
      <c r="C157" t="s">
        <v>401</v>
      </c>
      <c r="E157" s="163" t="s">
        <v>939</v>
      </c>
      <c r="F157" s="163">
        <v>0</v>
      </c>
    </row>
    <row r="158" spans="1:6" x14ac:dyDescent="0.25">
      <c r="A158" s="71" t="s">
        <v>940</v>
      </c>
      <c r="B158" s="2">
        <v>3.74</v>
      </c>
      <c r="C158" t="s">
        <v>401</v>
      </c>
      <c r="E158" s="163" t="s">
        <v>419</v>
      </c>
      <c r="F158" s="163" t="s">
        <v>941</v>
      </c>
    </row>
    <row r="159" spans="1:6" x14ac:dyDescent="0.25">
      <c r="A159" s="71" t="s">
        <v>942</v>
      </c>
      <c r="B159" s="2">
        <v>0.72</v>
      </c>
      <c r="C159" t="s">
        <v>401</v>
      </c>
      <c r="E159" s="163" t="s">
        <v>713</v>
      </c>
      <c r="F159" s="163" t="s">
        <v>943</v>
      </c>
    </row>
    <row r="160" spans="1:6" x14ac:dyDescent="0.25">
      <c r="A160" s="71" t="s">
        <v>944</v>
      </c>
      <c r="B160" s="2">
        <v>1.92</v>
      </c>
      <c r="C160" t="s">
        <v>401</v>
      </c>
      <c r="E160" s="163" t="s">
        <v>945</v>
      </c>
      <c r="F160" s="163" t="s">
        <v>943</v>
      </c>
    </row>
    <row r="161" spans="1:6" x14ac:dyDescent="0.25">
      <c r="A161" t="s">
        <v>944</v>
      </c>
      <c r="B161" s="2">
        <v>1.92</v>
      </c>
      <c r="C161" t="s">
        <v>401</v>
      </c>
      <c r="E161" s="163" t="s">
        <v>946</v>
      </c>
      <c r="F161" s="163" t="s">
        <v>947</v>
      </c>
    </row>
    <row r="162" spans="1:6" x14ac:dyDescent="0.25">
      <c r="A162" s="71" t="s">
        <v>948</v>
      </c>
      <c r="B162" s="2">
        <v>1.48</v>
      </c>
      <c r="C162" t="s">
        <v>401</v>
      </c>
      <c r="E162" s="163" t="s">
        <v>495</v>
      </c>
      <c r="F162" s="163">
        <v>0</v>
      </c>
    </row>
    <row r="163" spans="1:6" x14ac:dyDescent="0.25">
      <c r="A163" s="71" t="s">
        <v>949</v>
      </c>
      <c r="B163" s="2">
        <v>0.48</v>
      </c>
      <c r="C163" t="s">
        <v>401</v>
      </c>
      <c r="E163" s="163" t="s">
        <v>423</v>
      </c>
      <c r="F163" s="163" t="s">
        <v>950</v>
      </c>
    </row>
    <row r="164" spans="1:6" x14ac:dyDescent="0.25">
      <c r="A164" s="71" t="s">
        <v>951</v>
      </c>
      <c r="B164" s="2">
        <v>1.38</v>
      </c>
      <c r="C164" t="s">
        <v>401</v>
      </c>
      <c r="E164" s="163" t="s">
        <v>542</v>
      </c>
      <c r="F164" s="163" t="s">
        <v>952</v>
      </c>
    </row>
    <row r="165" spans="1:6" x14ac:dyDescent="0.25">
      <c r="A165" s="71" t="s">
        <v>953</v>
      </c>
      <c r="B165" s="2">
        <v>2.09</v>
      </c>
      <c r="C165" t="s">
        <v>401</v>
      </c>
      <c r="E165" s="163" t="s">
        <v>954</v>
      </c>
      <c r="F165" s="163" t="s">
        <v>955</v>
      </c>
    </row>
    <row r="166" spans="1:6" x14ac:dyDescent="0.25">
      <c r="A166" s="71" t="s">
        <v>956</v>
      </c>
      <c r="B166" s="2">
        <v>1.52</v>
      </c>
      <c r="C166" t="s">
        <v>401</v>
      </c>
      <c r="E166" s="163" t="s">
        <v>957</v>
      </c>
      <c r="F166" s="163" t="s">
        <v>958</v>
      </c>
    </row>
    <row r="167" spans="1:6" x14ac:dyDescent="0.25">
      <c r="A167" s="71" t="s">
        <v>959</v>
      </c>
      <c r="B167" s="2">
        <v>0.51</v>
      </c>
      <c r="C167" t="s">
        <v>401</v>
      </c>
      <c r="E167" s="163" t="s">
        <v>960</v>
      </c>
      <c r="F167" s="163" t="s">
        <v>961</v>
      </c>
    </row>
    <row r="168" spans="1:6" x14ac:dyDescent="0.25">
      <c r="A168" s="71" t="s">
        <v>962</v>
      </c>
      <c r="B168" s="2">
        <v>1.1399999999999999</v>
      </c>
      <c r="C168" t="s">
        <v>401</v>
      </c>
      <c r="E168" s="163" t="s">
        <v>444</v>
      </c>
      <c r="F168" s="163" t="s">
        <v>963</v>
      </c>
    </row>
    <row r="169" spans="1:6" x14ac:dyDescent="0.25">
      <c r="A169" s="71" t="s">
        <v>964</v>
      </c>
      <c r="B169" s="2">
        <v>0.49</v>
      </c>
      <c r="C169" t="s">
        <v>401</v>
      </c>
    </row>
    <row r="170" spans="1:6" x14ac:dyDescent="0.25">
      <c r="A170" s="71" t="s">
        <v>965</v>
      </c>
      <c r="B170" s="2">
        <v>1.9</v>
      </c>
      <c r="C170" t="s">
        <v>401</v>
      </c>
    </row>
    <row r="171" spans="1:6" x14ac:dyDescent="0.25">
      <c r="A171" s="71" t="s">
        <v>966</v>
      </c>
      <c r="B171" s="2">
        <v>1.85</v>
      </c>
      <c r="C171" t="s">
        <v>401</v>
      </c>
    </row>
    <row r="172" spans="1:6" x14ac:dyDescent="0.25">
      <c r="A172" s="71" t="s">
        <v>967</v>
      </c>
      <c r="B172" s="2">
        <v>6.5</v>
      </c>
      <c r="C172" t="s">
        <v>401</v>
      </c>
    </row>
    <row r="173" spans="1:6" x14ac:dyDescent="0.25">
      <c r="A173" s="71" t="s">
        <v>968</v>
      </c>
      <c r="B173" s="2">
        <v>6.4</v>
      </c>
      <c r="C173" t="s">
        <v>401</v>
      </c>
    </row>
    <row r="174" spans="1:6" x14ac:dyDescent="0.25">
      <c r="A174" s="71" t="s">
        <v>969</v>
      </c>
      <c r="B174" s="2">
        <v>1.71</v>
      </c>
      <c r="C174" t="s">
        <v>401</v>
      </c>
    </row>
    <row r="175" spans="1:6" x14ac:dyDescent="0.25">
      <c r="A175" s="71" t="s">
        <v>970</v>
      </c>
      <c r="B175" s="2">
        <v>1.61</v>
      </c>
      <c r="C175" t="s">
        <v>401</v>
      </c>
    </row>
    <row r="176" spans="1:6" x14ac:dyDescent="0.25">
      <c r="A176" s="71" t="s">
        <v>971</v>
      </c>
      <c r="B176" s="2">
        <v>1.02</v>
      </c>
      <c r="C176" t="s">
        <v>401</v>
      </c>
    </row>
    <row r="177" spans="1:10" x14ac:dyDescent="0.25">
      <c r="A177" s="71" t="s">
        <v>972</v>
      </c>
      <c r="B177" s="2">
        <v>2.11</v>
      </c>
      <c r="C177" t="s">
        <v>401</v>
      </c>
    </row>
    <row r="178" spans="1:10" x14ac:dyDescent="0.25">
      <c r="A178" s="71" t="s">
        <v>973</v>
      </c>
      <c r="B178" s="2">
        <v>4.0999999999999996</v>
      </c>
      <c r="C178" t="s">
        <v>401</v>
      </c>
    </row>
    <row r="179" spans="1:10" s="3" customFormat="1" x14ac:dyDescent="0.25">
      <c r="A179" s="71" t="s">
        <v>974</v>
      </c>
      <c r="B179" s="2">
        <v>2.4</v>
      </c>
      <c r="C179" t="s">
        <v>401</v>
      </c>
      <c r="E179"/>
      <c r="F179"/>
      <c r="G179"/>
      <c r="H179"/>
      <c r="I179"/>
      <c r="J179"/>
    </row>
    <row r="180" spans="1:10" x14ac:dyDescent="0.25">
      <c r="A180" s="71" t="s">
        <v>975</v>
      </c>
      <c r="B180" s="2">
        <v>3.04</v>
      </c>
      <c r="C180" t="s">
        <v>401</v>
      </c>
      <c r="G180" s="3"/>
      <c r="H180" s="3"/>
      <c r="I180" s="3"/>
      <c r="J180" s="3"/>
    </row>
    <row r="181" spans="1:10" x14ac:dyDescent="0.25">
      <c r="A181" s="71" t="s">
        <v>976</v>
      </c>
      <c r="B181" s="2">
        <v>7.6</v>
      </c>
      <c r="C181" t="s">
        <v>401</v>
      </c>
    </row>
    <row r="182" spans="1:10" x14ac:dyDescent="0.25">
      <c r="A182" s="71" t="s">
        <v>977</v>
      </c>
      <c r="B182" s="2">
        <v>2.17</v>
      </c>
      <c r="C182" t="s">
        <v>401</v>
      </c>
    </row>
    <row r="183" spans="1:10" x14ac:dyDescent="0.25">
      <c r="A183" s="71" t="s">
        <v>978</v>
      </c>
      <c r="B183" s="2">
        <v>3.5</v>
      </c>
      <c r="C183" t="s">
        <v>401</v>
      </c>
    </row>
    <row r="184" spans="1:10" x14ac:dyDescent="0.25">
      <c r="A184" s="71" t="s">
        <v>979</v>
      </c>
      <c r="B184" s="2">
        <v>2.7</v>
      </c>
      <c r="C184" t="s">
        <v>401</v>
      </c>
    </row>
    <row r="185" spans="1:10" x14ac:dyDescent="0.25">
      <c r="A185" s="71" t="s">
        <v>980</v>
      </c>
      <c r="B185" s="2">
        <v>2.2000000000000002</v>
      </c>
      <c r="C185" t="s">
        <v>401</v>
      </c>
    </row>
    <row r="186" spans="1:10" x14ac:dyDescent="0.25">
      <c r="A186" s="71" t="s">
        <v>981</v>
      </c>
      <c r="B186" s="2">
        <v>0.75</v>
      </c>
      <c r="C186" t="s">
        <v>401</v>
      </c>
    </row>
    <row r="187" spans="1:10" x14ac:dyDescent="0.25">
      <c r="A187" s="71" t="s">
        <v>982</v>
      </c>
      <c r="B187" s="2">
        <v>0.6</v>
      </c>
      <c r="C187" t="s">
        <v>401</v>
      </c>
      <c r="E187" s="3"/>
      <c r="F187" s="3"/>
    </row>
    <row r="188" spans="1:10" x14ac:dyDescent="0.25">
      <c r="A188" s="71" t="s">
        <v>983</v>
      </c>
      <c r="B188" s="2">
        <v>1.25</v>
      </c>
      <c r="C188" t="s">
        <v>401</v>
      </c>
    </row>
    <row r="189" spans="1:10" x14ac:dyDescent="0.25">
      <c r="A189" s="71" t="s">
        <v>984</v>
      </c>
      <c r="B189" s="2">
        <v>0.6</v>
      </c>
      <c r="C189" t="s">
        <v>401</v>
      </c>
    </row>
    <row r="190" spans="1:10" x14ac:dyDescent="0.25">
      <c r="A190" s="71" t="s">
        <v>985</v>
      </c>
      <c r="B190" s="2">
        <v>6.58</v>
      </c>
      <c r="C190" t="s">
        <v>401</v>
      </c>
    </row>
    <row r="191" spans="1:10" x14ac:dyDescent="0.25">
      <c r="A191" s="71" t="s">
        <v>986</v>
      </c>
      <c r="B191" s="2">
        <v>2.81</v>
      </c>
      <c r="C191" t="s">
        <v>401</v>
      </c>
    </row>
    <row r="192" spans="1:10" x14ac:dyDescent="0.25">
      <c r="A192" s="71" t="s">
        <v>987</v>
      </c>
      <c r="B192" s="2">
        <v>1.0900000000000001</v>
      </c>
      <c r="C192" t="s">
        <v>401</v>
      </c>
    </row>
    <row r="193" spans="1:3" x14ac:dyDescent="0.25">
      <c r="A193" s="71" t="s">
        <v>988</v>
      </c>
      <c r="B193" s="2">
        <v>2.3199999999999998</v>
      </c>
      <c r="C193" t="s">
        <v>401</v>
      </c>
    </row>
    <row r="194" spans="1:3" x14ac:dyDescent="0.25">
      <c r="A194" s="71" t="s">
        <v>989</v>
      </c>
      <c r="B194" s="2">
        <v>3.96</v>
      </c>
      <c r="C194" t="s">
        <v>401</v>
      </c>
    </row>
    <row r="195" spans="1:3" x14ac:dyDescent="0.25">
      <c r="A195" s="71" t="s">
        <v>990</v>
      </c>
      <c r="B195" s="2">
        <v>3.5</v>
      </c>
      <c r="C195" t="s">
        <v>401</v>
      </c>
    </row>
    <row r="196" spans="1:3" x14ac:dyDescent="0.25">
      <c r="A196" s="71" t="s">
        <v>991</v>
      </c>
      <c r="B196" s="2">
        <v>2.52</v>
      </c>
      <c r="C196" t="s">
        <v>401</v>
      </c>
    </row>
    <row r="197" spans="1:3" x14ac:dyDescent="0.25">
      <c r="A197" s="71" t="s">
        <v>992</v>
      </c>
      <c r="B197" s="2">
        <v>4.7300000000000004</v>
      </c>
      <c r="C197" t="s">
        <v>401</v>
      </c>
    </row>
    <row r="198" spans="1:3" x14ac:dyDescent="0.25">
      <c r="A198" s="71" t="s">
        <v>993</v>
      </c>
      <c r="B198" s="2">
        <v>4.22</v>
      </c>
      <c r="C198" t="s">
        <v>401</v>
      </c>
    </row>
    <row r="199" spans="1:3" x14ac:dyDescent="0.25">
      <c r="A199" s="71" t="s">
        <v>994</v>
      </c>
      <c r="B199" s="2">
        <v>1.24</v>
      </c>
      <c r="C199" t="s">
        <v>401</v>
      </c>
    </row>
    <row r="200" spans="1:3" x14ac:dyDescent="0.25">
      <c r="A200" s="71" t="s">
        <v>995</v>
      </c>
      <c r="B200" s="2">
        <v>3.85</v>
      </c>
      <c r="C200" t="s">
        <v>401</v>
      </c>
    </row>
    <row r="201" spans="1:3" x14ac:dyDescent="0.25">
      <c r="A201" s="71" t="s">
        <v>996</v>
      </c>
      <c r="B201" s="2">
        <v>4.59</v>
      </c>
      <c r="C201" t="s">
        <v>401</v>
      </c>
    </row>
    <row r="202" spans="1:3" x14ac:dyDescent="0.25">
      <c r="A202" s="71" t="s">
        <v>997</v>
      </c>
      <c r="B202" s="2">
        <v>3.53</v>
      </c>
      <c r="C202" t="s">
        <v>401</v>
      </c>
    </row>
    <row r="203" spans="1:3" x14ac:dyDescent="0.25">
      <c r="A203" s="71" t="s">
        <v>998</v>
      </c>
      <c r="B203" s="2">
        <v>6.4</v>
      </c>
      <c r="C203" t="s">
        <v>401</v>
      </c>
    </row>
    <row r="204" spans="1:3" x14ac:dyDescent="0.25">
      <c r="A204" s="71" t="s">
        <v>999</v>
      </c>
      <c r="B204" s="2"/>
      <c r="C204" t="s">
        <v>401</v>
      </c>
    </row>
    <row r="205" spans="1:3" x14ac:dyDescent="0.25">
      <c r="A205" s="71" t="s">
        <v>1000</v>
      </c>
      <c r="B205" s="2"/>
      <c r="C205" t="s">
        <v>401</v>
      </c>
    </row>
    <row r="206" spans="1:3" x14ac:dyDescent="0.25">
      <c r="A206" s="71" t="s">
        <v>1001</v>
      </c>
      <c r="B206" s="2">
        <v>2.2599999999999998</v>
      </c>
      <c r="C206" t="s">
        <v>401</v>
      </c>
    </row>
    <row r="207" spans="1:3" x14ac:dyDescent="0.25">
      <c r="A207" s="71" t="s">
        <v>1002</v>
      </c>
      <c r="B207" s="2">
        <v>5.05</v>
      </c>
      <c r="C207" t="s">
        <v>401</v>
      </c>
    </row>
    <row r="208" spans="1:3" x14ac:dyDescent="0.25">
      <c r="A208" s="71" t="s">
        <v>1003</v>
      </c>
      <c r="B208" s="2">
        <v>4.8899999999999997</v>
      </c>
      <c r="C208" t="s">
        <v>401</v>
      </c>
    </row>
    <row r="209" spans="1:3" x14ac:dyDescent="0.25">
      <c r="A209" s="71" t="s">
        <v>1004</v>
      </c>
      <c r="B209" s="2">
        <v>2.56</v>
      </c>
      <c r="C209" t="s">
        <v>401</v>
      </c>
    </row>
    <row r="210" spans="1:3" x14ac:dyDescent="0.25">
      <c r="A210" s="71" t="s">
        <v>1005</v>
      </c>
      <c r="B210" s="2">
        <v>1.85</v>
      </c>
      <c r="C210" t="s">
        <v>401</v>
      </c>
    </row>
    <row r="211" spans="1:3" x14ac:dyDescent="0.25">
      <c r="A211" s="73" t="s">
        <v>1006</v>
      </c>
      <c r="B211" s="2">
        <v>2.15</v>
      </c>
      <c r="C211" t="s">
        <v>401</v>
      </c>
    </row>
    <row r="212" spans="1:3" x14ac:dyDescent="0.25">
      <c r="A212" s="73" t="s">
        <v>1007</v>
      </c>
      <c r="B212" s="2">
        <v>7.93</v>
      </c>
      <c r="C212" t="s">
        <v>401</v>
      </c>
    </row>
    <row r="213" spans="1:3" x14ac:dyDescent="0.25">
      <c r="A213" s="73" t="s">
        <v>1008</v>
      </c>
      <c r="B213" s="2">
        <v>1.08</v>
      </c>
      <c r="C213" t="s">
        <v>401</v>
      </c>
    </row>
    <row r="214" spans="1:3" x14ac:dyDescent="0.25">
      <c r="A214" s="73" t="s">
        <v>1009</v>
      </c>
      <c r="B214" s="2">
        <v>2.27</v>
      </c>
      <c r="C214" t="s">
        <v>401</v>
      </c>
    </row>
    <row r="215" spans="1:3" x14ac:dyDescent="0.25">
      <c r="A215" s="73" t="s">
        <v>1010</v>
      </c>
      <c r="B215" s="2">
        <v>4.0999999999999996</v>
      </c>
      <c r="C215" t="s">
        <v>401</v>
      </c>
    </row>
    <row r="216" spans="1:3" x14ac:dyDescent="0.25">
      <c r="A216" s="71" t="s">
        <v>1011</v>
      </c>
      <c r="B216" s="2">
        <v>2</v>
      </c>
      <c r="C216" t="s">
        <v>401</v>
      </c>
    </row>
    <row r="217" spans="1:3" x14ac:dyDescent="0.25">
      <c r="A217" s="71" t="s">
        <v>1012</v>
      </c>
      <c r="B217" s="2">
        <v>2.1</v>
      </c>
      <c r="C217" t="s">
        <v>401</v>
      </c>
    </row>
    <row r="218" spans="1:3" x14ac:dyDescent="0.25">
      <c r="A218" s="71" t="s">
        <v>1013</v>
      </c>
      <c r="B218" s="2">
        <v>2.5</v>
      </c>
      <c r="C218" t="s">
        <v>401</v>
      </c>
    </row>
    <row r="219" spans="1:3" x14ac:dyDescent="0.25">
      <c r="A219" s="71" t="s">
        <v>1014</v>
      </c>
      <c r="B219" s="2">
        <v>5.4</v>
      </c>
      <c r="C219" t="s">
        <v>401</v>
      </c>
    </row>
    <row r="220" spans="1:3" x14ac:dyDescent="0.25">
      <c r="A220" s="71" t="s">
        <v>1015</v>
      </c>
      <c r="B220" s="2">
        <v>5.3</v>
      </c>
      <c r="C220" t="s">
        <v>401</v>
      </c>
    </row>
    <row r="221" spans="1:3" x14ac:dyDescent="0.25">
      <c r="A221" s="71" t="s">
        <v>1016</v>
      </c>
      <c r="B221" s="2">
        <v>4.2</v>
      </c>
      <c r="C221" t="s">
        <v>401</v>
      </c>
    </row>
    <row r="222" spans="1:3" x14ac:dyDescent="0.25">
      <c r="A222" s="74" t="s">
        <v>1017</v>
      </c>
      <c r="B222" s="2">
        <v>0.56000000000000005</v>
      </c>
      <c r="C222" t="s">
        <v>401</v>
      </c>
    </row>
    <row r="223" spans="1:3" x14ac:dyDescent="0.25">
      <c r="A223" t="s">
        <v>271</v>
      </c>
      <c r="B223" s="2">
        <v>8.9</v>
      </c>
      <c r="C223" t="s">
        <v>833</v>
      </c>
    </row>
    <row r="224" spans="1:3" x14ac:dyDescent="0.25">
      <c r="A224" t="s">
        <v>1018</v>
      </c>
      <c r="B224" s="2">
        <v>0.57999999999999996</v>
      </c>
      <c r="C224" t="s">
        <v>833</v>
      </c>
    </row>
    <row r="225" spans="1:3" x14ac:dyDescent="0.25">
      <c r="A225" t="s">
        <v>1019</v>
      </c>
      <c r="B225" s="2">
        <v>0.84</v>
      </c>
      <c r="C225" t="s">
        <v>833</v>
      </c>
    </row>
    <row r="226" spans="1:3" x14ac:dyDescent="0.25">
      <c r="A226" t="s">
        <v>1020</v>
      </c>
      <c r="B226" s="2">
        <v>1.95</v>
      </c>
      <c r="C226" t="s">
        <v>833</v>
      </c>
    </row>
    <row r="227" spans="1:3" x14ac:dyDescent="0.25">
      <c r="A227" t="s">
        <v>246</v>
      </c>
      <c r="B227" s="2">
        <v>4.6500000000000004</v>
      </c>
      <c r="C227" t="s">
        <v>833</v>
      </c>
    </row>
    <row r="228" spans="1:3" x14ac:dyDescent="0.25">
      <c r="A228" t="s">
        <v>268</v>
      </c>
      <c r="B228" s="2">
        <v>11.52</v>
      </c>
      <c r="C228" t="s">
        <v>833</v>
      </c>
    </row>
    <row r="229" spans="1:3" x14ac:dyDescent="0.25">
      <c r="A229" t="s">
        <v>221</v>
      </c>
      <c r="B229" s="2">
        <v>3.4</v>
      </c>
      <c r="C229" t="s">
        <v>833</v>
      </c>
    </row>
    <row r="230" spans="1:3" x14ac:dyDescent="0.25">
      <c r="A230" s="71" t="s">
        <v>281</v>
      </c>
      <c r="B230" s="2">
        <v>1.2</v>
      </c>
      <c r="C230" t="s">
        <v>401</v>
      </c>
    </row>
    <row r="231" spans="1:3" x14ac:dyDescent="0.25">
      <c r="A231" s="71" t="s">
        <v>278</v>
      </c>
      <c r="B231" s="2">
        <v>2.2999999999999998</v>
      </c>
      <c r="C231" t="s">
        <v>401</v>
      </c>
    </row>
    <row r="232" spans="1:3" x14ac:dyDescent="0.25">
      <c r="A232" s="71" t="s">
        <v>227</v>
      </c>
      <c r="B232" s="2">
        <v>2.5499999999999998</v>
      </c>
      <c r="C232" t="s">
        <v>401</v>
      </c>
    </row>
    <row r="233" spans="1:3" x14ac:dyDescent="0.25">
      <c r="A233" s="71" t="s">
        <v>274</v>
      </c>
      <c r="B233" s="2">
        <v>4.5</v>
      </c>
      <c r="C233" t="s">
        <v>401</v>
      </c>
    </row>
    <row r="234" spans="1:3" x14ac:dyDescent="0.25">
      <c r="A234" s="71" t="s">
        <v>290</v>
      </c>
      <c r="B234" s="2">
        <v>3.47</v>
      </c>
      <c r="C234" t="s">
        <v>401</v>
      </c>
    </row>
    <row r="235" spans="1:3" x14ac:dyDescent="0.25">
      <c r="A235" s="71" t="s">
        <v>1021</v>
      </c>
      <c r="B235" s="2">
        <v>2.9</v>
      </c>
      <c r="C235" t="s">
        <v>401</v>
      </c>
    </row>
    <row r="236" spans="1:3" x14ac:dyDescent="0.25">
      <c r="A236" s="71" t="s">
        <v>292</v>
      </c>
      <c r="B236" s="2">
        <v>4.5999999999999996</v>
      </c>
      <c r="C236" t="s">
        <v>401</v>
      </c>
    </row>
    <row r="237" spans="1:3" x14ac:dyDescent="0.25">
      <c r="A237" s="71" t="s">
        <v>1022</v>
      </c>
      <c r="B237" s="2">
        <v>1</v>
      </c>
      <c r="C237" t="s">
        <v>401</v>
      </c>
    </row>
    <row r="238" spans="1:3" x14ac:dyDescent="0.25">
      <c r="A238" s="71" t="s">
        <v>210</v>
      </c>
      <c r="B238" s="2">
        <v>7.6</v>
      </c>
      <c r="C238" t="s">
        <v>401</v>
      </c>
    </row>
    <row r="239" spans="1:3" x14ac:dyDescent="0.25">
      <c r="A239" s="71" t="s">
        <v>282</v>
      </c>
      <c r="B239" s="2">
        <v>8.5</v>
      </c>
      <c r="C239" t="s">
        <v>401</v>
      </c>
    </row>
    <row r="240" spans="1:3" x14ac:dyDescent="0.25">
      <c r="A240" s="71" t="s">
        <v>266</v>
      </c>
      <c r="B240" s="2">
        <v>3</v>
      </c>
      <c r="C240" t="s">
        <v>401</v>
      </c>
    </row>
    <row r="241" spans="1:3" x14ac:dyDescent="0.25">
      <c r="A241" s="71" t="s">
        <v>667</v>
      </c>
      <c r="B241" s="2">
        <v>3.37</v>
      </c>
      <c r="C241" t="s">
        <v>401</v>
      </c>
    </row>
    <row r="242" spans="1:3" x14ac:dyDescent="0.25">
      <c r="A242" s="71" t="s">
        <v>119</v>
      </c>
      <c r="B242" s="2">
        <v>1.6</v>
      </c>
      <c r="C242" t="s">
        <v>401</v>
      </c>
    </row>
    <row r="243" spans="1:3" x14ac:dyDescent="0.25">
      <c r="A243" s="71" t="s">
        <v>228</v>
      </c>
      <c r="B243" s="2">
        <v>1.4</v>
      </c>
      <c r="C243" t="s">
        <v>401</v>
      </c>
    </row>
    <row r="244" spans="1:3" x14ac:dyDescent="0.25">
      <c r="A244" s="71" t="s">
        <v>234</v>
      </c>
      <c r="B244" s="2">
        <v>2.6</v>
      </c>
      <c r="C244" t="s">
        <v>401</v>
      </c>
    </row>
    <row r="245" spans="1:3" x14ac:dyDescent="0.25">
      <c r="A245" s="71" t="s">
        <v>262</v>
      </c>
      <c r="B245" s="2">
        <v>4.7</v>
      </c>
      <c r="C245" t="s">
        <v>401</v>
      </c>
    </row>
    <row r="246" spans="1:3" x14ac:dyDescent="0.25">
      <c r="A246" s="71" t="s">
        <v>223</v>
      </c>
      <c r="B246" s="2">
        <v>4.5999999999999996</v>
      </c>
      <c r="C246" t="s">
        <v>401</v>
      </c>
    </row>
    <row r="247" spans="1:3" x14ac:dyDescent="0.25">
      <c r="A247" s="71" t="s">
        <v>235</v>
      </c>
      <c r="B247" s="2">
        <v>3.05</v>
      </c>
      <c r="C247" t="s">
        <v>401</v>
      </c>
    </row>
    <row r="248" spans="1:3" x14ac:dyDescent="0.25">
      <c r="A248" s="71" t="s">
        <v>120</v>
      </c>
      <c r="B248" s="2">
        <v>3</v>
      </c>
      <c r="C248" t="s">
        <v>401</v>
      </c>
    </row>
    <row r="249" spans="1:3" x14ac:dyDescent="0.25">
      <c r="A249" s="71" t="s">
        <v>1023</v>
      </c>
      <c r="B249" s="75">
        <v>0.8</v>
      </c>
      <c r="C249" t="s">
        <v>401</v>
      </c>
    </row>
    <row r="250" spans="1:3" x14ac:dyDescent="0.25">
      <c r="A250" s="71" t="s">
        <v>1024</v>
      </c>
      <c r="B250" s="75">
        <v>2.5</v>
      </c>
      <c r="C250" t="s">
        <v>401</v>
      </c>
    </row>
    <row r="251" spans="1:3" x14ac:dyDescent="0.25">
      <c r="A251" s="71" t="s">
        <v>1025</v>
      </c>
      <c r="B251" s="75">
        <v>1.6</v>
      </c>
      <c r="C251" t="s">
        <v>401</v>
      </c>
    </row>
    <row r="252" spans="1:3" x14ac:dyDescent="0.25">
      <c r="A252" s="71" t="s">
        <v>1026</v>
      </c>
      <c r="B252" s="75">
        <v>2.5</v>
      </c>
      <c r="C252" t="s">
        <v>401</v>
      </c>
    </row>
    <row r="253" spans="1:3" x14ac:dyDescent="0.25">
      <c r="A253" s="71" t="s">
        <v>1027</v>
      </c>
      <c r="B253" s="75">
        <v>4.3</v>
      </c>
      <c r="C253" t="s">
        <v>401</v>
      </c>
    </row>
    <row r="254" spans="1:3" x14ac:dyDescent="0.25">
      <c r="A254" s="71" t="s">
        <v>1028</v>
      </c>
      <c r="B254" s="75">
        <v>6.6</v>
      </c>
      <c r="C254" t="s">
        <v>401</v>
      </c>
    </row>
    <row r="255" spans="1:3" x14ac:dyDescent="0.25">
      <c r="A255" s="71" t="s">
        <v>1029</v>
      </c>
      <c r="B255" s="75">
        <v>4</v>
      </c>
      <c r="C255" t="s">
        <v>401</v>
      </c>
    </row>
    <row r="256" spans="1:3" x14ac:dyDescent="0.25">
      <c r="A256" s="71" t="s">
        <v>1030</v>
      </c>
      <c r="B256" s="75">
        <v>5.15</v>
      </c>
      <c r="C256" t="s">
        <v>401</v>
      </c>
    </row>
    <row r="257" spans="1:3" x14ac:dyDescent="0.25">
      <c r="A257" s="71" t="s">
        <v>1031</v>
      </c>
      <c r="B257" s="75">
        <v>3.75</v>
      </c>
      <c r="C257" t="s">
        <v>401</v>
      </c>
    </row>
    <row r="258" spans="1:3" x14ac:dyDescent="0.25">
      <c r="A258" s="71" t="s">
        <v>1032</v>
      </c>
      <c r="B258" s="75">
        <v>3.7</v>
      </c>
      <c r="C258" t="s">
        <v>401</v>
      </c>
    </row>
    <row r="259" spans="1:3" x14ac:dyDescent="0.25">
      <c r="A259" s="71" t="s">
        <v>1033</v>
      </c>
      <c r="B259" s="75">
        <v>5.3</v>
      </c>
      <c r="C259" t="s">
        <v>401</v>
      </c>
    </row>
    <row r="260" spans="1:3" x14ac:dyDescent="0.25">
      <c r="A260" s="71" t="s">
        <v>1034</v>
      </c>
      <c r="B260" s="75">
        <v>0.9</v>
      </c>
      <c r="C260" t="s">
        <v>401</v>
      </c>
    </row>
    <row r="261" spans="1:3" x14ac:dyDescent="0.25">
      <c r="A261" s="71" t="s">
        <v>1035</v>
      </c>
      <c r="B261" s="75">
        <v>3</v>
      </c>
      <c r="C261" t="s">
        <v>401</v>
      </c>
    </row>
    <row r="262" spans="1:3" x14ac:dyDescent="0.25">
      <c r="A262" s="71" t="s">
        <v>1036</v>
      </c>
      <c r="B262" s="75">
        <v>1.6</v>
      </c>
      <c r="C262" t="s">
        <v>401</v>
      </c>
    </row>
    <row r="263" spans="1:3" x14ac:dyDescent="0.25">
      <c r="A263" s="71" t="s">
        <v>1037</v>
      </c>
      <c r="B263" s="75">
        <v>3.4</v>
      </c>
      <c r="C263" t="s">
        <v>401</v>
      </c>
    </row>
    <row r="264" spans="1:3" x14ac:dyDescent="0.25">
      <c r="A264" s="71" t="s">
        <v>1038</v>
      </c>
      <c r="B264" s="75">
        <v>3.6</v>
      </c>
      <c r="C264" t="s">
        <v>401</v>
      </c>
    </row>
    <row r="265" spans="1:3" x14ac:dyDescent="0.25">
      <c r="A265" s="71" t="s">
        <v>1039</v>
      </c>
      <c r="B265" s="75">
        <v>3.1</v>
      </c>
      <c r="C265" t="s">
        <v>401</v>
      </c>
    </row>
    <row r="266" spans="1:3" x14ac:dyDescent="0.25">
      <c r="A266" s="71" t="s">
        <v>1040</v>
      </c>
      <c r="B266" s="76">
        <v>5</v>
      </c>
      <c r="C266" t="s">
        <v>401</v>
      </c>
    </row>
    <row r="267" spans="1:3" x14ac:dyDescent="0.25">
      <c r="A267" s="71" t="s">
        <v>1041</v>
      </c>
      <c r="B267" s="76">
        <v>8.8000000000000007</v>
      </c>
      <c r="C267" t="s">
        <v>401</v>
      </c>
    </row>
    <row r="268" spans="1:3" x14ac:dyDescent="0.25">
      <c r="A268" s="71" t="s">
        <v>1042</v>
      </c>
      <c r="B268" s="76">
        <v>1.2</v>
      </c>
      <c r="C268" t="s">
        <v>401</v>
      </c>
    </row>
    <row r="269" spans="1:3" x14ac:dyDescent="0.25">
      <c r="A269" s="71" t="s">
        <v>1043</v>
      </c>
      <c r="B269" s="2">
        <v>0.65</v>
      </c>
      <c r="C269" t="s">
        <v>401</v>
      </c>
    </row>
    <row r="270" spans="1:3" x14ac:dyDescent="0.25">
      <c r="A270" s="71" t="s">
        <v>1044</v>
      </c>
      <c r="B270" s="2">
        <v>2.9</v>
      </c>
      <c r="C270" t="s">
        <v>401</v>
      </c>
    </row>
    <row r="271" spans="1:3" x14ac:dyDescent="0.25">
      <c r="A271" s="71" t="s">
        <v>1045</v>
      </c>
      <c r="B271" s="2">
        <v>3.1</v>
      </c>
      <c r="C271" t="s">
        <v>401</v>
      </c>
    </row>
    <row r="272" spans="1:3" x14ac:dyDescent="0.25">
      <c r="A272" s="71" t="s">
        <v>1046</v>
      </c>
      <c r="B272" s="2">
        <v>6.7</v>
      </c>
      <c r="C272" t="s">
        <v>401</v>
      </c>
    </row>
    <row r="273" spans="1:3" x14ac:dyDescent="0.25">
      <c r="A273" t="s">
        <v>263</v>
      </c>
      <c r="B273" s="2">
        <v>2.65</v>
      </c>
      <c r="C273" t="s">
        <v>833</v>
      </c>
    </row>
    <row r="274" spans="1:3" x14ac:dyDescent="0.25">
      <c r="A274" t="s">
        <v>244</v>
      </c>
      <c r="B274" s="2">
        <v>8.4</v>
      </c>
      <c r="C274" t="s">
        <v>833</v>
      </c>
    </row>
    <row r="275" spans="1:3" x14ac:dyDescent="0.25">
      <c r="A275" t="s">
        <v>1047</v>
      </c>
      <c r="B275" s="2">
        <v>1.8</v>
      </c>
      <c r="C275" t="s">
        <v>833</v>
      </c>
    </row>
    <row r="276" spans="1:3" x14ac:dyDescent="0.25">
      <c r="A276" t="s">
        <v>197</v>
      </c>
      <c r="B276" s="2">
        <v>3.3</v>
      </c>
      <c r="C276" t="s">
        <v>833</v>
      </c>
    </row>
    <row r="277" spans="1:3" x14ac:dyDescent="0.25">
      <c r="A277" t="s">
        <v>304</v>
      </c>
      <c r="B277" s="2">
        <v>9.3000000000000007</v>
      </c>
      <c r="C277" t="s">
        <v>833</v>
      </c>
    </row>
    <row r="278" spans="1:3" x14ac:dyDescent="0.25">
      <c r="A278" t="s">
        <v>701</v>
      </c>
      <c r="B278" s="2">
        <v>1.94</v>
      </c>
      <c r="C278" t="s">
        <v>833</v>
      </c>
    </row>
    <row r="279" spans="1:3" x14ac:dyDescent="0.25">
      <c r="A279" t="s">
        <v>170</v>
      </c>
      <c r="B279" s="2">
        <v>4.3</v>
      </c>
      <c r="C279" t="s">
        <v>833</v>
      </c>
    </row>
    <row r="280" spans="1:3" x14ac:dyDescent="0.25">
      <c r="A280" t="s">
        <v>175</v>
      </c>
      <c r="B280" s="2">
        <v>4.07</v>
      </c>
      <c r="C280" t="s">
        <v>833</v>
      </c>
    </row>
    <row r="281" spans="1:3" x14ac:dyDescent="0.25">
      <c r="A281" t="s">
        <v>167</v>
      </c>
      <c r="B281" s="2">
        <v>2.5</v>
      </c>
      <c r="C281" t="s">
        <v>833</v>
      </c>
    </row>
    <row r="282" spans="1:3" x14ac:dyDescent="0.25">
      <c r="A282" t="s">
        <v>164</v>
      </c>
      <c r="B282" s="2">
        <v>5.8</v>
      </c>
      <c r="C282" t="s">
        <v>833</v>
      </c>
    </row>
    <row r="283" spans="1:3" x14ac:dyDescent="0.25">
      <c r="A283" t="s">
        <v>332</v>
      </c>
      <c r="B283" s="2">
        <v>17</v>
      </c>
      <c r="C283" t="s">
        <v>833</v>
      </c>
    </row>
    <row r="284" spans="1:3" x14ac:dyDescent="0.25">
      <c r="A284" t="s">
        <v>287</v>
      </c>
      <c r="B284" s="2">
        <v>5.2</v>
      </c>
      <c r="C284" t="s">
        <v>833</v>
      </c>
    </row>
    <row r="285" spans="1:3" x14ac:dyDescent="0.25">
      <c r="A285" t="s">
        <v>128</v>
      </c>
      <c r="B285" s="2">
        <v>11</v>
      </c>
      <c r="C285" t="s">
        <v>833</v>
      </c>
    </row>
    <row r="286" spans="1:3" x14ac:dyDescent="0.25">
      <c r="A286" t="s">
        <v>325</v>
      </c>
      <c r="B286" s="2">
        <v>22.5</v>
      </c>
      <c r="C286" t="s">
        <v>833</v>
      </c>
    </row>
    <row r="287" spans="1:3" x14ac:dyDescent="0.25">
      <c r="A287" t="s">
        <v>306</v>
      </c>
      <c r="B287" s="2">
        <v>8.8000000000000007</v>
      </c>
      <c r="C287" t="s">
        <v>833</v>
      </c>
    </row>
    <row r="288" spans="1:3" x14ac:dyDescent="0.25">
      <c r="A288" t="s">
        <v>247</v>
      </c>
      <c r="B288" s="2">
        <v>25.25</v>
      </c>
      <c r="C288" t="s">
        <v>833</v>
      </c>
    </row>
    <row r="289" spans="1:3" x14ac:dyDescent="0.25">
      <c r="A289" t="s">
        <v>259</v>
      </c>
      <c r="B289" s="2">
        <v>5.5</v>
      </c>
      <c r="C289" t="s">
        <v>833</v>
      </c>
    </row>
    <row r="290" spans="1:3" x14ac:dyDescent="0.25">
      <c r="A290" t="s">
        <v>1048</v>
      </c>
      <c r="B290" s="2">
        <v>1.75</v>
      </c>
      <c r="C290" t="s">
        <v>833</v>
      </c>
    </row>
    <row r="291" spans="1:3" x14ac:dyDescent="0.25">
      <c r="A291" t="s">
        <v>710</v>
      </c>
      <c r="B291" s="2">
        <v>2.15</v>
      </c>
      <c r="C291" t="s">
        <v>833</v>
      </c>
    </row>
    <row r="292" spans="1:3" x14ac:dyDescent="0.25">
      <c r="A292" s="71" t="s">
        <v>251</v>
      </c>
      <c r="B292" s="77">
        <v>4.8</v>
      </c>
      <c r="C292" t="s">
        <v>401</v>
      </c>
    </row>
    <row r="293" spans="1:3" x14ac:dyDescent="0.25">
      <c r="A293" s="71" t="s">
        <v>154</v>
      </c>
      <c r="B293" s="2">
        <v>3</v>
      </c>
      <c r="C293" t="s">
        <v>401</v>
      </c>
    </row>
    <row r="294" spans="1:3" x14ac:dyDescent="0.25">
      <c r="A294" s="71" t="s">
        <v>113</v>
      </c>
      <c r="B294" s="2">
        <v>2.5</v>
      </c>
      <c r="C294" t="s">
        <v>401</v>
      </c>
    </row>
    <row r="295" spans="1:3" x14ac:dyDescent="0.25">
      <c r="A295" s="71" t="s">
        <v>1049</v>
      </c>
      <c r="B295" s="2">
        <v>1.3</v>
      </c>
      <c r="C295" t="s">
        <v>401</v>
      </c>
    </row>
    <row r="296" spans="1:3" x14ac:dyDescent="0.25">
      <c r="A296" s="71" t="s">
        <v>117</v>
      </c>
      <c r="B296" s="2">
        <v>2.56</v>
      </c>
      <c r="C296" t="s">
        <v>401</v>
      </c>
    </row>
    <row r="297" spans="1:3" x14ac:dyDescent="0.25">
      <c r="A297" s="71" t="s">
        <v>217</v>
      </c>
      <c r="B297" s="77">
        <v>7.5</v>
      </c>
      <c r="C297" t="s">
        <v>401</v>
      </c>
    </row>
    <row r="298" spans="1:3" x14ac:dyDescent="0.25">
      <c r="A298" s="71" t="s">
        <v>272</v>
      </c>
      <c r="B298" s="2">
        <v>4</v>
      </c>
      <c r="C298" t="s">
        <v>401</v>
      </c>
    </row>
    <row r="299" spans="1:3" x14ac:dyDescent="0.25">
      <c r="A299" s="71" t="s">
        <v>178</v>
      </c>
      <c r="B299" s="2">
        <v>9</v>
      </c>
      <c r="C299" t="s">
        <v>401</v>
      </c>
    </row>
    <row r="300" spans="1:3" x14ac:dyDescent="0.25">
      <c r="A300" s="71" t="s">
        <v>288</v>
      </c>
      <c r="B300" s="2">
        <v>11.4</v>
      </c>
      <c r="C300" t="s">
        <v>401</v>
      </c>
    </row>
    <row r="301" spans="1:3" x14ac:dyDescent="0.25">
      <c r="A301" s="71" t="s">
        <v>229</v>
      </c>
      <c r="B301" s="2">
        <v>8.4</v>
      </c>
      <c r="C301" t="s">
        <v>401</v>
      </c>
    </row>
    <row r="302" spans="1:3" x14ac:dyDescent="0.25">
      <c r="A302" s="71" t="s">
        <v>261</v>
      </c>
      <c r="B302" s="2">
        <v>3.4</v>
      </c>
      <c r="C302" t="s">
        <v>401</v>
      </c>
    </row>
    <row r="303" spans="1:3" x14ac:dyDescent="0.25">
      <c r="A303" s="71" t="s">
        <v>299</v>
      </c>
      <c r="B303" s="77">
        <v>9.8000000000000007</v>
      </c>
      <c r="C303" t="s">
        <v>401</v>
      </c>
    </row>
    <row r="304" spans="1:3" x14ac:dyDescent="0.25">
      <c r="A304" s="71" t="s">
        <v>107</v>
      </c>
      <c r="B304" s="2">
        <v>4.5999999999999996</v>
      </c>
      <c r="C304" t="s">
        <v>401</v>
      </c>
    </row>
    <row r="305" spans="1:3" x14ac:dyDescent="0.25">
      <c r="A305" s="71" t="s">
        <v>121</v>
      </c>
      <c r="B305" s="2">
        <v>8.1</v>
      </c>
      <c r="C305" t="s">
        <v>401</v>
      </c>
    </row>
    <row r="306" spans="1:3" x14ac:dyDescent="0.25">
      <c r="A306" s="71" t="s">
        <v>111</v>
      </c>
      <c r="B306" s="2">
        <v>5</v>
      </c>
      <c r="C306" t="s">
        <v>401</v>
      </c>
    </row>
    <row r="307" spans="1:3" x14ac:dyDescent="0.25">
      <c r="A307" s="71" t="s">
        <v>139</v>
      </c>
      <c r="B307" s="2">
        <v>5</v>
      </c>
      <c r="C307" t="s">
        <v>401</v>
      </c>
    </row>
    <row r="308" spans="1:3" x14ac:dyDescent="0.25">
      <c r="A308" s="71" t="s">
        <v>284</v>
      </c>
      <c r="B308" s="2">
        <v>4</v>
      </c>
      <c r="C308" t="s">
        <v>401</v>
      </c>
    </row>
    <row r="309" spans="1:3" x14ac:dyDescent="0.25">
      <c r="A309" s="71" t="s">
        <v>298</v>
      </c>
      <c r="B309" s="2">
        <v>3</v>
      </c>
      <c r="C309" t="s">
        <v>401</v>
      </c>
    </row>
    <row r="310" spans="1:3" x14ac:dyDescent="0.25">
      <c r="A310" s="71" t="s">
        <v>275</v>
      </c>
      <c r="B310" s="2">
        <v>4</v>
      </c>
      <c r="C310" t="s">
        <v>401</v>
      </c>
    </row>
    <row r="311" spans="1:3" x14ac:dyDescent="0.25">
      <c r="A311" s="71" t="s">
        <v>141</v>
      </c>
      <c r="B311" s="2">
        <v>1.7</v>
      </c>
      <c r="C311" t="s">
        <v>401</v>
      </c>
    </row>
    <row r="312" spans="1:3" x14ac:dyDescent="0.25">
      <c r="A312" s="71" t="s">
        <v>142</v>
      </c>
      <c r="B312" s="2">
        <v>2.54</v>
      </c>
      <c r="C312" t="s">
        <v>401</v>
      </c>
    </row>
    <row r="313" spans="1:3" x14ac:dyDescent="0.25">
      <c r="A313" s="71" t="s">
        <v>1050</v>
      </c>
      <c r="B313" s="2">
        <v>1.5</v>
      </c>
      <c r="C313" t="s">
        <v>401</v>
      </c>
    </row>
    <row r="314" spans="1:3" x14ac:dyDescent="0.25">
      <c r="A314" s="71" t="s">
        <v>155</v>
      </c>
      <c r="B314" s="2">
        <v>7.3</v>
      </c>
      <c r="C314" t="s">
        <v>401</v>
      </c>
    </row>
    <row r="315" spans="1:3" x14ac:dyDescent="0.25">
      <c r="A315" s="71" t="s">
        <v>688</v>
      </c>
      <c r="B315" s="2">
        <v>1.88</v>
      </c>
      <c r="C315" t="s">
        <v>401</v>
      </c>
    </row>
    <row r="316" spans="1:3" x14ac:dyDescent="0.25">
      <c r="A316" s="71" t="s">
        <v>686</v>
      </c>
      <c r="B316" s="2">
        <v>0.85</v>
      </c>
      <c r="C316" t="s">
        <v>401</v>
      </c>
    </row>
    <row r="317" spans="1:3" x14ac:dyDescent="0.25">
      <c r="A317" s="71" t="s">
        <v>161</v>
      </c>
      <c r="B317" s="2">
        <v>8.0500000000000007</v>
      </c>
      <c r="C317" t="s">
        <v>401</v>
      </c>
    </row>
    <row r="318" spans="1:3" x14ac:dyDescent="0.25">
      <c r="A318" s="71" t="s">
        <v>106</v>
      </c>
      <c r="B318" s="2">
        <v>7.3</v>
      </c>
      <c r="C318" t="s">
        <v>401</v>
      </c>
    </row>
    <row r="319" spans="1:3" x14ac:dyDescent="0.25">
      <c r="A319" t="s">
        <v>146</v>
      </c>
      <c r="B319" s="2">
        <v>6.35</v>
      </c>
      <c r="C319" t="s">
        <v>401</v>
      </c>
    </row>
    <row r="320" spans="1:3" x14ac:dyDescent="0.25">
      <c r="A320" t="s">
        <v>279</v>
      </c>
      <c r="B320" s="2">
        <v>7.4</v>
      </c>
      <c r="C320" t="s">
        <v>401</v>
      </c>
    </row>
    <row r="321" spans="1:3" x14ac:dyDescent="0.25">
      <c r="A321" t="s">
        <v>149</v>
      </c>
      <c r="B321" s="2">
        <v>8.15</v>
      </c>
      <c r="C321" t="s">
        <v>401</v>
      </c>
    </row>
    <row r="322" spans="1:3" x14ac:dyDescent="0.25">
      <c r="A322" t="s">
        <v>165</v>
      </c>
      <c r="B322" s="2">
        <v>8.25</v>
      </c>
      <c r="C322" t="s">
        <v>401</v>
      </c>
    </row>
    <row r="323" spans="1:3" x14ac:dyDescent="0.25">
      <c r="A323" s="71" t="s">
        <v>1051</v>
      </c>
      <c r="B323" s="2">
        <v>8.5</v>
      </c>
      <c r="C323" t="s">
        <v>401</v>
      </c>
    </row>
    <row r="324" spans="1:3" x14ac:dyDescent="0.25">
      <c r="A324" s="71" t="s">
        <v>1052</v>
      </c>
      <c r="B324" s="2">
        <v>6.7</v>
      </c>
      <c r="C324" t="s">
        <v>401</v>
      </c>
    </row>
    <row r="325" spans="1:3" x14ac:dyDescent="0.25">
      <c r="A325" s="71" t="s">
        <v>1053</v>
      </c>
      <c r="B325" s="2">
        <v>4.3</v>
      </c>
      <c r="C325" t="s">
        <v>401</v>
      </c>
    </row>
    <row r="326" spans="1:3" x14ac:dyDescent="0.25">
      <c r="A326" s="71" t="s">
        <v>1054</v>
      </c>
      <c r="B326" s="2">
        <v>4.0999999999999996</v>
      </c>
      <c r="C326" t="s">
        <v>401</v>
      </c>
    </row>
    <row r="327" spans="1:3" x14ac:dyDescent="0.25">
      <c r="A327" s="71" t="s">
        <v>1055</v>
      </c>
      <c r="B327" s="2">
        <v>4.46</v>
      </c>
      <c r="C327" t="s">
        <v>401</v>
      </c>
    </row>
    <row r="328" spans="1:3" x14ac:dyDescent="0.25">
      <c r="A328" s="71" t="s">
        <v>1056</v>
      </c>
      <c r="B328" s="2">
        <v>6.7</v>
      </c>
      <c r="C328" t="s">
        <v>401</v>
      </c>
    </row>
    <row r="329" spans="1:3" x14ac:dyDescent="0.25">
      <c r="A329" s="71" t="s">
        <v>1057</v>
      </c>
      <c r="B329" s="2">
        <v>4.3</v>
      </c>
      <c r="C329" t="s">
        <v>401</v>
      </c>
    </row>
    <row r="330" spans="1:3" x14ac:dyDescent="0.25">
      <c r="A330" s="71" t="s">
        <v>1058</v>
      </c>
      <c r="B330" s="2">
        <v>4.92</v>
      </c>
      <c r="C330" t="s">
        <v>401</v>
      </c>
    </row>
    <row r="331" spans="1:3" x14ac:dyDescent="0.25">
      <c r="A331" s="71" t="s">
        <v>1059</v>
      </c>
      <c r="B331" s="2">
        <v>2</v>
      </c>
      <c r="C331" t="s">
        <v>401</v>
      </c>
    </row>
    <row r="332" spans="1:3" x14ac:dyDescent="0.25">
      <c r="A332" s="71" t="s">
        <v>1060</v>
      </c>
      <c r="B332" s="2">
        <v>3.11</v>
      </c>
      <c r="C332" t="s">
        <v>401</v>
      </c>
    </row>
    <row r="333" spans="1:3" x14ac:dyDescent="0.25">
      <c r="A333" s="71" t="s">
        <v>1061</v>
      </c>
      <c r="B333" s="2">
        <v>2.3199999999999998</v>
      </c>
      <c r="C333" t="s">
        <v>401</v>
      </c>
    </row>
    <row r="334" spans="1:3" x14ac:dyDescent="0.25">
      <c r="A334" s="71" t="s">
        <v>1062</v>
      </c>
      <c r="B334" s="2">
        <v>6.14</v>
      </c>
      <c r="C334" t="s">
        <v>401</v>
      </c>
    </row>
    <row r="335" spans="1:3" x14ac:dyDescent="0.25">
      <c r="A335" s="71" t="s">
        <v>1063</v>
      </c>
      <c r="B335" s="2">
        <v>4.5199999999999996</v>
      </c>
      <c r="C335" t="s">
        <v>401</v>
      </c>
    </row>
    <row r="336" spans="1:3" x14ac:dyDescent="0.25">
      <c r="A336" s="71" t="s">
        <v>1064</v>
      </c>
      <c r="B336" s="2">
        <v>1.26</v>
      </c>
      <c r="C336" t="s">
        <v>401</v>
      </c>
    </row>
    <row r="337" spans="1:3" x14ac:dyDescent="0.25">
      <c r="A337" s="71" t="s">
        <v>1065</v>
      </c>
      <c r="B337" s="2">
        <v>4.38</v>
      </c>
      <c r="C337" t="s">
        <v>401</v>
      </c>
    </row>
    <row r="338" spans="1:3" x14ac:dyDescent="0.25">
      <c r="A338" s="71" t="s">
        <v>1066</v>
      </c>
      <c r="B338" s="2">
        <v>3.45</v>
      </c>
      <c r="C338" t="s">
        <v>401</v>
      </c>
    </row>
    <row r="339" spans="1:3" x14ac:dyDescent="0.25">
      <c r="A339" s="71" t="s">
        <v>1067</v>
      </c>
      <c r="B339" s="2">
        <v>2.68</v>
      </c>
      <c r="C339" t="s">
        <v>401</v>
      </c>
    </row>
    <row r="340" spans="1:3" x14ac:dyDescent="0.25">
      <c r="A340" s="71" t="s">
        <v>1068</v>
      </c>
      <c r="B340" s="2">
        <v>2.7</v>
      </c>
      <c r="C340" t="s">
        <v>401</v>
      </c>
    </row>
    <row r="341" spans="1:3" x14ac:dyDescent="0.25">
      <c r="A341" s="71" t="s">
        <v>1069</v>
      </c>
      <c r="B341" s="2">
        <v>2.4</v>
      </c>
      <c r="C341" t="s">
        <v>401</v>
      </c>
    </row>
    <row r="342" spans="1:3" x14ac:dyDescent="0.25">
      <c r="A342" t="s">
        <v>215</v>
      </c>
      <c r="B342" s="2">
        <v>9.89</v>
      </c>
      <c r="C342" t="s">
        <v>833</v>
      </c>
    </row>
    <row r="343" spans="1:3" x14ac:dyDescent="0.25">
      <c r="A343" t="s">
        <v>264</v>
      </c>
      <c r="B343" s="2">
        <v>25.38</v>
      </c>
      <c r="C343" t="s">
        <v>833</v>
      </c>
    </row>
    <row r="344" spans="1:3" x14ac:dyDescent="0.25">
      <c r="A344" t="s">
        <v>285</v>
      </c>
      <c r="B344" s="2">
        <v>20.8</v>
      </c>
      <c r="C344" t="s">
        <v>833</v>
      </c>
    </row>
    <row r="345" spans="1:3" x14ac:dyDescent="0.25">
      <c r="A345" t="s">
        <v>150</v>
      </c>
      <c r="B345" s="2">
        <v>8.93</v>
      </c>
      <c r="C345" t="s">
        <v>833</v>
      </c>
    </row>
    <row r="346" spans="1:3" x14ac:dyDescent="0.25">
      <c r="A346" t="s">
        <v>199</v>
      </c>
      <c r="B346" s="2">
        <v>12.79</v>
      </c>
      <c r="C346" t="s">
        <v>833</v>
      </c>
    </row>
    <row r="347" spans="1:3" x14ac:dyDescent="0.25">
      <c r="A347" t="s">
        <v>255</v>
      </c>
      <c r="B347" s="2">
        <v>3.57</v>
      </c>
      <c r="C347" t="s">
        <v>833</v>
      </c>
    </row>
    <row r="348" spans="1:3" x14ac:dyDescent="0.25">
      <c r="A348" t="s">
        <v>129</v>
      </c>
      <c r="B348" s="2">
        <v>2</v>
      </c>
      <c r="C348" t="s">
        <v>833</v>
      </c>
    </row>
    <row r="349" spans="1:3" x14ac:dyDescent="0.25">
      <c r="A349" t="s">
        <v>135</v>
      </c>
      <c r="B349" s="2">
        <v>5.2</v>
      </c>
      <c r="C349" t="s">
        <v>833</v>
      </c>
    </row>
    <row r="350" spans="1:3" x14ac:dyDescent="0.25">
      <c r="A350" t="s">
        <v>131</v>
      </c>
      <c r="B350" s="2">
        <v>4.8</v>
      </c>
      <c r="C350" t="s">
        <v>833</v>
      </c>
    </row>
    <row r="351" spans="1:3" x14ac:dyDescent="0.25">
      <c r="A351" s="71" t="s">
        <v>198</v>
      </c>
      <c r="B351" s="2">
        <v>9.3000000000000007</v>
      </c>
      <c r="C351" t="s">
        <v>876</v>
      </c>
    </row>
    <row r="352" spans="1:3" x14ac:dyDescent="0.25">
      <c r="A352" t="s">
        <v>294</v>
      </c>
      <c r="B352" s="2">
        <v>14.9</v>
      </c>
      <c r="C352" t="s">
        <v>833</v>
      </c>
    </row>
    <row r="353" spans="1:3" x14ac:dyDescent="0.25">
      <c r="A353" s="71" t="s">
        <v>1070</v>
      </c>
      <c r="B353" s="2">
        <v>0.92</v>
      </c>
      <c r="C353" t="s">
        <v>1</v>
      </c>
    </row>
    <row r="354" spans="1:3" x14ac:dyDescent="0.25">
      <c r="A354" s="71" t="s">
        <v>166</v>
      </c>
      <c r="B354" s="2">
        <v>3</v>
      </c>
      <c r="C354" t="s">
        <v>833</v>
      </c>
    </row>
    <row r="355" spans="1:3" x14ac:dyDescent="0.25">
      <c r="A355" s="71" t="s">
        <v>180</v>
      </c>
      <c r="B355" s="2">
        <v>4.5</v>
      </c>
      <c r="C355" t="s">
        <v>833</v>
      </c>
    </row>
    <row r="356" spans="1:3" x14ac:dyDescent="0.25">
      <c r="A356" s="71" t="s">
        <v>162</v>
      </c>
      <c r="B356" s="2">
        <v>4.55</v>
      </c>
      <c r="C356" t="s">
        <v>833</v>
      </c>
    </row>
    <row r="357" spans="1:3" x14ac:dyDescent="0.25">
      <c r="A357" s="71" t="s">
        <v>143</v>
      </c>
      <c r="B357" s="2">
        <v>8</v>
      </c>
      <c r="C357" t="s">
        <v>833</v>
      </c>
    </row>
    <row r="358" spans="1:3" x14ac:dyDescent="0.25">
      <c r="A358" s="71" t="s">
        <v>1071</v>
      </c>
      <c r="B358" s="2">
        <v>4.5</v>
      </c>
      <c r="C358" t="s">
        <v>833</v>
      </c>
    </row>
    <row r="359" spans="1:3" x14ac:dyDescent="0.25">
      <c r="A359" s="71" t="s">
        <v>181</v>
      </c>
      <c r="B359" s="2">
        <v>8</v>
      </c>
      <c r="C359" t="s">
        <v>833</v>
      </c>
    </row>
    <row r="360" spans="1:3" x14ac:dyDescent="0.25">
      <c r="A360" s="71" t="s">
        <v>201</v>
      </c>
      <c r="B360" s="2">
        <v>1.7</v>
      </c>
      <c r="C360" t="s">
        <v>833</v>
      </c>
    </row>
    <row r="361" spans="1:3" x14ac:dyDescent="0.25">
      <c r="A361" s="71" t="s">
        <v>293</v>
      </c>
      <c r="B361" s="2">
        <v>6.75</v>
      </c>
      <c r="C361" t="s">
        <v>833</v>
      </c>
    </row>
    <row r="362" spans="1:3" x14ac:dyDescent="0.25">
      <c r="A362" s="71" t="s">
        <v>171</v>
      </c>
      <c r="B362" s="2">
        <v>4.0999999999999996</v>
      </c>
      <c r="C362" t="s">
        <v>833</v>
      </c>
    </row>
    <row r="363" spans="1:3" x14ac:dyDescent="0.25">
      <c r="A363" s="71" t="s">
        <v>691</v>
      </c>
      <c r="B363" s="2">
        <v>2.5</v>
      </c>
      <c r="C363" t="s">
        <v>833</v>
      </c>
    </row>
    <row r="364" spans="1:3" x14ac:dyDescent="0.25">
      <c r="A364" s="71" t="s">
        <v>176</v>
      </c>
      <c r="B364" s="2">
        <v>6</v>
      </c>
      <c r="C364" t="s">
        <v>833</v>
      </c>
    </row>
    <row r="365" spans="1:3" x14ac:dyDescent="0.25">
      <c r="A365" s="71" t="s">
        <v>248</v>
      </c>
      <c r="B365" s="2">
        <v>11</v>
      </c>
      <c r="C365" t="s">
        <v>833</v>
      </c>
    </row>
    <row r="366" spans="1:3" x14ac:dyDescent="0.25">
      <c r="A366" s="71" t="s">
        <v>305</v>
      </c>
      <c r="B366" s="2">
        <v>11.4</v>
      </c>
      <c r="C366" t="s">
        <v>833</v>
      </c>
    </row>
    <row r="367" spans="1:3" x14ac:dyDescent="0.25">
      <c r="A367" s="71" t="s">
        <v>1072</v>
      </c>
      <c r="B367" s="2">
        <v>5.07</v>
      </c>
      <c r="C367" t="s">
        <v>833</v>
      </c>
    </row>
    <row r="368" spans="1:3" x14ac:dyDescent="0.25">
      <c r="A368" s="71" t="s">
        <v>1073</v>
      </c>
      <c r="B368" s="2">
        <v>10.6</v>
      </c>
      <c r="C368" t="s">
        <v>833</v>
      </c>
    </row>
    <row r="369" spans="1:3" x14ac:dyDescent="0.25">
      <c r="A369" s="71" t="s">
        <v>1074</v>
      </c>
      <c r="B369" s="2">
        <v>10</v>
      </c>
      <c r="C369" t="s">
        <v>833</v>
      </c>
    </row>
    <row r="370" spans="1:3" x14ac:dyDescent="0.25">
      <c r="A370" s="71" t="s">
        <v>1075</v>
      </c>
      <c r="B370" s="2">
        <v>6.45</v>
      </c>
      <c r="C370" t="s">
        <v>833</v>
      </c>
    </row>
    <row r="371" spans="1:3" x14ac:dyDescent="0.25">
      <c r="A371" s="71" t="s">
        <v>1076</v>
      </c>
      <c r="B371" s="2">
        <v>5.15</v>
      </c>
      <c r="C371" t="s">
        <v>833</v>
      </c>
    </row>
    <row r="372" spans="1:3" x14ac:dyDescent="0.25">
      <c r="A372" s="71" t="s">
        <v>172</v>
      </c>
      <c r="B372" s="2">
        <v>7.15</v>
      </c>
      <c r="C372" t="s">
        <v>833</v>
      </c>
    </row>
    <row r="373" spans="1:3" x14ac:dyDescent="0.25">
      <c r="A373" s="71" t="s">
        <v>1077</v>
      </c>
      <c r="B373" s="2">
        <v>5.36</v>
      </c>
      <c r="C373" t="s">
        <v>833</v>
      </c>
    </row>
    <row r="374" spans="1:3" x14ac:dyDescent="0.25">
      <c r="A374" s="71" t="s">
        <v>230</v>
      </c>
      <c r="B374" s="2">
        <v>4</v>
      </c>
      <c r="C374" t="s">
        <v>833</v>
      </c>
    </row>
    <row r="375" spans="1:3" x14ac:dyDescent="0.25">
      <c r="A375" s="71" t="s">
        <v>168</v>
      </c>
      <c r="B375" s="2">
        <v>5.75</v>
      </c>
      <c r="C375" t="s">
        <v>833</v>
      </c>
    </row>
    <row r="376" spans="1:3" x14ac:dyDescent="0.25">
      <c r="A376" s="71" t="s">
        <v>239</v>
      </c>
      <c r="B376" s="2">
        <v>12.5</v>
      </c>
      <c r="C376" t="s">
        <v>833</v>
      </c>
    </row>
    <row r="377" spans="1:3" x14ac:dyDescent="0.25">
      <c r="A377" s="71" t="s">
        <v>204</v>
      </c>
      <c r="B377" s="2">
        <v>1.5</v>
      </c>
      <c r="C377" t="s">
        <v>833</v>
      </c>
    </row>
    <row r="378" spans="1:3" x14ac:dyDescent="0.25">
      <c r="A378" t="s">
        <v>173</v>
      </c>
      <c r="B378" s="2">
        <v>7.84</v>
      </c>
      <c r="C378" t="s">
        <v>833</v>
      </c>
    </row>
    <row r="379" spans="1:3" x14ac:dyDescent="0.25">
      <c r="A379" t="s">
        <v>224</v>
      </c>
      <c r="B379" s="2">
        <v>8.36</v>
      </c>
      <c r="C379" t="s">
        <v>833</v>
      </c>
    </row>
    <row r="380" spans="1:3" x14ac:dyDescent="0.25">
      <c r="A380" t="s">
        <v>188</v>
      </c>
      <c r="B380" s="2">
        <v>6.55</v>
      </c>
      <c r="C380" t="s">
        <v>833</v>
      </c>
    </row>
    <row r="381" spans="1:3" x14ac:dyDescent="0.25">
      <c r="A381" t="s">
        <v>289</v>
      </c>
      <c r="B381" s="2">
        <v>6.55</v>
      </c>
      <c r="C381" t="s">
        <v>833</v>
      </c>
    </row>
    <row r="382" spans="1:3" x14ac:dyDescent="0.25">
      <c r="A382" t="s">
        <v>315</v>
      </c>
      <c r="B382" s="2">
        <v>10.88</v>
      </c>
      <c r="C382" t="s">
        <v>833</v>
      </c>
    </row>
    <row r="383" spans="1:3" x14ac:dyDescent="0.25">
      <c r="A383" t="s">
        <v>118</v>
      </c>
      <c r="B383" s="2">
        <v>6.08</v>
      </c>
      <c r="C383" t="s">
        <v>833</v>
      </c>
    </row>
    <row r="384" spans="1:3" x14ac:dyDescent="0.25">
      <c r="A384" t="s">
        <v>122</v>
      </c>
      <c r="B384" s="2">
        <v>2.72</v>
      </c>
      <c r="C384" t="s">
        <v>833</v>
      </c>
    </row>
    <row r="385" spans="1:3" x14ac:dyDescent="0.25">
      <c r="A385" t="s">
        <v>237</v>
      </c>
      <c r="B385" s="2">
        <v>6.2</v>
      </c>
      <c r="C385" t="s">
        <v>833</v>
      </c>
    </row>
    <row r="386" spans="1:3" x14ac:dyDescent="0.25">
      <c r="A386" t="s">
        <v>232</v>
      </c>
      <c r="B386" s="2">
        <v>6.7</v>
      </c>
      <c r="C386" t="s">
        <v>833</v>
      </c>
    </row>
    <row r="387" spans="1:3" x14ac:dyDescent="0.25">
      <c r="A387" t="s">
        <v>258</v>
      </c>
      <c r="B387" s="2">
        <v>6.71</v>
      </c>
      <c r="C387" t="s">
        <v>833</v>
      </c>
    </row>
    <row r="388" spans="1:3" x14ac:dyDescent="0.25">
      <c r="A388" t="s">
        <v>156</v>
      </c>
      <c r="B388" s="2">
        <v>7</v>
      </c>
      <c r="C388" t="s">
        <v>833</v>
      </c>
    </row>
    <row r="389" spans="1:3" x14ac:dyDescent="0.25">
      <c r="A389" t="s">
        <v>322</v>
      </c>
      <c r="B389" s="2">
        <v>3.81</v>
      </c>
      <c r="C389" t="s">
        <v>833</v>
      </c>
    </row>
    <row r="390" spans="1:3" x14ac:dyDescent="0.25">
      <c r="A390" t="s">
        <v>179</v>
      </c>
      <c r="B390" s="2">
        <v>4.51</v>
      </c>
      <c r="C390" t="s">
        <v>833</v>
      </c>
    </row>
    <row r="391" spans="1:3" x14ac:dyDescent="0.25">
      <c r="A391" t="s">
        <v>160</v>
      </c>
      <c r="B391" s="2">
        <v>4.7</v>
      </c>
      <c r="C391" t="s">
        <v>833</v>
      </c>
    </row>
    <row r="392" spans="1:3" x14ac:dyDescent="0.25">
      <c r="A392" t="s">
        <v>300</v>
      </c>
      <c r="B392" s="2">
        <v>9.16</v>
      </c>
      <c r="C392" t="s">
        <v>833</v>
      </c>
    </row>
    <row r="393" spans="1:3" x14ac:dyDescent="0.25">
      <c r="A393" t="s">
        <v>303</v>
      </c>
      <c r="B393" s="2">
        <v>13.44</v>
      </c>
      <c r="C393" t="s">
        <v>833</v>
      </c>
    </row>
    <row r="394" spans="1:3" x14ac:dyDescent="0.25">
      <c r="A394" t="s">
        <v>112</v>
      </c>
      <c r="B394" s="2">
        <v>2.85</v>
      </c>
      <c r="C394" t="s">
        <v>833</v>
      </c>
    </row>
    <row r="395" spans="1:3" x14ac:dyDescent="0.25">
      <c r="A395" t="s">
        <v>685</v>
      </c>
      <c r="B395" s="2">
        <v>1.6</v>
      </c>
      <c r="C395" t="s">
        <v>833</v>
      </c>
    </row>
    <row r="396" spans="1:3" x14ac:dyDescent="0.25">
      <c r="A396" t="s">
        <v>109</v>
      </c>
      <c r="B396" s="2">
        <v>1.76</v>
      </c>
      <c r="C396" t="s">
        <v>833</v>
      </c>
    </row>
    <row r="397" spans="1:3" x14ac:dyDescent="0.25">
      <c r="A397" t="s">
        <v>313</v>
      </c>
      <c r="B397" s="2">
        <v>3.9</v>
      </c>
      <c r="C397" t="s">
        <v>833</v>
      </c>
    </row>
    <row r="398" spans="1:3" x14ac:dyDescent="0.25">
      <c r="A398" t="s">
        <v>195</v>
      </c>
      <c r="B398" s="2">
        <v>7.4</v>
      </c>
      <c r="C398" t="s">
        <v>833</v>
      </c>
    </row>
    <row r="399" spans="1:3" x14ac:dyDescent="0.25">
      <c r="A399" t="s">
        <v>192</v>
      </c>
      <c r="B399" s="2">
        <v>4.3</v>
      </c>
      <c r="C399" t="s">
        <v>833</v>
      </c>
    </row>
    <row r="400" spans="1:3" x14ac:dyDescent="0.25">
      <c r="A400" t="s">
        <v>189</v>
      </c>
      <c r="B400" s="2">
        <v>3.43</v>
      </c>
      <c r="C400" t="s">
        <v>833</v>
      </c>
    </row>
    <row r="401" spans="1:3" x14ac:dyDescent="0.25">
      <c r="A401" t="s">
        <v>218</v>
      </c>
      <c r="B401" s="2">
        <v>5</v>
      </c>
      <c r="C401" t="s">
        <v>833</v>
      </c>
    </row>
    <row r="402" spans="1:3" x14ac:dyDescent="0.25">
      <c r="A402" t="s">
        <v>185</v>
      </c>
      <c r="B402" s="2">
        <v>6.17</v>
      </c>
      <c r="C402" t="s">
        <v>833</v>
      </c>
    </row>
    <row r="403" spans="1:3" x14ac:dyDescent="0.25">
      <c r="A403" s="71" t="s">
        <v>311</v>
      </c>
      <c r="B403" s="2">
        <v>4.5</v>
      </c>
      <c r="C403" t="s">
        <v>401</v>
      </c>
    </row>
    <row r="404" spans="1:3" x14ac:dyDescent="0.25">
      <c r="A404" s="71" t="s">
        <v>333</v>
      </c>
      <c r="B404" s="2">
        <v>6</v>
      </c>
      <c r="C404" t="s">
        <v>401</v>
      </c>
    </row>
    <row r="405" spans="1:3" x14ac:dyDescent="0.25">
      <c r="A405" s="71" t="s">
        <v>337</v>
      </c>
      <c r="B405" s="2">
        <v>3.5</v>
      </c>
      <c r="C405" t="s">
        <v>401</v>
      </c>
    </row>
    <row r="406" spans="1:3" x14ac:dyDescent="0.25">
      <c r="A406" s="71" t="s">
        <v>157</v>
      </c>
      <c r="B406" s="2">
        <v>8</v>
      </c>
      <c r="C406" t="s">
        <v>401</v>
      </c>
    </row>
    <row r="407" spans="1:3" x14ac:dyDescent="0.25">
      <c r="A407" s="71" t="s">
        <v>341</v>
      </c>
      <c r="B407" s="2">
        <v>7</v>
      </c>
      <c r="C407" t="s">
        <v>401</v>
      </c>
    </row>
    <row r="408" spans="1:3" x14ac:dyDescent="0.25">
      <c r="A408" s="71" t="s">
        <v>376</v>
      </c>
      <c r="B408" s="2">
        <v>2.8</v>
      </c>
      <c r="C408" t="s">
        <v>401</v>
      </c>
    </row>
    <row r="409" spans="1:3" x14ac:dyDescent="0.25">
      <c r="A409" s="71" t="s">
        <v>338</v>
      </c>
      <c r="B409" s="2">
        <v>4.4000000000000004</v>
      </c>
      <c r="C409" t="s">
        <v>401</v>
      </c>
    </row>
    <row r="410" spans="1:3" x14ac:dyDescent="0.25">
      <c r="A410" s="71" t="s">
        <v>343</v>
      </c>
      <c r="B410" s="2">
        <v>4.7</v>
      </c>
      <c r="C410" t="s">
        <v>401</v>
      </c>
    </row>
    <row r="411" spans="1:3" x14ac:dyDescent="0.25">
      <c r="A411" s="71" t="s">
        <v>1078</v>
      </c>
      <c r="B411" s="2">
        <v>2</v>
      </c>
      <c r="C411" t="s">
        <v>401</v>
      </c>
    </row>
    <row r="412" spans="1:3" x14ac:dyDescent="0.25">
      <c r="A412" s="71" t="s">
        <v>348</v>
      </c>
      <c r="B412" s="2">
        <v>2</v>
      </c>
      <c r="C412" t="s">
        <v>401</v>
      </c>
    </row>
    <row r="413" spans="1:3" x14ac:dyDescent="0.25">
      <c r="A413" s="71" t="s">
        <v>324</v>
      </c>
      <c r="B413" s="2">
        <v>10.3</v>
      </c>
      <c r="C413" t="s">
        <v>401</v>
      </c>
    </row>
    <row r="414" spans="1:3" x14ac:dyDescent="0.25">
      <c r="A414" s="71" t="s">
        <v>336</v>
      </c>
      <c r="B414" s="2">
        <v>6</v>
      </c>
      <c r="C414" t="s">
        <v>401</v>
      </c>
    </row>
    <row r="415" spans="1:3" x14ac:dyDescent="0.25">
      <c r="A415" s="71" t="s">
        <v>211</v>
      </c>
      <c r="B415" s="2">
        <v>9</v>
      </c>
      <c r="C415" t="s">
        <v>401</v>
      </c>
    </row>
    <row r="416" spans="1:3" x14ac:dyDescent="0.25">
      <c r="A416" s="71" t="s">
        <v>124</v>
      </c>
      <c r="B416" s="2">
        <v>6</v>
      </c>
      <c r="C416" t="s">
        <v>401</v>
      </c>
    </row>
    <row r="417" spans="1:3" x14ac:dyDescent="0.25">
      <c r="A417" s="71" t="s">
        <v>378</v>
      </c>
      <c r="B417" s="2">
        <v>2.6</v>
      </c>
      <c r="C417" t="s">
        <v>401</v>
      </c>
    </row>
    <row r="418" spans="1:3" x14ac:dyDescent="0.25">
      <c r="A418" s="71" t="s">
        <v>339</v>
      </c>
      <c r="B418" s="2">
        <v>8</v>
      </c>
      <c r="C418" t="s">
        <v>401</v>
      </c>
    </row>
    <row r="419" spans="1:3" x14ac:dyDescent="0.25">
      <c r="A419" s="71" t="s">
        <v>371</v>
      </c>
      <c r="B419" s="2">
        <v>5</v>
      </c>
      <c r="C419" t="s">
        <v>401</v>
      </c>
    </row>
    <row r="420" spans="1:3" x14ac:dyDescent="0.25">
      <c r="A420" s="71" t="s">
        <v>379</v>
      </c>
      <c r="B420" s="2">
        <v>4.5</v>
      </c>
      <c r="C420" t="s">
        <v>401</v>
      </c>
    </row>
    <row r="421" spans="1:3" x14ac:dyDescent="0.25">
      <c r="A421" s="71" t="s">
        <v>335</v>
      </c>
      <c r="B421" s="2">
        <v>5.5</v>
      </c>
      <c r="C421" t="s">
        <v>401</v>
      </c>
    </row>
    <row r="422" spans="1:3" x14ac:dyDescent="0.25">
      <c r="A422" s="71" t="s">
        <v>344</v>
      </c>
      <c r="B422" s="2">
        <v>3.6</v>
      </c>
      <c r="C422" t="s">
        <v>401</v>
      </c>
    </row>
    <row r="423" spans="1:3" x14ac:dyDescent="0.25">
      <c r="A423" s="71" t="s">
        <v>257</v>
      </c>
      <c r="B423" s="2">
        <v>4.5</v>
      </c>
      <c r="C423" t="s">
        <v>401</v>
      </c>
    </row>
    <row r="424" spans="1:3" x14ac:dyDescent="0.25">
      <c r="A424" s="71" t="s">
        <v>373</v>
      </c>
      <c r="B424" s="2">
        <v>4.5</v>
      </c>
      <c r="C424" t="s">
        <v>401</v>
      </c>
    </row>
    <row r="425" spans="1:3" x14ac:dyDescent="0.25">
      <c r="A425" s="71" t="s">
        <v>1079</v>
      </c>
      <c r="B425" s="2">
        <v>3.4</v>
      </c>
      <c r="C425" t="s">
        <v>401</v>
      </c>
    </row>
    <row r="426" spans="1:3" x14ac:dyDescent="0.25">
      <c r="A426" s="71" t="s">
        <v>342</v>
      </c>
      <c r="B426" s="2">
        <v>4.5999999999999996</v>
      </c>
      <c r="C426" t="s">
        <v>401</v>
      </c>
    </row>
    <row r="427" spans="1:3" x14ac:dyDescent="0.25">
      <c r="A427" s="71" t="s">
        <v>190</v>
      </c>
      <c r="B427" s="2">
        <v>3.5</v>
      </c>
      <c r="C427" t="s">
        <v>401</v>
      </c>
    </row>
    <row r="428" spans="1:3" x14ac:dyDescent="0.25">
      <c r="A428" s="71" t="s">
        <v>191</v>
      </c>
      <c r="B428" s="2">
        <v>3.6</v>
      </c>
      <c r="C428" t="s">
        <v>401</v>
      </c>
    </row>
    <row r="429" spans="1:3" x14ac:dyDescent="0.25">
      <c r="A429" s="71" t="s">
        <v>370</v>
      </c>
      <c r="B429" s="2">
        <v>1.2</v>
      </c>
      <c r="C429" t="s">
        <v>401</v>
      </c>
    </row>
    <row r="430" spans="1:3" x14ac:dyDescent="0.25">
      <c r="A430" s="71" t="s">
        <v>349</v>
      </c>
      <c r="B430" s="2">
        <v>7</v>
      </c>
      <c r="C430" t="s">
        <v>401</v>
      </c>
    </row>
    <row r="431" spans="1:3" x14ac:dyDescent="0.25">
      <c r="A431" s="71" t="s">
        <v>340</v>
      </c>
      <c r="B431" s="2">
        <v>5</v>
      </c>
      <c r="C431" t="s">
        <v>401</v>
      </c>
    </row>
    <row r="432" spans="1:3" x14ac:dyDescent="0.25">
      <c r="A432" s="71" t="s">
        <v>214</v>
      </c>
      <c r="B432" s="2">
        <v>14</v>
      </c>
      <c r="C432" t="s">
        <v>401</v>
      </c>
    </row>
    <row r="433" spans="1:9" x14ac:dyDescent="0.25">
      <c r="A433" s="71" t="s">
        <v>351</v>
      </c>
      <c r="B433" s="2">
        <v>5</v>
      </c>
      <c r="C433" t="s">
        <v>401</v>
      </c>
    </row>
    <row r="434" spans="1:9" x14ac:dyDescent="0.25">
      <c r="A434" s="71" t="s">
        <v>236</v>
      </c>
      <c r="B434" s="2">
        <v>10</v>
      </c>
      <c r="C434" t="s">
        <v>401</v>
      </c>
    </row>
    <row r="435" spans="1:9" x14ac:dyDescent="0.25">
      <c r="A435" s="71" t="s">
        <v>352</v>
      </c>
      <c r="B435" s="2">
        <v>11.5</v>
      </c>
      <c r="C435" t="s">
        <v>401</v>
      </c>
      <c r="I435" s="177"/>
    </row>
    <row r="436" spans="1:9" x14ac:dyDescent="0.25">
      <c r="A436" s="71" t="s">
        <v>377</v>
      </c>
      <c r="B436" s="2">
        <v>5.2</v>
      </c>
      <c r="C436" t="s">
        <v>401</v>
      </c>
    </row>
    <row r="437" spans="1:9" x14ac:dyDescent="0.25">
      <c r="A437" s="71" t="s">
        <v>345</v>
      </c>
      <c r="B437" s="2">
        <v>6.5</v>
      </c>
      <c r="C437" t="s">
        <v>401</v>
      </c>
    </row>
    <row r="438" spans="1:9" x14ac:dyDescent="0.25">
      <c r="A438" s="71" t="s">
        <v>328</v>
      </c>
      <c r="B438" s="2">
        <v>10</v>
      </c>
      <c r="C438" t="s">
        <v>401</v>
      </c>
    </row>
    <row r="439" spans="1:9" x14ac:dyDescent="0.25">
      <c r="A439" s="71" t="s">
        <v>163</v>
      </c>
      <c r="B439" s="77">
        <v>12</v>
      </c>
      <c r="C439" t="s">
        <v>401</v>
      </c>
      <c r="H439" s="177"/>
    </row>
    <row r="440" spans="1:9" x14ac:dyDescent="0.25">
      <c r="A440" s="71" t="s">
        <v>158</v>
      </c>
      <c r="B440" s="77">
        <v>2.4</v>
      </c>
      <c r="C440" t="s">
        <v>401</v>
      </c>
    </row>
    <row r="441" spans="1:9" x14ac:dyDescent="0.25">
      <c r="A441" s="71" t="s">
        <v>374</v>
      </c>
      <c r="B441" s="77">
        <v>2</v>
      </c>
      <c r="C441" t="s">
        <v>401</v>
      </c>
    </row>
    <row r="442" spans="1:9" x14ac:dyDescent="0.25">
      <c r="A442" s="71" t="s">
        <v>375</v>
      </c>
      <c r="B442" s="77">
        <v>0.6</v>
      </c>
      <c r="C442" t="s">
        <v>401</v>
      </c>
      <c r="H442" s="177"/>
    </row>
    <row r="443" spans="1:9" x14ac:dyDescent="0.25">
      <c r="A443" s="71" t="s">
        <v>369</v>
      </c>
      <c r="B443" s="77">
        <v>1</v>
      </c>
      <c r="C443" t="s">
        <v>401</v>
      </c>
      <c r="I443" s="177"/>
    </row>
    <row r="444" spans="1:9" x14ac:dyDescent="0.25">
      <c r="A444" s="71" t="s">
        <v>372</v>
      </c>
      <c r="B444" s="77">
        <v>2.4</v>
      </c>
      <c r="C444" t="s">
        <v>401</v>
      </c>
      <c r="H444" s="177"/>
    </row>
    <row r="445" spans="1:9" x14ac:dyDescent="0.25">
      <c r="A445" s="71" t="s">
        <v>330</v>
      </c>
      <c r="B445" s="77">
        <v>16.8</v>
      </c>
      <c r="C445" t="s">
        <v>401</v>
      </c>
      <c r="D445">
        <v>220000</v>
      </c>
      <c r="H445" s="177"/>
    </row>
    <row r="446" spans="1:9" x14ac:dyDescent="0.25">
      <c r="A446" s="71" t="s">
        <v>384</v>
      </c>
      <c r="B446" s="77">
        <v>5.79</v>
      </c>
      <c r="C446" t="s">
        <v>401</v>
      </c>
      <c r="H446" s="177"/>
    </row>
    <row r="447" spans="1:9" x14ac:dyDescent="0.25">
      <c r="A447" s="71" t="s">
        <v>383</v>
      </c>
      <c r="B447" s="77">
        <v>6.25</v>
      </c>
      <c r="C447" t="s">
        <v>401</v>
      </c>
      <c r="H447" s="177"/>
    </row>
    <row r="448" spans="1:9" x14ac:dyDescent="0.25">
      <c r="A448" s="71" t="s">
        <v>1080</v>
      </c>
      <c r="B448" s="77">
        <v>3.44</v>
      </c>
      <c r="C448" t="s">
        <v>401</v>
      </c>
      <c r="H448" s="177"/>
    </row>
    <row r="449" spans="1:8" x14ac:dyDescent="0.25">
      <c r="A449" s="71" t="s">
        <v>1081</v>
      </c>
      <c r="B449" s="77">
        <v>7.27</v>
      </c>
      <c r="C449" t="s">
        <v>401</v>
      </c>
      <c r="H449" s="177"/>
    </row>
    <row r="450" spans="1:8" x14ac:dyDescent="0.25">
      <c r="A450" s="71" t="s">
        <v>382</v>
      </c>
      <c r="B450" s="77">
        <v>5.7</v>
      </c>
      <c r="C450" t="s">
        <v>401</v>
      </c>
      <c r="H450" s="177"/>
    </row>
    <row r="451" spans="1:8" x14ac:dyDescent="0.25">
      <c r="A451" s="71" t="s">
        <v>381</v>
      </c>
      <c r="B451" s="77">
        <v>9.48</v>
      </c>
      <c r="C451" t="s">
        <v>401</v>
      </c>
      <c r="H451" s="177"/>
    </row>
    <row r="452" spans="1:8" x14ac:dyDescent="0.25">
      <c r="A452" s="71" t="s">
        <v>1082</v>
      </c>
      <c r="B452" s="77">
        <v>2.89</v>
      </c>
      <c r="C452" t="s">
        <v>401</v>
      </c>
      <c r="H452" s="177"/>
    </row>
    <row r="453" spans="1:8" x14ac:dyDescent="0.25">
      <c r="A453" s="71" t="s">
        <v>1083</v>
      </c>
      <c r="B453" s="77">
        <v>0.72</v>
      </c>
      <c r="C453" t="s">
        <v>401</v>
      </c>
      <c r="H453" s="177"/>
    </row>
    <row r="454" spans="1:8" x14ac:dyDescent="0.25">
      <c r="A454" s="71" t="s">
        <v>1084</v>
      </c>
      <c r="B454" s="77">
        <v>1.92</v>
      </c>
      <c r="C454" t="s">
        <v>401</v>
      </c>
      <c r="H454" s="177"/>
    </row>
    <row r="455" spans="1:8" x14ac:dyDescent="0.25">
      <c r="A455" s="15"/>
      <c r="B455" s="14">
        <f>SUBTOTAL(109,Tabla8[has])</f>
        <v>2334.4699999999993</v>
      </c>
      <c r="D455">
        <v>454</v>
      </c>
    </row>
    <row r="459" spans="1:8" x14ac:dyDescent="0.25">
      <c r="G459" s="177"/>
    </row>
    <row r="460" spans="1:8" x14ac:dyDescent="0.25">
      <c r="B460" s="114" t="s">
        <v>270</v>
      </c>
      <c r="C460" t="e">
        <f t="shared" ref="C460:C477" si="3">VLOOKUP(B460,$A$119:$B$148,2)</f>
        <v>#N/A</v>
      </c>
      <c r="G460" s="177"/>
    </row>
    <row r="461" spans="1:8" x14ac:dyDescent="0.25">
      <c r="B461" s="114" t="s">
        <v>260</v>
      </c>
      <c r="C461" t="e">
        <f t="shared" si="3"/>
        <v>#N/A</v>
      </c>
      <c r="G461" s="177"/>
    </row>
    <row r="462" spans="1:8" x14ac:dyDescent="0.25">
      <c r="B462" s="7" t="s">
        <v>208</v>
      </c>
      <c r="C462" t="e">
        <f t="shared" si="3"/>
        <v>#N/A</v>
      </c>
      <c r="G462" s="177"/>
    </row>
    <row r="463" spans="1:8" x14ac:dyDescent="0.25">
      <c r="B463" s="7" t="s">
        <v>126</v>
      </c>
      <c r="C463" t="e">
        <f t="shared" si="3"/>
        <v>#N/A</v>
      </c>
      <c r="G463" s="177"/>
    </row>
    <row r="464" spans="1:8" x14ac:dyDescent="0.25">
      <c r="B464" s="7" t="s">
        <v>144</v>
      </c>
      <c r="C464" t="e">
        <f t="shared" si="3"/>
        <v>#N/A</v>
      </c>
      <c r="G464" s="177"/>
    </row>
    <row r="465" spans="2:3" x14ac:dyDescent="0.25">
      <c r="B465" s="114" t="s">
        <v>250</v>
      </c>
      <c r="C465" t="e">
        <f t="shared" si="3"/>
        <v>#N/A</v>
      </c>
    </row>
    <row r="466" spans="2:3" x14ac:dyDescent="0.25">
      <c r="B466" s="7" t="s">
        <v>219</v>
      </c>
      <c r="C466" t="e">
        <f t="shared" si="3"/>
        <v>#N/A</v>
      </c>
    </row>
    <row r="467" spans="2:3" x14ac:dyDescent="0.25">
      <c r="B467" s="7" t="s">
        <v>249</v>
      </c>
      <c r="C467" t="e">
        <f t="shared" si="3"/>
        <v>#N/A</v>
      </c>
    </row>
    <row r="468" spans="2:3" x14ac:dyDescent="0.25">
      <c r="B468" s="114" t="s">
        <v>873</v>
      </c>
      <c r="C468" t="e">
        <f t="shared" si="3"/>
        <v>#N/A</v>
      </c>
    </row>
    <row r="469" spans="2:3" x14ac:dyDescent="0.25">
      <c r="B469" s="7" t="s">
        <v>253</v>
      </c>
      <c r="C469" t="e">
        <f t="shared" si="3"/>
        <v>#N/A</v>
      </c>
    </row>
    <row r="470" spans="2:3" x14ac:dyDescent="0.25">
      <c r="B470" s="7" t="s">
        <v>184</v>
      </c>
      <c r="C470" t="e">
        <f t="shared" si="3"/>
        <v>#N/A</v>
      </c>
    </row>
    <row r="471" spans="2:3" x14ac:dyDescent="0.25">
      <c r="B471" s="114" t="s">
        <v>137</v>
      </c>
      <c r="C471" t="e">
        <f t="shared" si="3"/>
        <v>#N/A</v>
      </c>
    </row>
    <row r="472" spans="2:3" x14ac:dyDescent="0.25">
      <c r="B472" s="114" t="s">
        <v>323</v>
      </c>
      <c r="C472" t="e">
        <f t="shared" si="3"/>
        <v>#N/A</v>
      </c>
    </row>
    <row r="473" spans="2:3" x14ac:dyDescent="0.25">
      <c r="B473" s="7" t="s">
        <v>307</v>
      </c>
      <c r="C473" t="e">
        <f t="shared" si="3"/>
        <v>#N/A</v>
      </c>
    </row>
    <row r="474" spans="2:3" x14ac:dyDescent="0.25">
      <c r="B474" s="114" t="s">
        <v>331</v>
      </c>
      <c r="C474" t="e">
        <f t="shared" si="3"/>
        <v>#N/A</v>
      </c>
    </row>
    <row r="475" spans="2:3" x14ac:dyDescent="0.25">
      <c r="B475" s="7" t="s">
        <v>308</v>
      </c>
      <c r="C475" t="e">
        <f t="shared" si="3"/>
        <v>#N/A</v>
      </c>
    </row>
    <row r="476" spans="2:3" x14ac:dyDescent="0.25">
      <c r="B476" s="7" t="s">
        <v>132</v>
      </c>
      <c r="C476" t="e">
        <f t="shared" si="3"/>
        <v>#N/A</v>
      </c>
    </row>
    <row r="477" spans="2:3" x14ac:dyDescent="0.25">
      <c r="B477" s="7" t="s">
        <v>152</v>
      </c>
      <c r="C477" t="e">
        <f t="shared" si="3"/>
        <v>#N/A</v>
      </c>
    </row>
  </sheetData>
  <autoFilter ref="E116:F168" xr:uid="{06D3DB32-3A80-4DE2-BBAD-7D3CAB5B1CBA}"/>
  <conditionalFormatting sqref="B2:B9">
    <cfRule type="dataBar" priority="5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{563CCD5F-AD6F-4078-80FC-F8FECCB66EE5}</x14:id>
        </ext>
      </extLst>
    </cfRule>
  </conditionalFormatting>
  <conditionalFormatting sqref="B10:B25">
    <cfRule type="dataBar" priority="5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{652DF055-BE80-41ED-9C24-9BE812753A9C}</x14:id>
        </ext>
      </extLst>
    </cfRule>
  </conditionalFormatting>
  <conditionalFormatting sqref="B26:B28">
    <cfRule type="dataBar" priority="6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{BE482A58-EDC3-423A-BB89-B95DC89475ED}</x14:id>
        </ext>
      </extLst>
    </cfRule>
  </conditionalFormatting>
  <conditionalFormatting sqref="B29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{4F9386B7-1BE9-41F2-B35B-712EA7EDD41E}</x14:id>
        </ext>
      </extLst>
    </cfRule>
  </conditionalFormatting>
  <conditionalFormatting sqref="B30:B31 B35:B90">
    <cfRule type="dataBar" priority="4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{A7FF5259-4FC1-4F07-9F91-E4FE75D6734F}</x14:id>
        </ext>
      </extLst>
    </cfRule>
  </conditionalFormatting>
  <conditionalFormatting sqref="B32:B3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{F09A5C75-0BAF-4911-8F57-6A30F90356BE}</x14:id>
        </ext>
      </extLst>
    </cfRule>
  </conditionalFormatting>
  <conditionalFormatting sqref="B3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{85D72973-950B-4083-90FC-28C1D6AA45CC}</x14:id>
        </ext>
      </extLst>
    </cfRule>
  </conditionalFormatting>
  <conditionalFormatting sqref="B91:B9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{AFFC66CF-4DDD-4439-9AB6-555262FF0623}</x14:id>
        </ext>
      </extLst>
    </cfRule>
  </conditionalFormatting>
  <conditionalFormatting sqref="B99:B103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{FA047E45-2955-4713-9AFD-6F4D219C00A5}</x14:id>
        </ext>
      </extLst>
    </cfRule>
  </conditionalFormatting>
  <conditionalFormatting sqref="B104:B109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{5C3493F8-B731-4857-96AF-75F89BA02899}</x14:id>
        </ext>
      </extLst>
    </cfRule>
  </conditionalFormatting>
  <conditionalFormatting sqref="B110:B12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{3FFCBF2F-6479-4E71-91E3-62D74EE087C8}</x14:id>
        </ext>
      </extLst>
    </cfRule>
  </conditionalFormatting>
  <conditionalFormatting sqref="B130:B146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{6A090DBF-B7CA-4929-ACC4-273B88B130D2}</x14:id>
        </ext>
      </extLst>
    </cfRule>
  </conditionalFormatting>
  <conditionalFormatting sqref="B147:B15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{1D8C80D2-01CB-4FCF-A291-2B3E78CB3792}</x14:id>
        </ext>
      </extLst>
    </cfRule>
  </conditionalFormatting>
  <conditionalFormatting sqref="B151:B16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{68D98A98-EB2E-47B2-B78E-13D73728BF6C}</x14:id>
        </ext>
      </extLst>
    </cfRule>
  </conditionalFormatting>
  <conditionalFormatting sqref="B168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{AB763727-A03A-4844-8A89-229CF4ADE73D}</x14:id>
        </ext>
      </extLst>
    </cfRule>
  </conditionalFormatting>
  <conditionalFormatting sqref="B169:B177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{97EE6180-4340-468B-B2D3-41F3CAB4A50A}</x14:id>
        </ext>
      </extLst>
    </cfRule>
  </conditionalFormatting>
  <conditionalFormatting sqref="B178:B19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{9C528088-C18F-4230-9EE6-B3200D99DC63}</x14:id>
        </ext>
      </extLst>
    </cfRule>
  </conditionalFormatting>
  <conditionalFormatting sqref="B198:B20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{1EEF644E-CEE9-4F71-963B-18FC4AA76B7E}</x14:id>
        </ext>
      </extLst>
    </cfRule>
  </conditionalFormatting>
  <conditionalFormatting sqref="B211:B2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{AF4C6329-901A-47A1-B15A-3D8037DE9702}</x14:id>
        </ext>
      </extLst>
    </cfRule>
  </conditionalFormatting>
  <conditionalFormatting sqref="B216:B226 B208:B210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{E80B924F-02FC-4825-B49C-14840DF75B5E}</x14:id>
        </ext>
      </extLst>
    </cfRule>
  </conditionalFormatting>
  <conditionalFormatting sqref="B216:B236 B208:B2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{D2FDB2EA-AB5B-4247-8520-51579F36A984}</x14:id>
        </ext>
      </extLst>
    </cfRule>
  </conditionalFormatting>
  <conditionalFormatting sqref="B22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{3B2E3492-F5F8-4488-9860-1409211D21A1}</x14:id>
        </ext>
      </extLst>
    </cfRule>
  </conditionalFormatting>
  <conditionalFormatting sqref="B228:B23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{50040C64-6CBD-41B5-864A-FCCA487ADDDE}</x14:id>
        </ext>
      </extLst>
    </cfRule>
  </conditionalFormatting>
  <conditionalFormatting sqref="B231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{34EF30D4-FD2B-4942-90B9-C70C481459CF}</x14:id>
        </ext>
      </extLst>
    </cfRule>
  </conditionalFormatting>
  <conditionalFormatting sqref="B232:B23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{9E015673-87D4-4B17-B4F0-50683DB9E933}</x14:id>
        </ext>
      </extLst>
    </cfRule>
  </conditionalFormatting>
  <conditionalFormatting sqref="B237:B261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{1A023E2C-30B7-45A7-AD25-EE539A0D34D7}</x14:id>
        </ext>
      </extLst>
    </cfRule>
  </conditionalFormatting>
  <conditionalFormatting sqref="B262:B275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{7C49C0CA-0455-4429-AB05-BB1A7EE309F0}</x14:id>
        </ext>
      </extLst>
    </cfRule>
  </conditionalFormatting>
  <conditionalFormatting sqref="B27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{A3F8D53B-16D0-4478-9B3E-FD283A20A3EA}</x14:id>
        </ext>
      </extLst>
    </cfRule>
  </conditionalFormatting>
  <conditionalFormatting sqref="B277:B306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{A1DC8EAC-DCF4-403D-A94F-E4FCB8252508}</x14:id>
        </ext>
      </extLst>
    </cfRule>
  </conditionalFormatting>
  <conditionalFormatting sqref="B307:B327">
    <cfRule type="dataBar" priority="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{1922C7D5-93A9-4582-AEC9-74D7E3E76146}</x14:id>
        </ext>
      </extLst>
    </cfRule>
  </conditionalFormatting>
  <conditionalFormatting sqref="B328:B360">
    <cfRule type="dataBar" priority="6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{4B3D0511-8997-4740-9771-25418C542C2E}</x14:id>
        </ext>
      </extLst>
    </cfRule>
  </conditionalFormatting>
  <conditionalFormatting sqref="B361:B365">
    <cfRule type="dataBar" priority="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{54159184-0020-4E2D-9030-8371FEECF7CB}</x14:id>
        </ext>
      </extLst>
    </cfRule>
  </conditionalFormatting>
  <conditionalFormatting sqref="B366:B413">
    <cfRule type="dataBar" priority="6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{3ACBF736-0C00-40B9-8F28-8736A4600A3E}</x14:id>
        </ext>
      </extLst>
    </cfRule>
  </conditionalFormatting>
  <conditionalFormatting sqref="B429:B43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{45359950-E30C-4FB7-B161-98136AD8E221}</x14:id>
        </ext>
      </extLst>
    </cfRule>
  </conditionalFormatting>
  <conditionalFormatting sqref="B414:B428 B445 B434:B440">
    <cfRule type="dataBar" priority="5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{C50F3FA7-E0A1-426A-8C4E-400CA959B926}</x14:id>
        </ext>
      </extLst>
    </cfRule>
  </conditionalFormatting>
  <conditionalFormatting sqref="B44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{C883DD4B-C8DB-4736-BDE5-1A82D10F667D}</x14:id>
        </ext>
      </extLst>
    </cfRule>
  </conditionalFormatting>
  <conditionalFormatting sqref="B44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{28391619-DECE-423C-B08E-1174FFDA1F52}</x14:id>
        </ext>
      </extLst>
    </cfRule>
  </conditionalFormatting>
  <conditionalFormatting sqref="B4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{541BD1D1-F816-45CC-A87C-003F79B4C23D}</x14:id>
        </ext>
      </extLst>
    </cfRule>
  </conditionalFormatting>
  <conditionalFormatting sqref="B44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{76AA2526-D2A1-4C97-8DED-B82E2A939FFB}</x14:id>
        </ext>
      </extLst>
    </cfRule>
  </conditionalFormatting>
  <conditionalFormatting sqref="B446:B45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{573527E8-51E0-46C3-9901-CD337FA5FED8}</x14:id>
        </ext>
      </extLst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3CCD5F-AD6F-4078-80FC-F8FECCB66E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B2:B9</xm:sqref>
        </x14:conditionalFormatting>
        <x14:conditionalFormatting xmlns:xm="http://schemas.microsoft.com/office/excel/2006/main">
          <x14:cfRule type="dataBar" id="{652DF055-BE80-41ED-9C24-9BE812753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B10:B25</xm:sqref>
        </x14:conditionalFormatting>
        <x14:conditionalFormatting xmlns:xm="http://schemas.microsoft.com/office/excel/2006/main">
          <x14:cfRule type="dataBar" id="{BE482A58-EDC3-423A-BB89-B95DC8947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B26:B28</xm:sqref>
        </x14:conditionalFormatting>
        <x14:conditionalFormatting xmlns:xm="http://schemas.microsoft.com/office/excel/2006/main">
          <x14:cfRule type="dataBar" id="{4F9386B7-1BE9-41F2-B35B-712EA7EDD4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B29</xm:sqref>
        </x14:conditionalFormatting>
        <x14:conditionalFormatting xmlns:xm="http://schemas.microsoft.com/office/excel/2006/main">
          <x14:cfRule type="dataBar" id="{A7FF5259-4FC1-4F07-9F91-E4FE75D6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B30:B31 B35:B90</xm:sqref>
        </x14:conditionalFormatting>
        <x14:conditionalFormatting xmlns:xm="http://schemas.microsoft.com/office/excel/2006/main">
          <x14:cfRule type="dataBar" id="{F09A5C75-0BAF-4911-8F57-6A30F90356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B32:B33</xm:sqref>
        </x14:conditionalFormatting>
        <x14:conditionalFormatting xmlns:xm="http://schemas.microsoft.com/office/excel/2006/main">
          <x14:cfRule type="dataBar" id="{85D72973-950B-4083-90FC-28C1D6AA45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B34</xm:sqref>
        </x14:conditionalFormatting>
        <x14:conditionalFormatting xmlns:xm="http://schemas.microsoft.com/office/excel/2006/main">
          <x14:cfRule type="dataBar" id="{AFFC66CF-4DDD-4439-9AB6-555262FF06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B91:B98</xm:sqref>
        </x14:conditionalFormatting>
        <x14:conditionalFormatting xmlns:xm="http://schemas.microsoft.com/office/excel/2006/main">
          <x14:cfRule type="dataBar" id="{FA047E45-2955-4713-9AFD-6F4D219C0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B99:B103</xm:sqref>
        </x14:conditionalFormatting>
        <x14:conditionalFormatting xmlns:xm="http://schemas.microsoft.com/office/excel/2006/main">
          <x14:cfRule type="dataBar" id="{5C3493F8-B731-4857-96AF-75F89BA02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B104:B109</xm:sqref>
        </x14:conditionalFormatting>
        <x14:conditionalFormatting xmlns:xm="http://schemas.microsoft.com/office/excel/2006/main">
          <x14:cfRule type="dataBar" id="{3FFCBF2F-6479-4E71-91E3-62D74EE08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B110:B129</xm:sqref>
        </x14:conditionalFormatting>
        <x14:conditionalFormatting xmlns:xm="http://schemas.microsoft.com/office/excel/2006/main">
          <x14:cfRule type="dataBar" id="{6A090DBF-B7CA-4929-ACC4-273B88B130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B130:B146</xm:sqref>
        </x14:conditionalFormatting>
        <x14:conditionalFormatting xmlns:xm="http://schemas.microsoft.com/office/excel/2006/main">
          <x14:cfRule type="dataBar" id="{1D8C80D2-01CB-4FCF-A291-2B3E78CB3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B147:B150</xm:sqref>
        </x14:conditionalFormatting>
        <x14:conditionalFormatting xmlns:xm="http://schemas.microsoft.com/office/excel/2006/main">
          <x14:cfRule type="dataBar" id="{68D98A98-EB2E-47B2-B78E-13D73728BF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B151:B167</xm:sqref>
        </x14:conditionalFormatting>
        <x14:conditionalFormatting xmlns:xm="http://schemas.microsoft.com/office/excel/2006/main">
          <x14:cfRule type="dataBar" id="{AB763727-A03A-4844-8A89-229CF4ADE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B168</xm:sqref>
        </x14:conditionalFormatting>
        <x14:conditionalFormatting xmlns:xm="http://schemas.microsoft.com/office/excel/2006/main">
          <x14:cfRule type="dataBar" id="{97EE6180-4340-468B-B2D3-41F3CAB4A5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B169:B177</xm:sqref>
        </x14:conditionalFormatting>
        <x14:conditionalFormatting xmlns:xm="http://schemas.microsoft.com/office/excel/2006/main">
          <x14:cfRule type="dataBar" id="{9C528088-C18F-4230-9EE6-B3200D99DC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B178:B197</xm:sqref>
        </x14:conditionalFormatting>
        <x14:conditionalFormatting xmlns:xm="http://schemas.microsoft.com/office/excel/2006/main">
          <x14:cfRule type="dataBar" id="{1EEF644E-CEE9-4F71-963B-18FC4AA76B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B198:B207</xm:sqref>
        </x14:conditionalFormatting>
        <x14:conditionalFormatting xmlns:xm="http://schemas.microsoft.com/office/excel/2006/main">
          <x14:cfRule type="dataBar" id="{AF4C6329-901A-47A1-B15A-3D8037DE9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B211:B215</xm:sqref>
        </x14:conditionalFormatting>
        <x14:conditionalFormatting xmlns:xm="http://schemas.microsoft.com/office/excel/2006/main">
          <x14:cfRule type="dataBar" id="{E80B924F-02FC-4825-B49C-14840DF75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B216:B226 B208:B210</xm:sqref>
        </x14:conditionalFormatting>
        <x14:conditionalFormatting xmlns:xm="http://schemas.microsoft.com/office/excel/2006/main">
          <x14:cfRule type="dataBar" id="{D2FDB2EA-AB5B-4247-8520-51579F36A9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B216:B236 B208:B210</xm:sqref>
        </x14:conditionalFormatting>
        <x14:conditionalFormatting xmlns:xm="http://schemas.microsoft.com/office/excel/2006/main">
          <x14:cfRule type="dataBar" id="{3B2E3492-F5F8-4488-9860-1409211D21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B227</xm:sqref>
        </x14:conditionalFormatting>
        <x14:conditionalFormatting xmlns:xm="http://schemas.microsoft.com/office/excel/2006/main">
          <x14:cfRule type="dataBar" id="{50040C64-6CBD-41B5-864A-FCCA487AD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B228:B236</xm:sqref>
        </x14:conditionalFormatting>
        <x14:conditionalFormatting xmlns:xm="http://schemas.microsoft.com/office/excel/2006/main">
          <x14:cfRule type="dataBar" id="{34EF30D4-FD2B-4942-90B9-C70C481459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B231</xm:sqref>
        </x14:conditionalFormatting>
        <x14:conditionalFormatting xmlns:xm="http://schemas.microsoft.com/office/excel/2006/main">
          <x14:cfRule type="dataBar" id="{9E015673-87D4-4B17-B4F0-50683DB9E9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B232:B236</xm:sqref>
        </x14:conditionalFormatting>
        <x14:conditionalFormatting xmlns:xm="http://schemas.microsoft.com/office/excel/2006/main">
          <x14:cfRule type="dataBar" id="{1A023E2C-30B7-45A7-AD25-EE539A0D3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B237:B261</xm:sqref>
        </x14:conditionalFormatting>
        <x14:conditionalFormatting xmlns:xm="http://schemas.microsoft.com/office/excel/2006/main">
          <x14:cfRule type="dataBar" id="{7C49C0CA-0455-4429-AB05-BB1A7EE30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B262:B275</xm:sqref>
        </x14:conditionalFormatting>
        <x14:conditionalFormatting xmlns:xm="http://schemas.microsoft.com/office/excel/2006/main">
          <x14:cfRule type="dataBar" id="{A3F8D53B-16D0-4478-9B3E-FD283A20A3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B276</xm:sqref>
        </x14:conditionalFormatting>
        <x14:conditionalFormatting xmlns:xm="http://schemas.microsoft.com/office/excel/2006/main">
          <x14:cfRule type="dataBar" id="{A1DC8EAC-DCF4-403D-A94F-E4FCB82525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B277:B306</xm:sqref>
        </x14:conditionalFormatting>
        <x14:conditionalFormatting xmlns:xm="http://schemas.microsoft.com/office/excel/2006/main">
          <x14:cfRule type="dataBar" id="{1922C7D5-93A9-4582-AEC9-74D7E3E761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B307:B327</xm:sqref>
        </x14:conditionalFormatting>
        <x14:conditionalFormatting xmlns:xm="http://schemas.microsoft.com/office/excel/2006/main">
          <x14:cfRule type="dataBar" id="{4B3D0511-8997-4740-9771-25418C542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B328:B360</xm:sqref>
        </x14:conditionalFormatting>
        <x14:conditionalFormatting xmlns:xm="http://schemas.microsoft.com/office/excel/2006/main">
          <x14:cfRule type="dataBar" id="{54159184-0020-4E2D-9030-8371FEECF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B361:B365</xm:sqref>
        </x14:conditionalFormatting>
        <x14:conditionalFormatting xmlns:xm="http://schemas.microsoft.com/office/excel/2006/main">
          <x14:cfRule type="dataBar" id="{3ACBF736-0C00-40B9-8F28-8736A4600A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B366:B413</xm:sqref>
        </x14:conditionalFormatting>
        <x14:conditionalFormatting xmlns:xm="http://schemas.microsoft.com/office/excel/2006/main">
          <x14:cfRule type="dataBar" id="{45359950-E30C-4FB7-B161-98136AD8E2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B429:B433</xm:sqref>
        </x14:conditionalFormatting>
        <x14:conditionalFormatting xmlns:xm="http://schemas.microsoft.com/office/excel/2006/main">
          <x14:cfRule type="dataBar" id="{C50F3FA7-E0A1-426A-8C4E-400CA959B9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B414:B428 B445 B434:B440</xm:sqref>
        </x14:conditionalFormatting>
        <x14:conditionalFormatting xmlns:xm="http://schemas.microsoft.com/office/excel/2006/main">
          <x14:cfRule type="dataBar" id="{C883DD4B-C8DB-4736-BDE5-1A82D10F6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B443</xm:sqref>
        </x14:conditionalFormatting>
        <x14:conditionalFormatting xmlns:xm="http://schemas.microsoft.com/office/excel/2006/main">
          <x14:cfRule type="dataBar" id="{28391619-DECE-423C-B08E-1174FFDA1F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B444</xm:sqref>
        </x14:conditionalFormatting>
        <x14:conditionalFormatting xmlns:xm="http://schemas.microsoft.com/office/excel/2006/main">
          <x14:cfRule type="dataBar" id="{541BD1D1-F816-45CC-A87C-003F79B4C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B442</xm:sqref>
        </x14:conditionalFormatting>
        <x14:conditionalFormatting xmlns:xm="http://schemas.microsoft.com/office/excel/2006/main">
          <x14:cfRule type="dataBar" id="{76AA2526-D2A1-4C97-8DED-B82E2A939F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B441</xm:sqref>
        </x14:conditionalFormatting>
        <x14:conditionalFormatting xmlns:xm="http://schemas.microsoft.com/office/excel/2006/main">
          <x14:cfRule type="dataBar" id="{573527E8-51E0-46C3-9901-CD337FA5FE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B446:B454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8AFB-4737-49AA-9622-1F308114A050}">
  <sheetPr codeName="Hoja2"/>
  <dimension ref="A1:X693"/>
  <sheetViews>
    <sheetView workbookViewId="0">
      <selection activeCell="I7" sqref="I7"/>
    </sheetView>
  </sheetViews>
  <sheetFormatPr baseColWidth="10" defaultColWidth="9.140625" defaultRowHeight="15" x14ac:dyDescent="0.25"/>
  <cols>
    <col min="1" max="1" width="9.42578125" bestFit="1" customWidth="1"/>
    <col min="3" max="3" width="11.42578125" bestFit="1" customWidth="1"/>
    <col min="12" max="12" width="9.28515625" bestFit="1" customWidth="1"/>
  </cols>
  <sheetData>
    <row r="1" spans="1:24" ht="60" x14ac:dyDescent="0.25">
      <c r="A1" s="50" t="s">
        <v>32</v>
      </c>
      <c r="B1" s="51" t="s">
        <v>1085</v>
      </c>
      <c r="C1" s="51" t="s">
        <v>56</v>
      </c>
      <c r="D1" s="51" t="s">
        <v>62</v>
      </c>
      <c r="E1" s="51" t="s">
        <v>747</v>
      </c>
      <c r="F1" s="51" t="s">
        <v>1086</v>
      </c>
      <c r="G1" s="51" t="s">
        <v>69</v>
      </c>
      <c r="H1" s="51" t="s">
        <v>63</v>
      </c>
      <c r="I1" s="52" t="s">
        <v>1087</v>
      </c>
      <c r="J1" s="53" t="s">
        <v>1088</v>
      </c>
      <c r="K1" s="68" t="s">
        <v>1089</v>
      </c>
      <c r="L1" s="65" t="s">
        <v>1090</v>
      </c>
      <c r="M1" s="66" t="s">
        <v>1091</v>
      </c>
      <c r="N1" s="69" t="s">
        <v>1092</v>
      </c>
      <c r="O1" s="51" t="s">
        <v>367</v>
      </c>
      <c r="P1" s="66" t="s">
        <v>1093</v>
      </c>
      <c r="Q1" s="51" t="s">
        <v>1094</v>
      </c>
      <c r="R1" s="51" t="s">
        <v>752</v>
      </c>
      <c r="S1" s="67" t="s">
        <v>1095</v>
      </c>
      <c r="T1" s="51" t="s">
        <v>1096</v>
      </c>
      <c r="U1" s="55" t="s">
        <v>71</v>
      </c>
      <c r="V1" s="56" t="s">
        <v>72</v>
      </c>
      <c r="W1" t="s">
        <v>816</v>
      </c>
    </row>
    <row r="2" spans="1:24" x14ac:dyDescent="0.25">
      <c r="A2" t="e">
        <f t="array" aca="1" ref="A2" ca="1">_xlfn.CHOOSECOLS('BASE 2026'!#REF!,6,5,1,7,11,10,15,9,28,29)</f>
        <v>#NAME?</v>
      </c>
      <c r="C2" s="6"/>
      <c r="K2" s="70"/>
      <c r="L2" t="e">
        <f t="array" aca="1" ref="L2:M693" ca="1">_xlfn.CHOOSECOLS('BASE 2026'!A3:AW427,26,27)</f>
        <v>#NAME?</v>
      </c>
      <c r="M2" t="e">
        <f ca="1"/>
        <v>#NAME?</v>
      </c>
      <c r="S2" t="e">
        <f t="array" aca="1" ref="S2:S693" ca="1">_xlfn.CHOOSECOLS('BASE 2026'!A3:AW427,38)</f>
        <v>#NAME?</v>
      </c>
      <c r="U2" s="80" t="e">
        <f t="array" aca="1" ref="U2:V693" ca="1">+_xlfn.CHOOSECOLS('BASE 2026'!A3:AW427,17,18)</f>
        <v>#NAME?</v>
      </c>
      <c r="V2" t="e">
        <f ca="1"/>
        <v>#NAME?</v>
      </c>
      <c r="W2" t="e">
        <f t="array" aca="1" ref="W2:X693" ca="1">_xlfn.CHOOSECOLS('BASE 2026'!A3:AW427,3,46)</f>
        <v>#NAME?</v>
      </c>
      <c r="X2" t="e">
        <f ca="1"/>
        <v>#NAME?</v>
      </c>
    </row>
    <row r="3" spans="1:24" x14ac:dyDescent="0.25">
      <c r="C3" s="6"/>
      <c r="L3" t="e">
        <f ca="1"/>
        <v>#NAME?</v>
      </c>
      <c r="M3" t="e">
        <f ca="1"/>
        <v>#NAME?</v>
      </c>
      <c r="S3" t="e">
        <f ca="1"/>
        <v>#NAME?</v>
      </c>
      <c r="U3" t="e">
        <f ca="1"/>
        <v>#NAME?</v>
      </c>
      <c r="V3" t="e">
        <f ca="1"/>
        <v>#NAME?</v>
      </c>
      <c r="W3" t="e">
        <f ca="1"/>
        <v>#NAME?</v>
      </c>
      <c r="X3" t="e">
        <f ca="1"/>
        <v>#NAME?</v>
      </c>
    </row>
    <row r="4" spans="1:24" x14ac:dyDescent="0.25">
      <c r="C4" s="6"/>
      <c r="L4" t="e">
        <f ca="1"/>
        <v>#NAME?</v>
      </c>
      <c r="M4" t="e">
        <f ca="1"/>
        <v>#NAME?</v>
      </c>
      <c r="S4" t="e">
        <f ca="1"/>
        <v>#NAME?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</row>
    <row r="5" spans="1:24" x14ac:dyDescent="0.25">
      <c r="C5" s="6"/>
      <c r="L5" t="e">
        <f ca="1"/>
        <v>#NAME?</v>
      </c>
      <c r="M5" t="e">
        <f ca="1"/>
        <v>#NAME?</v>
      </c>
      <c r="S5" t="e">
        <f ca="1"/>
        <v>#NAME?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</row>
    <row r="6" spans="1:24" x14ac:dyDescent="0.25">
      <c r="C6" s="6"/>
      <c r="L6" t="e">
        <f ca="1"/>
        <v>#NAME?</v>
      </c>
      <c r="M6" t="e">
        <f ca="1"/>
        <v>#NAME?</v>
      </c>
      <c r="S6" t="e">
        <f ca="1"/>
        <v>#NAME?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</row>
    <row r="7" spans="1:24" x14ac:dyDescent="0.25">
      <c r="C7" s="6"/>
      <c r="L7" t="e">
        <f ca="1"/>
        <v>#NAME?</v>
      </c>
      <c r="M7" t="e">
        <f ca="1"/>
        <v>#NAME?</v>
      </c>
      <c r="S7" t="e">
        <f ca="1"/>
        <v>#NAME?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</row>
    <row r="8" spans="1:24" x14ac:dyDescent="0.25">
      <c r="C8" s="6"/>
      <c r="L8" t="e">
        <f ca="1"/>
        <v>#NAME?</v>
      </c>
      <c r="M8" t="e">
        <f ca="1"/>
        <v>#NAME?</v>
      </c>
      <c r="S8" t="e">
        <f ca="1"/>
        <v>#NAME?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</row>
    <row r="9" spans="1:24" x14ac:dyDescent="0.25">
      <c r="C9" s="6"/>
      <c r="L9" t="e">
        <f ca="1"/>
        <v>#NAME?</v>
      </c>
      <c r="M9" t="e">
        <f ca="1"/>
        <v>#NAME?</v>
      </c>
      <c r="S9" t="e">
        <f ca="1"/>
        <v>#NAME?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</row>
    <row r="10" spans="1:24" x14ac:dyDescent="0.25">
      <c r="C10" s="6"/>
      <c r="L10" t="e">
        <f ca="1"/>
        <v>#NAME?</v>
      </c>
      <c r="M10" t="e">
        <f ca="1"/>
        <v>#NAME?</v>
      </c>
      <c r="S10" t="e">
        <f ca="1"/>
        <v>#NAME?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</row>
    <row r="11" spans="1:24" x14ac:dyDescent="0.25">
      <c r="C11" s="6"/>
      <c r="L11" t="e">
        <f ca="1"/>
        <v>#NAME?</v>
      </c>
      <c r="M11" t="e">
        <f ca="1"/>
        <v>#NAME?</v>
      </c>
      <c r="S11" t="e">
        <f ca="1"/>
        <v>#NAME?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</row>
    <row r="12" spans="1:24" x14ac:dyDescent="0.25">
      <c r="C12" s="6"/>
      <c r="L12" t="e">
        <f ca="1"/>
        <v>#NAME?</v>
      </c>
      <c r="M12" t="e">
        <f ca="1"/>
        <v>#NAME?</v>
      </c>
      <c r="S12" t="e">
        <f ca="1"/>
        <v>#NAME?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</row>
    <row r="13" spans="1:24" x14ac:dyDescent="0.25">
      <c r="C13" s="6"/>
      <c r="L13" t="e">
        <f ca="1"/>
        <v>#NAME?</v>
      </c>
      <c r="M13" t="e">
        <f ca="1"/>
        <v>#NAME?</v>
      </c>
      <c r="S13" t="e">
        <f ca="1"/>
        <v>#NAME?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</row>
    <row r="14" spans="1:24" x14ac:dyDescent="0.25">
      <c r="C14" s="6"/>
      <c r="L14" t="e">
        <f ca="1"/>
        <v>#NAME?</v>
      </c>
      <c r="M14" t="e">
        <f ca="1"/>
        <v>#NAME?</v>
      </c>
      <c r="S14" t="e">
        <f ca="1"/>
        <v>#NAME?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</row>
    <row r="15" spans="1:24" x14ac:dyDescent="0.25">
      <c r="C15" s="6"/>
      <c r="L15" t="e">
        <f ca="1"/>
        <v>#NAME?</v>
      </c>
      <c r="M15" t="e">
        <f ca="1"/>
        <v>#NAME?</v>
      </c>
      <c r="S15" t="e">
        <f ca="1"/>
        <v>#NAME?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</row>
    <row r="16" spans="1:24" x14ac:dyDescent="0.25">
      <c r="C16" s="6"/>
      <c r="L16" t="e">
        <f ca="1"/>
        <v>#NAME?</v>
      </c>
      <c r="M16" t="e">
        <f ca="1"/>
        <v>#NAME?</v>
      </c>
      <c r="S16" t="e">
        <f ca="1"/>
        <v>#NAME?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</row>
    <row r="17" spans="3:24" x14ac:dyDescent="0.25">
      <c r="C17" s="6"/>
      <c r="L17" t="e">
        <f ca="1"/>
        <v>#NAME?</v>
      </c>
      <c r="M17" t="e">
        <f ca="1"/>
        <v>#NAME?</v>
      </c>
      <c r="S17" t="e">
        <f ca="1"/>
        <v>#NAME?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</row>
    <row r="18" spans="3:24" x14ac:dyDescent="0.25">
      <c r="C18" s="6"/>
      <c r="L18" t="e">
        <f ca="1"/>
        <v>#NAME?</v>
      </c>
      <c r="M18" t="e">
        <f ca="1"/>
        <v>#NAME?</v>
      </c>
      <c r="S18" t="e">
        <f ca="1"/>
        <v>#NAME?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</row>
    <row r="19" spans="3:24" x14ac:dyDescent="0.25">
      <c r="C19" s="6"/>
      <c r="L19" t="e">
        <f ca="1"/>
        <v>#NAME?</v>
      </c>
      <c r="M19" t="e">
        <f ca="1"/>
        <v>#NAME?</v>
      </c>
      <c r="S19" t="e">
        <f ca="1"/>
        <v>#NAME?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</row>
    <row r="20" spans="3:24" x14ac:dyDescent="0.25">
      <c r="C20" s="6"/>
      <c r="L20" t="e">
        <f ca="1"/>
        <v>#NAME?</v>
      </c>
      <c r="M20" t="e">
        <f ca="1"/>
        <v>#NAME?</v>
      </c>
      <c r="S20" t="e">
        <f ca="1"/>
        <v>#NAME?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</row>
    <row r="21" spans="3:24" x14ac:dyDescent="0.25">
      <c r="C21" s="6"/>
      <c r="L21" t="e">
        <f ca="1"/>
        <v>#NAME?</v>
      </c>
      <c r="M21" t="e">
        <f ca="1"/>
        <v>#NAME?</v>
      </c>
      <c r="S21" t="e">
        <f ca="1"/>
        <v>#NAME?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</row>
    <row r="22" spans="3:24" x14ac:dyDescent="0.25">
      <c r="C22" s="6"/>
      <c r="L22" t="e">
        <f ca="1"/>
        <v>#NAME?</v>
      </c>
      <c r="M22" t="e">
        <f ca="1"/>
        <v>#NAME?</v>
      </c>
      <c r="S22" t="e">
        <f ca="1"/>
        <v>#NAME?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</row>
    <row r="23" spans="3:24" x14ac:dyDescent="0.25">
      <c r="C23" s="6"/>
      <c r="L23" t="e">
        <f ca="1"/>
        <v>#NAME?</v>
      </c>
      <c r="M23" t="e">
        <f ca="1"/>
        <v>#NAME?</v>
      </c>
      <c r="S23" t="e">
        <f ca="1"/>
        <v>#NAME?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</row>
    <row r="24" spans="3:24" x14ac:dyDescent="0.25">
      <c r="C24" s="6"/>
      <c r="L24" t="e">
        <f ca="1"/>
        <v>#NAME?</v>
      </c>
      <c r="M24" t="e">
        <f ca="1"/>
        <v>#NAME?</v>
      </c>
      <c r="S24" t="e">
        <f ca="1"/>
        <v>#NAME?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</row>
    <row r="25" spans="3:24" x14ac:dyDescent="0.25">
      <c r="C25" s="6"/>
      <c r="L25" t="e">
        <f ca="1"/>
        <v>#NAME?</v>
      </c>
      <c r="M25" t="e">
        <f ca="1"/>
        <v>#NAME?</v>
      </c>
      <c r="S25" t="e">
        <f ca="1"/>
        <v>#NAME?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</row>
    <row r="26" spans="3:24" x14ac:dyDescent="0.25">
      <c r="C26" s="6"/>
      <c r="L26" t="e">
        <f ca="1"/>
        <v>#NAME?</v>
      </c>
      <c r="M26" t="e">
        <f ca="1"/>
        <v>#NAME?</v>
      </c>
      <c r="S26" t="e">
        <f ca="1"/>
        <v>#NAME?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</row>
    <row r="27" spans="3:24" x14ac:dyDescent="0.25">
      <c r="C27" s="6"/>
      <c r="L27" t="e">
        <f ca="1"/>
        <v>#NAME?</v>
      </c>
      <c r="M27" t="e">
        <f ca="1"/>
        <v>#NAME?</v>
      </c>
      <c r="S27" t="e">
        <f ca="1"/>
        <v>#NAME?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</row>
    <row r="28" spans="3:24" x14ac:dyDescent="0.25">
      <c r="C28" s="6"/>
      <c r="L28" t="e">
        <f ca="1"/>
        <v>#NAME?</v>
      </c>
      <c r="M28" t="e">
        <f ca="1"/>
        <v>#NAME?</v>
      </c>
      <c r="S28" t="e">
        <f ca="1"/>
        <v>#NAME?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</row>
    <row r="29" spans="3:24" x14ac:dyDescent="0.25">
      <c r="C29" s="6"/>
      <c r="L29" t="e">
        <f ca="1"/>
        <v>#NAME?</v>
      </c>
      <c r="M29" t="e">
        <f ca="1"/>
        <v>#NAME?</v>
      </c>
      <c r="S29" t="e">
        <f ca="1"/>
        <v>#NAME?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</row>
    <row r="30" spans="3:24" x14ac:dyDescent="0.25">
      <c r="C30" s="6"/>
      <c r="L30" t="e">
        <f ca="1"/>
        <v>#NAME?</v>
      </c>
      <c r="M30" t="e">
        <f ca="1"/>
        <v>#NAME?</v>
      </c>
      <c r="S30" t="e">
        <f ca="1"/>
        <v>#NAME?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</row>
    <row r="31" spans="3:24" x14ac:dyDescent="0.25">
      <c r="C31" s="6"/>
      <c r="L31" t="e">
        <f ca="1"/>
        <v>#NAME?</v>
      </c>
      <c r="M31" t="e">
        <f ca="1"/>
        <v>#NAME?</v>
      </c>
      <c r="S31" t="e">
        <f ca="1"/>
        <v>#NAME?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</row>
    <row r="32" spans="3:24" x14ac:dyDescent="0.25">
      <c r="C32" s="6"/>
      <c r="L32" t="e">
        <f ca="1"/>
        <v>#NAME?</v>
      </c>
      <c r="M32" t="e">
        <f ca="1"/>
        <v>#NAME?</v>
      </c>
      <c r="S32" t="e">
        <f ca="1"/>
        <v>#NAME?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</row>
    <row r="33" spans="3:24" x14ac:dyDescent="0.25">
      <c r="C33" s="6"/>
      <c r="L33" t="e">
        <f ca="1"/>
        <v>#NAME?</v>
      </c>
      <c r="M33" t="e">
        <f ca="1"/>
        <v>#NAME?</v>
      </c>
      <c r="S33" t="e">
        <f ca="1"/>
        <v>#NAME?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</row>
    <row r="34" spans="3:24" x14ac:dyDescent="0.25">
      <c r="C34" s="6"/>
      <c r="L34" t="e">
        <f ca="1"/>
        <v>#NAME?</v>
      </c>
      <c r="M34" t="e">
        <f ca="1"/>
        <v>#NAME?</v>
      </c>
      <c r="S34" t="e">
        <f ca="1"/>
        <v>#NAME?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</row>
    <row r="35" spans="3:24" x14ac:dyDescent="0.25">
      <c r="C35" s="6"/>
      <c r="L35" t="e">
        <f ca="1"/>
        <v>#NAME?</v>
      </c>
      <c r="M35" t="e">
        <f ca="1"/>
        <v>#NAME?</v>
      </c>
      <c r="S35" t="e">
        <f ca="1"/>
        <v>#NAME?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</row>
    <row r="36" spans="3:24" x14ac:dyDescent="0.25">
      <c r="C36" s="6"/>
      <c r="L36" t="e">
        <f ca="1"/>
        <v>#NAME?</v>
      </c>
      <c r="M36" t="e">
        <f ca="1"/>
        <v>#NAME?</v>
      </c>
      <c r="S36" t="e">
        <f ca="1"/>
        <v>#NAME?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</row>
    <row r="37" spans="3:24" x14ac:dyDescent="0.25">
      <c r="C37" s="6"/>
      <c r="L37" t="e">
        <f ca="1"/>
        <v>#NAME?</v>
      </c>
      <c r="M37" t="e">
        <f ca="1"/>
        <v>#NAME?</v>
      </c>
      <c r="S37" t="e">
        <f ca="1"/>
        <v>#NAME?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</row>
    <row r="38" spans="3:24" x14ac:dyDescent="0.25">
      <c r="C38" s="6"/>
      <c r="L38" t="e">
        <f ca="1"/>
        <v>#NAME?</v>
      </c>
      <c r="M38" t="e">
        <f ca="1"/>
        <v>#NAME?</v>
      </c>
      <c r="S38" t="e">
        <f ca="1"/>
        <v>#NAME?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</row>
    <row r="39" spans="3:24" x14ac:dyDescent="0.25">
      <c r="C39" s="6"/>
      <c r="L39" t="e">
        <f ca="1"/>
        <v>#NAME?</v>
      </c>
      <c r="M39" t="e">
        <f ca="1"/>
        <v>#NAME?</v>
      </c>
      <c r="S39" t="e">
        <f ca="1"/>
        <v>#NAME?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</row>
    <row r="40" spans="3:24" x14ac:dyDescent="0.25">
      <c r="C40" s="6"/>
      <c r="L40" t="e">
        <f ca="1"/>
        <v>#NAME?</v>
      </c>
      <c r="M40" t="e">
        <f ca="1"/>
        <v>#NAME?</v>
      </c>
      <c r="S40" t="e">
        <f ca="1"/>
        <v>#NAME?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</row>
    <row r="41" spans="3:24" x14ac:dyDescent="0.25">
      <c r="C41" s="6"/>
      <c r="L41" t="e">
        <f ca="1"/>
        <v>#NAME?</v>
      </c>
      <c r="M41" t="e">
        <f ca="1"/>
        <v>#NAME?</v>
      </c>
      <c r="S41" t="e">
        <f ca="1"/>
        <v>#NAME?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</row>
    <row r="42" spans="3:24" x14ac:dyDescent="0.25">
      <c r="C42" s="6"/>
      <c r="L42" t="e">
        <f ca="1"/>
        <v>#NAME?</v>
      </c>
      <c r="M42" t="e">
        <f ca="1"/>
        <v>#NAME?</v>
      </c>
      <c r="S42" t="e">
        <f ca="1"/>
        <v>#NAME?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</row>
    <row r="43" spans="3:24" x14ac:dyDescent="0.25">
      <c r="C43" s="6"/>
      <c r="L43" t="e">
        <f ca="1"/>
        <v>#NAME?</v>
      </c>
      <c r="M43" t="e">
        <f ca="1"/>
        <v>#NAME?</v>
      </c>
      <c r="S43" t="e">
        <f ca="1"/>
        <v>#NAME?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</row>
    <row r="44" spans="3:24" x14ac:dyDescent="0.25">
      <c r="C44" s="6"/>
      <c r="L44" t="e">
        <f ca="1"/>
        <v>#NAME?</v>
      </c>
      <c r="M44" t="e">
        <f ca="1"/>
        <v>#NAME?</v>
      </c>
      <c r="S44" t="e">
        <f ca="1"/>
        <v>#NAME?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</row>
    <row r="45" spans="3:24" x14ac:dyDescent="0.25">
      <c r="C45" s="78"/>
      <c r="L45" t="e">
        <f ca="1"/>
        <v>#NAME?</v>
      </c>
      <c r="M45" t="e">
        <f ca="1"/>
        <v>#NAME?</v>
      </c>
      <c r="S45" t="e">
        <f ca="1"/>
        <v>#NAME?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</row>
    <row r="46" spans="3:24" x14ac:dyDescent="0.25">
      <c r="C46" s="6"/>
      <c r="L46" t="e">
        <f ca="1"/>
        <v>#NAME?</v>
      </c>
      <c r="M46" t="e">
        <f ca="1"/>
        <v>#NAME?</v>
      </c>
      <c r="S46" t="e">
        <f ca="1"/>
        <v>#NAME?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</row>
    <row r="47" spans="3:24" x14ac:dyDescent="0.25">
      <c r="C47" s="6"/>
      <c r="L47" t="e">
        <f ca="1"/>
        <v>#NAME?</v>
      </c>
      <c r="M47" t="e">
        <f ca="1"/>
        <v>#NAME?</v>
      </c>
      <c r="S47" t="e">
        <f ca="1"/>
        <v>#NAME?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</row>
    <row r="48" spans="3:24" x14ac:dyDescent="0.25">
      <c r="C48" s="6"/>
      <c r="L48" t="e">
        <f ca="1"/>
        <v>#NAME?</v>
      </c>
      <c r="M48" t="e">
        <f ca="1"/>
        <v>#NAME?</v>
      </c>
      <c r="S48" t="e">
        <f ca="1"/>
        <v>#NAME?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</row>
    <row r="49" spans="3:24" x14ac:dyDescent="0.25">
      <c r="C49" s="6"/>
      <c r="L49" t="e">
        <f ca="1"/>
        <v>#NAME?</v>
      </c>
      <c r="M49" t="e">
        <f ca="1"/>
        <v>#NAME?</v>
      </c>
      <c r="S49" t="e">
        <f ca="1"/>
        <v>#NAME?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</row>
    <row r="50" spans="3:24" x14ac:dyDescent="0.25">
      <c r="C50" s="6"/>
      <c r="L50" t="e">
        <f ca="1"/>
        <v>#NAME?</v>
      </c>
      <c r="M50" t="e">
        <f ca="1"/>
        <v>#NAME?</v>
      </c>
      <c r="S50" t="e">
        <f ca="1"/>
        <v>#NAME?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</row>
    <row r="51" spans="3:24" x14ac:dyDescent="0.25">
      <c r="C51" s="6"/>
      <c r="L51" t="e">
        <f ca="1"/>
        <v>#NAME?</v>
      </c>
      <c r="M51" t="e">
        <f ca="1"/>
        <v>#NAME?</v>
      </c>
      <c r="S51" t="e">
        <f ca="1"/>
        <v>#NAME?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</row>
    <row r="52" spans="3:24" x14ac:dyDescent="0.25">
      <c r="C52" s="6"/>
      <c r="L52" t="e">
        <f ca="1"/>
        <v>#NAME?</v>
      </c>
      <c r="M52" t="e">
        <f ca="1"/>
        <v>#NAME?</v>
      </c>
      <c r="S52" t="e">
        <f ca="1"/>
        <v>#NAME?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</row>
    <row r="53" spans="3:24" x14ac:dyDescent="0.25">
      <c r="C53" s="6"/>
      <c r="L53" t="e">
        <f ca="1"/>
        <v>#NAME?</v>
      </c>
      <c r="M53" t="e">
        <f ca="1"/>
        <v>#NAME?</v>
      </c>
      <c r="S53" t="e">
        <f ca="1"/>
        <v>#NAME?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</row>
    <row r="54" spans="3:24" x14ac:dyDescent="0.25">
      <c r="C54" s="6"/>
      <c r="L54" t="e">
        <f ca="1"/>
        <v>#NAME?</v>
      </c>
      <c r="M54" t="e">
        <f ca="1"/>
        <v>#NAME?</v>
      </c>
      <c r="S54" t="e">
        <f ca="1"/>
        <v>#NAME?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</row>
    <row r="55" spans="3:24" x14ac:dyDescent="0.25">
      <c r="C55" s="6"/>
      <c r="L55" t="e">
        <f ca="1"/>
        <v>#NAME?</v>
      </c>
      <c r="M55" t="e">
        <f ca="1"/>
        <v>#NAME?</v>
      </c>
      <c r="S55" t="e">
        <f ca="1"/>
        <v>#NAME?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</row>
    <row r="56" spans="3:24" x14ac:dyDescent="0.25">
      <c r="C56" s="6"/>
      <c r="L56" t="e">
        <f ca="1"/>
        <v>#NAME?</v>
      </c>
      <c r="M56" t="e">
        <f ca="1"/>
        <v>#NAME?</v>
      </c>
      <c r="S56" t="e">
        <f ca="1"/>
        <v>#NAME?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</row>
    <row r="57" spans="3:24" x14ac:dyDescent="0.25">
      <c r="C57" s="6"/>
      <c r="L57" t="e">
        <f ca="1"/>
        <v>#NAME?</v>
      </c>
      <c r="M57" t="e">
        <f ca="1"/>
        <v>#NAME?</v>
      </c>
      <c r="S57" t="e">
        <f ca="1"/>
        <v>#NAME?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</row>
    <row r="58" spans="3:24" x14ac:dyDescent="0.25">
      <c r="C58" s="6"/>
      <c r="L58" t="e">
        <f ca="1"/>
        <v>#NAME?</v>
      </c>
      <c r="M58" t="e">
        <f ca="1"/>
        <v>#NAME?</v>
      </c>
      <c r="S58" t="e">
        <f ca="1"/>
        <v>#NAME?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</row>
    <row r="59" spans="3:24" x14ac:dyDescent="0.25">
      <c r="C59" s="6"/>
      <c r="L59" t="e">
        <f ca="1"/>
        <v>#NAME?</v>
      </c>
      <c r="M59" t="e">
        <f ca="1"/>
        <v>#NAME?</v>
      </c>
      <c r="S59" t="e">
        <f ca="1"/>
        <v>#NAME?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</row>
    <row r="60" spans="3:24" x14ac:dyDescent="0.25">
      <c r="C60" s="6"/>
      <c r="L60" t="e">
        <f ca="1"/>
        <v>#NAME?</v>
      </c>
      <c r="M60" t="e">
        <f ca="1"/>
        <v>#NAME?</v>
      </c>
      <c r="S60" t="e">
        <f ca="1"/>
        <v>#NAME?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</row>
    <row r="61" spans="3:24" x14ac:dyDescent="0.25">
      <c r="C61" s="6"/>
      <c r="L61" t="e">
        <f ca="1"/>
        <v>#NAME?</v>
      </c>
      <c r="M61" t="e">
        <f ca="1"/>
        <v>#NAME?</v>
      </c>
      <c r="S61" t="e">
        <f ca="1"/>
        <v>#NAME?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</row>
    <row r="62" spans="3:24" x14ac:dyDescent="0.25">
      <c r="C62" s="6"/>
      <c r="L62" t="e">
        <f ca="1"/>
        <v>#NAME?</v>
      </c>
      <c r="M62" t="e">
        <f ca="1"/>
        <v>#NAME?</v>
      </c>
      <c r="S62" t="e">
        <f ca="1"/>
        <v>#NAME?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</row>
    <row r="63" spans="3:24" x14ac:dyDescent="0.25">
      <c r="C63" s="6"/>
      <c r="L63" t="e">
        <f ca="1"/>
        <v>#NAME?</v>
      </c>
      <c r="M63" t="e">
        <f ca="1"/>
        <v>#NAME?</v>
      </c>
      <c r="S63" t="e">
        <f ca="1"/>
        <v>#NAME?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</row>
    <row r="64" spans="3:24" x14ac:dyDescent="0.25">
      <c r="C64" s="6"/>
      <c r="L64" t="e">
        <f ca="1"/>
        <v>#NAME?</v>
      </c>
      <c r="M64" t="e">
        <f ca="1"/>
        <v>#NAME?</v>
      </c>
      <c r="S64" t="e">
        <f ca="1"/>
        <v>#NAME?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</row>
    <row r="65" spans="3:24" x14ac:dyDescent="0.25">
      <c r="C65" s="6"/>
      <c r="L65" t="e">
        <f ca="1"/>
        <v>#NAME?</v>
      </c>
      <c r="M65" t="e">
        <f ca="1"/>
        <v>#NAME?</v>
      </c>
      <c r="S65" t="e">
        <f ca="1"/>
        <v>#NAME?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</row>
    <row r="66" spans="3:24" x14ac:dyDescent="0.25">
      <c r="C66" s="6"/>
      <c r="L66" t="e">
        <f ca="1"/>
        <v>#NAME?</v>
      </c>
      <c r="M66" t="e">
        <f ca="1"/>
        <v>#NAME?</v>
      </c>
      <c r="S66" t="e">
        <f ca="1"/>
        <v>#NAME?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</row>
    <row r="67" spans="3:24" x14ac:dyDescent="0.25">
      <c r="C67" s="6"/>
      <c r="L67" t="e">
        <f ca="1"/>
        <v>#NAME?</v>
      </c>
      <c r="M67" t="e">
        <f ca="1"/>
        <v>#NAME?</v>
      </c>
      <c r="S67" t="e">
        <f ca="1"/>
        <v>#NAME?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</row>
    <row r="68" spans="3:24" x14ac:dyDescent="0.25">
      <c r="C68" s="6"/>
      <c r="L68" t="e">
        <f ca="1"/>
        <v>#NAME?</v>
      </c>
      <c r="M68" t="e">
        <f ca="1"/>
        <v>#NAME?</v>
      </c>
      <c r="S68" t="e">
        <f ca="1"/>
        <v>#NAME?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</row>
    <row r="69" spans="3:24" x14ac:dyDescent="0.25">
      <c r="C69" s="6"/>
      <c r="L69" t="e">
        <f ca="1"/>
        <v>#NAME?</v>
      </c>
      <c r="M69" t="e">
        <f ca="1"/>
        <v>#NAME?</v>
      </c>
      <c r="S69" t="e">
        <f ca="1"/>
        <v>#NAME?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</row>
    <row r="70" spans="3:24" x14ac:dyDescent="0.25">
      <c r="C70" s="6"/>
      <c r="L70" t="e">
        <f ca="1"/>
        <v>#NAME?</v>
      </c>
      <c r="M70" t="e">
        <f ca="1"/>
        <v>#NAME?</v>
      </c>
      <c r="S70" t="e">
        <f ca="1"/>
        <v>#NAME?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</row>
    <row r="71" spans="3:24" x14ac:dyDescent="0.25">
      <c r="C71" s="6"/>
      <c r="L71" t="e">
        <f ca="1"/>
        <v>#NAME?</v>
      </c>
      <c r="M71" t="e">
        <f ca="1"/>
        <v>#NAME?</v>
      </c>
      <c r="S71" t="e">
        <f ca="1"/>
        <v>#NAME?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</row>
    <row r="72" spans="3:24" x14ac:dyDescent="0.25">
      <c r="C72" s="6"/>
      <c r="L72" t="e">
        <f ca="1"/>
        <v>#NAME?</v>
      </c>
      <c r="M72" t="e">
        <f ca="1"/>
        <v>#NAME?</v>
      </c>
      <c r="S72" t="e">
        <f ca="1"/>
        <v>#NAME?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</row>
    <row r="73" spans="3:24" x14ac:dyDescent="0.25">
      <c r="C73" s="6"/>
      <c r="L73" t="e">
        <f ca="1"/>
        <v>#NAME?</v>
      </c>
      <c r="M73" t="e">
        <f ca="1"/>
        <v>#NAME?</v>
      </c>
      <c r="S73" t="e">
        <f ca="1"/>
        <v>#NAME?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</row>
    <row r="74" spans="3:24" x14ac:dyDescent="0.25">
      <c r="C74" s="6"/>
      <c r="L74" t="e">
        <f ca="1"/>
        <v>#NAME?</v>
      </c>
      <c r="M74" t="e">
        <f ca="1"/>
        <v>#NAME?</v>
      </c>
      <c r="S74" t="e">
        <f ca="1"/>
        <v>#NAME?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</row>
    <row r="75" spans="3:24" x14ac:dyDescent="0.25">
      <c r="C75" s="6"/>
      <c r="L75" t="e">
        <f ca="1"/>
        <v>#NAME?</v>
      </c>
      <c r="M75" t="e">
        <f ca="1"/>
        <v>#NAME?</v>
      </c>
      <c r="S75" t="e">
        <f ca="1"/>
        <v>#NAME?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</row>
    <row r="76" spans="3:24" x14ac:dyDescent="0.25">
      <c r="C76" s="6"/>
      <c r="L76" t="e">
        <f ca="1"/>
        <v>#NAME?</v>
      </c>
      <c r="M76" t="e">
        <f ca="1"/>
        <v>#NAME?</v>
      </c>
      <c r="S76" t="e">
        <f ca="1"/>
        <v>#NAME?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</row>
    <row r="77" spans="3:24" x14ac:dyDescent="0.25">
      <c r="C77" s="6"/>
      <c r="L77" t="e">
        <f ca="1"/>
        <v>#NAME?</v>
      </c>
      <c r="M77" t="e">
        <f ca="1"/>
        <v>#NAME?</v>
      </c>
      <c r="S77" t="e">
        <f ca="1"/>
        <v>#NAME?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</row>
    <row r="78" spans="3:24" x14ac:dyDescent="0.25">
      <c r="C78" s="6"/>
      <c r="L78" t="e">
        <f ca="1"/>
        <v>#NAME?</v>
      </c>
      <c r="M78" t="e">
        <f ca="1"/>
        <v>#NAME?</v>
      </c>
      <c r="S78" t="e">
        <f ca="1"/>
        <v>#NAME?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</row>
    <row r="79" spans="3:24" x14ac:dyDescent="0.25">
      <c r="C79" s="6"/>
      <c r="L79" t="e">
        <f ca="1"/>
        <v>#NAME?</v>
      </c>
      <c r="M79" t="e">
        <f ca="1"/>
        <v>#NAME?</v>
      </c>
      <c r="S79" t="e">
        <f ca="1"/>
        <v>#NAME?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</row>
    <row r="80" spans="3:24" x14ac:dyDescent="0.25">
      <c r="C80" s="6"/>
      <c r="L80" t="e">
        <f ca="1"/>
        <v>#NAME?</v>
      </c>
      <c r="M80" t="e">
        <f ca="1"/>
        <v>#NAME?</v>
      </c>
      <c r="S80" t="e">
        <f ca="1"/>
        <v>#NAME?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</row>
    <row r="81" spans="3:24" x14ac:dyDescent="0.25">
      <c r="C81" s="6"/>
      <c r="L81" t="e">
        <f ca="1"/>
        <v>#NAME?</v>
      </c>
      <c r="M81" t="e">
        <f ca="1"/>
        <v>#NAME?</v>
      </c>
      <c r="S81" t="e">
        <f ca="1"/>
        <v>#NAME?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</row>
    <row r="82" spans="3:24" x14ac:dyDescent="0.25">
      <c r="C82" s="6"/>
      <c r="L82" t="e">
        <f ca="1"/>
        <v>#NAME?</v>
      </c>
      <c r="M82" t="e">
        <f ca="1"/>
        <v>#NAME?</v>
      </c>
      <c r="S82" t="e">
        <f ca="1"/>
        <v>#NAME?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</row>
    <row r="83" spans="3:24" x14ac:dyDescent="0.25">
      <c r="C83" s="6"/>
      <c r="L83" t="e">
        <f ca="1"/>
        <v>#NAME?</v>
      </c>
      <c r="M83" t="e">
        <f ca="1"/>
        <v>#NAME?</v>
      </c>
      <c r="S83" t="e">
        <f ca="1"/>
        <v>#NAME?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</row>
    <row r="84" spans="3:24" x14ac:dyDescent="0.25">
      <c r="C84" s="6"/>
      <c r="L84" t="e">
        <f ca="1"/>
        <v>#NAME?</v>
      </c>
      <c r="M84" t="e">
        <f ca="1"/>
        <v>#NAME?</v>
      </c>
      <c r="S84" t="e">
        <f ca="1"/>
        <v>#NAME?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</row>
    <row r="85" spans="3:24" x14ac:dyDescent="0.25">
      <c r="C85" s="6"/>
      <c r="L85" t="e">
        <f ca="1"/>
        <v>#NAME?</v>
      </c>
      <c r="M85" t="e">
        <f ca="1"/>
        <v>#NAME?</v>
      </c>
      <c r="S85" t="e">
        <f ca="1"/>
        <v>#NAME?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</row>
    <row r="86" spans="3:24" x14ac:dyDescent="0.25">
      <c r="C86" s="6"/>
      <c r="L86" t="e">
        <f ca="1"/>
        <v>#NAME?</v>
      </c>
      <c r="M86" t="e">
        <f ca="1"/>
        <v>#NAME?</v>
      </c>
      <c r="S86" t="e">
        <f ca="1"/>
        <v>#NAME?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</row>
    <row r="87" spans="3:24" x14ac:dyDescent="0.25">
      <c r="C87" s="6"/>
      <c r="L87" t="e">
        <f ca="1"/>
        <v>#NAME?</v>
      </c>
      <c r="M87" t="e">
        <f ca="1"/>
        <v>#NAME?</v>
      </c>
      <c r="S87" t="e">
        <f ca="1"/>
        <v>#NAME?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</row>
    <row r="88" spans="3:24" x14ac:dyDescent="0.25">
      <c r="C88" s="6"/>
      <c r="L88" t="e">
        <f ca="1"/>
        <v>#NAME?</v>
      </c>
      <c r="M88" t="e">
        <f ca="1"/>
        <v>#NAME?</v>
      </c>
      <c r="S88" t="e">
        <f ca="1"/>
        <v>#NAME?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</row>
    <row r="89" spans="3:24" x14ac:dyDescent="0.25">
      <c r="C89" s="6"/>
      <c r="L89" t="e">
        <f ca="1"/>
        <v>#NAME?</v>
      </c>
      <c r="M89" t="e">
        <f ca="1"/>
        <v>#NAME?</v>
      </c>
      <c r="S89" t="e">
        <f ca="1"/>
        <v>#NAME?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</row>
    <row r="90" spans="3:24" x14ac:dyDescent="0.25">
      <c r="C90" s="6"/>
      <c r="L90" t="e">
        <f ca="1"/>
        <v>#NAME?</v>
      </c>
      <c r="M90" t="e">
        <f ca="1"/>
        <v>#NAME?</v>
      </c>
      <c r="S90" t="e">
        <f ca="1"/>
        <v>#NAME?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</row>
    <row r="91" spans="3:24" x14ac:dyDescent="0.25">
      <c r="C91" s="6"/>
      <c r="L91" t="e">
        <f ca="1"/>
        <v>#NAME?</v>
      </c>
      <c r="M91" t="e">
        <f ca="1"/>
        <v>#NAME?</v>
      </c>
      <c r="S91" t="e">
        <f ca="1"/>
        <v>#NAME?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</row>
    <row r="92" spans="3:24" x14ac:dyDescent="0.25">
      <c r="C92" s="6"/>
      <c r="L92" t="e">
        <f ca="1"/>
        <v>#NAME?</v>
      </c>
      <c r="M92" t="e">
        <f ca="1"/>
        <v>#NAME?</v>
      </c>
      <c r="S92" t="e">
        <f ca="1"/>
        <v>#NAME?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</row>
    <row r="93" spans="3:24" x14ac:dyDescent="0.25">
      <c r="C93" s="6"/>
      <c r="L93" t="e">
        <f ca="1"/>
        <v>#NAME?</v>
      </c>
      <c r="M93" t="e">
        <f ca="1"/>
        <v>#NAME?</v>
      </c>
      <c r="S93" t="e">
        <f ca="1"/>
        <v>#NAME?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</row>
    <row r="94" spans="3:24" x14ac:dyDescent="0.25">
      <c r="C94" s="6"/>
      <c r="L94" t="e">
        <f ca="1"/>
        <v>#NAME?</v>
      </c>
      <c r="M94" t="e">
        <f ca="1"/>
        <v>#NAME?</v>
      </c>
      <c r="S94" t="e">
        <f ca="1"/>
        <v>#NAME?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</row>
    <row r="95" spans="3:24" x14ac:dyDescent="0.25">
      <c r="C95" s="6"/>
      <c r="L95" t="e">
        <f ca="1"/>
        <v>#NAME?</v>
      </c>
      <c r="M95" t="e">
        <f ca="1"/>
        <v>#NAME?</v>
      </c>
      <c r="S95" t="e">
        <f ca="1"/>
        <v>#NAME?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</row>
    <row r="96" spans="3:24" x14ac:dyDescent="0.25">
      <c r="C96" s="6"/>
      <c r="L96" t="e">
        <f ca="1"/>
        <v>#NAME?</v>
      </c>
      <c r="M96" t="e">
        <f ca="1"/>
        <v>#NAME?</v>
      </c>
      <c r="S96" t="e">
        <f ca="1"/>
        <v>#NAME?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</row>
    <row r="97" spans="3:24" x14ac:dyDescent="0.25">
      <c r="C97" s="6"/>
      <c r="L97" t="e">
        <f ca="1"/>
        <v>#NAME?</v>
      </c>
      <c r="M97" t="e">
        <f ca="1"/>
        <v>#NAME?</v>
      </c>
      <c r="S97" t="e">
        <f ca="1"/>
        <v>#NAME?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</row>
    <row r="98" spans="3:24" x14ac:dyDescent="0.25">
      <c r="C98" s="6"/>
      <c r="L98" t="e">
        <f ca="1"/>
        <v>#NAME?</v>
      </c>
      <c r="M98" t="e">
        <f ca="1"/>
        <v>#NAME?</v>
      </c>
      <c r="S98" t="e">
        <f ca="1"/>
        <v>#NAME?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</row>
    <row r="99" spans="3:24" x14ac:dyDescent="0.25">
      <c r="C99" s="6"/>
      <c r="L99" t="e">
        <f ca="1"/>
        <v>#NAME?</v>
      </c>
      <c r="M99" t="e">
        <f ca="1"/>
        <v>#NAME?</v>
      </c>
      <c r="S99" t="e">
        <f ca="1"/>
        <v>#NAME?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</row>
    <row r="100" spans="3:24" x14ac:dyDescent="0.25">
      <c r="C100" s="6"/>
      <c r="L100" t="e">
        <f ca="1"/>
        <v>#NAME?</v>
      </c>
      <c r="M100" t="e">
        <f ca="1"/>
        <v>#NAME?</v>
      </c>
      <c r="S100" t="e">
        <f ca="1"/>
        <v>#NAME?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</row>
    <row r="101" spans="3:24" x14ac:dyDescent="0.25">
      <c r="C101" s="6"/>
      <c r="L101" t="e">
        <f ca="1"/>
        <v>#NAME?</v>
      </c>
      <c r="M101" t="e">
        <f ca="1"/>
        <v>#NAME?</v>
      </c>
      <c r="S101" t="e">
        <f ca="1"/>
        <v>#NAME?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</row>
    <row r="102" spans="3:24" x14ac:dyDescent="0.25">
      <c r="C102" s="6"/>
      <c r="L102" t="e">
        <f ca="1"/>
        <v>#NAME?</v>
      </c>
      <c r="M102" t="e">
        <f ca="1"/>
        <v>#NAME?</v>
      </c>
      <c r="S102" t="e">
        <f ca="1"/>
        <v>#NAME?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</row>
    <row r="103" spans="3:24" x14ac:dyDescent="0.25">
      <c r="C103" s="6"/>
      <c r="L103" t="e">
        <f ca="1"/>
        <v>#NAME?</v>
      </c>
      <c r="M103" t="e">
        <f ca="1"/>
        <v>#NAME?</v>
      </c>
      <c r="S103" t="e">
        <f ca="1"/>
        <v>#NAME?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</row>
    <row r="104" spans="3:24" x14ac:dyDescent="0.25">
      <c r="C104" s="6"/>
      <c r="L104" t="e">
        <f ca="1"/>
        <v>#NAME?</v>
      </c>
      <c r="M104" t="e">
        <f ca="1"/>
        <v>#NAME?</v>
      </c>
      <c r="S104" t="e">
        <f ca="1"/>
        <v>#NAME?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</row>
    <row r="105" spans="3:24" x14ac:dyDescent="0.25">
      <c r="C105" s="6"/>
      <c r="L105" t="e">
        <f ca="1"/>
        <v>#NAME?</v>
      </c>
      <c r="M105" t="e">
        <f ca="1"/>
        <v>#NAME?</v>
      </c>
      <c r="S105" t="e">
        <f ca="1"/>
        <v>#NAME?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</row>
    <row r="106" spans="3:24" x14ac:dyDescent="0.25">
      <c r="C106" s="6"/>
      <c r="L106" t="e">
        <f ca="1"/>
        <v>#NAME?</v>
      </c>
      <c r="M106" t="e">
        <f ca="1"/>
        <v>#NAME?</v>
      </c>
      <c r="S106" t="e">
        <f ca="1"/>
        <v>#NAME?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</row>
    <row r="107" spans="3:24" x14ac:dyDescent="0.25">
      <c r="C107" s="6"/>
      <c r="L107" t="e">
        <f ca="1"/>
        <v>#NAME?</v>
      </c>
      <c r="M107" t="e">
        <f ca="1"/>
        <v>#NAME?</v>
      </c>
      <c r="S107" t="e">
        <f ca="1"/>
        <v>#NAME?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</row>
    <row r="108" spans="3:24" x14ac:dyDescent="0.25">
      <c r="C108" s="6"/>
      <c r="L108" t="e">
        <f ca="1"/>
        <v>#NAME?</v>
      </c>
      <c r="M108" t="e">
        <f ca="1"/>
        <v>#NAME?</v>
      </c>
      <c r="S108" t="e">
        <f ca="1"/>
        <v>#NAME?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</row>
    <row r="109" spans="3:24" x14ac:dyDescent="0.25">
      <c r="C109" s="6"/>
      <c r="L109" t="e">
        <f ca="1"/>
        <v>#NAME?</v>
      </c>
      <c r="M109" t="e">
        <f ca="1"/>
        <v>#NAME?</v>
      </c>
      <c r="S109" t="e">
        <f ca="1"/>
        <v>#NAME?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</row>
    <row r="110" spans="3:24" x14ac:dyDescent="0.25">
      <c r="C110" s="6"/>
      <c r="L110" t="e">
        <f ca="1"/>
        <v>#NAME?</v>
      </c>
      <c r="M110" t="e">
        <f ca="1"/>
        <v>#NAME?</v>
      </c>
      <c r="S110" t="e">
        <f ca="1"/>
        <v>#NAME?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</row>
    <row r="111" spans="3:24" x14ac:dyDescent="0.25">
      <c r="C111" s="6"/>
      <c r="L111" t="e">
        <f ca="1"/>
        <v>#NAME?</v>
      </c>
      <c r="M111" t="e">
        <f ca="1"/>
        <v>#NAME?</v>
      </c>
      <c r="S111" t="e">
        <f ca="1"/>
        <v>#NAME?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</row>
    <row r="112" spans="3:24" x14ac:dyDescent="0.25">
      <c r="L112" t="e">
        <f ca="1"/>
        <v>#NAME?</v>
      </c>
      <c r="M112" t="e">
        <f ca="1"/>
        <v>#NAME?</v>
      </c>
      <c r="S112" t="e">
        <f ca="1"/>
        <v>#NAME?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</row>
    <row r="113" spans="12:24" x14ac:dyDescent="0.25">
      <c r="L113" t="e">
        <f ca="1"/>
        <v>#NAME?</v>
      </c>
      <c r="M113" t="e">
        <f ca="1"/>
        <v>#NAME?</v>
      </c>
      <c r="S113" t="e">
        <f ca="1"/>
        <v>#NAME?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</row>
    <row r="114" spans="12:24" x14ac:dyDescent="0.25">
      <c r="L114" t="e">
        <f ca="1"/>
        <v>#NAME?</v>
      </c>
      <c r="M114" t="e">
        <f ca="1"/>
        <v>#NAME?</v>
      </c>
      <c r="S114" t="e">
        <f ca="1"/>
        <v>#NAME?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</row>
    <row r="115" spans="12:24" x14ac:dyDescent="0.25">
      <c r="L115" t="e">
        <f ca="1"/>
        <v>#NAME?</v>
      </c>
      <c r="M115" t="e">
        <f ca="1"/>
        <v>#NAME?</v>
      </c>
      <c r="S115" t="e">
        <f ca="1"/>
        <v>#NAME?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</row>
    <row r="116" spans="12:24" x14ac:dyDescent="0.25">
      <c r="L116" t="e">
        <f ca="1"/>
        <v>#NAME?</v>
      </c>
      <c r="M116" t="e">
        <f ca="1"/>
        <v>#NAME?</v>
      </c>
      <c r="S116" t="e">
        <f ca="1"/>
        <v>#NAME?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</row>
    <row r="117" spans="12:24" x14ac:dyDescent="0.25">
      <c r="L117" t="e">
        <f ca="1"/>
        <v>#NAME?</v>
      </c>
      <c r="M117" t="e">
        <f ca="1"/>
        <v>#NAME?</v>
      </c>
      <c r="S117" t="e">
        <f ca="1"/>
        <v>#NAME?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</row>
    <row r="118" spans="12:24" x14ac:dyDescent="0.25">
      <c r="L118" t="e">
        <f ca="1"/>
        <v>#NAME?</v>
      </c>
      <c r="M118" t="e">
        <f ca="1"/>
        <v>#NAME?</v>
      </c>
      <c r="S118" t="e">
        <f ca="1"/>
        <v>#NAME?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</row>
    <row r="119" spans="12:24" x14ac:dyDescent="0.25">
      <c r="L119" t="e">
        <f ca="1"/>
        <v>#NAME?</v>
      </c>
      <c r="M119" t="e">
        <f ca="1"/>
        <v>#NAME?</v>
      </c>
      <c r="S119" t="e">
        <f ca="1"/>
        <v>#NAME?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</row>
    <row r="120" spans="12:24" x14ac:dyDescent="0.25">
      <c r="L120" t="e">
        <f ca="1"/>
        <v>#NAME?</v>
      </c>
      <c r="M120" t="e">
        <f ca="1"/>
        <v>#NAME?</v>
      </c>
      <c r="S120" t="e">
        <f ca="1"/>
        <v>#NAME?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</row>
    <row r="121" spans="12:24" x14ac:dyDescent="0.25">
      <c r="L121" t="e">
        <f ca="1"/>
        <v>#NAME?</v>
      </c>
      <c r="M121" t="e">
        <f ca="1"/>
        <v>#NAME?</v>
      </c>
      <c r="S121" t="e">
        <f ca="1"/>
        <v>#NAME?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</row>
    <row r="122" spans="12:24" x14ac:dyDescent="0.25">
      <c r="L122" t="e">
        <f ca="1"/>
        <v>#NAME?</v>
      </c>
      <c r="M122" t="e">
        <f ca="1"/>
        <v>#NAME?</v>
      </c>
      <c r="S122" t="e">
        <f ca="1"/>
        <v>#NAME?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</row>
    <row r="123" spans="12:24" x14ac:dyDescent="0.25">
      <c r="L123" t="e">
        <f ca="1"/>
        <v>#NAME?</v>
      </c>
      <c r="M123" t="e">
        <f ca="1"/>
        <v>#NAME?</v>
      </c>
      <c r="S123" t="e">
        <f ca="1"/>
        <v>#NAME?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</row>
    <row r="124" spans="12:24" x14ac:dyDescent="0.25">
      <c r="L124" t="e">
        <f ca="1"/>
        <v>#NAME?</v>
      </c>
      <c r="M124" t="e">
        <f ca="1"/>
        <v>#NAME?</v>
      </c>
      <c r="S124" t="e">
        <f ca="1"/>
        <v>#NAME?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</row>
    <row r="125" spans="12:24" x14ac:dyDescent="0.25">
      <c r="L125" t="e">
        <f ca="1"/>
        <v>#NAME?</v>
      </c>
      <c r="M125" t="e">
        <f ca="1"/>
        <v>#NAME?</v>
      </c>
      <c r="S125" t="e">
        <f ca="1"/>
        <v>#NAME?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</row>
    <row r="126" spans="12:24" x14ac:dyDescent="0.25">
      <c r="L126" t="e">
        <f ca="1"/>
        <v>#NAME?</v>
      </c>
      <c r="M126" t="e">
        <f ca="1"/>
        <v>#NAME?</v>
      </c>
      <c r="S126" t="e">
        <f ca="1"/>
        <v>#NAME?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</row>
    <row r="127" spans="12:24" x14ac:dyDescent="0.25">
      <c r="L127" t="e">
        <f ca="1"/>
        <v>#NAME?</v>
      </c>
      <c r="M127" t="e">
        <f ca="1"/>
        <v>#NAME?</v>
      </c>
      <c r="S127" t="e">
        <f ca="1"/>
        <v>#NAME?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</row>
    <row r="128" spans="12:24" x14ac:dyDescent="0.25">
      <c r="L128" t="e">
        <f ca="1"/>
        <v>#NAME?</v>
      </c>
      <c r="M128" t="e">
        <f ca="1"/>
        <v>#NAME?</v>
      </c>
      <c r="S128" t="e">
        <f ca="1"/>
        <v>#NAME?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</row>
    <row r="129" spans="12:24" x14ac:dyDescent="0.25">
      <c r="L129" t="e">
        <f ca="1"/>
        <v>#NAME?</v>
      </c>
      <c r="M129" t="e">
        <f ca="1"/>
        <v>#NAME?</v>
      </c>
      <c r="S129" t="e">
        <f ca="1"/>
        <v>#NAME?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</row>
    <row r="130" spans="12:24" x14ac:dyDescent="0.25">
      <c r="L130" t="e">
        <f ca="1"/>
        <v>#NAME?</v>
      </c>
      <c r="M130" t="e">
        <f ca="1"/>
        <v>#NAME?</v>
      </c>
      <c r="S130" t="e">
        <f ca="1"/>
        <v>#NAME?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</row>
    <row r="131" spans="12:24" x14ac:dyDescent="0.25">
      <c r="L131" t="e">
        <f ca="1"/>
        <v>#NAME?</v>
      </c>
      <c r="M131" t="e">
        <f ca="1"/>
        <v>#NAME?</v>
      </c>
      <c r="S131" t="e">
        <f ca="1"/>
        <v>#NAME?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</row>
    <row r="132" spans="12:24" x14ac:dyDescent="0.25">
      <c r="L132" t="e">
        <f ca="1"/>
        <v>#NAME?</v>
      </c>
      <c r="M132" t="e">
        <f ca="1"/>
        <v>#NAME?</v>
      </c>
      <c r="S132" t="e">
        <f ca="1"/>
        <v>#NAME?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</row>
    <row r="133" spans="12:24" x14ac:dyDescent="0.25">
      <c r="L133" t="e">
        <f ca="1"/>
        <v>#NAME?</v>
      </c>
      <c r="M133" t="e">
        <f ca="1"/>
        <v>#NAME?</v>
      </c>
      <c r="S133" t="e">
        <f ca="1"/>
        <v>#NAME?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</row>
    <row r="134" spans="12:24" x14ac:dyDescent="0.25">
      <c r="L134" t="e">
        <f ca="1"/>
        <v>#NAME?</v>
      </c>
      <c r="M134" t="e">
        <f ca="1"/>
        <v>#NAME?</v>
      </c>
      <c r="S134" t="e">
        <f ca="1"/>
        <v>#NAME?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</row>
    <row r="135" spans="12:24" x14ac:dyDescent="0.25">
      <c r="L135" t="e">
        <f ca="1"/>
        <v>#NAME?</v>
      </c>
      <c r="M135" t="e">
        <f ca="1"/>
        <v>#NAME?</v>
      </c>
      <c r="S135" t="e">
        <f ca="1"/>
        <v>#NAME?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</row>
    <row r="136" spans="12:24" x14ac:dyDescent="0.25">
      <c r="L136" t="e">
        <f ca="1"/>
        <v>#NAME?</v>
      </c>
      <c r="M136" t="e">
        <f ca="1"/>
        <v>#NAME?</v>
      </c>
      <c r="S136" t="e">
        <f ca="1"/>
        <v>#NAME?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</row>
    <row r="137" spans="12:24" x14ac:dyDescent="0.25">
      <c r="L137" t="e">
        <f ca="1"/>
        <v>#NAME?</v>
      </c>
      <c r="M137" t="e">
        <f ca="1"/>
        <v>#NAME?</v>
      </c>
      <c r="S137" t="e">
        <f ca="1"/>
        <v>#NAME?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</row>
    <row r="138" spans="12:24" x14ac:dyDescent="0.25">
      <c r="L138" t="e">
        <f ca="1"/>
        <v>#NAME?</v>
      </c>
      <c r="M138" t="e">
        <f ca="1"/>
        <v>#NAME?</v>
      </c>
      <c r="S138" t="e">
        <f ca="1"/>
        <v>#NAME?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</row>
    <row r="139" spans="12:24" x14ac:dyDescent="0.25">
      <c r="L139" t="e">
        <f ca="1"/>
        <v>#NAME?</v>
      </c>
      <c r="M139" t="e">
        <f ca="1"/>
        <v>#NAME?</v>
      </c>
      <c r="S139" t="e">
        <f ca="1"/>
        <v>#NAME?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</row>
    <row r="140" spans="12:24" x14ac:dyDescent="0.25">
      <c r="L140" t="e">
        <f ca="1"/>
        <v>#NAME?</v>
      </c>
      <c r="M140" t="e">
        <f ca="1"/>
        <v>#NAME?</v>
      </c>
      <c r="S140" t="e">
        <f ca="1"/>
        <v>#NAME?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</row>
    <row r="141" spans="12:24" x14ac:dyDescent="0.25">
      <c r="L141" t="e">
        <f ca="1"/>
        <v>#NAME?</v>
      </c>
      <c r="M141" t="e">
        <f ca="1"/>
        <v>#NAME?</v>
      </c>
      <c r="S141" t="e">
        <f ca="1"/>
        <v>#NAME?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</row>
    <row r="142" spans="12:24" x14ac:dyDescent="0.25">
      <c r="L142" t="e">
        <f ca="1"/>
        <v>#NAME?</v>
      </c>
      <c r="M142" t="e">
        <f ca="1"/>
        <v>#NAME?</v>
      </c>
      <c r="S142" t="e">
        <f ca="1"/>
        <v>#NAME?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</row>
    <row r="143" spans="12:24" x14ac:dyDescent="0.25">
      <c r="L143" t="e">
        <f ca="1"/>
        <v>#NAME?</v>
      </c>
      <c r="M143" t="e">
        <f ca="1"/>
        <v>#NAME?</v>
      </c>
      <c r="S143" t="e">
        <f ca="1"/>
        <v>#NAME?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</row>
    <row r="144" spans="12:24" x14ac:dyDescent="0.25">
      <c r="L144" t="e">
        <f ca="1"/>
        <v>#NAME?</v>
      </c>
      <c r="M144" t="e">
        <f ca="1"/>
        <v>#NAME?</v>
      </c>
      <c r="S144" t="e">
        <f ca="1"/>
        <v>#NAME?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</row>
    <row r="145" spans="12:24" x14ac:dyDescent="0.25">
      <c r="L145" t="e">
        <f ca="1"/>
        <v>#NAME?</v>
      </c>
      <c r="M145" t="e">
        <f ca="1"/>
        <v>#NAME?</v>
      </c>
      <c r="S145" t="e">
        <f ca="1"/>
        <v>#NAME?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</row>
    <row r="146" spans="12:24" x14ac:dyDescent="0.25">
      <c r="L146" t="e">
        <f ca="1"/>
        <v>#NAME?</v>
      </c>
      <c r="M146" t="e">
        <f ca="1"/>
        <v>#NAME?</v>
      </c>
      <c r="S146" t="e">
        <f ca="1"/>
        <v>#NAME?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</row>
    <row r="147" spans="12:24" x14ac:dyDescent="0.25">
      <c r="L147" t="e">
        <f ca="1"/>
        <v>#NAME?</v>
      </c>
      <c r="M147" t="e">
        <f ca="1"/>
        <v>#NAME?</v>
      </c>
      <c r="S147" t="e">
        <f ca="1"/>
        <v>#NAME?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</row>
    <row r="148" spans="12:24" x14ac:dyDescent="0.25">
      <c r="L148" t="e">
        <f ca="1"/>
        <v>#NAME?</v>
      </c>
      <c r="M148" t="e">
        <f ca="1"/>
        <v>#NAME?</v>
      </c>
      <c r="S148" t="e">
        <f ca="1"/>
        <v>#NAME?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</row>
    <row r="149" spans="12:24" x14ac:dyDescent="0.25">
      <c r="L149" t="e">
        <f ca="1"/>
        <v>#NAME?</v>
      </c>
      <c r="M149" t="e">
        <f ca="1"/>
        <v>#NAME?</v>
      </c>
      <c r="S149" t="e">
        <f ca="1"/>
        <v>#NAME?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</row>
    <row r="150" spans="12:24" x14ac:dyDescent="0.25">
      <c r="L150" t="e">
        <f ca="1"/>
        <v>#NAME?</v>
      </c>
      <c r="M150" t="e">
        <f ca="1"/>
        <v>#NAME?</v>
      </c>
      <c r="S150" t="e">
        <f ca="1"/>
        <v>#NAME?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</row>
    <row r="151" spans="12:24" x14ac:dyDescent="0.25">
      <c r="L151" t="e">
        <f ca="1"/>
        <v>#NAME?</v>
      </c>
      <c r="M151" t="e">
        <f ca="1"/>
        <v>#NAME?</v>
      </c>
      <c r="S151" t="e">
        <f ca="1"/>
        <v>#NAME?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</row>
    <row r="152" spans="12:24" x14ac:dyDescent="0.25">
      <c r="L152" t="e">
        <f ca="1"/>
        <v>#NAME?</v>
      </c>
      <c r="M152" t="e">
        <f ca="1"/>
        <v>#NAME?</v>
      </c>
      <c r="S152" t="e">
        <f ca="1"/>
        <v>#NAME?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</row>
    <row r="153" spans="12:24" x14ac:dyDescent="0.25">
      <c r="L153" t="e">
        <f ca="1"/>
        <v>#NAME?</v>
      </c>
      <c r="M153" t="e">
        <f ca="1"/>
        <v>#NAME?</v>
      </c>
      <c r="S153" t="e">
        <f ca="1"/>
        <v>#NAME?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</row>
    <row r="154" spans="12:24" x14ac:dyDescent="0.25">
      <c r="L154" t="e">
        <f ca="1"/>
        <v>#NAME?</v>
      </c>
      <c r="M154" t="e">
        <f ca="1"/>
        <v>#NAME?</v>
      </c>
      <c r="S154" t="e">
        <f ca="1"/>
        <v>#NAME?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</row>
    <row r="155" spans="12:24" x14ac:dyDescent="0.25">
      <c r="L155" t="e">
        <f ca="1"/>
        <v>#NAME?</v>
      </c>
      <c r="M155" t="e">
        <f ca="1"/>
        <v>#NAME?</v>
      </c>
      <c r="S155" t="e">
        <f ca="1"/>
        <v>#NAME?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</row>
    <row r="156" spans="12:24" x14ac:dyDescent="0.25">
      <c r="L156" t="e">
        <f ca="1"/>
        <v>#NAME?</v>
      </c>
      <c r="M156" t="e">
        <f ca="1"/>
        <v>#NAME?</v>
      </c>
      <c r="S156" t="e">
        <f ca="1"/>
        <v>#NAME?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</row>
    <row r="157" spans="12:24" x14ac:dyDescent="0.25">
      <c r="L157" t="e">
        <f ca="1"/>
        <v>#NAME?</v>
      </c>
      <c r="M157" t="e">
        <f ca="1"/>
        <v>#NAME?</v>
      </c>
      <c r="S157" t="e">
        <f ca="1"/>
        <v>#NAME?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</row>
    <row r="158" spans="12:24" x14ac:dyDescent="0.25">
      <c r="L158" t="e">
        <f ca="1"/>
        <v>#NAME?</v>
      </c>
      <c r="M158" t="e">
        <f ca="1"/>
        <v>#NAME?</v>
      </c>
      <c r="S158" t="e">
        <f ca="1"/>
        <v>#NAME?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</row>
    <row r="159" spans="12:24" x14ac:dyDescent="0.25">
      <c r="L159" t="e">
        <f ca="1"/>
        <v>#NAME?</v>
      </c>
      <c r="M159" t="e">
        <f ca="1"/>
        <v>#NAME?</v>
      </c>
      <c r="S159" t="e">
        <f ca="1"/>
        <v>#NAME?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</row>
    <row r="160" spans="12:24" x14ac:dyDescent="0.25">
      <c r="L160" t="e">
        <f ca="1"/>
        <v>#NAME?</v>
      </c>
      <c r="M160" t="e">
        <f ca="1"/>
        <v>#NAME?</v>
      </c>
      <c r="S160" t="e">
        <f ca="1"/>
        <v>#NAME?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</row>
    <row r="161" spans="2:24" x14ac:dyDescent="0.25">
      <c r="L161" t="e">
        <f ca="1"/>
        <v>#NAME?</v>
      </c>
      <c r="M161" t="e">
        <f ca="1"/>
        <v>#NAME?</v>
      </c>
      <c r="S161" t="e">
        <f ca="1"/>
        <v>#NAME?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</row>
    <row r="162" spans="2:24" x14ac:dyDescent="0.25">
      <c r="L162" t="e">
        <f ca="1"/>
        <v>#NAME?</v>
      </c>
      <c r="M162" t="e">
        <f ca="1"/>
        <v>#NAME?</v>
      </c>
      <c r="S162" t="e">
        <f ca="1"/>
        <v>#NAME?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</row>
    <row r="163" spans="2:24" x14ac:dyDescent="0.25">
      <c r="L163" t="e">
        <f ca="1"/>
        <v>#NAME?</v>
      </c>
      <c r="M163" t="e">
        <f ca="1"/>
        <v>#NAME?</v>
      </c>
      <c r="S163" t="e">
        <f ca="1"/>
        <v>#NAME?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</row>
    <row r="164" spans="2:24" x14ac:dyDescent="0.25">
      <c r="L164" t="e">
        <f ca="1"/>
        <v>#NAME?</v>
      </c>
      <c r="M164" t="e">
        <f ca="1"/>
        <v>#NAME?</v>
      </c>
      <c r="S164" t="e">
        <f ca="1"/>
        <v>#NAME?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</row>
    <row r="165" spans="2:24" x14ac:dyDescent="0.25">
      <c r="L165" t="e">
        <f ca="1"/>
        <v>#NAME?</v>
      </c>
      <c r="M165" t="e">
        <f ca="1"/>
        <v>#NAME?</v>
      </c>
      <c r="S165" t="e">
        <f ca="1"/>
        <v>#NAME?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</row>
    <row r="166" spans="2:24" x14ac:dyDescent="0.25">
      <c r="L166" t="e">
        <f ca="1"/>
        <v>#NAME?</v>
      </c>
      <c r="M166" t="e">
        <f ca="1"/>
        <v>#NAME?</v>
      </c>
      <c r="S166" t="e">
        <f ca="1"/>
        <v>#NAME?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</row>
    <row r="167" spans="2:24" x14ac:dyDescent="0.25">
      <c r="L167" t="e">
        <f ca="1"/>
        <v>#NAME?</v>
      </c>
      <c r="M167" t="e">
        <f ca="1"/>
        <v>#NAME?</v>
      </c>
      <c r="S167" t="e">
        <f ca="1"/>
        <v>#NAME?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</row>
    <row r="168" spans="2:24" x14ac:dyDescent="0.25">
      <c r="L168" t="e">
        <f ca="1"/>
        <v>#NAME?</v>
      </c>
      <c r="M168" t="e">
        <f ca="1"/>
        <v>#NAME?</v>
      </c>
      <c r="S168" t="e">
        <f ca="1"/>
        <v>#NAME?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</row>
    <row r="169" spans="2:24" x14ac:dyDescent="0.25">
      <c r="L169" t="e">
        <f ca="1"/>
        <v>#NAME?</v>
      </c>
      <c r="M169" t="e">
        <f ca="1"/>
        <v>#NAME?</v>
      </c>
      <c r="S169" t="e">
        <f ca="1"/>
        <v>#NAME?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</row>
    <row r="170" spans="2:24" x14ac:dyDescent="0.25">
      <c r="L170" t="e">
        <f ca="1"/>
        <v>#NAME?</v>
      </c>
      <c r="M170" t="e">
        <f ca="1"/>
        <v>#NAME?</v>
      </c>
      <c r="S170" t="e">
        <f ca="1"/>
        <v>#NAME?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</row>
    <row r="171" spans="2:24" x14ac:dyDescent="0.25">
      <c r="L171" t="e">
        <f ca="1"/>
        <v>#NAME?</v>
      </c>
      <c r="M171" t="e">
        <f ca="1"/>
        <v>#NAME?</v>
      </c>
      <c r="S171" t="e">
        <f ca="1"/>
        <v>#NAME?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</row>
    <row r="172" spans="2:24" x14ac:dyDescent="0.25">
      <c r="L172" t="e">
        <f ca="1"/>
        <v>#NAME?</v>
      </c>
      <c r="M172" t="e">
        <f ca="1"/>
        <v>#NAME?</v>
      </c>
      <c r="S172" t="e">
        <f ca="1"/>
        <v>#NAME?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</row>
    <row r="173" spans="2:24" x14ac:dyDescent="0.25">
      <c r="B173">
        <v>55.947854342963076</v>
      </c>
      <c r="D173">
        <v>34.44296133579634</v>
      </c>
      <c r="L173" t="e">
        <f ca="1"/>
        <v>#NAME?</v>
      </c>
      <c r="M173" t="e">
        <f ca="1"/>
        <v>#NAME?</v>
      </c>
      <c r="S173" t="e">
        <f ca="1"/>
        <v>#NAME?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</row>
    <row r="174" spans="2:24" x14ac:dyDescent="0.25">
      <c r="B174">
        <v>55.467390792877616</v>
      </c>
      <c r="D174">
        <v>41.91498955240295</v>
      </c>
      <c r="L174" t="e">
        <f ca="1"/>
        <v>#NAME?</v>
      </c>
      <c r="M174" t="e">
        <f ca="1"/>
        <v>#NAME?</v>
      </c>
      <c r="S174" t="e">
        <f ca="1"/>
        <v>#NAME?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</row>
    <row r="175" spans="2:24" x14ac:dyDescent="0.25">
      <c r="B175">
        <v>48.59037764355103</v>
      </c>
      <c r="D175">
        <v>42.995836978714294</v>
      </c>
      <c r="L175" t="e">
        <f ca="1"/>
        <v>#NAME?</v>
      </c>
      <c r="M175" t="e">
        <f ca="1"/>
        <v>#NAME?</v>
      </c>
      <c r="S175" t="e">
        <f ca="1"/>
        <v>#NAME?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</row>
    <row r="176" spans="2:24" x14ac:dyDescent="0.25">
      <c r="B176">
        <v>55.71989110105897</v>
      </c>
      <c r="D176">
        <v>46.046733803157899</v>
      </c>
      <c r="L176" t="e">
        <f ca="1"/>
        <v>#NAME?</v>
      </c>
      <c r="M176" t="e">
        <f ca="1"/>
        <v>#NAME?</v>
      </c>
      <c r="S176" t="e">
        <f ca="1"/>
        <v>#NAME?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</row>
    <row r="177" spans="2:24" x14ac:dyDescent="0.25">
      <c r="B177">
        <v>67.110910885260651</v>
      </c>
      <c r="D177">
        <v>48.259562130399374</v>
      </c>
      <c r="L177" t="e">
        <f ca="1"/>
        <v>#NAME?</v>
      </c>
      <c r="M177" t="e">
        <f ca="1"/>
        <v>#NAME?</v>
      </c>
      <c r="S177" t="e">
        <f ca="1"/>
        <v>#NAME?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</row>
    <row r="178" spans="2:24" x14ac:dyDescent="0.25">
      <c r="B178">
        <v>48.7975903274614</v>
      </c>
      <c r="D178">
        <v>48.272145931480196</v>
      </c>
      <c r="L178" t="e">
        <f ca="1"/>
        <v>#NAME?</v>
      </c>
      <c r="M178" t="e">
        <f ca="1"/>
        <v>#NAME?</v>
      </c>
      <c r="S178" t="e">
        <f ca="1"/>
        <v>#NAME?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</row>
    <row r="179" spans="2:24" x14ac:dyDescent="0.25">
      <c r="B179">
        <v>48.259562130399374</v>
      </c>
      <c r="D179">
        <v>48.59037764355103</v>
      </c>
      <c r="L179" t="e">
        <f ca="1"/>
        <v>#NAME?</v>
      </c>
      <c r="M179" t="e">
        <f ca="1"/>
        <v>#NAME?</v>
      </c>
      <c r="S179" t="e">
        <f ca="1"/>
        <v>#NAME?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</row>
    <row r="180" spans="2:24" x14ac:dyDescent="0.25">
      <c r="B180">
        <v>52.617915130739512</v>
      </c>
      <c r="D180">
        <v>48.7975903274614</v>
      </c>
      <c r="L180" t="e">
        <f ca="1"/>
        <v>#NAME?</v>
      </c>
      <c r="M180" t="e">
        <f ca="1"/>
        <v>#NAME?</v>
      </c>
      <c r="S180" t="e">
        <f ca="1"/>
        <v>#NAME?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</row>
    <row r="181" spans="2:24" x14ac:dyDescent="0.25">
      <c r="B181">
        <v>60.214138850630924</v>
      </c>
      <c r="D181">
        <v>52.617915130739512</v>
      </c>
      <c r="L181" t="e">
        <f ca="1"/>
        <v>#NAME?</v>
      </c>
      <c r="M181" t="e">
        <f ca="1"/>
        <v>#NAME?</v>
      </c>
      <c r="S181" t="e">
        <f ca="1"/>
        <v>#NAME?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</row>
    <row r="182" spans="2:24" x14ac:dyDescent="0.25">
      <c r="B182">
        <v>34.44296133579634</v>
      </c>
      <c r="D182">
        <v>52.774373362979823</v>
      </c>
      <c r="L182" t="e">
        <f ca="1"/>
        <v>#NAME?</v>
      </c>
      <c r="M182" t="e">
        <f ca="1"/>
        <v>#NAME?</v>
      </c>
      <c r="S182" t="e">
        <f ca="1"/>
        <v>#NAME?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</row>
    <row r="183" spans="2:24" x14ac:dyDescent="0.25">
      <c r="B183">
        <v>53.057488664042651</v>
      </c>
      <c r="D183">
        <v>53.057488664042651</v>
      </c>
      <c r="L183" t="e">
        <f ca="1"/>
        <v>#NAME?</v>
      </c>
      <c r="M183" t="e">
        <f ca="1"/>
        <v>#NAME?</v>
      </c>
      <c r="S183" t="e">
        <f ca="1"/>
        <v>#NAME?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</row>
    <row r="184" spans="2:24" x14ac:dyDescent="0.25">
      <c r="D184">
        <v>53.874468483103101</v>
      </c>
      <c r="L184" t="e">
        <f ca="1"/>
        <v>#NAME?</v>
      </c>
      <c r="M184" t="e">
        <f ca="1"/>
        <v>#NAME?</v>
      </c>
      <c r="S184" t="e">
        <f ca="1"/>
        <v>#NAME?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</row>
    <row r="185" spans="2:24" x14ac:dyDescent="0.25">
      <c r="D185">
        <v>55.467390792877616</v>
      </c>
      <c r="L185" t="e">
        <f ca="1"/>
        <v>#NAME?</v>
      </c>
      <c r="M185" t="e">
        <f ca="1"/>
        <v>#NAME?</v>
      </c>
      <c r="S185" t="e">
        <f ca="1"/>
        <v>#NAME?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</row>
    <row r="186" spans="2:24" x14ac:dyDescent="0.25">
      <c r="D186">
        <v>55.71989110105897</v>
      </c>
      <c r="L186" t="e">
        <f ca="1"/>
        <v>#NAME?</v>
      </c>
      <c r="M186" t="e">
        <f ca="1"/>
        <v>#NAME?</v>
      </c>
      <c r="S186" t="e">
        <f ca="1"/>
        <v>#NAME?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</row>
    <row r="187" spans="2:24" x14ac:dyDescent="0.25">
      <c r="D187">
        <v>55.947854342963076</v>
      </c>
      <c r="L187" t="e">
        <f ca="1"/>
        <v>#NAME?</v>
      </c>
      <c r="M187" t="e">
        <f ca="1"/>
        <v>#NAME?</v>
      </c>
      <c r="S187" t="e">
        <f ca="1"/>
        <v>#NAME?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</row>
    <row r="188" spans="2:24" x14ac:dyDescent="0.25">
      <c r="D188">
        <v>56.121421107628002</v>
      </c>
      <c r="L188" t="e">
        <f ca="1"/>
        <v>#NAME?</v>
      </c>
      <c r="M188" t="e">
        <f ca="1"/>
        <v>#NAME?</v>
      </c>
      <c r="S188" t="e">
        <f ca="1"/>
        <v>#NAME?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</row>
    <row r="189" spans="2:24" x14ac:dyDescent="0.25">
      <c r="D189">
        <v>59.842150358680058</v>
      </c>
      <c r="L189" t="e">
        <f ca="1"/>
        <v>#NAME?</v>
      </c>
      <c r="M189" t="e">
        <f ca="1"/>
        <v>#NAME?</v>
      </c>
      <c r="S189" t="e">
        <f ca="1"/>
        <v>#NAME?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</row>
    <row r="190" spans="2:24" x14ac:dyDescent="0.25">
      <c r="D190">
        <v>60.214138850630924</v>
      </c>
      <c r="L190" t="e">
        <f ca="1"/>
        <v>#NAME?</v>
      </c>
      <c r="M190" t="e">
        <f ca="1"/>
        <v>#NAME?</v>
      </c>
      <c r="S190" t="e">
        <f ca="1"/>
        <v>#NAME?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</row>
    <row r="191" spans="2:24" x14ac:dyDescent="0.25">
      <c r="D191">
        <v>63.285651831674713</v>
      </c>
      <c r="L191" t="e">
        <f ca="1"/>
        <v>#NAME?</v>
      </c>
      <c r="M191" t="e">
        <f ca="1"/>
        <v>#NAME?</v>
      </c>
      <c r="S191" t="e">
        <f ca="1"/>
        <v>#NAME?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</row>
    <row r="192" spans="2:24" x14ac:dyDescent="0.25">
      <c r="D192">
        <v>64.087198867394179</v>
      </c>
      <c r="L192" t="e">
        <f ca="1"/>
        <v>#NAME?</v>
      </c>
      <c r="M192" t="e">
        <f ca="1"/>
        <v>#NAME?</v>
      </c>
      <c r="S192" t="e">
        <f ca="1"/>
        <v>#NAME?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</row>
    <row r="193" spans="4:24" x14ac:dyDescent="0.25">
      <c r="D193">
        <v>66.565380770158939</v>
      </c>
      <c r="L193" t="e">
        <f ca="1"/>
        <v>#NAME?</v>
      </c>
      <c r="M193" t="e">
        <f ca="1"/>
        <v>#NAME?</v>
      </c>
      <c r="S193" t="e">
        <f ca="1"/>
        <v>#NAME?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</row>
    <row r="194" spans="4:24" x14ac:dyDescent="0.25">
      <c r="D194">
        <v>67.110910885260651</v>
      </c>
      <c r="L194" t="e">
        <f ca="1"/>
        <v>#NAME?</v>
      </c>
      <c r="M194" t="e">
        <f ca="1"/>
        <v>#NAME?</v>
      </c>
      <c r="S194" t="e">
        <f ca="1"/>
        <v>#NAME?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</row>
    <row r="195" spans="4:24" x14ac:dyDescent="0.25">
      <c r="D195">
        <v>67.284574271074689</v>
      </c>
      <c r="L195" t="e">
        <f ca="1"/>
        <v>#NAME?</v>
      </c>
      <c r="M195" t="e">
        <f ca="1"/>
        <v>#NAME?</v>
      </c>
      <c r="S195" t="e">
        <f ca="1"/>
        <v>#NAME?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</row>
    <row r="196" spans="4:24" x14ac:dyDescent="0.25">
      <c r="D196">
        <v>68.414568122154307</v>
      </c>
      <c r="L196" t="e">
        <f ca="1"/>
        <v>#NAME?</v>
      </c>
      <c r="M196" t="e">
        <f ca="1"/>
        <v>#NAME?</v>
      </c>
      <c r="S196" t="e">
        <f ca="1"/>
        <v>#NAME?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</row>
    <row r="197" spans="4:24" x14ac:dyDescent="0.25">
      <c r="D197">
        <v>70.861335814824201</v>
      </c>
      <c r="L197" t="e">
        <f ca="1"/>
        <v>#NAME?</v>
      </c>
      <c r="M197" t="e">
        <f ca="1"/>
        <v>#NAME?</v>
      </c>
      <c r="S197" t="e">
        <f ca="1"/>
        <v>#NAME?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</row>
    <row r="198" spans="4:24" x14ac:dyDescent="0.25">
      <c r="D198">
        <v>72.039357292215811</v>
      </c>
      <c r="L198" t="e">
        <f ca="1"/>
        <v>#NAME?</v>
      </c>
      <c r="M198" t="e">
        <f ca="1"/>
        <v>#NAME?</v>
      </c>
      <c r="S198" t="e">
        <f ca="1"/>
        <v>#NAME?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</row>
    <row r="199" spans="4:24" x14ac:dyDescent="0.25">
      <c r="D199">
        <v>73.933371362113348</v>
      </c>
      <c r="L199" t="e">
        <f ca="1"/>
        <v>#NAME?</v>
      </c>
      <c r="M199" t="e">
        <f ca="1"/>
        <v>#NAME?</v>
      </c>
      <c r="S199" t="e">
        <f ca="1"/>
        <v>#NAME?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</row>
    <row r="200" spans="4:24" x14ac:dyDescent="0.25">
      <c r="D200">
        <v>75.775759130982365</v>
      </c>
      <c r="L200" t="e">
        <f ca="1"/>
        <v>#NAME?</v>
      </c>
      <c r="M200" t="e">
        <f ca="1"/>
        <v>#NAME?</v>
      </c>
      <c r="S200" t="e">
        <f ca="1"/>
        <v>#NAME?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</row>
    <row r="201" spans="4:24" x14ac:dyDescent="0.25">
      <c r="D201">
        <v>78.527132942326489</v>
      </c>
      <c r="L201" t="e">
        <f ca="1"/>
        <v>#NAME?</v>
      </c>
      <c r="M201" t="e">
        <f ca="1"/>
        <v>#NAME?</v>
      </c>
      <c r="S201" t="e">
        <f ca="1"/>
        <v>#NAME?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</row>
    <row r="202" spans="4:24" x14ac:dyDescent="0.25">
      <c r="D202">
        <v>79.244328925923725</v>
      </c>
      <c r="L202" t="e">
        <f ca="1"/>
        <v>#NAME?</v>
      </c>
      <c r="M202" t="e">
        <f ca="1"/>
        <v>#NAME?</v>
      </c>
      <c r="S202" t="e">
        <f ca="1"/>
        <v>#NAME?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</row>
    <row r="203" spans="4:24" x14ac:dyDescent="0.25">
      <c r="D203">
        <v>84.420752768578851</v>
      </c>
      <c r="G203" s="81"/>
      <c r="L203" t="e">
        <f ca="1"/>
        <v>#NAME?</v>
      </c>
      <c r="M203" t="e">
        <f ca="1"/>
        <v>#NAME?</v>
      </c>
      <c r="S203" t="e">
        <f ca="1"/>
        <v>#NAME?</v>
      </c>
      <c r="U203" t="e">
        <f ca="1"/>
        <v>#NAME?</v>
      </c>
      <c r="V203" t="e">
        <f ca="1"/>
        <v>#NAME?</v>
      </c>
      <c r="W203" t="e">
        <f ca="1"/>
        <v>#NAME?</v>
      </c>
      <c r="X203" t="e">
        <f ca="1"/>
        <v>#NAME?</v>
      </c>
    </row>
    <row r="204" spans="4:24" x14ac:dyDescent="0.25">
      <c r="D204">
        <v>86.674842098477797</v>
      </c>
      <c r="L204" t="e">
        <f ca="1"/>
        <v>#NAME?</v>
      </c>
      <c r="M204" t="e">
        <f ca="1"/>
        <v>#NAME?</v>
      </c>
      <c r="S204" t="e">
        <f ca="1"/>
        <v>#NAME?</v>
      </c>
      <c r="U204" t="e">
        <f ca="1"/>
        <v>#NAME?</v>
      </c>
      <c r="V204" t="e">
        <f ca="1"/>
        <v>#NAME?</v>
      </c>
      <c r="W204" t="e">
        <f ca="1"/>
        <v>#NAME?</v>
      </c>
      <c r="X204" t="e">
        <f ca="1"/>
        <v>#NAME?</v>
      </c>
    </row>
    <row r="205" spans="4:24" x14ac:dyDescent="0.25">
      <c r="L205" t="e">
        <f ca="1"/>
        <v>#NAME?</v>
      </c>
      <c r="M205" t="e">
        <f ca="1"/>
        <v>#NAME?</v>
      </c>
      <c r="S205" t="e">
        <f ca="1"/>
        <v>#NAME?</v>
      </c>
      <c r="U205" t="e">
        <f ca="1"/>
        <v>#NAME?</v>
      </c>
      <c r="V205" t="e">
        <f ca="1"/>
        <v>#NAME?</v>
      </c>
      <c r="W205" t="e">
        <f ca="1"/>
        <v>#NAME?</v>
      </c>
      <c r="X205" t="e">
        <f ca="1"/>
        <v>#NAME?</v>
      </c>
    </row>
    <row r="206" spans="4:24" x14ac:dyDescent="0.25">
      <c r="L206" t="e">
        <f ca="1"/>
        <v>#NAME?</v>
      </c>
      <c r="M206" t="e">
        <f ca="1"/>
        <v>#NAME?</v>
      </c>
      <c r="S206" t="e">
        <f ca="1"/>
        <v>#NAME?</v>
      </c>
      <c r="U206" t="e">
        <f ca="1"/>
        <v>#NAME?</v>
      </c>
      <c r="V206" t="e">
        <f ca="1"/>
        <v>#NAME?</v>
      </c>
      <c r="W206" t="e">
        <f ca="1"/>
        <v>#NAME?</v>
      </c>
      <c r="X206" t="e">
        <f ca="1"/>
        <v>#NAME?</v>
      </c>
    </row>
    <row r="207" spans="4:24" x14ac:dyDescent="0.25">
      <c r="L207" t="e">
        <f ca="1"/>
        <v>#NAME?</v>
      </c>
      <c r="M207" t="e">
        <f ca="1"/>
        <v>#NAME?</v>
      </c>
      <c r="S207" t="e">
        <f ca="1"/>
        <v>#NAME?</v>
      </c>
      <c r="U207" t="e">
        <f ca="1"/>
        <v>#NAME?</v>
      </c>
      <c r="V207" t="e">
        <f ca="1"/>
        <v>#NAME?</v>
      </c>
      <c r="W207" t="e">
        <f ca="1"/>
        <v>#NAME?</v>
      </c>
      <c r="X207" t="e">
        <f ca="1"/>
        <v>#NAME?</v>
      </c>
    </row>
    <row r="208" spans="4:24" x14ac:dyDescent="0.25">
      <c r="L208" t="e">
        <f ca="1"/>
        <v>#NAME?</v>
      </c>
      <c r="M208" t="e">
        <f ca="1"/>
        <v>#NAME?</v>
      </c>
      <c r="S208" t="e">
        <f ca="1"/>
        <v>#NAME?</v>
      </c>
      <c r="U208" t="e">
        <f ca="1"/>
        <v>#NAME?</v>
      </c>
      <c r="V208" t="e">
        <f ca="1"/>
        <v>#NAME?</v>
      </c>
      <c r="W208" t="e">
        <f ca="1"/>
        <v>#NAME?</v>
      </c>
      <c r="X208" t="e">
        <f ca="1"/>
        <v>#NAME?</v>
      </c>
    </row>
    <row r="209" spans="12:24" x14ac:dyDescent="0.25">
      <c r="L209" t="e">
        <f ca="1"/>
        <v>#NAME?</v>
      </c>
      <c r="M209" t="e">
        <f ca="1"/>
        <v>#NAME?</v>
      </c>
      <c r="S209" t="e">
        <f ca="1"/>
        <v>#NAME?</v>
      </c>
      <c r="U209" t="e">
        <f ca="1"/>
        <v>#NAME?</v>
      </c>
      <c r="V209" t="e">
        <f ca="1"/>
        <v>#NAME?</v>
      </c>
      <c r="W209" t="e">
        <f ca="1"/>
        <v>#NAME?</v>
      </c>
      <c r="X209" t="e">
        <f ca="1"/>
        <v>#NAME?</v>
      </c>
    </row>
    <row r="210" spans="12:24" x14ac:dyDescent="0.25">
      <c r="L210" t="e">
        <f ca="1"/>
        <v>#NAME?</v>
      </c>
      <c r="M210" t="e">
        <f ca="1"/>
        <v>#NAME?</v>
      </c>
      <c r="S210" t="e">
        <f ca="1"/>
        <v>#NAME?</v>
      </c>
      <c r="U210" t="e">
        <f ca="1"/>
        <v>#NAME?</v>
      </c>
      <c r="V210" t="e">
        <f ca="1"/>
        <v>#NAME?</v>
      </c>
      <c r="W210" t="e">
        <f ca="1"/>
        <v>#NAME?</v>
      </c>
      <c r="X210" t="e">
        <f ca="1"/>
        <v>#NAME?</v>
      </c>
    </row>
    <row r="211" spans="12:24" x14ac:dyDescent="0.25">
      <c r="L211" t="e">
        <f ca="1"/>
        <v>#NAME?</v>
      </c>
      <c r="M211" t="e">
        <f ca="1"/>
        <v>#NAME?</v>
      </c>
      <c r="S211" t="e">
        <f ca="1"/>
        <v>#NAME?</v>
      </c>
      <c r="U211" t="e">
        <f ca="1"/>
        <v>#NAME?</v>
      </c>
      <c r="V211" t="e">
        <f ca="1"/>
        <v>#NAME?</v>
      </c>
      <c r="W211" t="e">
        <f ca="1"/>
        <v>#NAME?</v>
      </c>
      <c r="X211" t="e">
        <f ca="1"/>
        <v>#NAME?</v>
      </c>
    </row>
    <row r="212" spans="12:24" x14ac:dyDescent="0.25">
      <c r="L212" t="e">
        <f ca="1"/>
        <v>#NAME?</v>
      </c>
      <c r="M212" t="e">
        <f ca="1"/>
        <v>#NAME?</v>
      </c>
      <c r="S212" t="e">
        <f ca="1"/>
        <v>#NAME?</v>
      </c>
      <c r="U212" t="e">
        <f ca="1"/>
        <v>#NAME?</v>
      </c>
      <c r="V212" t="e">
        <f ca="1"/>
        <v>#NAME?</v>
      </c>
      <c r="W212" t="e">
        <f ca="1"/>
        <v>#NAME?</v>
      </c>
      <c r="X212" t="e">
        <f ca="1"/>
        <v>#NAME?</v>
      </c>
    </row>
    <row r="213" spans="12:24" x14ac:dyDescent="0.25">
      <c r="L213" t="e">
        <f ca="1"/>
        <v>#NAME?</v>
      </c>
      <c r="M213" t="e">
        <f ca="1"/>
        <v>#NAME?</v>
      </c>
      <c r="S213" t="e">
        <f ca="1"/>
        <v>#NAME?</v>
      </c>
      <c r="U213" t="e">
        <f ca="1"/>
        <v>#NAME?</v>
      </c>
      <c r="V213" t="e">
        <f ca="1"/>
        <v>#NAME?</v>
      </c>
      <c r="W213" t="e">
        <f ca="1"/>
        <v>#NAME?</v>
      </c>
      <c r="X213" t="e">
        <f ca="1"/>
        <v>#NAME?</v>
      </c>
    </row>
    <row r="214" spans="12:24" x14ac:dyDescent="0.25">
      <c r="L214" t="e">
        <f ca="1"/>
        <v>#NAME?</v>
      </c>
      <c r="M214" t="e">
        <f ca="1"/>
        <v>#NAME?</v>
      </c>
      <c r="S214" t="e">
        <f ca="1"/>
        <v>#NAME?</v>
      </c>
      <c r="U214" t="e">
        <f ca="1"/>
        <v>#NAME?</v>
      </c>
      <c r="V214" t="e">
        <f ca="1"/>
        <v>#NAME?</v>
      </c>
      <c r="W214" t="e">
        <f ca="1"/>
        <v>#NAME?</v>
      </c>
      <c r="X214" t="e">
        <f ca="1"/>
        <v>#NAME?</v>
      </c>
    </row>
    <row r="215" spans="12:24" x14ac:dyDescent="0.25">
      <c r="L215" t="e">
        <f ca="1"/>
        <v>#NAME?</v>
      </c>
      <c r="M215" t="e">
        <f ca="1"/>
        <v>#NAME?</v>
      </c>
      <c r="S215" t="e">
        <f ca="1"/>
        <v>#NAME?</v>
      </c>
      <c r="U215" t="e">
        <f ca="1"/>
        <v>#NAME?</v>
      </c>
      <c r="V215" t="e">
        <f ca="1"/>
        <v>#NAME?</v>
      </c>
      <c r="W215" t="e">
        <f ca="1"/>
        <v>#NAME?</v>
      </c>
      <c r="X215" t="e">
        <f ca="1"/>
        <v>#NAME?</v>
      </c>
    </row>
    <row r="216" spans="12:24" x14ac:dyDescent="0.25">
      <c r="L216" t="e">
        <f ca="1"/>
        <v>#NAME?</v>
      </c>
      <c r="M216" t="e">
        <f ca="1"/>
        <v>#NAME?</v>
      </c>
      <c r="S216" t="e">
        <f ca="1"/>
        <v>#NAME?</v>
      </c>
      <c r="U216" t="e">
        <f ca="1"/>
        <v>#NAME?</v>
      </c>
      <c r="V216" t="e">
        <f ca="1"/>
        <v>#NAME?</v>
      </c>
      <c r="W216" t="e">
        <f ca="1"/>
        <v>#NAME?</v>
      </c>
      <c r="X216" t="e">
        <f ca="1"/>
        <v>#NAME?</v>
      </c>
    </row>
    <row r="217" spans="12:24" x14ac:dyDescent="0.25">
      <c r="L217" t="e">
        <f ca="1"/>
        <v>#NAME?</v>
      </c>
      <c r="M217" t="e">
        <f ca="1"/>
        <v>#NAME?</v>
      </c>
      <c r="S217" t="e">
        <f ca="1"/>
        <v>#NAME?</v>
      </c>
      <c r="U217" t="e">
        <f ca="1"/>
        <v>#NAME?</v>
      </c>
      <c r="V217" t="e">
        <f ca="1"/>
        <v>#NAME?</v>
      </c>
      <c r="W217" t="e">
        <f ca="1"/>
        <v>#NAME?</v>
      </c>
      <c r="X217" t="e">
        <f ca="1"/>
        <v>#NAME?</v>
      </c>
    </row>
    <row r="218" spans="12:24" x14ac:dyDescent="0.25">
      <c r="L218" t="e">
        <f ca="1"/>
        <v>#NAME?</v>
      </c>
      <c r="M218" t="e">
        <f ca="1"/>
        <v>#NAME?</v>
      </c>
      <c r="S218" t="e">
        <f ca="1"/>
        <v>#NAME?</v>
      </c>
      <c r="U218" t="e">
        <f ca="1"/>
        <v>#NAME?</v>
      </c>
      <c r="V218" t="e">
        <f ca="1"/>
        <v>#NAME?</v>
      </c>
      <c r="W218" t="e">
        <f ca="1"/>
        <v>#NAME?</v>
      </c>
      <c r="X218" t="e">
        <f ca="1"/>
        <v>#NAME?</v>
      </c>
    </row>
    <row r="219" spans="12:24" x14ac:dyDescent="0.25">
      <c r="L219" t="e">
        <f ca="1"/>
        <v>#NAME?</v>
      </c>
      <c r="M219" t="e">
        <f ca="1"/>
        <v>#NAME?</v>
      </c>
      <c r="S219" t="e">
        <f ca="1"/>
        <v>#NAME?</v>
      </c>
      <c r="U219" t="e">
        <f ca="1"/>
        <v>#NAME?</v>
      </c>
      <c r="V219" t="e">
        <f ca="1"/>
        <v>#NAME?</v>
      </c>
      <c r="W219" t="e">
        <f ca="1"/>
        <v>#NAME?</v>
      </c>
      <c r="X219" t="e">
        <f ca="1"/>
        <v>#NAME?</v>
      </c>
    </row>
    <row r="220" spans="12:24" x14ac:dyDescent="0.25">
      <c r="L220" t="e">
        <f ca="1"/>
        <v>#NAME?</v>
      </c>
      <c r="M220" t="e">
        <f ca="1"/>
        <v>#NAME?</v>
      </c>
      <c r="S220" t="e">
        <f ca="1"/>
        <v>#NAME?</v>
      </c>
      <c r="U220" t="e">
        <f ca="1"/>
        <v>#NAME?</v>
      </c>
      <c r="V220" t="e">
        <f ca="1"/>
        <v>#NAME?</v>
      </c>
      <c r="W220" t="e">
        <f ca="1"/>
        <v>#NAME?</v>
      </c>
      <c r="X220" t="e">
        <f ca="1"/>
        <v>#NAME?</v>
      </c>
    </row>
    <row r="221" spans="12:24" x14ac:dyDescent="0.25">
      <c r="L221" t="e">
        <f ca="1"/>
        <v>#NAME?</v>
      </c>
      <c r="M221" t="e">
        <f ca="1"/>
        <v>#NAME?</v>
      </c>
      <c r="S221" t="e">
        <f ca="1"/>
        <v>#NAME?</v>
      </c>
      <c r="U221" t="e">
        <f ca="1"/>
        <v>#NAME?</v>
      </c>
      <c r="V221" t="e">
        <f ca="1"/>
        <v>#NAME?</v>
      </c>
      <c r="W221" t="e">
        <f ca="1"/>
        <v>#NAME?</v>
      </c>
      <c r="X221" t="e">
        <f ca="1"/>
        <v>#NAME?</v>
      </c>
    </row>
    <row r="222" spans="12:24" x14ac:dyDescent="0.25">
      <c r="L222" t="e">
        <f ca="1"/>
        <v>#NAME?</v>
      </c>
      <c r="M222" t="e">
        <f ca="1"/>
        <v>#NAME?</v>
      </c>
      <c r="S222" t="e">
        <f ca="1"/>
        <v>#NAME?</v>
      </c>
      <c r="U222" t="e">
        <f ca="1"/>
        <v>#NAME?</v>
      </c>
      <c r="V222" t="e">
        <f ca="1"/>
        <v>#NAME?</v>
      </c>
      <c r="W222" t="e">
        <f ca="1"/>
        <v>#NAME?</v>
      </c>
      <c r="X222" t="e">
        <f ca="1"/>
        <v>#NAME?</v>
      </c>
    </row>
    <row r="223" spans="12:24" x14ac:dyDescent="0.25">
      <c r="L223" t="e">
        <f ca="1"/>
        <v>#NAME?</v>
      </c>
      <c r="M223" t="e">
        <f ca="1"/>
        <v>#NAME?</v>
      </c>
      <c r="S223" t="e">
        <f ca="1"/>
        <v>#NAME?</v>
      </c>
      <c r="U223" t="e">
        <f ca="1"/>
        <v>#NAME?</v>
      </c>
      <c r="V223" t="e">
        <f ca="1"/>
        <v>#NAME?</v>
      </c>
      <c r="W223" t="e">
        <f ca="1"/>
        <v>#NAME?</v>
      </c>
      <c r="X223" t="e">
        <f ca="1"/>
        <v>#NAME?</v>
      </c>
    </row>
    <row r="224" spans="12:24" x14ac:dyDescent="0.25">
      <c r="L224" t="e">
        <f ca="1"/>
        <v>#NAME?</v>
      </c>
      <c r="M224" t="e">
        <f ca="1"/>
        <v>#NAME?</v>
      </c>
      <c r="S224" t="e">
        <f ca="1"/>
        <v>#NAME?</v>
      </c>
      <c r="U224" t="e">
        <f ca="1"/>
        <v>#NAME?</v>
      </c>
      <c r="V224" t="e">
        <f ca="1"/>
        <v>#NAME?</v>
      </c>
      <c r="W224" t="e">
        <f ca="1"/>
        <v>#NAME?</v>
      </c>
      <c r="X224" t="e">
        <f ca="1"/>
        <v>#NAME?</v>
      </c>
    </row>
    <row r="225" spans="12:24" x14ac:dyDescent="0.25">
      <c r="L225" t="e">
        <f ca="1"/>
        <v>#NAME?</v>
      </c>
      <c r="M225" t="e">
        <f ca="1"/>
        <v>#NAME?</v>
      </c>
      <c r="S225" t="e">
        <f ca="1"/>
        <v>#NAME?</v>
      </c>
      <c r="U225" t="e">
        <f ca="1"/>
        <v>#NAME?</v>
      </c>
      <c r="V225" t="e">
        <f ca="1"/>
        <v>#NAME?</v>
      </c>
      <c r="W225" t="e">
        <f ca="1"/>
        <v>#NAME?</v>
      </c>
      <c r="X225" t="e">
        <f ca="1"/>
        <v>#NAME?</v>
      </c>
    </row>
    <row r="226" spans="12:24" x14ac:dyDescent="0.25">
      <c r="L226" t="e">
        <f ca="1"/>
        <v>#NAME?</v>
      </c>
      <c r="M226" t="e">
        <f ca="1"/>
        <v>#NAME?</v>
      </c>
      <c r="S226" t="e">
        <f ca="1"/>
        <v>#NAME?</v>
      </c>
      <c r="U226" t="e">
        <f ca="1"/>
        <v>#NAME?</v>
      </c>
      <c r="V226" t="e">
        <f ca="1"/>
        <v>#NAME?</v>
      </c>
      <c r="W226" t="e">
        <f ca="1"/>
        <v>#NAME?</v>
      </c>
      <c r="X226" t="e">
        <f ca="1"/>
        <v>#NAME?</v>
      </c>
    </row>
    <row r="227" spans="12:24" x14ac:dyDescent="0.25">
      <c r="L227" t="e">
        <f ca="1"/>
        <v>#NAME?</v>
      </c>
      <c r="M227" t="e">
        <f ca="1"/>
        <v>#NAME?</v>
      </c>
      <c r="S227" t="e">
        <f ca="1"/>
        <v>#NAME?</v>
      </c>
      <c r="U227" t="e">
        <f ca="1"/>
        <v>#NAME?</v>
      </c>
      <c r="V227" t="e">
        <f ca="1"/>
        <v>#NAME?</v>
      </c>
      <c r="W227" t="e">
        <f ca="1"/>
        <v>#NAME?</v>
      </c>
      <c r="X227" t="e">
        <f ca="1"/>
        <v>#NAME?</v>
      </c>
    </row>
    <row r="228" spans="12:24" x14ac:dyDescent="0.25">
      <c r="L228" t="e">
        <f ca="1"/>
        <v>#NAME?</v>
      </c>
      <c r="M228" t="e">
        <f ca="1"/>
        <v>#NAME?</v>
      </c>
      <c r="S228" t="e">
        <f ca="1"/>
        <v>#NAME?</v>
      </c>
      <c r="U228" t="e">
        <f ca="1"/>
        <v>#NAME?</v>
      </c>
      <c r="V228" t="e">
        <f ca="1"/>
        <v>#NAME?</v>
      </c>
      <c r="W228" t="e">
        <f ca="1"/>
        <v>#NAME?</v>
      </c>
      <c r="X228" t="e">
        <f ca="1"/>
        <v>#NAME?</v>
      </c>
    </row>
    <row r="229" spans="12:24" x14ac:dyDescent="0.25">
      <c r="L229" t="e">
        <f ca="1"/>
        <v>#NAME?</v>
      </c>
      <c r="M229" t="e">
        <f ca="1"/>
        <v>#NAME?</v>
      </c>
      <c r="S229" t="e">
        <f ca="1"/>
        <v>#NAME?</v>
      </c>
      <c r="U229" t="e">
        <f ca="1"/>
        <v>#NAME?</v>
      </c>
      <c r="V229" t="e">
        <f ca="1"/>
        <v>#NAME?</v>
      </c>
      <c r="W229" t="e">
        <f ca="1"/>
        <v>#NAME?</v>
      </c>
      <c r="X229" t="e">
        <f ca="1"/>
        <v>#NAME?</v>
      </c>
    </row>
    <row r="230" spans="12:24" x14ac:dyDescent="0.25">
      <c r="L230" t="e">
        <f ca="1"/>
        <v>#NAME?</v>
      </c>
      <c r="M230" t="e">
        <f ca="1"/>
        <v>#NAME?</v>
      </c>
      <c r="S230" t="e">
        <f ca="1"/>
        <v>#NAME?</v>
      </c>
      <c r="U230" t="e">
        <f ca="1"/>
        <v>#NAME?</v>
      </c>
      <c r="V230" t="e">
        <f ca="1"/>
        <v>#NAME?</v>
      </c>
      <c r="W230" t="e">
        <f ca="1"/>
        <v>#NAME?</v>
      </c>
      <c r="X230" t="e">
        <f ca="1"/>
        <v>#NAME?</v>
      </c>
    </row>
    <row r="231" spans="12:24" x14ac:dyDescent="0.25">
      <c r="L231" t="e">
        <f ca="1"/>
        <v>#NAME?</v>
      </c>
      <c r="M231" t="e">
        <f ca="1"/>
        <v>#NAME?</v>
      </c>
      <c r="S231" t="e">
        <f ca="1"/>
        <v>#NAME?</v>
      </c>
      <c r="U231" t="e">
        <f ca="1"/>
        <v>#NAME?</v>
      </c>
      <c r="V231" t="e">
        <f ca="1"/>
        <v>#NAME?</v>
      </c>
      <c r="W231" t="e">
        <f ca="1"/>
        <v>#NAME?</v>
      </c>
      <c r="X231" t="e">
        <f ca="1"/>
        <v>#NAME?</v>
      </c>
    </row>
    <row r="232" spans="12:24" x14ac:dyDescent="0.25">
      <c r="L232" t="e">
        <f ca="1"/>
        <v>#NAME?</v>
      </c>
      <c r="M232" t="e">
        <f ca="1"/>
        <v>#NAME?</v>
      </c>
      <c r="S232" t="e">
        <f ca="1"/>
        <v>#NAME?</v>
      </c>
      <c r="U232" t="e">
        <f ca="1"/>
        <v>#NAME?</v>
      </c>
      <c r="V232" t="e">
        <f ca="1"/>
        <v>#NAME?</v>
      </c>
      <c r="W232" t="e">
        <f ca="1"/>
        <v>#NAME?</v>
      </c>
      <c r="X232" t="e">
        <f ca="1"/>
        <v>#NAME?</v>
      </c>
    </row>
    <row r="233" spans="12:24" x14ac:dyDescent="0.25">
      <c r="L233" t="e">
        <f ca="1"/>
        <v>#NAME?</v>
      </c>
      <c r="M233" t="e">
        <f ca="1"/>
        <v>#NAME?</v>
      </c>
      <c r="S233" t="e">
        <f ca="1"/>
        <v>#NAME?</v>
      </c>
      <c r="U233" t="e">
        <f ca="1"/>
        <v>#NAME?</v>
      </c>
      <c r="V233" t="e">
        <f ca="1"/>
        <v>#NAME?</v>
      </c>
      <c r="W233" t="e">
        <f ca="1"/>
        <v>#NAME?</v>
      </c>
      <c r="X233" t="e">
        <f ca="1"/>
        <v>#NAME?</v>
      </c>
    </row>
    <row r="234" spans="12:24" x14ac:dyDescent="0.25">
      <c r="L234" t="e">
        <f ca="1"/>
        <v>#NAME?</v>
      </c>
      <c r="M234" t="e">
        <f ca="1"/>
        <v>#NAME?</v>
      </c>
      <c r="S234" t="e">
        <f ca="1"/>
        <v>#NAME?</v>
      </c>
      <c r="U234" t="e">
        <f ca="1"/>
        <v>#NAME?</v>
      </c>
      <c r="V234" t="e">
        <f ca="1"/>
        <v>#NAME?</v>
      </c>
      <c r="W234" t="e">
        <f ca="1"/>
        <v>#NAME?</v>
      </c>
      <c r="X234" t="e">
        <f ca="1"/>
        <v>#NAME?</v>
      </c>
    </row>
    <row r="235" spans="12:24" x14ac:dyDescent="0.25">
      <c r="L235" t="e">
        <f ca="1"/>
        <v>#NAME?</v>
      </c>
      <c r="M235" t="e">
        <f ca="1"/>
        <v>#NAME?</v>
      </c>
      <c r="S235" t="e">
        <f ca="1"/>
        <v>#NAME?</v>
      </c>
      <c r="U235" t="e">
        <f ca="1"/>
        <v>#NAME?</v>
      </c>
      <c r="V235" t="e">
        <f ca="1"/>
        <v>#NAME?</v>
      </c>
      <c r="W235" t="e">
        <f ca="1"/>
        <v>#NAME?</v>
      </c>
      <c r="X235" t="e">
        <f ca="1"/>
        <v>#NAME?</v>
      </c>
    </row>
    <row r="236" spans="12:24" x14ac:dyDescent="0.25">
      <c r="L236" t="e">
        <f ca="1"/>
        <v>#NAME?</v>
      </c>
      <c r="M236" t="e">
        <f ca="1"/>
        <v>#NAME?</v>
      </c>
      <c r="S236" t="e">
        <f ca="1"/>
        <v>#NAME?</v>
      </c>
      <c r="U236" t="e">
        <f ca="1"/>
        <v>#NAME?</v>
      </c>
      <c r="V236" t="e">
        <f ca="1"/>
        <v>#NAME?</v>
      </c>
      <c r="W236" t="e">
        <f ca="1"/>
        <v>#NAME?</v>
      </c>
      <c r="X236" t="e">
        <f ca="1"/>
        <v>#NAME?</v>
      </c>
    </row>
    <row r="237" spans="12:24" x14ac:dyDescent="0.25">
      <c r="L237" t="e">
        <f ca="1"/>
        <v>#NAME?</v>
      </c>
      <c r="M237" t="e">
        <f ca="1"/>
        <v>#NAME?</v>
      </c>
      <c r="S237" t="e">
        <f ca="1"/>
        <v>#NAME?</v>
      </c>
      <c r="U237" t="e">
        <f ca="1"/>
        <v>#NAME?</v>
      </c>
      <c r="V237" t="e">
        <f ca="1"/>
        <v>#NAME?</v>
      </c>
      <c r="W237" t="e">
        <f ca="1"/>
        <v>#NAME?</v>
      </c>
      <c r="X237" t="e">
        <f ca="1"/>
        <v>#NAME?</v>
      </c>
    </row>
    <row r="238" spans="12:24" x14ac:dyDescent="0.25">
      <c r="L238" t="e">
        <f ca="1"/>
        <v>#NAME?</v>
      </c>
      <c r="M238" t="e">
        <f ca="1"/>
        <v>#NAME?</v>
      </c>
      <c r="S238" t="e">
        <f ca="1"/>
        <v>#NAME?</v>
      </c>
      <c r="U238" t="e">
        <f ca="1"/>
        <v>#NAME?</v>
      </c>
      <c r="V238" t="e">
        <f ca="1"/>
        <v>#NAME?</v>
      </c>
      <c r="W238" t="e">
        <f ca="1"/>
        <v>#NAME?</v>
      </c>
      <c r="X238" t="e">
        <f ca="1"/>
        <v>#NAME?</v>
      </c>
    </row>
    <row r="239" spans="12:24" x14ac:dyDescent="0.25">
      <c r="L239" t="e">
        <f ca="1"/>
        <v>#NAME?</v>
      </c>
      <c r="M239" t="e">
        <f ca="1"/>
        <v>#NAME?</v>
      </c>
      <c r="S239" t="e">
        <f ca="1"/>
        <v>#NAME?</v>
      </c>
      <c r="U239" t="e">
        <f ca="1"/>
        <v>#NAME?</v>
      </c>
      <c r="V239" t="e">
        <f ca="1"/>
        <v>#NAME?</v>
      </c>
      <c r="W239" t="e">
        <f ca="1"/>
        <v>#NAME?</v>
      </c>
      <c r="X239" t="e">
        <f ca="1"/>
        <v>#NAME?</v>
      </c>
    </row>
    <row r="240" spans="12:24" x14ac:dyDescent="0.25">
      <c r="L240" t="e">
        <f ca="1"/>
        <v>#NAME?</v>
      </c>
      <c r="M240" t="e">
        <f ca="1"/>
        <v>#NAME?</v>
      </c>
      <c r="S240" t="e">
        <f ca="1"/>
        <v>#NAME?</v>
      </c>
      <c r="U240" t="e">
        <f ca="1"/>
        <v>#NAME?</v>
      </c>
      <c r="V240" t="e">
        <f ca="1"/>
        <v>#NAME?</v>
      </c>
      <c r="W240" t="e">
        <f ca="1"/>
        <v>#NAME?</v>
      </c>
      <c r="X240" t="e">
        <f ca="1"/>
        <v>#NAME?</v>
      </c>
    </row>
    <row r="241" spans="12:24" x14ac:dyDescent="0.25">
      <c r="L241" t="e">
        <f ca="1"/>
        <v>#NAME?</v>
      </c>
      <c r="M241" t="e">
        <f ca="1"/>
        <v>#NAME?</v>
      </c>
      <c r="S241" t="e">
        <f ca="1"/>
        <v>#NAME?</v>
      </c>
      <c r="U241" t="e">
        <f ca="1"/>
        <v>#NAME?</v>
      </c>
      <c r="V241" t="e">
        <f ca="1"/>
        <v>#NAME?</v>
      </c>
      <c r="W241" t="e">
        <f ca="1"/>
        <v>#NAME?</v>
      </c>
      <c r="X241" t="e">
        <f ca="1"/>
        <v>#NAME?</v>
      </c>
    </row>
    <row r="242" spans="12:24" x14ac:dyDescent="0.25">
      <c r="L242" t="e">
        <f ca="1"/>
        <v>#NAME?</v>
      </c>
      <c r="M242" t="e">
        <f ca="1"/>
        <v>#NAME?</v>
      </c>
      <c r="S242" t="e">
        <f ca="1"/>
        <v>#NAME?</v>
      </c>
      <c r="U242" t="e">
        <f ca="1"/>
        <v>#NAME?</v>
      </c>
      <c r="V242" t="e">
        <f ca="1"/>
        <v>#NAME?</v>
      </c>
      <c r="W242" t="e">
        <f ca="1"/>
        <v>#NAME?</v>
      </c>
      <c r="X242" t="e">
        <f ca="1"/>
        <v>#NAME?</v>
      </c>
    </row>
    <row r="243" spans="12:24" x14ac:dyDescent="0.25">
      <c r="L243" t="e">
        <f ca="1"/>
        <v>#NAME?</v>
      </c>
      <c r="M243" t="e">
        <f ca="1"/>
        <v>#NAME?</v>
      </c>
      <c r="S243" t="e">
        <f ca="1"/>
        <v>#NAME?</v>
      </c>
      <c r="U243" t="e">
        <f ca="1"/>
        <v>#NAME?</v>
      </c>
      <c r="V243" t="e">
        <f ca="1"/>
        <v>#NAME?</v>
      </c>
      <c r="W243" t="e">
        <f ca="1"/>
        <v>#NAME?</v>
      </c>
      <c r="X243" t="e">
        <f ca="1"/>
        <v>#NAME?</v>
      </c>
    </row>
    <row r="244" spans="12:24" x14ac:dyDescent="0.25">
      <c r="L244" t="e">
        <f ca="1"/>
        <v>#NAME?</v>
      </c>
      <c r="M244" t="e">
        <f ca="1"/>
        <v>#NAME?</v>
      </c>
      <c r="S244" t="e">
        <f ca="1"/>
        <v>#NAME?</v>
      </c>
      <c r="U244" t="e">
        <f ca="1"/>
        <v>#NAME?</v>
      </c>
      <c r="V244" t="e">
        <f ca="1"/>
        <v>#NAME?</v>
      </c>
      <c r="W244" t="e">
        <f ca="1"/>
        <v>#NAME?</v>
      </c>
      <c r="X244" t="e">
        <f ca="1"/>
        <v>#NAME?</v>
      </c>
    </row>
    <row r="245" spans="12:24" x14ac:dyDescent="0.25">
      <c r="L245" t="e">
        <f ca="1"/>
        <v>#NAME?</v>
      </c>
      <c r="M245" t="e">
        <f ca="1"/>
        <v>#NAME?</v>
      </c>
      <c r="S245" t="e">
        <f ca="1"/>
        <v>#NAME?</v>
      </c>
      <c r="U245" t="e">
        <f ca="1"/>
        <v>#NAME?</v>
      </c>
      <c r="V245" t="e">
        <f ca="1"/>
        <v>#NAME?</v>
      </c>
      <c r="W245" t="e">
        <f ca="1"/>
        <v>#NAME?</v>
      </c>
      <c r="X245" t="e">
        <f ca="1"/>
        <v>#NAME?</v>
      </c>
    </row>
    <row r="246" spans="12:24" x14ac:dyDescent="0.25">
      <c r="L246" t="e">
        <f ca="1"/>
        <v>#NAME?</v>
      </c>
      <c r="M246" t="e">
        <f ca="1"/>
        <v>#NAME?</v>
      </c>
      <c r="S246" t="e">
        <f ca="1"/>
        <v>#NAME?</v>
      </c>
      <c r="U246" t="e">
        <f ca="1"/>
        <v>#NAME?</v>
      </c>
      <c r="V246" t="e">
        <f ca="1"/>
        <v>#NAME?</v>
      </c>
      <c r="W246" t="e">
        <f ca="1"/>
        <v>#NAME?</v>
      </c>
      <c r="X246" t="e">
        <f ca="1"/>
        <v>#NAME?</v>
      </c>
    </row>
    <row r="247" spans="12:24" x14ac:dyDescent="0.25">
      <c r="L247" t="e">
        <f ca="1"/>
        <v>#NAME?</v>
      </c>
      <c r="M247" t="e">
        <f ca="1"/>
        <v>#NAME?</v>
      </c>
      <c r="S247" t="e">
        <f ca="1"/>
        <v>#NAME?</v>
      </c>
      <c r="U247" t="e">
        <f ca="1"/>
        <v>#NAME?</v>
      </c>
      <c r="V247" t="e">
        <f ca="1"/>
        <v>#NAME?</v>
      </c>
      <c r="W247" t="e">
        <f ca="1"/>
        <v>#NAME?</v>
      </c>
      <c r="X247" t="e">
        <f ca="1"/>
        <v>#NAME?</v>
      </c>
    </row>
    <row r="248" spans="12:24" x14ac:dyDescent="0.25">
      <c r="L248" t="e">
        <f ca="1"/>
        <v>#NAME?</v>
      </c>
      <c r="M248" t="e">
        <f ca="1"/>
        <v>#NAME?</v>
      </c>
      <c r="S248" t="e">
        <f ca="1"/>
        <v>#NAME?</v>
      </c>
      <c r="U248" t="e">
        <f ca="1"/>
        <v>#NAME?</v>
      </c>
      <c r="V248" t="e">
        <f ca="1"/>
        <v>#NAME?</v>
      </c>
      <c r="W248" t="e">
        <f ca="1"/>
        <v>#NAME?</v>
      </c>
      <c r="X248" t="e">
        <f ca="1"/>
        <v>#NAME?</v>
      </c>
    </row>
    <row r="249" spans="12:24" x14ac:dyDescent="0.25">
      <c r="L249" t="e">
        <f ca="1"/>
        <v>#NAME?</v>
      </c>
      <c r="M249" t="e">
        <f ca="1"/>
        <v>#NAME?</v>
      </c>
      <c r="S249" t="e">
        <f ca="1"/>
        <v>#NAME?</v>
      </c>
      <c r="U249" t="e">
        <f ca="1"/>
        <v>#NAME?</v>
      </c>
      <c r="V249" t="e">
        <f ca="1"/>
        <v>#NAME?</v>
      </c>
      <c r="W249" t="e">
        <f ca="1"/>
        <v>#NAME?</v>
      </c>
      <c r="X249" t="e">
        <f ca="1"/>
        <v>#NAME?</v>
      </c>
    </row>
    <row r="250" spans="12:24" x14ac:dyDescent="0.25">
      <c r="L250" t="e">
        <f ca="1"/>
        <v>#NAME?</v>
      </c>
      <c r="M250" t="e">
        <f ca="1"/>
        <v>#NAME?</v>
      </c>
      <c r="S250" t="e">
        <f ca="1"/>
        <v>#NAME?</v>
      </c>
      <c r="U250" t="e">
        <f ca="1"/>
        <v>#NAME?</v>
      </c>
      <c r="V250" t="e">
        <f ca="1"/>
        <v>#NAME?</v>
      </c>
      <c r="W250" t="e">
        <f ca="1"/>
        <v>#NAME?</v>
      </c>
      <c r="X250" t="e">
        <f ca="1"/>
        <v>#NAME?</v>
      </c>
    </row>
    <row r="251" spans="12:24" x14ac:dyDescent="0.25">
      <c r="L251" t="e">
        <f ca="1"/>
        <v>#NAME?</v>
      </c>
      <c r="M251" t="e">
        <f ca="1"/>
        <v>#NAME?</v>
      </c>
      <c r="S251" t="e">
        <f ca="1"/>
        <v>#NAME?</v>
      </c>
      <c r="U251" t="e">
        <f ca="1"/>
        <v>#NAME?</v>
      </c>
      <c r="V251" t="e">
        <f ca="1"/>
        <v>#NAME?</v>
      </c>
      <c r="W251" t="e">
        <f ca="1"/>
        <v>#NAME?</v>
      </c>
      <c r="X251" t="e">
        <f ca="1"/>
        <v>#NAME?</v>
      </c>
    </row>
    <row r="252" spans="12:24" x14ac:dyDescent="0.25">
      <c r="L252" t="e">
        <f ca="1"/>
        <v>#NAME?</v>
      </c>
      <c r="M252" t="e">
        <f ca="1"/>
        <v>#NAME?</v>
      </c>
      <c r="S252" t="e">
        <f ca="1"/>
        <v>#NAME?</v>
      </c>
      <c r="U252" t="e">
        <f ca="1"/>
        <v>#NAME?</v>
      </c>
      <c r="V252" t="e">
        <f ca="1"/>
        <v>#NAME?</v>
      </c>
      <c r="W252" t="e">
        <f ca="1"/>
        <v>#NAME?</v>
      </c>
      <c r="X252" t="e">
        <f ca="1"/>
        <v>#NAME?</v>
      </c>
    </row>
    <row r="253" spans="12:24" x14ac:dyDescent="0.25">
      <c r="L253" t="e">
        <f ca="1"/>
        <v>#NAME?</v>
      </c>
      <c r="M253" t="e">
        <f ca="1"/>
        <v>#NAME?</v>
      </c>
      <c r="S253" t="e">
        <f ca="1"/>
        <v>#NAME?</v>
      </c>
      <c r="U253" t="e">
        <f ca="1"/>
        <v>#NAME?</v>
      </c>
      <c r="V253" t="e">
        <f ca="1"/>
        <v>#NAME?</v>
      </c>
      <c r="W253" t="e">
        <f ca="1"/>
        <v>#NAME?</v>
      </c>
      <c r="X253" t="e">
        <f ca="1"/>
        <v>#NAME?</v>
      </c>
    </row>
    <row r="254" spans="12:24" x14ac:dyDescent="0.25">
      <c r="L254" t="e">
        <f ca="1"/>
        <v>#NAME?</v>
      </c>
      <c r="M254" t="e">
        <f ca="1"/>
        <v>#NAME?</v>
      </c>
      <c r="S254" t="e">
        <f ca="1"/>
        <v>#NAME?</v>
      </c>
      <c r="U254" t="e">
        <f ca="1"/>
        <v>#NAME?</v>
      </c>
      <c r="V254" t="e">
        <f ca="1"/>
        <v>#NAME?</v>
      </c>
      <c r="W254" t="e">
        <f ca="1"/>
        <v>#NAME?</v>
      </c>
      <c r="X254" t="e">
        <f ca="1"/>
        <v>#NAME?</v>
      </c>
    </row>
    <row r="255" spans="12:24" x14ac:dyDescent="0.25">
      <c r="L255" t="e">
        <f ca="1"/>
        <v>#NAME?</v>
      </c>
      <c r="M255" t="e">
        <f ca="1"/>
        <v>#NAME?</v>
      </c>
      <c r="S255" t="e">
        <f ca="1"/>
        <v>#NAME?</v>
      </c>
      <c r="U255" t="e">
        <f ca="1"/>
        <v>#NAME?</v>
      </c>
      <c r="V255" t="e">
        <f ca="1"/>
        <v>#NAME?</v>
      </c>
      <c r="W255" t="e">
        <f ca="1"/>
        <v>#NAME?</v>
      </c>
      <c r="X255" t="e">
        <f ca="1"/>
        <v>#NAME?</v>
      </c>
    </row>
    <row r="256" spans="12:24" x14ac:dyDescent="0.25">
      <c r="L256" t="e">
        <f ca="1"/>
        <v>#NAME?</v>
      </c>
      <c r="M256" t="e">
        <f ca="1"/>
        <v>#NAME?</v>
      </c>
      <c r="S256" t="e">
        <f ca="1"/>
        <v>#NAME?</v>
      </c>
      <c r="U256" t="e">
        <f ca="1"/>
        <v>#NAME?</v>
      </c>
      <c r="V256" t="e">
        <f ca="1"/>
        <v>#NAME?</v>
      </c>
      <c r="W256" t="e">
        <f ca="1"/>
        <v>#NAME?</v>
      </c>
      <c r="X256" t="e">
        <f ca="1"/>
        <v>#NAME?</v>
      </c>
    </row>
    <row r="257" spans="12:24" x14ac:dyDescent="0.25">
      <c r="L257" t="e">
        <f ca="1"/>
        <v>#NAME?</v>
      </c>
      <c r="M257" t="e">
        <f ca="1"/>
        <v>#NAME?</v>
      </c>
      <c r="S257" t="e">
        <f ca="1"/>
        <v>#NAME?</v>
      </c>
      <c r="U257" t="e">
        <f ca="1"/>
        <v>#NAME?</v>
      </c>
      <c r="V257" t="e">
        <f ca="1"/>
        <v>#NAME?</v>
      </c>
      <c r="W257" t="e">
        <f ca="1"/>
        <v>#NAME?</v>
      </c>
      <c r="X257" t="e">
        <f ca="1"/>
        <v>#NAME?</v>
      </c>
    </row>
    <row r="258" spans="12:24" x14ac:dyDescent="0.25">
      <c r="L258" t="e">
        <f ca="1"/>
        <v>#NAME?</v>
      </c>
      <c r="M258" t="e">
        <f ca="1"/>
        <v>#NAME?</v>
      </c>
      <c r="S258" t="e">
        <f ca="1"/>
        <v>#NAME?</v>
      </c>
      <c r="U258" t="e">
        <f ca="1"/>
        <v>#NAME?</v>
      </c>
      <c r="V258" t="e">
        <f ca="1"/>
        <v>#NAME?</v>
      </c>
      <c r="W258" t="e">
        <f ca="1"/>
        <v>#NAME?</v>
      </c>
      <c r="X258" t="e">
        <f ca="1"/>
        <v>#NAME?</v>
      </c>
    </row>
    <row r="259" spans="12:24" x14ac:dyDescent="0.25">
      <c r="L259" t="e">
        <f ca="1"/>
        <v>#NAME?</v>
      </c>
      <c r="M259" t="e">
        <f ca="1"/>
        <v>#NAME?</v>
      </c>
      <c r="S259" t="e">
        <f ca="1"/>
        <v>#NAME?</v>
      </c>
      <c r="U259" t="e">
        <f ca="1"/>
        <v>#NAME?</v>
      </c>
      <c r="V259" t="e">
        <f ca="1"/>
        <v>#NAME?</v>
      </c>
      <c r="W259" t="e">
        <f ca="1"/>
        <v>#NAME?</v>
      </c>
      <c r="X259" t="e">
        <f ca="1"/>
        <v>#NAME?</v>
      </c>
    </row>
    <row r="260" spans="12:24" x14ac:dyDescent="0.25">
      <c r="L260" t="e">
        <f ca="1"/>
        <v>#NAME?</v>
      </c>
      <c r="M260" t="e">
        <f ca="1"/>
        <v>#NAME?</v>
      </c>
      <c r="S260" t="e">
        <f ca="1"/>
        <v>#NAME?</v>
      </c>
      <c r="U260" t="e">
        <f ca="1"/>
        <v>#NAME?</v>
      </c>
      <c r="V260" t="e">
        <f ca="1"/>
        <v>#NAME?</v>
      </c>
      <c r="W260" t="e">
        <f ca="1"/>
        <v>#NAME?</v>
      </c>
      <c r="X260" t="e">
        <f ca="1"/>
        <v>#NAME?</v>
      </c>
    </row>
    <row r="261" spans="12:24" x14ac:dyDescent="0.25">
      <c r="L261" t="e">
        <f ca="1"/>
        <v>#NAME?</v>
      </c>
      <c r="M261" t="e">
        <f ca="1"/>
        <v>#NAME?</v>
      </c>
      <c r="S261" t="e">
        <f ca="1"/>
        <v>#NAME?</v>
      </c>
      <c r="U261" t="e">
        <f ca="1"/>
        <v>#NAME?</v>
      </c>
      <c r="V261" t="e">
        <f ca="1"/>
        <v>#NAME?</v>
      </c>
      <c r="W261" t="e">
        <f ca="1"/>
        <v>#NAME?</v>
      </c>
      <c r="X261" t="e">
        <f ca="1"/>
        <v>#NAME?</v>
      </c>
    </row>
    <row r="262" spans="12:24" x14ac:dyDescent="0.25">
      <c r="L262" t="e">
        <f ca="1"/>
        <v>#NAME?</v>
      </c>
      <c r="M262" t="e">
        <f ca="1"/>
        <v>#NAME?</v>
      </c>
      <c r="S262" t="e">
        <f ca="1"/>
        <v>#NAME?</v>
      </c>
      <c r="U262" t="e">
        <f ca="1"/>
        <v>#NAME?</v>
      </c>
      <c r="V262" t="e">
        <f ca="1"/>
        <v>#NAME?</v>
      </c>
      <c r="W262" t="e">
        <f ca="1"/>
        <v>#NAME?</v>
      </c>
      <c r="X262" t="e">
        <f ca="1"/>
        <v>#NAME?</v>
      </c>
    </row>
    <row r="263" spans="12:24" x14ac:dyDescent="0.25">
      <c r="L263" t="e">
        <f ca="1"/>
        <v>#NAME?</v>
      </c>
      <c r="M263" t="e">
        <f ca="1"/>
        <v>#NAME?</v>
      </c>
      <c r="S263" t="e">
        <f ca="1"/>
        <v>#NAME?</v>
      </c>
      <c r="U263" t="e">
        <f ca="1"/>
        <v>#NAME?</v>
      </c>
      <c r="V263" t="e">
        <f ca="1"/>
        <v>#NAME?</v>
      </c>
      <c r="W263" t="e">
        <f ca="1"/>
        <v>#NAME?</v>
      </c>
      <c r="X263" t="e">
        <f ca="1"/>
        <v>#NAME?</v>
      </c>
    </row>
    <row r="264" spans="12:24" x14ac:dyDescent="0.25">
      <c r="L264" t="e">
        <f ca="1"/>
        <v>#NAME?</v>
      </c>
      <c r="M264" t="e">
        <f ca="1"/>
        <v>#NAME?</v>
      </c>
      <c r="S264" t="e">
        <f ca="1"/>
        <v>#NAME?</v>
      </c>
      <c r="U264" t="e">
        <f ca="1"/>
        <v>#NAME?</v>
      </c>
      <c r="V264" t="e">
        <f ca="1"/>
        <v>#NAME?</v>
      </c>
      <c r="W264" t="e">
        <f ca="1"/>
        <v>#NAME?</v>
      </c>
      <c r="X264" t="e">
        <f ca="1"/>
        <v>#NAME?</v>
      </c>
    </row>
    <row r="265" spans="12:24" x14ac:dyDescent="0.25">
      <c r="L265" t="e">
        <f ca="1"/>
        <v>#NAME?</v>
      </c>
      <c r="M265" t="e">
        <f ca="1"/>
        <v>#NAME?</v>
      </c>
      <c r="S265" t="e">
        <f ca="1"/>
        <v>#NAME?</v>
      </c>
      <c r="U265" t="e">
        <f ca="1"/>
        <v>#NAME?</v>
      </c>
      <c r="V265" t="e">
        <f ca="1"/>
        <v>#NAME?</v>
      </c>
      <c r="W265" t="e">
        <f ca="1"/>
        <v>#NAME?</v>
      </c>
      <c r="X265" t="e">
        <f ca="1"/>
        <v>#NAME?</v>
      </c>
    </row>
    <row r="266" spans="12:24" x14ac:dyDescent="0.25">
      <c r="L266" t="e">
        <f ca="1"/>
        <v>#NAME?</v>
      </c>
      <c r="M266" t="e">
        <f ca="1"/>
        <v>#NAME?</v>
      </c>
      <c r="S266" t="e">
        <f ca="1"/>
        <v>#NAME?</v>
      </c>
      <c r="U266" t="e">
        <f ca="1"/>
        <v>#NAME?</v>
      </c>
      <c r="V266" t="e">
        <f ca="1"/>
        <v>#NAME?</v>
      </c>
      <c r="W266" t="e">
        <f ca="1"/>
        <v>#NAME?</v>
      </c>
      <c r="X266" t="e">
        <f ca="1"/>
        <v>#NAME?</v>
      </c>
    </row>
    <row r="267" spans="12:24" x14ac:dyDescent="0.25">
      <c r="L267" t="e">
        <f ca="1"/>
        <v>#NAME?</v>
      </c>
      <c r="M267" t="e">
        <f ca="1"/>
        <v>#NAME?</v>
      </c>
      <c r="S267" t="e">
        <f ca="1"/>
        <v>#NAME?</v>
      </c>
      <c r="U267" t="e">
        <f ca="1"/>
        <v>#NAME?</v>
      </c>
      <c r="V267" t="e">
        <f ca="1"/>
        <v>#NAME?</v>
      </c>
      <c r="W267" t="e">
        <f ca="1"/>
        <v>#NAME?</v>
      </c>
      <c r="X267" t="e">
        <f ca="1"/>
        <v>#NAME?</v>
      </c>
    </row>
    <row r="268" spans="12:24" x14ac:dyDescent="0.25">
      <c r="L268" t="e">
        <f ca="1"/>
        <v>#NAME?</v>
      </c>
      <c r="M268" t="e">
        <f ca="1"/>
        <v>#NAME?</v>
      </c>
      <c r="S268" t="e">
        <f ca="1"/>
        <v>#NAME?</v>
      </c>
      <c r="U268" t="e">
        <f ca="1"/>
        <v>#NAME?</v>
      </c>
      <c r="V268" t="e">
        <f ca="1"/>
        <v>#NAME?</v>
      </c>
      <c r="W268" t="e">
        <f ca="1"/>
        <v>#NAME?</v>
      </c>
      <c r="X268" t="e">
        <f ca="1"/>
        <v>#NAME?</v>
      </c>
    </row>
    <row r="269" spans="12:24" x14ac:dyDescent="0.25">
      <c r="L269" t="e">
        <f ca="1"/>
        <v>#NAME?</v>
      </c>
      <c r="M269" t="e">
        <f ca="1"/>
        <v>#NAME?</v>
      </c>
      <c r="S269" t="e">
        <f ca="1"/>
        <v>#NAME?</v>
      </c>
      <c r="U269" t="e">
        <f ca="1"/>
        <v>#NAME?</v>
      </c>
      <c r="V269" t="e">
        <f ca="1"/>
        <v>#NAME?</v>
      </c>
      <c r="W269" t="e">
        <f ca="1"/>
        <v>#NAME?</v>
      </c>
      <c r="X269" t="e">
        <f ca="1"/>
        <v>#NAME?</v>
      </c>
    </row>
    <row r="270" spans="12:24" x14ac:dyDescent="0.25">
      <c r="L270" t="e">
        <f ca="1"/>
        <v>#NAME?</v>
      </c>
      <c r="M270" t="e">
        <f ca="1"/>
        <v>#NAME?</v>
      </c>
      <c r="S270" t="e">
        <f ca="1"/>
        <v>#NAME?</v>
      </c>
      <c r="U270" t="e">
        <f ca="1"/>
        <v>#NAME?</v>
      </c>
      <c r="V270" t="e">
        <f ca="1"/>
        <v>#NAME?</v>
      </c>
      <c r="W270" t="e">
        <f ca="1"/>
        <v>#NAME?</v>
      </c>
      <c r="X270" t="e">
        <f ca="1"/>
        <v>#NAME?</v>
      </c>
    </row>
    <row r="271" spans="12:24" x14ac:dyDescent="0.25">
      <c r="L271" t="e">
        <f ca="1"/>
        <v>#NAME?</v>
      </c>
      <c r="M271" t="e">
        <f ca="1"/>
        <v>#NAME?</v>
      </c>
      <c r="S271" t="e">
        <f ca="1"/>
        <v>#NAME?</v>
      </c>
      <c r="U271" t="e">
        <f ca="1"/>
        <v>#NAME?</v>
      </c>
      <c r="V271" t="e">
        <f ca="1"/>
        <v>#NAME?</v>
      </c>
      <c r="W271" t="e">
        <f ca="1"/>
        <v>#NAME?</v>
      </c>
      <c r="X271" t="e">
        <f ca="1"/>
        <v>#NAME?</v>
      </c>
    </row>
    <row r="272" spans="12:24" x14ac:dyDescent="0.25">
      <c r="L272" t="e">
        <f ca="1"/>
        <v>#NAME?</v>
      </c>
      <c r="M272" t="e">
        <f ca="1"/>
        <v>#NAME?</v>
      </c>
      <c r="S272" t="e">
        <f ca="1"/>
        <v>#NAME?</v>
      </c>
      <c r="U272" t="e">
        <f ca="1"/>
        <v>#NAME?</v>
      </c>
      <c r="V272" t="e">
        <f ca="1"/>
        <v>#NAME?</v>
      </c>
      <c r="W272" t="e">
        <f ca="1"/>
        <v>#NAME?</v>
      </c>
      <c r="X272" t="e">
        <f ca="1"/>
        <v>#NAME?</v>
      </c>
    </row>
    <row r="273" spans="12:24" x14ac:dyDescent="0.25">
      <c r="L273" t="e">
        <f ca="1"/>
        <v>#NAME?</v>
      </c>
      <c r="M273" t="e">
        <f ca="1"/>
        <v>#NAME?</v>
      </c>
      <c r="S273" t="e">
        <f ca="1"/>
        <v>#NAME?</v>
      </c>
      <c r="U273" t="e">
        <f ca="1"/>
        <v>#NAME?</v>
      </c>
      <c r="V273" t="e">
        <f ca="1"/>
        <v>#NAME?</v>
      </c>
      <c r="W273" t="e">
        <f ca="1"/>
        <v>#NAME?</v>
      </c>
      <c r="X273" t="e">
        <f ca="1"/>
        <v>#NAME?</v>
      </c>
    </row>
    <row r="274" spans="12:24" x14ac:dyDescent="0.25">
      <c r="L274" t="e">
        <f ca="1"/>
        <v>#NAME?</v>
      </c>
      <c r="M274" t="e">
        <f ca="1"/>
        <v>#NAME?</v>
      </c>
      <c r="S274" t="e">
        <f ca="1"/>
        <v>#NAME?</v>
      </c>
      <c r="U274" t="e">
        <f ca="1"/>
        <v>#NAME?</v>
      </c>
      <c r="V274" t="e">
        <f ca="1"/>
        <v>#NAME?</v>
      </c>
      <c r="W274" t="e">
        <f ca="1"/>
        <v>#NAME?</v>
      </c>
      <c r="X274" t="e">
        <f ca="1"/>
        <v>#NAME?</v>
      </c>
    </row>
    <row r="275" spans="12:24" x14ac:dyDescent="0.25">
      <c r="L275" t="e">
        <f ca="1"/>
        <v>#NAME?</v>
      </c>
      <c r="M275" t="e">
        <f ca="1"/>
        <v>#NAME?</v>
      </c>
      <c r="S275" t="e">
        <f ca="1"/>
        <v>#NAME?</v>
      </c>
      <c r="U275" t="e">
        <f ca="1"/>
        <v>#NAME?</v>
      </c>
      <c r="V275" t="e">
        <f ca="1"/>
        <v>#NAME?</v>
      </c>
      <c r="W275" t="e">
        <f ca="1"/>
        <v>#NAME?</v>
      </c>
      <c r="X275" t="e">
        <f ca="1"/>
        <v>#NAME?</v>
      </c>
    </row>
    <row r="276" spans="12:24" x14ac:dyDescent="0.25">
      <c r="L276" t="e">
        <f ca="1"/>
        <v>#NAME?</v>
      </c>
      <c r="M276" t="e">
        <f ca="1"/>
        <v>#NAME?</v>
      </c>
      <c r="S276" t="e">
        <f ca="1"/>
        <v>#NAME?</v>
      </c>
      <c r="U276" t="e">
        <f ca="1"/>
        <v>#NAME?</v>
      </c>
      <c r="V276" t="e">
        <f ca="1"/>
        <v>#NAME?</v>
      </c>
      <c r="W276" t="e">
        <f ca="1"/>
        <v>#NAME?</v>
      </c>
      <c r="X276" t="e">
        <f ca="1"/>
        <v>#NAME?</v>
      </c>
    </row>
    <row r="277" spans="12:24" x14ac:dyDescent="0.25">
      <c r="L277" t="e">
        <f ca="1"/>
        <v>#NAME?</v>
      </c>
      <c r="M277" t="e">
        <f ca="1"/>
        <v>#NAME?</v>
      </c>
      <c r="S277" t="e">
        <f ca="1"/>
        <v>#NAME?</v>
      </c>
      <c r="U277" t="e">
        <f ca="1"/>
        <v>#NAME?</v>
      </c>
      <c r="V277" t="e">
        <f ca="1"/>
        <v>#NAME?</v>
      </c>
      <c r="W277" t="e">
        <f ca="1"/>
        <v>#NAME?</v>
      </c>
      <c r="X277" t="e">
        <f ca="1"/>
        <v>#NAME?</v>
      </c>
    </row>
    <row r="278" spans="12:24" x14ac:dyDescent="0.25">
      <c r="L278" t="e">
        <f ca="1"/>
        <v>#NAME?</v>
      </c>
      <c r="M278" t="e">
        <f ca="1"/>
        <v>#NAME?</v>
      </c>
      <c r="S278" t="e">
        <f ca="1"/>
        <v>#NAME?</v>
      </c>
      <c r="U278" t="e">
        <f ca="1"/>
        <v>#NAME?</v>
      </c>
      <c r="V278" t="e">
        <f ca="1"/>
        <v>#NAME?</v>
      </c>
      <c r="W278" t="e">
        <f ca="1"/>
        <v>#NAME?</v>
      </c>
      <c r="X278" t="e">
        <f ca="1"/>
        <v>#NAME?</v>
      </c>
    </row>
    <row r="279" spans="12:24" x14ac:dyDescent="0.25">
      <c r="L279" t="e">
        <f ca="1"/>
        <v>#NAME?</v>
      </c>
      <c r="M279" t="e">
        <f ca="1"/>
        <v>#NAME?</v>
      </c>
      <c r="S279" t="e">
        <f ca="1"/>
        <v>#NAME?</v>
      </c>
      <c r="U279" t="e">
        <f ca="1"/>
        <v>#NAME?</v>
      </c>
      <c r="V279" t="e">
        <f ca="1"/>
        <v>#NAME?</v>
      </c>
      <c r="W279" t="e">
        <f ca="1"/>
        <v>#NAME?</v>
      </c>
      <c r="X279" t="e">
        <f ca="1"/>
        <v>#NAME?</v>
      </c>
    </row>
    <row r="280" spans="12:24" x14ac:dyDescent="0.25">
      <c r="L280" t="e">
        <f ca="1"/>
        <v>#NAME?</v>
      </c>
      <c r="M280" t="e">
        <f ca="1"/>
        <v>#NAME?</v>
      </c>
      <c r="S280" t="e">
        <f ca="1"/>
        <v>#NAME?</v>
      </c>
      <c r="U280" t="e">
        <f ca="1"/>
        <v>#NAME?</v>
      </c>
      <c r="V280" t="e">
        <f ca="1"/>
        <v>#NAME?</v>
      </c>
      <c r="W280" t="e">
        <f ca="1"/>
        <v>#NAME?</v>
      </c>
      <c r="X280" t="e">
        <f ca="1"/>
        <v>#NAME?</v>
      </c>
    </row>
    <row r="281" spans="12:24" x14ac:dyDescent="0.25">
      <c r="L281" t="e">
        <f ca="1"/>
        <v>#NAME?</v>
      </c>
      <c r="M281" t="e">
        <f ca="1"/>
        <v>#NAME?</v>
      </c>
      <c r="S281" t="e">
        <f ca="1"/>
        <v>#NAME?</v>
      </c>
      <c r="U281" t="e">
        <f ca="1"/>
        <v>#NAME?</v>
      </c>
      <c r="V281" t="e">
        <f ca="1"/>
        <v>#NAME?</v>
      </c>
      <c r="W281" t="e">
        <f ca="1"/>
        <v>#NAME?</v>
      </c>
      <c r="X281" t="e">
        <f ca="1"/>
        <v>#NAME?</v>
      </c>
    </row>
    <row r="282" spans="12:24" x14ac:dyDescent="0.25">
      <c r="L282" t="e">
        <f ca="1"/>
        <v>#NAME?</v>
      </c>
      <c r="M282" t="e">
        <f ca="1"/>
        <v>#NAME?</v>
      </c>
      <c r="S282" t="e">
        <f ca="1"/>
        <v>#NAME?</v>
      </c>
      <c r="U282" t="e">
        <f ca="1"/>
        <v>#NAME?</v>
      </c>
      <c r="V282" t="e">
        <f ca="1"/>
        <v>#NAME?</v>
      </c>
      <c r="W282" t="e">
        <f ca="1"/>
        <v>#NAME?</v>
      </c>
      <c r="X282" t="e">
        <f ca="1"/>
        <v>#NAME?</v>
      </c>
    </row>
    <row r="283" spans="12:24" x14ac:dyDescent="0.25">
      <c r="L283" t="e">
        <f ca="1"/>
        <v>#NAME?</v>
      </c>
      <c r="M283" t="e">
        <f ca="1"/>
        <v>#NAME?</v>
      </c>
      <c r="S283" t="e">
        <f ca="1"/>
        <v>#NAME?</v>
      </c>
      <c r="U283" t="e">
        <f ca="1"/>
        <v>#NAME?</v>
      </c>
      <c r="V283" t="e">
        <f ca="1"/>
        <v>#NAME?</v>
      </c>
      <c r="W283" t="e">
        <f ca="1"/>
        <v>#NAME?</v>
      </c>
      <c r="X283" t="e">
        <f ca="1"/>
        <v>#NAME?</v>
      </c>
    </row>
    <row r="284" spans="12:24" x14ac:dyDescent="0.25">
      <c r="L284" t="e">
        <f ca="1"/>
        <v>#NAME?</v>
      </c>
      <c r="M284" t="e">
        <f ca="1"/>
        <v>#NAME?</v>
      </c>
      <c r="S284" t="e">
        <f ca="1"/>
        <v>#NAME?</v>
      </c>
      <c r="U284" t="e">
        <f ca="1"/>
        <v>#NAME?</v>
      </c>
      <c r="V284" t="e">
        <f ca="1"/>
        <v>#NAME?</v>
      </c>
      <c r="W284" t="e">
        <f ca="1"/>
        <v>#NAME?</v>
      </c>
      <c r="X284" t="e">
        <f ca="1"/>
        <v>#NAME?</v>
      </c>
    </row>
    <row r="285" spans="12:24" x14ac:dyDescent="0.25">
      <c r="L285" t="e">
        <f ca="1"/>
        <v>#NAME?</v>
      </c>
      <c r="M285" t="e">
        <f ca="1"/>
        <v>#NAME?</v>
      </c>
      <c r="S285" t="e">
        <f ca="1"/>
        <v>#NAME?</v>
      </c>
      <c r="U285" t="e">
        <f ca="1"/>
        <v>#NAME?</v>
      </c>
      <c r="V285" t="e">
        <f ca="1"/>
        <v>#NAME?</v>
      </c>
      <c r="W285" t="e">
        <f ca="1"/>
        <v>#NAME?</v>
      </c>
      <c r="X285" t="e">
        <f ca="1"/>
        <v>#NAME?</v>
      </c>
    </row>
    <row r="286" spans="12:24" x14ac:dyDescent="0.25">
      <c r="L286" t="e">
        <f ca="1"/>
        <v>#NAME?</v>
      </c>
      <c r="M286" t="e">
        <f ca="1"/>
        <v>#NAME?</v>
      </c>
      <c r="S286" t="e">
        <f ca="1"/>
        <v>#NAME?</v>
      </c>
      <c r="U286" t="e">
        <f ca="1"/>
        <v>#NAME?</v>
      </c>
      <c r="V286" t="e">
        <f ca="1"/>
        <v>#NAME?</v>
      </c>
      <c r="W286" t="e">
        <f ca="1"/>
        <v>#NAME?</v>
      </c>
      <c r="X286" t="e">
        <f ca="1"/>
        <v>#NAME?</v>
      </c>
    </row>
    <row r="287" spans="12:24" x14ac:dyDescent="0.25">
      <c r="L287" t="e">
        <f ca="1"/>
        <v>#NAME?</v>
      </c>
      <c r="M287" t="e">
        <f ca="1"/>
        <v>#NAME?</v>
      </c>
      <c r="S287" t="e">
        <f ca="1"/>
        <v>#NAME?</v>
      </c>
      <c r="U287" t="e">
        <f ca="1"/>
        <v>#NAME?</v>
      </c>
      <c r="V287" t="e">
        <f ca="1"/>
        <v>#NAME?</v>
      </c>
      <c r="W287" t="e">
        <f ca="1"/>
        <v>#NAME?</v>
      </c>
      <c r="X287" t="e">
        <f ca="1"/>
        <v>#NAME?</v>
      </c>
    </row>
    <row r="288" spans="12:24" x14ac:dyDescent="0.25">
      <c r="L288" t="e">
        <f ca="1"/>
        <v>#NAME?</v>
      </c>
      <c r="M288" t="e">
        <f ca="1"/>
        <v>#NAME?</v>
      </c>
      <c r="S288" t="e">
        <f ca="1"/>
        <v>#NAME?</v>
      </c>
      <c r="U288" t="e">
        <f ca="1"/>
        <v>#NAME?</v>
      </c>
      <c r="V288" t="e">
        <f ca="1"/>
        <v>#NAME?</v>
      </c>
      <c r="W288" t="e">
        <f ca="1"/>
        <v>#NAME?</v>
      </c>
      <c r="X288" t="e">
        <f ca="1"/>
        <v>#NAME?</v>
      </c>
    </row>
    <row r="289" spans="12:24" x14ac:dyDescent="0.25">
      <c r="L289" t="e">
        <f ca="1"/>
        <v>#NAME?</v>
      </c>
      <c r="M289" t="e">
        <f ca="1"/>
        <v>#NAME?</v>
      </c>
      <c r="S289" t="e">
        <f ca="1"/>
        <v>#NAME?</v>
      </c>
      <c r="U289" t="e">
        <f ca="1"/>
        <v>#NAME?</v>
      </c>
      <c r="V289" t="e">
        <f ca="1"/>
        <v>#NAME?</v>
      </c>
      <c r="W289" t="e">
        <f ca="1"/>
        <v>#NAME?</v>
      </c>
      <c r="X289" t="e">
        <f ca="1"/>
        <v>#NAME?</v>
      </c>
    </row>
    <row r="290" spans="12:24" x14ac:dyDescent="0.25">
      <c r="L290" t="e">
        <f ca="1"/>
        <v>#NAME?</v>
      </c>
      <c r="M290" t="e">
        <f ca="1"/>
        <v>#NAME?</v>
      </c>
      <c r="S290" t="e">
        <f ca="1"/>
        <v>#NAME?</v>
      </c>
      <c r="U290" t="e">
        <f ca="1"/>
        <v>#NAME?</v>
      </c>
      <c r="V290" t="e">
        <f ca="1"/>
        <v>#NAME?</v>
      </c>
      <c r="W290" t="e">
        <f ca="1"/>
        <v>#NAME?</v>
      </c>
      <c r="X290" t="e">
        <f ca="1"/>
        <v>#NAME?</v>
      </c>
    </row>
    <row r="291" spans="12:24" x14ac:dyDescent="0.25">
      <c r="L291" t="e">
        <f ca="1"/>
        <v>#NAME?</v>
      </c>
      <c r="M291" t="e">
        <f ca="1"/>
        <v>#NAME?</v>
      </c>
      <c r="S291" t="e">
        <f ca="1"/>
        <v>#NAME?</v>
      </c>
      <c r="U291" t="e">
        <f ca="1"/>
        <v>#NAME?</v>
      </c>
      <c r="V291" t="e">
        <f ca="1"/>
        <v>#NAME?</v>
      </c>
      <c r="W291" t="e">
        <f ca="1"/>
        <v>#NAME?</v>
      </c>
      <c r="X291" t="e">
        <f ca="1"/>
        <v>#NAME?</v>
      </c>
    </row>
    <row r="292" spans="12:24" x14ac:dyDescent="0.25">
      <c r="L292" t="e">
        <f ca="1"/>
        <v>#NAME?</v>
      </c>
      <c r="M292" t="e">
        <f ca="1"/>
        <v>#NAME?</v>
      </c>
      <c r="S292" t="e">
        <f ca="1"/>
        <v>#NAME?</v>
      </c>
      <c r="U292" t="e">
        <f ca="1"/>
        <v>#NAME?</v>
      </c>
      <c r="V292" t="e">
        <f ca="1"/>
        <v>#NAME?</v>
      </c>
      <c r="W292" t="e">
        <f ca="1"/>
        <v>#NAME?</v>
      </c>
      <c r="X292" t="e">
        <f ca="1"/>
        <v>#NAME?</v>
      </c>
    </row>
    <row r="293" spans="12:24" x14ac:dyDescent="0.25">
      <c r="L293" t="e">
        <f ca="1"/>
        <v>#NAME?</v>
      </c>
      <c r="M293" t="e">
        <f ca="1"/>
        <v>#NAME?</v>
      </c>
      <c r="S293" t="e">
        <f ca="1"/>
        <v>#NAME?</v>
      </c>
      <c r="U293" t="e">
        <f ca="1"/>
        <v>#NAME?</v>
      </c>
      <c r="V293" t="e">
        <f ca="1"/>
        <v>#NAME?</v>
      </c>
      <c r="W293" t="e">
        <f ca="1"/>
        <v>#NAME?</v>
      </c>
      <c r="X293" t="e">
        <f ca="1"/>
        <v>#NAME?</v>
      </c>
    </row>
    <row r="294" spans="12:24" x14ac:dyDescent="0.25">
      <c r="L294" t="e">
        <f ca="1"/>
        <v>#NAME?</v>
      </c>
      <c r="M294" t="e">
        <f ca="1"/>
        <v>#NAME?</v>
      </c>
      <c r="S294" t="e">
        <f ca="1"/>
        <v>#NAME?</v>
      </c>
      <c r="U294" t="e">
        <f ca="1"/>
        <v>#NAME?</v>
      </c>
      <c r="V294" t="e">
        <f ca="1"/>
        <v>#NAME?</v>
      </c>
      <c r="W294" t="e">
        <f ca="1"/>
        <v>#NAME?</v>
      </c>
      <c r="X294" t="e">
        <f ca="1"/>
        <v>#NAME?</v>
      </c>
    </row>
    <row r="295" spans="12:24" x14ac:dyDescent="0.25">
      <c r="L295" t="e">
        <f ca="1"/>
        <v>#NAME?</v>
      </c>
      <c r="M295" t="e">
        <f ca="1"/>
        <v>#NAME?</v>
      </c>
      <c r="S295" t="e">
        <f ca="1"/>
        <v>#NAME?</v>
      </c>
      <c r="U295" t="e">
        <f ca="1"/>
        <v>#NAME?</v>
      </c>
      <c r="V295" t="e">
        <f ca="1"/>
        <v>#NAME?</v>
      </c>
      <c r="W295" t="e">
        <f ca="1"/>
        <v>#NAME?</v>
      </c>
      <c r="X295" t="e">
        <f ca="1"/>
        <v>#NAME?</v>
      </c>
    </row>
    <row r="296" spans="12:24" x14ac:dyDescent="0.25">
      <c r="L296" t="e">
        <f ca="1"/>
        <v>#NAME?</v>
      </c>
      <c r="M296" t="e">
        <f ca="1"/>
        <v>#NAME?</v>
      </c>
      <c r="S296" t="e">
        <f ca="1"/>
        <v>#NAME?</v>
      </c>
      <c r="U296" t="e">
        <f ca="1"/>
        <v>#NAME?</v>
      </c>
      <c r="V296" t="e">
        <f ca="1"/>
        <v>#NAME?</v>
      </c>
      <c r="W296" t="e">
        <f ca="1"/>
        <v>#NAME?</v>
      </c>
      <c r="X296" t="e">
        <f ca="1"/>
        <v>#NAME?</v>
      </c>
    </row>
    <row r="297" spans="12:24" x14ac:dyDescent="0.25">
      <c r="L297" t="e">
        <f ca="1"/>
        <v>#NAME?</v>
      </c>
      <c r="M297" t="e">
        <f ca="1"/>
        <v>#NAME?</v>
      </c>
      <c r="S297" t="e">
        <f ca="1"/>
        <v>#NAME?</v>
      </c>
      <c r="U297" t="e">
        <f ca="1"/>
        <v>#NAME?</v>
      </c>
      <c r="V297" t="e">
        <f ca="1"/>
        <v>#NAME?</v>
      </c>
      <c r="W297" t="e">
        <f ca="1"/>
        <v>#NAME?</v>
      </c>
      <c r="X297" t="e">
        <f ca="1"/>
        <v>#NAME?</v>
      </c>
    </row>
    <row r="298" spans="12:24" x14ac:dyDescent="0.25">
      <c r="L298" t="e">
        <f ca="1"/>
        <v>#NAME?</v>
      </c>
      <c r="M298" t="e">
        <f ca="1"/>
        <v>#NAME?</v>
      </c>
      <c r="S298" t="e">
        <f ca="1"/>
        <v>#NAME?</v>
      </c>
      <c r="U298" t="e">
        <f ca="1"/>
        <v>#NAME?</v>
      </c>
      <c r="V298" t="e">
        <f ca="1"/>
        <v>#NAME?</v>
      </c>
      <c r="W298" t="e">
        <f ca="1"/>
        <v>#NAME?</v>
      </c>
      <c r="X298" t="e">
        <f ca="1"/>
        <v>#NAME?</v>
      </c>
    </row>
    <row r="299" spans="12:24" x14ac:dyDescent="0.25">
      <c r="L299" t="e">
        <f ca="1"/>
        <v>#NAME?</v>
      </c>
      <c r="M299" t="e">
        <f ca="1"/>
        <v>#NAME?</v>
      </c>
      <c r="S299" t="e">
        <f ca="1"/>
        <v>#NAME?</v>
      </c>
      <c r="U299" t="e">
        <f ca="1"/>
        <v>#NAME?</v>
      </c>
      <c r="V299" t="e">
        <f ca="1"/>
        <v>#NAME?</v>
      </c>
      <c r="W299" t="e">
        <f ca="1"/>
        <v>#NAME?</v>
      </c>
      <c r="X299" t="e">
        <f ca="1"/>
        <v>#NAME?</v>
      </c>
    </row>
    <row r="300" spans="12:24" x14ac:dyDescent="0.25">
      <c r="L300" t="e">
        <f ca="1"/>
        <v>#NAME?</v>
      </c>
      <c r="M300" t="e">
        <f ca="1"/>
        <v>#NAME?</v>
      </c>
      <c r="S300" t="e">
        <f ca="1"/>
        <v>#NAME?</v>
      </c>
      <c r="U300" t="e">
        <f ca="1"/>
        <v>#NAME?</v>
      </c>
      <c r="V300" t="e">
        <f ca="1"/>
        <v>#NAME?</v>
      </c>
      <c r="W300" t="e">
        <f ca="1"/>
        <v>#NAME?</v>
      </c>
      <c r="X300" t="e">
        <f ca="1"/>
        <v>#NAME?</v>
      </c>
    </row>
    <row r="301" spans="12:24" x14ac:dyDescent="0.25">
      <c r="L301" t="e">
        <f ca="1"/>
        <v>#NAME?</v>
      </c>
      <c r="M301" t="e">
        <f ca="1"/>
        <v>#NAME?</v>
      </c>
      <c r="S301" t="e">
        <f ca="1"/>
        <v>#NAME?</v>
      </c>
      <c r="U301" t="e">
        <f ca="1"/>
        <v>#NAME?</v>
      </c>
      <c r="V301" t="e">
        <f ca="1"/>
        <v>#NAME?</v>
      </c>
      <c r="W301" t="e">
        <f ca="1"/>
        <v>#NAME?</v>
      </c>
      <c r="X301" t="e">
        <f ca="1"/>
        <v>#NAME?</v>
      </c>
    </row>
    <row r="302" spans="12:24" x14ac:dyDescent="0.25">
      <c r="L302" t="e">
        <f ca="1"/>
        <v>#NAME?</v>
      </c>
      <c r="M302" t="e">
        <f ca="1"/>
        <v>#NAME?</v>
      </c>
      <c r="S302" t="e">
        <f ca="1"/>
        <v>#NAME?</v>
      </c>
      <c r="U302" t="e">
        <f ca="1"/>
        <v>#NAME?</v>
      </c>
      <c r="V302" t="e">
        <f ca="1"/>
        <v>#NAME?</v>
      </c>
      <c r="W302" t="e">
        <f ca="1"/>
        <v>#NAME?</v>
      </c>
      <c r="X302" t="e">
        <f ca="1"/>
        <v>#NAME?</v>
      </c>
    </row>
    <row r="303" spans="12:24" x14ac:dyDescent="0.25">
      <c r="L303" t="e">
        <f ca="1"/>
        <v>#NAME?</v>
      </c>
      <c r="M303" t="e">
        <f ca="1"/>
        <v>#NAME?</v>
      </c>
      <c r="S303" t="e">
        <f ca="1"/>
        <v>#NAME?</v>
      </c>
      <c r="U303" t="e">
        <f ca="1"/>
        <v>#NAME?</v>
      </c>
      <c r="V303" t="e">
        <f ca="1"/>
        <v>#NAME?</v>
      </c>
      <c r="W303" t="e">
        <f ca="1"/>
        <v>#NAME?</v>
      </c>
      <c r="X303" t="e">
        <f ca="1"/>
        <v>#NAME?</v>
      </c>
    </row>
    <row r="304" spans="12:24" x14ac:dyDescent="0.25">
      <c r="L304" t="e">
        <f ca="1"/>
        <v>#NAME?</v>
      </c>
      <c r="M304" t="e">
        <f ca="1"/>
        <v>#NAME?</v>
      </c>
      <c r="S304" t="e">
        <f ca="1"/>
        <v>#NAME?</v>
      </c>
      <c r="U304" t="e">
        <f ca="1"/>
        <v>#NAME?</v>
      </c>
      <c r="V304" t="e">
        <f ca="1"/>
        <v>#NAME?</v>
      </c>
      <c r="W304" t="e">
        <f ca="1"/>
        <v>#NAME?</v>
      </c>
      <c r="X304" t="e">
        <f ca="1"/>
        <v>#NAME?</v>
      </c>
    </row>
    <row r="305" spans="12:24" x14ac:dyDescent="0.25">
      <c r="L305" t="e">
        <f ca="1"/>
        <v>#NAME?</v>
      </c>
      <c r="M305" t="e">
        <f ca="1"/>
        <v>#NAME?</v>
      </c>
      <c r="S305" t="e">
        <f ca="1"/>
        <v>#NAME?</v>
      </c>
      <c r="U305" t="e">
        <f ca="1"/>
        <v>#NAME?</v>
      </c>
      <c r="V305" t="e">
        <f ca="1"/>
        <v>#NAME?</v>
      </c>
      <c r="W305" t="e">
        <f ca="1"/>
        <v>#NAME?</v>
      </c>
      <c r="X305" t="e">
        <f ca="1"/>
        <v>#NAME?</v>
      </c>
    </row>
    <row r="306" spans="12:24" x14ac:dyDescent="0.25">
      <c r="L306" t="e">
        <f ca="1"/>
        <v>#NAME?</v>
      </c>
      <c r="M306" t="e">
        <f ca="1"/>
        <v>#NAME?</v>
      </c>
      <c r="S306" t="e">
        <f ca="1"/>
        <v>#NAME?</v>
      </c>
      <c r="U306" t="e">
        <f ca="1"/>
        <v>#NAME?</v>
      </c>
      <c r="V306" t="e">
        <f ca="1"/>
        <v>#NAME?</v>
      </c>
      <c r="W306" t="e">
        <f ca="1"/>
        <v>#NAME?</v>
      </c>
      <c r="X306" t="e">
        <f ca="1"/>
        <v>#NAME?</v>
      </c>
    </row>
    <row r="307" spans="12:24" x14ac:dyDescent="0.25">
      <c r="L307" t="e">
        <f ca="1"/>
        <v>#NAME?</v>
      </c>
      <c r="M307" t="e">
        <f ca="1"/>
        <v>#NAME?</v>
      </c>
      <c r="S307" t="e">
        <f ca="1"/>
        <v>#NAME?</v>
      </c>
      <c r="U307" t="e">
        <f ca="1"/>
        <v>#NAME?</v>
      </c>
      <c r="V307" t="e">
        <f ca="1"/>
        <v>#NAME?</v>
      </c>
      <c r="W307" t="e">
        <f ca="1"/>
        <v>#NAME?</v>
      </c>
      <c r="X307" t="e">
        <f ca="1"/>
        <v>#NAME?</v>
      </c>
    </row>
    <row r="308" spans="12:24" x14ac:dyDescent="0.25">
      <c r="L308" t="e">
        <f ca="1"/>
        <v>#NAME?</v>
      </c>
      <c r="M308" t="e">
        <f ca="1"/>
        <v>#NAME?</v>
      </c>
      <c r="S308" t="e">
        <f ca="1"/>
        <v>#NAME?</v>
      </c>
      <c r="U308" t="e">
        <f ca="1"/>
        <v>#NAME?</v>
      </c>
      <c r="V308" t="e">
        <f ca="1"/>
        <v>#NAME?</v>
      </c>
      <c r="W308" t="e">
        <f ca="1"/>
        <v>#NAME?</v>
      </c>
      <c r="X308" t="e">
        <f ca="1"/>
        <v>#NAME?</v>
      </c>
    </row>
    <row r="309" spans="12:24" x14ac:dyDescent="0.25">
      <c r="L309" t="e">
        <f ca="1"/>
        <v>#NAME?</v>
      </c>
      <c r="M309" t="e">
        <f ca="1"/>
        <v>#NAME?</v>
      </c>
      <c r="S309" t="e">
        <f ca="1"/>
        <v>#NAME?</v>
      </c>
      <c r="U309" t="e">
        <f ca="1"/>
        <v>#NAME?</v>
      </c>
      <c r="V309" t="e">
        <f ca="1"/>
        <v>#NAME?</v>
      </c>
      <c r="W309" t="e">
        <f ca="1"/>
        <v>#NAME?</v>
      </c>
      <c r="X309" t="e">
        <f ca="1"/>
        <v>#NAME?</v>
      </c>
    </row>
    <row r="310" spans="12:24" x14ac:dyDescent="0.25">
      <c r="L310" t="e">
        <f ca="1"/>
        <v>#NAME?</v>
      </c>
      <c r="M310" t="e">
        <f ca="1"/>
        <v>#NAME?</v>
      </c>
      <c r="S310" t="e">
        <f ca="1"/>
        <v>#NAME?</v>
      </c>
      <c r="U310" t="e">
        <f ca="1"/>
        <v>#NAME?</v>
      </c>
      <c r="V310" t="e">
        <f ca="1"/>
        <v>#NAME?</v>
      </c>
      <c r="W310" t="e">
        <f ca="1"/>
        <v>#NAME?</v>
      </c>
      <c r="X310" t="e">
        <f ca="1"/>
        <v>#NAME?</v>
      </c>
    </row>
    <row r="311" spans="12:24" x14ac:dyDescent="0.25">
      <c r="L311" t="e">
        <f ca="1"/>
        <v>#NAME?</v>
      </c>
      <c r="M311" t="e">
        <f ca="1"/>
        <v>#NAME?</v>
      </c>
      <c r="S311" t="e">
        <f ca="1"/>
        <v>#NAME?</v>
      </c>
      <c r="U311" t="e">
        <f ca="1"/>
        <v>#NAME?</v>
      </c>
      <c r="V311" t="e">
        <f ca="1"/>
        <v>#NAME?</v>
      </c>
      <c r="W311" t="e">
        <f ca="1"/>
        <v>#NAME?</v>
      </c>
      <c r="X311" t="e">
        <f ca="1"/>
        <v>#NAME?</v>
      </c>
    </row>
    <row r="312" spans="12:24" x14ac:dyDescent="0.25">
      <c r="L312" t="e">
        <f ca="1"/>
        <v>#NAME?</v>
      </c>
      <c r="M312" t="e">
        <f ca="1"/>
        <v>#NAME?</v>
      </c>
      <c r="S312" t="e">
        <f ca="1"/>
        <v>#NAME?</v>
      </c>
      <c r="U312" t="e">
        <f ca="1"/>
        <v>#NAME?</v>
      </c>
      <c r="V312" t="e">
        <f ca="1"/>
        <v>#NAME?</v>
      </c>
      <c r="W312" t="e">
        <f ca="1"/>
        <v>#NAME?</v>
      </c>
      <c r="X312" t="e">
        <f ca="1"/>
        <v>#NAME?</v>
      </c>
    </row>
    <row r="313" spans="12:24" x14ac:dyDescent="0.25">
      <c r="L313" t="e">
        <f ca="1"/>
        <v>#NAME?</v>
      </c>
      <c r="M313" t="e">
        <f ca="1"/>
        <v>#NAME?</v>
      </c>
      <c r="S313" t="e">
        <f ca="1"/>
        <v>#NAME?</v>
      </c>
      <c r="U313" t="e">
        <f ca="1"/>
        <v>#NAME?</v>
      </c>
      <c r="V313" t="e">
        <f ca="1"/>
        <v>#NAME?</v>
      </c>
      <c r="W313" t="e">
        <f ca="1"/>
        <v>#NAME?</v>
      </c>
      <c r="X313" t="e">
        <f ca="1"/>
        <v>#NAME?</v>
      </c>
    </row>
    <row r="314" spans="12:24" x14ac:dyDescent="0.25">
      <c r="L314" t="e">
        <f ca="1"/>
        <v>#NAME?</v>
      </c>
      <c r="M314" t="e">
        <f ca="1"/>
        <v>#NAME?</v>
      </c>
      <c r="S314" t="e">
        <f ca="1"/>
        <v>#NAME?</v>
      </c>
      <c r="U314" t="e">
        <f ca="1"/>
        <v>#NAME?</v>
      </c>
      <c r="V314" t="e">
        <f ca="1"/>
        <v>#NAME?</v>
      </c>
      <c r="W314" t="e">
        <f ca="1"/>
        <v>#NAME?</v>
      </c>
      <c r="X314" t="e">
        <f ca="1"/>
        <v>#NAME?</v>
      </c>
    </row>
    <row r="315" spans="12:24" x14ac:dyDescent="0.25">
      <c r="L315" t="e">
        <f ca="1"/>
        <v>#NAME?</v>
      </c>
      <c r="M315" t="e">
        <f ca="1"/>
        <v>#NAME?</v>
      </c>
      <c r="S315" t="e">
        <f ca="1"/>
        <v>#NAME?</v>
      </c>
      <c r="U315" t="e">
        <f ca="1"/>
        <v>#NAME?</v>
      </c>
      <c r="V315" t="e">
        <f ca="1"/>
        <v>#NAME?</v>
      </c>
      <c r="W315" t="e">
        <f ca="1"/>
        <v>#NAME?</v>
      </c>
      <c r="X315" t="e">
        <f ca="1"/>
        <v>#NAME?</v>
      </c>
    </row>
    <row r="316" spans="12:24" x14ac:dyDescent="0.25">
      <c r="L316" t="e">
        <f ca="1"/>
        <v>#NAME?</v>
      </c>
      <c r="M316" t="e">
        <f ca="1"/>
        <v>#NAME?</v>
      </c>
      <c r="S316" t="e">
        <f ca="1"/>
        <v>#NAME?</v>
      </c>
      <c r="U316" t="e">
        <f ca="1"/>
        <v>#NAME?</v>
      </c>
      <c r="V316" t="e">
        <f ca="1"/>
        <v>#NAME?</v>
      </c>
      <c r="W316" t="e">
        <f ca="1"/>
        <v>#NAME?</v>
      </c>
      <c r="X316" t="e">
        <f ca="1"/>
        <v>#NAME?</v>
      </c>
    </row>
    <row r="317" spans="12:24" x14ac:dyDescent="0.25">
      <c r="L317" t="e">
        <f ca="1"/>
        <v>#NAME?</v>
      </c>
      <c r="M317" t="e">
        <f ca="1"/>
        <v>#NAME?</v>
      </c>
      <c r="S317" t="e">
        <f ca="1"/>
        <v>#NAME?</v>
      </c>
      <c r="U317" t="e">
        <f ca="1"/>
        <v>#NAME?</v>
      </c>
      <c r="V317" t="e">
        <f ca="1"/>
        <v>#NAME?</v>
      </c>
      <c r="W317" t="e">
        <f ca="1"/>
        <v>#NAME?</v>
      </c>
      <c r="X317" t="e">
        <f ca="1"/>
        <v>#NAME?</v>
      </c>
    </row>
    <row r="318" spans="12:24" x14ac:dyDescent="0.25">
      <c r="L318" t="e">
        <f ca="1"/>
        <v>#NAME?</v>
      </c>
      <c r="M318" t="e">
        <f ca="1"/>
        <v>#NAME?</v>
      </c>
      <c r="S318" t="e">
        <f ca="1"/>
        <v>#NAME?</v>
      </c>
      <c r="U318" t="e">
        <f ca="1"/>
        <v>#NAME?</v>
      </c>
      <c r="V318" t="e">
        <f ca="1"/>
        <v>#NAME?</v>
      </c>
      <c r="W318" t="e">
        <f ca="1"/>
        <v>#NAME?</v>
      </c>
      <c r="X318" t="e">
        <f ca="1"/>
        <v>#NAME?</v>
      </c>
    </row>
    <row r="319" spans="12:24" x14ac:dyDescent="0.25">
      <c r="L319" t="e">
        <f ca="1"/>
        <v>#NAME?</v>
      </c>
      <c r="M319" t="e">
        <f ca="1"/>
        <v>#NAME?</v>
      </c>
      <c r="S319" t="e">
        <f ca="1"/>
        <v>#NAME?</v>
      </c>
      <c r="U319" t="e">
        <f ca="1"/>
        <v>#NAME?</v>
      </c>
      <c r="V319" t="e">
        <f ca="1"/>
        <v>#NAME?</v>
      </c>
      <c r="W319" t="e">
        <f ca="1"/>
        <v>#NAME?</v>
      </c>
      <c r="X319" t="e">
        <f ca="1"/>
        <v>#NAME?</v>
      </c>
    </row>
    <row r="320" spans="12:24" x14ac:dyDescent="0.25">
      <c r="L320" t="e">
        <f ca="1"/>
        <v>#NAME?</v>
      </c>
      <c r="M320" t="e">
        <f ca="1"/>
        <v>#NAME?</v>
      </c>
      <c r="S320" t="e">
        <f ca="1"/>
        <v>#NAME?</v>
      </c>
      <c r="U320" t="e">
        <f ca="1"/>
        <v>#NAME?</v>
      </c>
      <c r="V320" t="e">
        <f ca="1"/>
        <v>#NAME?</v>
      </c>
      <c r="W320" t="e">
        <f ca="1"/>
        <v>#NAME?</v>
      </c>
      <c r="X320" t="e">
        <f ca="1"/>
        <v>#NAME?</v>
      </c>
    </row>
    <row r="321" spans="12:24" x14ac:dyDescent="0.25">
      <c r="L321" t="e">
        <f ca="1"/>
        <v>#NAME?</v>
      </c>
      <c r="M321" t="e">
        <f ca="1"/>
        <v>#NAME?</v>
      </c>
      <c r="S321" t="e">
        <f ca="1"/>
        <v>#NAME?</v>
      </c>
      <c r="U321" t="e">
        <f ca="1"/>
        <v>#NAME?</v>
      </c>
      <c r="V321" t="e">
        <f ca="1"/>
        <v>#NAME?</v>
      </c>
      <c r="W321" t="e">
        <f ca="1"/>
        <v>#NAME?</v>
      </c>
      <c r="X321" t="e">
        <f ca="1"/>
        <v>#NAME?</v>
      </c>
    </row>
    <row r="322" spans="12:24" x14ac:dyDescent="0.25">
      <c r="L322" t="e">
        <f ca="1"/>
        <v>#NAME?</v>
      </c>
      <c r="M322" t="e">
        <f ca="1"/>
        <v>#NAME?</v>
      </c>
      <c r="S322" t="e">
        <f ca="1"/>
        <v>#NAME?</v>
      </c>
      <c r="U322" t="e">
        <f ca="1"/>
        <v>#NAME?</v>
      </c>
      <c r="V322" t="e">
        <f ca="1"/>
        <v>#NAME?</v>
      </c>
      <c r="W322" t="e">
        <f ca="1"/>
        <v>#NAME?</v>
      </c>
      <c r="X322" t="e">
        <f ca="1"/>
        <v>#NAME?</v>
      </c>
    </row>
    <row r="323" spans="12:24" x14ac:dyDescent="0.25">
      <c r="L323" t="e">
        <f ca="1"/>
        <v>#NAME?</v>
      </c>
      <c r="M323" t="e">
        <f ca="1"/>
        <v>#NAME?</v>
      </c>
      <c r="S323" t="e">
        <f ca="1"/>
        <v>#NAME?</v>
      </c>
      <c r="U323" t="e">
        <f ca="1"/>
        <v>#NAME?</v>
      </c>
      <c r="V323" t="e">
        <f ca="1"/>
        <v>#NAME?</v>
      </c>
      <c r="W323" t="e">
        <f ca="1"/>
        <v>#NAME?</v>
      </c>
      <c r="X323" t="e">
        <f ca="1"/>
        <v>#NAME?</v>
      </c>
    </row>
    <row r="324" spans="12:24" x14ac:dyDescent="0.25">
      <c r="L324" t="e">
        <f ca="1"/>
        <v>#NAME?</v>
      </c>
      <c r="M324" t="e">
        <f ca="1"/>
        <v>#NAME?</v>
      </c>
      <c r="S324" t="e">
        <f ca="1"/>
        <v>#NAME?</v>
      </c>
      <c r="U324" t="e">
        <f ca="1"/>
        <v>#NAME?</v>
      </c>
      <c r="V324" t="e">
        <f ca="1"/>
        <v>#NAME?</v>
      </c>
      <c r="W324" t="e">
        <f ca="1"/>
        <v>#NAME?</v>
      </c>
      <c r="X324" t="e">
        <f ca="1"/>
        <v>#NAME?</v>
      </c>
    </row>
    <row r="325" spans="12:24" x14ac:dyDescent="0.25">
      <c r="L325" t="e">
        <f ca="1"/>
        <v>#NAME?</v>
      </c>
      <c r="M325" t="e">
        <f ca="1"/>
        <v>#NAME?</v>
      </c>
      <c r="S325" t="e">
        <f ca="1"/>
        <v>#NAME?</v>
      </c>
      <c r="U325" t="e">
        <f ca="1"/>
        <v>#NAME?</v>
      </c>
      <c r="V325" t="e">
        <f ca="1"/>
        <v>#NAME?</v>
      </c>
      <c r="W325" t="e">
        <f ca="1"/>
        <v>#NAME?</v>
      </c>
      <c r="X325" t="e">
        <f ca="1"/>
        <v>#NAME?</v>
      </c>
    </row>
    <row r="326" spans="12:24" x14ac:dyDescent="0.25">
      <c r="L326" t="e">
        <f ca="1"/>
        <v>#NAME?</v>
      </c>
      <c r="M326" t="e">
        <f ca="1"/>
        <v>#NAME?</v>
      </c>
      <c r="S326" t="e">
        <f ca="1"/>
        <v>#NAME?</v>
      </c>
      <c r="U326" t="e">
        <f ca="1"/>
        <v>#NAME?</v>
      </c>
      <c r="V326" t="e">
        <f ca="1"/>
        <v>#NAME?</v>
      </c>
      <c r="W326" t="e">
        <f ca="1"/>
        <v>#NAME?</v>
      </c>
      <c r="X326" t="e">
        <f ca="1"/>
        <v>#NAME?</v>
      </c>
    </row>
    <row r="327" spans="12:24" x14ac:dyDescent="0.25">
      <c r="L327" t="e">
        <f ca="1"/>
        <v>#NAME?</v>
      </c>
      <c r="M327" t="e">
        <f ca="1"/>
        <v>#NAME?</v>
      </c>
      <c r="S327" t="e">
        <f ca="1"/>
        <v>#NAME?</v>
      </c>
      <c r="U327" t="e">
        <f ca="1"/>
        <v>#NAME?</v>
      </c>
      <c r="V327" t="e">
        <f ca="1"/>
        <v>#NAME?</v>
      </c>
      <c r="W327" t="e">
        <f ca="1"/>
        <v>#NAME?</v>
      </c>
      <c r="X327" t="e">
        <f ca="1"/>
        <v>#NAME?</v>
      </c>
    </row>
    <row r="328" spans="12:24" x14ac:dyDescent="0.25">
      <c r="L328" t="e">
        <f ca="1"/>
        <v>#NAME?</v>
      </c>
      <c r="M328" t="e">
        <f ca="1"/>
        <v>#NAME?</v>
      </c>
      <c r="S328" t="e">
        <f ca="1"/>
        <v>#NAME?</v>
      </c>
      <c r="U328" t="e">
        <f ca="1"/>
        <v>#NAME?</v>
      </c>
      <c r="V328" t="e">
        <f ca="1"/>
        <v>#NAME?</v>
      </c>
      <c r="W328" t="e">
        <f ca="1"/>
        <v>#NAME?</v>
      </c>
      <c r="X328" t="e">
        <f ca="1"/>
        <v>#NAME?</v>
      </c>
    </row>
    <row r="329" spans="12:24" x14ac:dyDescent="0.25">
      <c r="L329" t="e">
        <f ca="1"/>
        <v>#NAME?</v>
      </c>
      <c r="M329" t="e">
        <f ca="1"/>
        <v>#NAME?</v>
      </c>
      <c r="S329" t="e">
        <f ca="1"/>
        <v>#NAME?</v>
      </c>
      <c r="U329" t="e">
        <f ca="1"/>
        <v>#NAME?</v>
      </c>
      <c r="V329" t="e">
        <f ca="1"/>
        <v>#NAME?</v>
      </c>
      <c r="W329" t="e">
        <f ca="1"/>
        <v>#NAME?</v>
      </c>
      <c r="X329" t="e">
        <f ca="1"/>
        <v>#NAME?</v>
      </c>
    </row>
    <row r="330" spans="12:24" x14ac:dyDescent="0.25">
      <c r="L330" t="e">
        <f ca="1"/>
        <v>#NAME?</v>
      </c>
      <c r="M330" t="e">
        <f ca="1"/>
        <v>#NAME?</v>
      </c>
      <c r="S330" t="e">
        <f ca="1"/>
        <v>#NAME?</v>
      </c>
      <c r="U330" t="e">
        <f ca="1"/>
        <v>#NAME?</v>
      </c>
      <c r="V330" t="e">
        <f ca="1"/>
        <v>#NAME?</v>
      </c>
      <c r="W330" t="e">
        <f ca="1"/>
        <v>#NAME?</v>
      </c>
      <c r="X330" t="e">
        <f ca="1"/>
        <v>#NAME?</v>
      </c>
    </row>
    <row r="331" spans="12:24" x14ac:dyDescent="0.25">
      <c r="L331" t="e">
        <f ca="1"/>
        <v>#NAME?</v>
      </c>
      <c r="M331" t="e">
        <f ca="1"/>
        <v>#NAME?</v>
      </c>
      <c r="S331" t="e">
        <f ca="1"/>
        <v>#NAME?</v>
      </c>
      <c r="U331" t="e">
        <f ca="1"/>
        <v>#NAME?</v>
      </c>
      <c r="V331" t="e">
        <f ca="1"/>
        <v>#NAME?</v>
      </c>
      <c r="W331" t="e">
        <f ca="1"/>
        <v>#NAME?</v>
      </c>
      <c r="X331" t="e">
        <f ca="1"/>
        <v>#NAME?</v>
      </c>
    </row>
    <row r="332" spans="12:24" x14ac:dyDescent="0.25">
      <c r="L332" t="e">
        <f ca="1"/>
        <v>#NAME?</v>
      </c>
      <c r="M332" t="e">
        <f ca="1"/>
        <v>#NAME?</v>
      </c>
      <c r="S332" t="e">
        <f ca="1"/>
        <v>#NAME?</v>
      </c>
      <c r="U332" t="e">
        <f ca="1"/>
        <v>#NAME?</v>
      </c>
      <c r="V332" t="e">
        <f ca="1"/>
        <v>#NAME?</v>
      </c>
      <c r="W332" t="e">
        <f ca="1"/>
        <v>#NAME?</v>
      </c>
      <c r="X332" t="e">
        <f ca="1"/>
        <v>#NAME?</v>
      </c>
    </row>
    <row r="333" spans="12:24" x14ac:dyDescent="0.25">
      <c r="L333" t="e">
        <f ca="1"/>
        <v>#NAME?</v>
      </c>
      <c r="M333" t="e">
        <f ca="1"/>
        <v>#NAME?</v>
      </c>
      <c r="S333" t="e">
        <f ca="1"/>
        <v>#NAME?</v>
      </c>
      <c r="U333" t="e">
        <f ca="1"/>
        <v>#NAME?</v>
      </c>
      <c r="V333" t="e">
        <f ca="1"/>
        <v>#NAME?</v>
      </c>
      <c r="W333" t="e">
        <f ca="1"/>
        <v>#NAME?</v>
      </c>
      <c r="X333" t="e">
        <f ca="1"/>
        <v>#NAME?</v>
      </c>
    </row>
    <row r="334" spans="12:24" x14ac:dyDescent="0.25">
      <c r="L334" t="e">
        <f ca="1"/>
        <v>#NAME?</v>
      </c>
      <c r="M334" t="e">
        <f ca="1"/>
        <v>#NAME?</v>
      </c>
      <c r="S334" t="e">
        <f ca="1"/>
        <v>#NAME?</v>
      </c>
      <c r="U334" t="e">
        <f ca="1"/>
        <v>#NAME?</v>
      </c>
      <c r="V334" t="e">
        <f ca="1"/>
        <v>#NAME?</v>
      </c>
      <c r="W334" t="e">
        <f ca="1"/>
        <v>#NAME?</v>
      </c>
      <c r="X334" t="e">
        <f ca="1"/>
        <v>#NAME?</v>
      </c>
    </row>
    <row r="335" spans="12:24" x14ac:dyDescent="0.25">
      <c r="L335" t="e">
        <f ca="1"/>
        <v>#NAME?</v>
      </c>
      <c r="M335" t="e">
        <f ca="1"/>
        <v>#NAME?</v>
      </c>
      <c r="S335" t="e">
        <f ca="1"/>
        <v>#NAME?</v>
      </c>
      <c r="U335" t="e">
        <f ca="1"/>
        <v>#NAME?</v>
      </c>
      <c r="V335" t="e">
        <f ca="1"/>
        <v>#NAME?</v>
      </c>
      <c r="W335" t="e">
        <f ca="1"/>
        <v>#NAME?</v>
      </c>
      <c r="X335" t="e">
        <f ca="1"/>
        <v>#NAME?</v>
      </c>
    </row>
    <row r="336" spans="12:24" x14ac:dyDescent="0.25">
      <c r="L336" t="e">
        <f ca="1"/>
        <v>#NAME?</v>
      </c>
      <c r="M336" t="e">
        <f ca="1"/>
        <v>#NAME?</v>
      </c>
      <c r="S336" t="e">
        <f ca="1"/>
        <v>#NAME?</v>
      </c>
      <c r="U336" t="e">
        <f ca="1"/>
        <v>#NAME?</v>
      </c>
      <c r="V336" t="e">
        <f ca="1"/>
        <v>#NAME?</v>
      </c>
      <c r="W336" t="e">
        <f ca="1"/>
        <v>#NAME?</v>
      </c>
      <c r="X336" t="e">
        <f ca="1"/>
        <v>#NAME?</v>
      </c>
    </row>
    <row r="337" spans="12:24" x14ac:dyDescent="0.25">
      <c r="L337" t="e">
        <f ca="1"/>
        <v>#NAME?</v>
      </c>
      <c r="M337" t="e">
        <f ca="1"/>
        <v>#NAME?</v>
      </c>
      <c r="S337" t="e">
        <f ca="1"/>
        <v>#NAME?</v>
      </c>
      <c r="U337" t="e">
        <f ca="1"/>
        <v>#NAME?</v>
      </c>
      <c r="V337" t="e">
        <f ca="1"/>
        <v>#NAME?</v>
      </c>
      <c r="W337" t="e">
        <f ca="1"/>
        <v>#NAME?</v>
      </c>
      <c r="X337" t="e">
        <f ca="1"/>
        <v>#NAME?</v>
      </c>
    </row>
    <row r="338" spans="12:24" x14ac:dyDescent="0.25">
      <c r="L338" t="e">
        <f ca="1"/>
        <v>#NAME?</v>
      </c>
      <c r="M338" t="e">
        <f ca="1"/>
        <v>#NAME?</v>
      </c>
      <c r="S338" t="e">
        <f ca="1"/>
        <v>#NAME?</v>
      </c>
      <c r="U338" t="e">
        <f ca="1"/>
        <v>#NAME?</v>
      </c>
      <c r="V338" t="e">
        <f ca="1"/>
        <v>#NAME?</v>
      </c>
      <c r="W338" t="e">
        <f ca="1"/>
        <v>#NAME?</v>
      </c>
      <c r="X338" t="e">
        <f ca="1"/>
        <v>#NAME?</v>
      </c>
    </row>
    <row r="339" spans="12:24" x14ac:dyDescent="0.25">
      <c r="L339" t="e">
        <f ca="1"/>
        <v>#NAME?</v>
      </c>
      <c r="M339" t="e">
        <f ca="1"/>
        <v>#NAME?</v>
      </c>
      <c r="S339" t="e">
        <f ca="1"/>
        <v>#NAME?</v>
      </c>
      <c r="U339" t="e">
        <f ca="1"/>
        <v>#NAME?</v>
      </c>
      <c r="V339" t="e">
        <f ca="1"/>
        <v>#NAME?</v>
      </c>
      <c r="W339" t="e">
        <f ca="1"/>
        <v>#NAME?</v>
      </c>
      <c r="X339" t="e">
        <f ca="1"/>
        <v>#NAME?</v>
      </c>
    </row>
    <row r="340" spans="12:24" x14ac:dyDescent="0.25">
      <c r="L340" t="e">
        <f ca="1"/>
        <v>#NAME?</v>
      </c>
      <c r="M340" t="e">
        <f ca="1"/>
        <v>#NAME?</v>
      </c>
      <c r="S340" t="e">
        <f ca="1"/>
        <v>#NAME?</v>
      </c>
      <c r="U340" t="e">
        <f ca="1"/>
        <v>#NAME?</v>
      </c>
      <c r="V340" t="e">
        <f ca="1"/>
        <v>#NAME?</v>
      </c>
      <c r="W340" t="e">
        <f ca="1"/>
        <v>#NAME?</v>
      </c>
      <c r="X340" t="e">
        <f ca="1"/>
        <v>#NAME?</v>
      </c>
    </row>
    <row r="341" spans="12:24" x14ac:dyDescent="0.25">
      <c r="L341" t="e">
        <f ca="1"/>
        <v>#NAME?</v>
      </c>
      <c r="M341" t="e">
        <f ca="1"/>
        <v>#NAME?</v>
      </c>
      <c r="S341" t="e">
        <f ca="1"/>
        <v>#NAME?</v>
      </c>
      <c r="U341" t="e">
        <f ca="1"/>
        <v>#NAME?</v>
      </c>
      <c r="V341" t="e">
        <f ca="1"/>
        <v>#NAME?</v>
      </c>
      <c r="W341" t="e">
        <f ca="1"/>
        <v>#NAME?</v>
      </c>
      <c r="X341" t="e">
        <f ca="1"/>
        <v>#NAME?</v>
      </c>
    </row>
    <row r="342" spans="12:24" x14ac:dyDescent="0.25">
      <c r="L342" t="e">
        <f ca="1"/>
        <v>#NAME?</v>
      </c>
      <c r="M342" t="e">
        <f ca="1"/>
        <v>#NAME?</v>
      </c>
      <c r="S342" t="e">
        <f ca="1"/>
        <v>#NAME?</v>
      </c>
      <c r="U342" t="e">
        <f ca="1"/>
        <v>#NAME?</v>
      </c>
      <c r="V342" t="e">
        <f ca="1"/>
        <v>#NAME?</v>
      </c>
      <c r="W342" t="e">
        <f ca="1"/>
        <v>#NAME?</v>
      </c>
      <c r="X342" t="e">
        <f ca="1"/>
        <v>#NAME?</v>
      </c>
    </row>
    <row r="343" spans="12:24" x14ac:dyDescent="0.25">
      <c r="L343" t="e">
        <f ca="1"/>
        <v>#NAME?</v>
      </c>
      <c r="M343" t="e">
        <f ca="1"/>
        <v>#NAME?</v>
      </c>
      <c r="S343" t="e">
        <f ca="1"/>
        <v>#NAME?</v>
      </c>
      <c r="U343" t="e">
        <f ca="1"/>
        <v>#NAME?</v>
      </c>
      <c r="V343" t="e">
        <f ca="1"/>
        <v>#NAME?</v>
      </c>
      <c r="W343" t="e">
        <f ca="1"/>
        <v>#NAME?</v>
      </c>
      <c r="X343" t="e">
        <f ca="1"/>
        <v>#NAME?</v>
      </c>
    </row>
    <row r="344" spans="12:24" x14ac:dyDescent="0.25">
      <c r="L344" t="e">
        <f ca="1"/>
        <v>#NAME?</v>
      </c>
      <c r="M344" t="e">
        <f ca="1"/>
        <v>#NAME?</v>
      </c>
      <c r="S344" t="e">
        <f ca="1"/>
        <v>#NAME?</v>
      </c>
      <c r="U344" t="e">
        <f ca="1"/>
        <v>#NAME?</v>
      </c>
      <c r="V344" t="e">
        <f ca="1"/>
        <v>#NAME?</v>
      </c>
      <c r="W344" t="e">
        <f ca="1"/>
        <v>#NAME?</v>
      </c>
      <c r="X344" t="e">
        <f ca="1"/>
        <v>#NAME?</v>
      </c>
    </row>
    <row r="345" spans="12:24" x14ac:dyDescent="0.25">
      <c r="L345" t="e">
        <f ca="1"/>
        <v>#NAME?</v>
      </c>
      <c r="M345" t="e">
        <f ca="1"/>
        <v>#NAME?</v>
      </c>
      <c r="S345" t="e">
        <f ca="1"/>
        <v>#NAME?</v>
      </c>
      <c r="U345" t="e">
        <f ca="1"/>
        <v>#NAME?</v>
      </c>
      <c r="V345" t="e">
        <f ca="1"/>
        <v>#NAME?</v>
      </c>
      <c r="W345" t="e">
        <f ca="1"/>
        <v>#NAME?</v>
      </c>
      <c r="X345" t="e">
        <f ca="1"/>
        <v>#NAME?</v>
      </c>
    </row>
    <row r="346" spans="12:24" x14ac:dyDescent="0.25">
      <c r="L346" t="e">
        <f ca="1"/>
        <v>#NAME?</v>
      </c>
      <c r="M346" t="e">
        <f ca="1"/>
        <v>#NAME?</v>
      </c>
      <c r="S346" t="e">
        <f ca="1"/>
        <v>#NAME?</v>
      </c>
      <c r="U346" t="e">
        <f ca="1"/>
        <v>#NAME?</v>
      </c>
      <c r="V346" t="e">
        <f ca="1"/>
        <v>#NAME?</v>
      </c>
      <c r="W346" t="e">
        <f ca="1"/>
        <v>#NAME?</v>
      </c>
      <c r="X346" t="e">
        <f ca="1"/>
        <v>#NAME?</v>
      </c>
    </row>
    <row r="347" spans="12:24" x14ac:dyDescent="0.25">
      <c r="L347" t="e">
        <f ca="1"/>
        <v>#NAME?</v>
      </c>
      <c r="M347" t="e">
        <f ca="1"/>
        <v>#NAME?</v>
      </c>
      <c r="S347" t="e">
        <f ca="1"/>
        <v>#NAME?</v>
      </c>
      <c r="U347" t="e">
        <f ca="1"/>
        <v>#NAME?</v>
      </c>
      <c r="V347" t="e">
        <f ca="1"/>
        <v>#NAME?</v>
      </c>
      <c r="W347" t="e">
        <f ca="1"/>
        <v>#NAME?</v>
      </c>
      <c r="X347" t="e">
        <f ca="1"/>
        <v>#NAME?</v>
      </c>
    </row>
    <row r="348" spans="12:24" x14ac:dyDescent="0.25">
      <c r="L348" t="e">
        <f ca="1"/>
        <v>#NAME?</v>
      </c>
      <c r="M348" t="e">
        <f ca="1"/>
        <v>#NAME?</v>
      </c>
      <c r="S348" t="e">
        <f ca="1"/>
        <v>#NAME?</v>
      </c>
      <c r="U348" t="e">
        <f ca="1"/>
        <v>#NAME?</v>
      </c>
      <c r="V348" t="e">
        <f ca="1"/>
        <v>#NAME?</v>
      </c>
      <c r="W348" t="e">
        <f ca="1"/>
        <v>#NAME?</v>
      </c>
      <c r="X348" t="e">
        <f ca="1"/>
        <v>#NAME?</v>
      </c>
    </row>
    <row r="349" spans="12:24" x14ac:dyDescent="0.25">
      <c r="L349" t="e">
        <f ca="1"/>
        <v>#NAME?</v>
      </c>
      <c r="M349" t="e">
        <f ca="1"/>
        <v>#NAME?</v>
      </c>
      <c r="S349" t="e">
        <f ca="1"/>
        <v>#NAME?</v>
      </c>
      <c r="U349" t="e">
        <f ca="1"/>
        <v>#NAME?</v>
      </c>
      <c r="V349" t="e">
        <f ca="1"/>
        <v>#NAME?</v>
      </c>
      <c r="W349" t="e">
        <f ca="1"/>
        <v>#NAME?</v>
      </c>
      <c r="X349" t="e">
        <f ca="1"/>
        <v>#NAME?</v>
      </c>
    </row>
    <row r="350" spans="12:24" x14ac:dyDescent="0.25">
      <c r="L350" t="e">
        <f ca="1"/>
        <v>#NAME?</v>
      </c>
      <c r="M350" t="e">
        <f ca="1"/>
        <v>#NAME?</v>
      </c>
      <c r="S350" t="e">
        <f ca="1"/>
        <v>#NAME?</v>
      </c>
      <c r="U350" t="e">
        <f ca="1"/>
        <v>#NAME?</v>
      </c>
      <c r="V350" t="e">
        <f ca="1"/>
        <v>#NAME?</v>
      </c>
      <c r="W350" t="e">
        <f ca="1"/>
        <v>#NAME?</v>
      </c>
      <c r="X350" t="e">
        <f ca="1"/>
        <v>#NAME?</v>
      </c>
    </row>
    <row r="351" spans="12:24" x14ac:dyDescent="0.25">
      <c r="L351" t="e">
        <f ca="1"/>
        <v>#NAME?</v>
      </c>
      <c r="M351" t="e">
        <f ca="1"/>
        <v>#NAME?</v>
      </c>
      <c r="S351" t="e">
        <f ca="1"/>
        <v>#NAME?</v>
      </c>
      <c r="U351" t="e">
        <f ca="1"/>
        <v>#NAME?</v>
      </c>
      <c r="V351" t="e">
        <f ca="1"/>
        <v>#NAME?</v>
      </c>
      <c r="W351" t="e">
        <f ca="1"/>
        <v>#NAME?</v>
      </c>
      <c r="X351" t="e">
        <f ca="1"/>
        <v>#NAME?</v>
      </c>
    </row>
    <row r="352" spans="12:24" x14ac:dyDescent="0.25">
      <c r="L352" t="e">
        <f ca="1"/>
        <v>#NAME?</v>
      </c>
      <c r="M352" t="e">
        <f ca="1"/>
        <v>#NAME?</v>
      </c>
      <c r="S352" t="e">
        <f ca="1"/>
        <v>#NAME?</v>
      </c>
      <c r="U352" t="e">
        <f ca="1"/>
        <v>#NAME?</v>
      </c>
      <c r="V352" t="e">
        <f ca="1"/>
        <v>#NAME?</v>
      </c>
      <c r="W352" t="e">
        <f ca="1"/>
        <v>#NAME?</v>
      </c>
      <c r="X352" t="e">
        <f ca="1"/>
        <v>#NAME?</v>
      </c>
    </row>
    <row r="353" spans="12:24" x14ac:dyDescent="0.25">
      <c r="L353" t="e">
        <f ca="1"/>
        <v>#NAME?</v>
      </c>
      <c r="M353" t="e">
        <f ca="1"/>
        <v>#NAME?</v>
      </c>
      <c r="S353" t="e">
        <f ca="1"/>
        <v>#NAME?</v>
      </c>
      <c r="U353" t="e">
        <f ca="1"/>
        <v>#NAME?</v>
      </c>
      <c r="V353" t="e">
        <f ca="1"/>
        <v>#NAME?</v>
      </c>
      <c r="W353" t="e">
        <f ca="1"/>
        <v>#NAME?</v>
      </c>
      <c r="X353" t="e">
        <f ca="1"/>
        <v>#NAME?</v>
      </c>
    </row>
    <row r="354" spans="12:24" x14ac:dyDescent="0.25">
      <c r="L354" t="e">
        <f ca="1"/>
        <v>#NAME?</v>
      </c>
      <c r="M354" t="e">
        <f ca="1"/>
        <v>#NAME?</v>
      </c>
      <c r="S354" t="e">
        <f ca="1"/>
        <v>#NAME?</v>
      </c>
      <c r="U354" t="e">
        <f ca="1"/>
        <v>#NAME?</v>
      </c>
      <c r="V354" t="e">
        <f ca="1"/>
        <v>#NAME?</v>
      </c>
      <c r="W354" t="e">
        <f ca="1"/>
        <v>#NAME?</v>
      </c>
      <c r="X354" t="e">
        <f ca="1"/>
        <v>#NAME?</v>
      </c>
    </row>
    <row r="355" spans="12:24" x14ac:dyDescent="0.25">
      <c r="L355" t="e">
        <f ca="1"/>
        <v>#NAME?</v>
      </c>
      <c r="M355" t="e">
        <f ca="1"/>
        <v>#NAME?</v>
      </c>
      <c r="S355" t="e">
        <f ca="1"/>
        <v>#NAME?</v>
      </c>
      <c r="U355" t="e">
        <f ca="1"/>
        <v>#NAME?</v>
      </c>
      <c r="V355" t="e">
        <f ca="1"/>
        <v>#NAME?</v>
      </c>
      <c r="W355" t="e">
        <f ca="1"/>
        <v>#NAME?</v>
      </c>
      <c r="X355" t="e">
        <f ca="1"/>
        <v>#NAME?</v>
      </c>
    </row>
    <row r="356" spans="12:24" x14ac:dyDescent="0.25">
      <c r="L356" t="e">
        <f ca="1"/>
        <v>#NAME?</v>
      </c>
      <c r="M356" t="e">
        <f ca="1"/>
        <v>#NAME?</v>
      </c>
      <c r="S356" t="e">
        <f ca="1"/>
        <v>#NAME?</v>
      </c>
      <c r="U356" t="e">
        <f ca="1"/>
        <v>#NAME?</v>
      </c>
      <c r="V356" t="e">
        <f ca="1"/>
        <v>#NAME?</v>
      </c>
      <c r="W356" t="e">
        <f ca="1"/>
        <v>#NAME?</v>
      </c>
      <c r="X356" t="e">
        <f ca="1"/>
        <v>#NAME?</v>
      </c>
    </row>
    <row r="357" spans="12:24" x14ac:dyDescent="0.25">
      <c r="L357" t="e">
        <f ca="1"/>
        <v>#NAME?</v>
      </c>
      <c r="M357" t="e">
        <f ca="1"/>
        <v>#NAME?</v>
      </c>
      <c r="S357" t="e">
        <f ca="1"/>
        <v>#NAME?</v>
      </c>
      <c r="U357" t="e">
        <f ca="1"/>
        <v>#NAME?</v>
      </c>
      <c r="V357" t="e">
        <f ca="1"/>
        <v>#NAME?</v>
      </c>
      <c r="W357" t="e">
        <f ca="1"/>
        <v>#NAME?</v>
      </c>
      <c r="X357" t="e">
        <f ca="1"/>
        <v>#NAME?</v>
      </c>
    </row>
    <row r="358" spans="12:24" x14ac:dyDescent="0.25">
      <c r="L358" t="e">
        <f ca="1"/>
        <v>#NAME?</v>
      </c>
      <c r="M358" t="e">
        <f ca="1"/>
        <v>#NAME?</v>
      </c>
      <c r="S358" t="e">
        <f ca="1"/>
        <v>#NAME?</v>
      </c>
      <c r="U358" t="e">
        <f ca="1"/>
        <v>#NAME?</v>
      </c>
      <c r="V358" t="e">
        <f ca="1"/>
        <v>#NAME?</v>
      </c>
      <c r="W358" t="e">
        <f ca="1"/>
        <v>#NAME?</v>
      </c>
      <c r="X358" t="e">
        <f ca="1"/>
        <v>#NAME?</v>
      </c>
    </row>
    <row r="359" spans="12:24" x14ac:dyDescent="0.25">
      <c r="L359" t="e">
        <f ca="1"/>
        <v>#NAME?</v>
      </c>
      <c r="M359" t="e">
        <f ca="1"/>
        <v>#NAME?</v>
      </c>
      <c r="S359" t="e">
        <f ca="1"/>
        <v>#NAME?</v>
      </c>
      <c r="U359" t="e">
        <f ca="1"/>
        <v>#NAME?</v>
      </c>
      <c r="V359" t="e">
        <f ca="1"/>
        <v>#NAME?</v>
      </c>
      <c r="W359" t="e">
        <f ca="1"/>
        <v>#NAME?</v>
      </c>
      <c r="X359" t="e">
        <f ca="1"/>
        <v>#NAME?</v>
      </c>
    </row>
    <row r="360" spans="12:24" x14ac:dyDescent="0.25">
      <c r="L360" t="e">
        <f ca="1"/>
        <v>#NAME?</v>
      </c>
      <c r="M360" t="e">
        <f ca="1"/>
        <v>#NAME?</v>
      </c>
      <c r="S360" t="e">
        <f ca="1"/>
        <v>#NAME?</v>
      </c>
      <c r="U360" t="e">
        <f ca="1"/>
        <v>#NAME?</v>
      </c>
      <c r="V360" t="e">
        <f ca="1"/>
        <v>#NAME?</v>
      </c>
      <c r="W360" t="e">
        <f ca="1"/>
        <v>#NAME?</v>
      </c>
      <c r="X360" t="e">
        <f ca="1"/>
        <v>#NAME?</v>
      </c>
    </row>
    <row r="361" spans="12:24" x14ac:dyDescent="0.25">
      <c r="L361" t="e">
        <f ca="1"/>
        <v>#NAME?</v>
      </c>
      <c r="M361" t="e">
        <f ca="1"/>
        <v>#NAME?</v>
      </c>
      <c r="S361" t="e">
        <f ca="1"/>
        <v>#NAME?</v>
      </c>
      <c r="U361" t="e">
        <f ca="1"/>
        <v>#NAME?</v>
      </c>
      <c r="V361" t="e">
        <f ca="1"/>
        <v>#NAME?</v>
      </c>
      <c r="W361" t="e">
        <f ca="1"/>
        <v>#NAME?</v>
      </c>
      <c r="X361" t="e">
        <f ca="1"/>
        <v>#NAME?</v>
      </c>
    </row>
    <row r="362" spans="12:24" x14ac:dyDescent="0.25">
      <c r="L362" t="e">
        <f ca="1"/>
        <v>#NAME?</v>
      </c>
      <c r="M362" t="e">
        <f ca="1"/>
        <v>#NAME?</v>
      </c>
      <c r="S362" t="e">
        <f ca="1"/>
        <v>#NAME?</v>
      </c>
      <c r="U362" t="e">
        <f ca="1"/>
        <v>#NAME?</v>
      </c>
      <c r="V362" t="e">
        <f ca="1"/>
        <v>#NAME?</v>
      </c>
      <c r="W362" t="e">
        <f ca="1"/>
        <v>#NAME?</v>
      </c>
      <c r="X362" t="e">
        <f ca="1"/>
        <v>#NAME?</v>
      </c>
    </row>
    <row r="363" spans="12:24" x14ac:dyDescent="0.25">
      <c r="L363" t="e">
        <f ca="1"/>
        <v>#NAME?</v>
      </c>
      <c r="M363" t="e">
        <f ca="1"/>
        <v>#NAME?</v>
      </c>
      <c r="S363" t="e">
        <f ca="1"/>
        <v>#NAME?</v>
      </c>
      <c r="U363" t="e">
        <f ca="1"/>
        <v>#NAME?</v>
      </c>
      <c r="V363" t="e">
        <f ca="1"/>
        <v>#NAME?</v>
      </c>
      <c r="W363" t="e">
        <f ca="1"/>
        <v>#NAME?</v>
      </c>
      <c r="X363" t="e">
        <f ca="1"/>
        <v>#NAME?</v>
      </c>
    </row>
    <row r="364" spans="12:24" x14ac:dyDescent="0.25">
      <c r="L364" t="e">
        <f ca="1"/>
        <v>#NAME?</v>
      </c>
      <c r="M364" t="e">
        <f ca="1"/>
        <v>#NAME?</v>
      </c>
      <c r="S364" t="e">
        <f ca="1"/>
        <v>#NAME?</v>
      </c>
      <c r="U364" t="e">
        <f ca="1"/>
        <v>#NAME?</v>
      </c>
      <c r="V364" t="e">
        <f ca="1"/>
        <v>#NAME?</v>
      </c>
      <c r="W364" t="e">
        <f ca="1"/>
        <v>#NAME?</v>
      </c>
      <c r="X364" t="e">
        <f ca="1"/>
        <v>#NAME?</v>
      </c>
    </row>
    <row r="365" spans="12:24" x14ac:dyDescent="0.25">
      <c r="L365" t="e">
        <f ca="1"/>
        <v>#NAME?</v>
      </c>
      <c r="M365" t="e">
        <f ca="1"/>
        <v>#NAME?</v>
      </c>
      <c r="S365" t="e">
        <f ca="1"/>
        <v>#NAME?</v>
      </c>
      <c r="U365" t="e">
        <f ca="1"/>
        <v>#NAME?</v>
      </c>
      <c r="V365" t="e">
        <f ca="1"/>
        <v>#NAME?</v>
      </c>
      <c r="W365" t="e">
        <f ca="1"/>
        <v>#NAME?</v>
      </c>
      <c r="X365" t="e">
        <f ca="1"/>
        <v>#NAME?</v>
      </c>
    </row>
    <row r="366" spans="12:24" x14ac:dyDescent="0.25">
      <c r="L366" t="e">
        <f ca="1"/>
        <v>#NAME?</v>
      </c>
      <c r="M366" t="e">
        <f ca="1"/>
        <v>#NAME?</v>
      </c>
      <c r="S366" t="e">
        <f ca="1"/>
        <v>#NAME?</v>
      </c>
      <c r="U366" t="e">
        <f ca="1"/>
        <v>#NAME?</v>
      </c>
      <c r="V366" t="e">
        <f ca="1"/>
        <v>#NAME?</v>
      </c>
      <c r="W366" t="e">
        <f ca="1"/>
        <v>#NAME?</v>
      </c>
      <c r="X366" t="e">
        <f ca="1"/>
        <v>#NAME?</v>
      </c>
    </row>
    <row r="367" spans="12:24" x14ac:dyDescent="0.25">
      <c r="L367" t="e">
        <f ca="1"/>
        <v>#NAME?</v>
      </c>
      <c r="M367" t="e">
        <f ca="1"/>
        <v>#NAME?</v>
      </c>
      <c r="S367" t="e">
        <f ca="1"/>
        <v>#NAME?</v>
      </c>
      <c r="U367" t="e">
        <f ca="1"/>
        <v>#NAME?</v>
      </c>
      <c r="V367" t="e">
        <f ca="1"/>
        <v>#NAME?</v>
      </c>
      <c r="W367" t="e">
        <f ca="1"/>
        <v>#NAME?</v>
      </c>
      <c r="X367" t="e">
        <f ca="1"/>
        <v>#NAME?</v>
      </c>
    </row>
    <row r="368" spans="12:24" x14ac:dyDescent="0.25">
      <c r="L368" t="e">
        <f ca="1"/>
        <v>#NAME?</v>
      </c>
      <c r="M368" t="e">
        <f ca="1"/>
        <v>#NAME?</v>
      </c>
      <c r="S368" t="e">
        <f ca="1"/>
        <v>#NAME?</v>
      </c>
      <c r="U368" t="e">
        <f ca="1"/>
        <v>#NAME?</v>
      </c>
      <c r="V368" t="e">
        <f ca="1"/>
        <v>#NAME?</v>
      </c>
      <c r="W368" t="e">
        <f ca="1"/>
        <v>#NAME?</v>
      </c>
      <c r="X368" t="e">
        <f ca="1"/>
        <v>#NAME?</v>
      </c>
    </row>
    <row r="369" spans="12:24" x14ac:dyDescent="0.25">
      <c r="L369" t="e">
        <f ca="1"/>
        <v>#NAME?</v>
      </c>
      <c r="M369" t="e">
        <f ca="1"/>
        <v>#NAME?</v>
      </c>
      <c r="S369" t="e">
        <f ca="1"/>
        <v>#NAME?</v>
      </c>
      <c r="U369" t="e">
        <f ca="1"/>
        <v>#NAME?</v>
      </c>
      <c r="V369" t="e">
        <f ca="1"/>
        <v>#NAME?</v>
      </c>
      <c r="W369" t="e">
        <f ca="1"/>
        <v>#NAME?</v>
      </c>
      <c r="X369" t="e">
        <f ca="1"/>
        <v>#NAME?</v>
      </c>
    </row>
    <row r="370" spans="12:24" x14ac:dyDescent="0.25">
      <c r="L370" t="e">
        <f ca="1"/>
        <v>#NAME?</v>
      </c>
      <c r="M370" t="e">
        <f ca="1"/>
        <v>#NAME?</v>
      </c>
      <c r="S370" t="e">
        <f ca="1"/>
        <v>#NAME?</v>
      </c>
      <c r="U370" t="e">
        <f ca="1"/>
        <v>#NAME?</v>
      </c>
      <c r="V370" t="e">
        <f ca="1"/>
        <v>#NAME?</v>
      </c>
      <c r="W370" t="e">
        <f ca="1"/>
        <v>#NAME?</v>
      </c>
      <c r="X370" t="e">
        <f ca="1"/>
        <v>#NAME?</v>
      </c>
    </row>
    <row r="371" spans="12:24" x14ac:dyDescent="0.25">
      <c r="L371" t="e">
        <f ca="1"/>
        <v>#NAME?</v>
      </c>
      <c r="M371" t="e">
        <f ca="1"/>
        <v>#NAME?</v>
      </c>
      <c r="S371" t="e">
        <f ca="1"/>
        <v>#NAME?</v>
      </c>
      <c r="U371" t="e">
        <f ca="1"/>
        <v>#NAME?</v>
      </c>
      <c r="V371" t="e">
        <f ca="1"/>
        <v>#NAME?</v>
      </c>
      <c r="W371" t="e">
        <f ca="1"/>
        <v>#NAME?</v>
      </c>
      <c r="X371" t="e">
        <f ca="1"/>
        <v>#NAME?</v>
      </c>
    </row>
    <row r="372" spans="12:24" x14ac:dyDescent="0.25">
      <c r="L372" t="e">
        <f ca="1"/>
        <v>#NAME?</v>
      </c>
      <c r="M372" t="e">
        <f ca="1"/>
        <v>#NAME?</v>
      </c>
      <c r="S372" t="e">
        <f ca="1"/>
        <v>#NAME?</v>
      </c>
      <c r="U372" t="e">
        <f ca="1"/>
        <v>#NAME?</v>
      </c>
      <c r="V372" t="e">
        <f ca="1"/>
        <v>#NAME?</v>
      </c>
      <c r="W372" t="e">
        <f ca="1"/>
        <v>#NAME?</v>
      </c>
      <c r="X372" t="e">
        <f ca="1"/>
        <v>#NAME?</v>
      </c>
    </row>
    <row r="373" spans="12:24" x14ac:dyDescent="0.25">
      <c r="L373" t="e">
        <f ca="1"/>
        <v>#NAME?</v>
      </c>
      <c r="M373" t="e">
        <f ca="1"/>
        <v>#NAME?</v>
      </c>
      <c r="S373" t="e">
        <f ca="1"/>
        <v>#NAME?</v>
      </c>
      <c r="U373" t="e">
        <f ca="1"/>
        <v>#NAME?</v>
      </c>
      <c r="V373" t="e">
        <f ca="1"/>
        <v>#NAME?</v>
      </c>
      <c r="W373" t="e">
        <f ca="1"/>
        <v>#NAME?</v>
      </c>
      <c r="X373" t="e">
        <f ca="1"/>
        <v>#NAME?</v>
      </c>
    </row>
    <row r="374" spans="12:24" x14ac:dyDescent="0.25">
      <c r="L374" t="e">
        <f ca="1"/>
        <v>#NAME?</v>
      </c>
      <c r="M374" t="e">
        <f ca="1"/>
        <v>#NAME?</v>
      </c>
      <c r="S374" t="e">
        <f ca="1"/>
        <v>#NAME?</v>
      </c>
      <c r="U374" t="e">
        <f ca="1"/>
        <v>#NAME?</v>
      </c>
      <c r="V374" t="e">
        <f ca="1"/>
        <v>#NAME?</v>
      </c>
      <c r="W374" t="e">
        <f ca="1"/>
        <v>#NAME?</v>
      </c>
      <c r="X374" t="e">
        <f ca="1"/>
        <v>#NAME?</v>
      </c>
    </row>
    <row r="375" spans="12:24" x14ac:dyDescent="0.25">
      <c r="L375" t="e">
        <f ca="1"/>
        <v>#NAME?</v>
      </c>
      <c r="M375" t="e">
        <f ca="1"/>
        <v>#NAME?</v>
      </c>
      <c r="S375" t="e">
        <f ca="1"/>
        <v>#NAME?</v>
      </c>
      <c r="U375" t="e">
        <f ca="1"/>
        <v>#NAME?</v>
      </c>
      <c r="V375" t="e">
        <f ca="1"/>
        <v>#NAME?</v>
      </c>
      <c r="W375" t="e">
        <f ca="1"/>
        <v>#NAME?</v>
      </c>
      <c r="X375" t="e">
        <f ca="1"/>
        <v>#NAME?</v>
      </c>
    </row>
    <row r="376" spans="12:24" x14ac:dyDescent="0.25">
      <c r="L376" t="e">
        <f ca="1"/>
        <v>#NAME?</v>
      </c>
      <c r="M376" t="e">
        <f ca="1"/>
        <v>#NAME?</v>
      </c>
      <c r="S376" t="e">
        <f ca="1"/>
        <v>#NAME?</v>
      </c>
      <c r="U376" t="e">
        <f ca="1"/>
        <v>#NAME?</v>
      </c>
      <c r="V376" t="e">
        <f ca="1"/>
        <v>#NAME?</v>
      </c>
      <c r="W376" t="e">
        <f ca="1"/>
        <v>#NAME?</v>
      </c>
      <c r="X376" t="e">
        <f ca="1"/>
        <v>#NAME?</v>
      </c>
    </row>
    <row r="377" spans="12:24" x14ac:dyDescent="0.25">
      <c r="L377" t="e">
        <f ca="1"/>
        <v>#NAME?</v>
      </c>
      <c r="M377" t="e">
        <f ca="1"/>
        <v>#NAME?</v>
      </c>
      <c r="S377" t="e">
        <f ca="1"/>
        <v>#NAME?</v>
      </c>
      <c r="U377" t="e">
        <f ca="1"/>
        <v>#NAME?</v>
      </c>
      <c r="V377" t="e">
        <f ca="1"/>
        <v>#NAME?</v>
      </c>
      <c r="W377" t="e">
        <f ca="1"/>
        <v>#NAME?</v>
      </c>
      <c r="X377" t="e">
        <f ca="1"/>
        <v>#NAME?</v>
      </c>
    </row>
    <row r="378" spans="12:24" x14ac:dyDescent="0.25">
      <c r="L378" t="e">
        <f ca="1"/>
        <v>#NAME?</v>
      </c>
      <c r="M378" t="e">
        <f ca="1"/>
        <v>#NAME?</v>
      </c>
      <c r="S378" t="e">
        <f ca="1"/>
        <v>#NAME?</v>
      </c>
      <c r="U378" t="e">
        <f ca="1"/>
        <v>#NAME?</v>
      </c>
      <c r="V378" t="e">
        <f ca="1"/>
        <v>#NAME?</v>
      </c>
      <c r="W378" t="e">
        <f ca="1"/>
        <v>#NAME?</v>
      </c>
      <c r="X378" t="e">
        <f ca="1"/>
        <v>#NAME?</v>
      </c>
    </row>
    <row r="379" spans="12:24" x14ac:dyDescent="0.25">
      <c r="L379" t="e">
        <f ca="1"/>
        <v>#NAME?</v>
      </c>
      <c r="M379" t="e">
        <f ca="1"/>
        <v>#NAME?</v>
      </c>
      <c r="S379" t="e">
        <f ca="1"/>
        <v>#NAME?</v>
      </c>
      <c r="U379" t="e">
        <f ca="1"/>
        <v>#NAME?</v>
      </c>
      <c r="V379" t="e">
        <f ca="1"/>
        <v>#NAME?</v>
      </c>
      <c r="W379" t="e">
        <f ca="1"/>
        <v>#NAME?</v>
      </c>
      <c r="X379" t="e">
        <f ca="1"/>
        <v>#NAME?</v>
      </c>
    </row>
    <row r="380" spans="12:24" x14ac:dyDescent="0.25">
      <c r="L380" t="e">
        <f ca="1"/>
        <v>#NAME?</v>
      </c>
      <c r="M380" t="e">
        <f ca="1"/>
        <v>#NAME?</v>
      </c>
      <c r="S380" t="e">
        <f ca="1"/>
        <v>#NAME?</v>
      </c>
      <c r="U380" t="e">
        <f ca="1"/>
        <v>#NAME?</v>
      </c>
      <c r="V380" t="e">
        <f ca="1"/>
        <v>#NAME?</v>
      </c>
      <c r="W380" t="e">
        <f ca="1"/>
        <v>#NAME?</v>
      </c>
      <c r="X380" t="e">
        <f ca="1"/>
        <v>#NAME?</v>
      </c>
    </row>
    <row r="381" spans="12:24" x14ac:dyDescent="0.25">
      <c r="L381" t="e">
        <f ca="1"/>
        <v>#NAME?</v>
      </c>
      <c r="M381" t="e">
        <f ca="1"/>
        <v>#NAME?</v>
      </c>
      <c r="S381" t="e">
        <f ca="1"/>
        <v>#NAME?</v>
      </c>
      <c r="U381" t="e">
        <f ca="1"/>
        <v>#NAME?</v>
      </c>
      <c r="V381" t="e">
        <f ca="1"/>
        <v>#NAME?</v>
      </c>
      <c r="W381" t="e">
        <f ca="1"/>
        <v>#NAME?</v>
      </c>
      <c r="X381" t="e">
        <f ca="1"/>
        <v>#NAME?</v>
      </c>
    </row>
    <row r="382" spans="12:24" x14ac:dyDescent="0.25">
      <c r="L382" t="e">
        <f ca="1"/>
        <v>#NAME?</v>
      </c>
      <c r="M382" t="e">
        <f ca="1"/>
        <v>#NAME?</v>
      </c>
      <c r="S382" t="e">
        <f ca="1"/>
        <v>#NAME?</v>
      </c>
      <c r="U382" t="e">
        <f ca="1"/>
        <v>#NAME?</v>
      </c>
      <c r="V382" t="e">
        <f ca="1"/>
        <v>#NAME?</v>
      </c>
      <c r="W382" t="e">
        <f ca="1"/>
        <v>#NAME?</v>
      </c>
      <c r="X382" t="e">
        <f ca="1"/>
        <v>#NAME?</v>
      </c>
    </row>
    <row r="383" spans="12:24" x14ac:dyDescent="0.25">
      <c r="L383" t="e">
        <f ca="1"/>
        <v>#NAME?</v>
      </c>
      <c r="M383" t="e">
        <f ca="1"/>
        <v>#NAME?</v>
      </c>
      <c r="S383" t="e">
        <f ca="1"/>
        <v>#NAME?</v>
      </c>
      <c r="U383" t="e">
        <f ca="1"/>
        <v>#NAME?</v>
      </c>
      <c r="V383" t="e">
        <f ca="1"/>
        <v>#NAME?</v>
      </c>
      <c r="W383" t="e">
        <f ca="1"/>
        <v>#NAME?</v>
      </c>
      <c r="X383" t="e">
        <f ca="1"/>
        <v>#NAME?</v>
      </c>
    </row>
    <row r="384" spans="12:24" x14ac:dyDescent="0.25">
      <c r="L384" t="e">
        <f ca="1"/>
        <v>#NAME?</v>
      </c>
      <c r="M384" t="e">
        <f ca="1"/>
        <v>#NAME?</v>
      </c>
      <c r="S384" t="e">
        <f ca="1"/>
        <v>#NAME?</v>
      </c>
      <c r="U384" t="e">
        <f ca="1"/>
        <v>#NAME?</v>
      </c>
      <c r="V384" t="e">
        <f ca="1"/>
        <v>#NAME?</v>
      </c>
      <c r="W384" t="e">
        <f ca="1"/>
        <v>#NAME?</v>
      </c>
      <c r="X384" t="e">
        <f ca="1"/>
        <v>#NAME?</v>
      </c>
    </row>
    <row r="385" spans="12:24" x14ac:dyDescent="0.25">
      <c r="L385" t="e">
        <f ca="1"/>
        <v>#NAME?</v>
      </c>
      <c r="M385" t="e">
        <f ca="1"/>
        <v>#NAME?</v>
      </c>
      <c r="S385" t="e">
        <f ca="1"/>
        <v>#NAME?</v>
      </c>
      <c r="U385" t="e">
        <f ca="1"/>
        <v>#NAME?</v>
      </c>
      <c r="V385" t="e">
        <f ca="1"/>
        <v>#NAME?</v>
      </c>
      <c r="W385" t="e">
        <f ca="1"/>
        <v>#NAME?</v>
      </c>
      <c r="X385" t="e">
        <f ca="1"/>
        <v>#NAME?</v>
      </c>
    </row>
    <row r="386" spans="12:24" x14ac:dyDescent="0.25">
      <c r="L386" t="e">
        <f ca="1"/>
        <v>#NAME?</v>
      </c>
      <c r="M386" t="e">
        <f ca="1"/>
        <v>#NAME?</v>
      </c>
      <c r="S386" t="e">
        <f ca="1"/>
        <v>#NAME?</v>
      </c>
      <c r="U386" t="e">
        <f ca="1"/>
        <v>#NAME?</v>
      </c>
      <c r="V386" t="e">
        <f ca="1"/>
        <v>#NAME?</v>
      </c>
      <c r="W386" t="e">
        <f ca="1"/>
        <v>#NAME?</v>
      </c>
      <c r="X386" t="e">
        <f ca="1"/>
        <v>#NAME?</v>
      </c>
    </row>
    <row r="387" spans="12:24" x14ac:dyDescent="0.25">
      <c r="L387" t="e">
        <f ca="1"/>
        <v>#NAME?</v>
      </c>
      <c r="M387" t="e">
        <f ca="1"/>
        <v>#NAME?</v>
      </c>
      <c r="S387" t="e">
        <f ca="1"/>
        <v>#NAME?</v>
      </c>
      <c r="U387" t="e">
        <f ca="1"/>
        <v>#NAME?</v>
      </c>
      <c r="V387" t="e">
        <f ca="1"/>
        <v>#NAME?</v>
      </c>
      <c r="W387" t="e">
        <f ca="1"/>
        <v>#NAME?</v>
      </c>
      <c r="X387" t="e">
        <f ca="1"/>
        <v>#NAME?</v>
      </c>
    </row>
    <row r="388" spans="12:24" x14ac:dyDescent="0.25">
      <c r="L388" t="e">
        <f ca="1"/>
        <v>#NAME?</v>
      </c>
      <c r="M388" t="e">
        <f ca="1"/>
        <v>#NAME?</v>
      </c>
      <c r="S388" t="e">
        <f ca="1"/>
        <v>#NAME?</v>
      </c>
      <c r="U388" t="e">
        <f ca="1"/>
        <v>#NAME?</v>
      </c>
      <c r="V388" t="e">
        <f ca="1"/>
        <v>#NAME?</v>
      </c>
      <c r="W388" t="e">
        <f ca="1"/>
        <v>#NAME?</v>
      </c>
      <c r="X388" t="e">
        <f ca="1"/>
        <v>#NAME?</v>
      </c>
    </row>
    <row r="389" spans="12:24" x14ac:dyDescent="0.25">
      <c r="L389" t="e">
        <f ca="1"/>
        <v>#NAME?</v>
      </c>
      <c r="M389" t="e">
        <f ca="1"/>
        <v>#NAME?</v>
      </c>
      <c r="S389" t="e">
        <f ca="1"/>
        <v>#NAME?</v>
      </c>
      <c r="U389" t="e">
        <f ca="1"/>
        <v>#NAME?</v>
      </c>
      <c r="V389" t="e">
        <f ca="1"/>
        <v>#NAME?</v>
      </c>
      <c r="W389" t="e">
        <f ca="1"/>
        <v>#NAME?</v>
      </c>
      <c r="X389" t="e">
        <f ca="1"/>
        <v>#NAME?</v>
      </c>
    </row>
    <row r="390" spans="12:24" x14ac:dyDescent="0.25">
      <c r="L390" t="e">
        <f ca="1"/>
        <v>#NAME?</v>
      </c>
      <c r="M390" t="e">
        <f ca="1"/>
        <v>#NAME?</v>
      </c>
      <c r="S390" t="e">
        <f ca="1"/>
        <v>#NAME?</v>
      </c>
      <c r="U390" t="e">
        <f ca="1"/>
        <v>#NAME?</v>
      </c>
      <c r="V390" t="e">
        <f ca="1"/>
        <v>#NAME?</v>
      </c>
      <c r="W390" t="e">
        <f ca="1"/>
        <v>#NAME?</v>
      </c>
      <c r="X390" t="e">
        <f ca="1"/>
        <v>#NAME?</v>
      </c>
    </row>
    <row r="391" spans="12:24" x14ac:dyDescent="0.25">
      <c r="L391" t="e">
        <f ca="1"/>
        <v>#NAME?</v>
      </c>
      <c r="M391" t="e">
        <f ca="1"/>
        <v>#NAME?</v>
      </c>
      <c r="S391" t="e">
        <f ca="1"/>
        <v>#NAME?</v>
      </c>
      <c r="U391" t="e">
        <f ca="1"/>
        <v>#NAME?</v>
      </c>
      <c r="V391" t="e">
        <f ca="1"/>
        <v>#NAME?</v>
      </c>
      <c r="W391" t="e">
        <f ca="1"/>
        <v>#NAME?</v>
      </c>
      <c r="X391" t="e">
        <f ca="1"/>
        <v>#NAME?</v>
      </c>
    </row>
    <row r="392" spans="12:24" x14ac:dyDescent="0.25">
      <c r="L392" t="e">
        <f ca="1"/>
        <v>#NAME?</v>
      </c>
      <c r="M392" t="e">
        <f ca="1"/>
        <v>#NAME?</v>
      </c>
      <c r="S392" t="e">
        <f ca="1"/>
        <v>#NAME?</v>
      </c>
      <c r="U392" t="e">
        <f ca="1"/>
        <v>#NAME?</v>
      </c>
      <c r="V392" t="e">
        <f ca="1"/>
        <v>#NAME?</v>
      </c>
      <c r="W392" t="e">
        <f ca="1"/>
        <v>#NAME?</v>
      </c>
      <c r="X392" t="e">
        <f ca="1"/>
        <v>#NAME?</v>
      </c>
    </row>
    <row r="393" spans="12:24" x14ac:dyDescent="0.25">
      <c r="L393" t="e">
        <f ca="1"/>
        <v>#NAME?</v>
      </c>
      <c r="M393" t="e">
        <f ca="1"/>
        <v>#NAME?</v>
      </c>
      <c r="S393" t="e">
        <f ca="1"/>
        <v>#NAME?</v>
      </c>
      <c r="U393" t="e">
        <f ca="1"/>
        <v>#NAME?</v>
      </c>
      <c r="V393" t="e">
        <f ca="1"/>
        <v>#NAME?</v>
      </c>
      <c r="W393" t="e">
        <f ca="1"/>
        <v>#NAME?</v>
      </c>
      <c r="X393" t="e">
        <f ca="1"/>
        <v>#NAME?</v>
      </c>
    </row>
    <row r="394" spans="12:24" x14ac:dyDescent="0.25">
      <c r="L394" t="e">
        <f ca="1"/>
        <v>#NAME?</v>
      </c>
      <c r="M394" t="e">
        <f ca="1"/>
        <v>#NAME?</v>
      </c>
      <c r="S394" t="e">
        <f ca="1"/>
        <v>#NAME?</v>
      </c>
      <c r="U394" t="e">
        <f ca="1"/>
        <v>#NAME?</v>
      </c>
      <c r="V394" t="e">
        <f ca="1"/>
        <v>#NAME?</v>
      </c>
      <c r="W394" t="e">
        <f ca="1"/>
        <v>#NAME?</v>
      </c>
      <c r="X394" t="e">
        <f ca="1"/>
        <v>#NAME?</v>
      </c>
    </row>
    <row r="395" spans="12:24" x14ac:dyDescent="0.25">
      <c r="L395" t="e">
        <f ca="1"/>
        <v>#NAME?</v>
      </c>
      <c r="M395" t="e">
        <f ca="1"/>
        <v>#NAME?</v>
      </c>
      <c r="S395" t="e">
        <f ca="1"/>
        <v>#NAME?</v>
      </c>
      <c r="U395" t="e">
        <f ca="1"/>
        <v>#NAME?</v>
      </c>
      <c r="V395" t="e">
        <f ca="1"/>
        <v>#NAME?</v>
      </c>
      <c r="W395" t="e">
        <f ca="1"/>
        <v>#NAME?</v>
      </c>
      <c r="X395" t="e">
        <f ca="1"/>
        <v>#NAME?</v>
      </c>
    </row>
    <row r="396" spans="12:24" x14ac:dyDescent="0.25">
      <c r="L396" t="e">
        <f ca="1"/>
        <v>#NAME?</v>
      </c>
      <c r="M396" t="e">
        <f ca="1"/>
        <v>#NAME?</v>
      </c>
      <c r="S396" t="e">
        <f ca="1"/>
        <v>#NAME?</v>
      </c>
      <c r="U396" t="e">
        <f ca="1"/>
        <v>#NAME?</v>
      </c>
      <c r="V396" t="e">
        <f ca="1"/>
        <v>#NAME?</v>
      </c>
      <c r="W396" t="e">
        <f ca="1"/>
        <v>#NAME?</v>
      </c>
      <c r="X396" t="e">
        <f ca="1"/>
        <v>#NAME?</v>
      </c>
    </row>
    <row r="397" spans="12:24" x14ac:dyDescent="0.25">
      <c r="L397" t="e">
        <f ca="1"/>
        <v>#NAME?</v>
      </c>
      <c r="M397" t="e">
        <f ca="1"/>
        <v>#NAME?</v>
      </c>
      <c r="S397" t="e">
        <f ca="1"/>
        <v>#NAME?</v>
      </c>
      <c r="U397" t="e">
        <f ca="1"/>
        <v>#NAME?</v>
      </c>
      <c r="V397" t="e">
        <f ca="1"/>
        <v>#NAME?</v>
      </c>
      <c r="W397" t="e">
        <f ca="1"/>
        <v>#NAME?</v>
      </c>
      <c r="X397" t="e">
        <f ca="1"/>
        <v>#NAME?</v>
      </c>
    </row>
    <row r="398" spans="12:24" x14ac:dyDescent="0.25">
      <c r="L398" t="e">
        <f ca="1"/>
        <v>#NAME?</v>
      </c>
      <c r="M398" t="e">
        <f ca="1"/>
        <v>#NAME?</v>
      </c>
      <c r="S398" t="e">
        <f ca="1"/>
        <v>#NAME?</v>
      </c>
      <c r="U398" t="e">
        <f ca="1"/>
        <v>#NAME?</v>
      </c>
      <c r="V398" t="e">
        <f ca="1"/>
        <v>#NAME?</v>
      </c>
      <c r="W398" t="e">
        <f ca="1"/>
        <v>#NAME?</v>
      </c>
      <c r="X398" t="e">
        <f ca="1"/>
        <v>#NAME?</v>
      </c>
    </row>
    <row r="399" spans="12:24" x14ac:dyDescent="0.25">
      <c r="L399" t="e">
        <f ca="1"/>
        <v>#NAME?</v>
      </c>
      <c r="M399" t="e">
        <f ca="1"/>
        <v>#NAME?</v>
      </c>
      <c r="S399" t="e">
        <f ca="1"/>
        <v>#NAME?</v>
      </c>
      <c r="U399" t="e">
        <f ca="1"/>
        <v>#NAME?</v>
      </c>
      <c r="V399" t="e">
        <f ca="1"/>
        <v>#NAME?</v>
      </c>
      <c r="W399" t="e">
        <f ca="1"/>
        <v>#NAME?</v>
      </c>
      <c r="X399" t="e">
        <f ca="1"/>
        <v>#NAME?</v>
      </c>
    </row>
    <row r="400" spans="12:24" x14ac:dyDescent="0.25">
      <c r="L400" t="e">
        <f ca="1"/>
        <v>#NAME?</v>
      </c>
      <c r="M400" t="e">
        <f ca="1"/>
        <v>#NAME?</v>
      </c>
      <c r="S400" t="e">
        <f ca="1"/>
        <v>#NAME?</v>
      </c>
      <c r="U400" t="e">
        <f ca="1"/>
        <v>#NAME?</v>
      </c>
      <c r="V400" t="e">
        <f ca="1"/>
        <v>#NAME?</v>
      </c>
      <c r="W400" t="e">
        <f ca="1"/>
        <v>#NAME?</v>
      </c>
      <c r="X400" t="e">
        <f ca="1"/>
        <v>#NAME?</v>
      </c>
    </row>
    <row r="401" spans="12:24" x14ac:dyDescent="0.25">
      <c r="L401" t="e">
        <f ca="1"/>
        <v>#NAME?</v>
      </c>
      <c r="M401" t="e">
        <f ca="1"/>
        <v>#NAME?</v>
      </c>
      <c r="S401" t="e">
        <f ca="1"/>
        <v>#NAME?</v>
      </c>
      <c r="U401" t="e">
        <f ca="1"/>
        <v>#NAME?</v>
      </c>
      <c r="V401" t="e">
        <f ca="1"/>
        <v>#NAME?</v>
      </c>
      <c r="W401" t="e">
        <f ca="1"/>
        <v>#NAME?</v>
      </c>
      <c r="X401" t="e">
        <f ca="1"/>
        <v>#NAME?</v>
      </c>
    </row>
    <row r="402" spans="12:24" x14ac:dyDescent="0.25">
      <c r="L402" t="e">
        <f ca="1"/>
        <v>#NAME?</v>
      </c>
      <c r="M402" t="e">
        <f ca="1"/>
        <v>#NAME?</v>
      </c>
      <c r="S402" t="e">
        <f ca="1"/>
        <v>#NAME?</v>
      </c>
      <c r="U402" t="e">
        <f ca="1"/>
        <v>#NAME?</v>
      </c>
      <c r="V402" t="e">
        <f ca="1"/>
        <v>#NAME?</v>
      </c>
      <c r="W402" t="e">
        <f ca="1"/>
        <v>#NAME?</v>
      </c>
      <c r="X402" t="e">
        <f ca="1"/>
        <v>#NAME?</v>
      </c>
    </row>
    <row r="403" spans="12:24" x14ac:dyDescent="0.25">
      <c r="L403" t="e">
        <f ca="1"/>
        <v>#NAME?</v>
      </c>
      <c r="M403" t="e">
        <f ca="1"/>
        <v>#NAME?</v>
      </c>
      <c r="S403" t="e">
        <f ca="1"/>
        <v>#NAME?</v>
      </c>
      <c r="U403" t="e">
        <f ca="1"/>
        <v>#NAME?</v>
      </c>
      <c r="V403" t="e">
        <f ca="1"/>
        <v>#NAME?</v>
      </c>
      <c r="W403" t="e">
        <f ca="1"/>
        <v>#NAME?</v>
      </c>
      <c r="X403" t="e">
        <f ca="1"/>
        <v>#NAME?</v>
      </c>
    </row>
    <row r="404" spans="12:24" x14ac:dyDescent="0.25">
      <c r="L404" t="e">
        <f ca="1"/>
        <v>#NAME?</v>
      </c>
      <c r="M404" t="e">
        <f ca="1"/>
        <v>#NAME?</v>
      </c>
      <c r="S404" t="e">
        <f ca="1"/>
        <v>#NAME?</v>
      </c>
      <c r="U404" t="e">
        <f ca="1"/>
        <v>#NAME?</v>
      </c>
      <c r="V404" t="e">
        <f ca="1"/>
        <v>#NAME?</v>
      </c>
      <c r="W404" t="e">
        <f ca="1"/>
        <v>#NAME?</v>
      </c>
      <c r="X404" t="e">
        <f ca="1"/>
        <v>#NAME?</v>
      </c>
    </row>
    <row r="405" spans="12:24" x14ac:dyDescent="0.25">
      <c r="L405" t="e">
        <f ca="1"/>
        <v>#NAME?</v>
      </c>
      <c r="M405" t="e">
        <f ca="1"/>
        <v>#NAME?</v>
      </c>
      <c r="S405" t="e">
        <f ca="1"/>
        <v>#NAME?</v>
      </c>
      <c r="U405" t="e">
        <f ca="1"/>
        <v>#NAME?</v>
      </c>
      <c r="V405" t="e">
        <f ca="1"/>
        <v>#NAME?</v>
      </c>
      <c r="W405" t="e">
        <f ca="1"/>
        <v>#NAME?</v>
      </c>
      <c r="X405" t="e">
        <f ca="1"/>
        <v>#NAME?</v>
      </c>
    </row>
    <row r="406" spans="12:24" x14ac:dyDescent="0.25">
      <c r="L406" t="e">
        <f ca="1"/>
        <v>#NAME?</v>
      </c>
      <c r="M406" t="e">
        <f ca="1"/>
        <v>#NAME?</v>
      </c>
      <c r="S406" t="e">
        <f ca="1"/>
        <v>#NAME?</v>
      </c>
      <c r="U406" t="e">
        <f ca="1"/>
        <v>#NAME?</v>
      </c>
      <c r="V406" t="e">
        <f ca="1"/>
        <v>#NAME?</v>
      </c>
      <c r="W406" t="e">
        <f ca="1"/>
        <v>#NAME?</v>
      </c>
      <c r="X406" t="e">
        <f ca="1"/>
        <v>#NAME?</v>
      </c>
    </row>
    <row r="407" spans="12:24" x14ac:dyDescent="0.25">
      <c r="L407" t="e">
        <f ca="1"/>
        <v>#NAME?</v>
      </c>
      <c r="M407" t="e">
        <f ca="1"/>
        <v>#NAME?</v>
      </c>
      <c r="S407" t="e">
        <f ca="1"/>
        <v>#NAME?</v>
      </c>
      <c r="U407" t="e">
        <f ca="1"/>
        <v>#NAME?</v>
      </c>
      <c r="V407" t="e">
        <f ca="1"/>
        <v>#NAME?</v>
      </c>
      <c r="W407" t="e">
        <f ca="1"/>
        <v>#NAME?</v>
      </c>
      <c r="X407" t="e">
        <f ca="1"/>
        <v>#NAME?</v>
      </c>
    </row>
    <row r="408" spans="12:24" x14ac:dyDescent="0.25">
      <c r="L408" t="e">
        <f ca="1"/>
        <v>#NAME?</v>
      </c>
      <c r="M408" t="e">
        <f ca="1"/>
        <v>#NAME?</v>
      </c>
      <c r="S408" t="e">
        <f ca="1"/>
        <v>#NAME?</v>
      </c>
      <c r="U408" t="e">
        <f ca="1"/>
        <v>#NAME?</v>
      </c>
      <c r="V408" t="e">
        <f ca="1"/>
        <v>#NAME?</v>
      </c>
      <c r="W408" t="e">
        <f ca="1"/>
        <v>#NAME?</v>
      </c>
      <c r="X408" t="e">
        <f ca="1"/>
        <v>#NAME?</v>
      </c>
    </row>
    <row r="409" spans="12:24" x14ac:dyDescent="0.25">
      <c r="L409" t="e">
        <f ca="1"/>
        <v>#NAME?</v>
      </c>
      <c r="M409" t="e">
        <f ca="1"/>
        <v>#NAME?</v>
      </c>
      <c r="S409" t="e">
        <f ca="1"/>
        <v>#NAME?</v>
      </c>
      <c r="U409" t="e">
        <f ca="1"/>
        <v>#NAME?</v>
      </c>
      <c r="V409" t="e">
        <f ca="1"/>
        <v>#NAME?</v>
      </c>
      <c r="W409" t="e">
        <f ca="1"/>
        <v>#NAME?</v>
      </c>
      <c r="X409" t="e">
        <f ca="1"/>
        <v>#NAME?</v>
      </c>
    </row>
    <row r="410" spans="12:24" x14ac:dyDescent="0.25">
      <c r="L410" t="e">
        <f ca="1"/>
        <v>#NAME?</v>
      </c>
      <c r="M410" t="e">
        <f ca="1"/>
        <v>#NAME?</v>
      </c>
      <c r="S410" t="e">
        <f ca="1"/>
        <v>#NAME?</v>
      </c>
      <c r="U410" t="e">
        <f ca="1"/>
        <v>#NAME?</v>
      </c>
      <c r="V410" t="e">
        <f ca="1"/>
        <v>#NAME?</v>
      </c>
      <c r="W410" t="e">
        <f ca="1"/>
        <v>#NAME?</v>
      </c>
      <c r="X410" t="e">
        <f ca="1"/>
        <v>#NAME?</v>
      </c>
    </row>
    <row r="411" spans="12:24" x14ac:dyDescent="0.25">
      <c r="L411" t="e">
        <f ca="1"/>
        <v>#NAME?</v>
      </c>
      <c r="M411" t="e">
        <f ca="1"/>
        <v>#NAME?</v>
      </c>
      <c r="S411" t="e">
        <f ca="1"/>
        <v>#NAME?</v>
      </c>
      <c r="U411" t="e">
        <f ca="1"/>
        <v>#NAME?</v>
      </c>
      <c r="V411" t="e">
        <f ca="1"/>
        <v>#NAME?</v>
      </c>
      <c r="W411" t="e">
        <f ca="1"/>
        <v>#NAME?</v>
      </c>
      <c r="X411" t="e">
        <f ca="1"/>
        <v>#NAME?</v>
      </c>
    </row>
    <row r="412" spans="12:24" x14ac:dyDescent="0.25">
      <c r="L412" t="e">
        <f ca="1"/>
        <v>#NAME?</v>
      </c>
      <c r="M412" t="e">
        <f ca="1"/>
        <v>#NAME?</v>
      </c>
      <c r="S412" t="e">
        <f ca="1"/>
        <v>#NAME?</v>
      </c>
      <c r="U412" t="e">
        <f ca="1"/>
        <v>#NAME?</v>
      </c>
      <c r="V412" t="e">
        <f ca="1"/>
        <v>#NAME?</v>
      </c>
      <c r="W412" t="e">
        <f ca="1"/>
        <v>#NAME?</v>
      </c>
      <c r="X412" t="e">
        <f ca="1"/>
        <v>#NAME?</v>
      </c>
    </row>
    <row r="413" spans="12:24" x14ac:dyDescent="0.25">
      <c r="L413" t="e">
        <f ca="1"/>
        <v>#NAME?</v>
      </c>
      <c r="M413" t="e">
        <f ca="1"/>
        <v>#NAME?</v>
      </c>
      <c r="S413" t="e">
        <f ca="1"/>
        <v>#NAME?</v>
      </c>
      <c r="U413" t="e">
        <f ca="1"/>
        <v>#NAME?</v>
      </c>
      <c r="V413" t="e">
        <f ca="1"/>
        <v>#NAME?</v>
      </c>
      <c r="W413" t="e">
        <f ca="1"/>
        <v>#NAME?</v>
      </c>
      <c r="X413" t="e">
        <f ca="1"/>
        <v>#NAME?</v>
      </c>
    </row>
    <row r="414" spans="12:24" x14ac:dyDescent="0.25">
      <c r="L414" t="e">
        <f ca="1"/>
        <v>#NAME?</v>
      </c>
      <c r="M414" t="e">
        <f ca="1"/>
        <v>#NAME?</v>
      </c>
      <c r="S414" t="e">
        <f ca="1"/>
        <v>#NAME?</v>
      </c>
      <c r="U414" t="e">
        <f ca="1"/>
        <v>#NAME?</v>
      </c>
      <c r="V414" t="e">
        <f ca="1"/>
        <v>#NAME?</v>
      </c>
      <c r="W414" t="e">
        <f ca="1"/>
        <v>#NAME?</v>
      </c>
      <c r="X414" t="e">
        <f ca="1"/>
        <v>#NAME?</v>
      </c>
    </row>
    <row r="415" spans="12:24" x14ac:dyDescent="0.25">
      <c r="L415" t="e">
        <f ca="1"/>
        <v>#NAME?</v>
      </c>
      <c r="M415" t="e">
        <f ca="1"/>
        <v>#NAME?</v>
      </c>
      <c r="S415" t="e">
        <f ca="1"/>
        <v>#NAME?</v>
      </c>
      <c r="U415" t="e">
        <f ca="1"/>
        <v>#NAME?</v>
      </c>
      <c r="V415" t="e">
        <f ca="1"/>
        <v>#NAME?</v>
      </c>
      <c r="W415" t="e">
        <f ca="1"/>
        <v>#NAME?</v>
      </c>
      <c r="X415" t="e">
        <f ca="1"/>
        <v>#NAME?</v>
      </c>
    </row>
    <row r="416" spans="12:24" x14ac:dyDescent="0.25">
      <c r="L416" t="e">
        <f ca="1"/>
        <v>#NAME?</v>
      </c>
      <c r="M416" t="e">
        <f ca="1"/>
        <v>#NAME?</v>
      </c>
      <c r="S416" t="e">
        <f ca="1"/>
        <v>#NAME?</v>
      </c>
      <c r="U416" t="e">
        <f ca="1"/>
        <v>#NAME?</v>
      </c>
      <c r="V416" t="e">
        <f ca="1"/>
        <v>#NAME?</v>
      </c>
      <c r="W416" t="e">
        <f ca="1"/>
        <v>#NAME?</v>
      </c>
      <c r="X416" t="e">
        <f ca="1"/>
        <v>#NAME?</v>
      </c>
    </row>
    <row r="417" spans="12:24" x14ac:dyDescent="0.25">
      <c r="L417" t="e">
        <f ca="1"/>
        <v>#NAME?</v>
      </c>
      <c r="M417" t="e">
        <f ca="1"/>
        <v>#NAME?</v>
      </c>
      <c r="S417" t="e">
        <f ca="1"/>
        <v>#NAME?</v>
      </c>
      <c r="U417" t="e">
        <f ca="1"/>
        <v>#NAME?</v>
      </c>
      <c r="V417" t="e">
        <f ca="1"/>
        <v>#NAME?</v>
      </c>
      <c r="W417" t="e">
        <f ca="1"/>
        <v>#NAME?</v>
      </c>
      <c r="X417" t="e">
        <f ca="1"/>
        <v>#NAME?</v>
      </c>
    </row>
    <row r="418" spans="12:24" x14ac:dyDescent="0.25">
      <c r="L418" t="e">
        <f ca="1"/>
        <v>#NAME?</v>
      </c>
      <c r="M418" t="e">
        <f ca="1"/>
        <v>#NAME?</v>
      </c>
      <c r="S418" t="e">
        <f ca="1"/>
        <v>#NAME?</v>
      </c>
      <c r="U418" t="e">
        <f ca="1"/>
        <v>#NAME?</v>
      </c>
      <c r="V418" t="e">
        <f ca="1"/>
        <v>#NAME?</v>
      </c>
      <c r="W418" t="e">
        <f ca="1"/>
        <v>#NAME?</v>
      </c>
      <c r="X418" t="e">
        <f ca="1"/>
        <v>#NAME?</v>
      </c>
    </row>
    <row r="419" spans="12:24" x14ac:dyDescent="0.25">
      <c r="L419" t="e">
        <f ca="1"/>
        <v>#NAME?</v>
      </c>
      <c r="M419" t="e">
        <f ca="1"/>
        <v>#NAME?</v>
      </c>
      <c r="S419" t="e">
        <f ca="1"/>
        <v>#NAME?</v>
      </c>
      <c r="U419" t="e">
        <f ca="1"/>
        <v>#NAME?</v>
      </c>
      <c r="V419" t="e">
        <f ca="1"/>
        <v>#NAME?</v>
      </c>
      <c r="W419" t="e">
        <f ca="1"/>
        <v>#NAME?</v>
      </c>
      <c r="X419" t="e">
        <f ca="1"/>
        <v>#NAME?</v>
      </c>
    </row>
    <row r="420" spans="12:24" x14ac:dyDescent="0.25">
      <c r="L420" t="e">
        <f ca="1"/>
        <v>#NAME?</v>
      </c>
      <c r="M420" t="e">
        <f ca="1"/>
        <v>#NAME?</v>
      </c>
      <c r="S420" t="e">
        <f ca="1"/>
        <v>#NAME?</v>
      </c>
      <c r="U420" t="e">
        <f ca="1"/>
        <v>#NAME?</v>
      </c>
      <c r="V420" t="e">
        <f ca="1"/>
        <v>#NAME?</v>
      </c>
      <c r="W420" t="e">
        <f ca="1"/>
        <v>#NAME?</v>
      </c>
      <c r="X420" t="e">
        <f ca="1"/>
        <v>#NAME?</v>
      </c>
    </row>
    <row r="421" spans="12:24" x14ac:dyDescent="0.25">
      <c r="L421" t="e">
        <f ca="1"/>
        <v>#NAME?</v>
      </c>
      <c r="M421" t="e">
        <f ca="1"/>
        <v>#NAME?</v>
      </c>
      <c r="S421" t="e">
        <f ca="1"/>
        <v>#NAME?</v>
      </c>
      <c r="U421" t="e">
        <f ca="1"/>
        <v>#NAME?</v>
      </c>
      <c r="V421" t="e">
        <f ca="1"/>
        <v>#NAME?</v>
      </c>
      <c r="W421" t="e">
        <f ca="1"/>
        <v>#NAME?</v>
      </c>
      <c r="X421" t="e">
        <f ca="1"/>
        <v>#NAME?</v>
      </c>
    </row>
    <row r="422" spans="12:24" x14ac:dyDescent="0.25">
      <c r="L422" t="e">
        <f ca="1"/>
        <v>#NAME?</v>
      </c>
      <c r="M422" t="e">
        <f ca="1"/>
        <v>#NAME?</v>
      </c>
      <c r="S422" t="e">
        <f ca="1"/>
        <v>#NAME?</v>
      </c>
      <c r="U422" t="e">
        <f ca="1"/>
        <v>#NAME?</v>
      </c>
      <c r="V422" t="e">
        <f ca="1"/>
        <v>#NAME?</v>
      </c>
      <c r="W422" t="e">
        <f ca="1"/>
        <v>#NAME?</v>
      </c>
      <c r="X422" t="e">
        <f ca="1"/>
        <v>#NAME?</v>
      </c>
    </row>
    <row r="423" spans="12:24" x14ac:dyDescent="0.25">
      <c r="L423" t="e">
        <f ca="1"/>
        <v>#NAME?</v>
      </c>
      <c r="M423" t="e">
        <f ca="1"/>
        <v>#NAME?</v>
      </c>
      <c r="S423" t="e">
        <f ca="1"/>
        <v>#NAME?</v>
      </c>
      <c r="U423" t="e">
        <f ca="1"/>
        <v>#NAME?</v>
      </c>
      <c r="V423" t="e">
        <f ca="1"/>
        <v>#NAME?</v>
      </c>
      <c r="W423" t="e">
        <f ca="1"/>
        <v>#NAME?</v>
      </c>
      <c r="X423" t="e">
        <f ca="1"/>
        <v>#NAME?</v>
      </c>
    </row>
    <row r="424" spans="12:24" x14ac:dyDescent="0.25">
      <c r="L424" t="e">
        <f ca="1"/>
        <v>#NAME?</v>
      </c>
      <c r="M424" t="e">
        <f ca="1"/>
        <v>#NAME?</v>
      </c>
      <c r="S424" t="e">
        <f ca="1"/>
        <v>#NAME?</v>
      </c>
      <c r="U424" t="e">
        <f ca="1"/>
        <v>#NAME?</v>
      </c>
      <c r="V424" t="e">
        <f ca="1"/>
        <v>#NAME?</v>
      </c>
      <c r="W424" t="e">
        <f ca="1"/>
        <v>#NAME?</v>
      </c>
      <c r="X424" t="e">
        <f ca="1"/>
        <v>#NAME?</v>
      </c>
    </row>
    <row r="425" spans="12:24" x14ac:dyDescent="0.25">
      <c r="L425" t="e">
        <f ca="1"/>
        <v>#NAME?</v>
      </c>
      <c r="M425" t="e">
        <f ca="1"/>
        <v>#NAME?</v>
      </c>
      <c r="S425" t="e">
        <f ca="1"/>
        <v>#NAME?</v>
      </c>
      <c r="U425" t="e">
        <f ca="1"/>
        <v>#NAME?</v>
      </c>
      <c r="V425" t="e">
        <f ca="1"/>
        <v>#NAME?</v>
      </c>
      <c r="W425" t="e">
        <f ca="1"/>
        <v>#NAME?</v>
      </c>
      <c r="X425" t="e">
        <f ca="1"/>
        <v>#NAME?</v>
      </c>
    </row>
    <row r="426" spans="12:24" x14ac:dyDescent="0.25">
      <c r="L426" t="e">
        <f ca="1"/>
        <v>#NAME?</v>
      </c>
      <c r="M426" t="e">
        <f ca="1"/>
        <v>#NAME?</v>
      </c>
      <c r="S426" t="e">
        <f ca="1"/>
        <v>#NAME?</v>
      </c>
      <c r="U426" t="e">
        <f ca="1"/>
        <v>#NAME?</v>
      </c>
      <c r="V426" t="e">
        <f ca="1"/>
        <v>#NAME?</v>
      </c>
      <c r="W426" t="e">
        <f ca="1"/>
        <v>#NAME?</v>
      </c>
      <c r="X426" t="e">
        <f ca="1"/>
        <v>#NAME?</v>
      </c>
    </row>
    <row r="427" spans="12:24" x14ac:dyDescent="0.25">
      <c r="L427" t="e">
        <f ca="1"/>
        <v>#NAME?</v>
      </c>
      <c r="M427" t="e">
        <f ca="1"/>
        <v>#NAME?</v>
      </c>
      <c r="S427" t="e">
        <f ca="1"/>
        <v>#NAME?</v>
      </c>
      <c r="U427" t="e">
        <f ca="1"/>
        <v>#NAME?</v>
      </c>
      <c r="V427" t="e">
        <f ca="1"/>
        <v>#NAME?</v>
      </c>
      <c r="W427" t="e">
        <f ca="1"/>
        <v>#NAME?</v>
      </c>
      <c r="X427" t="e">
        <f ca="1"/>
        <v>#NAME?</v>
      </c>
    </row>
    <row r="428" spans="12:24" x14ac:dyDescent="0.25">
      <c r="L428" t="e">
        <f ca="1"/>
        <v>#NAME?</v>
      </c>
      <c r="M428" t="e">
        <f ca="1"/>
        <v>#NAME?</v>
      </c>
      <c r="S428" t="e">
        <f ca="1"/>
        <v>#NAME?</v>
      </c>
      <c r="U428" t="e">
        <f ca="1"/>
        <v>#NAME?</v>
      </c>
      <c r="V428" t="e">
        <f ca="1"/>
        <v>#NAME?</v>
      </c>
      <c r="W428" t="e">
        <f ca="1"/>
        <v>#NAME?</v>
      </c>
      <c r="X428" t="e">
        <f ca="1"/>
        <v>#NAME?</v>
      </c>
    </row>
    <row r="429" spans="12:24" x14ac:dyDescent="0.25">
      <c r="L429" t="e">
        <f ca="1"/>
        <v>#NAME?</v>
      </c>
      <c r="M429" t="e">
        <f ca="1"/>
        <v>#NAME?</v>
      </c>
      <c r="S429" t="e">
        <f ca="1"/>
        <v>#NAME?</v>
      </c>
      <c r="U429" t="e">
        <f ca="1"/>
        <v>#NAME?</v>
      </c>
      <c r="V429" t="e">
        <f ca="1"/>
        <v>#NAME?</v>
      </c>
      <c r="W429" t="e">
        <f ca="1"/>
        <v>#NAME?</v>
      </c>
      <c r="X429" t="e">
        <f ca="1"/>
        <v>#NAME?</v>
      </c>
    </row>
    <row r="430" spans="12:24" x14ac:dyDescent="0.25">
      <c r="L430" t="e">
        <f ca="1"/>
        <v>#NAME?</v>
      </c>
      <c r="M430" t="e">
        <f ca="1"/>
        <v>#NAME?</v>
      </c>
      <c r="S430" t="e">
        <f ca="1"/>
        <v>#NAME?</v>
      </c>
      <c r="U430" t="e">
        <f ca="1"/>
        <v>#NAME?</v>
      </c>
      <c r="V430" t="e">
        <f ca="1"/>
        <v>#NAME?</v>
      </c>
      <c r="W430" t="e">
        <f ca="1"/>
        <v>#NAME?</v>
      </c>
      <c r="X430" t="e">
        <f ca="1"/>
        <v>#NAME?</v>
      </c>
    </row>
    <row r="431" spans="12:24" x14ac:dyDescent="0.25">
      <c r="L431" t="e">
        <f ca="1"/>
        <v>#NAME?</v>
      </c>
      <c r="M431" t="e">
        <f ca="1"/>
        <v>#NAME?</v>
      </c>
      <c r="S431" t="e">
        <f ca="1"/>
        <v>#NAME?</v>
      </c>
      <c r="U431" t="e">
        <f ca="1"/>
        <v>#NAME?</v>
      </c>
      <c r="V431" t="e">
        <f ca="1"/>
        <v>#NAME?</v>
      </c>
      <c r="W431" t="e">
        <f ca="1"/>
        <v>#NAME?</v>
      </c>
      <c r="X431" t="e">
        <f ca="1"/>
        <v>#NAME?</v>
      </c>
    </row>
    <row r="432" spans="12:24" x14ac:dyDescent="0.25">
      <c r="L432" t="e">
        <f ca="1"/>
        <v>#NAME?</v>
      </c>
      <c r="M432" t="e">
        <f ca="1"/>
        <v>#NAME?</v>
      </c>
      <c r="S432" t="e">
        <f ca="1"/>
        <v>#NAME?</v>
      </c>
      <c r="U432" t="e">
        <f ca="1"/>
        <v>#NAME?</v>
      </c>
      <c r="V432" t="e">
        <f ca="1"/>
        <v>#NAME?</v>
      </c>
      <c r="W432" t="e">
        <f ca="1"/>
        <v>#NAME?</v>
      </c>
      <c r="X432" t="e">
        <f ca="1"/>
        <v>#NAME?</v>
      </c>
    </row>
    <row r="433" spans="12:24" x14ac:dyDescent="0.25">
      <c r="L433" t="e">
        <f ca="1"/>
        <v>#NAME?</v>
      </c>
      <c r="M433" t="e">
        <f ca="1"/>
        <v>#NAME?</v>
      </c>
      <c r="S433" t="e">
        <f ca="1"/>
        <v>#NAME?</v>
      </c>
      <c r="U433" t="e">
        <f ca="1"/>
        <v>#NAME?</v>
      </c>
      <c r="V433" t="e">
        <f ca="1"/>
        <v>#NAME?</v>
      </c>
      <c r="W433" t="e">
        <f ca="1"/>
        <v>#NAME?</v>
      </c>
      <c r="X433" t="e">
        <f ca="1"/>
        <v>#NAME?</v>
      </c>
    </row>
    <row r="434" spans="12:24" x14ac:dyDescent="0.25">
      <c r="L434" t="e">
        <f ca="1"/>
        <v>#NAME?</v>
      </c>
      <c r="M434" t="e">
        <f ca="1"/>
        <v>#NAME?</v>
      </c>
      <c r="S434" t="e">
        <f ca="1"/>
        <v>#NAME?</v>
      </c>
      <c r="U434" t="e">
        <f ca="1"/>
        <v>#NAME?</v>
      </c>
      <c r="V434" t="e">
        <f ca="1"/>
        <v>#NAME?</v>
      </c>
      <c r="W434" t="e">
        <f ca="1"/>
        <v>#NAME?</v>
      </c>
      <c r="X434" t="e">
        <f ca="1"/>
        <v>#NAME?</v>
      </c>
    </row>
    <row r="435" spans="12:24" x14ac:dyDescent="0.25">
      <c r="L435" t="e">
        <f ca="1"/>
        <v>#NAME?</v>
      </c>
      <c r="M435" t="e">
        <f ca="1"/>
        <v>#NAME?</v>
      </c>
      <c r="S435" t="e">
        <f ca="1"/>
        <v>#NAME?</v>
      </c>
      <c r="U435" t="e">
        <f ca="1"/>
        <v>#NAME?</v>
      </c>
      <c r="V435" t="e">
        <f ca="1"/>
        <v>#NAME?</v>
      </c>
      <c r="W435" t="e">
        <f ca="1"/>
        <v>#NAME?</v>
      </c>
      <c r="X435" t="e">
        <f ca="1"/>
        <v>#NAME?</v>
      </c>
    </row>
    <row r="436" spans="12:24" x14ac:dyDescent="0.25">
      <c r="L436" t="e">
        <f ca="1"/>
        <v>#NAME?</v>
      </c>
      <c r="M436" t="e">
        <f ca="1"/>
        <v>#NAME?</v>
      </c>
      <c r="S436" t="e">
        <f ca="1"/>
        <v>#NAME?</v>
      </c>
      <c r="U436" t="e">
        <f ca="1"/>
        <v>#NAME?</v>
      </c>
      <c r="V436" t="e">
        <f ca="1"/>
        <v>#NAME?</v>
      </c>
      <c r="W436" t="e">
        <f ca="1"/>
        <v>#NAME?</v>
      </c>
      <c r="X436" t="e">
        <f ca="1"/>
        <v>#NAME?</v>
      </c>
    </row>
    <row r="437" spans="12:24" x14ac:dyDescent="0.25">
      <c r="L437" t="e">
        <f ca="1"/>
        <v>#NAME?</v>
      </c>
      <c r="M437" t="e">
        <f ca="1"/>
        <v>#NAME?</v>
      </c>
      <c r="S437" t="e">
        <f ca="1"/>
        <v>#NAME?</v>
      </c>
      <c r="U437" t="e">
        <f ca="1"/>
        <v>#NAME?</v>
      </c>
      <c r="V437" t="e">
        <f ca="1"/>
        <v>#NAME?</v>
      </c>
      <c r="W437" t="e">
        <f ca="1"/>
        <v>#NAME?</v>
      </c>
      <c r="X437" t="e">
        <f ca="1"/>
        <v>#NAME?</v>
      </c>
    </row>
    <row r="438" spans="12:24" x14ac:dyDescent="0.25">
      <c r="L438" t="e">
        <f ca="1"/>
        <v>#NAME?</v>
      </c>
      <c r="M438" t="e">
        <f ca="1"/>
        <v>#NAME?</v>
      </c>
      <c r="S438" t="e">
        <f ca="1"/>
        <v>#NAME?</v>
      </c>
      <c r="U438" t="e">
        <f ca="1"/>
        <v>#NAME?</v>
      </c>
      <c r="V438" t="e">
        <f ca="1"/>
        <v>#NAME?</v>
      </c>
      <c r="W438" t="e">
        <f ca="1"/>
        <v>#NAME?</v>
      </c>
      <c r="X438" t="e">
        <f ca="1"/>
        <v>#NAME?</v>
      </c>
    </row>
    <row r="439" spans="12:24" x14ac:dyDescent="0.25">
      <c r="L439" t="e">
        <f ca="1"/>
        <v>#NAME?</v>
      </c>
      <c r="M439" t="e">
        <f ca="1"/>
        <v>#NAME?</v>
      </c>
      <c r="S439" t="e">
        <f ca="1"/>
        <v>#NAME?</v>
      </c>
      <c r="U439" t="e">
        <f ca="1"/>
        <v>#NAME?</v>
      </c>
      <c r="V439" t="e">
        <f ca="1"/>
        <v>#NAME?</v>
      </c>
      <c r="W439" t="e">
        <f ca="1"/>
        <v>#NAME?</v>
      </c>
      <c r="X439" t="e">
        <f ca="1"/>
        <v>#NAME?</v>
      </c>
    </row>
    <row r="440" spans="12:24" x14ac:dyDescent="0.25">
      <c r="L440" t="e">
        <f ca="1"/>
        <v>#NAME?</v>
      </c>
      <c r="M440" t="e">
        <f ca="1"/>
        <v>#NAME?</v>
      </c>
      <c r="S440" t="e">
        <f ca="1"/>
        <v>#NAME?</v>
      </c>
      <c r="U440" t="e">
        <f ca="1"/>
        <v>#NAME?</v>
      </c>
      <c r="V440" t="e">
        <f ca="1"/>
        <v>#NAME?</v>
      </c>
      <c r="W440" t="e">
        <f ca="1"/>
        <v>#NAME?</v>
      </c>
      <c r="X440" t="e">
        <f ca="1"/>
        <v>#NAME?</v>
      </c>
    </row>
    <row r="441" spans="12:24" x14ac:dyDescent="0.25">
      <c r="L441" t="e">
        <f ca="1"/>
        <v>#NAME?</v>
      </c>
      <c r="M441" t="e">
        <f ca="1"/>
        <v>#NAME?</v>
      </c>
      <c r="S441" t="e">
        <f ca="1"/>
        <v>#NAME?</v>
      </c>
      <c r="U441" t="e">
        <f ca="1"/>
        <v>#NAME?</v>
      </c>
      <c r="V441" t="e">
        <f ca="1"/>
        <v>#NAME?</v>
      </c>
      <c r="W441" t="e">
        <f ca="1"/>
        <v>#NAME?</v>
      </c>
      <c r="X441" t="e">
        <f ca="1"/>
        <v>#NAME?</v>
      </c>
    </row>
    <row r="442" spans="12:24" x14ac:dyDescent="0.25">
      <c r="L442" t="e">
        <f ca="1"/>
        <v>#NAME?</v>
      </c>
      <c r="M442" t="e">
        <f ca="1"/>
        <v>#NAME?</v>
      </c>
      <c r="S442" t="e">
        <f ca="1"/>
        <v>#NAME?</v>
      </c>
      <c r="U442" t="e">
        <f ca="1"/>
        <v>#NAME?</v>
      </c>
      <c r="V442" t="e">
        <f ca="1"/>
        <v>#NAME?</v>
      </c>
      <c r="W442" t="e">
        <f ca="1"/>
        <v>#NAME?</v>
      </c>
      <c r="X442" t="e">
        <f ca="1"/>
        <v>#NAME?</v>
      </c>
    </row>
    <row r="443" spans="12:24" x14ac:dyDescent="0.25">
      <c r="L443" t="e">
        <f ca="1"/>
        <v>#NAME?</v>
      </c>
      <c r="M443" t="e">
        <f ca="1"/>
        <v>#NAME?</v>
      </c>
      <c r="S443" t="e">
        <f ca="1"/>
        <v>#NAME?</v>
      </c>
      <c r="U443" t="e">
        <f ca="1"/>
        <v>#NAME?</v>
      </c>
      <c r="V443" t="e">
        <f ca="1"/>
        <v>#NAME?</v>
      </c>
      <c r="W443" t="e">
        <f ca="1"/>
        <v>#NAME?</v>
      </c>
      <c r="X443" t="e">
        <f ca="1"/>
        <v>#NAME?</v>
      </c>
    </row>
    <row r="444" spans="12:24" x14ac:dyDescent="0.25">
      <c r="L444" t="e">
        <f ca="1"/>
        <v>#NAME?</v>
      </c>
      <c r="M444" t="e">
        <f ca="1"/>
        <v>#NAME?</v>
      </c>
      <c r="S444" t="e">
        <f ca="1"/>
        <v>#NAME?</v>
      </c>
      <c r="U444" t="e">
        <f ca="1"/>
        <v>#NAME?</v>
      </c>
      <c r="V444" t="e">
        <f ca="1"/>
        <v>#NAME?</v>
      </c>
      <c r="W444" t="e">
        <f ca="1"/>
        <v>#NAME?</v>
      </c>
      <c r="X444" t="e">
        <f ca="1"/>
        <v>#NAME?</v>
      </c>
    </row>
    <row r="445" spans="12:24" x14ac:dyDescent="0.25">
      <c r="L445" t="e">
        <f ca="1"/>
        <v>#NAME?</v>
      </c>
      <c r="M445" t="e">
        <f ca="1"/>
        <v>#NAME?</v>
      </c>
      <c r="S445" t="e">
        <f ca="1"/>
        <v>#NAME?</v>
      </c>
      <c r="U445" t="e">
        <f ca="1"/>
        <v>#NAME?</v>
      </c>
      <c r="V445" t="e">
        <f ca="1"/>
        <v>#NAME?</v>
      </c>
      <c r="W445" t="e">
        <f ca="1"/>
        <v>#NAME?</v>
      </c>
      <c r="X445" t="e">
        <f ca="1"/>
        <v>#NAME?</v>
      </c>
    </row>
    <row r="446" spans="12:24" x14ac:dyDescent="0.25">
      <c r="L446" t="e">
        <f ca="1"/>
        <v>#NAME?</v>
      </c>
      <c r="M446" t="e">
        <f ca="1"/>
        <v>#NAME?</v>
      </c>
      <c r="S446" t="e">
        <f ca="1"/>
        <v>#NAME?</v>
      </c>
      <c r="U446" t="e">
        <f ca="1"/>
        <v>#NAME?</v>
      </c>
      <c r="V446" t="e">
        <f ca="1"/>
        <v>#NAME?</v>
      </c>
      <c r="W446" t="e">
        <f ca="1"/>
        <v>#NAME?</v>
      </c>
      <c r="X446" t="e">
        <f ca="1"/>
        <v>#NAME?</v>
      </c>
    </row>
    <row r="447" spans="12:24" x14ac:dyDescent="0.25">
      <c r="L447" t="e">
        <f ca="1"/>
        <v>#NAME?</v>
      </c>
      <c r="M447" t="e">
        <f ca="1"/>
        <v>#NAME?</v>
      </c>
      <c r="S447" t="e">
        <f ca="1"/>
        <v>#NAME?</v>
      </c>
      <c r="U447" t="e">
        <f ca="1"/>
        <v>#NAME?</v>
      </c>
      <c r="V447" t="e">
        <f ca="1"/>
        <v>#NAME?</v>
      </c>
      <c r="W447" t="e">
        <f ca="1"/>
        <v>#NAME?</v>
      </c>
      <c r="X447" t="e">
        <f ca="1"/>
        <v>#NAME?</v>
      </c>
    </row>
    <row r="448" spans="12:24" x14ac:dyDescent="0.25">
      <c r="L448" t="e">
        <f ca="1"/>
        <v>#NAME?</v>
      </c>
      <c r="M448" t="e">
        <f ca="1"/>
        <v>#NAME?</v>
      </c>
      <c r="S448" t="e">
        <f ca="1"/>
        <v>#NAME?</v>
      </c>
      <c r="U448" t="e">
        <f ca="1"/>
        <v>#NAME?</v>
      </c>
      <c r="V448" t="e">
        <f ca="1"/>
        <v>#NAME?</v>
      </c>
      <c r="W448" t="e">
        <f ca="1"/>
        <v>#NAME?</v>
      </c>
      <c r="X448" t="e">
        <f ca="1"/>
        <v>#NAME?</v>
      </c>
    </row>
    <row r="449" spans="12:24" x14ac:dyDescent="0.25">
      <c r="L449" t="e">
        <f ca="1"/>
        <v>#NAME?</v>
      </c>
      <c r="M449" t="e">
        <f ca="1"/>
        <v>#NAME?</v>
      </c>
      <c r="S449" t="e">
        <f ca="1"/>
        <v>#NAME?</v>
      </c>
      <c r="U449" t="e">
        <f ca="1"/>
        <v>#NAME?</v>
      </c>
      <c r="V449" t="e">
        <f ca="1"/>
        <v>#NAME?</v>
      </c>
      <c r="W449" t="e">
        <f ca="1"/>
        <v>#NAME?</v>
      </c>
      <c r="X449" t="e">
        <f ca="1"/>
        <v>#NAME?</v>
      </c>
    </row>
    <row r="450" spans="12:24" x14ac:dyDescent="0.25">
      <c r="L450" t="e">
        <f ca="1"/>
        <v>#NAME?</v>
      </c>
      <c r="M450" t="e">
        <f ca="1"/>
        <v>#NAME?</v>
      </c>
      <c r="S450" t="e">
        <f ca="1"/>
        <v>#NAME?</v>
      </c>
      <c r="U450" t="e">
        <f ca="1"/>
        <v>#NAME?</v>
      </c>
      <c r="V450" t="e">
        <f ca="1"/>
        <v>#NAME?</v>
      </c>
      <c r="W450" t="e">
        <f ca="1"/>
        <v>#NAME?</v>
      </c>
      <c r="X450" t="e">
        <f ca="1"/>
        <v>#NAME?</v>
      </c>
    </row>
    <row r="451" spans="12:24" x14ac:dyDescent="0.25">
      <c r="L451" t="e">
        <f ca="1"/>
        <v>#NAME?</v>
      </c>
      <c r="M451" t="e">
        <f ca="1"/>
        <v>#NAME?</v>
      </c>
      <c r="S451" t="e">
        <f ca="1"/>
        <v>#NAME?</v>
      </c>
      <c r="U451" t="e">
        <f ca="1"/>
        <v>#NAME?</v>
      </c>
      <c r="V451" t="e">
        <f ca="1"/>
        <v>#NAME?</v>
      </c>
      <c r="W451" t="e">
        <f ca="1"/>
        <v>#NAME?</v>
      </c>
      <c r="X451" t="e">
        <f ca="1"/>
        <v>#NAME?</v>
      </c>
    </row>
    <row r="452" spans="12:24" x14ac:dyDescent="0.25">
      <c r="L452" t="e">
        <f ca="1"/>
        <v>#NAME?</v>
      </c>
      <c r="M452" t="e">
        <f ca="1"/>
        <v>#NAME?</v>
      </c>
      <c r="S452" t="e">
        <f ca="1"/>
        <v>#NAME?</v>
      </c>
      <c r="U452" t="e">
        <f ca="1"/>
        <v>#NAME?</v>
      </c>
      <c r="V452" t="e">
        <f ca="1"/>
        <v>#NAME?</v>
      </c>
      <c r="W452" t="e">
        <f ca="1"/>
        <v>#NAME?</v>
      </c>
      <c r="X452" t="e">
        <f ca="1"/>
        <v>#NAME?</v>
      </c>
    </row>
    <row r="453" spans="12:24" x14ac:dyDescent="0.25">
      <c r="L453" t="e">
        <f ca="1"/>
        <v>#NAME?</v>
      </c>
      <c r="M453" t="e">
        <f ca="1"/>
        <v>#NAME?</v>
      </c>
      <c r="S453" t="e">
        <f ca="1"/>
        <v>#NAME?</v>
      </c>
      <c r="U453" t="e">
        <f ca="1"/>
        <v>#NAME?</v>
      </c>
      <c r="V453" t="e">
        <f ca="1"/>
        <v>#NAME?</v>
      </c>
      <c r="W453" t="e">
        <f ca="1"/>
        <v>#NAME?</v>
      </c>
      <c r="X453" t="e">
        <f ca="1"/>
        <v>#NAME?</v>
      </c>
    </row>
    <row r="454" spans="12:24" x14ac:dyDescent="0.25">
      <c r="L454" t="e">
        <f ca="1"/>
        <v>#NAME?</v>
      </c>
      <c r="M454" t="e">
        <f ca="1"/>
        <v>#NAME?</v>
      </c>
      <c r="S454" t="e">
        <f ca="1"/>
        <v>#NAME?</v>
      </c>
      <c r="U454" t="e">
        <f ca="1"/>
        <v>#NAME?</v>
      </c>
      <c r="V454" t="e">
        <f ca="1"/>
        <v>#NAME?</v>
      </c>
      <c r="W454" t="e">
        <f ca="1"/>
        <v>#NAME?</v>
      </c>
      <c r="X454" t="e">
        <f ca="1"/>
        <v>#NAME?</v>
      </c>
    </row>
    <row r="455" spans="12:24" x14ac:dyDescent="0.25">
      <c r="L455" t="e">
        <f ca="1"/>
        <v>#NAME?</v>
      </c>
      <c r="M455" t="e">
        <f ca="1"/>
        <v>#NAME?</v>
      </c>
      <c r="S455" t="e">
        <f ca="1"/>
        <v>#NAME?</v>
      </c>
      <c r="U455" t="e">
        <f ca="1"/>
        <v>#NAME?</v>
      </c>
      <c r="V455" t="e">
        <f ca="1"/>
        <v>#NAME?</v>
      </c>
      <c r="W455" t="e">
        <f ca="1"/>
        <v>#NAME?</v>
      </c>
      <c r="X455" t="e">
        <f ca="1"/>
        <v>#NAME?</v>
      </c>
    </row>
    <row r="456" spans="12:24" x14ac:dyDescent="0.25">
      <c r="L456" t="e">
        <f ca="1"/>
        <v>#NAME?</v>
      </c>
      <c r="M456" t="e">
        <f ca="1"/>
        <v>#NAME?</v>
      </c>
      <c r="S456" t="e">
        <f ca="1"/>
        <v>#NAME?</v>
      </c>
      <c r="U456" t="e">
        <f ca="1"/>
        <v>#NAME?</v>
      </c>
      <c r="V456" t="e">
        <f ca="1"/>
        <v>#NAME?</v>
      </c>
      <c r="W456" t="e">
        <f ca="1"/>
        <v>#NAME?</v>
      </c>
      <c r="X456" t="e">
        <f ca="1"/>
        <v>#NAME?</v>
      </c>
    </row>
    <row r="457" spans="12:24" x14ac:dyDescent="0.25">
      <c r="L457" t="e">
        <f ca="1"/>
        <v>#NAME?</v>
      </c>
      <c r="M457" t="e">
        <f ca="1"/>
        <v>#NAME?</v>
      </c>
      <c r="S457" t="e">
        <f ca="1"/>
        <v>#NAME?</v>
      </c>
      <c r="U457" t="e">
        <f ca="1"/>
        <v>#NAME?</v>
      </c>
      <c r="V457" t="e">
        <f ca="1"/>
        <v>#NAME?</v>
      </c>
      <c r="W457" t="e">
        <f ca="1"/>
        <v>#NAME?</v>
      </c>
      <c r="X457" t="e">
        <f ca="1"/>
        <v>#NAME?</v>
      </c>
    </row>
    <row r="458" spans="12:24" x14ac:dyDescent="0.25">
      <c r="L458" t="e">
        <f ca="1"/>
        <v>#NAME?</v>
      </c>
      <c r="M458" t="e">
        <f ca="1"/>
        <v>#NAME?</v>
      </c>
      <c r="S458" t="e">
        <f ca="1"/>
        <v>#NAME?</v>
      </c>
      <c r="U458" t="e">
        <f ca="1"/>
        <v>#NAME?</v>
      </c>
      <c r="V458" t="e">
        <f ca="1"/>
        <v>#NAME?</v>
      </c>
      <c r="W458" t="e">
        <f ca="1"/>
        <v>#NAME?</v>
      </c>
      <c r="X458" t="e">
        <f ca="1"/>
        <v>#NAME?</v>
      </c>
    </row>
    <row r="459" spans="12:24" x14ac:dyDescent="0.25">
      <c r="L459" t="e">
        <f ca="1"/>
        <v>#NAME?</v>
      </c>
      <c r="M459" t="e">
        <f ca="1"/>
        <v>#NAME?</v>
      </c>
      <c r="S459" t="e">
        <f ca="1"/>
        <v>#NAME?</v>
      </c>
      <c r="U459" t="e">
        <f ca="1"/>
        <v>#NAME?</v>
      </c>
      <c r="V459" t="e">
        <f ca="1"/>
        <v>#NAME?</v>
      </c>
      <c r="W459" t="e">
        <f ca="1"/>
        <v>#NAME?</v>
      </c>
      <c r="X459" t="e">
        <f ca="1"/>
        <v>#NAME?</v>
      </c>
    </row>
    <row r="460" spans="12:24" x14ac:dyDescent="0.25">
      <c r="L460" t="e">
        <f ca="1"/>
        <v>#NAME?</v>
      </c>
      <c r="M460" t="e">
        <f ca="1"/>
        <v>#NAME?</v>
      </c>
      <c r="S460" t="e">
        <f ca="1"/>
        <v>#NAME?</v>
      </c>
      <c r="U460" t="e">
        <f ca="1"/>
        <v>#NAME?</v>
      </c>
      <c r="V460" t="e">
        <f ca="1"/>
        <v>#NAME?</v>
      </c>
      <c r="W460" t="e">
        <f ca="1"/>
        <v>#NAME?</v>
      </c>
      <c r="X460" t="e">
        <f ca="1"/>
        <v>#NAME?</v>
      </c>
    </row>
    <row r="461" spans="12:24" x14ac:dyDescent="0.25">
      <c r="L461" t="e">
        <f ca="1"/>
        <v>#NAME?</v>
      </c>
      <c r="M461" t="e">
        <f ca="1"/>
        <v>#NAME?</v>
      </c>
      <c r="S461" t="e">
        <f ca="1"/>
        <v>#NAME?</v>
      </c>
      <c r="U461" t="e">
        <f ca="1"/>
        <v>#NAME?</v>
      </c>
      <c r="V461" t="e">
        <f ca="1"/>
        <v>#NAME?</v>
      </c>
      <c r="W461" t="e">
        <f ca="1"/>
        <v>#NAME?</v>
      </c>
      <c r="X461" t="e">
        <f ca="1"/>
        <v>#NAME?</v>
      </c>
    </row>
    <row r="462" spans="12:24" x14ac:dyDescent="0.25">
      <c r="L462" t="e">
        <f ca="1"/>
        <v>#NAME?</v>
      </c>
      <c r="M462" t="e">
        <f ca="1"/>
        <v>#NAME?</v>
      </c>
      <c r="S462" t="e">
        <f ca="1"/>
        <v>#NAME?</v>
      </c>
      <c r="U462" t="e">
        <f ca="1"/>
        <v>#NAME?</v>
      </c>
      <c r="V462" t="e">
        <f ca="1"/>
        <v>#NAME?</v>
      </c>
      <c r="W462" t="e">
        <f ca="1"/>
        <v>#NAME?</v>
      </c>
      <c r="X462" t="e">
        <f ca="1"/>
        <v>#NAME?</v>
      </c>
    </row>
    <row r="463" spans="12:24" x14ac:dyDescent="0.25">
      <c r="L463" t="e">
        <f ca="1"/>
        <v>#NAME?</v>
      </c>
      <c r="M463" t="e">
        <f ca="1"/>
        <v>#NAME?</v>
      </c>
      <c r="S463" t="e">
        <f ca="1"/>
        <v>#NAME?</v>
      </c>
      <c r="U463" t="e">
        <f ca="1"/>
        <v>#NAME?</v>
      </c>
      <c r="V463" t="e">
        <f ca="1"/>
        <v>#NAME?</v>
      </c>
      <c r="W463" t="e">
        <f ca="1"/>
        <v>#NAME?</v>
      </c>
      <c r="X463" t="e">
        <f ca="1"/>
        <v>#NAME?</v>
      </c>
    </row>
    <row r="464" spans="12:24" x14ac:dyDescent="0.25">
      <c r="L464" t="e">
        <f ca="1"/>
        <v>#NAME?</v>
      </c>
      <c r="M464" t="e">
        <f ca="1"/>
        <v>#NAME?</v>
      </c>
      <c r="S464" t="e">
        <f ca="1"/>
        <v>#NAME?</v>
      </c>
      <c r="U464" t="e">
        <f ca="1"/>
        <v>#NAME?</v>
      </c>
      <c r="V464" t="e">
        <f ca="1"/>
        <v>#NAME?</v>
      </c>
      <c r="W464" t="e">
        <f ca="1"/>
        <v>#NAME?</v>
      </c>
      <c r="X464" t="e">
        <f ca="1"/>
        <v>#NAME?</v>
      </c>
    </row>
    <row r="465" spans="12:24" x14ac:dyDescent="0.25">
      <c r="L465" t="e">
        <f ca="1"/>
        <v>#NAME?</v>
      </c>
      <c r="M465" t="e">
        <f ca="1"/>
        <v>#NAME?</v>
      </c>
      <c r="S465" t="e">
        <f ca="1"/>
        <v>#NAME?</v>
      </c>
      <c r="U465" t="e">
        <f ca="1"/>
        <v>#NAME?</v>
      </c>
      <c r="V465" t="e">
        <f ca="1"/>
        <v>#NAME?</v>
      </c>
      <c r="W465" t="e">
        <f ca="1"/>
        <v>#NAME?</v>
      </c>
      <c r="X465" t="e">
        <f ca="1"/>
        <v>#NAME?</v>
      </c>
    </row>
    <row r="466" spans="12:24" x14ac:dyDescent="0.25">
      <c r="L466" t="e">
        <f ca="1"/>
        <v>#NAME?</v>
      </c>
      <c r="M466" t="e">
        <f ca="1"/>
        <v>#NAME?</v>
      </c>
      <c r="S466" t="e">
        <f ca="1"/>
        <v>#NAME?</v>
      </c>
      <c r="U466" t="e">
        <f ca="1"/>
        <v>#NAME?</v>
      </c>
      <c r="V466" t="e">
        <f ca="1"/>
        <v>#NAME?</v>
      </c>
      <c r="W466" t="e">
        <f ca="1"/>
        <v>#NAME?</v>
      </c>
      <c r="X466" t="e">
        <f ca="1"/>
        <v>#NAME?</v>
      </c>
    </row>
    <row r="467" spans="12:24" x14ac:dyDescent="0.25">
      <c r="L467" t="e">
        <f ca="1"/>
        <v>#NAME?</v>
      </c>
      <c r="M467" t="e">
        <f ca="1"/>
        <v>#NAME?</v>
      </c>
      <c r="S467" t="e">
        <f ca="1"/>
        <v>#NAME?</v>
      </c>
      <c r="U467" t="e">
        <f ca="1"/>
        <v>#NAME?</v>
      </c>
      <c r="V467" t="e">
        <f ca="1"/>
        <v>#NAME?</v>
      </c>
      <c r="W467" t="e">
        <f ca="1"/>
        <v>#NAME?</v>
      </c>
      <c r="X467" t="e">
        <f ca="1"/>
        <v>#NAME?</v>
      </c>
    </row>
    <row r="468" spans="12:24" x14ac:dyDescent="0.25">
      <c r="L468" t="e">
        <f ca="1"/>
        <v>#NAME?</v>
      </c>
      <c r="M468" t="e">
        <f ca="1"/>
        <v>#NAME?</v>
      </c>
      <c r="S468" t="e">
        <f ca="1"/>
        <v>#NAME?</v>
      </c>
      <c r="U468" t="e">
        <f ca="1"/>
        <v>#NAME?</v>
      </c>
      <c r="V468" t="e">
        <f ca="1"/>
        <v>#NAME?</v>
      </c>
      <c r="W468" t="e">
        <f ca="1"/>
        <v>#NAME?</v>
      </c>
      <c r="X468" t="e">
        <f ca="1"/>
        <v>#NAME?</v>
      </c>
    </row>
    <row r="469" spans="12:24" x14ac:dyDescent="0.25">
      <c r="L469" t="e">
        <f ca="1"/>
        <v>#NAME?</v>
      </c>
      <c r="M469" t="e">
        <f ca="1"/>
        <v>#NAME?</v>
      </c>
      <c r="S469" t="e">
        <f ca="1"/>
        <v>#NAME?</v>
      </c>
      <c r="U469" t="e">
        <f ca="1"/>
        <v>#NAME?</v>
      </c>
      <c r="V469" t="e">
        <f ca="1"/>
        <v>#NAME?</v>
      </c>
      <c r="W469" t="e">
        <f ca="1"/>
        <v>#NAME?</v>
      </c>
      <c r="X469" t="e">
        <f ca="1"/>
        <v>#NAME?</v>
      </c>
    </row>
    <row r="470" spans="12:24" x14ac:dyDescent="0.25">
      <c r="L470" t="e">
        <f ca="1"/>
        <v>#NAME?</v>
      </c>
      <c r="M470" t="e">
        <f ca="1"/>
        <v>#NAME?</v>
      </c>
      <c r="S470" t="e">
        <f ca="1"/>
        <v>#NAME?</v>
      </c>
      <c r="U470" t="e">
        <f ca="1"/>
        <v>#NAME?</v>
      </c>
      <c r="V470" t="e">
        <f ca="1"/>
        <v>#NAME?</v>
      </c>
      <c r="W470" t="e">
        <f ca="1"/>
        <v>#NAME?</v>
      </c>
      <c r="X470" t="e">
        <f ca="1"/>
        <v>#NAME?</v>
      </c>
    </row>
    <row r="471" spans="12:24" x14ac:dyDescent="0.25">
      <c r="L471" t="e">
        <f ca="1"/>
        <v>#NAME?</v>
      </c>
      <c r="M471" t="e">
        <f ca="1"/>
        <v>#NAME?</v>
      </c>
      <c r="S471" t="e">
        <f ca="1"/>
        <v>#NAME?</v>
      </c>
      <c r="U471" t="e">
        <f ca="1"/>
        <v>#NAME?</v>
      </c>
      <c r="V471" t="e">
        <f ca="1"/>
        <v>#NAME?</v>
      </c>
      <c r="W471" t="e">
        <f ca="1"/>
        <v>#NAME?</v>
      </c>
      <c r="X471" t="e">
        <f ca="1"/>
        <v>#NAME?</v>
      </c>
    </row>
    <row r="472" spans="12:24" x14ac:dyDescent="0.25">
      <c r="L472" t="e">
        <f ca="1"/>
        <v>#NAME?</v>
      </c>
      <c r="M472" t="e">
        <f ca="1"/>
        <v>#NAME?</v>
      </c>
      <c r="S472" t="e">
        <f ca="1"/>
        <v>#NAME?</v>
      </c>
      <c r="U472" t="e">
        <f ca="1"/>
        <v>#NAME?</v>
      </c>
      <c r="V472" t="e">
        <f ca="1"/>
        <v>#NAME?</v>
      </c>
      <c r="W472" t="e">
        <f ca="1"/>
        <v>#NAME?</v>
      </c>
      <c r="X472" t="e">
        <f ca="1"/>
        <v>#NAME?</v>
      </c>
    </row>
    <row r="473" spans="12:24" x14ac:dyDescent="0.25">
      <c r="L473" t="e">
        <f ca="1"/>
        <v>#NAME?</v>
      </c>
      <c r="M473" t="e">
        <f ca="1"/>
        <v>#NAME?</v>
      </c>
      <c r="S473" t="e">
        <f ca="1"/>
        <v>#NAME?</v>
      </c>
      <c r="U473" t="e">
        <f ca="1"/>
        <v>#NAME?</v>
      </c>
      <c r="V473" t="e">
        <f ca="1"/>
        <v>#NAME?</v>
      </c>
      <c r="W473" t="e">
        <f ca="1"/>
        <v>#NAME?</v>
      </c>
      <c r="X473" t="e">
        <f ca="1"/>
        <v>#NAME?</v>
      </c>
    </row>
    <row r="474" spans="12:24" x14ac:dyDescent="0.25">
      <c r="L474" t="e">
        <f ca="1"/>
        <v>#NAME?</v>
      </c>
      <c r="M474" t="e">
        <f ca="1"/>
        <v>#NAME?</v>
      </c>
      <c r="S474" t="e">
        <f ca="1"/>
        <v>#NAME?</v>
      </c>
      <c r="U474" t="e">
        <f ca="1"/>
        <v>#NAME?</v>
      </c>
      <c r="V474" t="e">
        <f ca="1"/>
        <v>#NAME?</v>
      </c>
      <c r="W474" t="e">
        <f ca="1"/>
        <v>#NAME?</v>
      </c>
      <c r="X474" t="e">
        <f ca="1"/>
        <v>#NAME?</v>
      </c>
    </row>
    <row r="475" spans="12:24" x14ac:dyDescent="0.25">
      <c r="L475" t="e">
        <f ca="1"/>
        <v>#NAME?</v>
      </c>
      <c r="M475" t="e">
        <f ca="1"/>
        <v>#NAME?</v>
      </c>
      <c r="S475" t="e">
        <f ca="1"/>
        <v>#NAME?</v>
      </c>
      <c r="U475" t="e">
        <f ca="1"/>
        <v>#NAME?</v>
      </c>
      <c r="V475" t="e">
        <f ca="1"/>
        <v>#NAME?</v>
      </c>
      <c r="W475" t="e">
        <f ca="1"/>
        <v>#NAME?</v>
      </c>
      <c r="X475" t="e">
        <f ca="1"/>
        <v>#NAME?</v>
      </c>
    </row>
    <row r="476" spans="12:24" x14ac:dyDescent="0.25">
      <c r="L476" t="e">
        <f ca="1"/>
        <v>#NAME?</v>
      </c>
      <c r="M476" t="e">
        <f ca="1"/>
        <v>#NAME?</v>
      </c>
      <c r="S476" t="e">
        <f ca="1"/>
        <v>#NAME?</v>
      </c>
      <c r="U476" t="e">
        <f ca="1"/>
        <v>#NAME?</v>
      </c>
      <c r="V476" t="e">
        <f ca="1"/>
        <v>#NAME?</v>
      </c>
      <c r="W476" t="e">
        <f ca="1"/>
        <v>#NAME?</v>
      </c>
      <c r="X476" t="e">
        <f ca="1"/>
        <v>#NAME?</v>
      </c>
    </row>
    <row r="477" spans="12:24" x14ac:dyDescent="0.25">
      <c r="L477" t="e">
        <f ca="1"/>
        <v>#NAME?</v>
      </c>
      <c r="M477" t="e">
        <f ca="1"/>
        <v>#NAME?</v>
      </c>
      <c r="S477" t="e">
        <f ca="1"/>
        <v>#NAME?</v>
      </c>
      <c r="U477" t="e">
        <f ca="1"/>
        <v>#NAME?</v>
      </c>
      <c r="V477" t="e">
        <f ca="1"/>
        <v>#NAME?</v>
      </c>
      <c r="W477" t="e">
        <f ca="1"/>
        <v>#NAME?</v>
      </c>
      <c r="X477" t="e">
        <f ca="1"/>
        <v>#NAME?</v>
      </c>
    </row>
    <row r="478" spans="12:24" x14ac:dyDescent="0.25">
      <c r="L478" t="e">
        <f ca="1"/>
        <v>#NAME?</v>
      </c>
      <c r="M478" t="e">
        <f ca="1"/>
        <v>#NAME?</v>
      </c>
      <c r="S478" t="e">
        <f ca="1"/>
        <v>#NAME?</v>
      </c>
      <c r="U478" t="e">
        <f ca="1"/>
        <v>#NAME?</v>
      </c>
      <c r="V478" t="e">
        <f ca="1"/>
        <v>#NAME?</v>
      </c>
      <c r="W478" t="e">
        <f ca="1"/>
        <v>#NAME?</v>
      </c>
      <c r="X478" t="e">
        <f ca="1"/>
        <v>#NAME?</v>
      </c>
    </row>
    <row r="479" spans="12:24" x14ac:dyDescent="0.25">
      <c r="L479" t="e">
        <f ca="1"/>
        <v>#NAME?</v>
      </c>
      <c r="M479" t="e">
        <f ca="1"/>
        <v>#NAME?</v>
      </c>
      <c r="S479" t="e">
        <f ca="1"/>
        <v>#NAME?</v>
      </c>
      <c r="U479" t="e">
        <f ca="1"/>
        <v>#NAME?</v>
      </c>
      <c r="V479" t="e">
        <f ca="1"/>
        <v>#NAME?</v>
      </c>
      <c r="W479" t="e">
        <f ca="1"/>
        <v>#NAME?</v>
      </c>
      <c r="X479" t="e">
        <f ca="1"/>
        <v>#NAME?</v>
      </c>
    </row>
    <row r="480" spans="12:24" x14ac:dyDescent="0.25">
      <c r="L480" t="e">
        <f ca="1"/>
        <v>#NAME?</v>
      </c>
      <c r="M480" t="e">
        <f ca="1"/>
        <v>#NAME?</v>
      </c>
      <c r="S480" t="e">
        <f ca="1"/>
        <v>#NAME?</v>
      </c>
      <c r="U480" t="e">
        <f ca="1"/>
        <v>#NAME?</v>
      </c>
      <c r="V480" t="e">
        <f ca="1"/>
        <v>#NAME?</v>
      </c>
      <c r="W480" t="e">
        <f ca="1"/>
        <v>#NAME?</v>
      </c>
      <c r="X480" t="e">
        <f ca="1"/>
        <v>#NAME?</v>
      </c>
    </row>
    <row r="481" spans="12:24" x14ac:dyDescent="0.25">
      <c r="L481" t="e">
        <f ca="1"/>
        <v>#NAME?</v>
      </c>
      <c r="M481" t="e">
        <f ca="1"/>
        <v>#NAME?</v>
      </c>
      <c r="S481" t="e">
        <f ca="1"/>
        <v>#NAME?</v>
      </c>
      <c r="U481" t="e">
        <f ca="1"/>
        <v>#NAME?</v>
      </c>
      <c r="V481" t="e">
        <f ca="1"/>
        <v>#NAME?</v>
      </c>
      <c r="W481" t="e">
        <f ca="1"/>
        <v>#NAME?</v>
      </c>
      <c r="X481" t="e">
        <f ca="1"/>
        <v>#NAME?</v>
      </c>
    </row>
    <row r="482" spans="12:24" x14ac:dyDescent="0.25">
      <c r="L482" t="e">
        <f ca="1"/>
        <v>#NAME?</v>
      </c>
      <c r="M482" t="e">
        <f ca="1"/>
        <v>#NAME?</v>
      </c>
      <c r="S482" t="e">
        <f ca="1"/>
        <v>#NAME?</v>
      </c>
      <c r="U482" t="e">
        <f ca="1"/>
        <v>#NAME?</v>
      </c>
      <c r="V482" t="e">
        <f ca="1"/>
        <v>#NAME?</v>
      </c>
      <c r="W482" t="e">
        <f ca="1"/>
        <v>#NAME?</v>
      </c>
      <c r="X482" t="e">
        <f ca="1"/>
        <v>#NAME?</v>
      </c>
    </row>
    <row r="483" spans="12:24" x14ac:dyDescent="0.25">
      <c r="L483" t="e">
        <f ca="1"/>
        <v>#NAME?</v>
      </c>
      <c r="M483" t="e">
        <f ca="1"/>
        <v>#NAME?</v>
      </c>
      <c r="S483" t="e">
        <f ca="1"/>
        <v>#NAME?</v>
      </c>
      <c r="U483" t="e">
        <f ca="1"/>
        <v>#NAME?</v>
      </c>
      <c r="V483" t="e">
        <f ca="1"/>
        <v>#NAME?</v>
      </c>
      <c r="W483" t="e">
        <f ca="1"/>
        <v>#NAME?</v>
      </c>
      <c r="X483" t="e">
        <f ca="1"/>
        <v>#NAME?</v>
      </c>
    </row>
    <row r="484" spans="12:24" x14ac:dyDescent="0.25">
      <c r="L484" t="e">
        <f ca="1"/>
        <v>#NAME?</v>
      </c>
      <c r="M484" t="e">
        <f ca="1"/>
        <v>#NAME?</v>
      </c>
      <c r="S484" t="e">
        <f ca="1"/>
        <v>#NAME?</v>
      </c>
      <c r="U484" t="e">
        <f ca="1"/>
        <v>#NAME?</v>
      </c>
      <c r="V484" t="e">
        <f ca="1"/>
        <v>#NAME?</v>
      </c>
      <c r="W484" t="e">
        <f ca="1"/>
        <v>#NAME?</v>
      </c>
      <c r="X484" t="e">
        <f ca="1"/>
        <v>#NAME?</v>
      </c>
    </row>
    <row r="485" spans="12:24" x14ac:dyDescent="0.25">
      <c r="L485" t="e">
        <f ca="1"/>
        <v>#NAME?</v>
      </c>
      <c r="M485" t="e">
        <f ca="1"/>
        <v>#NAME?</v>
      </c>
      <c r="S485" t="e">
        <f ca="1"/>
        <v>#NAME?</v>
      </c>
      <c r="U485" t="e">
        <f ca="1"/>
        <v>#NAME?</v>
      </c>
      <c r="V485" t="e">
        <f ca="1"/>
        <v>#NAME?</v>
      </c>
      <c r="W485" t="e">
        <f ca="1"/>
        <v>#NAME?</v>
      </c>
      <c r="X485" t="e">
        <f ca="1"/>
        <v>#NAME?</v>
      </c>
    </row>
    <row r="486" spans="12:24" x14ac:dyDescent="0.25">
      <c r="L486" t="e">
        <f ca="1"/>
        <v>#NAME?</v>
      </c>
      <c r="M486" t="e">
        <f ca="1"/>
        <v>#NAME?</v>
      </c>
      <c r="S486" t="e">
        <f ca="1"/>
        <v>#NAME?</v>
      </c>
      <c r="U486" t="e">
        <f ca="1"/>
        <v>#NAME?</v>
      </c>
      <c r="V486" t="e">
        <f ca="1"/>
        <v>#NAME?</v>
      </c>
      <c r="W486" t="e">
        <f ca="1"/>
        <v>#NAME?</v>
      </c>
      <c r="X486" t="e">
        <f ca="1"/>
        <v>#NAME?</v>
      </c>
    </row>
    <row r="487" spans="12:24" x14ac:dyDescent="0.25">
      <c r="L487" t="e">
        <f ca="1"/>
        <v>#NAME?</v>
      </c>
      <c r="M487" t="e">
        <f ca="1"/>
        <v>#NAME?</v>
      </c>
      <c r="S487" t="e">
        <f ca="1"/>
        <v>#NAME?</v>
      </c>
      <c r="U487" t="e">
        <f ca="1"/>
        <v>#NAME?</v>
      </c>
      <c r="V487" t="e">
        <f ca="1"/>
        <v>#NAME?</v>
      </c>
      <c r="W487" t="e">
        <f ca="1"/>
        <v>#NAME?</v>
      </c>
      <c r="X487" t="e">
        <f ca="1"/>
        <v>#NAME?</v>
      </c>
    </row>
    <row r="488" spans="12:24" x14ac:dyDescent="0.25">
      <c r="L488" t="e">
        <f ca="1"/>
        <v>#NAME?</v>
      </c>
      <c r="M488" t="e">
        <f ca="1"/>
        <v>#NAME?</v>
      </c>
      <c r="S488" t="e">
        <f ca="1"/>
        <v>#NAME?</v>
      </c>
      <c r="U488" t="e">
        <f ca="1"/>
        <v>#NAME?</v>
      </c>
      <c r="V488" t="e">
        <f ca="1"/>
        <v>#NAME?</v>
      </c>
      <c r="W488" t="e">
        <f ca="1"/>
        <v>#NAME?</v>
      </c>
      <c r="X488" t="e">
        <f ca="1"/>
        <v>#NAME?</v>
      </c>
    </row>
    <row r="489" spans="12:24" x14ac:dyDescent="0.25">
      <c r="L489" t="e">
        <f ca="1"/>
        <v>#NAME?</v>
      </c>
      <c r="M489" t="e">
        <f ca="1"/>
        <v>#NAME?</v>
      </c>
      <c r="S489" t="e">
        <f ca="1"/>
        <v>#NAME?</v>
      </c>
      <c r="U489" t="e">
        <f ca="1"/>
        <v>#NAME?</v>
      </c>
      <c r="V489" t="e">
        <f ca="1"/>
        <v>#NAME?</v>
      </c>
      <c r="W489" t="e">
        <f ca="1"/>
        <v>#NAME?</v>
      </c>
      <c r="X489" t="e">
        <f ca="1"/>
        <v>#NAME?</v>
      </c>
    </row>
    <row r="490" spans="12:24" x14ac:dyDescent="0.25">
      <c r="L490" t="e">
        <f ca="1"/>
        <v>#NAME?</v>
      </c>
      <c r="M490" t="e">
        <f ca="1"/>
        <v>#NAME?</v>
      </c>
      <c r="S490" t="e">
        <f ca="1"/>
        <v>#NAME?</v>
      </c>
      <c r="U490" t="e">
        <f ca="1"/>
        <v>#NAME?</v>
      </c>
      <c r="V490" t="e">
        <f ca="1"/>
        <v>#NAME?</v>
      </c>
      <c r="W490" t="e">
        <f ca="1"/>
        <v>#NAME?</v>
      </c>
      <c r="X490" t="e">
        <f ca="1"/>
        <v>#NAME?</v>
      </c>
    </row>
    <row r="491" spans="12:24" x14ac:dyDescent="0.25">
      <c r="L491" t="e">
        <f ca="1"/>
        <v>#NAME?</v>
      </c>
      <c r="M491" t="e">
        <f ca="1"/>
        <v>#NAME?</v>
      </c>
      <c r="S491" t="e">
        <f ca="1"/>
        <v>#NAME?</v>
      </c>
      <c r="U491" t="e">
        <f ca="1"/>
        <v>#NAME?</v>
      </c>
      <c r="V491" t="e">
        <f ca="1"/>
        <v>#NAME?</v>
      </c>
      <c r="W491" t="e">
        <f ca="1"/>
        <v>#NAME?</v>
      </c>
      <c r="X491" t="e">
        <f ca="1"/>
        <v>#NAME?</v>
      </c>
    </row>
    <row r="492" spans="12:24" x14ac:dyDescent="0.25">
      <c r="L492" t="e">
        <f ca="1"/>
        <v>#NAME?</v>
      </c>
      <c r="M492" t="e">
        <f ca="1"/>
        <v>#NAME?</v>
      </c>
      <c r="S492" t="e">
        <f ca="1"/>
        <v>#NAME?</v>
      </c>
      <c r="U492" t="e">
        <f ca="1"/>
        <v>#NAME?</v>
      </c>
      <c r="V492" t="e">
        <f ca="1"/>
        <v>#NAME?</v>
      </c>
      <c r="W492" t="e">
        <f ca="1"/>
        <v>#NAME?</v>
      </c>
      <c r="X492" t="e">
        <f ca="1"/>
        <v>#NAME?</v>
      </c>
    </row>
    <row r="493" spans="12:24" x14ac:dyDescent="0.25">
      <c r="L493" t="e">
        <f ca="1"/>
        <v>#NAME?</v>
      </c>
      <c r="M493" t="e">
        <f ca="1"/>
        <v>#NAME?</v>
      </c>
      <c r="S493" t="e">
        <f ca="1"/>
        <v>#NAME?</v>
      </c>
      <c r="U493" t="e">
        <f ca="1"/>
        <v>#NAME?</v>
      </c>
      <c r="V493" t="e">
        <f ca="1"/>
        <v>#NAME?</v>
      </c>
      <c r="W493" t="e">
        <f ca="1"/>
        <v>#NAME?</v>
      </c>
      <c r="X493" t="e">
        <f ca="1"/>
        <v>#NAME?</v>
      </c>
    </row>
    <row r="494" spans="12:24" x14ac:dyDescent="0.25">
      <c r="L494" t="e">
        <f ca="1"/>
        <v>#NAME?</v>
      </c>
      <c r="M494" t="e">
        <f ca="1"/>
        <v>#NAME?</v>
      </c>
      <c r="S494" t="e">
        <f ca="1"/>
        <v>#NAME?</v>
      </c>
      <c r="U494" t="e">
        <f ca="1"/>
        <v>#NAME?</v>
      </c>
      <c r="V494" t="e">
        <f ca="1"/>
        <v>#NAME?</v>
      </c>
      <c r="W494" t="e">
        <f ca="1"/>
        <v>#NAME?</v>
      </c>
      <c r="X494" t="e">
        <f ca="1"/>
        <v>#NAME?</v>
      </c>
    </row>
    <row r="495" spans="12:24" x14ac:dyDescent="0.25">
      <c r="L495" t="e">
        <f ca="1"/>
        <v>#NAME?</v>
      </c>
      <c r="M495" t="e">
        <f ca="1"/>
        <v>#NAME?</v>
      </c>
      <c r="S495" t="e">
        <f ca="1"/>
        <v>#NAME?</v>
      </c>
      <c r="U495" t="e">
        <f ca="1"/>
        <v>#NAME?</v>
      </c>
      <c r="V495" t="e">
        <f ca="1"/>
        <v>#NAME?</v>
      </c>
      <c r="W495" t="e">
        <f ca="1"/>
        <v>#NAME?</v>
      </c>
      <c r="X495" t="e">
        <f ca="1"/>
        <v>#NAME?</v>
      </c>
    </row>
    <row r="496" spans="12:24" x14ac:dyDescent="0.25">
      <c r="L496" t="e">
        <f ca="1"/>
        <v>#NAME?</v>
      </c>
      <c r="M496" t="e">
        <f ca="1"/>
        <v>#NAME?</v>
      </c>
      <c r="S496" t="e">
        <f ca="1"/>
        <v>#NAME?</v>
      </c>
      <c r="U496" t="e">
        <f ca="1"/>
        <v>#NAME?</v>
      </c>
      <c r="V496" t="e">
        <f ca="1"/>
        <v>#NAME?</v>
      </c>
      <c r="W496" t="e">
        <f ca="1"/>
        <v>#NAME?</v>
      </c>
      <c r="X496" t="e">
        <f ca="1"/>
        <v>#NAME?</v>
      </c>
    </row>
    <row r="497" spans="12:24" x14ac:dyDescent="0.25">
      <c r="L497" t="e">
        <f ca="1"/>
        <v>#NAME?</v>
      </c>
      <c r="M497" t="e">
        <f ca="1"/>
        <v>#NAME?</v>
      </c>
      <c r="S497" t="e">
        <f ca="1"/>
        <v>#NAME?</v>
      </c>
      <c r="U497" t="e">
        <f ca="1"/>
        <v>#NAME?</v>
      </c>
      <c r="V497" t="e">
        <f ca="1"/>
        <v>#NAME?</v>
      </c>
      <c r="W497" t="e">
        <f ca="1"/>
        <v>#NAME?</v>
      </c>
      <c r="X497" t="e">
        <f ca="1"/>
        <v>#NAME?</v>
      </c>
    </row>
    <row r="498" spans="12:24" x14ac:dyDescent="0.25">
      <c r="L498" t="e">
        <f ca="1"/>
        <v>#NAME?</v>
      </c>
      <c r="M498" t="e">
        <f ca="1"/>
        <v>#NAME?</v>
      </c>
      <c r="S498" t="e">
        <f ca="1"/>
        <v>#NAME?</v>
      </c>
      <c r="U498" t="e">
        <f ca="1"/>
        <v>#NAME?</v>
      </c>
      <c r="V498" t="e">
        <f ca="1"/>
        <v>#NAME?</v>
      </c>
      <c r="W498" t="e">
        <f ca="1"/>
        <v>#NAME?</v>
      </c>
      <c r="X498" t="e">
        <f ca="1"/>
        <v>#NAME?</v>
      </c>
    </row>
    <row r="499" spans="12:24" x14ac:dyDescent="0.25">
      <c r="L499" t="e">
        <f ca="1"/>
        <v>#NAME?</v>
      </c>
      <c r="M499" t="e">
        <f ca="1"/>
        <v>#NAME?</v>
      </c>
      <c r="S499" t="e">
        <f ca="1"/>
        <v>#NAME?</v>
      </c>
      <c r="U499" t="e">
        <f ca="1"/>
        <v>#NAME?</v>
      </c>
      <c r="V499" t="e">
        <f ca="1"/>
        <v>#NAME?</v>
      </c>
      <c r="W499" t="e">
        <f ca="1"/>
        <v>#NAME?</v>
      </c>
      <c r="X499" t="e">
        <f ca="1"/>
        <v>#NAME?</v>
      </c>
    </row>
    <row r="500" spans="12:24" x14ac:dyDescent="0.25">
      <c r="L500" t="e">
        <f ca="1"/>
        <v>#NAME?</v>
      </c>
      <c r="M500" t="e">
        <f ca="1"/>
        <v>#NAME?</v>
      </c>
      <c r="S500" t="e">
        <f ca="1"/>
        <v>#NAME?</v>
      </c>
      <c r="U500" t="e">
        <f ca="1"/>
        <v>#NAME?</v>
      </c>
      <c r="V500" t="e">
        <f ca="1"/>
        <v>#NAME?</v>
      </c>
      <c r="W500" t="e">
        <f ca="1"/>
        <v>#NAME?</v>
      </c>
      <c r="X500" t="e">
        <f ca="1"/>
        <v>#NAME?</v>
      </c>
    </row>
    <row r="501" spans="12:24" x14ac:dyDescent="0.25">
      <c r="L501" t="e">
        <f ca="1"/>
        <v>#NAME?</v>
      </c>
      <c r="M501" t="e">
        <f ca="1"/>
        <v>#NAME?</v>
      </c>
      <c r="S501" t="e">
        <f ca="1"/>
        <v>#NAME?</v>
      </c>
      <c r="U501" t="e">
        <f ca="1"/>
        <v>#NAME?</v>
      </c>
      <c r="V501" t="e">
        <f ca="1"/>
        <v>#NAME?</v>
      </c>
      <c r="W501" t="e">
        <f ca="1"/>
        <v>#NAME?</v>
      </c>
      <c r="X501" t="e">
        <f ca="1"/>
        <v>#NAME?</v>
      </c>
    </row>
    <row r="502" spans="12:24" x14ac:dyDescent="0.25">
      <c r="L502" t="e">
        <f ca="1"/>
        <v>#NAME?</v>
      </c>
      <c r="M502" t="e">
        <f ca="1"/>
        <v>#NAME?</v>
      </c>
      <c r="S502" t="e">
        <f ca="1"/>
        <v>#NAME?</v>
      </c>
      <c r="U502" t="e">
        <f ca="1"/>
        <v>#NAME?</v>
      </c>
      <c r="V502" t="e">
        <f ca="1"/>
        <v>#NAME?</v>
      </c>
      <c r="W502" t="e">
        <f ca="1"/>
        <v>#NAME?</v>
      </c>
      <c r="X502" t="e">
        <f ca="1"/>
        <v>#NAME?</v>
      </c>
    </row>
    <row r="503" spans="12:24" x14ac:dyDescent="0.25">
      <c r="L503" t="e">
        <f ca="1"/>
        <v>#NAME?</v>
      </c>
      <c r="M503" t="e">
        <f ca="1"/>
        <v>#NAME?</v>
      </c>
      <c r="S503" t="e">
        <f ca="1"/>
        <v>#NAME?</v>
      </c>
      <c r="U503" t="e">
        <f ca="1"/>
        <v>#NAME?</v>
      </c>
      <c r="V503" t="e">
        <f ca="1"/>
        <v>#NAME?</v>
      </c>
      <c r="W503" t="e">
        <f ca="1"/>
        <v>#NAME?</v>
      </c>
      <c r="X503" t="e">
        <f ca="1"/>
        <v>#NAME?</v>
      </c>
    </row>
    <row r="504" spans="12:24" x14ac:dyDescent="0.25">
      <c r="L504" t="e">
        <f ca="1"/>
        <v>#NAME?</v>
      </c>
      <c r="M504" t="e">
        <f ca="1"/>
        <v>#NAME?</v>
      </c>
      <c r="S504" t="e">
        <f ca="1"/>
        <v>#NAME?</v>
      </c>
      <c r="U504" t="e">
        <f ca="1"/>
        <v>#NAME?</v>
      </c>
      <c r="V504" t="e">
        <f ca="1"/>
        <v>#NAME?</v>
      </c>
      <c r="W504" t="e">
        <f ca="1"/>
        <v>#NAME?</v>
      </c>
      <c r="X504" t="e">
        <f ca="1"/>
        <v>#NAME?</v>
      </c>
    </row>
    <row r="505" spans="12:24" x14ac:dyDescent="0.25">
      <c r="L505" t="e">
        <f ca="1"/>
        <v>#NAME?</v>
      </c>
      <c r="M505" t="e">
        <f ca="1"/>
        <v>#NAME?</v>
      </c>
      <c r="S505" t="e">
        <f ca="1"/>
        <v>#NAME?</v>
      </c>
      <c r="U505" t="e">
        <f ca="1"/>
        <v>#NAME?</v>
      </c>
      <c r="V505" t="e">
        <f ca="1"/>
        <v>#NAME?</v>
      </c>
      <c r="W505" t="e">
        <f ca="1"/>
        <v>#NAME?</v>
      </c>
      <c r="X505" t="e">
        <f ca="1"/>
        <v>#NAME?</v>
      </c>
    </row>
    <row r="506" spans="12:24" x14ac:dyDescent="0.25">
      <c r="L506" t="e">
        <f ca="1"/>
        <v>#NAME?</v>
      </c>
      <c r="M506" t="e">
        <f ca="1"/>
        <v>#NAME?</v>
      </c>
      <c r="S506" t="e">
        <f ca="1"/>
        <v>#NAME?</v>
      </c>
      <c r="U506" t="e">
        <f ca="1"/>
        <v>#NAME?</v>
      </c>
      <c r="V506" t="e">
        <f ca="1"/>
        <v>#NAME?</v>
      </c>
      <c r="W506" t="e">
        <f ca="1"/>
        <v>#NAME?</v>
      </c>
      <c r="X506" t="e">
        <f ca="1"/>
        <v>#NAME?</v>
      </c>
    </row>
    <row r="507" spans="12:24" x14ac:dyDescent="0.25">
      <c r="L507" t="e">
        <f ca="1"/>
        <v>#NAME?</v>
      </c>
      <c r="M507" t="e">
        <f ca="1"/>
        <v>#NAME?</v>
      </c>
      <c r="S507" t="e">
        <f ca="1"/>
        <v>#NAME?</v>
      </c>
      <c r="U507" t="e">
        <f ca="1"/>
        <v>#NAME?</v>
      </c>
      <c r="V507" t="e">
        <f ca="1"/>
        <v>#NAME?</v>
      </c>
      <c r="W507" t="e">
        <f ca="1"/>
        <v>#NAME?</v>
      </c>
      <c r="X507" t="e">
        <f ca="1"/>
        <v>#NAME?</v>
      </c>
    </row>
    <row r="508" spans="12:24" x14ac:dyDescent="0.25">
      <c r="L508" t="e">
        <f ca="1"/>
        <v>#NAME?</v>
      </c>
      <c r="M508" t="e">
        <f ca="1"/>
        <v>#NAME?</v>
      </c>
      <c r="S508" t="e">
        <f ca="1"/>
        <v>#NAME?</v>
      </c>
      <c r="U508" t="e">
        <f ca="1"/>
        <v>#NAME?</v>
      </c>
      <c r="V508" t="e">
        <f ca="1"/>
        <v>#NAME?</v>
      </c>
      <c r="W508" t="e">
        <f ca="1"/>
        <v>#NAME?</v>
      </c>
      <c r="X508" t="e">
        <f ca="1"/>
        <v>#NAME?</v>
      </c>
    </row>
    <row r="509" spans="12:24" x14ac:dyDescent="0.25">
      <c r="L509" t="e">
        <f ca="1"/>
        <v>#NAME?</v>
      </c>
      <c r="M509" t="e">
        <f ca="1"/>
        <v>#NAME?</v>
      </c>
      <c r="S509" t="e">
        <f ca="1"/>
        <v>#NAME?</v>
      </c>
      <c r="U509" t="e">
        <f ca="1"/>
        <v>#NAME?</v>
      </c>
      <c r="V509" t="e">
        <f ca="1"/>
        <v>#NAME?</v>
      </c>
      <c r="W509" t="e">
        <f ca="1"/>
        <v>#NAME?</v>
      </c>
      <c r="X509" t="e">
        <f ca="1"/>
        <v>#NAME?</v>
      </c>
    </row>
    <row r="510" spans="12:24" x14ac:dyDescent="0.25">
      <c r="L510" t="e">
        <f ca="1"/>
        <v>#NAME?</v>
      </c>
      <c r="M510" t="e">
        <f ca="1"/>
        <v>#NAME?</v>
      </c>
      <c r="S510" t="e">
        <f ca="1"/>
        <v>#NAME?</v>
      </c>
      <c r="U510" t="e">
        <f ca="1"/>
        <v>#NAME?</v>
      </c>
      <c r="V510" t="e">
        <f ca="1"/>
        <v>#NAME?</v>
      </c>
      <c r="W510" t="e">
        <f ca="1"/>
        <v>#NAME?</v>
      </c>
      <c r="X510" t="e">
        <f ca="1"/>
        <v>#NAME?</v>
      </c>
    </row>
    <row r="511" spans="12:24" x14ac:dyDescent="0.25">
      <c r="L511" t="e">
        <f ca="1"/>
        <v>#NAME?</v>
      </c>
      <c r="M511" t="e">
        <f ca="1"/>
        <v>#NAME?</v>
      </c>
      <c r="S511" t="e">
        <f ca="1"/>
        <v>#NAME?</v>
      </c>
      <c r="U511" t="e">
        <f ca="1"/>
        <v>#NAME?</v>
      </c>
      <c r="V511" t="e">
        <f ca="1"/>
        <v>#NAME?</v>
      </c>
      <c r="W511" t="e">
        <f ca="1"/>
        <v>#NAME?</v>
      </c>
      <c r="X511" t="e">
        <f ca="1"/>
        <v>#NAME?</v>
      </c>
    </row>
    <row r="512" spans="12:24" x14ac:dyDescent="0.25">
      <c r="L512" t="e">
        <f ca="1"/>
        <v>#NAME?</v>
      </c>
      <c r="M512" t="e">
        <f ca="1"/>
        <v>#NAME?</v>
      </c>
      <c r="S512" t="e">
        <f ca="1"/>
        <v>#NAME?</v>
      </c>
      <c r="U512" t="e">
        <f ca="1"/>
        <v>#NAME?</v>
      </c>
      <c r="V512" t="e">
        <f ca="1"/>
        <v>#NAME?</v>
      </c>
      <c r="W512" t="e">
        <f ca="1"/>
        <v>#NAME?</v>
      </c>
      <c r="X512" t="e">
        <f ca="1"/>
        <v>#NAME?</v>
      </c>
    </row>
    <row r="513" spans="12:24" x14ac:dyDescent="0.25">
      <c r="L513" t="e">
        <f ca="1"/>
        <v>#NAME?</v>
      </c>
      <c r="M513" t="e">
        <f ca="1"/>
        <v>#NAME?</v>
      </c>
      <c r="S513" t="e">
        <f ca="1"/>
        <v>#NAME?</v>
      </c>
      <c r="U513" t="e">
        <f ca="1"/>
        <v>#NAME?</v>
      </c>
      <c r="V513" t="e">
        <f ca="1"/>
        <v>#NAME?</v>
      </c>
      <c r="W513" t="e">
        <f ca="1"/>
        <v>#NAME?</v>
      </c>
      <c r="X513" t="e">
        <f ca="1"/>
        <v>#NAME?</v>
      </c>
    </row>
    <row r="514" spans="12:24" x14ac:dyDescent="0.25">
      <c r="L514" t="e">
        <f ca="1"/>
        <v>#NAME?</v>
      </c>
      <c r="M514" t="e">
        <f ca="1"/>
        <v>#NAME?</v>
      </c>
      <c r="S514" t="e">
        <f ca="1"/>
        <v>#NAME?</v>
      </c>
      <c r="U514" t="e">
        <f ca="1"/>
        <v>#NAME?</v>
      </c>
      <c r="V514" t="e">
        <f ca="1"/>
        <v>#NAME?</v>
      </c>
      <c r="W514" t="e">
        <f ca="1"/>
        <v>#NAME?</v>
      </c>
      <c r="X514" t="e">
        <f ca="1"/>
        <v>#NAME?</v>
      </c>
    </row>
    <row r="515" spans="12:24" x14ac:dyDescent="0.25">
      <c r="L515" t="e">
        <f ca="1"/>
        <v>#NAME?</v>
      </c>
      <c r="M515" t="e">
        <f ca="1"/>
        <v>#NAME?</v>
      </c>
      <c r="S515" t="e">
        <f ca="1"/>
        <v>#NAME?</v>
      </c>
      <c r="U515" t="e">
        <f ca="1"/>
        <v>#NAME?</v>
      </c>
      <c r="V515" t="e">
        <f ca="1"/>
        <v>#NAME?</v>
      </c>
      <c r="W515" t="e">
        <f ca="1"/>
        <v>#NAME?</v>
      </c>
      <c r="X515" t="e">
        <f ca="1"/>
        <v>#NAME?</v>
      </c>
    </row>
    <row r="516" spans="12:24" x14ac:dyDescent="0.25">
      <c r="L516" t="e">
        <f ca="1"/>
        <v>#NAME?</v>
      </c>
      <c r="M516" t="e">
        <f ca="1"/>
        <v>#NAME?</v>
      </c>
      <c r="S516" t="e">
        <f ca="1"/>
        <v>#NAME?</v>
      </c>
      <c r="U516" t="e">
        <f ca="1"/>
        <v>#NAME?</v>
      </c>
      <c r="V516" t="e">
        <f ca="1"/>
        <v>#NAME?</v>
      </c>
      <c r="W516" t="e">
        <f ca="1"/>
        <v>#NAME?</v>
      </c>
      <c r="X516" t="e">
        <f ca="1"/>
        <v>#NAME?</v>
      </c>
    </row>
    <row r="517" spans="12:24" x14ac:dyDescent="0.25">
      <c r="L517" t="e">
        <f ca="1"/>
        <v>#NAME?</v>
      </c>
      <c r="M517" t="e">
        <f ca="1"/>
        <v>#NAME?</v>
      </c>
      <c r="S517" t="e">
        <f ca="1"/>
        <v>#NAME?</v>
      </c>
      <c r="U517" t="e">
        <f ca="1"/>
        <v>#NAME?</v>
      </c>
      <c r="V517" t="e">
        <f ca="1"/>
        <v>#NAME?</v>
      </c>
      <c r="W517" t="e">
        <f ca="1"/>
        <v>#NAME?</v>
      </c>
      <c r="X517" t="e">
        <f ca="1"/>
        <v>#NAME?</v>
      </c>
    </row>
    <row r="518" spans="12:24" x14ac:dyDescent="0.25">
      <c r="L518" t="e">
        <f ca="1"/>
        <v>#NAME?</v>
      </c>
      <c r="M518" t="e">
        <f ca="1"/>
        <v>#NAME?</v>
      </c>
      <c r="S518" t="e">
        <f ca="1"/>
        <v>#NAME?</v>
      </c>
      <c r="U518" t="e">
        <f ca="1"/>
        <v>#NAME?</v>
      </c>
      <c r="V518" t="e">
        <f ca="1"/>
        <v>#NAME?</v>
      </c>
      <c r="W518" t="e">
        <f ca="1"/>
        <v>#NAME?</v>
      </c>
      <c r="X518" t="e">
        <f ca="1"/>
        <v>#NAME?</v>
      </c>
    </row>
    <row r="519" spans="12:24" x14ac:dyDescent="0.25">
      <c r="L519" t="e">
        <f ca="1"/>
        <v>#NAME?</v>
      </c>
      <c r="M519" t="e">
        <f ca="1"/>
        <v>#NAME?</v>
      </c>
      <c r="S519" t="e">
        <f ca="1"/>
        <v>#NAME?</v>
      </c>
      <c r="U519" t="e">
        <f ca="1"/>
        <v>#NAME?</v>
      </c>
      <c r="V519" t="e">
        <f ca="1"/>
        <v>#NAME?</v>
      </c>
      <c r="W519" t="e">
        <f ca="1"/>
        <v>#NAME?</v>
      </c>
      <c r="X519" t="e">
        <f ca="1"/>
        <v>#NAME?</v>
      </c>
    </row>
    <row r="520" spans="12:24" x14ac:dyDescent="0.25">
      <c r="L520" t="e">
        <f ca="1"/>
        <v>#NAME?</v>
      </c>
      <c r="M520" t="e">
        <f ca="1"/>
        <v>#NAME?</v>
      </c>
      <c r="S520" t="e">
        <f ca="1"/>
        <v>#NAME?</v>
      </c>
      <c r="U520" t="e">
        <f ca="1"/>
        <v>#NAME?</v>
      </c>
      <c r="V520" t="e">
        <f ca="1"/>
        <v>#NAME?</v>
      </c>
      <c r="W520" t="e">
        <f ca="1"/>
        <v>#NAME?</v>
      </c>
      <c r="X520" t="e">
        <f ca="1"/>
        <v>#NAME?</v>
      </c>
    </row>
    <row r="521" spans="12:24" x14ac:dyDescent="0.25">
      <c r="L521" t="e">
        <f ca="1"/>
        <v>#NAME?</v>
      </c>
      <c r="M521" t="e">
        <f ca="1"/>
        <v>#NAME?</v>
      </c>
      <c r="S521" t="e">
        <f ca="1"/>
        <v>#NAME?</v>
      </c>
      <c r="U521" t="e">
        <f ca="1"/>
        <v>#NAME?</v>
      </c>
      <c r="V521" t="e">
        <f ca="1"/>
        <v>#NAME?</v>
      </c>
      <c r="W521" t="e">
        <f ca="1"/>
        <v>#NAME?</v>
      </c>
      <c r="X521" t="e">
        <f ca="1"/>
        <v>#NAME?</v>
      </c>
    </row>
    <row r="522" spans="12:24" x14ac:dyDescent="0.25">
      <c r="L522" t="e">
        <f ca="1"/>
        <v>#NAME?</v>
      </c>
      <c r="M522" t="e">
        <f ca="1"/>
        <v>#NAME?</v>
      </c>
      <c r="S522" t="e">
        <f ca="1"/>
        <v>#NAME?</v>
      </c>
      <c r="U522" t="e">
        <f ca="1"/>
        <v>#NAME?</v>
      </c>
      <c r="V522" t="e">
        <f ca="1"/>
        <v>#NAME?</v>
      </c>
      <c r="W522" t="e">
        <f ca="1"/>
        <v>#NAME?</v>
      </c>
      <c r="X522" t="e">
        <f ca="1"/>
        <v>#NAME?</v>
      </c>
    </row>
    <row r="523" spans="12:24" x14ac:dyDescent="0.25">
      <c r="L523" t="e">
        <f ca="1"/>
        <v>#NAME?</v>
      </c>
      <c r="M523" t="e">
        <f ca="1"/>
        <v>#NAME?</v>
      </c>
      <c r="S523" t="e">
        <f ca="1"/>
        <v>#NAME?</v>
      </c>
      <c r="U523" t="e">
        <f ca="1"/>
        <v>#NAME?</v>
      </c>
      <c r="V523" t="e">
        <f ca="1"/>
        <v>#NAME?</v>
      </c>
      <c r="W523" t="e">
        <f ca="1"/>
        <v>#NAME?</v>
      </c>
      <c r="X523" t="e">
        <f ca="1"/>
        <v>#NAME?</v>
      </c>
    </row>
    <row r="524" spans="12:24" x14ac:dyDescent="0.25">
      <c r="L524" t="e">
        <f ca="1"/>
        <v>#NAME?</v>
      </c>
      <c r="M524" t="e">
        <f ca="1"/>
        <v>#NAME?</v>
      </c>
      <c r="S524" t="e">
        <f ca="1"/>
        <v>#NAME?</v>
      </c>
      <c r="U524" t="e">
        <f ca="1"/>
        <v>#NAME?</v>
      </c>
      <c r="V524" t="e">
        <f ca="1"/>
        <v>#NAME?</v>
      </c>
      <c r="W524" t="e">
        <f ca="1"/>
        <v>#NAME?</v>
      </c>
      <c r="X524" t="e">
        <f ca="1"/>
        <v>#NAME?</v>
      </c>
    </row>
    <row r="525" spans="12:24" x14ac:dyDescent="0.25">
      <c r="L525" t="e">
        <f ca="1"/>
        <v>#NAME?</v>
      </c>
      <c r="M525" t="e">
        <f ca="1"/>
        <v>#NAME?</v>
      </c>
      <c r="S525" t="e">
        <f ca="1"/>
        <v>#NAME?</v>
      </c>
      <c r="U525" t="e">
        <f ca="1"/>
        <v>#NAME?</v>
      </c>
      <c r="V525" t="e">
        <f ca="1"/>
        <v>#NAME?</v>
      </c>
      <c r="W525" t="e">
        <f ca="1"/>
        <v>#NAME?</v>
      </c>
      <c r="X525" t="e">
        <f ca="1"/>
        <v>#NAME?</v>
      </c>
    </row>
    <row r="526" spans="12:24" x14ac:dyDescent="0.25">
      <c r="L526" t="e">
        <f ca="1"/>
        <v>#NAME?</v>
      </c>
      <c r="M526" t="e">
        <f ca="1"/>
        <v>#NAME?</v>
      </c>
      <c r="S526" t="e">
        <f ca="1"/>
        <v>#NAME?</v>
      </c>
      <c r="U526" t="e">
        <f ca="1"/>
        <v>#NAME?</v>
      </c>
      <c r="V526" t="e">
        <f ca="1"/>
        <v>#NAME?</v>
      </c>
      <c r="W526" t="e">
        <f ca="1"/>
        <v>#NAME?</v>
      </c>
      <c r="X526" t="e">
        <f ca="1"/>
        <v>#NAME?</v>
      </c>
    </row>
    <row r="527" spans="12:24" x14ac:dyDescent="0.25">
      <c r="L527" t="e">
        <f ca="1"/>
        <v>#NAME?</v>
      </c>
      <c r="M527" t="e">
        <f ca="1"/>
        <v>#NAME?</v>
      </c>
      <c r="S527" t="e">
        <f ca="1"/>
        <v>#NAME?</v>
      </c>
      <c r="U527" t="e">
        <f ca="1"/>
        <v>#NAME?</v>
      </c>
      <c r="V527" t="e">
        <f ca="1"/>
        <v>#NAME?</v>
      </c>
      <c r="W527" t="e">
        <f ca="1"/>
        <v>#NAME?</v>
      </c>
      <c r="X527" t="e">
        <f ca="1"/>
        <v>#NAME?</v>
      </c>
    </row>
    <row r="528" spans="12:24" x14ac:dyDescent="0.25">
      <c r="L528" t="e">
        <f ca="1"/>
        <v>#NAME?</v>
      </c>
      <c r="M528" t="e">
        <f ca="1"/>
        <v>#NAME?</v>
      </c>
      <c r="S528" t="e">
        <f ca="1"/>
        <v>#NAME?</v>
      </c>
      <c r="U528" t="e">
        <f ca="1"/>
        <v>#NAME?</v>
      </c>
      <c r="V528" t="e">
        <f ca="1"/>
        <v>#NAME?</v>
      </c>
      <c r="W528" t="e">
        <f ca="1"/>
        <v>#NAME?</v>
      </c>
      <c r="X528" t="e">
        <f ca="1"/>
        <v>#NAME?</v>
      </c>
    </row>
    <row r="529" spans="12:24" x14ac:dyDescent="0.25">
      <c r="L529" t="e">
        <f ca="1"/>
        <v>#NAME?</v>
      </c>
      <c r="M529" t="e">
        <f ca="1"/>
        <v>#NAME?</v>
      </c>
      <c r="S529" t="e">
        <f ca="1"/>
        <v>#NAME?</v>
      </c>
      <c r="U529" t="e">
        <f ca="1"/>
        <v>#NAME?</v>
      </c>
      <c r="V529" t="e">
        <f ca="1"/>
        <v>#NAME?</v>
      </c>
      <c r="W529" t="e">
        <f ca="1"/>
        <v>#NAME?</v>
      </c>
      <c r="X529" t="e">
        <f ca="1"/>
        <v>#NAME?</v>
      </c>
    </row>
    <row r="530" spans="12:24" x14ac:dyDescent="0.25">
      <c r="L530" t="e">
        <f ca="1"/>
        <v>#NAME?</v>
      </c>
      <c r="M530" t="e">
        <f ca="1"/>
        <v>#NAME?</v>
      </c>
      <c r="S530" t="e">
        <f ca="1"/>
        <v>#NAME?</v>
      </c>
      <c r="U530" t="e">
        <f ca="1"/>
        <v>#NAME?</v>
      </c>
      <c r="V530" t="e">
        <f ca="1"/>
        <v>#NAME?</v>
      </c>
      <c r="W530" t="e">
        <f ca="1"/>
        <v>#NAME?</v>
      </c>
      <c r="X530" t="e">
        <f ca="1"/>
        <v>#NAME?</v>
      </c>
    </row>
    <row r="531" spans="12:24" x14ac:dyDescent="0.25">
      <c r="L531" t="e">
        <f ca="1"/>
        <v>#NAME?</v>
      </c>
      <c r="M531" t="e">
        <f ca="1"/>
        <v>#NAME?</v>
      </c>
      <c r="S531" t="e">
        <f ca="1"/>
        <v>#NAME?</v>
      </c>
      <c r="U531" t="e">
        <f ca="1"/>
        <v>#NAME?</v>
      </c>
      <c r="V531" t="e">
        <f ca="1"/>
        <v>#NAME?</v>
      </c>
      <c r="W531" t="e">
        <f ca="1"/>
        <v>#NAME?</v>
      </c>
      <c r="X531" t="e">
        <f ca="1"/>
        <v>#NAME?</v>
      </c>
    </row>
    <row r="532" spans="12:24" x14ac:dyDescent="0.25">
      <c r="L532" t="e">
        <f ca="1"/>
        <v>#NAME?</v>
      </c>
      <c r="M532" t="e">
        <f ca="1"/>
        <v>#NAME?</v>
      </c>
      <c r="S532" t="e">
        <f ca="1"/>
        <v>#NAME?</v>
      </c>
      <c r="U532" t="e">
        <f ca="1"/>
        <v>#NAME?</v>
      </c>
      <c r="V532" t="e">
        <f ca="1"/>
        <v>#NAME?</v>
      </c>
      <c r="W532" t="e">
        <f ca="1"/>
        <v>#NAME?</v>
      </c>
      <c r="X532" t="e">
        <f ca="1"/>
        <v>#NAME?</v>
      </c>
    </row>
    <row r="533" spans="12:24" x14ac:dyDescent="0.25">
      <c r="L533" t="e">
        <f ca="1"/>
        <v>#NAME?</v>
      </c>
      <c r="M533" t="e">
        <f ca="1"/>
        <v>#NAME?</v>
      </c>
      <c r="S533" t="e">
        <f ca="1"/>
        <v>#NAME?</v>
      </c>
      <c r="U533" t="e">
        <f ca="1"/>
        <v>#NAME?</v>
      </c>
      <c r="V533" t="e">
        <f ca="1"/>
        <v>#NAME?</v>
      </c>
      <c r="W533" t="e">
        <f ca="1"/>
        <v>#NAME?</v>
      </c>
      <c r="X533" t="e">
        <f ca="1"/>
        <v>#NAME?</v>
      </c>
    </row>
    <row r="534" spans="12:24" x14ac:dyDescent="0.25">
      <c r="L534" t="e">
        <f ca="1"/>
        <v>#NAME?</v>
      </c>
      <c r="M534" t="e">
        <f ca="1"/>
        <v>#NAME?</v>
      </c>
      <c r="S534" t="e">
        <f ca="1"/>
        <v>#NAME?</v>
      </c>
      <c r="U534" t="e">
        <f ca="1"/>
        <v>#NAME?</v>
      </c>
      <c r="V534" t="e">
        <f ca="1"/>
        <v>#NAME?</v>
      </c>
      <c r="W534" t="e">
        <f ca="1"/>
        <v>#NAME?</v>
      </c>
      <c r="X534" t="e">
        <f ca="1"/>
        <v>#NAME?</v>
      </c>
    </row>
    <row r="535" spans="12:24" x14ac:dyDescent="0.25">
      <c r="L535" t="e">
        <f ca="1"/>
        <v>#NAME?</v>
      </c>
      <c r="M535" t="e">
        <f ca="1"/>
        <v>#NAME?</v>
      </c>
      <c r="S535" t="e">
        <f ca="1"/>
        <v>#NAME?</v>
      </c>
      <c r="U535" t="e">
        <f ca="1"/>
        <v>#NAME?</v>
      </c>
      <c r="V535" t="e">
        <f ca="1"/>
        <v>#NAME?</v>
      </c>
      <c r="W535" t="e">
        <f ca="1"/>
        <v>#NAME?</v>
      </c>
      <c r="X535" t="e">
        <f ca="1"/>
        <v>#NAME?</v>
      </c>
    </row>
    <row r="536" spans="12:24" x14ac:dyDescent="0.25">
      <c r="L536" t="e">
        <f ca="1"/>
        <v>#NAME?</v>
      </c>
      <c r="M536" t="e">
        <f ca="1"/>
        <v>#NAME?</v>
      </c>
      <c r="S536" t="e">
        <f ca="1"/>
        <v>#NAME?</v>
      </c>
      <c r="U536" t="e">
        <f ca="1"/>
        <v>#NAME?</v>
      </c>
      <c r="V536" t="e">
        <f ca="1"/>
        <v>#NAME?</v>
      </c>
      <c r="W536" t="e">
        <f ca="1"/>
        <v>#NAME?</v>
      </c>
      <c r="X536" t="e">
        <f ca="1"/>
        <v>#NAME?</v>
      </c>
    </row>
    <row r="537" spans="12:24" x14ac:dyDescent="0.25">
      <c r="L537" t="e">
        <f ca="1"/>
        <v>#NAME?</v>
      </c>
      <c r="M537" t="e">
        <f ca="1"/>
        <v>#NAME?</v>
      </c>
      <c r="S537" t="e">
        <f ca="1"/>
        <v>#NAME?</v>
      </c>
      <c r="U537" t="e">
        <f ca="1"/>
        <v>#NAME?</v>
      </c>
      <c r="V537" t="e">
        <f ca="1"/>
        <v>#NAME?</v>
      </c>
      <c r="W537" t="e">
        <f ca="1"/>
        <v>#NAME?</v>
      </c>
      <c r="X537" t="e">
        <f ca="1"/>
        <v>#NAME?</v>
      </c>
    </row>
    <row r="538" spans="12:24" x14ac:dyDescent="0.25">
      <c r="L538" t="e">
        <f ca="1"/>
        <v>#NAME?</v>
      </c>
      <c r="M538" t="e">
        <f ca="1"/>
        <v>#NAME?</v>
      </c>
      <c r="S538" t="e">
        <f ca="1"/>
        <v>#NAME?</v>
      </c>
      <c r="U538" t="e">
        <f ca="1"/>
        <v>#NAME?</v>
      </c>
      <c r="V538" t="e">
        <f ca="1"/>
        <v>#NAME?</v>
      </c>
      <c r="W538" t="e">
        <f ca="1"/>
        <v>#NAME?</v>
      </c>
      <c r="X538" t="e">
        <f ca="1"/>
        <v>#NAME?</v>
      </c>
    </row>
    <row r="539" spans="12:24" x14ac:dyDescent="0.25">
      <c r="L539" t="e">
        <f ca="1"/>
        <v>#NAME?</v>
      </c>
      <c r="M539" t="e">
        <f ca="1"/>
        <v>#NAME?</v>
      </c>
      <c r="S539" t="e">
        <f ca="1"/>
        <v>#NAME?</v>
      </c>
      <c r="U539" t="e">
        <f ca="1"/>
        <v>#NAME?</v>
      </c>
      <c r="V539" t="e">
        <f ca="1"/>
        <v>#NAME?</v>
      </c>
      <c r="W539" t="e">
        <f ca="1"/>
        <v>#NAME?</v>
      </c>
      <c r="X539" t="e">
        <f ca="1"/>
        <v>#NAME?</v>
      </c>
    </row>
    <row r="540" spans="12:24" x14ac:dyDescent="0.25">
      <c r="L540" t="e">
        <f ca="1"/>
        <v>#NAME?</v>
      </c>
      <c r="M540" t="e">
        <f ca="1"/>
        <v>#NAME?</v>
      </c>
      <c r="S540" t="e">
        <f ca="1"/>
        <v>#NAME?</v>
      </c>
      <c r="U540" t="e">
        <f ca="1"/>
        <v>#NAME?</v>
      </c>
      <c r="V540" t="e">
        <f ca="1"/>
        <v>#NAME?</v>
      </c>
      <c r="W540" t="e">
        <f ca="1"/>
        <v>#NAME?</v>
      </c>
      <c r="X540" t="e">
        <f ca="1"/>
        <v>#NAME?</v>
      </c>
    </row>
    <row r="541" spans="12:24" x14ac:dyDescent="0.25">
      <c r="L541" t="e">
        <f ca="1"/>
        <v>#NAME?</v>
      </c>
      <c r="M541" t="e">
        <f ca="1"/>
        <v>#NAME?</v>
      </c>
      <c r="S541" t="e">
        <f ca="1"/>
        <v>#NAME?</v>
      </c>
      <c r="U541" t="e">
        <f ca="1"/>
        <v>#NAME?</v>
      </c>
      <c r="V541" t="e">
        <f ca="1"/>
        <v>#NAME?</v>
      </c>
      <c r="W541" t="e">
        <f ca="1"/>
        <v>#NAME?</v>
      </c>
      <c r="X541" t="e">
        <f ca="1"/>
        <v>#NAME?</v>
      </c>
    </row>
    <row r="542" spans="12:24" x14ac:dyDescent="0.25">
      <c r="L542" t="e">
        <f ca="1"/>
        <v>#NAME?</v>
      </c>
      <c r="M542" t="e">
        <f ca="1"/>
        <v>#NAME?</v>
      </c>
      <c r="S542" t="e">
        <f ca="1"/>
        <v>#NAME?</v>
      </c>
      <c r="U542" t="e">
        <f ca="1"/>
        <v>#NAME?</v>
      </c>
      <c r="V542" t="e">
        <f ca="1"/>
        <v>#NAME?</v>
      </c>
      <c r="W542" t="e">
        <f ca="1"/>
        <v>#NAME?</v>
      </c>
      <c r="X542" t="e">
        <f ca="1"/>
        <v>#NAME?</v>
      </c>
    </row>
    <row r="543" spans="12:24" x14ac:dyDescent="0.25">
      <c r="L543" t="e">
        <f ca="1"/>
        <v>#NAME?</v>
      </c>
      <c r="M543" t="e">
        <f ca="1"/>
        <v>#NAME?</v>
      </c>
      <c r="S543" t="e">
        <f ca="1"/>
        <v>#NAME?</v>
      </c>
      <c r="U543" t="e">
        <f ca="1"/>
        <v>#NAME?</v>
      </c>
      <c r="V543" t="e">
        <f ca="1"/>
        <v>#NAME?</v>
      </c>
      <c r="W543" t="e">
        <f ca="1"/>
        <v>#NAME?</v>
      </c>
      <c r="X543" t="e">
        <f ca="1"/>
        <v>#NAME?</v>
      </c>
    </row>
    <row r="544" spans="12:24" x14ac:dyDescent="0.25">
      <c r="L544" t="e">
        <f ca="1"/>
        <v>#NAME?</v>
      </c>
      <c r="M544" t="e">
        <f ca="1"/>
        <v>#NAME?</v>
      </c>
      <c r="S544" t="e">
        <f ca="1"/>
        <v>#NAME?</v>
      </c>
      <c r="U544" t="e">
        <f ca="1"/>
        <v>#NAME?</v>
      </c>
      <c r="V544" t="e">
        <f ca="1"/>
        <v>#NAME?</v>
      </c>
      <c r="W544" t="e">
        <f ca="1"/>
        <v>#NAME?</v>
      </c>
      <c r="X544" t="e">
        <f ca="1"/>
        <v>#NAME?</v>
      </c>
    </row>
    <row r="545" spans="12:24" x14ac:dyDescent="0.25">
      <c r="L545" t="e">
        <f ca="1"/>
        <v>#NAME?</v>
      </c>
      <c r="M545" t="e">
        <f ca="1"/>
        <v>#NAME?</v>
      </c>
      <c r="S545" t="e">
        <f ca="1"/>
        <v>#NAME?</v>
      </c>
      <c r="U545" t="e">
        <f ca="1"/>
        <v>#NAME?</v>
      </c>
      <c r="V545" t="e">
        <f ca="1"/>
        <v>#NAME?</v>
      </c>
      <c r="W545" t="e">
        <f ca="1"/>
        <v>#NAME?</v>
      </c>
      <c r="X545" t="e">
        <f ca="1"/>
        <v>#NAME?</v>
      </c>
    </row>
    <row r="546" spans="12:24" x14ac:dyDescent="0.25">
      <c r="L546" t="e">
        <f ca="1"/>
        <v>#NAME?</v>
      </c>
      <c r="M546" t="e">
        <f ca="1"/>
        <v>#NAME?</v>
      </c>
      <c r="S546" t="e">
        <f ca="1"/>
        <v>#NAME?</v>
      </c>
      <c r="U546" t="e">
        <f ca="1"/>
        <v>#NAME?</v>
      </c>
      <c r="V546" t="e">
        <f ca="1"/>
        <v>#NAME?</v>
      </c>
      <c r="W546" t="e">
        <f ca="1"/>
        <v>#NAME?</v>
      </c>
      <c r="X546" t="e">
        <f ca="1"/>
        <v>#NAME?</v>
      </c>
    </row>
    <row r="547" spans="12:24" x14ac:dyDescent="0.25">
      <c r="L547" t="e">
        <f ca="1"/>
        <v>#NAME?</v>
      </c>
      <c r="M547" t="e">
        <f ca="1"/>
        <v>#NAME?</v>
      </c>
      <c r="S547" t="e">
        <f ca="1"/>
        <v>#NAME?</v>
      </c>
      <c r="U547" t="e">
        <f ca="1"/>
        <v>#NAME?</v>
      </c>
      <c r="V547" t="e">
        <f ca="1"/>
        <v>#NAME?</v>
      </c>
      <c r="W547" t="e">
        <f ca="1"/>
        <v>#NAME?</v>
      </c>
      <c r="X547" t="e">
        <f ca="1"/>
        <v>#NAME?</v>
      </c>
    </row>
    <row r="548" spans="12:24" x14ac:dyDescent="0.25">
      <c r="L548" t="e">
        <f ca="1"/>
        <v>#NAME?</v>
      </c>
      <c r="M548" t="e">
        <f ca="1"/>
        <v>#NAME?</v>
      </c>
      <c r="S548" t="e">
        <f ca="1"/>
        <v>#NAME?</v>
      </c>
      <c r="U548" t="e">
        <f ca="1"/>
        <v>#NAME?</v>
      </c>
      <c r="V548" t="e">
        <f ca="1"/>
        <v>#NAME?</v>
      </c>
      <c r="W548" t="e">
        <f ca="1"/>
        <v>#NAME?</v>
      </c>
      <c r="X548" t="e">
        <f ca="1"/>
        <v>#NAME?</v>
      </c>
    </row>
    <row r="549" spans="12:24" x14ac:dyDescent="0.25">
      <c r="L549" t="e">
        <f ca="1"/>
        <v>#NAME?</v>
      </c>
      <c r="M549" t="e">
        <f ca="1"/>
        <v>#NAME?</v>
      </c>
      <c r="S549" t="e">
        <f ca="1"/>
        <v>#NAME?</v>
      </c>
      <c r="U549" t="e">
        <f ca="1"/>
        <v>#NAME?</v>
      </c>
      <c r="V549" t="e">
        <f ca="1"/>
        <v>#NAME?</v>
      </c>
      <c r="W549" t="e">
        <f ca="1"/>
        <v>#NAME?</v>
      </c>
      <c r="X549" t="e">
        <f ca="1"/>
        <v>#NAME?</v>
      </c>
    </row>
    <row r="550" spans="12:24" x14ac:dyDescent="0.25">
      <c r="L550" t="e">
        <f ca="1"/>
        <v>#NAME?</v>
      </c>
      <c r="M550" t="e">
        <f ca="1"/>
        <v>#NAME?</v>
      </c>
      <c r="S550" t="e">
        <f ca="1"/>
        <v>#NAME?</v>
      </c>
      <c r="U550" t="e">
        <f ca="1"/>
        <v>#NAME?</v>
      </c>
      <c r="V550" t="e">
        <f ca="1"/>
        <v>#NAME?</v>
      </c>
      <c r="W550" t="e">
        <f ca="1"/>
        <v>#NAME?</v>
      </c>
      <c r="X550" t="e">
        <f ca="1"/>
        <v>#NAME?</v>
      </c>
    </row>
    <row r="551" spans="12:24" x14ac:dyDescent="0.25">
      <c r="L551" t="e">
        <f ca="1"/>
        <v>#NAME?</v>
      </c>
      <c r="M551" t="e">
        <f ca="1"/>
        <v>#NAME?</v>
      </c>
      <c r="S551" t="e">
        <f ca="1"/>
        <v>#NAME?</v>
      </c>
      <c r="U551" t="e">
        <f ca="1"/>
        <v>#NAME?</v>
      </c>
      <c r="V551" t="e">
        <f ca="1"/>
        <v>#NAME?</v>
      </c>
      <c r="W551" t="e">
        <f ca="1"/>
        <v>#NAME?</v>
      </c>
      <c r="X551" t="e">
        <f ca="1"/>
        <v>#NAME?</v>
      </c>
    </row>
    <row r="552" spans="12:24" x14ac:dyDescent="0.25">
      <c r="L552" t="e">
        <f ca="1"/>
        <v>#NAME?</v>
      </c>
      <c r="M552" t="e">
        <f ca="1"/>
        <v>#NAME?</v>
      </c>
      <c r="S552" t="e">
        <f ca="1"/>
        <v>#NAME?</v>
      </c>
      <c r="U552" t="e">
        <f ca="1"/>
        <v>#NAME?</v>
      </c>
      <c r="V552" t="e">
        <f ca="1"/>
        <v>#NAME?</v>
      </c>
      <c r="W552" t="e">
        <f ca="1"/>
        <v>#NAME?</v>
      </c>
      <c r="X552" t="e">
        <f ca="1"/>
        <v>#NAME?</v>
      </c>
    </row>
    <row r="553" spans="12:24" x14ac:dyDescent="0.25">
      <c r="L553" t="e">
        <f ca="1"/>
        <v>#NAME?</v>
      </c>
      <c r="M553" t="e">
        <f ca="1"/>
        <v>#NAME?</v>
      </c>
      <c r="S553" t="e">
        <f ca="1"/>
        <v>#NAME?</v>
      </c>
      <c r="U553" t="e">
        <f ca="1"/>
        <v>#NAME?</v>
      </c>
      <c r="V553" t="e">
        <f ca="1"/>
        <v>#NAME?</v>
      </c>
      <c r="W553" t="e">
        <f ca="1"/>
        <v>#NAME?</v>
      </c>
      <c r="X553" t="e">
        <f ca="1"/>
        <v>#NAME?</v>
      </c>
    </row>
    <row r="554" spans="12:24" x14ac:dyDescent="0.25">
      <c r="L554" t="e">
        <f ca="1"/>
        <v>#NAME?</v>
      </c>
      <c r="M554" t="e">
        <f ca="1"/>
        <v>#NAME?</v>
      </c>
      <c r="S554" t="e">
        <f ca="1"/>
        <v>#NAME?</v>
      </c>
      <c r="U554" t="e">
        <f ca="1"/>
        <v>#NAME?</v>
      </c>
      <c r="V554" t="e">
        <f ca="1"/>
        <v>#NAME?</v>
      </c>
      <c r="W554" t="e">
        <f ca="1"/>
        <v>#NAME?</v>
      </c>
      <c r="X554" t="e">
        <f ca="1"/>
        <v>#NAME?</v>
      </c>
    </row>
    <row r="555" spans="12:24" x14ac:dyDescent="0.25">
      <c r="L555" t="e">
        <f ca="1"/>
        <v>#NAME?</v>
      </c>
      <c r="M555" t="e">
        <f ca="1"/>
        <v>#NAME?</v>
      </c>
      <c r="S555" t="e">
        <f ca="1"/>
        <v>#NAME?</v>
      </c>
      <c r="U555" t="e">
        <f ca="1"/>
        <v>#NAME?</v>
      </c>
      <c r="V555" t="e">
        <f ca="1"/>
        <v>#NAME?</v>
      </c>
      <c r="W555" t="e">
        <f ca="1"/>
        <v>#NAME?</v>
      </c>
      <c r="X555" t="e">
        <f ca="1"/>
        <v>#NAME?</v>
      </c>
    </row>
    <row r="556" spans="12:24" x14ac:dyDescent="0.25">
      <c r="L556" t="e">
        <f ca="1"/>
        <v>#NAME?</v>
      </c>
      <c r="M556" t="e">
        <f ca="1"/>
        <v>#NAME?</v>
      </c>
      <c r="S556" t="e">
        <f ca="1"/>
        <v>#NAME?</v>
      </c>
      <c r="U556" t="e">
        <f ca="1"/>
        <v>#NAME?</v>
      </c>
      <c r="V556" t="e">
        <f ca="1"/>
        <v>#NAME?</v>
      </c>
      <c r="W556" t="e">
        <f ca="1"/>
        <v>#NAME?</v>
      </c>
      <c r="X556" t="e">
        <f ca="1"/>
        <v>#NAME?</v>
      </c>
    </row>
    <row r="557" spans="12:24" x14ac:dyDescent="0.25">
      <c r="L557" t="e">
        <f ca="1"/>
        <v>#NAME?</v>
      </c>
      <c r="M557" t="e">
        <f ca="1"/>
        <v>#NAME?</v>
      </c>
      <c r="S557" t="e">
        <f ca="1"/>
        <v>#NAME?</v>
      </c>
      <c r="U557" t="e">
        <f ca="1"/>
        <v>#NAME?</v>
      </c>
      <c r="V557" t="e">
        <f ca="1"/>
        <v>#NAME?</v>
      </c>
      <c r="W557" t="e">
        <f ca="1"/>
        <v>#NAME?</v>
      </c>
      <c r="X557" t="e">
        <f ca="1"/>
        <v>#NAME?</v>
      </c>
    </row>
    <row r="558" spans="12:24" x14ac:dyDescent="0.25">
      <c r="L558" t="e">
        <f ca="1"/>
        <v>#NAME?</v>
      </c>
      <c r="M558" t="e">
        <f ca="1"/>
        <v>#NAME?</v>
      </c>
      <c r="S558" t="e">
        <f ca="1"/>
        <v>#NAME?</v>
      </c>
      <c r="U558" t="e">
        <f ca="1"/>
        <v>#NAME?</v>
      </c>
      <c r="V558" t="e">
        <f ca="1"/>
        <v>#NAME?</v>
      </c>
      <c r="W558" t="e">
        <f ca="1"/>
        <v>#NAME?</v>
      </c>
      <c r="X558" t="e">
        <f ca="1"/>
        <v>#NAME?</v>
      </c>
    </row>
    <row r="559" spans="12:24" x14ac:dyDescent="0.25">
      <c r="L559" t="e">
        <f ca="1"/>
        <v>#NAME?</v>
      </c>
      <c r="M559" t="e">
        <f ca="1"/>
        <v>#NAME?</v>
      </c>
      <c r="S559" t="e">
        <f ca="1"/>
        <v>#NAME?</v>
      </c>
      <c r="U559" t="e">
        <f ca="1"/>
        <v>#NAME?</v>
      </c>
      <c r="V559" t="e">
        <f ca="1"/>
        <v>#NAME?</v>
      </c>
      <c r="W559" t="e">
        <f ca="1"/>
        <v>#NAME?</v>
      </c>
      <c r="X559" t="e">
        <f ca="1"/>
        <v>#NAME?</v>
      </c>
    </row>
    <row r="560" spans="12:24" x14ac:dyDescent="0.25">
      <c r="L560" t="e">
        <f ca="1"/>
        <v>#NAME?</v>
      </c>
      <c r="M560" t="e">
        <f ca="1"/>
        <v>#NAME?</v>
      </c>
      <c r="S560" t="e">
        <f ca="1"/>
        <v>#NAME?</v>
      </c>
      <c r="U560" t="e">
        <f ca="1"/>
        <v>#NAME?</v>
      </c>
      <c r="V560" t="e">
        <f ca="1"/>
        <v>#NAME?</v>
      </c>
      <c r="W560" t="e">
        <f ca="1"/>
        <v>#NAME?</v>
      </c>
      <c r="X560" t="e">
        <f ca="1"/>
        <v>#NAME?</v>
      </c>
    </row>
    <row r="561" spans="12:24" x14ac:dyDescent="0.25">
      <c r="L561" t="e">
        <f ca="1"/>
        <v>#NAME?</v>
      </c>
      <c r="M561" t="e">
        <f ca="1"/>
        <v>#NAME?</v>
      </c>
      <c r="S561" t="e">
        <f ca="1"/>
        <v>#NAME?</v>
      </c>
      <c r="U561" t="e">
        <f ca="1"/>
        <v>#NAME?</v>
      </c>
      <c r="V561" t="e">
        <f ca="1"/>
        <v>#NAME?</v>
      </c>
      <c r="W561" t="e">
        <f ca="1"/>
        <v>#NAME?</v>
      </c>
      <c r="X561" t="e">
        <f ca="1"/>
        <v>#NAME?</v>
      </c>
    </row>
    <row r="562" spans="12:24" x14ac:dyDescent="0.25">
      <c r="L562" t="e">
        <f ca="1"/>
        <v>#NAME?</v>
      </c>
      <c r="M562" t="e">
        <f ca="1"/>
        <v>#NAME?</v>
      </c>
      <c r="S562" t="e">
        <f ca="1"/>
        <v>#NAME?</v>
      </c>
      <c r="U562" t="e">
        <f ca="1"/>
        <v>#NAME?</v>
      </c>
      <c r="V562" t="e">
        <f ca="1"/>
        <v>#NAME?</v>
      </c>
      <c r="W562" t="e">
        <f ca="1"/>
        <v>#NAME?</v>
      </c>
      <c r="X562" t="e">
        <f ca="1"/>
        <v>#NAME?</v>
      </c>
    </row>
    <row r="563" spans="12:24" x14ac:dyDescent="0.25">
      <c r="L563" t="e">
        <f ca="1"/>
        <v>#NAME?</v>
      </c>
      <c r="M563" t="e">
        <f ca="1"/>
        <v>#NAME?</v>
      </c>
      <c r="S563" t="e">
        <f ca="1"/>
        <v>#NAME?</v>
      </c>
      <c r="U563" t="e">
        <f ca="1"/>
        <v>#NAME?</v>
      </c>
      <c r="V563" t="e">
        <f ca="1"/>
        <v>#NAME?</v>
      </c>
      <c r="W563" t="e">
        <f ca="1"/>
        <v>#NAME?</v>
      </c>
      <c r="X563" t="e">
        <f ca="1"/>
        <v>#NAME?</v>
      </c>
    </row>
    <row r="564" spans="12:24" x14ac:dyDescent="0.25">
      <c r="L564" t="e">
        <f ca="1"/>
        <v>#NAME?</v>
      </c>
      <c r="M564" t="e">
        <f ca="1"/>
        <v>#NAME?</v>
      </c>
      <c r="S564" t="e">
        <f ca="1"/>
        <v>#NAME?</v>
      </c>
      <c r="U564" t="e">
        <f ca="1"/>
        <v>#NAME?</v>
      </c>
      <c r="V564" t="e">
        <f ca="1"/>
        <v>#NAME?</v>
      </c>
      <c r="W564" t="e">
        <f ca="1"/>
        <v>#NAME?</v>
      </c>
      <c r="X564" t="e">
        <f ca="1"/>
        <v>#NAME?</v>
      </c>
    </row>
    <row r="565" spans="12:24" x14ac:dyDescent="0.25">
      <c r="L565" t="e">
        <f ca="1"/>
        <v>#NAME?</v>
      </c>
      <c r="M565" t="e">
        <f ca="1"/>
        <v>#NAME?</v>
      </c>
      <c r="S565" t="e">
        <f ca="1"/>
        <v>#NAME?</v>
      </c>
      <c r="U565" t="e">
        <f ca="1"/>
        <v>#NAME?</v>
      </c>
      <c r="V565" t="e">
        <f ca="1"/>
        <v>#NAME?</v>
      </c>
      <c r="W565" t="e">
        <f ca="1"/>
        <v>#NAME?</v>
      </c>
      <c r="X565" t="e">
        <f ca="1"/>
        <v>#NAME?</v>
      </c>
    </row>
    <row r="566" spans="12:24" x14ac:dyDescent="0.25">
      <c r="L566" t="e">
        <f ca="1"/>
        <v>#NAME?</v>
      </c>
      <c r="M566" t="e">
        <f ca="1"/>
        <v>#NAME?</v>
      </c>
      <c r="S566" t="e">
        <f ca="1"/>
        <v>#NAME?</v>
      </c>
      <c r="U566" t="e">
        <f ca="1"/>
        <v>#NAME?</v>
      </c>
      <c r="V566" t="e">
        <f ca="1"/>
        <v>#NAME?</v>
      </c>
      <c r="W566" t="e">
        <f ca="1"/>
        <v>#NAME?</v>
      </c>
      <c r="X566" t="e">
        <f ca="1"/>
        <v>#NAME?</v>
      </c>
    </row>
    <row r="567" spans="12:24" x14ac:dyDescent="0.25">
      <c r="L567" t="e">
        <f ca="1"/>
        <v>#NAME?</v>
      </c>
      <c r="M567" t="e">
        <f ca="1"/>
        <v>#NAME?</v>
      </c>
      <c r="S567" t="e">
        <f ca="1"/>
        <v>#NAME?</v>
      </c>
      <c r="U567" t="e">
        <f ca="1"/>
        <v>#NAME?</v>
      </c>
      <c r="V567" t="e">
        <f ca="1"/>
        <v>#NAME?</v>
      </c>
      <c r="W567" t="e">
        <f ca="1"/>
        <v>#NAME?</v>
      </c>
      <c r="X567" t="e">
        <f ca="1"/>
        <v>#NAME?</v>
      </c>
    </row>
    <row r="568" spans="12:24" x14ac:dyDescent="0.25">
      <c r="L568" t="e">
        <f ca="1"/>
        <v>#NAME?</v>
      </c>
      <c r="M568" t="e">
        <f ca="1"/>
        <v>#NAME?</v>
      </c>
      <c r="S568" t="e">
        <f ca="1"/>
        <v>#NAME?</v>
      </c>
      <c r="U568" t="e">
        <f ca="1"/>
        <v>#NAME?</v>
      </c>
      <c r="V568" t="e">
        <f ca="1"/>
        <v>#NAME?</v>
      </c>
      <c r="W568" t="e">
        <f ca="1"/>
        <v>#NAME?</v>
      </c>
      <c r="X568" t="e">
        <f ca="1"/>
        <v>#NAME?</v>
      </c>
    </row>
    <row r="569" spans="12:24" x14ac:dyDescent="0.25">
      <c r="L569" t="e">
        <f ca="1"/>
        <v>#NAME?</v>
      </c>
      <c r="M569" t="e">
        <f ca="1"/>
        <v>#NAME?</v>
      </c>
      <c r="S569" t="e">
        <f ca="1"/>
        <v>#NAME?</v>
      </c>
      <c r="U569" t="e">
        <f ca="1"/>
        <v>#NAME?</v>
      </c>
      <c r="V569" t="e">
        <f ca="1"/>
        <v>#NAME?</v>
      </c>
      <c r="W569" t="e">
        <f ca="1"/>
        <v>#NAME?</v>
      </c>
      <c r="X569" t="e">
        <f ca="1"/>
        <v>#NAME?</v>
      </c>
    </row>
    <row r="570" spans="12:24" x14ac:dyDescent="0.25">
      <c r="L570" t="e">
        <f ca="1"/>
        <v>#NAME?</v>
      </c>
      <c r="M570" t="e">
        <f ca="1"/>
        <v>#NAME?</v>
      </c>
      <c r="S570" t="e">
        <f ca="1"/>
        <v>#NAME?</v>
      </c>
      <c r="U570" t="e">
        <f ca="1"/>
        <v>#NAME?</v>
      </c>
      <c r="V570" t="e">
        <f ca="1"/>
        <v>#NAME?</v>
      </c>
      <c r="W570" t="e">
        <f ca="1"/>
        <v>#NAME?</v>
      </c>
      <c r="X570" t="e">
        <f ca="1"/>
        <v>#NAME?</v>
      </c>
    </row>
    <row r="571" spans="12:24" x14ac:dyDescent="0.25">
      <c r="L571" t="e">
        <f ca="1"/>
        <v>#NAME?</v>
      </c>
      <c r="M571" t="e">
        <f ca="1"/>
        <v>#NAME?</v>
      </c>
      <c r="S571" t="e">
        <f ca="1"/>
        <v>#NAME?</v>
      </c>
      <c r="U571" t="e">
        <f ca="1"/>
        <v>#NAME?</v>
      </c>
      <c r="V571" t="e">
        <f ca="1"/>
        <v>#NAME?</v>
      </c>
      <c r="W571" t="e">
        <f ca="1"/>
        <v>#NAME?</v>
      </c>
      <c r="X571" t="e">
        <f ca="1"/>
        <v>#NAME?</v>
      </c>
    </row>
    <row r="572" spans="12:24" x14ac:dyDescent="0.25">
      <c r="L572" t="e">
        <f ca="1"/>
        <v>#NAME?</v>
      </c>
      <c r="M572" t="e">
        <f ca="1"/>
        <v>#NAME?</v>
      </c>
      <c r="S572" t="e">
        <f ca="1"/>
        <v>#NAME?</v>
      </c>
      <c r="U572" t="e">
        <f ca="1"/>
        <v>#NAME?</v>
      </c>
      <c r="V572" t="e">
        <f ca="1"/>
        <v>#NAME?</v>
      </c>
      <c r="W572" t="e">
        <f ca="1"/>
        <v>#NAME?</v>
      </c>
      <c r="X572" t="e">
        <f ca="1"/>
        <v>#NAME?</v>
      </c>
    </row>
    <row r="573" spans="12:24" x14ac:dyDescent="0.25">
      <c r="L573" t="e">
        <f ca="1"/>
        <v>#NAME?</v>
      </c>
      <c r="M573" t="e">
        <f ca="1"/>
        <v>#NAME?</v>
      </c>
      <c r="S573" t="e">
        <f ca="1"/>
        <v>#NAME?</v>
      </c>
      <c r="U573" t="e">
        <f ca="1"/>
        <v>#NAME?</v>
      </c>
      <c r="V573" t="e">
        <f ca="1"/>
        <v>#NAME?</v>
      </c>
      <c r="W573" t="e">
        <f ca="1"/>
        <v>#NAME?</v>
      </c>
      <c r="X573" t="e">
        <f ca="1"/>
        <v>#NAME?</v>
      </c>
    </row>
    <row r="574" spans="12:24" x14ac:dyDescent="0.25">
      <c r="L574" t="e">
        <f ca="1"/>
        <v>#NAME?</v>
      </c>
      <c r="M574" t="e">
        <f ca="1"/>
        <v>#NAME?</v>
      </c>
      <c r="S574" t="e">
        <f ca="1"/>
        <v>#NAME?</v>
      </c>
      <c r="U574" t="e">
        <f ca="1"/>
        <v>#NAME?</v>
      </c>
      <c r="V574" t="e">
        <f ca="1"/>
        <v>#NAME?</v>
      </c>
      <c r="W574" t="e">
        <f ca="1"/>
        <v>#NAME?</v>
      </c>
      <c r="X574" t="e">
        <f ca="1"/>
        <v>#NAME?</v>
      </c>
    </row>
    <row r="575" spans="12:24" x14ac:dyDescent="0.25">
      <c r="L575" t="e">
        <f ca="1"/>
        <v>#NAME?</v>
      </c>
      <c r="M575" t="e">
        <f ca="1"/>
        <v>#NAME?</v>
      </c>
      <c r="S575" t="e">
        <f ca="1"/>
        <v>#NAME?</v>
      </c>
      <c r="U575" t="e">
        <f ca="1"/>
        <v>#NAME?</v>
      </c>
      <c r="V575" t="e">
        <f ca="1"/>
        <v>#NAME?</v>
      </c>
      <c r="W575" t="e">
        <f ca="1"/>
        <v>#NAME?</v>
      </c>
      <c r="X575" t="e">
        <f ca="1"/>
        <v>#NAME?</v>
      </c>
    </row>
    <row r="576" spans="12:24" x14ac:dyDescent="0.25">
      <c r="L576" t="e">
        <f ca="1"/>
        <v>#NAME?</v>
      </c>
      <c r="M576" t="e">
        <f ca="1"/>
        <v>#NAME?</v>
      </c>
      <c r="S576" t="e">
        <f ca="1"/>
        <v>#NAME?</v>
      </c>
      <c r="U576" t="e">
        <f ca="1"/>
        <v>#NAME?</v>
      </c>
      <c r="V576" t="e">
        <f ca="1"/>
        <v>#NAME?</v>
      </c>
      <c r="W576" t="e">
        <f ca="1"/>
        <v>#NAME?</v>
      </c>
      <c r="X576" t="e">
        <f ca="1"/>
        <v>#NAME?</v>
      </c>
    </row>
    <row r="577" spans="12:24" x14ac:dyDescent="0.25">
      <c r="L577" t="e">
        <f ca="1"/>
        <v>#NAME?</v>
      </c>
      <c r="M577" t="e">
        <f ca="1"/>
        <v>#NAME?</v>
      </c>
      <c r="S577" t="e">
        <f ca="1"/>
        <v>#NAME?</v>
      </c>
      <c r="U577" t="e">
        <f ca="1"/>
        <v>#NAME?</v>
      </c>
      <c r="V577" t="e">
        <f ca="1"/>
        <v>#NAME?</v>
      </c>
      <c r="W577" t="e">
        <f ca="1"/>
        <v>#NAME?</v>
      </c>
      <c r="X577" t="e">
        <f ca="1"/>
        <v>#NAME?</v>
      </c>
    </row>
    <row r="578" spans="12:24" x14ac:dyDescent="0.25">
      <c r="L578" t="e">
        <f ca="1"/>
        <v>#NAME?</v>
      </c>
      <c r="M578" t="e">
        <f ca="1"/>
        <v>#NAME?</v>
      </c>
      <c r="S578" t="e">
        <f ca="1"/>
        <v>#NAME?</v>
      </c>
      <c r="U578" t="e">
        <f ca="1"/>
        <v>#NAME?</v>
      </c>
      <c r="V578" t="e">
        <f ca="1"/>
        <v>#NAME?</v>
      </c>
      <c r="W578" t="e">
        <f ca="1"/>
        <v>#NAME?</v>
      </c>
      <c r="X578" t="e">
        <f ca="1"/>
        <v>#NAME?</v>
      </c>
    </row>
    <row r="579" spans="12:24" x14ac:dyDescent="0.25">
      <c r="L579" t="e">
        <f ca="1"/>
        <v>#NAME?</v>
      </c>
      <c r="M579" t="e">
        <f ca="1"/>
        <v>#NAME?</v>
      </c>
      <c r="S579" t="e">
        <f ca="1"/>
        <v>#NAME?</v>
      </c>
      <c r="U579" t="e">
        <f ca="1"/>
        <v>#NAME?</v>
      </c>
      <c r="V579" t="e">
        <f ca="1"/>
        <v>#NAME?</v>
      </c>
      <c r="W579" t="e">
        <f ca="1"/>
        <v>#NAME?</v>
      </c>
      <c r="X579" t="e">
        <f ca="1"/>
        <v>#NAME?</v>
      </c>
    </row>
    <row r="580" spans="12:24" x14ac:dyDescent="0.25">
      <c r="L580" t="e">
        <f ca="1"/>
        <v>#NAME?</v>
      </c>
      <c r="M580" t="e">
        <f ca="1"/>
        <v>#NAME?</v>
      </c>
      <c r="S580" t="e">
        <f ca="1"/>
        <v>#NAME?</v>
      </c>
      <c r="U580" t="e">
        <f ca="1"/>
        <v>#NAME?</v>
      </c>
      <c r="V580" t="e">
        <f ca="1"/>
        <v>#NAME?</v>
      </c>
      <c r="W580" t="e">
        <f ca="1"/>
        <v>#NAME?</v>
      </c>
      <c r="X580" t="e">
        <f ca="1"/>
        <v>#NAME?</v>
      </c>
    </row>
    <row r="581" spans="12:24" x14ac:dyDescent="0.25">
      <c r="L581" t="e">
        <f ca="1"/>
        <v>#NAME?</v>
      </c>
      <c r="M581" t="e">
        <f ca="1"/>
        <v>#NAME?</v>
      </c>
      <c r="S581" t="e">
        <f ca="1"/>
        <v>#NAME?</v>
      </c>
      <c r="U581" t="e">
        <f ca="1"/>
        <v>#NAME?</v>
      </c>
      <c r="V581" t="e">
        <f ca="1"/>
        <v>#NAME?</v>
      </c>
      <c r="W581" t="e">
        <f ca="1"/>
        <v>#NAME?</v>
      </c>
      <c r="X581" t="e">
        <f ca="1"/>
        <v>#NAME?</v>
      </c>
    </row>
    <row r="582" spans="12:24" x14ac:dyDescent="0.25">
      <c r="L582" t="e">
        <f ca="1"/>
        <v>#NAME?</v>
      </c>
      <c r="M582" t="e">
        <f ca="1"/>
        <v>#NAME?</v>
      </c>
      <c r="S582" t="e">
        <f ca="1"/>
        <v>#NAME?</v>
      </c>
      <c r="U582" t="e">
        <f ca="1"/>
        <v>#NAME?</v>
      </c>
      <c r="V582" t="e">
        <f ca="1"/>
        <v>#NAME?</v>
      </c>
      <c r="W582" t="e">
        <f ca="1"/>
        <v>#NAME?</v>
      </c>
      <c r="X582" t="e">
        <f ca="1"/>
        <v>#NAME?</v>
      </c>
    </row>
    <row r="583" spans="12:24" x14ac:dyDescent="0.25">
      <c r="L583" t="e">
        <f ca="1"/>
        <v>#NAME?</v>
      </c>
      <c r="M583" t="e">
        <f ca="1"/>
        <v>#NAME?</v>
      </c>
      <c r="S583" t="e">
        <f ca="1"/>
        <v>#NAME?</v>
      </c>
      <c r="U583" t="e">
        <f ca="1"/>
        <v>#NAME?</v>
      </c>
      <c r="V583" t="e">
        <f ca="1"/>
        <v>#NAME?</v>
      </c>
      <c r="W583" t="e">
        <f ca="1"/>
        <v>#NAME?</v>
      </c>
      <c r="X583" t="e">
        <f ca="1"/>
        <v>#NAME?</v>
      </c>
    </row>
    <row r="584" spans="12:24" x14ac:dyDescent="0.25">
      <c r="L584" t="e">
        <f ca="1"/>
        <v>#NAME?</v>
      </c>
      <c r="M584" t="e">
        <f ca="1"/>
        <v>#NAME?</v>
      </c>
      <c r="S584" t="e">
        <f ca="1"/>
        <v>#NAME?</v>
      </c>
      <c r="U584" t="e">
        <f ca="1"/>
        <v>#NAME?</v>
      </c>
      <c r="V584" t="e">
        <f ca="1"/>
        <v>#NAME?</v>
      </c>
      <c r="W584" t="e">
        <f ca="1"/>
        <v>#NAME?</v>
      </c>
      <c r="X584" t="e">
        <f ca="1"/>
        <v>#NAME?</v>
      </c>
    </row>
    <row r="585" spans="12:24" x14ac:dyDescent="0.25">
      <c r="L585" t="e">
        <f ca="1"/>
        <v>#NAME?</v>
      </c>
      <c r="M585" t="e">
        <f ca="1"/>
        <v>#NAME?</v>
      </c>
      <c r="S585" t="e">
        <f ca="1"/>
        <v>#NAME?</v>
      </c>
      <c r="U585" t="e">
        <f ca="1"/>
        <v>#NAME?</v>
      </c>
      <c r="V585" t="e">
        <f ca="1"/>
        <v>#NAME?</v>
      </c>
      <c r="W585" t="e">
        <f ca="1"/>
        <v>#NAME?</v>
      </c>
      <c r="X585" t="e">
        <f ca="1"/>
        <v>#NAME?</v>
      </c>
    </row>
    <row r="586" spans="12:24" x14ac:dyDescent="0.25">
      <c r="L586" t="e">
        <f ca="1"/>
        <v>#NAME?</v>
      </c>
      <c r="M586" t="e">
        <f ca="1"/>
        <v>#NAME?</v>
      </c>
      <c r="S586" t="e">
        <f ca="1"/>
        <v>#NAME?</v>
      </c>
      <c r="U586" t="e">
        <f ca="1"/>
        <v>#NAME?</v>
      </c>
      <c r="V586" t="e">
        <f ca="1"/>
        <v>#NAME?</v>
      </c>
      <c r="W586" t="e">
        <f ca="1"/>
        <v>#NAME?</v>
      </c>
      <c r="X586" t="e">
        <f ca="1"/>
        <v>#NAME?</v>
      </c>
    </row>
    <row r="587" spans="12:24" x14ac:dyDescent="0.25">
      <c r="L587" t="e">
        <f ca="1"/>
        <v>#NAME?</v>
      </c>
      <c r="M587" t="e">
        <f ca="1"/>
        <v>#NAME?</v>
      </c>
      <c r="S587" t="e">
        <f ca="1"/>
        <v>#NAME?</v>
      </c>
      <c r="U587" t="e">
        <f ca="1"/>
        <v>#NAME?</v>
      </c>
      <c r="V587" t="e">
        <f ca="1"/>
        <v>#NAME?</v>
      </c>
      <c r="W587" t="e">
        <f ca="1"/>
        <v>#NAME?</v>
      </c>
      <c r="X587" t="e">
        <f ca="1"/>
        <v>#NAME?</v>
      </c>
    </row>
    <row r="588" spans="12:24" x14ac:dyDescent="0.25">
      <c r="L588" t="e">
        <f ca="1"/>
        <v>#NAME?</v>
      </c>
      <c r="M588" t="e">
        <f ca="1"/>
        <v>#NAME?</v>
      </c>
      <c r="S588" t="e">
        <f ca="1"/>
        <v>#NAME?</v>
      </c>
      <c r="U588" t="e">
        <f ca="1"/>
        <v>#NAME?</v>
      </c>
      <c r="V588" t="e">
        <f ca="1"/>
        <v>#NAME?</v>
      </c>
      <c r="W588" t="e">
        <f ca="1"/>
        <v>#NAME?</v>
      </c>
      <c r="X588" t="e">
        <f ca="1"/>
        <v>#NAME?</v>
      </c>
    </row>
    <row r="589" spans="12:24" x14ac:dyDescent="0.25">
      <c r="L589" t="e">
        <f ca="1"/>
        <v>#NAME?</v>
      </c>
      <c r="M589" t="e">
        <f ca="1"/>
        <v>#NAME?</v>
      </c>
      <c r="S589" t="e">
        <f ca="1"/>
        <v>#NAME?</v>
      </c>
      <c r="U589" t="e">
        <f ca="1"/>
        <v>#NAME?</v>
      </c>
      <c r="V589" t="e">
        <f ca="1"/>
        <v>#NAME?</v>
      </c>
      <c r="W589" t="e">
        <f ca="1"/>
        <v>#NAME?</v>
      </c>
      <c r="X589" t="e">
        <f ca="1"/>
        <v>#NAME?</v>
      </c>
    </row>
    <row r="590" spans="12:24" x14ac:dyDescent="0.25">
      <c r="L590" t="e">
        <f ca="1"/>
        <v>#NAME?</v>
      </c>
      <c r="M590" t="e">
        <f ca="1"/>
        <v>#NAME?</v>
      </c>
      <c r="S590" t="e">
        <f ca="1"/>
        <v>#NAME?</v>
      </c>
      <c r="U590" t="e">
        <f ca="1"/>
        <v>#NAME?</v>
      </c>
      <c r="V590" t="e">
        <f ca="1"/>
        <v>#NAME?</v>
      </c>
      <c r="W590" t="e">
        <f ca="1"/>
        <v>#NAME?</v>
      </c>
      <c r="X590" t="e">
        <f ca="1"/>
        <v>#NAME?</v>
      </c>
    </row>
    <row r="591" spans="12:24" x14ac:dyDescent="0.25">
      <c r="L591" t="e">
        <f ca="1"/>
        <v>#NAME?</v>
      </c>
      <c r="M591" t="e">
        <f ca="1"/>
        <v>#NAME?</v>
      </c>
      <c r="S591" t="e">
        <f ca="1"/>
        <v>#NAME?</v>
      </c>
      <c r="U591" t="e">
        <f ca="1"/>
        <v>#NAME?</v>
      </c>
      <c r="V591" t="e">
        <f ca="1"/>
        <v>#NAME?</v>
      </c>
      <c r="W591" t="e">
        <f ca="1"/>
        <v>#NAME?</v>
      </c>
      <c r="X591" t="e">
        <f ca="1"/>
        <v>#NAME?</v>
      </c>
    </row>
    <row r="592" spans="12:24" x14ac:dyDescent="0.25">
      <c r="L592" t="e">
        <f ca="1"/>
        <v>#NAME?</v>
      </c>
      <c r="M592" t="e">
        <f ca="1"/>
        <v>#NAME?</v>
      </c>
      <c r="S592" t="e">
        <f ca="1"/>
        <v>#NAME?</v>
      </c>
      <c r="U592" t="e">
        <f ca="1"/>
        <v>#NAME?</v>
      </c>
      <c r="V592" t="e">
        <f ca="1"/>
        <v>#NAME?</v>
      </c>
      <c r="W592" t="e">
        <f ca="1"/>
        <v>#NAME?</v>
      </c>
      <c r="X592" t="e">
        <f ca="1"/>
        <v>#NAME?</v>
      </c>
    </row>
    <row r="593" spans="12:24" x14ac:dyDescent="0.25">
      <c r="L593" t="e">
        <f ca="1"/>
        <v>#NAME?</v>
      </c>
      <c r="M593" t="e">
        <f ca="1"/>
        <v>#NAME?</v>
      </c>
      <c r="S593" t="e">
        <f ca="1"/>
        <v>#NAME?</v>
      </c>
      <c r="U593" t="e">
        <f ca="1"/>
        <v>#NAME?</v>
      </c>
      <c r="V593" t="e">
        <f ca="1"/>
        <v>#NAME?</v>
      </c>
      <c r="W593" t="e">
        <f ca="1"/>
        <v>#NAME?</v>
      </c>
      <c r="X593" t="e">
        <f ca="1"/>
        <v>#NAME?</v>
      </c>
    </row>
    <row r="594" spans="12:24" x14ac:dyDescent="0.25">
      <c r="L594" t="e">
        <f ca="1"/>
        <v>#NAME?</v>
      </c>
      <c r="M594" t="e">
        <f ca="1"/>
        <v>#NAME?</v>
      </c>
      <c r="S594" t="e">
        <f ca="1"/>
        <v>#NAME?</v>
      </c>
      <c r="U594" t="e">
        <f ca="1"/>
        <v>#NAME?</v>
      </c>
      <c r="V594" t="e">
        <f ca="1"/>
        <v>#NAME?</v>
      </c>
      <c r="W594" t="e">
        <f ca="1"/>
        <v>#NAME?</v>
      </c>
      <c r="X594" t="e">
        <f ca="1"/>
        <v>#NAME?</v>
      </c>
    </row>
    <row r="595" spans="12:24" x14ac:dyDescent="0.25">
      <c r="L595" t="e">
        <f ca="1"/>
        <v>#NAME?</v>
      </c>
      <c r="M595" t="e">
        <f ca="1"/>
        <v>#NAME?</v>
      </c>
      <c r="S595" t="e">
        <f ca="1"/>
        <v>#NAME?</v>
      </c>
      <c r="U595" t="e">
        <f ca="1"/>
        <v>#NAME?</v>
      </c>
      <c r="V595" t="e">
        <f ca="1"/>
        <v>#NAME?</v>
      </c>
      <c r="W595" t="e">
        <f ca="1"/>
        <v>#NAME?</v>
      </c>
      <c r="X595" t="e">
        <f ca="1"/>
        <v>#NAME?</v>
      </c>
    </row>
    <row r="596" spans="12:24" x14ac:dyDescent="0.25">
      <c r="L596" t="e">
        <f ca="1"/>
        <v>#NAME?</v>
      </c>
      <c r="M596" t="e">
        <f ca="1"/>
        <v>#NAME?</v>
      </c>
      <c r="S596" t="e">
        <f ca="1"/>
        <v>#NAME?</v>
      </c>
      <c r="U596" t="e">
        <f ca="1"/>
        <v>#NAME?</v>
      </c>
      <c r="V596" t="e">
        <f ca="1"/>
        <v>#NAME?</v>
      </c>
      <c r="W596" t="e">
        <f ca="1"/>
        <v>#NAME?</v>
      </c>
      <c r="X596" t="e">
        <f ca="1"/>
        <v>#NAME?</v>
      </c>
    </row>
    <row r="597" spans="12:24" x14ac:dyDescent="0.25">
      <c r="L597" t="e">
        <f ca="1"/>
        <v>#NAME?</v>
      </c>
      <c r="M597" t="e">
        <f ca="1"/>
        <v>#NAME?</v>
      </c>
      <c r="S597" t="e">
        <f ca="1"/>
        <v>#NAME?</v>
      </c>
      <c r="U597" t="e">
        <f ca="1"/>
        <v>#NAME?</v>
      </c>
      <c r="V597" t="e">
        <f ca="1"/>
        <v>#NAME?</v>
      </c>
      <c r="W597" t="e">
        <f ca="1"/>
        <v>#NAME?</v>
      </c>
      <c r="X597" t="e">
        <f ca="1"/>
        <v>#NAME?</v>
      </c>
    </row>
    <row r="598" spans="12:24" x14ac:dyDescent="0.25">
      <c r="L598" t="e">
        <f ca="1"/>
        <v>#NAME?</v>
      </c>
      <c r="M598" t="e">
        <f ca="1"/>
        <v>#NAME?</v>
      </c>
      <c r="S598" t="e">
        <f ca="1"/>
        <v>#NAME?</v>
      </c>
      <c r="U598" t="e">
        <f ca="1"/>
        <v>#NAME?</v>
      </c>
      <c r="V598" t="e">
        <f ca="1"/>
        <v>#NAME?</v>
      </c>
      <c r="W598" t="e">
        <f ca="1"/>
        <v>#NAME?</v>
      </c>
      <c r="X598" t="e">
        <f ca="1"/>
        <v>#NAME?</v>
      </c>
    </row>
    <row r="599" spans="12:24" x14ac:dyDescent="0.25">
      <c r="L599" t="e">
        <f ca="1"/>
        <v>#NAME?</v>
      </c>
      <c r="M599" t="e">
        <f ca="1"/>
        <v>#NAME?</v>
      </c>
      <c r="S599" t="e">
        <f ca="1"/>
        <v>#NAME?</v>
      </c>
      <c r="U599" t="e">
        <f ca="1"/>
        <v>#NAME?</v>
      </c>
      <c r="V599" t="e">
        <f ca="1"/>
        <v>#NAME?</v>
      </c>
      <c r="W599" t="e">
        <f ca="1"/>
        <v>#NAME?</v>
      </c>
      <c r="X599" t="e">
        <f ca="1"/>
        <v>#NAME?</v>
      </c>
    </row>
    <row r="600" spans="12:24" x14ac:dyDescent="0.25">
      <c r="L600" t="e">
        <f ca="1"/>
        <v>#NAME?</v>
      </c>
      <c r="M600" t="e">
        <f ca="1"/>
        <v>#NAME?</v>
      </c>
      <c r="S600" t="e">
        <f ca="1"/>
        <v>#NAME?</v>
      </c>
      <c r="U600" t="e">
        <f ca="1"/>
        <v>#NAME?</v>
      </c>
      <c r="V600" t="e">
        <f ca="1"/>
        <v>#NAME?</v>
      </c>
      <c r="W600" t="e">
        <f ca="1"/>
        <v>#NAME?</v>
      </c>
      <c r="X600" t="e">
        <f ca="1"/>
        <v>#NAME?</v>
      </c>
    </row>
    <row r="601" spans="12:24" x14ac:dyDescent="0.25">
      <c r="L601" t="e">
        <f ca="1"/>
        <v>#NAME?</v>
      </c>
      <c r="M601" t="e">
        <f ca="1"/>
        <v>#NAME?</v>
      </c>
      <c r="S601" t="e">
        <f ca="1"/>
        <v>#NAME?</v>
      </c>
      <c r="U601" t="e">
        <f ca="1"/>
        <v>#NAME?</v>
      </c>
      <c r="V601" t="e">
        <f ca="1"/>
        <v>#NAME?</v>
      </c>
      <c r="W601" t="e">
        <f ca="1"/>
        <v>#NAME?</v>
      </c>
      <c r="X601" t="e">
        <f ca="1"/>
        <v>#NAME?</v>
      </c>
    </row>
    <row r="602" spans="12:24" x14ac:dyDescent="0.25">
      <c r="L602" t="e">
        <f ca="1"/>
        <v>#NAME?</v>
      </c>
      <c r="M602" t="e">
        <f ca="1"/>
        <v>#NAME?</v>
      </c>
      <c r="S602" t="e">
        <f ca="1"/>
        <v>#NAME?</v>
      </c>
      <c r="U602" t="e">
        <f ca="1"/>
        <v>#NAME?</v>
      </c>
      <c r="V602" t="e">
        <f ca="1"/>
        <v>#NAME?</v>
      </c>
      <c r="W602" t="e">
        <f ca="1"/>
        <v>#NAME?</v>
      </c>
      <c r="X602" t="e">
        <f ca="1"/>
        <v>#NAME?</v>
      </c>
    </row>
    <row r="603" spans="12:24" x14ac:dyDescent="0.25">
      <c r="L603" t="e">
        <f ca="1"/>
        <v>#NAME?</v>
      </c>
      <c r="M603" t="e">
        <f ca="1"/>
        <v>#NAME?</v>
      </c>
      <c r="S603" t="e">
        <f ca="1"/>
        <v>#NAME?</v>
      </c>
      <c r="U603" t="e">
        <f ca="1"/>
        <v>#NAME?</v>
      </c>
      <c r="V603" t="e">
        <f ca="1"/>
        <v>#NAME?</v>
      </c>
      <c r="W603" t="e">
        <f ca="1"/>
        <v>#NAME?</v>
      </c>
      <c r="X603" t="e">
        <f ca="1"/>
        <v>#NAME?</v>
      </c>
    </row>
    <row r="604" spans="12:24" x14ac:dyDescent="0.25">
      <c r="L604" t="e">
        <f ca="1"/>
        <v>#NAME?</v>
      </c>
      <c r="M604" t="e">
        <f ca="1"/>
        <v>#NAME?</v>
      </c>
      <c r="S604" t="e">
        <f ca="1"/>
        <v>#NAME?</v>
      </c>
      <c r="U604" t="e">
        <f ca="1"/>
        <v>#NAME?</v>
      </c>
      <c r="V604" t="e">
        <f ca="1"/>
        <v>#NAME?</v>
      </c>
      <c r="W604" t="e">
        <f ca="1"/>
        <v>#NAME?</v>
      </c>
      <c r="X604" t="e">
        <f ca="1"/>
        <v>#NAME?</v>
      </c>
    </row>
    <row r="605" spans="12:24" x14ac:dyDescent="0.25">
      <c r="L605" t="e">
        <f ca="1"/>
        <v>#NAME?</v>
      </c>
      <c r="M605" t="e">
        <f ca="1"/>
        <v>#NAME?</v>
      </c>
      <c r="S605" t="e">
        <f ca="1"/>
        <v>#NAME?</v>
      </c>
      <c r="U605" t="e">
        <f ca="1"/>
        <v>#NAME?</v>
      </c>
      <c r="V605" t="e">
        <f ca="1"/>
        <v>#NAME?</v>
      </c>
      <c r="W605" t="e">
        <f ca="1"/>
        <v>#NAME?</v>
      </c>
      <c r="X605" t="e">
        <f ca="1"/>
        <v>#NAME?</v>
      </c>
    </row>
    <row r="606" spans="12:24" x14ac:dyDescent="0.25">
      <c r="L606" t="e">
        <f ca="1"/>
        <v>#NAME?</v>
      </c>
      <c r="M606" t="e">
        <f ca="1"/>
        <v>#NAME?</v>
      </c>
      <c r="S606" t="e">
        <f ca="1"/>
        <v>#NAME?</v>
      </c>
      <c r="U606" t="e">
        <f ca="1"/>
        <v>#NAME?</v>
      </c>
      <c r="V606" t="e">
        <f ca="1"/>
        <v>#NAME?</v>
      </c>
      <c r="W606" t="e">
        <f ca="1"/>
        <v>#NAME?</v>
      </c>
      <c r="X606" t="e">
        <f ca="1"/>
        <v>#NAME?</v>
      </c>
    </row>
    <row r="607" spans="12:24" x14ac:dyDescent="0.25">
      <c r="L607" t="e">
        <f ca="1"/>
        <v>#NAME?</v>
      </c>
      <c r="M607" t="e">
        <f ca="1"/>
        <v>#NAME?</v>
      </c>
      <c r="S607" t="e">
        <f ca="1"/>
        <v>#NAME?</v>
      </c>
      <c r="U607" t="e">
        <f ca="1"/>
        <v>#NAME?</v>
      </c>
      <c r="V607" t="e">
        <f ca="1"/>
        <v>#NAME?</v>
      </c>
      <c r="W607" t="e">
        <f ca="1"/>
        <v>#NAME?</v>
      </c>
      <c r="X607" t="e">
        <f ca="1"/>
        <v>#NAME?</v>
      </c>
    </row>
    <row r="608" spans="12:24" x14ac:dyDescent="0.25">
      <c r="L608" t="e">
        <f ca="1"/>
        <v>#NAME?</v>
      </c>
      <c r="M608" t="e">
        <f ca="1"/>
        <v>#NAME?</v>
      </c>
      <c r="S608" t="e">
        <f ca="1"/>
        <v>#NAME?</v>
      </c>
      <c r="U608" t="e">
        <f ca="1"/>
        <v>#NAME?</v>
      </c>
      <c r="V608" t="e">
        <f ca="1"/>
        <v>#NAME?</v>
      </c>
      <c r="W608" t="e">
        <f ca="1"/>
        <v>#NAME?</v>
      </c>
      <c r="X608" t="e">
        <f ca="1"/>
        <v>#NAME?</v>
      </c>
    </row>
    <row r="609" spans="12:24" x14ac:dyDescent="0.25">
      <c r="L609" t="e">
        <f ca="1"/>
        <v>#NAME?</v>
      </c>
      <c r="M609" t="e">
        <f ca="1"/>
        <v>#NAME?</v>
      </c>
      <c r="S609" t="e">
        <f ca="1"/>
        <v>#NAME?</v>
      </c>
      <c r="U609" t="e">
        <f ca="1"/>
        <v>#NAME?</v>
      </c>
      <c r="V609" t="e">
        <f ca="1"/>
        <v>#NAME?</v>
      </c>
      <c r="W609" t="e">
        <f ca="1"/>
        <v>#NAME?</v>
      </c>
      <c r="X609" t="e">
        <f ca="1"/>
        <v>#NAME?</v>
      </c>
    </row>
    <row r="610" spans="12:24" x14ac:dyDescent="0.25">
      <c r="L610" t="e">
        <f ca="1"/>
        <v>#NAME?</v>
      </c>
      <c r="M610" t="e">
        <f ca="1"/>
        <v>#NAME?</v>
      </c>
      <c r="S610" t="e">
        <f ca="1"/>
        <v>#NAME?</v>
      </c>
      <c r="U610" t="e">
        <f ca="1"/>
        <v>#NAME?</v>
      </c>
      <c r="V610" t="e">
        <f ca="1"/>
        <v>#NAME?</v>
      </c>
      <c r="W610" t="e">
        <f ca="1"/>
        <v>#NAME?</v>
      </c>
      <c r="X610" t="e">
        <f ca="1"/>
        <v>#NAME?</v>
      </c>
    </row>
    <row r="611" spans="12:24" x14ac:dyDescent="0.25">
      <c r="L611" t="e">
        <f ca="1"/>
        <v>#NAME?</v>
      </c>
      <c r="M611" t="e">
        <f ca="1"/>
        <v>#NAME?</v>
      </c>
      <c r="S611" t="e">
        <f ca="1"/>
        <v>#NAME?</v>
      </c>
      <c r="U611" t="e">
        <f ca="1"/>
        <v>#NAME?</v>
      </c>
      <c r="V611" t="e">
        <f ca="1"/>
        <v>#NAME?</v>
      </c>
      <c r="W611" t="e">
        <f ca="1"/>
        <v>#NAME?</v>
      </c>
      <c r="X611" t="e">
        <f ca="1"/>
        <v>#NAME?</v>
      </c>
    </row>
    <row r="612" spans="12:24" x14ac:dyDescent="0.25">
      <c r="L612" t="e">
        <f ca="1"/>
        <v>#NAME?</v>
      </c>
      <c r="M612" t="e">
        <f ca="1"/>
        <v>#NAME?</v>
      </c>
      <c r="S612" t="e">
        <f ca="1"/>
        <v>#NAME?</v>
      </c>
      <c r="U612" t="e">
        <f ca="1"/>
        <v>#NAME?</v>
      </c>
      <c r="V612" t="e">
        <f ca="1"/>
        <v>#NAME?</v>
      </c>
      <c r="W612" t="e">
        <f ca="1"/>
        <v>#NAME?</v>
      </c>
      <c r="X612" t="e">
        <f ca="1"/>
        <v>#NAME?</v>
      </c>
    </row>
    <row r="613" spans="12:24" x14ac:dyDescent="0.25">
      <c r="L613" t="e">
        <f ca="1"/>
        <v>#NAME?</v>
      </c>
      <c r="M613" t="e">
        <f ca="1"/>
        <v>#NAME?</v>
      </c>
      <c r="S613" t="e">
        <f ca="1"/>
        <v>#NAME?</v>
      </c>
      <c r="U613" t="e">
        <f ca="1"/>
        <v>#NAME?</v>
      </c>
      <c r="V613" t="e">
        <f ca="1"/>
        <v>#NAME?</v>
      </c>
      <c r="W613" t="e">
        <f ca="1"/>
        <v>#NAME?</v>
      </c>
      <c r="X613" t="e">
        <f ca="1"/>
        <v>#NAME?</v>
      </c>
    </row>
    <row r="614" spans="12:24" x14ac:dyDescent="0.25">
      <c r="L614" t="e">
        <f ca="1"/>
        <v>#NAME?</v>
      </c>
      <c r="M614" t="e">
        <f ca="1"/>
        <v>#NAME?</v>
      </c>
      <c r="S614" t="e">
        <f ca="1"/>
        <v>#NAME?</v>
      </c>
      <c r="U614" t="e">
        <f ca="1"/>
        <v>#NAME?</v>
      </c>
      <c r="V614" t="e">
        <f ca="1"/>
        <v>#NAME?</v>
      </c>
      <c r="W614" t="e">
        <f ca="1"/>
        <v>#NAME?</v>
      </c>
      <c r="X614" t="e">
        <f ca="1"/>
        <v>#NAME?</v>
      </c>
    </row>
    <row r="615" spans="12:24" x14ac:dyDescent="0.25">
      <c r="L615" t="e">
        <f ca="1"/>
        <v>#NAME?</v>
      </c>
      <c r="M615" t="e">
        <f ca="1"/>
        <v>#NAME?</v>
      </c>
      <c r="S615" t="e">
        <f ca="1"/>
        <v>#NAME?</v>
      </c>
      <c r="U615" t="e">
        <f ca="1"/>
        <v>#NAME?</v>
      </c>
      <c r="V615" t="e">
        <f ca="1"/>
        <v>#NAME?</v>
      </c>
      <c r="W615" t="e">
        <f ca="1"/>
        <v>#NAME?</v>
      </c>
      <c r="X615" t="e">
        <f ca="1"/>
        <v>#NAME?</v>
      </c>
    </row>
    <row r="616" spans="12:24" x14ac:dyDescent="0.25">
      <c r="L616" t="e">
        <f ca="1"/>
        <v>#NAME?</v>
      </c>
      <c r="M616" t="e">
        <f ca="1"/>
        <v>#NAME?</v>
      </c>
      <c r="S616" t="e">
        <f ca="1"/>
        <v>#NAME?</v>
      </c>
      <c r="U616" t="e">
        <f ca="1"/>
        <v>#NAME?</v>
      </c>
      <c r="V616" t="e">
        <f ca="1"/>
        <v>#NAME?</v>
      </c>
      <c r="W616" t="e">
        <f ca="1"/>
        <v>#NAME?</v>
      </c>
      <c r="X616" t="e">
        <f ca="1"/>
        <v>#NAME?</v>
      </c>
    </row>
    <row r="617" spans="12:24" x14ac:dyDescent="0.25">
      <c r="L617" t="e">
        <f ca="1"/>
        <v>#NAME?</v>
      </c>
      <c r="M617" t="e">
        <f ca="1"/>
        <v>#NAME?</v>
      </c>
      <c r="S617" t="e">
        <f ca="1"/>
        <v>#NAME?</v>
      </c>
      <c r="U617" t="e">
        <f ca="1"/>
        <v>#NAME?</v>
      </c>
      <c r="V617" t="e">
        <f ca="1"/>
        <v>#NAME?</v>
      </c>
      <c r="W617" t="e">
        <f ca="1"/>
        <v>#NAME?</v>
      </c>
      <c r="X617" t="e">
        <f ca="1"/>
        <v>#NAME?</v>
      </c>
    </row>
    <row r="618" spans="12:24" x14ac:dyDescent="0.25">
      <c r="L618" t="e">
        <f ca="1"/>
        <v>#NAME?</v>
      </c>
      <c r="M618" t="e">
        <f ca="1"/>
        <v>#NAME?</v>
      </c>
      <c r="S618" t="e">
        <f ca="1"/>
        <v>#NAME?</v>
      </c>
      <c r="U618" t="e">
        <f ca="1"/>
        <v>#NAME?</v>
      </c>
      <c r="V618" t="e">
        <f ca="1"/>
        <v>#NAME?</v>
      </c>
      <c r="W618" t="e">
        <f ca="1"/>
        <v>#NAME?</v>
      </c>
      <c r="X618" t="e">
        <f ca="1"/>
        <v>#NAME?</v>
      </c>
    </row>
    <row r="619" spans="12:24" x14ac:dyDescent="0.25">
      <c r="L619" t="e">
        <f ca="1"/>
        <v>#NAME?</v>
      </c>
      <c r="M619" t="e">
        <f ca="1"/>
        <v>#NAME?</v>
      </c>
      <c r="S619" t="e">
        <f ca="1"/>
        <v>#NAME?</v>
      </c>
      <c r="U619" t="e">
        <f ca="1"/>
        <v>#NAME?</v>
      </c>
      <c r="V619" t="e">
        <f ca="1"/>
        <v>#NAME?</v>
      </c>
      <c r="W619" t="e">
        <f ca="1"/>
        <v>#NAME?</v>
      </c>
      <c r="X619" t="e">
        <f ca="1"/>
        <v>#NAME?</v>
      </c>
    </row>
    <row r="620" spans="12:24" x14ac:dyDescent="0.25">
      <c r="L620" t="e">
        <f ca="1"/>
        <v>#NAME?</v>
      </c>
      <c r="M620" t="e">
        <f ca="1"/>
        <v>#NAME?</v>
      </c>
      <c r="S620" t="e">
        <f ca="1"/>
        <v>#NAME?</v>
      </c>
      <c r="U620" t="e">
        <f ca="1"/>
        <v>#NAME?</v>
      </c>
      <c r="V620" t="e">
        <f ca="1"/>
        <v>#NAME?</v>
      </c>
      <c r="W620" t="e">
        <f ca="1"/>
        <v>#NAME?</v>
      </c>
      <c r="X620" t="e">
        <f ca="1"/>
        <v>#NAME?</v>
      </c>
    </row>
    <row r="621" spans="12:24" x14ac:dyDescent="0.25">
      <c r="L621" t="e">
        <f ca="1"/>
        <v>#NAME?</v>
      </c>
      <c r="M621" t="e">
        <f ca="1"/>
        <v>#NAME?</v>
      </c>
      <c r="S621" t="e">
        <f ca="1"/>
        <v>#NAME?</v>
      </c>
      <c r="U621" t="e">
        <f ca="1"/>
        <v>#NAME?</v>
      </c>
      <c r="V621" t="e">
        <f ca="1"/>
        <v>#NAME?</v>
      </c>
      <c r="W621" t="e">
        <f ca="1"/>
        <v>#NAME?</v>
      </c>
      <c r="X621" t="e">
        <f ca="1"/>
        <v>#NAME?</v>
      </c>
    </row>
    <row r="622" spans="12:24" x14ac:dyDescent="0.25">
      <c r="L622" t="e">
        <f ca="1"/>
        <v>#NAME?</v>
      </c>
      <c r="M622" t="e">
        <f ca="1"/>
        <v>#NAME?</v>
      </c>
      <c r="S622" t="e">
        <f ca="1"/>
        <v>#NAME?</v>
      </c>
      <c r="U622" t="e">
        <f ca="1"/>
        <v>#NAME?</v>
      </c>
      <c r="V622" t="e">
        <f ca="1"/>
        <v>#NAME?</v>
      </c>
      <c r="W622" t="e">
        <f ca="1"/>
        <v>#NAME?</v>
      </c>
      <c r="X622" t="e">
        <f ca="1"/>
        <v>#NAME?</v>
      </c>
    </row>
    <row r="623" spans="12:24" x14ac:dyDescent="0.25">
      <c r="L623" t="e">
        <f ca="1"/>
        <v>#NAME?</v>
      </c>
      <c r="M623" t="e">
        <f ca="1"/>
        <v>#NAME?</v>
      </c>
      <c r="S623" t="e">
        <f ca="1"/>
        <v>#NAME?</v>
      </c>
      <c r="U623" t="e">
        <f ca="1"/>
        <v>#NAME?</v>
      </c>
      <c r="V623" t="e">
        <f ca="1"/>
        <v>#NAME?</v>
      </c>
      <c r="W623" t="e">
        <f ca="1"/>
        <v>#NAME?</v>
      </c>
      <c r="X623" t="e">
        <f ca="1"/>
        <v>#NAME?</v>
      </c>
    </row>
    <row r="624" spans="12:24" x14ac:dyDescent="0.25">
      <c r="L624" t="e">
        <f ca="1"/>
        <v>#NAME?</v>
      </c>
      <c r="M624" t="e">
        <f ca="1"/>
        <v>#NAME?</v>
      </c>
      <c r="S624" t="e">
        <f ca="1"/>
        <v>#NAME?</v>
      </c>
      <c r="U624" t="e">
        <f ca="1"/>
        <v>#NAME?</v>
      </c>
      <c r="V624" t="e">
        <f ca="1"/>
        <v>#NAME?</v>
      </c>
      <c r="W624" t="e">
        <f ca="1"/>
        <v>#NAME?</v>
      </c>
      <c r="X624" t="e">
        <f ca="1"/>
        <v>#NAME?</v>
      </c>
    </row>
    <row r="625" spans="12:24" x14ac:dyDescent="0.25">
      <c r="L625" t="e">
        <f ca="1"/>
        <v>#NAME?</v>
      </c>
      <c r="M625" t="e">
        <f ca="1"/>
        <v>#NAME?</v>
      </c>
      <c r="S625" t="e">
        <f ca="1"/>
        <v>#NAME?</v>
      </c>
      <c r="U625" t="e">
        <f ca="1"/>
        <v>#NAME?</v>
      </c>
      <c r="V625" t="e">
        <f ca="1"/>
        <v>#NAME?</v>
      </c>
      <c r="W625" t="e">
        <f ca="1"/>
        <v>#NAME?</v>
      </c>
      <c r="X625" t="e">
        <f ca="1"/>
        <v>#NAME?</v>
      </c>
    </row>
    <row r="626" spans="12:24" x14ac:dyDescent="0.25">
      <c r="L626" t="e">
        <f ca="1"/>
        <v>#NAME?</v>
      </c>
      <c r="M626" t="e">
        <f ca="1"/>
        <v>#NAME?</v>
      </c>
      <c r="S626" t="e">
        <f ca="1"/>
        <v>#NAME?</v>
      </c>
      <c r="U626" t="e">
        <f ca="1"/>
        <v>#NAME?</v>
      </c>
      <c r="V626" t="e">
        <f ca="1"/>
        <v>#NAME?</v>
      </c>
      <c r="W626" t="e">
        <f ca="1"/>
        <v>#NAME?</v>
      </c>
      <c r="X626" t="e">
        <f ca="1"/>
        <v>#NAME?</v>
      </c>
    </row>
    <row r="627" spans="12:24" x14ac:dyDescent="0.25">
      <c r="L627" t="e">
        <f ca="1"/>
        <v>#NAME?</v>
      </c>
      <c r="M627" t="e">
        <f ca="1"/>
        <v>#NAME?</v>
      </c>
      <c r="S627" t="e">
        <f ca="1"/>
        <v>#NAME?</v>
      </c>
      <c r="U627" t="e">
        <f ca="1"/>
        <v>#NAME?</v>
      </c>
      <c r="V627" t="e">
        <f ca="1"/>
        <v>#NAME?</v>
      </c>
      <c r="W627" t="e">
        <f ca="1"/>
        <v>#NAME?</v>
      </c>
      <c r="X627" t="e">
        <f ca="1"/>
        <v>#NAME?</v>
      </c>
    </row>
    <row r="628" spans="12:24" x14ac:dyDescent="0.25">
      <c r="L628" t="e">
        <f ca="1"/>
        <v>#NAME?</v>
      </c>
      <c r="M628" t="e">
        <f ca="1"/>
        <v>#NAME?</v>
      </c>
      <c r="S628" t="e">
        <f ca="1"/>
        <v>#NAME?</v>
      </c>
      <c r="U628" t="e">
        <f ca="1"/>
        <v>#NAME?</v>
      </c>
      <c r="V628" t="e">
        <f ca="1"/>
        <v>#NAME?</v>
      </c>
      <c r="W628" t="e">
        <f ca="1"/>
        <v>#NAME?</v>
      </c>
      <c r="X628" t="e">
        <f ca="1"/>
        <v>#NAME?</v>
      </c>
    </row>
    <row r="629" spans="12:24" x14ac:dyDescent="0.25">
      <c r="L629" t="e">
        <f ca="1"/>
        <v>#NAME?</v>
      </c>
      <c r="M629" t="e">
        <f ca="1"/>
        <v>#NAME?</v>
      </c>
      <c r="S629" t="e">
        <f ca="1"/>
        <v>#NAME?</v>
      </c>
      <c r="U629" t="e">
        <f ca="1"/>
        <v>#NAME?</v>
      </c>
      <c r="V629" t="e">
        <f ca="1"/>
        <v>#NAME?</v>
      </c>
      <c r="W629" t="e">
        <f ca="1"/>
        <v>#NAME?</v>
      </c>
      <c r="X629" t="e">
        <f ca="1"/>
        <v>#NAME?</v>
      </c>
    </row>
    <row r="630" spans="12:24" x14ac:dyDescent="0.25">
      <c r="L630" t="e">
        <f ca="1"/>
        <v>#NAME?</v>
      </c>
      <c r="M630" t="e">
        <f ca="1"/>
        <v>#NAME?</v>
      </c>
      <c r="S630" t="e">
        <f ca="1"/>
        <v>#NAME?</v>
      </c>
      <c r="U630" t="e">
        <f ca="1"/>
        <v>#NAME?</v>
      </c>
      <c r="V630" t="e">
        <f ca="1"/>
        <v>#NAME?</v>
      </c>
      <c r="W630" t="e">
        <f ca="1"/>
        <v>#NAME?</v>
      </c>
      <c r="X630" t="e">
        <f ca="1"/>
        <v>#NAME?</v>
      </c>
    </row>
    <row r="631" spans="12:24" x14ac:dyDescent="0.25">
      <c r="L631" t="e">
        <f ca="1"/>
        <v>#NAME?</v>
      </c>
      <c r="M631" t="e">
        <f ca="1"/>
        <v>#NAME?</v>
      </c>
      <c r="S631" t="e">
        <f ca="1"/>
        <v>#NAME?</v>
      </c>
      <c r="U631" t="e">
        <f ca="1"/>
        <v>#NAME?</v>
      </c>
      <c r="V631" t="e">
        <f ca="1"/>
        <v>#NAME?</v>
      </c>
      <c r="W631" t="e">
        <f ca="1"/>
        <v>#NAME?</v>
      </c>
      <c r="X631" t="e">
        <f ca="1"/>
        <v>#NAME?</v>
      </c>
    </row>
    <row r="632" spans="12:24" x14ac:dyDescent="0.25">
      <c r="L632" t="e">
        <f ca="1"/>
        <v>#NAME?</v>
      </c>
      <c r="M632" t="e">
        <f ca="1"/>
        <v>#NAME?</v>
      </c>
      <c r="S632" t="e">
        <f ca="1"/>
        <v>#NAME?</v>
      </c>
      <c r="U632" t="e">
        <f ca="1"/>
        <v>#NAME?</v>
      </c>
      <c r="V632" t="e">
        <f ca="1"/>
        <v>#NAME?</v>
      </c>
      <c r="W632" t="e">
        <f ca="1"/>
        <v>#NAME?</v>
      </c>
      <c r="X632" t="e">
        <f ca="1"/>
        <v>#NAME?</v>
      </c>
    </row>
    <row r="633" spans="12:24" x14ac:dyDescent="0.25">
      <c r="L633" t="e">
        <f ca="1"/>
        <v>#NAME?</v>
      </c>
      <c r="M633" t="e">
        <f ca="1"/>
        <v>#NAME?</v>
      </c>
      <c r="S633" t="e">
        <f ca="1"/>
        <v>#NAME?</v>
      </c>
      <c r="U633" t="e">
        <f ca="1"/>
        <v>#NAME?</v>
      </c>
      <c r="V633" t="e">
        <f ca="1"/>
        <v>#NAME?</v>
      </c>
      <c r="W633" t="e">
        <f ca="1"/>
        <v>#NAME?</v>
      </c>
      <c r="X633" t="e">
        <f ca="1"/>
        <v>#NAME?</v>
      </c>
    </row>
    <row r="634" spans="12:24" x14ac:dyDescent="0.25">
      <c r="L634" t="e">
        <f ca="1"/>
        <v>#NAME?</v>
      </c>
      <c r="M634" t="e">
        <f ca="1"/>
        <v>#NAME?</v>
      </c>
      <c r="S634" t="e">
        <f ca="1"/>
        <v>#NAME?</v>
      </c>
      <c r="U634" t="e">
        <f ca="1"/>
        <v>#NAME?</v>
      </c>
      <c r="V634" t="e">
        <f ca="1"/>
        <v>#NAME?</v>
      </c>
      <c r="W634" t="e">
        <f ca="1"/>
        <v>#NAME?</v>
      </c>
      <c r="X634" t="e">
        <f ca="1"/>
        <v>#NAME?</v>
      </c>
    </row>
    <row r="635" spans="12:24" x14ac:dyDescent="0.25">
      <c r="L635" t="e">
        <f ca="1"/>
        <v>#NAME?</v>
      </c>
      <c r="M635" t="e">
        <f ca="1"/>
        <v>#NAME?</v>
      </c>
      <c r="S635" t="e">
        <f ca="1"/>
        <v>#NAME?</v>
      </c>
      <c r="U635" t="e">
        <f ca="1"/>
        <v>#NAME?</v>
      </c>
      <c r="V635" t="e">
        <f ca="1"/>
        <v>#NAME?</v>
      </c>
      <c r="W635" t="e">
        <f ca="1"/>
        <v>#NAME?</v>
      </c>
      <c r="X635" t="e">
        <f ca="1"/>
        <v>#NAME?</v>
      </c>
    </row>
    <row r="636" spans="12:24" x14ac:dyDescent="0.25">
      <c r="L636" t="e">
        <f ca="1"/>
        <v>#NAME?</v>
      </c>
      <c r="M636" t="e">
        <f ca="1"/>
        <v>#NAME?</v>
      </c>
      <c r="S636" t="e">
        <f ca="1"/>
        <v>#NAME?</v>
      </c>
      <c r="U636" t="e">
        <f ca="1"/>
        <v>#NAME?</v>
      </c>
      <c r="V636" t="e">
        <f ca="1"/>
        <v>#NAME?</v>
      </c>
      <c r="W636" t="e">
        <f ca="1"/>
        <v>#NAME?</v>
      </c>
      <c r="X636" t="e">
        <f ca="1"/>
        <v>#NAME?</v>
      </c>
    </row>
    <row r="637" spans="12:24" x14ac:dyDescent="0.25">
      <c r="L637" t="e">
        <f ca="1"/>
        <v>#NAME?</v>
      </c>
      <c r="M637" t="e">
        <f ca="1"/>
        <v>#NAME?</v>
      </c>
      <c r="S637" t="e">
        <f ca="1"/>
        <v>#NAME?</v>
      </c>
      <c r="U637" t="e">
        <f ca="1"/>
        <v>#NAME?</v>
      </c>
      <c r="V637" t="e">
        <f ca="1"/>
        <v>#NAME?</v>
      </c>
      <c r="W637" t="e">
        <f ca="1"/>
        <v>#NAME?</v>
      </c>
      <c r="X637" t="e">
        <f ca="1"/>
        <v>#NAME?</v>
      </c>
    </row>
    <row r="638" spans="12:24" x14ac:dyDescent="0.25">
      <c r="L638" t="e">
        <f ca="1"/>
        <v>#NAME?</v>
      </c>
      <c r="M638" t="e">
        <f ca="1"/>
        <v>#NAME?</v>
      </c>
      <c r="S638" t="e">
        <f ca="1"/>
        <v>#NAME?</v>
      </c>
      <c r="U638" t="e">
        <f ca="1"/>
        <v>#NAME?</v>
      </c>
      <c r="V638" t="e">
        <f ca="1"/>
        <v>#NAME?</v>
      </c>
      <c r="W638" t="e">
        <f ca="1"/>
        <v>#NAME?</v>
      </c>
      <c r="X638" t="e">
        <f ca="1"/>
        <v>#NAME?</v>
      </c>
    </row>
    <row r="639" spans="12:24" x14ac:dyDescent="0.25">
      <c r="L639" t="e">
        <f ca="1"/>
        <v>#NAME?</v>
      </c>
      <c r="M639" t="e">
        <f ca="1"/>
        <v>#NAME?</v>
      </c>
      <c r="S639" t="e">
        <f ca="1"/>
        <v>#NAME?</v>
      </c>
      <c r="U639" t="e">
        <f ca="1"/>
        <v>#NAME?</v>
      </c>
      <c r="V639" t="e">
        <f ca="1"/>
        <v>#NAME?</v>
      </c>
      <c r="W639" t="e">
        <f ca="1"/>
        <v>#NAME?</v>
      </c>
      <c r="X639" t="e">
        <f ca="1"/>
        <v>#NAME?</v>
      </c>
    </row>
    <row r="640" spans="12:24" x14ac:dyDescent="0.25">
      <c r="L640" t="e">
        <f ca="1"/>
        <v>#NAME?</v>
      </c>
      <c r="M640" t="e">
        <f ca="1"/>
        <v>#NAME?</v>
      </c>
      <c r="S640" t="e">
        <f ca="1"/>
        <v>#NAME?</v>
      </c>
      <c r="U640" t="e">
        <f ca="1"/>
        <v>#NAME?</v>
      </c>
      <c r="V640" t="e">
        <f ca="1"/>
        <v>#NAME?</v>
      </c>
      <c r="W640" t="e">
        <f ca="1"/>
        <v>#NAME?</v>
      </c>
      <c r="X640" t="e">
        <f ca="1"/>
        <v>#NAME?</v>
      </c>
    </row>
    <row r="641" spans="12:24" x14ac:dyDescent="0.25">
      <c r="L641" t="e">
        <f ca="1"/>
        <v>#NAME?</v>
      </c>
      <c r="M641" t="e">
        <f ca="1"/>
        <v>#NAME?</v>
      </c>
      <c r="S641" t="e">
        <f ca="1"/>
        <v>#NAME?</v>
      </c>
      <c r="U641" t="e">
        <f ca="1"/>
        <v>#NAME?</v>
      </c>
      <c r="V641" t="e">
        <f ca="1"/>
        <v>#NAME?</v>
      </c>
      <c r="W641" t="e">
        <f ca="1"/>
        <v>#NAME?</v>
      </c>
      <c r="X641" t="e">
        <f ca="1"/>
        <v>#NAME?</v>
      </c>
    </row>
    <row r="642" spans="12:24" x14ac:dyDescent="0.25">
      <c r="L642" t="e">
        <f ca="1"/>
        <v>#NAME?</v>
      </c>
      <c r="M642" t="e">
        <f ca="1"/>
        <v>#NAME?</v>
      </c>
      <c r="S642" t="e">
        <f ca="1"/>
        <v>#NAME?</v>
      </c>
      <c r="U642" t="e">
        <f ca="1"/>
        <v>#NAME?</v>
      </c>
      <c r="V642" t="e">
        <f ca="1"/>
        <v>#NAME?</v>
      </c>
      <c r="W642" t="e">
        <f ca="1"/>
        <v>#NAME?</v>
      </c>
      <c r="X642" t="e">
        <f ca="1"/>
        <v>#NAME?</v>
      </c>
    </row>
    <row r="643" spans="12:24" x14ac:dyDescent="0.25">
      <c r="L643" t="e">
        <f ca="1"/>
        <v>#NAME?</v>
      </c>
      <c r="M643" t="e">
        <f ca="1"/>
        <v>#NAME?</v>
      </c>
      <c r="S643" t="e">
        <f ca="1"/>
        <v>#NAME?</v>
      </c>
      <c r="U643" t="e">
        <f ca="1"/>
        <v>#NAME?</v>
      </c>
      <c r="V643" t="e">
        <f ca="1"/>
        <v>#NAME?</v>
      </c>
      <c r="W643" t="e">
        <f ca="1"/>
        <v>#NAME?</v>
      </c>
      <c r="X643" t="e">
        <f ca="1"/>
        <v>#NAME?</v>
      </c>
    </row>
    <row r="644" spans="12:24" x14ac:dyDescent="0.25">
      <c r="L644" t="e">
        <f ca="1"/>
        <v>#NAME?</v>
      </c>
      <c r="M644" t="e">
        <f ca="1"/>
        <v>#NAME?</v>
      </c>
      <c r="S644" t="e">
        <f ca="1"/>
        <v>#NAME?</v>
      </c>
      <c r="U644" t="e">
        <f ca="1"/>
        <v>#NAME?</v>
      </c>
      <c r="V644" t="e">
        <f ca="1"/>
        <v>#NAME?</v>
      </c>
      <c r="W644" t="e">
        <f ca="1"/>
        <v>#NAME?</v>
      </c>
      <c r="X644" t="e">
        <f ca="1"/>
        <v>#NAME?</v>
      </c>
    </row>
    <row r="645" spans="12:24" x14ac:dyDescent="0.25">
      <c r="L645" t="e">
        <f ca="1"/>
        <v>#NAME?</v>
      </c>
      <c r="M645" t="e">
        <f ca="1"/>
        <v>#NAME?</v>
      </c>
      <c r="S645" t="e">
        <f ca="1"/>
        <v>#NAME?</v>
      </c>
      <c r="U645" t="e">
        <f ca="1"/>
        <v>#NAME?</v>
      </c>
      <c r="V645" t="e">
        <f ca="1"/>
        <v>#NAME?</v>
      </c>
      <c r="W645" t="e">
        <f ca="1"/>
        <v>#NAME?</v>
      </c>
      <c r="X645" t="e">
        <f ca="1"/>
        <v>#NAME?</v>
      </c>
    </row>
    <row r="646" spans="12:24" x14ac:dyDescent="0.25">
      <c r="L646" t="e">
        <f ca="1"/>
        <v>#NAME?</v>
      </c>
      <c r="M646" t="e">
        <f ca="1"/>
        <v>#NAME?</v>
      </c>
      <c r="S646" t="e">
        <f ca="1"/>
        <v>#NAME?</v>
      </c>
      <c r="U646" t="e">
        <f ca="1"/>
        <v>#NAME?</v>
      </c>
      <c r="V646" t="e">
        <f ca="1"/>
        <v>#NAME?</v>
      </c>
      <c r="W646" t="e">
        <f ca="1"/>
        <v>#NAME?</v>
      </c>
      <c r="X646" t="e">
        <f ca="1"/>
        <v>#NAME?</v>
      </c>
    </row>
    <row r="647" spans="12:24" x14ac:dyDescent="0.25">
      <c r="L647" t="e">
        <f ca="1"/>
        <v>#NAME?</v>
      </c>
      <c r="M647" t="e">
        <f ca="1"/>
        <v>#NAME?</v>
      </c>
      <c r="S647" t="e">
        <f ca="1"/>
        <v>#NAME?</v>
      </c>
      <c r="U647" t="e">
        <f ca="1"/>
        <v>#NAME?</v>
      </c>
      <c r="V647" t="e">
        <f ca="1"/>
        <v>#NAME?</v>
      </c>
      <c r="W647" t="e">
        <f ca="1"/>
        <v>#NAME?</v>
      </c>
      <c r="X647" t="e">
        <f ca="1"/>
        <v>#NAME?</v>
      </c>
    </row>
    <row r="648" spans="12:24" x14ac:dyDescent="0.25">
      <c r="L648" t="e">
        <f ca="1"/>
        <v>#NAME?</v>
      </c>
      <c r="M648" t="e">
        <f ca="1"/>
        <v>#NAME?</v>
      </c>
      <c r="S648" t="e">
        <f ca="1"/>
        <v>#NAME?</v>
      </c>
      <c r="U648" t="e">
        <f ca="1"/>
        <v>#NAME?</v>
      </c>
      <c r="V648" t="e">
        <f ca="1"/>
        <v>#NAME?</v>
      </c>
      <c r="W648" t="e">
        <f ca="1"/>
        <v>#NAME?</v>
      </c>
      <c r="X648" t="e">
        <f ca="1"/>
        <v>#NAME?</v>
      </c>
    </row>
    <row r="649" spans="12:24" x14ac:dyDescent="0.25">
      <c r="L649" t="e">
        <f ca="1"/>
        <v>#NAME?</v>
      </c>
      <c r="M649" t="e">
        <f ca="1"/>
        <v>#NAME?</v>
      </c>
      <c r="S649" t="e">
        <f ca="1"/>
        <v>#NAME?</v>
      </c>
      <c r="U649" t="e">
        <f ca="1"/>
        <v>#NAME?</v>
      </c>
      <c r="V649" t="e">
        <f ca="1"/>
        <v>#NAME?</v>
      </c>
      <c r="W649" t="e">
        <f ca="1"/>
        <v>#NAME?</v>
      </c>
      <c r="X649" t="e">
        <f ca="1"/>
        <v>#NAME?</v>
      </c>
    </row>
    <row r="650" spans="12:24" x14ac:dyDescent="0.25">
      <c r="L650" t="e">
        <f ca="1"/>
        <v>#NAME?</v>
      </c>
      <c r="M650" t="e">
        <f ca="1"/>
        <v>#NAME?</v>
      </c>
      <c r="S650" t="e">
        <f ca="1"/>
        <v>#NAME?</v>
      </c>
      <c r="U650" t="e">
        <f ca="1"/>
        <v>#NAME?</v>
      </c>
      <c r="V650" t="e">
        <f ca="1"/>
        <v>#NAME?</v>
      </c>
      <c r="W650" t="e">
        <f ca="1"/>
        <v>#NAME?</v>
      </c>
      <c r="X650" t="e">
        <f ca="1"/>
        <v>#NAME?</v>
      </c>
    </row>
    <row r="651" spans="12:24" x14ac:dyDescent="0.25">
      <c r="L651" t="e">
        <f ca="1"/>
        <v>#NAME?</v>
      </c>
      <c r="M651" t="e">
        <f ca="1"/>
        <v>#NAME?</v>
      </c>
      <c r="S651" t="e">
        <f ca="1"/>
        <v>#NAME?</v>
      </c>
      <c r="U651" t="e">
        <f ca="1"/>
        <v>#NAME?</v>
      </c>
      <c r="V651" t="e">
        <f ca="1"/>
        <v>#NAME?</v>
      </c>
      <c r="W651" t="e">
        <f ca="1"/>
        <v>#NAME?</v>
      </c>
      <c r="X651" t="e">
        <f ca="1"/>
        <v>#NAME?</v>
      </c>
    </row>
    <row r="652" spans="12:24" x14ac:dyDescent="0.25">
      <c r="L652" t="e">
        <f ca="1"/>
        <v>#NAME?</v>
      </c>
      <c r="M652" t="e">
        <f ca="1"/>
        <v>#NAME?</v>
      </c>
      <c r="S652" t="e">
        <f ca="1"/>
        <v>#NAME?</v>
      </c>
      <c r="U652" t="e">
        <f ca="1"/>
        <v>#NAME?</v>
      </c>
      <c r="V652" t="e">
        <f ca="1"/>
        <v>#NAME?</v>
      </c>
      <c r="W652" t="e">
        <f ca="1"/>
        <v>#NAME?</v>
      </c>
      <c r="X652" t="e">
        <f ca="1"/>
        <v>#NAME?</v>
      </c>
    </row>
    <row r="653" spans="12:24" x14ac:dyDescent="0.25">
      <c r="L653" t="e">
        <f ca="1"/>
        <v>#NAME?</v>
      </c>
      <c r="M653" t="e">
        <f ca="1"/>
        <v>#NAME?</v>
      </c>
      <c r="S653" t="e">
        <f ca="1"/>
        <v>#NAME?</v>
      </c>
      <c r="U653" t="e">
        <f ca="1"/>
        <v>#NAME?</v>
      </c>
      <c r="V653" t="e">
        <f ca="1"/>
        <v>#NAME?</v>
      </c>
      <c r="W653" t="e">
        <f ca="1"/>
        <v>#NAME?</v>
      </c>
      <c r="X653" t="e">
        <f ca="1"/>
        <v>#NAME?</v>
      </c>
    </row>
    <row r="654" spans="12:24" x14ac:dyDescent="0.25">
      <c r="L654" t="e">
        <f ca="1"/>
        <v>#NAME?</v>
      </c>
      <c r="M654" t="e">
        <f ca="1"/>
        <v>#NAME?</v>
      </c>
      <c r="S654" t="e">
        <f ca="1"/>
        <v>#NAME?</v>
      </c>
      <c r="U654" t="e">
        <f ca="1"/>
        <v>#NAME?</v>
      </c>
      <c r="V654" t="e">
        <f ca="1"/>
        <v>#NAME?</v>
      </c>
      <c r="W654" t="e">
        <f ca="1"/>
        <v>#NAME?</v>
      </c>
      <c r="X654" t="e">
        <f ca="1"/>
        <v>#NAME?</v>
      </c>
    </row>
    <row r="655" spans="12:24" x14ac:dyDescent="0.25">
      <c r="L655" t="e">
        <f ca="1"/>
        <v>#NAME?</v>
      </c>
      <c r="M655" t="e">
        <f ca="1"/>
        <v>#NAME?</v>
      </c>
      <c r="S655" t="e">
        <f ca="1"/>
        <v>#NAME?</v>
      </c>
      <c r="U655" t="e">
        <f ca="1"/>
        <v>#NAME?</v>
      </c>
      <c r="V655" t="e">
        <f ca="1"/>
        <v>#NAME?</v>
      </c>
      <c r="W655" t="e">
        <f ca="1"/>
        <v>#NAME?</v>
      </c>
      <c r="X655" t="e">
        <f ca="1"/>
        <v>#NAME?</v>
      </c>
    </row>
    <row r="656" spans="12:24" x14ac:dyDescent="0.25">
      <c r="L656" t="e">
        <f ca="1"/>
        <v>#NAME?</v>
      </c>
      <c r="M656" t="e">
        <f ca="1"/>
        <v>#NAME?</v>
      </c>
      <c r="S656" t="e">
        <f ca="1"/>
        <v>#NAME?</v>
      </c>
      <c r="U656" t="e">
        <f ca="1"/>
        <v>#NAME?</v>
      </c>
      <c r="V656" t="e">
        <f ca="1"/>
        <v>#NAME?</v>
      </c>
      <c r="W656" t="e">
        <f ca="1"/>
        <v>#NAME?</v>
      </c>
      <c r="X656" t="e">
        <f ca="1"/>
        <v>#NAME?</v>
      </c>
    </row>
    <row r="657" spans="12:24" x14ac:dyDescent="0.25">
      <c r="L657" t="e">
        <f ca="1"/>
        <v>#NAME?</v>
      </c>
      <c r="M657" t="e">
        <f ca="1"/>
        <v>#NAME?</v>
      </c>
      <c r="S657" t="e">
        <f ca="1"/>
        <v>#NAME?</v>
      </c>
      <c r="U657" t="e">
        <f ca="1"/>
        <v>#NAME?</v>
      </c>
      <c r="V657" t="e">
        <f ca="1"/>
        <v>#NAME?</v>
      </c>
      <c r="W657" t="e">
        <f ca="1"/>
        <v>#NAME?</v>
      </c>
      <c r="X657" t="e">
        <f ca="1"/>
        <v>#NAME?</v>
      </c>
    </row>
    <row r="658" spans="12:24" x14ac:dyDescent="0.25">
      <c r="L658" t="e">
        <f ca="1"/>
        <v>#NAME?</v>
      </c>
      <c r="M658" t="e">
        <f ca="1"/>
        <v>#NAME?</v>
      </c>
      <c r="S658" t="e">
        <f ca="1"/>
        <v>#NAME?</v>
      </c>
      <c r="U658" t="e">
        <f ca="1"/>
        <v>#NAME?</v>
      </c>
      <c r="V658" t="e">
        <f ca="1"/>
        <v>#NAME?</v>
      </c>
      <c r="W658" t="e">
        <f ca="1"/>
        <v>#NAME?</v>
      </c>
      <c r="X658" t="e">
        <f ca="1"/>
        <v>#NAME?</v>
      </c>
    </row>
    <row r="659" spans="12:24" x14ac:dyDescent="0.25">
      <c r="L659" t="e">
        <f ca="1"/>
        <v>#NAME?</v>
      </c>
      <c r="M659" t="e">
        <f ca="1"/>
        <v>#NAME?</v>
      </c>
      <c r="S659" t="e">
        <f ca="1"/>
        <v>#NAME?</v>
      </c>
      <c r="U659" t="e">
        <f ca="1"/>
        <v>#NAME?</v>
      </c>
      <c r="V659" t="e">
        <f ca="1"/>
        <v>#NAME?</v>
      </c>
      <c r="W659" t="e">
        <f ca="1"/>
        <v>#NAME?</v>
      </c>
      <c r="X659" t="e">
        <f ca="1"/>
        <v>#NAME?</v>
      </c>
    </row>
    <row r="660" spans="12:24" x14ac:dyDescent="0.25">
      <c r="L660" t="e">
        <f ca="1"/>
        <v>#NAME?</v>
      </c>
      <c r="M660" t="e">
        <f ca="1"/>
        <v>#NAME?</v>
      </c>
      <c r="S660" t="e">
        <f ca="1"/>
        <v>#NAME?</v>
      </c>
      <c r="U660" t="e">
        <f ca="1"/>
        <v>#NAME?</v>
      </c>
      <c r="V660" t="e">
        <f ca="1"/>
        <v>#NAME?</v>
      </c>
      <c r="W660" t="e">
        <f ca="1"/>
        <v>#NAME?</v>
      </c>
      <c r="X660" t="e">
        <f ca="1"/>
        <v>#NAME?</v>
      </c>
    </row>
    <row r="661" spans="12:24" x14ac:dyDescent="0.25">
      <c r="L661" t="e">
        <f ca="1"/>
        <v>#NAME?</v>
      </c>
      <c r="M661" t="e">
        <f ca="1"/>
        <v>#NAME?</v>
      </c>
      <c r="S661" t="e">
        <f ca="1"/>
        <v>#NAME?</v>
      </c>
      <c r="U661" t="e">
        <f ca="1"/>
        <v>#NAME?</v>
      </c>
      <c r="V661" t="e">
        <f ca="1"/>
        <v>#NAME?</v>
      </c>
      <c r="W661" t="e">
        <f ca="1"/>
        <v>#NAME?</v>
      </c>
      <c r="X661" t="e">
        <f ca="1"/>
        <v>#NAME?</v>
      </c>
    </row>
    <row r="662" spans="12:24" x14ac:dyDescent="0.25">
      <c r="L662" t="e">
        <f ca="1"/>
        <v>#NAME?</v>
      </c>
      <c r="M662" t="e">
        <f ca="1"/>
        <v>#NAME?</v>
      </c>
      <c r="S662" t="e">
        <f ca="1"/>
        <v>#NAME?</v>
      </c>
      <c r="U662" t="e">
        <f ca="1"/>
        <v>#NAME?</v>
      </c>
      <c r="V662" t="e">
        <f ca="1"/>
        <v>#NAME?</v>
      </c>
      <c r="W662" t="e">
        <f ca="1"/>
        <v>#NAME?</v>
      </c>
      <c r="X662" t="e">
        <f ca="1"/>
        <v>#NAME?</v>
      </c>
    </row>
    <row r="663" spans="12:24" x14ac:dyDescent="0.25">
      <c r="L663" t="e">
        <f ca="1"/>
        <v>#NAME?</v>
      </c>
      <c r="M663" t="e">
        <f ca="1"/>
        <v>#NAME?</v>
      </c>
      <c r="S663" t="e">
        <f ca="1"/>
        <v>#NAME?</v>
      </c>
      <c r="U663" t="e">
        <f ca="1"/>
        <v>#NAME?</v>
      </c>
      <c r="V663" t="e">
        <f ca="1"/>
        <v>#NAME?</v>
      </c>
      <c r="W663" t="e">
        <f ca="1"/>
        <v>#NAME?</v>
      </c>
      <c r="X663" t="e">
        <f ca="1"/>
        <v>#NAME?</v>
      </c>
    </row>
    <row r="664" spans="12:24" x14ac:dyDescent="0.25">
      <c r="L664" t="e">
        <f ca="1"/>
        <v>#NAME?</v>
      </c>
      <c r="M664" t="e">
        <f ca="1"/>
        <v>#NAME?</v>
      </c>
      <c r="S664" t="e">
        <f ca="1"/>
        <v>#NAME?</v>
      </c>
      <c r="U664" t="e">
        <f ca="1"/>
        <v>#NAME?</v>
      </c>
      <c r="V664" t="e">
        <f ca="1"/>
        <v>#NAME?</v>
      </c>
      <c r="W664" t="e">
        <f ca="1"/>
        <v>#NAME?</v>
      </c>
      <c r="X664" t="e">
        <f ca="1"/>
        <v>#NAME?</v>
      </c>
    </row>
    <row r="665" spans="12:24" x14ac:dyDescent="0.25">
      <c r="L665" t="e">
        <f ca="1"/>
        <v>#NAME?</v>
      </c>
      <c r="M665" t="e">
        <f ca="1"/>
        <v>#NAME?</v>
      </c>
      <c r="S665" t="e">
        <f ca="1"/>
        <v>#NAME?</v>
      </c>
      <c r="U665" t="e">
        <f ca="1"/>
        <v>#NAME?</v>
      </c>
      <c r="V665" t="e">
        <f ca="1"/>
        <v>#NAME?</v>
      </c>
      <c r="W665" t="e">
        <f ca="1"/>
        <v>#NAME?</v>
      </c>
      <c r="X665" t="e">
        <f ca="1"/>
        <v>#NAME?</v>
      </c>
    </row>
    <row r="666" spans="12:24" x14ac:dyDescent="0.25">
      <c r="L666" t="e">
        <f ca="1"/>
        <v>#NAME?</v>
      </c>
      <c r="M666" t="e">
        <f ca="1"/>
        <v>#NAME?</v>
      </c>
      <c r="S666" t="e">
        <f ca="1"/>
        <v>#NAME?</v>
      </c>
      <c r="U666" t="e">
        <f ca="1"/>
        <v>#NAME?</v>
      </c>
      <c r="V666" t="e">
        <f ca="1"/>
        <v>#NAME?</v>
      </c>
      <c r="W666" t="e">
        <f ca="1"/>
        <v>#NAME?</v>
      </c>
      <c r="X666" t="e">
        <f ca="1"/>
        <v>#NAME?</v>
      </c>
    </row>
    <row r="667" spans="12:24" x14ac:dyDescent="0.25">
      <c r="L667" t="e">
        <f ca="1"/>
        <v>#NAME?</v>
      </c>
      <c r="M667" t="e">
        <f ca="1"/>
        <v>#NAME?</v>
      </c>
      <c r="S667" t="e">
        <f ca="1"/>
        <v>#NAME?</v>
      </c>
      <c r="U667" t="e">
        <f ca="1"/>
        <v>#NAME?</v>
      </c>
      <c r="V667" t="e">
        <f ca="1"/>
        <v>#NAME?</v>
      </c>
      <c r="W667" t="e">
        <f ca="1"/>
        <v>#NAME?</v>
      </c>
      <c r="X667" t="e">
        <f ca="1"/>
        <v>#NAME?</v>
      </c>
    </row>
    <row r="668" spans="12:24" x14ac:dyDescent="0.25">
      <c r="L668" t="e">
        <f ca="1"/>
        <v>#NAME?</v>
      </c>
      <c r="M668" t="e">
        <f ca="1"/>
        <v>#NAME?</v>
      </c>
      <c r="S668" t="e">
        <f ca="1"/>
        <v>#NAME?</v>
      </c>
      <c r="U668" t="e">
        <f ca="1"/>
        <v>#NAME?</v>
      </c>
      <c r="V668" t="e">
        <f ca="1"/>
        <v>#NAME?</v>
      </c>
      <c r="W668" t="e">
        <f ca="1"/>
        <v>#NAME?</v>
      </c>
      <c r="X668" t="e">
        <f ca="1"/>
        <v>#NAME?</v>
      </c>
    </row>
    <row r="669" spans="12:24" x14ac:dyDescent="0.25">
      <c r="L669" t="e">
        <f ca="1"/>
        <v>#NAME?</v>
      </c>
      <c r="M669" t="e">
        <f ca="1"/>
        <v>#NAME?</v>
      </c>
      <c r="S669" t="e">
        <f ca="1"/>
        <v>#NAME?</v>
      </c>
      <c r="U669" t="e">
        <f ca="1"/>
        <v>#NAME?</v>
      </c>
      <c r="V669" t="e">
        <f ca="1"/>
        <v>#NAME?</v>
      </c>
      <c r="W669" t="e">
        <f ca="1"/>
        <v>#NAME?</v>
      </c>
      <c r="X669" t="e">
        <f ca="1"/>
        <v>#NAME?</v>
      </c>
    </row>
    <row r="670" spans="12:24" x14ac:dyDescent="0.25">
      <c r="L670" t="e">
        <f ca="1"/>
        <v>#NAME?</v>
      </c>
      <c r="M670" t="e">
        <f ca="1"/>
        <v>#NAME?</v>
      </c>
      <c r="S670" t="e">
        <f ca="1"/>
        <v>#NAME?</v>
      </c>
      <c r="U670" t="e">
        <f ca="1"/>
        <v>#NAME?</v>
      </c>
      <c r="V670" t="e">
        <f ca="1"/>
        <v>#NAME?</v>
      </c>
      <c r="W670" t="e">
        <f ca="1"/>
        <v>#NAME?</v>
      </c>
      <c r="X670" t="e">
        <f ca="1"/>
        <v>#NAME?</v>
      </c>
    </row>
    <row r="671" spans="12:24" x14ac:dyDescent="0.25">
      <c r="L671" t="e">
        <f ca="1"/>
        <v>#NAME?</v>
      </c>
      <c r="M671" t="e">
        <f ca="1"/>
        <v>#NAME?</v>
      </c>
      <c r="S671" t="e">
        <f ca="1"/>
        <v>#NAME?</v>
      </c>
      <c r="U671" t="e">
        <f ca="1"/>
        <v>#NAME?</v>
      </c>
      <c r="V671" t="e">
        <f ca="1"/>
        <v>#NAME?</v>
      </c>
      <c r="W671" t="e">
        <f ca="1"/>
        <v>#NAME?</v>
      </c>
      <c r="X671" t="e">
        <f ca="1"/>
        <v>#NAME?</v>
      </c>
    </row>
    <row r="672" spans="12:24" x14ac:dyDescent="0.25">
      <c r="L672" t="e">
        <f ca="1"/>
        <v>#NAME?</v>
      </c>
      <c r="M672" t="e">
        <f ca="1"/>
        <v>#NAME?</v>
      </c>
      <c r="S672" t="e">
        <f ca="1"/>
        <v>#NAME?</v>
      </c>
      <c r="U672" t="e">
        <f ca="1"/>
        <v>#NAME?</v>
      </c>
      <c r="V672" t="e">
        <f ca="1"/>
        <v>#NAME?</v>
      </c>
      <c r="W672" t="e">
        <f ca="1"/>
        <v>#NAME?</v>
      </c>
      <c r="X672" t="e">
        <f ca="1"/>
        <v>#NAME?</v>
      </c>
    </row>
    <row r="673" spans="12:24" x14ac:dyDescent="0.25">
      <c r="L673" t="e">
        <f ca="1"/>
        <v>#NAME?</v>
      </c>
      <c r="M673" t="e">
        <f ca="1"/>
        <v>#NAME?</v>
      </c>
      <c r="S673" t="e">
        <f ca="1"/>
        <v>#NAME?</v>
      </c>
      <c r="U673" t="e">
        <f ca="1"/>
        <v>#NAME?</v>
      </c>
      <c r="V673" t="e">
        <f ca="1"/>
        <v>#NAME?</v>
      </c>
      <c r="W673" t="e">
        <f ca="1"/>
        <v>#NAME?</v>
      </c>
      <c r="X673" t="e">
        <f ca="1"/>
        <v>#NAME?</v>
      </c>
    </row>
    <row r="674" spans="12:24" x14ac:dyDescent="0.25">
      <c r="L674" t="e">
        <f ca="1"/>
        <v>#NAME?</v>
      </c>
      <c r="M674" t="e">
        <f ca="1"/>
        <v>#NAME?</v>
      </c>
      <c r="S674" t="e">
        <f ca="1"/>
        <v>#NAME?</v>
      </c>
      <c r="U674" t="e">
        <f ca="1"/>
        <v>#NAME?</v>
      </c>
      <c r="V674" t="e">
        <f ca="1"/>
        <v>#NAME?</v>
      </c>
      <c r="W674" t="e">
        <f ca="1"/>
        <v>#NAME?</v>
      </c>
      <c r="X674" t="e">
        <f ca="1"/>
        <v>#NAME?</v>
      </c>
    </row>
    <row r="675" spans="12:24" x14ac:dyDescent="0.25">
      <c r="L675" t="e">
        <f ca="1"/>
        <v>#NAME?</v>
      </c>
      <c r="M675" t="e">
        <f ca="1"/>
        <v>#NAME?</v>
      </c>
      <c r="S675" t="e">
        <f ca="1"/>
        <v>#NAME?</v>
      </c>
      <c r="U675" t="e">
        <f ca="1"/>
        <v>#NAME?</v>
      </c>
      <c r="V675" t="e">
        <f ca="1"/>
        <v>#NAME?</v>
      </c>
      <c r="W675" t="e">
        <f ca="1"/>
        <v>#NAME?</v>
      </c>
      <c r="X675" t="e">
        <f ca="1"/>
        <v>#NAME?</v>
      </c>
    </row>
    <row r="676" spans="12:24" x14ac:dyDescent="0.25">
      <c r="L676" t="e">
        <f ca="1"/>
        <v>#NAME?</v>
      </c>
      <c r="M676" t="e">
        <f ca="1"/>
        <v>#NAME?</v>
      </c>
      <c r="S676" t="e">
        <f ca="1"/>
        <v>#NAME?</v>
      </c>
      <c r="U676" t="e">
        <f ca="1"/>
        <v>#NAME?</v>
      </c>
      <c r="V676" t="e">
        <f ca="1"/>
        <v>#NAME?</v>
      </c>
      <c r="W676" t="e">
        <f ca="1"/>
        <v>#NAME?</v>
      </c>
      <c r="X676" t="e">
        <f ca="1"/>
        <v>#NAME?</v>
      </c>
    </row>
    <row r="677" spans="12:24" x14ac:dyDescent="0.25">
      <c r="L677" t="e">
        <f ca="1"/>
        <v>#NAME?</v>
      </c>
      <c r="M677" t="e">
        <f ca="1"/>
        <v>#NAME?</v>
      </c>
      <c r="S677" t="e">
        <f ca="1"/>
        <v>#NAME?</v>
      </c>
      <c r="U677" t="e">
        <f ca="1"/>
        <v>#NAME?</v>
      </c>
      <c r="V677" t="e">
        <f ca="1"/>
        <v>#NAME?</v>
      </c>
      <c r="W677" t="e">
        <f ca="1"/>
        <v>#NAME?</v>
      </c>
      <c r="X677" t="e">
        <f ca="1"/>
        <v>#NAME?</v>
      </c>
    </row>
    <row r="678" spans="12:24" x14ac:dyDescent="0.25">
      <c r="L678" t="e">
        <f ca="1"/>
        <v>#NAME?</v>
      </c>
      <c r="M678" t="e">
        <f ca="1"/>
        <v>#NAME?</v>
      </c>
      <c r="S678" t="e">
        <f ca="1"/>
        <v>#NAME?</v>
      </c>
      <c r="U678" t="e">
        <f ca="1"/>
        <v>#NAME?</v>
      </c>
      <c r="V678" t="e">
        <f ca="1"/>
        <v>#NAME?</v>
      </c>
      <c r="W678" t="e">
        <f ca="1"/>
        <v>#NAME?</v>
      </c>
      <c r="X678" t="e">
        <f ca="1"/>
        <v>#NAME?</v>
      </c>
    </row>
    <row r="679" spans="12:24" x14ac:dyDescent="0.25">
      <c r="L679" t="e">
        <f ca="1"/>
        <v>#NAME?</v>
      </c>
      <c r="M679" t="e">
        <f ca="1"/>
        <v>#NAME?</v>
      </c>
      <c r="S679" t="e">
        <f ca="1"/>
        <v>#NAME?</v>
      </c>
      <c r="U679" t="e">
        <f ca="1"/>
        <v>#NAME?</v>
      </c>
      <c r="V679" t="e">
        <f ca="1"/>
        <v>#NAME?</v>
      </c>
      <c r="W679" t="e">
        <f ca="1"/>
        <v>#NAME?</v>
      </c>
      <c r="X679" t="e">
        <f ca="1"/>
        <v>#NAME?</v>
      </c>
    </row>
    <row r="680" spans="12:24" x14ac:dyDescent="0.25">
      <c r="L680" t="e">
        <f ca="1"/>
        <v>#NAME?</v>
      </c>
      <c r="M680" t="e">
        <f ca="1"/>
        <v>#NAME?</v>
      </c>
      <c r="S680" t="e">
        <f ca="1"/>
        <v>#NAME?</v>
      </c>
      <c r="U680" t="e">
        <f ca="1"/>
        <v>#NAME?</v>
      </c>
      <c r="V680" t="e">
        <f ca="1"/>
        <v>#NAME?</v>
      </c>
      <c r="W680" t="e">
        <f ca="1"/>
        <v>#NAME?</v>
      </c>
      <c r="X680" t="e">
        <f ca="1"/>
        <v>#NAME?</v>
      </c>
    </row>
    <row r="681" spans="12:24" x14ac:dyDescent="0.25">
      <c r="L681" t="e">
        <f ca="1"/>
        <v>#NAME?</v>
      </c>
      <c r="M681" t="e">
        <f ca="1"/>
        <v>#NAME?</v>
      </c>
      <c r="S681" t="e">
        <f ca="1"/>
        <v>#NAME?</v>
      </c>
      <c r="U681" t="e">
        <f ca="1"/>
        <v>#NAME?</v>
      </c>
      <c r="V681" t="e">
        <f ca="1"/>
        <v>#NAME?</v>
      </c>
      <c r="W681" t="e">
        <f ca="1"/>
        <v>#NAME?</v>
      </c>
      <c r="X681" t="e">
        <f ca="1"/>
        <v>#NAME?</v>
      </c>
    </row>
    <row r="682" spans="12:24" x14ac:dyDescent="0.25">
      <c r="L682" t="e">
        <f ca="1"/>
        <v>#NAME?</v>
      </c>
      <c r="M682" t="e">
        <f ca="1"/>
        <v>#NAME?</v>
      </c>
      <c r="S682" t="e">
        <f ca="1"/>
        <v>#NAME?</v>
      </c>
      <c r="U682" t="e">
        <f ca="1"/>
        <v>#NAME?</v>
      </c>
      <c r="V682" t="e">
        <f ca="1"/>
        <v>#NAME?</v>
      </c>
      <c r="W682" t="e">
        <f ca="1"/>
        <v>#NAME?</v>
      </c>
      <c r="X682" t="e">
        <f ca="1"/>
        <v>#NAME?</v>
      </c>
    </row>
    <row r="683" spans="12:24" x14ac:dyDescent="0.25">
      <c r="L683" t="e">
        <f ca="1"/>
        <v>#NAME?</v>
      </c>
      <c r="M683" t="e">
        <f ca="1"/>
        <v>#NAME?</v>
      </c>
      <c r="S683" t="e">
        <f ca="1"/>
        <v>#NAME?</v>
      </c>
      <c r="U683" t="e">
        <f ca="1"/>
        <v>#NAME?</v>
      </c>
      <c r="V683" t="e">
        <f ca="1"/>
        <v>#NAME?</v>
      </c>
      <c r="W683" t="e">
        <f ca="1"/>
        <v>#NAME?</v>
      </c>
      <c r="X683" t="e">
        <f ca="1"/>
        <v>#NAME?</v>
      </c>
    </row>
    <row r="684" spans="12:24" x14ac:dyDescent="0.25">
      <c r="L684" t="e">
        <f ca="1"/>
        <v>#NAME?</v>
      </c>
      <c r="M684" t="e">
        <f ca="1"/>
        <v>#NAME?</v>
      </c>
      <c r="S684" t="e">
        <f ca="1"/>
        <v>#NAME?</v>
      </c>
      <c r="U684" t="e">
        <f ca="1"/>
        <v>#NAME?</v>
      </c>
      <c r="V684" t="e">
        <f ca="1"/>
        <v>#NAME?</v>
      </c>
      <c r="W684" t="e">
        <f ca="1"/>
        <v>#NAME?</v>
      </c>
      <c r="X684" t="e">
        <f ca="1"/>
        <v>#NAME?</v>
      </c>
    </row>
    <row r="685" spans="12:24" x14ac:dyDescent="0.25">
      <c r="L685" t="e">
        <f ca="1"/>
        <v>#NAME?</v>
      </c>
      <c r="M685" t="e">
        <f ca="1"/>
        <v>#NAME?</v>
      </c>
      <c r="S685" t="e">
        <f ca="1"/>
        <v>#NAME?</v>
      </c>
      <c r="U685" t="e">
        <f ca="1"/>
        <v>#NAME?</v>
      </c>
      <c r="V685" t="e">
        <f ca="1"/>
        <v>#NAME?</v>
      </c>
      <c r="W685" t="e">
        <f ca="1"/>
        <v>#NAME?</v>
      </c>
      <c r="X685" t="e">
        <f ca="1"/>
        <v>#NAME?</v>
      </c>
    </row>
    <row r="686" spans="12:24" x14ac:dyDescent="0.25">
      <c r="L686" t="e">
        <f ca="1"/>
        <v>#NAME?</v>
      </c>
      <c r="M686" t="e">
        <f ca="1"/>
        <v>#NAME?</v>
      </c>
      <c r="S686" t="e">
        <f ca="1"/>
        <v>#NAME?</v>
      </c>
      <c r="U686" t="e">
        <f ca="1"/>
        <v>#NAME?</v>
      </c>
      <c r="V686" t="e">
        <f ca="1"/>
        <v>#NAME?</v>
      </c>
      <c r="W686" t="e">
        <f ca="1"/>
        <v>#NAME?</v>
      </c>
      <c r="X686" t="e">
        <f ca="1"/>
        <v>#NAME?</v>
      </c>
    </row>
    <row r="687" spans="12:24" x14ac:dyDescent="0.25">
      <c r="L687" t="e">
        <f ca="1"/>
        <v>#NAME?</v>
      </c>
      <c r="M687" t="e">
        <f ca="1"/>
        <v>#NAME?</v>
      </c>
      <c r="S687" t="e">
        <f ca="1"/>
        <v>#NAME?</v>
      </c>
      <c r="U687" t="e">
        <f ca="1"/>
        <v>#NAME?</v>
      </c>
      <c r="V687" t="e">
        <f ca="1"/>
        <v>#NAME?</v>
      </c>
      <c r="W687" t="e">
        <f ca="1"/>
        <v>#NAME?</v>
      </c>
      <c r="X687" t="e">
        <f ca="1"/>
        <v>#NAME?</v>
      </c>
    </row>
    <row r="688" spans="12:24" x14ac:dyDescent="0.25">
      <c r="L688" t="e">
        <f ca="1"/>
        <v>#NAME?</v>
      </c>
      <c r="M688" t="e">
        <f ca="1"/>
        <v>#NAME?</v>
      </c>
      <c r="S688" t="e">
        <f ca="1"/>
        <v>#NAME?</v>
      </c>
      <c r="U688" t="e">
        <f ca="1"/>
        <v>#NAME?</v>
      </c>
      <c r="V688" t="e">
        <f ca="1"/>
        <v>#NAME?</v>
      </c>
      <c r="W688" t="e">
        <f ca="1"/>
        <v>#NAME?</v>
      </c>
      <c r="X688" t="e">
        <f ca="1"/>
        <v>#NAME?</v>
      </c>
    </row>
    <row r="689" spans="12:24" x14ac:dyDescent="0.25">
      <c r="L689" t="e">
        <f ca="1"/>
        <v>#NAME?</v>
      </c>
      <c r="M689" t="e">
        <f ca="1"/>
        <v>#NAME?</v>
      </c>
      <c r="S689" t="e">
        <f ca="1"/>
        <v>#NAME?</v>
      </c>
      <c r="U689" t="e">
        <f ca="1"/>
        <v>#NAME?</v>
      </c>
      <c r="V689" t="e">
        <f ca="1"/>
        <v>#NAME?</v>
      </c>
      <c r="W689" t="e">
        <f ca="1"/>
        <v>#NAME?</v>
      </c>
      <c r="X689" t="e">
        <f ca="1"/>
        <v>#NAME?</v>
      </c>
    </row>
    <row r="690" spans="12:24" x14ac:dyDescent="0.25">
      <c r="L690" t="e">
        <f ca="1"/>
        <v>#NAME?</v>
      </c>
      <c r="M690" t="e">
        <f ca="1"/>
        <v>#NAME?</v>
      </c>
      <c r="S690" t="e">
        <f ca="1"/>
        <v>#NAME?</v>
      </c>
      <c r="U690" t="e">
        <f ca="1"/>
        <v>#NAME?</v>
      </c>
      <c r="V690" t="e">
        <f ca="1"/>
        <v>#NAME?</v>
      </c>
      <c r="W690" t="e">
        <f ca="1"/>
        <v>#NAME?</v>
      </c>
      <c r="X690" t="e">
        <f ca="1"/>
        <v>#NAME?</v>
      </c>
    </row>
    <row r="691" spans="12:24" x14ac:dyDescent="0.25">
      <c r="L691" t="e">
        <f ca="1"/>
        <v>#NAME?</v>
      </c>
      <c r="M691" t="e">
        <f ca="1"/>
        <v>#NAME?</v>
      </c>
      <c r="S691" t="e">
        <f ca="1"/>
        <v>#NAME?</v>
      </c>
      <c r="U691" t="e">
        <f ca="1"/>
        <v>#NAME?</v>
      </c>
      <c r="V691" t="e">
        <f ca="1"/>
        <v>#NAME?</v>
      </c>
      <c r="W691" t="e">
        <f ca="1"/>
        <v>#NAME?</v>
      </c>
      <c r="X691" t="e">
        <f ca="1"/>
        <v>#NAME?</v>
      </c>
    </row>
    <row r="692" spans="12:24" x14ac:dyDescent="0.25">
      <c r="L692" t="e">
        <f ca="1"/>
        <v>#NAME?</v>
      </c>
      <c r="M692" t="e">
        <f ca="1"/>
        <v>#NAME?</v>
      </c>
      <c r="S692" t="e">
        <f ca="1"/>
        <v>#NAME?</v>
      </c>
      <c r="U692" t="e">
        <f ca="1"/>
        <v>#NAME?</v>
      </c>
      <c r="V692" t="e">
        <f ca="1"/>
        <v>#NAME?</v>
      </c>
      <c r="W692" t="e">
        <f ca="1"/>
        <v>#NAME?</v>
      </c>
      <c r="X692" t="e">
        <f ca="1"/>
        <v>#NAME?</v>
      </c>
    </row>
    <row r="693" spans="12:24" x14ac:dyDescent="0.25">
      <c r="L693" t="e">
        <f ca="1"/>
        <v>#NAME?</v>
      </c>
      <c r="M693" t="e">
        <f ca="1"/>
        <v>#NAME?</v>
      </c>
      <c r="S693" t="e">
        <f ca="1"/>
        <v>#NAME?</v>
      </c>
      <c r="U693" t="e">
        <f ca="1"/>
        <v>#NAME?</v>
      </c>
      <c r="V693" t="e">
        <f ca="1"/>
        <v>#NAME?</v>
      </c>
      <c r="W693" t="e">
        <f ca="1"/>
        <v>#NAME?</v>
      </c>
      <c r="X693" t="e">
        <f ca="1"/>
        <v>#NAME?</v>
      </c>
    </row>
  </sheetData>
  <sortState ref="D173:D210">
    <sortCondition ref="D173:D210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74F8-99D0-4833-AE31-9A479A35424F}">
  <sheetPr codeName="Hoja14"/>
  <dimension ref="A1:U49"/>
  <sheetViews>
    <sheetView topLeftCell="A38" workbookViewId="0">
      <selection activeCell="D2" sqref="D2"/>
    </sheetView>
  </sheetViews>
  <sheetFormatPr baseColWidth="10" defaultColWidth="9.140625" defaultRowHeight="15" x14ac:dyDescent="0.25"/>
  <cols>
    <col min="1" max="1" width="11.42578125" style="6" bestFit="1" customWidth="1"/>
    <col min="3" max="3" width="14" customWidth="1"/>
    <col min="7" max="7" width="20.28515625" style="6" customWidth="1"/>
    <col min="11" max="11" width="13.42578125" customWidth="1"/>
    <col min="12" max="12" width="12.85546875" style="133" customWidth="1"/>
    <col min="13" max="13" width="10.140625" style="133" customWidth="1"/>
    <col min="14" max="14" width="13.42578125" customWidth="1"/>
    <col min="15" max="15" width="18.28515625" customWidth="1"/>
    <col min="16" max="16" width="10.85546875" style="132" bestFit="1" customWidth="1"/>
    <col min="17" max="17" width="9.140625" style="133"/>
    <col min="18" max="18" width="9.140625" style="11"/>
    <col min="19" max="19" width="9.140625" style="4"/>
    <col min="20" max="20" width="12" style="133" customWidth="1"/>
    <col min="21" max="21" width="9.140625" style="11"/>
  </cols>
  <sheetData>
    <row r="1" spans="1:21" s="128" customFormat="1" ht="60" x14ac:dyDescent="0.25">
      <c r="A1" s="135" t="s">
        <v>56</v>
      </c>
      <c r="B1" s="136" t="s">
        <v>58</v>
      </c>
      <c r="C1" s="136" t="s">
        <v>32</v>
      </c>
      <c r="D1" s="136" t="s">
        <v>61</v>
      </c>
      <c r="E1" s="136" t="s">
        <v>62</v>
      </c>
      <c r="F1" s="136" t="s">
        <v>63</v>
      </c>
      <c r="G1" s="137" t="s">
        <v>64</v>
      </c>
      <c r="H1" s="138" t="s">
        <v>65</v>
      </c>
      <c r="I1" s="138" t="s">
        <v>66</v>
      </c>
      <c r="J1" s="138" t="s">
        <v>1097</v>
      </c>
      <c r="K1" s="136" t="s">
        <v>67</v>
      </c>
      <c r="L1" s="139" t="s">
        <v>68</v>
      </c>
      <c r="M1" s="139" t="s">
        <v>69</v>
      </c>
      <c r="N1" s="136" t="s">
        <v>71</v>
      </c>
      <c r="O1" s="136" t="s">
        <v>72</v>
      </c>
      <c r="P1" s="140" t="s">
        <v>86</v>
      </c>
      <c r="Q1" s="139" t="s">
        <v>88</v>
      </c>
      <c r="R1" s="141" t="s">
        <v>89</v>
      </c>
      <c r="S1" s="142" t="s">
        <v>91</v>
      </c>
      <c r="T1" s="139" t="s">
        <v>92</v>
      </c>
      <c r="U1" s="141" t="s">
        <v>94</v>
      </c>
    </row>
    <row r="2" spans="1:21" x14ac:dyDescent="0.25">
      <c r="A2" s="143">
        <v>45419</v>
      </c>
      <c r="B2" s="126">
        <v>2024</v>
      </c>
      <c r="C2" s="126" t="s">
        <v>46</v>
      </c>
      <c r="D2" s="126" t="s">
        <v>1098</v>
      </c>
      <c r="E2" s="126">
        <v>11</v>
      </c>
      <c r="F2" s="126">
        <v>93</v>
      </c>
      <c r="G2" s="144">
        <v>45326</v>
      </c>
      <c r="H2" s="145" t="s">
        <v>691</v>
      </c>
      <c r="I2" s="145">
        <v>0.5</v>
      </c>
      <c r="J2" s="146">
        <v>0.71350000000000002</v>
      </c>
      <c r="K2" s="126">
        <v>8</v>
      </c>
      <c r="L2" s="147">
        <v>1320000</v>
      </c>
      <c r="M2" s="147">
        <v>120000</v>
      </c>
      <c r="N2" s="126" t="s">
        <v>419</v>
      </c>
      <c r="O2" s="126" t="s">
        <v>1099</v>
      </c>
      <c r="P2" s="148">
        <v>50094.179999999993</v>
      </c>
      <c r="Q2" s="147">
        <v>4554.0163636363632</v>
      </c>
      <c r="R2" s="149">
        <v>1.9991397849462365</v>
      </c>
      <c r="S2" s="150">
        <v>74.592683906401632</v>
      </c>
      <c r="T2" s="147">
        <v>84361.223599999998</v>
      </c>
      <c r="U2" s="149">
        <v>1.68405239091647</v>
      </c>
    </row>
    <row r="3" spans="1:21" x14ac:dyDescent="0.25">
      <c r="A3" s="143">
        <v>45420</v>
      </c>
      <c r="B3" s="126">
        <v>2024</v>
      </c>
      <c r="C3" s="126" t="s">
        <v>38</v>
      </c>
      <c r="D3" s="126" t="s">
        <v>1100</v>
      </c>
      <c r="E3" s="126">
        <v>6.5</v>
      </c>
      <c r="F3" s="126">
        <v>93</v>
      </c>
      <c r="G3" s="144">
        <v>45327</v>
      </c>
      <c r="H3" s="145" t="s">
        <v>628</v>
      </c>
      <c r="I3" s="145">
        <v>0.85</v>
      </c>
      <c r="J3" s="146">
        <v>0.75790000000000002</v>
      </c>
      <c r="K3" s="126">
        <v>5</v>
      </c>
      <c r="L3" s="147">
        <v>780000</v>
      </c>
      <c r="M3" s="147">
        <v>120000</v>
      </c>
      <c r="N3" s="126" t="s">
        <v>419</v>
      </c>
      <c r="O3" s="126" t="s">
        <v>1099</v>
      </c>
      <c r="P3" s="148">
        <v>26258.39</v>
      </c>
      <c r="Q3" s="147">
        <v>4039.7523076923076</v>
      </c>
      <c r="R3" s="149">
        <v>2.0427956989247309</v>
      </c>
      <c r="S3" s="150">
        <v>62.773211779913332</v>
      </c>
      <c r="T3" s="147">
        <v>53351.32</v>
      </c>
      <c r="U3" s="149">
        <v>2.0317818419179545</v>
      </c>
    </row>
    <row r="4" spans="1:21" x14ac:dyDescent="0.25">
      <c r="A4" s="143">
        <v>45424</v>
      </c>
      <c r="B4" s="126">
        <v>2024</v>
      </c>
      <c r="C4" s="126" t="s">
        <v>43</v>
      </c>
      <c r="D4" s="126" t="s">
        <v>1101</v>
      </c>
      <c r="E4" s="126">
        <v>8.8000000000000007</v>
      </c>
      <c r="F4" s="126">
        <v>70</v>
      </c>
      <c r="G4" s="144">
        <v>45354</v>
      </c>
      <c r="H4" s="145" t="s">
        <v>613</v>
      </c>
      <c r="I4" s="145">
        <v>0.66</v>
      </c>
      <c r="J4" s="146">
        <v>0.92</v>
      </c>
      <c r="K4" s="126">
        <v>18</v>
      </c>
      <c r="L4" s="147">
        <v>2024000</v>
      </c>
      <c r="M4" s="147">
        <v>229999.99999999997</v>
      </c>
      <c r="N4" s="126" t="s">
        <v>419</v>
      </c>
      <c r="O4" s="126" t="s">
        <v>1102</v>
      </c>
      <c r="P4" s="148">
        <v>49985.69</v>
      </c>
      <c r="Q4" s="147">
        <v>5680.1920454545452</v>
      </c>
      <c r="R4" s="149">
        <v>2.1859999999999999</v>
      </c>
      <c r="S4" s="150">
        <v>67.45037320684996</v>
      </c>
      <c r="T4" s="147">
        <v>57870.75</v>
      </c>
      <c r="U4" s="149">
        <v>1.1577463470045126</v>
      </c>
    </row>
    <row r="5" spans="1:21" x14ac:dyDescent="0.25">
      <c r="A5" s="143">
        <v>45425</v>
      </c>
      <c r="B5" s="126">
        <v>2024</v>
      </c>
      <c r="C5" s="126" t="s">
        <v>39</v>
      </c>
      <c r="D5" s="126" t="s">
        <v>1103</v>
      </c>
      <c r="E5" s="126">
        <v>14.77</v>
      </c>
      <c r="F5" s="126">
        <v>69</v>
      </c>
      <c r="G5" s="144">
        <v>45356</v>
      </c>
      <c r="H5" s="145" t="s">
        <v>1104</v>
      </c>
      <c r="I5" s="145">
        <v>0.52</v>
      </c>
      <c r="J5" s="146">
        <v>0.71009999999999995</v>
      </c>
      <c r="K5" s="126">
        <v>4</v>
      </c>
      <c r="L5" s="147">
        <v>3909471</v>
      </c>
      <c r="M5" s="147">
        <v>264689.97968855791</v>
      </c>
      <c r="N5" s="126" t="s">
        <v>419</v>
      </c>
      <c r="O5" s="126" t="s">
        <v>1102</v>
      </c>
      <c r="P5" s="148">
        <v>71098.28</v>
      </c>
      <c r="Q5" s="147">
        <v>4813.6953283683142</v>
      </c>
      <c r="R5" s="149">
        <v>1.6657971014492754</v>
      </c>
      <c r="S5" s="150">
        <v>55.806605543305231</v>
      </c>
      <c r="T5" s="147">
        <v>91986.934999999998</v>
      </c>
      <c r="U5" s="149">
        <v>1.2937997234250955</v>
      </c>
    </row>
    <row r="6" spans="1:21" x14ac:dyDescent="0.25">
      <c r="A6" s="143">
        <v>45448</v>
      </c>
      <c r="B6" s="126">
        <v>2024</v>
      </c>
      <c r="C6" s="126" t="s">
        <v>39</v>
      </c>
      <c r="D6" s="126" t="s">
        <v>385</v>
      </c>
      <c r="E6" s="126">
        <v>7.8</v>
      </c>
      <c r="F6" s="126">
        <v>65</v>
      </c>
      <c r="G6" s="144">
        <v>45383</v>
      </c>
      <c r="H6" s="145" t="s">
        <v>1105</v>
      </c>
      <c r="I6" s="145">
        <v>0.61</v>
      </c>
      <c r="J6" s="146">
        <v>0.78739999999999999</v>
      </c>
      <c r="K6" s="126">
        <v>9</v>
      </c>
      <c r="L6" s="147">
        <v>1968524</v>
      </c>
      <c r="M6" s="147">
        <v>252374.87179487181</v>
      </c>
      <c r="N6" s="126" t="s">
        <v>419</v>
      </c>
      <c r="O6" s="126" t="s">
        <v>1102</v>
      </c>
      <c r="P6" s="148">
        <v>56172.659999999996</v>
      </c>
      <c r="Q6" s="147">
        <v>7201.623076923077</v>
      </c>
      <c r="R6" s="149">
        <v>1.7704615384615385</v>
      </c>
      <c r="S6" s="150">
        <v>82.389697399052793</v>
      </c>
      <c r="T6" s="147">
        <v>72586.455000000002</v>
      </c>
      <c r="U6" s="149">
        <v>1.2922025590385076</v>
      </c>
    </row>
    <row r="7" spans="1:21" x14ac:dyDescent="0.25">
      <c r="A7" s="143">
        <v>45449</v>
      </c>
      <c r="B7" s="126">
        <v>2024</v>
      </c>
      <c r="C7" s="126" t="s">
        <v>39</v>
      </c>
      <c r="D7" s="126" t="s">
        <v>1106</v>
      </c>
      <c r="E7" s="126">
        <v>3.84</v>
      </c>
      <c r="F7" s="126">
        <v>59</v>
      </c>
      <c r="G7" s="144">
        <v>45390</v>
      </c>
      <c r="H7" s="145" t="s">
        <v>622</v>
      </c>
      <c r="I7" s="145">
        <v>0.59</v>
      </c>
      <c r="J7" s="146">
        <v>0.79859999999999998</v>
      </c>
      <c r="K7" s="126">
        <v>27</v>
      </c>
      <c r="L7" s="147">
        <v>847000</v>
      </c>
      <c r="M7" s="147">
        <v>220572.91666666669</v>
      </c>
      <c r="N7" s="126" t="s">
        <v>419</v>
      </c>
      <c r="O7" s="126" t="s">
        <v>1102</v>
      </c>
      <c r="P7" s="148">
        <v>31083.980000000003</v>
      </c>
      <c r="Q7" s="147">
        <v>8094.7864583333348</v>
      </c>
      <c r="R7" s="149">
        <v>1.948135593220339</v>
      </c>
      <c r="S7" s="150">
        <v>104.63366571754831</v>
      </c>
      <c r="T7" s="147">
        <v>38194.695</v>
      </c>
      <c r="U7" s="149">
        <v>1.2287581899100435</v>
      </c>
    </row>
    <row r="8" spans="1:21" x14ac:dyDescent="0.25">
      <c r="A8" s="143">
        <v>45451</v>
      </c>
      <c r="B8" s="126">
        <v>2024</v>
      </c>
      <c r="C8" s="126" t="s">
        <v>39</v>
      </c>
      <c r="D8" s="126" t="s">
        <v>1098</v>
      </c>
      <c r="E8" s="126">
        <v>4.74</v>
      </c>
      <c r="F8" s="126">
        <v>71</v>
      </c>
      <c r="G8" s="144">
        <v>45380</v>
      </c>
      <c r="H8" s="145" t="s">
        <v>600</v>
      </c>
      <c r="I8" s="145">
        <v>1.25</v>
      </c>
      <c r="J8" s="146">
        <v>0.64759999999999995</v>
      </c>
      <c r="K8" s="126">
        <v>3</v>
      </c>
      <c r="L8" s="147">
        <v>1019100</v>
      </c>
      <c r="M8" s="147">
        <v>215000</v>
      </c>
      <c r="N8" s="126" t="s">
        <v>419</v>
      </c>
      <c r="O8" s="126" t="s">
        <v>1107</v>
      </c>
      <c r="P8" s="148">
        <v>30374.38</v>
      </c>
      <c r="Q8" s="147">
        <v>6408.0970464135016</v>
      </c>
      <c r="R8" s="149">
        <v>2.5002816901408451</v>
      </c>
      <c r="S8" s="150">
        <v>68.375230242890126</v>
      </c>
      <c r="T8" s="147">
        <v>36320.785000000003</v>
      </c>
      <c r="U8" s="149">
        <v>1.1957704157253581</v>
      </c>
    </row>
    <row r="9" spans="1:21" x14ac:dyDescent="0.25">
      <c r="A9" s="143">
        <v>45475</v>
      </c>
      <c r="B9" s="126">
        <v>2024</v>
      </c>
      <c r="C9" s="126" t="s">
        <v>39</v>
      </c>
      <c r="D9" s="126" t="s">
        <v>1100</v>
      </c>
      <c r="E9" s="126">
        <v>4.72</v>
      </c>
      <c r="F9" s="126">
        <v>89</v>
      </c>
      <c r="G9" s="144">
        <v>45386</v>
      </c>
      <c r="H9" s="145" t="s">
        <v>622</v>
      </c>
      <c r="I9" s="145">
        <v>0.49</v>
      </c>
      <c r="J9" s="146">
        <v>0.79859999999999998</v>
      </c>
      <c r="K9" s="126">
        <v>14</v>
      </c>
      <c r="L9" s="147">
        <v>1274400</v>
      </c>
      <c r="M9" s="147">
        <v>270000</v>
      </c>
      <c r="N9" s="126" t="s">
        <v>419</v>
      </c>
      <c r="O9" s="126" t="s">
        <v>1102</v>
      </c>
      <c r="P9" s="148">
        <v>38515.43</v>
      </c>
      <c r="Q9" s="147">
        <v>8160.04872881356</v>
      </c>
      <c r="R9" s="149">
        <v>2.0591011235955059</v>
      </c>
      <c r="S9" s="150">
        <v>59.698723470675411</v>
      </c>
      <c r="T9" s="147">
        <v>60769.798999999999</v>
      </c>
      <c r="U9" s="149">
        <v>1.5778039866100417</v>
      </c>
    </row>
    <row r="10" spans="1:21" x14ac:dyDescent="0.25">
      <c r="A10" s="143">
        <v>45476</v>
      </c>
      <c r="B10" s="126">
        <v>2024</v>
      </c>
      <c r="C10" s="126" t="s">
        <v>39</v>
      </c>
      <c r="D10" s="126" t="s">
        <v>386</v>
      </c>
      <c r="E10" s="126">
        <v>7.95</v>
      </c>
      <c r="F10" s="126">
        <v>90</v>
      </c>
      <c r="G10" s="144">
        <v>45386</v>
      </c>
      <c r="H10" s="145" t="s">
        <v>622</v>
      </c>
      <c r="I10" s="145">
        <v>0.59</v>
      </c>
      <c r="J10" s="146">
        <v>0.79859999999999998</v>
      </c>
      <c r="K10" s="126">
        <v>12</v>
      </c>
      <c r="L10" s="147">
        <v>2146500</v>
      </c>
      <c r="M10" s="147">
        <v>270000</v>
      </c>
      <c r="N10" s="126" t="s">
        <v>419</v>
      </c>
      <c r="O10" s="126" t="s">
        <v>1102</v>
      </c>
      <c r="P10" s="148">
        <v>74582.64</v>
      </c>
      <c r="Q10" s="147">
        <v>9381.4641509433968</v>
      </c>
      <c r="R10" s="149">
        <v>1.9903333333333333</v>
      </c>
      <c r="S10" s="150">
        <v>70.075994472247842</v>
      </c>
      <c r="T10" s="147">
        <v>100150.56879999999</v>
      </c>
      <c r="U10" s="149">
        <v>1.3428134053715448</v>
      </c>
    </row>
    <row r="11" spans="1:21" x14ac:dyDescent="0.25">
      <c r="A11" s="143">
        <v>45477</v>
      </c>
      <c r="B11" s="126">
        <v>2024</v>
      </c>
      <c r="C11" s="126" t="s">
        <v>39</v>
      </c>
      <c r="D11" s="126" t="s">
        <v>391</v>
      </c>
      <c r="E11" s="126">
        <v>7.78</v>
      </c>
      <c r="F11" s="126">
        <v>91</v>
      </c>
      <c r="G11" s="144">
        <v>45386</v>
      </c>
      <c r="H11" s="145" t="s">
        <v>622</v>
      </c>
      <c r="I11" s="145">
        <v>0.59</v>
      </c>
      <c r="J11" s="146">
        <v>0.79859999999999998</v>
      </c>
      <c r="K11" s="126">
        <v>12</v>
      </c>
      <c r="L11" s="147">
        <v>2120801</v>
      </c>
      <c r="M11" s="147">
        <v>272596.52956298197</v>
      </c>
      <c r="N11" s="126" t="s">
        <v>419</v>
      </c>
      <c r="O11" s="126" t="s">
        <v>1102</v>
      </c>
      <c r="P11" s="148">
        <v>72917.78</v>
      </c>
      <c r="Q11" s="147">
        <v>9372.4652956298196</v>
      </c>
      <c r="R11" s="149">
        <v>2.0753846153846154</v>
      </c>
      <c r="S11" s="150">
        <v>74.694815412954441</v>
      </c>
      <c r="T11" s="147">
        <v>90333.485000000001</v>
      </c>
      <c r="U11" s="149">
        <v>1.2388403075354186</v>
      </c>
    </row>
    <row r="12" spans="1:21" x14ac:dyDescent="0.25">
      <c r="A12" s="143">
        <v>45486</v>
      </c>
      <c r="B12" s="126">
        <v>2024</v>
      </c>
      <c r="C12" s="126" t="s">
        <v>38</v>
      </c>
      <c r="D12" s="126" t="s">
        <v>1098</v>
      </c>
      <c r="E12" s="126">
        <v>5.92</v>
      </c>
      <c r="F12" s="126">
        <v>89</v>
      </c>
      <c r="G12" s="144">
        <v>45397</v>
      </c>
      <c r="H12" s="145" t="s">
        <v>434</v>
      </c>
      <c r="I12" s="145">
        <v>0.65</v>
      </c>
      <c r="J12" s="146">
        <v>0.83720000000000006</v>
      </c>
      <c r="K12" s="126">
        <v>11</v>
      </c>
      <c r="L12" s="147">
        <v>710400</v>
      </c>
      <c r="M12" s="147">
        <v>120000</v>
      </c>
      <c r="N12" s="126" t="s">
        <v>419</v>
      </c>
      <c r="O12" s="126" t="s">
        <v>1099</v>
      </c>
      <c r="P12" s="148">
        <v>27430.65</v>
      </c>
      <c r="Q12" s="147">
        <v>4633.5557432432433</v>
      </c>
      <c r="R12" s="149">
        <v>2.324943820224719</v>
      </c>
      <c r="S12" s="150">
        <v>71.783307068273842</v>
      </c>
      <c r="T12" s="147">
        <v>41942.514999999999</v>
      </c>
      <c r="U12" s="149">
        <v>1.529038320273125</v>
      </c>
    </row>
    <row r="13" spans="1:21" x14ac:dyDescent="0.25">
      <c r="A13" s="143">
        <v>45487</v>
      </c>
      <c r="B13" s="126">
        <v>2024</v>
      </c>
      <c r="C13" s="126" t="s">
        <v>38</v>
      </c>
      <c r="D13" s="126" t="s">
        <v>387</v>
      </c>
      <c r="E13" s="126">
        <v>5.94</v>
      </c>
      <c r="F13" s="126">
        <v>90</v>
      </c>
      <c r="G13" s="144">
        <v>45397</v>
      </c>
      <c r="H13" s="145" t="s">
        <v>434</v>
      </c>
      <c r="I13" s="145">
        <v>0.65</v>
      </c>
      <c r="J13" s="146">
        <v>0.83720000000000006</v>
      </c>
      <c r="K13" s="126">
        <v>11</v>
      </c>
      <c r="L13" s="147">
        <v>712800</v>
      </c>
      <c r="M13" s="147">
        <v>119999.99999999999</v>
      </c>
      <c r="N13" s="126" t="s">
        <v>419</v>
      </c>
      <c r="O13" s="126" t="s">
        <v>1099</v>
      </c>
      <c r="P13" s="148">
        <v>30732.9</v>
      </c>
      <c r="Q13" s="147">
        <v>5173.8888888888887</v>
      </c>
      <c r="R13" s="149">
        <v>2.014444444444444</v>
      </c>
      <c r="S13" s="150">
        <v>85.80156730488261</v>
      </c>
      <c r="T13" s="147">
        <v>47288.67</v>
      </c>
      <c r="U13" s="149">
        <v>1.5386985933641146</v>
      </c>
    </row>
    <row r="14" spans="1:21" x14ac:dyDescent="0.25">
      <c r="A14" s="143">
        <v>45490</v>
      </c>
      <c r="B14" s="126">
        <v>2024</v>
      </c>
      <c r="C14" s="126" t="s">
        <v>43</v>
      </c>
      <c r="D14" s="126" t="s">
        <v>1108</v>
      </c>
      <c r="E14" s="126">
        <v>9.3000000000000007</v>
      </c>
      <c r="F14" s="126">
        <v>41</v>
      </c>
      <c r="G14" s="144">
        <v>45449</v>
      </c>
      <c r="H14" s="145" t="s">
        <v>612</v>
      </c>
      <c r="I14" s="145">
        <v>0.84</v>
      </c>
      <c r="J14" s="146">
        <v>0.77270000000000005</v>
      </c>
      <c r="K14" s="126">
        <v>92</v>
      </c>
      <c r="L14" s="147">
        <v>1700000</v>
      </c>
      <c r="M14" s="147">
        <v>182795.69892473117</v>
      </c>
      <c r="N14" s="126" t="s">
        <v>419</v>
      </c>
      <c r="O14" s="126" t="s">
        <v>1109</v>
      </c>
      <c r="P14" s="148">
        <v>30612.65</v>
      </c>
      <c r="Q14" s="147">
        <v>3291.6827956989246</v>
      </c>
      <c r="R14" s="149">
        <v>2.0726829268292684</v>
      </c>
      <c r="S14" s="150">
        <v>67.342490066866958</v>
      </c>
      <c r="T14" s="147">
        <v>34369.714</v>
      </c>
      <c r="U14" s="149">
        <v>1.1227291332178038</v>
      </c>
    </row>
    <row r="15" spans="1:21" x14ac:dyDescent="0.25">
      <c r="A15" s="143">
        <v>45491</v>
      </c>
      <c r="B15" s="126">
        <v>2024</v>
      </c>
      <c r="C15" s="126" t="s">
        <v>43</v>
      </c>
      <c r="D15" s="126" t="s">
        <v>1110</v>
      </c>
      <c r="E15" s="126">
        <v>5.8</v>
      </c>
      <c r="F15" s="126">
        <v>44</v>
      </c>
      <c r="G15" s="144">
        <v>45447</v>
      </c>
      <c r="H15" s="145" t="s">
        <v>1111</v>
      </c>
      <c r="I15" s="145">
        <v>0.45</v>
      </c>
      <c r="J15" s="146">
        <v>0.87490000000000001</v>
      </c>
      <c r="K15" s="126">
        <v>24</v>
      </c>
      <c r="L15" s="147">
        <v>1241800</v>
      </c>
      <c r="M15" s="147">
        <v>214103.44827586209</v>
      </c>
      <c r="N15" s="126" t="s">
        <v>419</v>
      </c>
      <c r="O15" s="126" t="s">
        <v>1099</v>
      </c>
      <c r="P15" s="148">
        <v>21644.39</v>
      </c>
      <c r="Q15" s="147">
        <v>3731.7913793103448</v>
      </c>
      <c r="R15" s="149">
        <v>2.1318181818181818</v>
      </c>
      <c r="S15" s="150">
        <v>59.053378581404459</v>
      </c>
      <c r="T15" s="147">
        <v>24019.116999999998</v>
      </c>
      <c r="U15" s="149">
        <v>1.1097155891203216</v>
      </c>
    </row>
    <row r="16" spans="1:21" x14ac:dyDescent="0.25">
      <c r="A16" s="143">
        <v>45492</v>
      </c>
      <c r="B16" s="126">
        <v>2024</v>
      </c>
      <c r="C16" s="126" t="s">
        <v>39</v>
      </c>
      <c r="D16" s="126" t="s">
        <v>390</v>
      </c>
      <c r="E16" s="126">
        <v>4.5999999999999996</v>
      </c>
      <c r="F16" s="126">
        <v>60</v>
      </c>
      <c r="G16" s="144">
        <v>45432</v>
      </c>
      <c r="H16" s="145" t="s">
        <v>1112</v>
      </c>
      <c r="I16" s="145">
        <v>0.64</v>
      </c>
      <c r="J16" s="146">
        <v>0.80159999999999998</v>
      </c>
      <c r="K16" s="126">
        <v>12</v>
      </c>
      <c r="L16" s="147">
        <v>1155000</v>
      </c>
      <c r="M16" s="147">
        <v>251086.95652173914</v>
      </c>
      <c r="N16" s="126" t="s">
        <v>419</v>
      </c>
      <c r="O16" s="126" t="s">
        <v>1099</v>
      </c>
      <c r="P16" s="148">
        <v>32805.1</v>
      </c>
      <c r="Q16" s="147">
        <v>7131.54347826087</v>
      </c>
      <c r="R16" s="149">
        <v>2.3893333333333335</v>
      </c>
      <c r="S16" s="150">
        <v>76.310266443360348</v>
      </c>
      <c r="T16" s="147">
        <v>35163.370000000003</v>
      </c>
      <c r="U16" s="149">
        <v>1.0718872980115899</v>
      </c>
    </row>
    <row r="17" spans="1:21" x14ac:dyDescent="0.25">
      <c r="A17" s="143">
        <v>45493</v>
      </c>
      <c r="B17" s="126">
        <v>2024</v>
      </c>
      <c r="C17" s="126" t="s">
        <v>39</v>
      </c>
      <c r="D17" s="126" t="s">
        <v>1108</v>
      </c>
      <c r="E17" s="126">
        <v>5.23</v>
      </c>
      <c r="F17" s="126">
        <v>43</v>
      </c>
      <c r="G17" s="144">
        <v>45450</v>
      </c>
      <c r="H17" s="145" t="s">
        <v>1113</v>
      </c>
      <c r="I17" s="145">
        <v>5</v>
      </c>
      <c r="J17" s="146">
        <v>0.96120000000000005</v>
      </c>
      <c r="K17" s="126">
        <v>2</v>
      </c>
      <c r="L17" s="147">
        <v>1335149</v>
      </c>
      <c r="M17" s="147">
        <v>255286.61567877626</v>
      </c>
      <c r="N17" s="126" t="s">
        <v>946</v>
      </c>
      <c r="O17" s="126" t="s">
        <v>1107</v>
      </c>
      <c r="P17" s="148">
        <v>37203.4</v>
      </c>
      <c r="Q17" s="147">
        <v>7113.4608030592735</v>
      </c>
      <c r="R17" s="149">
        <v>3.8060465116279065</v>
      </c>
      <c r="S17" s="150">
        <v>59.01310874619351</v>
      </c>
      <c r="T17" s="147">
        <v>37037.279999999999</v>
      </c>
      <c r="U17" s="149">
        <v>0.99553481671030064</v>
      </c>
    </row>
    <row r="18" spans="1:21" x14ac:dyDescent="0.25">
      <c r="A18" s="143">
        <v>45493</v>
      </c>
      <c r="B18" s="126">
        <v>2024</v>
      </c>
      <c r="C18" s="126" t="s">
        <v>43</v>
      </c>
      <c r="D18" s="126" t="s">
        <v>1114</v>
      </c>
      <c r="E18" s="126">
        <v>4.07</v>
      </c>
      <c r="F18" s="126">
        <v>45</v>
      </c>
      <c r="G18" s="144">
        <v>45448</v>
      </c>
      <c r="H18" s="145" t="s">
        <v>518</v>
      </c>
      <c r="I18" s="145">
        <v>0.63</v>
      </c>
      <c r="J18" s="146">
        <v>0.79979999999999996</v>
      </c>
      <c r="K18" s="126">
        <v>54</v>
      </c>
      <c r="L18" s="147">
        <v>799800</v>
      </c>
      <c r="M18" s="147">
        <v>196511.05651105649</v>
      </c>
      <c r="N18" s="126" t="s">
        <v>419</v>
      </c>
      <c r="O18" s="126" t="s">
        <v>1099</v>
      </c>
      <c r="P18" s="148">
        <v>13763.39</v>
      </c>
      <c r="Q18" s="147">
        <v>3381.6683046683042</v>
      </c>
      <c r="R18" s="149">
        <v>2.2088888888888887</v>
      </c>
      <c r="S18" s="150">
        <v>55.018852072172976</v>
      </c>
      <c r="T18" s="147">
        <v>18342.272000000001</v>
      </c>
      <c r="U18" s="149">
        <v>1.3326856246898475</v>
      </c>
    </row>
    <row r="19" spans="1:21" x14ac:dyDescent="0.25">
      <c r="A19" s="143">
        <v>45494</v>
      </c>
      <c r="B19" s="126">
        <v>2024</v>
      </c>
      <c r="C19" s="126" t="s">
        <v>43</v>
      </c>
      <c r="D19" s="126" t="s">
        <v>386</v>
      </c>
      <c r="E19" s="126">
        <v>4.3</v>
      </c>
      <c r="F19" s="126">
        <v>48</v>
      </c>
      <c r="G19" s="144">
        <v>45446</v>
      </c>
      <c r="H19" s="145" t="s">
        <v>700</v>
      </c>
      <c r="I19" s="145">
        <v>0.4</v>
      </c>
      <c r="J19" s="146">
        <v>0.86</v>
      </c>
      <c r="K19" s="126">
        <v>93</v>
      </c>
      <c r="L19" s="147">
        <v>860000</v>
      </c>
      <c r="M19" s="147">
        <v>200000</v>
      </c>
      <c r="N19" s="126" t="s">
        <v>419</v>
      </c>
      <c r="O19" s="126" t="s">
        <v>1099</v>
      </c>
      <c r="P19" s="148">
        <v>16386.45</v>
      </c>
      <c r="Q19" s="147">
        <v>3810.8023255813955</v>
      </c>
      <c r="R19" s="149">
        <v>1.6187500000000001</v>
      </c>
      <c r="S19" s="150">
        <v>77.932624135763689</v>
      </c>
      <c r="T19" s="147">
        <v>18661.938999999998</v>
      </c>
      <c r="U19" s="149">
        <v>1.138864061465418</v>
      </c>
    </row>
    <row r="20" spans="1:21" x14ac:dyDescent="0.25">
      <c r="A20" s="143">
        <v>45495</v>
      </c>
      <c r="B20" s="126">
        <v>2024</v>
      </c>
      <c r="C20" s="126" t="s">
        <v>43</v>
      </c>
      <c r="D20" s="126" t="s">
        <v>1115</v>
      </c>
      <c r="E20" s="126">
        <v>5.2</v>
      </c>
      <c r="F20" s="126">
        <v>48</v>
      </c>
      <c r="G20" s="144">
        <v>45447</v>
      </c>
      <c r="H20" s="145" t="s">
        <v>1116</v>
      </c>
      <c r="I20" s="145">
        <v>0.45</v>
      </c>
      <c r="J20" s="146">
        <v>0.95369999999999999</v>
      </c>
      <c r="K20" s="126">
        <v>62</v>
      </c>
      <c r="L20" s="147">
        <v>1040000</v>
      </c>
      <c r="M20" s="147">
        <v>200000</v>
      </c>
      <c r="N20" s="126" t="s">
        <v>419</v>
      </c>
      <c r="O20" s="126" t="s">
        <v>1099</v>
      </c>
      <c r="P20" s="148">
        <v>18360.16</v>
      </c>
      <c r="Q20" s="147">
        <v>3530.7999999999997</v>
      </c>
      <c r="R20" s="149">
        <v>1.7310416666666666</v>
      </c>
      <c r="S20" s="150">
        <v>67.522459983150796</v>
      </c>
      <c r="T20" s="147">
        <v>22707.38</v>
      </c>
      <c r="U20" s="149">
        <v>1.2367746250577338</v>
      </c>
    </row>
    <row r="21" spans="1:21" x14ac:dyDescent="0.25">
      <c r="A21" s="143">
        <v>45498</v>
      </c>
      <c r="B21" s="126">
        <v>2024</v>
      </c>
      <c r="C21" s="126" t="s">
        <v>39</v>
      </c>
      <c r="D21" s="126" t="s">
        <v>1117</v>
      </c>
      <c r="E21" s="126">
        <v>6.1</v>
      </c>
      <c r="F21" s="126">
        <v>99</v>
      </c>
      <c r="G21" s="144">
        <v>45399</v>
      </c>
      <c r="H21" s="145" t="s">
        <v>267</v>
      </c>
      <c r="I21" s="145">
        <v>0.7</v>
      </c>
      <c r="J21" s="146">
        <v>0.55720000000000003</v>
      </c>
      <c r="K21" s="126">
        <v>13</v>
      </c>
      <c r="L21" s="147">
        <v>1586000</v>
      </c>
      <c r="M21" s="147">
        <v>260000.00000000003</v>
      </c>
      <c r="N21" s="126" t="s">
        <v>419</v>
      </c>
      <c r="O21" s="126" t="s">
        <v>1102</v>
      </c>
      <c r="P21" s="148">
        <v>48013.850000000006</v>
      </c>
      <c r="Q21" s="147">
        <v>7871.1229508196739</v>
      </c>
      <c r="R21" s="149">
        <v>2.2145454545454548</v>
      </c>
      <c r="S21" s="150">
        <v>57.342855940755932</v>
      </c>
      <c r="T21" s="147">
        <v>76058.7</v>
      </c>
      <c r="U21" s="149">
        <v>1.5840991713849231</v>
      </c>
    </row>
    <row r="22" spans="1:21" x14ac:dyDescent="0.25">
      <c r="A22" s="143">
        <v>45500</v>
      </c>
      <c r="B22" s="126">
        <v>2024</v>
      </c>
      <c r="C22" s="126" t="s">
        <v>39</v>
      </c>
      <c r="D22" s="126" t="s">
        <v>1115</v>
      </c>
      <c r="E22" s="126">
        <v>5.7</v>
      </c>
      <c r="F22" s="126">
        <v>59</v>
      </c>
      <c r="G22" s="144">
        <v>45441</v>
      </c>
      <c r="H22" s="145" t="s">
        <v>267</v>
      </c>
      <c r="I22" s="145">
        <v>5.69</v>
      </c>
      <c r="J22" s="146">
        <v>0.55720000000000003</v>
      </c>
      <c r="K22" s="126">
        <v>7</v>
      </c>
      <c r="L22" s="147">
        <v>812847</v>
      </c>
      <c r="M22" s="147">
        <v>142604.73684210525</v>
      </c>
      <c r="N22" s="126" t="s">
        <v>419</v>
      </c>
      <c r="O22" s="126" t="s">
        <v>1099</v>
      </c>
      <c r="P22" s="148">
        <v>24882.400000000001</v>
      </c>
      <c r="Q22" s="147">
        <v>4365.333333333333</v>
      </c>
      <c r="R22" s="149">
        <v>4.1952542372881352</v>
      </c>
      <c r="S22" s="150">
        <v>39.303122653299475</v>
      </c>
      <c r="T22" s="147">
        <v>32628.080000000002</v>
      </c>
      <c r="U22" s="149">
        <v>1.3112915152879143</v>
      </c>
    </row>
    <row r="23" spans="1:21" x14ac:dyDescent="0.25">
      <c r="A23" s="143">
        <v>45501</v>
      </c>
      <c r="B23" s="126">
        <v>2024</v>
      </c>
      <c r="C23" s="126" t="s">
        <v>39</v>
      </c>
      <c r="D23" s="126" t="s">
        <v>1118</v>
      </c>
      <c r="E23" s="126">
        <v>9.81</v>
      </c>
      <c r="F23" s="126">
        <v>73</v>
      </c>
      <c r="G23" s="144">
        <v>45428</v>
      </c>
      <c r="H23" s="145" t="s">
        <v>1112</v>
      </c>
      <c r="I23" s="145">
        <v>0.56999999999999995</v>
      </c>
      <c r="J23" s="146">
        <v>0.80159999999999998</v>
      </c>
      <c r="K23" s="126">
        <v>16</v>
      </c>
      <c r="L23" s="147">
        <v>2354400</v>
      </c>
      <c r="M23" s="147">
        <v>240000</v>
      </c>
      <c r="N23" s="126" t="s">
        <v>419</v>
      </c>
      <c r="O23" s="126" t="s">
        <v>1102</v>
      </c>
      <c r="P23" s="148">
        <v>71762.31</v>
      </c>
      <c r="Q23" s="147">
        <v>7315.2201834862381</v>
      </c>
      <c r="R23" s="149">
        <v>2.0923287671232877</v>
      </c>
      <c r="S23" s="150">
        <v>72.700583689298469</v>
      </c>
      <c r="T23" s="147">
        <v>92262.51</v>
      </c>
      <c r="U23" s="149">
        <v>1.2856680616886496</v>
      </c>
    </row>
    <row r="24" spans="1:21" x14ac:dyDescent="0.25">
      <c r="A24" s="143">
        <v>45502</v>
      </c>
      <c r="B24" s="126">
        <v>2024</v>
      </c>
      <c r="C24" s="126" t="s">
        <v>43</v>
      </c>
      <c r="D24" s="126" t="s">
        <v>387</v>
      </c>
      <c r="E24" s="126">
        <v>25.25</v>
      </c>
      <c r="F24" s="126">
        <v>83</v>
      </c>
      <c r="G24" s="144">
        <v>45419</v>
      </c>
      <c r="H24" s="145" t="s">
        <v>287</v>
      </c>
      <c r="I24" s="145">
        <v>0.85</v>
      </c>
      <c r="J24" s="146">
        <v>0.93899999999999995</v>
      </c>
      <c r="K24" s="126">
        <v>7</v>
      </c>
      <c r="L24" s="147">
        <v>2525000</v>
      </c>
      <c r="M24" s="147">
        <v>100000</v>
      </c>
      <c r="N24" s="126" t="s">
        <v>419</v>
      </c>
      <c r="O24" s="126" t="s">
        <v>1119</v>
      </c>
      <c r="P24" s="148">
        <v>110904.06999999999</v>
      </c>
      <c r="Q24" s="147">
        <v>4392.2403960396041</v>
      </c>
      <c r="R24" s="149">
        <v>2.5436144578313251</v>
      </c>
      <c r="S24" s="150">
        <v>71.677934713697439</v>
      </c>
      <c r="T24" s="147">
        <v>152723.66500000001</v>
      </c>
      <c r="U24" s="149">
        <v>1.377078992682595</v>
      </c>
    </row>
    <row r="25" spans="1:21" x14ac:dyDescent="0.25">
      <c r="A25" s="143">
        <v>45504</v>
      </c>
      <c r="B25" s="126">
        <v>2024</v>
      </c>
      <c r="C25" s="126" t="s">
        <v>39</v>
      </c>
      <c r="D25" s="126" t="s">
        <v>387</v>
      </c>
      <c r="E25" s="126">
        <v>9.5500000000000007</v>
      </c>
      <c r="F25" s="126">
        <v>103</v>
      </c>
      <c r="G25" s="144">
        <v>45401</v>
      </c>
      <c r="H25" s="145" t="s">
        <v>452</v>
      </c>
      <c r="I25" s="145">
        <v>0.6</v>
      </c>
      <c r="J25" s="146">
        <v>0.71</v>
      </c>
      <c r="K25" s="126">
        <v>12</v>
      </c>
      <c r="L25" s="147">
        <v>2343000</v>
      </c>
      <c r="M25" s="147">
        <v>245340.31413612564</v>
      </c>
      <c r="N25" s="126" t="s">
        <v>419</v>
      </c>
      <c r="O25" s="126" t="s">
        <v>1102</v>
      </c>
      <c r="P25" s="148">
        <v>89875.69</v>
      </c>
      <c r="Q25" s="147">
        <v>9411.0670157068053</v>
      </c>
      <c r="R25" s="149">
        <v>1.923980582524272</v>
      </c>
      <c r="S25" s="150">
        <v>79.632443150484036</v>
      </c>
      <c r="T25" s="147">
        <v>129079</v>
      </c>
      <c r="U25" s="149">
        <v>1.4361948153054513</v>
      </c>
    </row>
    <row r="26" spans="1:21" x14ac:dyDescent="0.25">
      <c r="A26" s="143">
        <v>45506</v>
      </c>
      <c r="B26" s="126">
        <v>2024</v>
      </c>
      <c r="C26" s="126" t="s">
        <v>39</v>
      </c>
      <c r="D26" s="126" t="s">
        <v>1120</v>
      </c>
      <c r="E26" s="126">
        <v>4.24</v>
      </c>
      <c r="F26" s="126">
        <v>74</v>
      </c>
      <c r="G26" s="144">
        <v>45432</v>
      </c>
      <c r="H26" s="145" t="s">
        <v>1112</v>
      </c>
      <c r="I26" s="145">
        <v>0.64</v>
      </c>
      <c r="J26" s="146">
        <v>0.80159999999999998</v>
      </c>
      <c r="K26" s="126">
        <v>28</v>
      </c>
      <c r="L26" s="147">
        <v>1060000</v>
      </c>
      <c r="M26" s="147">
        <v>250000</v>
      </c>
      <c r="N26" s="126" t="s">
        <v>419</v>
      </c>
      <c r="O26" s="126" t="s">
        <v>1099</v>
      </c>
      <c r="P26" s="148">
        <v>33813.67</v>
      </c>
      <c r="Q26" s="147">
        <v>7974.9221698113197</v>
      </c>
      <c r="R26" s="149">
        <v>1.9354054054054055</v>
      </c>
      <c r="S26" s="150">
        <v>90.42726058341475</v>
      </c>
      <c r="T26" s="147">
        <v>46627.29</v>
      </c>
      <c r="U26" s="149">
        <v>1.3789479225413865</v>
      </c>
    </row>
    <row r="27" spans="1:21" x14ac:dyDescent="0.25">
      <c r="A27" s="143">
        <v>45508</v>
      </c>
      <c r="B27" s="126">
        <v>2024</v>
      </c>
      <c r="C27" s="126" t="s">
        <v>39</v>
      </c>
      <c r="D27" s="126" t="s">
        <v>1121</v>
      </c>
      <c r="E27" s="126">
        <v>6.31</v>
      </c>
      <c r="F27" s="126">
        <v>65</v>
      </c>
      <c r="G27" s="144">
        <v>45443</v>
      </c>
      <c r="H27" s="145" t="s">
        <v>602</v>
      </c>
      <c r="I27" s="145">
        <v>9.5</v>
      </c>
      <c r="J27" s="146">
        <v>0.96120000000000005</v>
      </c>
      <c r="K27" s="126">
        <v>12</v>
      </c>
      <c r="L27" s="147">
        <v>1287432</v>
      </c>
      <c r="M27" s="147">
        <v>204030.42789223455</v>
      </c>
      <c r="N27" s="126" t="s">
        <v>946</v>
      </c>
      <c r="O27" s="126" t="s">
        <v>1107</v>
      </c>
      <c r="P27" s="148">
        <v>57858.899999999994</v>
      </c>
      <c r="Q27" s="147">
        <v>9169.3977812995236</v>
      </c>
      <c r="R27" s="149">
        <v>3.0444615384615381</v>
      </c>
      <c r="S27" s="150">
        <v>84.900911890578485</v>
      </c>
      <c r="T27" s="147">
        <v>60846.96</v>
      </c>
      <c r="U27" s="149">
        <v>1.0516439130367152</v>
      </c>
    </row>
    <row r="28" spans="1:21" x14ac:dyDescent="0.25">
      <c r="A28" s="143">
        <v>45511</v>
      </c>
      <c r="B28" s="126">
        <v>2024</v>
      </c>
      <c r="C28" s="126" t="s">
        <v>39</v>
      </c>
      <c r="D28" s="126" t="s">
        <v>1101</v>
      </c>
      <c r="E28" s="126">
        <v>5.01</v>
      </c>
      <c r="F28" s="126">
        <v>66</v>
      </c>
      <c r="G28" s="144">
        <v>45445</v>
      </c>
      <c r="H28" s="145" t="s">
        <v>267</v>
      </c>
      <c r="I28" s="145">
        <v>5.69</v>
      </c>
      <c r="J28" s="146">
        <v>0.55720000000000003</v>
      </c>
      <c r="K28" s="126">
        <v>13</v>
      </c>
      <c r="L28" s="147">
        <v>1000000</v>
      </c>
      <c r="M28" s="147">
        <v>199600.79840319362</v>
      </c>
      <c r="N28" s="126" t="s">
        <v>419</v>
      </c>
      <c r="O28" s="126" t="s">
        <v>1099</v>
      </c>
      <c r="P28" s="148">
        <v>34588.29</v>
      </c>
      <c r="Q28" s="147">
        <v>6903.8502994011978</v>
      </c>
      <c r="R28" s="149">
        <v>3.3833333333333333</v>
      </c>
      <c r="S28" s="150">
        <v>62.803902346719006</v>
      </c>
      <c r="T28" s="147">
        <v>45690.334999999999</v>
      </c>
      <c r="U28" s="149">
        <v>1.32097698382892</v>
      </c>
    </row>
    <row r="29" spans="1:21" x14ac:dyDescent="0.25">
      <c r="A29" s="143">
        <v>45514</v>
      </c>
      <c r="B29" s="126">
        <v>2024</v>
      </c>
      <c r="C29" s="126" t="s">
        <v>45</v>
      </c>
      <c r="D29" s="126" t="s">
        <v>1122</v>
      </c>
      <c r="E29" s="126">
        <v>14.64</v>
      </c>
      <c r="F29" s="126">
        <v>57</v>
      </c>
      <c r="G29" s="144">
        <v>45457</v>
      </c>
      <c r="H29" s="145" t="s">
        <v>1123</v>
      </c>
      <c r="I29" s="145">
        <v>0.35</v>
      </c>
      <c r="J29" s="146">
        <v>0.85</v>
      </c>
      <c r="K29" s="126">
        <v>4</v>
      </c>
      <c r="L29" s="147">
        <v>3367200</v>
      </c>
      <c r="M29" s="147">
        <v>230000</v>
      </c>
      <c r="N29" s="126" t="s">
        <v>419</v>
      </c>
      <c r="O29" s="126" t="s">
        <v>1099</v>
      </c>
      <c r="P29" s="148">
        <v>93538.64</v>
      </c>
      <c r="Q29" s="147">
        <v>6389.2513661202183</v>
      </c>
      <c r="R29" s="149">
        <v>1.6603508771929825</v>
      </c>
      <c r="S29" s="150">
        <v>93.282741195606505</v>
      </c>
      <c r="T29" s="147">
        <v>109987.49400000001</v>
      </c>
      <c r="U29" s="149">
        <v>1.1758508996923625</v>
      </c>
    </row>
    <row r="30" spans="1:21" x14ac:dyDescent="0.25">
      <c r="A30" s="143">
        <v>45517</v>
      </c>
      <c r="B30" s="126">
        <v>2024</v>
      </c>
      <c r="C30" s="126" t="s">
        <v>38</v>
      </c>
      <c r="D30" s="126" t="s">
        <v>1100</v>
      </c>
      <c r="E30" s="126">
        <v>6.5</v>
      </c>
      <c r="F30" s="126">
        <v>92</v>
      </c>
      <c r="G30" s="144">
        <v>45425</v>
      </c>
      <c r="H30" s="145" t="s">
        <v>1124</v>
      </c>
      <c r="I30" s="145">
        <v>0.6</v>
      </c>
      <c r="J30" s="146">
        <v>0.70909999999999995</v>
      </c>
      <c r="K30" s="126">
        <v>5</v>
      </c>
      <c r="L30" s="147">
        <v>780000</v>
      </c>
      <c r="M30" s="147">
        <v>120000</v>
      </c>
      <c r="N30" s="126" t="s">
        <v>419</v>
      </c>
      <c r="O30" s="126" t="s">
        <v>1102</v>
      </c>
      <c r="P30" s="148">
        <v>31670.43</v>
      </c>
      <c r="Q30" s="147">
        <v>4872.373846153846</v>
      </c>
      <c r="R30" s="149">
        <v>2.0421739130434782</v>
      </c>
      <c r="S30" s="150">
        <v>81.492344373448589</v>
      </c>
      <c r="T30" s="147">
        <v>51752.985000000001</v>
      </c>
      <c r="U30" s="149">
        <v>1.6341105883311342</v>
      </c>
    </row>
    <row r="31" spans="1:21" x14ac:dyDescent="0.25">
      <c r="A31" s="143">
        <v>45532</v>
      </c>
      <c r="B31" s="126">
        <v>2024</v>
      </c>
      <c r="C31" s="126" t="s">
        <v>47</v>
      </c>
      <c r="D31" s="126" t="s">
        <v>1101</v>
      </c>
      <c r="E31" s="126">
        <v>2.85</v>
      </c>
      <c r="F31" s="126">
        <v>54</v>
      </c>
      <c r="G31" s="144">
        <v>45478</v>
      </c>
      <c r="H31" s="145" t="s">
        <v>1125</v>
      </c>
      <c r="I31" s="145">
        <v>0.45</v>
      </c>
      <c r="J31" s="146">
        <v>0.81430000000000002</v>
      </c>
      <c r="K31" s="126">
        <v>8</v>
      </c>
      <c r="L31" s="147">
        <v>570000</v>
      </c>
      <c r="M31" s="147">
        <v>200000</v>
      </c>
      <c r="N31" s="126" t="s">
        <v>419</v>
      </c>
      <c r="O31" s="126" t="s">
        <v>1119</v>
      </c>
      <c r="P31" s="148">
        <v>18410.82</v>
      </c>
      <c r="Q31" s="147">
        <v>6459.9368421052632</v>
      </c>
      <c r="R31" s="149">
        <v>2.6042592592592593</v>
      </c>
      <c r="S31" s="150">
        <v>83.096471496922689</v>
      </c>
      <c r="T31" s="147">
        <v>21649.171999999999</v>
      </c>
      <c r="U31" s="149">
        <v>1.1758939580094747</v>
      </c>
    </row>
    <row r="32" spans="1:21" x14ac:dyDescent="0.25">
      <c r="A32" s="143">
        <v>45533</v>
      </c>
      <c r="B32" s="126">
        <v>2024</v>
      </c>
      <c r="C32" s="126" t="s">
        <v>47</v>
      </c>
      <c r="D32" s="126" t="s">
        <v>1110</v>
      </c>
      <c r="E32" s="126">
        <v>7</v>
      </c>
      <c r="F32" s="126">
        <v>56</v>
      </c>
      <c r="G32" s="144">
        <v>45477</v>
      </c>
      <c r="H32" s="145" t="s">
        <v>1126</v>
      </c>
      <c r="I32" s="145">
        <v>0.39</v>
      </c>
      <c r="J32" s="146">
        <v>0.88</v>
      </c>
      <c r="K32" s="126">
        <v>12</v>
      </c>
      <c r="L32" s="147">
        <v>1540000</v>
      </c>
      <c r="M32" s="147">
        <v>220000</v>
      </c>
      <c r="N32" s="126" t="s">
        <v>419</v>
      </c>
      <c r="O32" s="126" t="s">
        <v>1119</v>
      </c>
      <c r="P32" s="148">
        <v>39875.94</v>
      </c>
      <c r="Q32" s="147">
        <v>5696.5628571428579</v>
      </c>
      <c r="R32" s="149">
        <v>2.1475</v>
      </c>
      <c r="S32" s="150">
        <v>73.468887938904587</v>
      </c>
      <c r="T32" s="147">
        <v>50154.65</v>
      </c>
      <c r="U32" s="149">
        <v>1.2577672150173764</v>
      </c>
    </row>
    <row r="33" spans="1:21" x14ac:dyDescent="0.25">
      <c r="A33" s="143">
        <v>45534</v>
      </c>
      <c r="B33" s="126">
        <v>2024</v>
      </c>
      <c r="C33" s="126" t="s">
        <v>38</v>
      </c>
      <c r="D33" s="126" t="s">
        <v>391</v>
      </c>
      <c r="E33" s="126">
        <v>5.4</v>
      </c>
      <c r="F33" s="126">
        <v>84</v>
      </c>
      <c r="G33" s="144">
        <v>45450</v>
      </c>
      <c r="H33" s="145" t="s">
        <v>628</v>
      </c>
      <c r="I33" s="145">
        <v>0.6</v>
      </c>
      <c r="J33" s="146">
        <v>0.85109999999999997</v>
      </c>
      <c r="K33" s="126">
        <v>6</v>
      </c>
      <c r="L33" s="147">
        <v>648000</v>
      </c>
      <c r="M33" s="147">
        <v>119999.99999999999</v>
      </c>
      <c r="N33" s="126" t="s">
        <v>419</v>
      </c>
      <c r="O33" s="126" t="s">
        <v>1107</v>
      </c>
      <c r="P33" s="148">
        <v>29118.04</v>
      </c>
      <c r="Q33" s="147">
        <v>5392.229629629629</v>
      </c>
      <c r="R33" s="149">
        <v>2.2066666666666666</v>
      </c>
      <c r="S33" s="150">
        <v>84.551351246670677</v>
      </c>
      <c r="T33" s="147">
        <v>44973.84</v>
      </c>
      <c r="U33" s="149">
        <v>1.5445352777865542</v>
      </c>
    </row>
    <row r="34" spans="1:21" x14ac:dyDescent="0.25">
      <c r="A34" s="143">
        <v>45534</v>
      </c>
      <c r="B34" s="126">
        <v>2024</v>
      </c>
      <c r="C34" s="126" t="s">
        <v>47</v>
      </c>
      <c r="D34" s="126" t="s">
        <v>389</v>
      </c>
      <c r="E34" s="126">
        <v>4.7</v>
      </c>
      <c r="F34" s="126">
        <v>56</v>
      </c>
      <c r="G34" s="144">
        <v>45478</v>
      </c>
      <c r="H34" s="145" t="s">
        <v>461</v>
      </c>
      <c r="I34" s="145">
        <v>0.45</v>
      </c>
      <c r="J34" s="146">
        <v>0.80289999999999995</v>
      </c>
      <c r="K34" s="126">
        <v>14</v>
      </c>
      <c r="L34" s="147">
        <v>963500</v>
      </c>
      <c r="M34" s="147">
        <v>205000</v>
      </c>
      <c r="N34" s="126" t="s">
        <v>419</v>
      </c>
      <c r="O34" s="126" t="s">
        <v>1119</v>
      </c>
      <c r="P34" s="148">
        <v>25167.15</v>
      </c>
      <c r="Q34" s="147">
        <v>5354.7127659574471</v>
      </c>
      <c r="R34" s="149">
        <v>2.0362499999999999</v>
      </c>
      <c r="S34" s="150">
        <v>79.165925519016866</v>
      </c>
      <c r="T34" s="147">
        <v>36012.141000000003</v>
      </c>
      <c r="U34" s="149">
        <v>1.4309185187834141</v>
      </c>
    </row>
    <row r="35" spans="1:21" x14ac:dyDescent="0.25">
      <c r="A35" s="143">
        <v>45535</v>
      </c>
      <c r="B35" s="126">
        <v>2024</v>
      </c>
      <c r="C35" s="126" t="s">
        <v>38</v>
      </c>
      <c r="D35" s="126" t="s">
        <v>1127</v>
      </c>
      <c r="E35" s="126">
        <v>5.7</v>
      </c>
      <c r="F35" s="126">
        <v>85</v>
      </c>
      <c r="G35" s="144">
        <v>45450</v>
      </c>
      <c r="H35" s="145" t="s">
        <v>628</v>
      </c>
      <c r="I35" s="145">
        <v>0.6</v>
      </c>
      <c r="J35" s="146">
        <v>0.85109999999999997</v>
      </c>
      <c r="K35" s="126">
        <v>5</v>
      </c>
      <c r="L35" s="147">
        <v>684000</v>
      </c>
      <c r="M35" s="147">
        <v>120000</v>
      </c>
      <c r="N35" s="126" t="s">
        <v>419</v>
      </c>
      <c r="O35" s="126" t="s">
        <v>1107</v>
      </c>
      <c r="P35" s="148">
        <v>27076.400000000001</v>
      </c>
      <c r="Q35" s="147">
        <v>4750.2456140350878</v>
      </c>
      <c r="R35" s="149">
        <v>2.1461176470588237</v>
      </c>
      <c r="S35" s="150">
        <v>75.527286239172341</v>
      </c>
      <c r="T35" s="147">
        <v>39517.455000000002</v>
      </c>
      <c r="U35" s="149">
        <v>1.4594796575615665</v>
      </c>
    </row>
    <row r="36" spans="1:21" x14ac:dyDescent="0.25">
      <c r="A36" s="143">
        <v>45538</v>
      </c>
      <c r="B36" s="126">
        <v>2024</v>
      </c>
      <c r="C36" s="126" t="s">
        <v>44</v>
      </c>
      <c r="D36" s="126" t="s">
        <v>387</v>
      </c>
      <c r="E36" s="126">
        <v>4</v>
      </c>
      <c r="F36" s="126">
        <v>81</v>
      </c>
      <c r="G36" s="144">
        <v>45457</v>
      </c>
      <c r="H36" s="145" t="s">
        <v>659</v>
      </c>
      <c r="I36" s="145">
        <v>0.55000000000000004</v>
      </c>
      <c r="J36" s="146">
        <v>0.74670000000000003</v>
      </c>
      <c r="K36" s="126">
        <v>22</v>
      </c>
      <c r="L36" s="147">
        <v>560000</v>
      </c>
      <c r="M36" s="147">
        <v>140000</v>
      </c>
      <c r="N36" s="126" t="s">
        <v>419</v>
      </c>
      <c r="O36" s="126" t="s">
        <v>1107</v>
      </c>
      <c r="P36" s="148">
        <v>21544.95</v>
      </c>
      <c r="Q36" s="147">
        <v>5386.2375000000002</v>
      </c>
      <c r="R36" s="149">
        <v>1.9911111111111111</v>
      </c>
      <c r="S36" s="150">
        <v>77.630634274570014</v>
      </c>
      <c r="T36" s="147">
        <v>28185.811000000002</v>
      </c>
      <c r="U36" s="149">
        <v>1.3082328341444283</v>
      </c>
    </row>
    <row r="37" spans="1:21" x14ac:dyDescent="0.25">
      <c r="A37" s="143">
        <v>45542</v>
      </c>
      <c r="B37" s="126">
        <v>2024</v>
      </c>
      <c r="C37" s="126" t="s">
        <v>39</v>
      </c>
      <c r="D37" s="126" t="s">
        <v>1100</v>
      </c>
      <c r="E37" s="126">
        <v>4.72</v>
      </c>
      <c r="F37" s="126">
        <v>63</v>
      </c>
      <c r="G37" s="144">
        <v>45479</v>
      </c>
      <c r="H37" s="145" t="s">
        <v>622</v>
      </c>
      <c r="I37" s="145">
        <v>0.6</v>
      </c>
      <c r="J37" s="146">
        <v>0.73260000000000003</v>
      </c>
      <c r="K37" s="126">
        <v>4</v>
      </c>
      <c r="L37" s="147">
        <v>944000</v>
      </c>
      <c r="M37" s="147">
        <v>200000</v>
      </c>
      <c r="N37" s="126" t="s">
        <v>419</v>
      </c>
      <c r="O37" s="126" t="s">
        <v>1128</v>
      </c>
      <c r="P37" s="148">
        <v>24300.32</v>
      </c>
      <c r="Q37" s="147">
        <v>5148.3728813559328</v>
      </c>
      <c r="R37" s="149">
        <v>2.5555555555555554</v>
      </c>
      <c r="S37" s="150">
        <v>67.738000936502075</v>
      </c>
      <c r="T37" s="147">
        <v>30203.02</v>
      </c>
      <c r="U37" s="149">
        <v>1.2429062662549299</v>
      </c>
    </row>
    <row r="38" spans="1:21" x14ac:dyDescent="0.25">
      <c r="A38" s="143">
        <v>45543</v>
      </c>
      <c r="B38" s="126">
        <v>2024</v>
      </c>
      <c r="C38" s="126" t="s">
        <v>38</v>
      </c>
      <c r="D38" s="126" t="s">
        <v>1129</v>
      </c>
      <c r="E38" s="126">
        <v>5.3</v>
      </c>
      <c r="F38" s="126">
        <v>91</v>
      </c>
      <c r="G38" s="144">
        <v>45452</v>
      </c>
      <c r="H38" s="145" t="s">
        <v>628</v>
      </c>
      <c r="I38" s="145">
        <v>0.6</v>
      </c>
      <c r="J38" s="146">
        <v>0.85109999999999997</v>
      </c>
      <c r="K38" s="126">
        <v>26</v>
      </c>
      <c r="L38" s="147">
        <v>583000</v>
      </c>
      <c r="M38" s="147">
        <v>110000</v>
      </c>
      <c r="N38" s="126" t="s">
        <v>419</v>
      </c>
      <c r="O38" s="126" t="s">
        <v>1107</v>
      </c>
      <c r="P38" s="148">
        <v>27780.71</v>
      </c>
      <c r="Q38" s="147">
        <v>5241.6433962264155</v>
      </c>
      <c r="R38" s="149">
        <v>2.2384615384615385</v>
      </c>
      <c r="S38" s="150">
        <v>84.398547727813039</v>
      </c>
      <c r="T38" s="147">
        <v>41722.055</v>
      </c>
      <c r="U38" s="149">
        <v>1.5018354462502939</v>
      </c>
    </row>
    <row r="39" spans="1:21" x14ac:dyDescent="0.25">
      <c r="A39" s="143">
        <v>45543</v>
      </c>
      <c r="B39" s="126">
        <v>2024</v>
      </c>
      <c r="C39" s="126" t="s">
        <v>39</v>
      </c>
      <c r="D39" s="126" t="s">
        <v>386</v>
      </c>
      <c r="E39" s="126">
        <v>7.95</v>
      </c>
      <c r="F39" s="126">
        <v>64</v>
      </c>
      <c r="G39" s="144">
        <v>45479</v>
      </c>
      <c r="H39" s="145" t="s">
        <v>622</v>
      </c>
      <c r="I39" s="145">
        <v>0.6</v>
      </c>
      <c r="J39" s="146">
        <v>0.73260000000000003</v>
      </c>
      <c r="K39" s="126">
        <v>2</v>
      </c>
      <c r="L39" s="147">
        <v>1590000</v>
      </c>
      <c r="M39" s="147">
        <v>200000</v>
      </c>
      <c r="N39" s="126" t="s">
        <v>419</v>
      </c>
      <c r="O39" s="126" t="s">
        <v>1128</v>
      </c>
      <c r="P39" s="148">
        <v>43677.279999999999</v>
      </c>
      <c r="Q39" s="147">
        <v>5493.9974842767297</v>
      </c>
      <c r="R39" s="149">
        <v>2.3460937500000001</v>
      </c>
      <c r="S39" s="150">
        <v>71.143290772292644</v>
      </c>
      <c r="T39" s="147">
        <v>49383.040000000001</v>
      </c>
      <c r="U39" s="149">
        <v>1.1306345083759795</v>
      </c>
    </row>
    <row r="40" spans="1:21" x14ac:dyDescent="0.25">
      <c r="A40" s="143">
        <v>45545</v>
      </c>
      <c r="B40" s="126">
        <v>2024</v>
      </c>
      <c r="C40" s="126" t="s">
        <v>39</v>
      </c>
      <c r="D40" s="126" t="s">
        <v>1106</v>
      </c>
      <c r="E40" s="126">
        <v>3.84</v>
      </c>
      <c r="F40" s="126">
        <v>66</v>
      </c>
      <c r="G40" s="144">
        <v>45479</v>
      </c>
      <c r="H40" s="145" t="s">
        <v>622</v>
      </c>
      <c r="I40" s="145">
        <v>0.6</v>
      </c>
      <c r="J40" s="146">
        <v>0.73260000000000003</v>
      </c>
      <c r="K40" s="126">
        <v>22</v>
      </c>
      <c r="L40" s="147">
        <v>652800</v>
      </c>
      <c r="M40" s="147">
        <v>170000</v>
      </c>
      <c r="N40" s="126" t="s">
        <v>419</v>
      </c>
      <c r="O40" s="126" t="s">
        <v>1128</v>
      </c>
      <c r="P40" s="148">
        <v>19783</v>
      </c>
      <c r="Q40" s="147">
        <v>5151.822916666667</v>
      </c>
      <c r="R40" s="149">
        <v>1.6333333333333333</v>
      </c>
      <c r="S40" s="150">
        <v>98.475528336334534</v>
      </c>
      <c r="T40" s="147">
        <v>27006.35</v>
      </c>
      <c r="U40" s="149">
        <v>1.3651291512915129</v>
      </c>
    </row>
    <row r="41" spans="1:21" x14ac:dyDescent="0.25">
      <c r="A41" s="143">
        <v>45549</v>
      </c>
      <c r="B41" s="126">
        <v>2024</v>
      </c>
      <c r="C41" s="126" t="s">
        <v>38</v>
      </c>
      <c r="D41" s="126" t="s">
        <v>1121</v>
      </c>
      <c r="E41" s="126">
        <v>10.23</v>
      </c>
      <c r="F41" s="126">
        <v>92</v>
      </c>
      <c r="G41" s="144">
        <v>45457</v>
      </c>
      <c r="H41" s="145" t="s">
        <v>1130</v>
      </c>
      <c r="I41" s="145">
        <v>0.4</v>
      </c>
      <c r="J41" s="146">
        <v>0.80059999999999998</v>
      </c>
      <c r="K41" s="126">
        <v>3</v>
      </c>
      <c r="L41" s="147">
        <v>1227600</v>
      </c>
      <c r="M41" s="147">
        <v>120000</v>
      </c>
      <c r="N41" s="126" t="s">
        <v>419</v>
      </c>
      <c r="O41" s="126" t="s">
        <v>1099</v>
      </c>
      <c r="P41" s="148">
        <v>51773.43</v>
      </c>
      <c r="Q41" s="147">
        <v>5060.9413489736071</v>
      </c>
      <c r="R41" s="149">
        <v>2.008695652173913</v>
      </c>
      <c r="S41" s="150">
        <v>78.705560845226302</v>
      </c>
      <c r="T41" s="147">
        <v>79145.14</v>
      </c>
      <c r="U41" s="149">
        <v>1.528682569418329</v>
      </c>
    </row>
    <row r="42" spans="1:21" x14ac:dyDescent="0.25">
      <c r="A42" s="143">
        <v>45549</v>
      </c>
      <c r="B42" s="126">
        <v>2024</v>
      </c>
      <c r="C42" s="126" t="s">
        <v>39</v>
      </c>
      <c r="D42" s="126" t="s">
        <v>391</v>
      </c>
      <c r="E42" s="126">
        <v>7.78</v>
      </c>
      <c r="F42" s="126">
        <v>67</v>
      </c>
      <c r="G42" s="144">
        <v>45482</v>
      </c>
      <c r="H42" s="145" t="s">
        <v>1131</v>
      </c>
      <c r="I42" s="145">
        <v>0.6</v>
      </c>
      <c r="J42" s="146">
        <v>0.8</v>
      </c>
      <c r="K42" s="126">
        <v>5</v>
      </c>
      <c r="L42" s="147">
        <v>1600000</v>
      </c>
      <c r="M42" s="147">
        <v>205655.52699228792</v>
      </c>
      <c r="N42" s="126" t="s">
        <v>419</v>
      </c>
      <c r="O42" s="126" t="s">
        <v>1099</v>
      </c>
      <c r="P42" s="148">
        <v>40434.050000000003</v>
      </c>
      <c r="Q42" s="147">
        <v>5197.1786632390749</v>
      </c>
      <c r="R42" s="149">
        <v>2.5346268656716422</v>
      </c>
      <c r="S42" s="150">
        <v>64.16064800522166</v>
      </c>
      <c r="T42" s="147">
        <v>50264.88</v>
      </c>
      <c r="U42" s="149">
        <v>1.2431324589053037</v>
      </c>
    </row>
    <row r="43" spans="1:21" x14ac:dyDescent="0.25">
      <c r="A43" s="143">
        <v>45550</v>
      </c>
      <c r="B43" s="126">
        <v>2024</v>
      </c>
      <c r="C43" s="126" t="s">
        <v>38</v>
      </c>
      <c r="D43" s="126" t="s">
        <v>1114</v>
      </c>
      <c r="E43" s="126">
        <v>7.45</v>
      </c>
      <c r="F43" s="126">
        <v>93</v>
      </c>
      <c r="G43" s="144">
        <v>45457</v>
      </c>
      <c r="H43" s="145" t="s">
        <v>1130</v>
      </c>
      <c r="I43" s="145">
        <v>0.4</v>
      </c>
      <c r="J43" s="146">
        <v>0.80069999999999997</v>
      </c>
      <c r="K43" s="126">
        <v>15</v>
      </c>
      <c r="L43" s="147">
        <v>894000</v>
      </c>
      <c r="M43" s="147">
        <v>120000</v>
      </c>
      <c r="N43" s="126" t="s">
        <v>419</v>
      </c>
      <c r="O43" s="126" t="s">
        <v>1099</v>
      </c>
      <c r="P43" s="148">
        <v>29473.469999999998</v>
      </c>
      <c r="Q43" s="147">
        <v>3956.1704697986575</v>
      </c>
      <c r="R43" s="149">
        <v>2.1413978494623653</v>
      </c>
      <c r="S43" s="150">
        <v>63.000109332977019</v>
      </c>
      <c r="T43" s="147">
        <v>54343.39</v>
      </c>
      <c r="U43" s="149">
        <v>1.8438069898115155</v>
      </c>
    </row>
    <row r="44" spans="1:21" x14ac:dyDescent="0.25">
      <c r="A44" s="143">
        <v>45554</v>
      </c>
      <c r="B44" s="126">
        <v>2024</v>
      </c>
      <c r="C44" s="126" t="s">
        <v>47</v>
      </c>
      <c r="D44" s="126" t="s">
        <v>1100</v>
      </c>
      <c r="E44" s="126">
        <v>8.36</v>
      </c>
      <c r="F44" s="126">
        <v>95</v>
      </c>
      <c r="G44" s="144">
        <v>45459</v>
      </c>
      <c r="H44" s="145" t="s">
        <v>685</v>
      </c>
      <c r="I44" s="145">
        <v>0.45</v>
      </c>
      <c r="J44" s="146">
        <v>0.7</v>
      </c>
      <c r="K44" s="126">
        <v>11</v>
      </c>
      <c r="L44" s="147">
        <v>879200</v>
      </c>
      <c r="M44" s="147">
        <v>105167.46411483255</v>
      </c>
      <c r="N44" s="126" t="s">
        <v>419</v>
      </c>
      <c r="O44" s="126" t="s">
        <v>1099</v>
      </c>
      <c r="P44" s="148">
        <v>50222.96</v>
      </c>
      <c r="Q44" s="147">
        <v>6007.5311004784689</v>
      </c>
      <c r="R44" s="149">
        <v>2.3122105263157895</v>
      </c>
      <c r="S44" s="150">
        <v>82.545618528620082</v>
      </c>
      <c r="T44" s="147">
        <v>67897.270799999998</v>
      </c>
      <c r="U44" s="149">
        <v>1.3519169479457205</v>
      </c>
    </row>
    <row r="45" spans="1:21" x14ac:dyDescent="0.25">
      <c r="A45" s="143">
        <v>45559</v>
      </c>
      <c r="B45" s="126">
        <v>2024</v>
      </c>
      <c r="C45" s="126" t="s">
        <v>47</v>
      </c>
      <c r="D45" s="126" t="s">
        <v>390</v>
      </c>
      <c r="E45" s="126">
        <v>7.84</v>
      </c>
      <c r="F45" s="126">
        <v>100</v>
      </c>
      <c r="G45" s="144">
        <v>45459</v>
      </c>
      <c r="H45" s="145" t="s">
        <v>685</v>
      </c>
      <c r="I45" s="145">
        <v>0.45</v>
      </c>
      <c r="J45" s="146">
        <v>0.7</v>
      </c>
      <c r="K45" s="126">
        <v>10</v>
      </c>
      <c r="L45" s="147">
        <v>940800</v>
      </c>
      <c r="M45" s="147">
        <v>120000</v>
      </c>
      <c r="N45" s="126" t="s">
        <v>419</v>
      </c>
      <c r="O45" s="126" t="s">
        <v>1099</v>
      </c>
      <c r="P45" s="148">
        <v>50389.73</v>
      </c>
      <c r="Q45" s="147">
        <v>6427.2614795918371</v>
      </c>
      <c r="R45" s="149">
        <v>2.3548</v>
      </c>
      <c r="S45" s="150">
        <v>72.284401301394524</v>
      </c>
      <c r="T45" s="147">
        <v>69605.835800000001</v>
      </c>
      <c r="U45" s="149">
        <v>1.3813496480334384</v>
      </c>
    </row>
    <row r="46" spans="1:21" x14ac:dyDescent="0.25">
      <c r="A46" s="143">
        <v>45574</v>
      </c>
      <c r="B46" s="126">
        <v>2024</v>
      </c>
      <c r="C46" s="126" t="s">
        <v>36</v>
      </c>
      <c r="D46" s="126" t="s">
        <v>388</v>
      </c>
      <c r="E46" s="126">
        <v>2.36</v>
      </c>
      <c r="F46" s="126">
        <v>87</v>
      </c>
      <c r="G46" s="144">
        <v>45487</v>
      </c>
      <c r="H46" s="145" t="s">
        <v>1132</v>
      </c>
      <c r="I46" s="145">
        <v>0.42</v>
      </c>
      <c r="J46" s="146">
        <v>0.76700000000000002</v>
      </c>
      <c r="K46" s="126">
        <v>6</v>
      </c>
      <c r="L46" s="147">
        <v>306800</v>
      </c>
      <c r="M46" s="147">
        <v>130000</v>
      </c>
      <c r="N46" s="126" t="s">
        <v>419</v>
      </c>
      <c r="O46" s="126" t="s">
        <v>1107</v>
      </c>
      <c r="P46" s="148">
        <v>17225.72</v>
      </c>
      <c r="Q46" s="147">
        <v>7299.033898305086</v>
      </c>
      <c r="R46" s="149">
        <v>2.3397701149425285</v>
      </c>
      <c r="S46" s="150">
        <v>93.739336670296552</v>
      </c>
      <c r="T46" s="147">
        <v>25313.217199999999</v>
      </c>
      <c r="U46" s="149">
        <v>1.4695012574220407</v>
      </c>
    </row>
    <row r="47" spans="1:21" x14ac:dyDescent="0.25">
      <c r="A47" s="143">
        <v>45579</v>
      </c>
      <c r="B47" s="126">
        <v>2024</v>
      </c>
      <c r="C47" s="126" t="s">
        <v>45</v>
      </c>
      <c r="D47" s="126" t="s">
        <v>389</v>
      </c>
      <c r="E47" s="126">
        <v>9.3000000000000007</v>
      </c>
      <c r="F47" s="126">
        <v>90</v>
      </c>
      <c r="G47" s="144">
        <v>45489</v>
      </c>
      <c r="H47" s="145" t="s">
        <v>1133</v>
      </c>
      <c r="I47" s="145">
        <v>0.5</v>
      </c>
      <c r="J47" s="146">
        <v>0.72</v>
      </c>
      <c r="K47" s="126">
        <v>6</v>
      </c>
      <c r="L47" s="147">
        <v>1162000</v>
      </c>
      <c r="M47" s="147">
        <v>124946.23655913977</v>
      </c>
      <c r="N47" s="126" t="s">
        <v>946</v>
      </c>
      <c r="O47" s="126" t="s">
        <v>1107</v>
      </c>
      <c r="P47" s="148">
        <v>61944.7</v>
      </c>
      <c r="Q47" s="147">
        <v>6660.7204301075262</v>
      </c>
      <c r="R47" s="149">
        <v>2.333333333333333</v>
      </c>
      <c r="S47" s="150">
        <v>90.194504529837289</v>
      </c>
      <c r="T47" s="147">
        <v>91248.394</v>
      </c>
      <c r="U47" s="149">
        <v>1.4730621667390431</v>
      </c>
    </row>
    <row r="48" spans="1:21" x14ac:dyDescent="0.25">
      <c r="A48" s="143">
        <v>45583</v>
      </c>
      <c r="B48" s="126">
        <v>2024</v>
      </c>
      <c r="C48" s="126" t="s">
        <v>47</v>
      </c>
      <c r="D48" s="126" t="s">
        <v>388</v>
      </c>
      <c r="E48" s="126">
        <v>6.71</v>
      </c>
      <c r="F48" s="126">
        <v>92</v>
      </c>
      <c r="G48" s="144">
        <v>45491</v>
      </c>
      <c r="H48" s="145" t="s">
        <v>1134</v>
      </c>
      <c r="I48" s="145">
        <v>0.52</v>
      </c>
      <c r="J48" s="146">
        <v>0.75849999999999995</v>
      </c>
      <c r="K48" s="126">
        <v>10</v>
      </c>
      <c r="L48" s="147">
        <v>872300</v>
      </c>
      <c r="M48" s="147">
        <v>130000</v>
      </c>
      <c r="N48" s="126" t="s">
        <v>419</v>
      </c>
      <c r="O48" s="126" t="s">
        <v>1107</v>
      </c>
      <c r="P48" s="148">
        <v>49127.18</v>
      </c>
      <c r="Q48" s="147">
        <v>7321.4873323397915</v>
      </c>
      <c r="R48" s="149">
        <v>2.5108695652173916</v>
      </c>
      <c r="S48" s="150">
        <v>81.714343458517874</v>
      </c>
      <c r="T48" s="147">
        <v>70346.581399999995</v>
      </c>
      <c r="U48" s="149">
        <v>1.4319279348010612</v>
      </c>
    </row>
    <row r="49" spans="1:21" x14ac:dyDescent="0.25">
      <c r="A49" s="143">
        <v>45584</v>
      </c>
      <c r="B49" s="126">
        <v>2024</v>
      </c>
      <c r="C49" s="126" t="s">
        <v>47</v>
      </c>
      <c r="D49" s="126" t="s">
        <v>1114</v>
      </c>
      <c r="E49" s="126">
        <v>6.7</v>
      </c>
      <c r="F49" s="126">
        <v>93</v>
      </c>
      <c r="G49" s="144">
        <v>45491</v>
      </c>
      <c r="H49" s="145" t="s">
        <v>456</v>
      </c>
      <c r="I49" s="145">
        <v>0.55000000000000004</v>
      </c>
      <c r="J49" s="146">
        <v>0.871</v>
      </c>
      <c r="K49" s="126">
        <v>11</v>
      </c>
      <c r="L49" s="147">
        <v>871000</v>
      </c>
      <c r="M49" s="147">
        <v>130000</v>
      </c>
      <c r="N49" s="126" t="s">
        <v>419</v>
      </c>
      <c r="O49" s="126" t="s">
        <v>1107</v>
      </c>
      <c r="P49" s="148">
        <v>57074.270000000004</v>
      </c>
      <c r="Q49" s="147">
        <v>8518.5477611940296</v>
      </c>
      <c r="R49" s="149">
        <v>2.4838709677419355</v>
      </c>
      <c r="S49" s="150">
        <v>111.28707975451889</v>
      </c>
      <c r="T49" s="147">
        <v>76885.425000000003</v>
      </c>
      <c r="U49" s="149">
        <v>1.3471118421663562</v>
      </c>
    </row>
  </sheetData>
  <autoFilter ref="A1:U1" xr:uid="{A9EA74F8-99D0-4833-AE31-9A479A35424F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9ED3E-C4ED-4864-8A57-29ED8500C99B}">
  <sheetPr codeName="Hoja15"/>
  <dimension ref="A1:U43"/>
  <sheetViews>
    <sheetView workbookViewId="0">
      <selection activeCell="C2" sqref="C2"/>
    </sheetView>
  </sheetViews>
  <sheetFormatPr baseColWidth="10" defaultColWidth="9.140625" defaultRowHeight="15" x14ac:dyDescent="0.25"/>
  <cols>
    <col min="1" max="1" width="11.42578125" style="6" bestFit="1" customWidth="1"/>
    <col min="7" max="7" width="11.42578125" style="129" bestFit="1" customWidth="1"/>
    <col min="8" max="8" width="15.28515625" style="130" customWidth="1"/>
    <col min="9" max="9" width="9.140625" style="130"/>
    <col min="10" max="10" width="9.140625" style="131"/>
    <col min="12" max="12" width="11.42578125" style="133" bestFit="1" customWidth="1"/>
    <col min="13" max="13" width="10.28515625" style="133" bestFit="1" customWidth="1"/>
    <col min="14" max="14" width="14.5703125" customWidth="1"/>
    <col min="15" max="15" width="19.42578125" customWidth="1"/>
    <col min="16" max="16" width="10.85546875" style="133" bestFit="1" customWidth="1"/>
    <col min="17" max="17" width="9.140625" style="133"/>
    <col min="18" max="18" width="9.140625" style="11"/>
    <col min="19" max="19" width="9.140625" style="134"/>
    <col min="20" max="20" width="10.85546875" style="133" bestFit="1" customWidth="1"/>
    <col min="21" max="21" width="9.140625" style="11"/>
  </cols>
  <sheetData>
    <row r="1" spans="1:21" x14ac:dyDescent="0.25">
      <c r="A1" s="143" t="s">
        <v>56</v>
      </c>
      <c r="B1" s="126" t="s">
        <v>58</v>
      </c>
      <c r="C1" s="126" t="s">
        <v>61</v>
      </c>
      <c r="D1" s="126" t="s">
        <v>32</v>
      </c>
      <c r="E1" s="126" t="s">
        <v>62</v>
      </c>
      <c r="F1" s="126" t="s">
        <v>63</v>
      </c>
      <c r="G1" s="144" t="s">
        <v>64</v>
      </c>
      <c r="H1" s="145" t="s">
        <v>65</v>
      </c>
      <c r="I1" s="145" t="s">
        <v>66</v>
      </c>
      <c r="J1" s="146" t="s">
        <v>1135</v>
      </c>
      <c r="K1" s="126" t="s">
        <v>67</v>
      </c>
      <c r="L1" s="147" t="s">
        <v>68</v>
      </c>
      <c r="M1" s="147" t="s">
        <v>69</v>
      </c>
      <c r="N1" s="126" t="s">
        <v>71</v>
      </c>
      <c r="O1" s="126" t="s">
        <v>72</v>
      </c>
      <c r="P1" s="147" t="s">
        <v>86</v>
      </c>
      <c r="Q1" s="147" t="s">
        <v>88</v>
      </c>
      <c r="R1" s="149" t="s">
        <v>89</v>
      </c>
      <c r="S1" s="151" t="s">
        <v>91</v>
      </c>
      <c r="T1" s="147" t="s">
        <v>92</v>
      </c>
      <c r="U1" s="149" t="s">
        <v>94</v>
      </c>
    </row>
    <row r="2" spans="1:21" x14ac:dyDescent="0.25">
      <c r="A2" s="143">
        <v>45424</v>
      </c>
      <c r="B2" s="126">
        <v>2024</v>
      </c>
      <c r="C2" s="126" t="s">
        <v>1106</v>
      </c>
      <c r="D2" s="126" t="s">
        <v>36</v>
      </c>
      <c r="E2" s="126">
        <v>9.4</v>
      </c>
      <c r="F2" s="126">
        <v>60</v>
      </c>
      <c r="G2" s="144">
        <v>45364</v>
      </c>
      <c r="H2" s="145" t="s">
        <v>1136</v>
      </c>
      <c r="I2" s="145">
        <v>0.39</v>
      </c>
      <c r="J2" s="146">
        <v>0.75129999999999997</v>
      </c>
      <c r="K2" s="126">
        <v>5</v>
      </c>
      <c r="L2" s="147">
        <v>2162000</v>
      </c>
      <c r="M2" s="147">
        <v>230000</v>
      </c>
      <c r="N2" s="126" t="s">
        <v>418</v>
      </c>
      <c r="O2" s="126" t="s">
        <v>1102</v>
      </c>
      <c r="P2" s="147">
        <v>39617.599999999999</v>
      </c>
      <c r="Q2" s="147">
        <v>4214.6382978723404</v>
      </c>
      <c r="R2" s="149">
        <v>1.498</v>
      </c>
      <c r="S2" s="151">
        <v>64.792285901193367</v>
      </c>
      <c r="T2" s="147">
        <v>58937.776400000002</v>
      </c>
      <c r="U2" s="149">
        <v>1.4876665017567952</v>
      </c>
    </row>
    <row r="3" spans="1:21" x14ac:dyDescent="0.25">
      <c r="A3" s="143">
        <v>45424</v>
      </c>
      <c r="B3" s="126">
        <v>2024</v>
      </c>
      <c r="C3" s="126" t="s">
        <v>1121</v>
      </c>
      <c r="D3" s="126" t="s">
        <v>36</v>
      </c>
      <c r="E3" s="126">
        <v>7.72</v>
      </c>
      <c r="F3" s="126">
        <v>61</v>
      </c>
      <c r="G3" s="144">
        <v>45363</v>
      </c>
      <c r="H3" s="145" t="s">
        <v>1137</v>
      </c>
      <c r="I3" s="145">
        <v>0.38</v>
      </c>
      <c r="J3" s="146">
        <v>0.7581</v>
      </c>
      <c r="K3" s="126">
        <v>6</v>
      </c>
      <c r="L3" s="147">
        <v>1737000</v>
      </c>
      <c r="M3" s="147">
        <v>225000</v>
      </c>
      <c r="N3" s="126" t="s">
        <v>418</v>
      </c>
      <c r="O3" s="126" t="s">
        <v>1102</v>
      </c>
      <c r="P3" s="147">
        <v>29291.25</v>
      </c>
      <c r="Q3" s="147">
        <v>3794.2033678756479</v>
      </c>
      <c r="R3" s="149">
        <v>1.4895081967213117</v>
      </c>
      <c r="S3" s="151">
        <v>59.360345711300887</v>
      </c>
      <c r="T3" s="147">
        <v>46080.549200000001</v>
      </c>
      <c r="U3" s="149">
        <v>1.5731847975077882</v>
      </c>
    </row>
    <row r="4" spans="1:21" x14ac:dyDescent="0.25">
      <c r="A4" s="143">
        <v>45431</v>
      </c>
      <c r="B4" s="126">
        <v>2024</v>
      </c>
      <c r="C4" s="126" t="s">
        <v>1121</v>
      </c>
      <c r="D4" s="126" t="s">
        <v>39</v>
      </c>
      <c r="E4" s="126">
        <v>6.31</v>
      </c>
      <c r="F4" s="126">
        <v>36</v>
      </c>
      <c r="G4" s="144">
        <v>45395</v>
      </c>
      <c r="H4" s="145" t="s">
        <v>1138</v>
      </c>
      <c r="I4" s="145">
        <v>8.5</v>
      </c>
      <c r="J4" s="146">
        <v>0.86929999999999996</v>
      </c>
      <c r="K4" s="126">
        <v>43</v>
      </c>
      <c r="L4" s="147">
        <v>921875</v>
      </c>
      <c r="M4" s="147">
        <v>146097.46434231379</v>
      </c>
      <c r="N4" s="126" t="s">
        <v>418</v>
      </c>
      <c r="O4" s="126" t="s">
        <v>1102</v>
      </c>
      <c r="P4" s="147">
        <v>32622.91</v>
      </c>
      <c r="Q4" s="147">
        <v>5170.0332805071321</v>
      </c>
      <c r="R4" s="149">
        <v>4.4799999999999995</v>
      </c>
      <c r="S4" s="151">
        <v>69.730702165725063</v>
      </c>
      <c r="T4" s="147">
        <v>56878.68</v>
      </c>
      <c r="U4" s="149">
        <v>1.7435195082229022</v>
      </c>
    </row>
    <row r="5" spans="1:21" x14ac:dyDescent="0.25">
      <c r="A5" s="143">
        <v>45440</v>
      </c>
      <c r="B5" s="126">
        <v>2024</v>
      </c>
      <c r="C5" s="126" t="s">
        <v>1127</v>
      </c>
      <c r="D5" s="126" t="s">
        <v>39</v>
      </c>
      <c r="E5" s="126">
        <v>6.85</v>
      </c>
      <c r="F5" s="126">
        <v>89</v>
      </c>
      <c r="G5" s="144">
        <v>45351</v>
      </c>
      <c r="H5" s="145" t="s">
        <v>1139</v>
      </c>
      <c r="I5" s="145">
        <v>0.52</v>
      </c>
      <c r="J5" s="146">
        <v>0.86250000000000004</v>
      </c>
      <c r="K5" s="126">
        <v>12</v>
      </c>
      <c r="L5" s="147">
        <v>2051999</v>
      </c>
      <c r="M5" s="147">
        <v>299561.89781021897</v>
      </c>
      <c r="N5" s="126" t="s">
        <v>418</v>
      </c>
      <c r="O5" s="126" t="s">
        <v>1102</v>
      </c>
      <c r="P5" s="147">
        <v>46622.12</v>
      </c>
      <c r="Q5" s="147">
        <v>6806.1489051094895</v>
      </c>
      <c r="R5" s="149">
        <v>1.7806741573033709</v>
      </c>
      <c r="S5" s="151">
        <v>53.798732846621533</v>
      </c>
      <c r="T5" s="147">
        <v>72178.604000000007</v>
      </c>
      <c r="U5" s="149">
        <v>1.5481622028341913</v>
      </c>
    </row>
    <row r="6" spans="1:21" x14ac:dyDescent="0.25">
      <c r="A6" s="143">
        <v>45444</v>
      </c>
      <c r="B6" s="126">
        <v>2024</v>
      </c>
      <c r="C6" s="126" t="s">
        <v>1140</v>
      </c>
      <c r="D6" s="126" t="s">
        <v>39</v>
      </c>
      <c r="E6" s="126">
        <v>7.74</v>
      </c>
      <c r="F6" s="126">
        <v>76</v>
      </c>
      <c r="G6" s="144">
        <v>45368</v>
      </c>
      <c r="H6" s="145" t="s">
        <v>439</v>
      </c>
      <c r="I6" s="145">
        <v>0.46</v>
      </c>
      <c r="J6" s="146">
        <v>0.85150000000000003</v>
      </c>
      <c r="K6" s="126">
        <v>4</v>
      </c>
      <c r="L6" s="147">
        <v>2213913</v>
      </c>
      <c r="M6" s="147">
        <v>286035.27131782944</v>
      </c>
      <c r="N6" s="126" t="s">
        <v>418</v>
      </c>
      <c r="O6" s="126" t="s">
        <v>1107</v>
      </c>
      <c r="P6" s="147">
        <v>39484.160000000003</v>
      </c>
      <c r="Q6" s="147">
        <v>5101.3126614987086</v>
      </c>
      <c r="R6" s="149">
        <v>2.0299999999999998</v>
      </c>
      <c r="S6" s="151">
        <v>43.970891522568159</v>
      </c>
      <c r="T6" s="147">
        <v>60075.35</v>
      </c>
      <c r="U6" s="149">
        <v>1.5215050795053002</v>
      </c>
    </row>
    <row r="7" spans="1:21" x14ac:dyDescent="0.25">
      <c r="A7" s="143">
        <v>45448</v>
      </c>
      <c r="B7" s="126">
        <v>2024</v>
      </c>
      <c r="C7" s="126" t="s">
        <v>1121</v>
      </c>
      <c r="D7" s="126" t="s">
        <v>45</v>
      </c>
      <c r="E7" s="126">
        <v>8.93</v>
      </c>
      <c r="F7" s="126">
        <v>69</v>
      </c>
      <c r="G7" s="144">
        <v>45379</v>
      </c>
      <c r="H7" s="145" t="s">
        <v>729</v>
      </c>
      <c r="I7" s="145">
        <v>0.6</v>
      </c>
      <c r="J7" s="146">
        <v>0.63790000000000002</v>
      </c>
      <c r="K7" s="126">
        <v>7</v>
      </c>
      <c r="L7" s="147">
        <v>893000</v>
      </c>
      <c r="M7" s="147">
        <v>100000</v>
      </c>
      <c r="N7" s="126" t="s">
        <v>418</v>
      </c>
      <c r="O7" s="126" t="s">
        <v>1099</v>
      </c>
      <c r="P7" s="147">
        <v>26364.71</v>
      </c>
      <c r="Q7" s="147">
        <v>2952.3751399776038</v>
      </c>
      <c r="R7" s="149">
        <v>1.8666666666666665</v>
      </c>
      <c r="S7" s="151">
        <v>76.34324776965093</v>
      </c>
      <c r="T7" s="147">
        <v>39493.204400000002</v>
      </c>
      <c r="U7" s="149">
        <v>1.4979570949196863</v>
      </c>
    </row>
    <row r="8" spans="1:21" x14ac:dyDescent="0.25">
      <c r="A8" s="143">
        <v>45450</v>
      </c>
      <c r="B8" s="126">
        <v>2024</v>
      </c>
      <c r="C8" s="126" t="s">
        <v>1114</v>
      </c>
      <c r="D8" s="126" t="s">
        <v>39</v>
      </c>
      <c r="E8" s="126">
        <v>7.95</v>
      </c>
      <c r="F8" s="126">
        <v>96</v>
      </c>
      <c r="G8" s="144">
        <v>45354</v>
      </c>
      <c r="H8" s="145" t="s">
        <v>1141</v>
      </c>
      <c r="I8" s="145">
        <v>0.77</v>
      </c>
      <c r="J8" s="146">
        <v>0.76439999999999997</v>
      </c>
      <c r="K8" s="126">
        <v>4</v>
      </c>
      <c r="L8" s="147">
        <v>1987506</v>
      </c>
      <c r="M8" s="147">
        <v>250000.75471698112</v>
      </c>
      <c r="N8" s="126" t="s">
        <v>418</v>
      </c>
      <c r="O8" s="126" t="s">
        <v>1102</v>
      </c>
      <c r="P8" s="147">
        <v>63324.01</v>
      </c>
      <c r="Q8" s="147">
        <v>7965.2842767295597</v>
      </c>
      <c r="R8" s="149">
        <v>2.2042708333333336</v>
      </c>
      <c r="S8" s="151">
        <v>63.290182636971501</v>
      </c>
      <c r="T8" s="147">
        <v>84546.41</v>
      </c>
      <c r="U8" s="149">
        <v>1.3351398624313273</v>
      </c>
    </row>
    <row r="9" spans="1:21" x14ac:dyDescent="0.25">
      <c r="A9" s="143">
        <v>45465</v>
      </c>
      <c r="B9" s="126">
        <v>2024</v>
      </c>
      <c r="C9" s="126" t="s">
        <v>1142</v>
      </c>
      <c r="D9" s="126" t="s">
        <v>37</v>
      </c>
      <c r="E9" s="126">
        <v>6.1</v>
      </c>
      <c r="F9" s="126">
        <v>85</v>
      </c>
      <c r="G9" s="144">
        <v>45380</v>
      </c>
      <c r="H9" s="145" t="s">
        <v>1143</v>
      </c>
      <c r="I9" s="145">
        <v>0.82</v>
      </c>
      <c r="J9" s="146">
        <v>0.70760000000000001</v>
      </c>
      <c r="K9" s="126">
        <v>15</v>
      </c>
      <c r="L9" s="147">
        <v>793000</v>
      </c>
      <c r="M9" s="147">
        <v>130000.00000000001</v>
      </c>
      <c r="N9" s="126" t="s">
        <v>418</v>
      </c>
      <c r="O9" s="126" t="s">
        <v>1099</v>
      </c>
      <c r="P9" s="147">
        <v>41417.29</v>
      </c>
      <c r="Q9" s="147">
        <v>6789.7196721311484</v>
      </c>
      <c r="R9" s="149">
        <v>2.1271764705882354</v>
      </c>
      <c r="S9" s="151">
        <v>96.73188949116431</v>
      </c>
      <c r="T9" s="147">
        <v>55124</v>
      </c>
      <c r="U9" s="149">
        <v>1.3309417395488696</v>
      </c>
    </row>
    <row r="10" spans="1:21" x14ac:dyDescent="0.25">
      <c r="A10" s="143">
        <v>45466</v>
      </c>
      <c r="B10" s="126">
        <v>2024</v>
      </c>
      <c r="C10" s="126" t="s">
        <v>1115</v>
      </c>
      <c r="D10" s="126" t="s">
        <v>47</v>
      </c>
      <c r="E10" s="126">
        <v>4.51</v>
      </c>
      <c r="F10" s="126">
        <v>84</v>
      </c>
      <c r="G10" s="144">
        <v>45382</v>
      </c>
      <c r="H10" s="145" t="s">
        <v>1144</v>
      </c>
      <c r="I10" s="145">
        <v>0.75</v>
      </c>
      <c r="J10" s="146">
        <v>0.79259999999999997</v>
      </c>
      <c r="K10" s="126">
        <v>7</v>
      </c>
      <c r="L10" s="147">
        <v>631400</v>
      </c>
      <c r="M10" s="147">
        <v>140000</v>
      </c>
      <c r="N10" s="126" t="s">
        <v>418</v>
      </c>
      <c r="O10" s="126" t="s">
        <v>1099</v>
      </c>
      <c r="P10" s="147">
        <v>32505.919999999998</v>
      </c>
      <c r="Q10" s="147">
        <v>7207.5210643015516</v>
      </c>
      <c r="R10" s="149">
        <v>2.3483333333333332</v>
      </c>
      <c r="S10" s="151">
        <v>82.941664888799167</v>
      </c>
      <c r="T10" s="147">
        <v>41424.434000000001</v>
      </c>
      <c r="U10" s="149">
        <v>1.2743658385918628</v>
      </c>
    </row>
    <row r="11" spans="1:21" x14ac:dyDescent="0.25">
      <c r="A11" s="143">
        <v>45467</v>
      </c>
      <c r="B11" s="126">
        <v>2024</v>
      </c>
      <c r="C11" s="126" t="s">
        <v>1129</v>
      </c>
      <c r="D11" s="126" t="s">
        <v>37</v>
      </c>
      <c r="E11" s="126">
        <v>5.54</v>
      </c>
      <c r="F11" s="126">
        <v>87</v>
      </c>
      <c r="G11" s="144">
        <v>45380</v>
      </c>
      <c r="H11" s="145" t="s">
        <v>1145</v>
      </c>
      <c r="I11" s="145">
        <v>0.82</v>
      </c>
      <c r="J11" s="146">
        <v>0.81069999999999998</v>
      </c>
      <c r="K11" s="126">
        <v>16</v>
      </c>
      <c r="L11" s="147">
        <v>720200</v>
      </c>
      <c r="M11" s="147">
        <v>130000</v>
      </c>
      <c r="N11" s="126" t="s">
        <v>418</v>
      </c>
      <c r="O11" s="126" t="s">
        <v>1099</v>
      </c>
      <c r="P11" s="147">
        <v>31848.909999999996</v>
      </c>
      <c r="Q11" s="147">
        <v>5748.9007220216599</v>
      </c>
      <c r="R11" s="149">
        <v>2.0935632183908046</v>
      </c>
      <c r="S11" s="151">
        <v>82.465035093931689</v>
      </c>
      <c r="T11" s="147">
        <v>50624.229800000001</v>
      </c>
      <c r="U11" s="149">
        <v>1.5895121622686619</v>
      </c>
    </row>
    <row r="12" spans="1:21" x14ac:dyDescent="0.25">
      <c r="A12" s="143">
        <v>45467</v>
      </c>
      <c r="B12" s="126">
        <v>2024</v>
      </c>
      <c r="C12" s="126" t="s">
        <v>1110</v>
      </c>
      <c r="D12" s="126" t="s">
        <v>39</v>
      </c>
      <c r="E12" s="126">
        <v>13.43</v>
      </c>
      <c r="F12" s="126">
        <v>58</v>
      </c>
      <c r="G12" s="144">
        <v>45409</v>
      </c>
      <c r="H12" s="145" t="s">
        <v>443</v>
      </c>
      <c r="I12" s="145">
        <v>0.33</v>
      </c>
      <c r="J12" s="146">
        <v>0.63349999999999995</v>
      </c>
      <c r="K12" s="126">
        <v>9</v>
      </c>
      <c r="L12" s="147">
        <v>3167358</v>
      </c>
      <c r="M12" s="147">
        <v>235841.99553239017</v>
      </c>
      <c r="N12" s="126" t="s">
        <v>683</v>
      </c>
      <c r="O12" s="126" t="s">
        <v>1102</v>
      </c>
      <c r="P12" s="147">
        <v>75767.73</v>
      </c>
      <c r="Q12" s="147">
        <v>5641.6775874906925</v>
      </c>
      <c r="R12" s="149">
        <v>2.172413793103448</v>
      </c>
      <c r="S12" s="151">
        <v>68.899902815504703</v>
      </c>
      <c r="T12" s="147">
        <v>76830.31</v>
      </c>
      <c r="U12" s="149">
        <v>1.0140241762555113</v>
      </c>
    </row>
    <row r="13" spans="1:21" x14ac:dyDescent="0.25">
      <c r="A13" s="143">
        <v>45470</v>
      </c>
      <c r="B13" s="126">
        <v>2024</v>
      </c>
      <c r="C13" s="126" t="s">
        <v>1101</v>
      </c>
      <c r="D13" s="126" t="s">
        <v>47</v>
      </c>
      <c r="E13" s="126">
        <v>2.85</v>
      </c>
      <c r="F13" s="126">
        <v>88</v>
      </c>
      <c r="G13" s="144">
        <v>45382</v>
      </c>
      <c r="H13" s="145" t="s">
        <v>1144</v>
      </c>
      <c r="I13" s="145">
        <v>0.75</v>
      </c>
      <c r="J13" s="146">
        <v>0.79259999999999997</v>
      </c>
      <c r="K13" s="126">
        <v>4</v>
      </c>
      <c r="L13" s="147">
        <v>399000</v>
      </c>
      <c r="M13" s="147">
        <v>140000</v>
      </c>
      <c r="N13" s="126" t="s">
        <v>418</v>
      </c>
      <c r="O13" s="126" t="s">
        <v>1099</v>
      </c>
      <c r="P13" s="147">
        <v>16937.78</v>
      </c>
      <c r="Q13" s="147">
        <v>5943.0807017543857</v>
      </c>
      <c r="R13" s="149">
        <v>2.4142045454545458</v>
      </c>
      <c r="S13" s="151">
        <v>63.501027032160287</v>
      </c>
      <c r="T13" s="147">
        <v>24528.3796</v>
      </c>
      <c r="U13" s="149">
        <v>1.4481460734523652</v>
      </c>
    </row>
    <row r="14" spans="1:21" x14ac:dyDescent="0.25">
      <c r="A14" s="143">
        <v>45473</v>
      </c>
      <c r="B14" s="126">
        <v>2024</v>
      </c>
      <c r="C14" s="126" t="s">
        <v>1146</v>
      </c>
      <c r="D14" s="126" t="s">
        <v>39</v>
      </c>
      <c r="E14" s="126">
        <v>5.34</v>
      </c>
      <c r="F14" s="126">
        <v>90</v>
      </c>
      <c r="G14" s="144">
        <v>45383</v>
      </c>
      <c r="H14" s="145" t="s">
        <v>676</v>
      </c>
      <c r="I14" s="145">
        <v>0.96</v>
      </c>
      <c r="J14" s="146">
        <v>0.84899999999999998</v>
      </c>
      <c r="K14" s="126">
        <v>7</v>
      </c>
      <c r="L14" s="147">
        <v>1358333</v>
      </c>
      <c r="M14" s="147">
        <v>254369.47565543072</v>
      </c>
      <c r="N14" s="126" t="s">
        <v>418</v>
      </c>
      <c r="O14" s="126" t="s">
        <v>1102</v>
      </c>
      <c r="P14" s="147">
        <v>46596.2</v>
      </c>
      <c r="Q14" s="147">
        <v>8725.8801498127341</v>
      </c>
      <c r="R14" s="149">
        <v>2.1163333333333334</v>
      </c>
      <c r="S14" s="151">
        <v>70.542890720809609</v>
      </c>
      <c r="T14" s="147">
        <v>71759.73</v>
      </c>
      <c r="U14" s="149">
        <v>1.5400339512664123</v>
      </c>
    </row>
    <row r="15" spans="1:21" x14ac:dyDescent="0.25">
      <c r="A15" s="143">
        <v>45492</v>
      </c>
      <c r="B15" s="126">
        <v>2024</v>
      </c>
      <c r="C15" s="126" t="s">
        <v>1122</v>
      </c>
      <c r="D15" s="126" t="s">
        <v>39</v>
      </c>
      <c r="E15" s="126">
        <v>4.46</v>
      </c>
      <c r="F15" s="126">
        <v>80</v>
      </c>
      <c r="G15" s="144">
        <v>45412</v>
      </c>
      <c r="H15" s="145" t="s">
        <v>1147</v>
      </c>
      <c r="I15" s="145">
        <v>0.38</v>
      </c>
      <c r="J15" s="146">
        <v>0.73060000000000003</v>
      </c>
      <c r="K15" s="126">
        <v>13</v>
      </c>
      <c r="L15" s="147">
        <v>770000</v>
      </c>
      <c r="M15" s="147">
        <v>172645.73991031389</v>
      </c>
      <c r="N15" s="126" t="s">
        <v>418</v>
      </c>
      <c r="O15" s="126" t="s">
        <v>1107</v>
      </c>
      <c r="P15" s="147">
        <v>30890.04</v>
      </c>
      <c r="Q15" s="147">
        <v>6926.0179372197308</v>
      </c>
      <c r="R15" s="149">
        <v>2.26275</v>
      </c>
      <c r="S15" s="151">
        <v>81.003570253627316</v>
      </c>
      <c r="T15" s="147">
        <v>44643.15</v>
      </c>
      <c r="U15" s="149">
        <v>1.4452279763962752</v>
      </c>
    </row>
    <row r="16" spans="1:21" x14ac:dyDescent="0.25">
      <c r="A16" s="143">
        <v>45504</v>
      </c>
      <c r="B16" s="126">
        <v>2024</v>
      </c>
      <c r="C16" s="126" t="s">
        <v>388</v>
      </c>
      <c r="D16" s="126" t="s">
        <v>39</v>
      </c>
      <c r="E16" s="126">
        <v>4.0199999999999996</v>
      </c>
      <c r="F16" s="126">
        <v>93</v>
      </c>
      <c r="G16" s="144">
        <v>45411</v>
      </c>
      <c r="H16" s="145" t="s">
        <v>432</v>
      </c>
      <c r="I16" s="145">
        <v>0.36</v>
      </c>
      <c r="J16" s="146">
        <v>0.71530000000000005</v>
      </c>
      <c r="K16" s="126">
        <v>5</v>
      </c>
      <c r="L16" s="147">
        <v>1085400</v>
      </c>
      <c r="M16" s="147">
        <v>270000</v>
      </c>
      <c r="N16" s="126" t="s">
        <v>683</v>
      </c>
      <c r="O16" s="126" t="s">
        <v>1102</v>
      </c>
      <c r="P16" s="147">
        <v>34759.599999999999</v>
      </c>
      <c r="Q16" s="147">
        <v>8646.6666666666679</v>
      </c>
      <c r="R16" s="149">
        <v>2.1572043010752688</v>
      </c>
      <c r="S16" s="151">
        <v>65.783473533107397</v>
      </c>
      <c r="T16" s="147">
        <v>56052</v>
      </c>
      <c r="U16" s="149">
        <v>1.6125617095708813</v>
      </c>
    </row>
    <row r="17" spans="1:21" x14ac:dyDescent="0.25">
      <c r="A17" s="143">
        <v>45504</v>
      </c>
      <c r="B17" s="126">
        <v>2024</v>
      </c>
      <c r="C17" s="126" t="s">
        <v>389</v>
      </c>
      <c r="D17" s="126" t="s">
        <v>39</v>
      </c>
      <c r="E17" s="126">
        <v>8.61</v>
      </c>
      <c r="F17" s="126">
        <v>92</v>
      </c>
      <c r="G17" s="144">
        <v>45412</v>
      </c>
      <c r="H17" s="145" t="s">
        <v>1147</v>
      </c>
      <c r="I17" s="145">
        <v>0.38</v>
      </c>
      <c r="J17" s="146">
        <v>0.73060000000000003</v>
      </c>
      <c r="K17" s="126">
        <v>3</v>
      </c>
      <c r="L17" s="147">
        <v>2152500</v>
      </c>
      <c r="M17" s="147">
        <v>250000.00000000003</v>
      </c>
      <c r="N17" s="126" t="s">
        <v>418</v>
      </c>
      <c r="O17" s="126" t="s">
        <v>1107</v>
      </c>
      <c r="P17" s="147">
        <v>78196.92</v>
      </c>
      <c r="Q17" s="147">
        <v>9082.1045296167249</v>
      </c>
      <c r="R17" s="149">
        <v>2.2034782608695656</v>
      </c>
      <c r="S17" s="151">
        <v>73.651991670581523</v>
      </c>
      <c r="T17" s="147">
        <v>91766.475000000006</v>
      </c>
      <c r="U17" s="149">
        <v>1.1735305559349398</v>
      </c>
    </row>
    <row r="18" spans="1:21" x14ac:dyDescent="0.25">
      <c r="A18" s="143">
        <v>45507</v>
      </c>
      <c r="B18" s="126">
        <v>2024</v>
      </c>
      <c r="C18" s="126" t="s">
        <v>1140</v>
      </c>
      <c r="D18" s="126" t="s">
        <v>39</v>
      </c>
      <c r="E18" s="126">
        <v>7.74</v>
      </c>
      <c r="F18" s="126">
        <v>59</v>
      </c>
      <c r="G18" s="144">
        <v>45448</v>
      </c>
      <c r="H18" s="145" t="s">
        <v>443</v>
      </c>
      <c r="I18" s="145">
        <v>0.8</v>
      </c>
      <c r="J18" s="146">
        <v>0.63349999999999995</v>
      </c>
      <c r="K18" s="126">
        <v>4</v>
      </c>
      <c r="L18" s="147">
        <v>1588437</v>
      </c>
      <c r="M18" s="147">
        <v>205224.41860465115</v>
      </c>
      <c r="N18" s="126" t="s">
        <v>418</v>
      </c>
      <c r="O18" s="126" t="s">
        <v>1107</v>
      </c>
      <c r="P18" s="147">
        <v>48302.31</v>
      </c>
      <c r="Q18" s="147">
        <v>6240.6085271317825</v>
      </c>
      <c r="R18" s="149">
        <v>2.5935593220338982</v>
      </c>
      <c r="S18" s="151">
        <v>79.888111220725918</v>
      </c>
      <c r="T18" s="147">
        <v>48831.89</v>
      </c>
      <c r="U18" s="149">
        <v>1.0109638648751995</v>
      </c>
    </row>
    <row r="19" spans="1:21" x14ac:dyDescent="0.25">
      <c r="A19" s="143">
        <v>45510</v>
      </c>
      <c r="B19" s="126">
        <v>2024</v>
      </c>
      <c r="C19" s="126" t="s">
        <v>1148</v>
      </c>
      <c r="D19" s="126" t="s">
        <v>39</v>
      </c>
      <c r="E19" s="126">
        <v>6.91</v>
      </c>
      <c r="F19" s="126">
        <v>87</v>
      </c>
      <c r="G19" s="144">
        <v>45423</v>
      </c>
      <c r="H19" s="145" t="s">
        <v>442</v>
      </c>
      <c r="I19" s="145">
        <v>1.86</v>
      </c>
      <c r="J19" s="146">
        <v>0.50749999999999995</v>
      </c>
      <c r="K19" s="126">
        <v>13</v>
      </c>
      <c r="L19" s="147">
        <v>1048387</v>
      </c>
      <c r="M19" s="147">
        <v>151720.26049204051</v>
      </c>
      <c r="N19" s="126" t="s">
        <v>418</v>
      </c>
      <c r="O19" s="126" t="s">
        <v>1102</v>
      </c>
      <c r="P19" s="147">
        <v>50128.74</v>
      </c>
      <c r="Q19" s="147">
        <v>7254.5209840810412</v>
      </c>
      <c r="R19" s="149">
        <v>2.8531034482758622</v>
      </c>
      <c r="S19" s="151">
        <v>66.242808262979509</v>
      </c>
      <c r="T19" s="147">
        <v>77216.115000000005</v>
      </c>
      <c r="U19" s="149">
        <v>1.540356190879723</v>
      </c>
    </row>
    <row r="20" spans="1:21" x14ac:dyDescent="0.25">
      <c r="A20" s="143">
        <v>45514</v>
      </c>
      <c r="B20" s="126">
        <v>2024</v>
      </c>
      <c r="C20" s="126" t="s">
        <v>1127</v>
      </c>
      <c r="D20" s="126" t="s">
        <v>39</v>
      </c>
      <c r="E20" s="126">
        <v>6.85</v>
      </c>
      <c r="F20" s="126">
        <v>70</v>
      </c>
      <c r="G20" s="144">
        <v>45444</v>
      </c>
      <c r="H20" s="145" t="s">
        <v>452</v>
      </c>
      <c r="I20" s="145">
        <v>0.55000000000000004</v>
      </c>
      <c r="J20" s="146">
        <v>0.71</v>
      </c>
      <c r="K20" s="126">
        <v>4</v>
      </c>
      <c r="L20" s="147">
        <v>1636364</v>
      </c>
      <c r="M20" s="147">
        <v>238885.25547445257</v>
      </c>
      <c r="N20" s="126" t="s">
        <v>418</v>
      </c>
      <c r="O20" s="126" t="s">
        <v>1107</v>
      </c>
      <c r="P20" s="147">
        <v>60707.31</v>
      </c>
      <c r="Q20" s="147">
        <v>8862.3810218978106</v>
      </c>
      <c r="R20" s="149">
        <v>2.1539999999999999</v>
      </c>
      <c r="S20" s="151">
        <v>90.126479677488803</v>
      </c>
      <c r="T20" s="147">
        <v>68507.945000000007</v>
      </c>
      <c r="U20" s="149">
        <v>1.1284958104715892</v>
      </c>
    </row>
    <row r="21" spans="1:21" x14ac:dyDescent="0.25">
      <c r="A21" s="143">
        <v>45516</v>
      </c>
      <c r="B21" s="126">
        <v>2024</v>
      </c>
      <c r="C21" s="126" t="s">
        <v>1106</v>
      </c>
      <c r="D21" s="126" t="s">
        <v>45</v>
      </c>
      <c r="E21" s="126">
        <v>20.8</v>
      </c>
      <c r="F21" s="126">
        <v>55</v>
      </c>
      <c r="G21" s="144">
        <v>45461</v>
      </c>
      <c r="H21" s="145" t="s">
        <v>1149</v>
      </c>
      <c r="I21" s="145">
        <v>0.8</v>
      </c>
      <c r="J21" s="146">
        <v>0.8</v>
      </c>
      <c r="K21" s="126">
        <v>10</v>
      </c>
      <c r="L21" s="147">
        <v>4750000</v>
      </c>
      <c r="M21" s="147">
        <v>228365.3846153846</v>
      </c>
      <c r="N21" s="126" t="s">
        <v>418</v>
      </c>
      <c r="O21" s="126" t="s">
        <v>1099</v>
      </c>
      <c r="P21" s="147">
        <v>120399.61</v>
      </c>
      <c r="Q21" s="147">
        <v>5788.4427884615379</v>
      </c>
      <c r="R21" s="149">
        <v>1.9167272727272728</v>
      </c>
      <c r="S21" s="151">
        <v>76.412138030334802</v>
      </c>
      <c r="T21" s="147">
        <v>132280.40919999999</v>
      </c>
      <c r="U21" s="149">
        <v>1.0986780538574834</v>
      </c>
    </row>
    <row r="22" spans="1:21" x14ac:dyDescent="0.25">
      <c r="A22" s="143">
        <v>45519</v>
      </c>
      <c r="B22" s="126">
        <v>2024</v>
      </c>
      <c r="C22" s="126" t="s">
        <v>1142</v>
      </c>
      <c r="D22" s="126" t="s">
        <v>39</v>
      </c>
      <c r="E22" s="126">
        <v>13.72</v>
      </c>
      <c r="F22" s="126">
        <v>80</v>
      </c>
      <c r="G22" s="144">
        <v>45439</v>
      </c>
      <c r="H22" s="145" t="s">
        <v>455</v>
      </c>
      <c r="I22" s="145">
        <v>0.28999999999999998</v>
      </c>
      <c r="J22" s="146">
        <v>0.76659999999999995</v>
      </c>
      <c r="K22" s="126">
        <v>13</v>
      </c>
      <c r="L22" s="147">
        <v>3679641</v>
      </c>
      <c r="M22" s="147">
        <v>268195.40816326527</v>
      </c>
      <c r="N22" s="126" t="s">
        <v>418</v>
      </c>
      <c r="O22" s="126" t="s">
        <v>1107</v>
      </c>
      <c r="P22" s="147">
        <v>86803.88</v>
      </c>
      <c r="Q22" s="147">
        <v>6326.8134110787169</v>
      </c>
      <c r="R22" s="149">
        <v>1.8996250000000001</v>
      </c>
      <c r="S22" s="151">
        <v>58.952065759025544</v>
      </c>
      <c r="T22" s="147">
        <v>126709.38499999999</v>
      </c>
      <c r="U22" s="149">
        <v>1.4597202913049507</v>
      </c>
    </row>
    <row r="23" spans="1:21" x14ac:dyDescent="0.25">
      <c r="A23" s="143">
        <v>45521</v>
      </c>
      <c r="B23" s="126">
        <v>2024</v>
      </c>
      <c r="C23" s="126" t="s">
        <v>1121</v>
      </c>
      <c r="D23" s="126" t="s">
        <v>45</v>
      </c>
      <c r="E23" s="126">
        <v>8.93</v>
      </c>
      <c r="F23" s="126">
        <v>50</v>
      </c>
      <c r="G23" s="144">
        <v>45471</v>
      </c>
      <c r="H23" s="145" t="s">
        <v>497</v>
      </c>
      <c r="I23" s="145">
        <v>0.38</v>
      </c>
      <c r="J23" s="146">
        <v>0.85050000000000003</v>
      </c>
      <c r="K23" s="126">
        <v>23</v>
      </c>
      <c r="L23" s="147">
        <v>1786000</v>
      </c>
      <c r="M23" s="147">
        <v>200000</v>
      </c>
      <c r="N23" s="126" t="s">
        <v>418</v>
      </c>
      <c r="O23" s="126" t="s">
        <v>1099</v>
      </c>
      <c r="P23" s="147">
        <v>34025.81</v>
      </c>
      <c r="Q23" s="147">
        <v>3810.2810750279955</v>
      </c>
      <c r="R23" s="149">
        <v>1.6323999999999999</v>
      </c>
      <c r="S23" s="151">
        <v>74.179571529275719</v>
      </c>
      <c r="T23" s="147">
        <v>44114.046000000002</v>
      </c>
      <c r="U23" s="149">
        <v>1.2964877544428774</v>
      </c>
    </row>
    <row r="24" spans="1:21" x14ac:dyDescent="0.25">
      <c r="A24" s="143">
        <v>45526</v>
      </c>
      <c r="B24" s="126">
        <v>2024</v>
      </c>
      <c r="C24" s="126" t="s">
        <v>1150</v>
      </c>
      <c r="D24" s="126" t="s">
        <v>39</v>
      </c>
      <c r="E24" s="126">
        <v>8.5399999999999991</v>
      </c>
      <c r="F24" s="126">
        <v>66</v>
      </c>
      <c r="G24" s="144">
        <v>45460</v>
      </c>
      <c r="H24" s="145" t="s">
        <v>442</v>
      </c>
      <c r="I24" s="145">
        <v>0.53</v>
      </c>
      <c r="J24" s="146">
        <v>0.69810000000000005</v>
      </c>
      <c r="K24" s="126">
        <v>9</v>
      </c>
      <c r="L24" s="147">
        <v>1396226</v>
      </c>
      <c r="M24" s="147">
        <v>163492.50585480095</v>
      </c>
      <c r="N24" s="126" t="s">
        <v>418</v>
      </c>
      <c r="O24" s="126" t="s">
        <v>1107</v>
      </c>
      <c r="P24" s="147">
        <v>38632.729999999996</v>
      </c>
      <c r="Q24" s="147">
        <v>4523.7388758782199</v>
      </c>
      <c r="R24" s="149">
        <v>2.2749999999999999</v>
      </c>
      <c r="S24" s="151">
        <v>66.100483337897913</v>
      </c>
      <c r="T24" s="147">
        <v>45359.644999999997</v>
      </c>
      <c r="U24" s="149">
        <v>1.1741247641572314</v>
      </c>
    </row>
    <row r="25" spans="1:21" x14ac:dyDescent="0.25">
      <c r="A25" s="143">
        <v>45542</v>
      </c>
      <c r="B25" s="126">
        <v>2024</v>
      </c>
      <c r="C25" s="126" t="s">
        <v>1098</v>
      </c>
      <c r="D25" s="126" t="s">
        <v>39</v>
      </c>
      <c r="E25" s="126">
        <v>4.74</v>
      </c>
      <c r="F25" s="126">
        <v>70</v>
      </c>
      <c r="G25" s="144">
        <v>45472</v>
      </c>
      <c r="H25" s="145" t="s">
        <v>443</v>
      </c>
      <c r="I25" s="145">
        <v>0.5</v>
      </c>
      <c r="J25" s="146">
        <v>0.9</v>
      </c>
      <c r="K25" s="126">
        <v>21</v>
      </c>
      <c r="L25" s="147">
        <v>1080000</v>
      </c>
      <c r="M25" s="147">
        <v>227848.10126582277</v>
      </c>
      <c r="N25" s="126" t="s">
        <v>418</v>
      </c>
      <c r="O25" s="126" t="s">
        <v>1128</v>
      </c>
      <c r="P25" s="147">
        <v>28487.9</v>
      </c>
      <c r="Q25" s="147">
        <v>6010.1054852320676</v>
      </c>
      <c r="R25" s="149">
        <v>1.496</v>
      </c>
      <c r="S25" s="151">
        <v>85.927235343219081</v>
      </c>
      <c r="T25" s="147">
        <v>36045.21</v>
      </c>
      <c r="U25" s="149">
        <v>1.265281400173407</v>
      </c>
    </row>
    <row r="26" spans="1:21" x14ac:dyDescent="0.25">
      <c r="A26" s="143">
        <v>45545</v>
      </c>
      <c r="B26" s="126">
        <v>2024</v>
      </c>
      <c r="C26" s="126" t="s">
        <v>385</v>
      </c>
      <c r="D26" s="126" t="s">
        <v>39</v>
      </c>
      <c r="E26" s="126">
        <v>7.8</v>
      </c>
      <c r="F26" s="126">
        <v>75</v>
      </c>
      <c r="G26" s="144">
        <v>45470</v>
      </c>
      <c r="H26" s="145" t="s">
        <v>439</v>
      </c>
      <c r="I26" s="145">
        <v>0.26</v>
      </c>
      <c r="J26" s="146">
        <v>0.85799999999999998</v>
      </c>
      <c r="K26" s="126">
        <v>22</v>
      </c>
      <c r="L26" s="147">
        <v>1716000</v>
      </c>
      <c r="M26" s="147">
        <v>220000</v>
      </c>
      <c r="N26" s="126" t="s">
        <v>418</v>
      </c>
      <c r="O26" s="126" t="s">
        <v>1128</v>
      </c>
      <c r="P26" s="147">
        <v>42051.34</v>
      </c>
      <c r="Q26" s="147">
        <v>5391.1974358974358</v>
      </c>
      <c r="R26" s="149">
        <v>1.9394666666666669</v>
      </c>
      <c r="S26" s="151">
        <v>66.776175754864042</v>
      </c>
      <c r="T26" s="147">
        <v>60902.074999999997</v>
      </c>
      <c r="U26" s="149">
        <v>1.4482790560300813</v>
      </c>
    </row>
    <row r="27" spans="1:21" x14ac:dyDescent="0.25">
      <c r="A27" s="143">
        <v>45547</v>
      </c>
      <c r="B27" s="126">
        <v>2024</v>
      </c>
      <c r="C27" s="126" t="s">
        <v>1151</v>
      </c>
      <c r="D27" s="126" t="s">
        <v>39</v>
      </c>
      <c r="E27" s="126">
        <v>8.8699999999999992</v>
      </c>
      <c r="F27" s="126">
        <v>74</v>
      </c>
      <c r="G27" s="144">
        <v>45473</v>
      </c>
      <c r="H27" s="145" t="s">
        <v>1152</v>
      </c>
      <c r="I27" s="145">
        <v>0.62</v>
      </c>
      <c r="J27" s="146">
        <v>0.70479999999999998</v>
      </c>
      <c r="K27" s="126">
        <v>11</v>
      </c>
      <c r="L27" s="147">
        <v>1620967</v>
      </c>
      <c r="M27" s="147">
        <v>182747.12514092447</v>
      </c>
      <c r="N27" s="126" t="s">
        <v>418</v>
      </c>
      <c r="O27" s="126" t="s">
        <v>1128</v>
      </c>
      <c r="P27" s="147">
        <v>55901.37</v>
      </c>
      <c r="Q27" s="147">
        <v>6302.2965050732819</v>
      </c>
      <c r="R27" s="149">
        <v>1.838918918918919</v>
      </c>
      <c r="S27" s="151">
        <v>93.677938459378254</v>
      </c>
      <c r="T27" s="147">
        <v>66248.23</v>
      </c>
      <c r="U27" s="149">
        <v>1.1850913492817796</v>
      </c>
    </row>
    <row r="28" spans="1:21" x14ac:dyDescent="0.25">
      <c r="A28" s="143">
        <v>45548</v>
      </c>
      <c r="B28" s="126">
        <v>2024</v>
      </c>
      <c r="C28" s="126" t="s">
        <v>1153</v>
      </c>
      <c r="D28" s="126" t="s">
        <v>39</v>
      </c>
      <c r="E28" s="126">
        <v>9.18</v>
      </c>
      <c r="F28" s="126">
        <v>74</v>
      </c>
      <c r="G28" s="144">
        <v>45474</v>
      </c>
      <c r="H28" s="145" t="s">
        <v>1147</v>
      </c>
      <c r="I28" s="145">
        <v>0.39</v>
      </c>
      <c r="J28" s="146">
        <v>0.74939999999999996</v>
      </c>
      <c r="K28" s="126">
        <v>11</v>
      </c>
      <c r="L28" s="147">
        <v>1798461</v>
      </c>
      <c r="M28" s="147">
        <v>195910.78431372548</v>
      </c>
      <c r="N28" s="126" t="s">
        <v>418</v>
      </c>
      <c r="O28" s="126" t="s">
        <v>1128</v>
      </c>
      <c r="P28" s="147">
        <v>62232.11</v>
      </c>
      <c r="Q28" s="147">
        <v>6779.0969498910681</v>
      </c>
      <c r="R28" s="149">
        <v>1.9845945945945946</v>
      </c>
      <c r="S28" s="151">
        <v>92.09896057083759</v>
      </c>
      <c r="T28" s="147">
        <v>73027.375</v>
      </c>
      <c r="U28" s="149">
        <v>1.1734677644707852</v>
      </c>
    </row>
    <row r="29" spans="1:21" x14ac:dyDescent="0.25">
      <c r="A29" s="143">
        <v>45550</v>
      </c>
      <c r="B29" s="126">
        <v>2024</v>
      </c>
      <c r="C29" s="126" t="s">
        <v>1115</v>
      </c>
      <c r="D29" s="126" t="s">
        <v>43</v>
      </c>
      <c r="E29" s="126">
        <v>5.2</v>
      </c>
      <c r="F29" s="126">
        <v>45</v>
      </c>
      <c r="G29" s="144">
        <v>45505</v>
      </c>
      <c r="H29" s="145" t="s">
        <v>544</v>
      </c>
      <c r="I29" s="145">
        <v>0.42</v>
      </c>
      <c r="J29" s="146">
        <v>0.83199999999999996</v>
      </c>
      <c r="K29" s="126">
        <v>10</v>
      </c>
      <c r="L29" s="147">
        <v>1040000</v>
      </c>
      <c r="M29" s="147">
        <v>200000</v>
      </c>
      <c r="N29" s="126" t="s">
        <v>418</v>
      </c>
      <c r="O29" s="126" t="s">
        <v>1154</v>
      </c>
      <c r="P29" s="147">
        <v>15190.26</v>
      </c>
      <c r="Q29" s="147">
        <v>2921.2038461538459</v>
      </c>
      <c r="R29" s="149">
        <v>1.8604444444444446</v>
      </c>
      <c r="S29" s="151">
        <v>55.444253601749416</v>
      </c>
      <c r="T29" s="147">
        <v>19532.756000000001</v>
      </c>
      <c r="U29" s="149">
        <v>1.2858737111807172</v>
      </c>
    </row>
    <row r="30" spans="1:21" x14ac:dyDescent="0.25">
      <c r="A30" s="143">
        <v>45551</v>
      </c>
      <c r="B30" s="126">
        <v>2024</v>
      </c>
      <c r="C30" s="126" t="s">
        <v>388</v>
      </c>
      <c r="D30" s="126" t="s">
        <v>43</v>
      </c>
      <c r="E30" s="126">
        <v>2.5</v>
      </c>
      <c r="F30" s="126">
        <v>48</v>
      </c>
      <c r="G30" s="144">
        <v>45503</v>
      </c>
      <c r="H30" s="145" t="s">
        <v>1155</v>
      </c>
      <c r="I30" s="145">
        <v>0.35</v>
      </c>
      <c r="J30" s="146">
        <v>0.88280000000000003</v>
      </c>
      <c r="K30" s="126">
        <v>78</v>
      </c>
      <c r="L30" s="147">
        <v>485517</v>
      </c>
      <c r="M30" s="147">
        <v>194206.8</v>
      </c>
      <c r="N30" s="126" t="s">
        <v>418</v>
      </c>
      <c r="O30" s="126" t="s">
        <v>1154</v>
      </c>
      <c r="P30" s="147">
        <v>7144.05</v>
      </c>
      <c r="Q30" s="147">
        <v>2857.62</v>
      </c>
      <c r="R30" s="149">
        <v>1.7091666666666669</v>
      </c>
      <c r="S30" s="151">
        <v>56.999137705367531</v>
      </c>
      <c r="T30" s="147">
        <v>10879.700999999999</v>
      </c>
      <c r="U30" s="149">
        <v>1.5229038150628844</v>
      </c>
    </row>
    <row r="31" spans="1:21" x14ac:dyDescent="0.25">
      <c r="A31" s="143">
        <v>45552</v>
      </c>
      <c r="B31" s="126">
        <v>2024</v>
      </c>
      <c r="C31" s="126" t="s">
        <v>390</v>
      </c>
      <c r="D31" s="126" t="s">
        <v>46</v>
      </c>
      <c r="E31" s="126">
        <v>3</v>
      </c>
      <c r="F31" s="126">
        <v>92</v>
      </c>
      <c r="G31" s="144">
        <v>45460</v>
      </c>
      <c r="H31" s="145" t="s">
        <v>473</v>
      </c>
      <c r="I31" s="145">
        <v>0.4</v>
      </c>
      <c r="J31" s="146">
        <v>0.74880000000000002</v>
      </c>
      <c r="K31" s="126">
        <v>11</v>
      </c>
      <c r="L31" s="147">
        <v>390000</v>
      </c>
      <c r="M31" s="147">
        <v>130000</v>
      </c>
      <c r="N31" s="126" t="s">
        <v>418</v>
      </c>
      <c r="O31" s="126" t="s">
        <v>1099</v>
      </c>
      <c r="P31" s="147">
        <v>22247.440000000002</v>
      </c>
      <c r="Q31" s="147">
        <v>7415.8133333333344</v>
      </c>
      <c r="R31" s="149">
        <v>2.2095652173913045</v>
      </c>
      <c r="S31" s="151">
        <v>94.879582171586463</v>
      </c>
      <c r="T31" s="147">
        <v>32143.067999999999</v>
      </c>
      <c r="U31" s="149">
        <v>1.4447985026591821</v>
      </c>
    </row>
    <row r="32" spans="1:21" x14ac:dyDescent="0.25">
      <c r="A32" s="143">
        <v>45552</v>
      </c>
      <c r="B32" s="126">
        <v>2024</v>
      </c>
      <c r="C32" s="126" t="s">
        <v>1108</v>
      </c>
      <c r="D32" s="126" t="s">
        <v>43</v>
      </c>
      <c r="E32" s="126">
        <v>9.3000000000000007</v>
      </c>
      <c r="F32" s="126">
        <v>45</v>
      </c>
      <c r="G32" s="144">
        <v>45507</v>
      </c>
      <c r="H32" s="145" t="s">
        <v>1156</v>
      </c>
      <c r="I32" s="145">
        <v>0.69</v>
      </c>
      <c r="J32" s="146">
        <v>0.76829999999999998</v>
      </c>
      <c r="K32" s="126">
        <v>17</v>
      </c>
      <c r="L32" s="147">
        <v>1767000</v>
      </c>
      <c r="M32" s="147">
        <v>190000</v>
      </c>
      <c r="N32" s="126" t="s">
        <v>418</v>
      </c>
      <c r="O32" s="126" t="s">
        <v>1154</v>
      </c>
      <c r="P32" s="147">
        <v>28468.240000000002</v>
      </c>
      <c r="Q32" s="147">
        <v>3061.1010752688171</v>
      </c>
      <c r="R32" s="149">
        <v>1.8106666666666666</v>
      </c>
      <c r="S32" s="151">
        <v>62.838663780613267</v>
      </c>
      <c r="T32" s="147">
        <v>39098.580999999998</v>
      </c>
      <c r="U32" s="149">
        <v>1.3734105445225977</v>
      </c>
    </row>
    <row r="33" spans="1:21" x14ac:dyDescent="0.25">
      <c r="A33" s="143">
        <v>45553</v>
      </c>
      <c r="B33" s="126">
        <v>2024</v>
      </c>
      <c r="C33" s="126" t="s">
        <v>1114</v>
      </c>
      <c r="D33" s="126" t="s">
        <v>43</v>
      </c>
      <c r="E33" s="126">
        <v>4.07</v>
      </c>
      <c r="F33" s="126">
        <v>46</v>
      </c>
      <c r="G33" s="144">
        <v>45507</v>
      </c>
      <c r="H33" s="145" t="s">
        <v>518</v>
      </c>
      <c r="I33" s="145">
        <v>0.68</v>
      </c>
      <c r="J33" s="146">
        <v>0.81399999999999995</v>
      </c>
      <c r="K33" s="126">
        <v>14</v>
      </c>
      <c r="L33" s="147">
        <v>814000</v>
      </c>
      <c r="M33" s="147">
        <v>200000</v>
      </c>
      <c r="N33" s="126" t="s">
        <v>418</v>
      </c>
      <c r="O33" s="126" t="s">
        <v>1154</v>
      </c>
      <c r="P33" s="147">
        <v>16376.59</v>
      </c>
      <c r="Q33" s="147">
        <v>4023.7321867321866</v>
      </c>
      <c r="R33" s="149">
        <v>1.6495652173913045</v>
      </c>
      <c r="S33" s="151">
        <v>84.260812397436013</v>
      </c>
      <c r="T33" s="147">
        <v>18198.973000000002</v>
      </c>
      <c r="U33" s="149">
        <v>1.1112797597057753</v>
      </c>
    </row>
    <row r="34" spans="1:21" x14ac:dyDescent="0.25">
      <c r="A34" s="143">
        <v>45553</v>
      </c>
      <c r="B34" s="126">
        <v>2024</v>
      </c>
      <c r="C34" s="126" t="s">
        <v>1108</v>
      </c>
      <c r="D34" s="126" t="s">
        <v>46</v>
      </c>
      <c r="E34" s="126">
        <v>4.55</v>
      </c>
      <c r="F34" s="126">
        <v>93</v>
      </c>
      <c r="G34" s="144">
        <v>45460</v>
      </c>
      <c r="H34" s="145" t="s">
        <v>473</v>
      </c>
      <c r="I34" s="145">
        <v>0.4</v>
      </c>
      <c r="J34" s="146">
        <v>0.74</v>
      </c>
      <c r="K34" s="126">
        <v>10</v>
      </c>
      <c r="L34" s="147">
        <v>546000</v>
      </c>
      <c r="M34" s="147">
        <v>120000</v>
      </c>
      <c r="N34" s="126" t="s">
        <v>418</v>
      </c>
      <c r="O34" s="126" t="s">
        <v>1099</v>
      </c>
      <c r="P34" s="147">
        <v>30562.74</v>
      </c>
      <c r="Q34" s="147">
        <v>6717.0857142857149</v>
      </c>
      <c r="R34" s="149">
        <v>2.2911827956989246</v>
      </c>
      <c r="S34" s="151">
        <v>89.675373138058461</v>
      </c>
      <c r="T34" s="147">
        <v>46164.324000000001</v>
      </c>
      <c r="U34" s="149">
        <v>1.5104772674177773</v>
      </c>
    </row>
    <row r="35" spans="1:21" x14ac:dyDescent="0.25">
      <c r="A35" s="143">
        <v>45554</v>
      </c>
      <c r="B35" s="126">
        <v>2024</v>
      </c>
      <c r="C35" s="126" t="s">
        <v>386</v>
      </c>
      <c r="D35" s="126" t="s">
        <v>43</v>
      </c>
      <c r="E35" s="126">
        <v>4.3</v>
      </c>
      <c r="F35" s="126">
        <v>48</v>
      </c>
      <c r="G35" s="144">
        <v>45506</v>
      </c>
      <c r="H35" s="145" t="s">
        <v>700</v>
      </c>
      <c r="I35" s="145">
        <v>0.5</v>
      </c>
      <c r="J35" s="146">
        <v>0.86</v>
      </c>
      <c r="K35" s="126">
        <v>12</v>
      </c>
      <c r="L35" s="147">
        <v>860000</v>
      </c>
      <c r="M35" s="147">
        <v>200000</v>
      </c>
      <c r="N35" s="126" t="s">
        <v>418</v>
      </c>
      <c r="O35" s="126" t="s">
        <v>1154</v>
      </c>
      <c r="P35" s="147">
        <v>14999.07</v>
      </c>
      <c r="Q35" s="147">
        <v>3488.1558139534886</v>
      </c>
      <c r="R35" s="149">
        <v>1.4320833333333334</v>
      </c>
      <c r="S35" s="151">
        <v>80.632522379576557</v>
      </c>
      <c r="T35" s="147">
        <v>18276.133999999998</v>
      </c>
      <c r="U35" s="149">
        <v>1.2184844793710543</v>
      </c>
    </row>
    <row r="36" spans="1:21" x14ac:dyDescent="0.25">
      <c r="A36" s="143">
        <v>45555</v>
      </c>
      <c r="B36" s="126">
        <v>2024</v>
      </c>
      <c r="C36" s="126" t="s">
        <v>1110</v>
      </c>
      <c r="D36" s="126" t="s">
        <v>43</v>
      </c>
      <c r="E36" s="126">
        <v>5.8</v>
      </c>
      <c r="F36" s="126">
        <v>52</v>
      </c>
      <c r="G36" s="144">
        <v>45503</v>
      </c>
      <c r="H36" s="145" t="s">
        <v>1157</v>
      </c>
      <c r="I36" s="145">
        <v>0.36</v>
      </c>
      <c r="J36" s="146">
        <v>0.88519999999999999</v>
      </c>
      <c r="K36" s="126">
        <v>12</v>
      </c>
      <c r="L36" s="147">
        <v>1194955</v>
      </c>
      <c r="M36" s="147">
        <v>206026.72413793104</v>
      </c>
      <c r="N36" s="126" t="s">
        <v>418</v>
      </c>
      <c r="O36" s="126" t="s">
        <v>1154</v>
      </c>
      <c r="P36" s="147">
        <v>17652.07</v>
      </c>
      <c r="Q36" s="147">
        <v>3043.4603448275861</v>
      </c>
      <c r="R36" s="149">
        <v>1.5534615384615382</v>
      </c>
      <c r="S36" s="151">
        <v>58.115788454851938</v>
      </c>
      <c r="T36" s="147">
        <v>28836.168000000001</v>
      </c>
      <c r="U36" s="149">
        <v>1.6335856361321932</v>
      </c>
    </row>
    <row r="37" spans="1:21" x14ac:dyDescent="0.25">
      <c r="A37" s="143">
        <v>45556</v>
      </c>
      <c r="B37" s="126">
        <v>2024</v>
      </c>
      <c r="C37" s="126" t="s">
        <v>1120</v>
      </c>
      <c r="D37" s="126" t="s">
        <v>38</v>
      </c>
      <c r="E37" s="126">
        <v>5.7</v>
      </c>
      <c r="F37" s="126">
        <v>98</v>
      </c>
      <c r="G37" s="144">
        <v>45458</v>
      </c>
      <c r="H37" s="145" t="s">
        <v>301</v>
      </c>
      <c r="I37" s="145">
        <v>0.55000000000000004</v>
      </c>
      <c r="J37" s="146">
        <v>0.78380000000000005</v>
      </c>
      <c r="K37" s="126">
        <v>11</v>
      </c>
      <c r="L37" s="147">
        <v>627000</v>
      </c>
      <c r="M37" s="147">
        <v>110000</v>
      </c>
      <c r="N37" s="126" t="s">
        <v>418</v>
      </c>
      <c r="O37" s="126" t="s">
        <v>1099</v>
      </c>
      <c r="P37" s="147">
        <v>22989.35</v>
      </c>
      <c r="Q37" s="147">
        <v>4033.2192982456136</v>
      </c>
      <c r="R37" s="149">
        <v>2.1842857142857142</v>
      </c>
      <c r="S37" s="151">
        <v>57.876022264910773</v>
      </c>
      <c r="T37" s="147">
        <v>46076.14</v>
      </c>
      <c r="U37" s="149">
        <v>2.0042384843416627</v>
      </c>
    </row>
    <row r="38" spans="1:21" x14ac:dyDescent="0.25">
      <c r="A38" s="143">
        <v>45561</v>
      </c>
      <c r="B38" s="126">
        <v>2024</v>
      </c>
      <c r="C38" s="126" t="s">
        <v>1110</v>
      </c>
      <c r="D38" s="126" t="s">
        <v>39</v>
      </c>
      <c r="E38" s="126">
        <v>13.43</v>
      </c>
      <c r="F38" s="126">
        <v>74</v>
      </c>
      <c r="G38" s="144">
        <v>45487</v>
      </c>
      <c r="H38" s="145" t="s">
        <v>432</v>
      </c>
      <c r="I38" s="145">
        <v>0.25</v>
      </c>
      <c r="J38" s="146">
        <v>0.7</v>
      </c>
      <c r="K38" s="126">
        <v>20</v>
      </c>
      <c r="L38" s="147">
        <v>3150000</v>
      </c>
      <c r="M38" s="147">
        <v>234549.51600893523</v>
      </c>
      <c r="N38" s="126" t="s">
        <v>418</v>
      </c>
      <c r="O38" s="126" t="s">
        <v>1128</v>
      </c>
      <c r="P38" s="147">
        <v>61479.79</v>
      </c>
      <c r="Q38" s="147">
        <v>4577.795234549516</v>
      </c>
      <c r="R38" s="149">
        <v>1.821891891891892</v>
      </c>
      <c r="S38" s="151">
        <v>56.803778712555697</v>
      </c>
      <c r="T38" s="147">
        <v>79806.52</v>
      </c>
      <c r="U38" s="149">
        <v>1.2980935686345059</v>
      </c>
    </row>
    <row r="39" spans="1:21" x14ac:dyDescent="0.25">
      <c r="A39" s="143">
        <v>45580</v>
      </c>
      <c r="B39" s="126">
        <v>2024</v>
      </c>
      <c r="C39" s="126" t="s">
        <v>386</v>
      </c>
      <c r="D39" s="126" t="s">
        <v>45</v>
      </c>
      <c r="E39" s="126">
        <v>12.79</v>
      </c>
      <c r="F39" s="126">
        <v>90</v>
      </c>
      <c r="G39" s="144">
        <v>45490</v>
      </c>
      <c r="H39" s="145" t="s">
        <v>440</v>
      </c>
      <c r="I39" s="145">
        <v>0.5</v>
      </c>
      <c r="J39" s="146">
        <v>0.68569999999999998</v>
      </c>
      <c r="K39" s="126">
        <v>6</v>
      </c>
      <c r="L39" s="147">
        <v>1440000</v>
      </c>
      <c r="M39" s="147">
        <v>112587.95934323691</v>
      </c>
      <c r="N39" s="126" t="s">
        <v>418</v>
      </c>
      <c r="O39" s="126" t="s">
        <v>1107</v>
      </c>
      <c r="P39" s="147">
        <v>73479.42</v>
      </c>
      <c r="Q39" s="147">
        <v>5745.0680218921034</v>
      </c>
      <c r="R39" s="149">
        <v>1.9444444444444444</v>
      </c>
      <c r="S39" s="151">
        <v>99.533619041924325</v>
      </c>
      <c r="T39" s="147">
        <v>117560.295</v>
      </c>
      <c r="U39" s="149">
        <v>1.5999077700939937</v>
      </c>
    </row>
    <row r="40" spans="1:21" x14ac:dyDescent="0.25">
      <c r="A40" s="143">
        <v>45581</v>
      </c>
      <c r="B40" s="126">
        <v>2024</v>
      </c>
      <c r="C40" s="126" t="s">
        <v>1114</v>
      </c>
      <c r="D40" s="126" t="s">
        <v>36</v>
      </c>
      <c r="E40" s="126">
        <v>11.4</v>
      </c>
      <c r="F40" s="126">
        <v>88</v>
      </c>
      <c r="G40" s="144">
        <v>45493</v>
      </c>
      <c r="H40" s="145" t="s">
        <v>1158</v>
      </c>
      <c r="I40" s="145">
        <v>0.5</v>
      </c>
      <c r="J40" s="146">
        <v>0.75</v>
      </c>
      <c r="K40" s="126">
        <v>9</v>
      </c>
      <c r="L40" s="147">
        <v>1425000</v>
      </c>
      <c r="M40" s="147">
        <v>125000</v>
      </c>
      <c r="N40" s="126" t="s">
        <v>418</v>
      </c>
      <c r="O40" s="126" t="s">
        <v>1099</v>
      </c>
      <c r="P40" s="147">
        <v>73900.02</v>
      </c>
      <c r="Q40" s="147">
        <v>6482.4578947368418</v>
      </c>
      <c r="R40" s="149">
        <v>1.9886363636363638</v>
      </c>
      <c r="S40" s="151">
        <v>97.56126089660242</v>
      </c>
      <c r="T40" s="147">
        <v>104332.69500000001</v>
      </c>
      <c r="U40" s="149">
        <v>1.4118087518785516</v>
      </c>
    </row>
    <row r="41" spans="1:21" x14ac:dyDescent="0.25">
      <c r="A41" s="143">
        <v>45581</v>
      </c>
      <c r="B41" s="126">
        <v>2024</v>
      </c>
      <c r="C41" s="126" t="s">
        <v>1108</v>
      </c>
      <c r="D41" s="126" t="s">
        <v>38</v>
      </c>
      <c r="E41" s="126">
        <v>8.69</v>
      </c>
      <c r="F41" s="126">
        <v>91</v>
      </c>
      <c r="G41" s="144">
        <v>45490</v>
      </c>
      <c r="H41" s="145" t="s">
        <v>471</v>
      </c>
      <c r="I41" s="145">
        <v>0.7</v>
      </c>
      <c r="J41" s="146">
        <v>0.86899999999999999</v>
      </c>
      <c r="K41" s="126">
        <v>11</v>
      </c>
      <c r="L41" s="147">
        <v>1042800</v>
      </c>
      <c r="M41" s="147">
        <v>120000</v>
      </c>
      <c r="N41" s="126" t="s">
        <v>418</v>
      </c>
      <c r="O41" s="126" t="s">
        <v>1099</v>
      </c>
      <c r="P41" s="147">
        <v>49516.84</v>
      </c>
      <c r="Q41" s="147">
        <v>5698.1403912543155</v>
      </c>
      <c r="R41" s="149">
        <v>2.1538461538461537</v>
      </c>
      <c r="S41" s="151">
        <v>88.071362785843064</v>
      </c>
      <c r="T41" s="147">
        <v>71484.154999999999</v>
      </c>
      <c r="U41" s="149">
        <v>1.4436332164976602</v>
      </c>
    </row>
    <row r="42" spans="1:21" x14ac:dyDescent="0.25">
      <c r="A42" s="143">
        <v>45581</v>
      </c>
      <c r="B42" s="126">
        <v>2024</v>
      </c>
      <c r="C42" s="126" t="s">
        <v>1108</v>
      </c>
      <c r="D42" s="126" t="s">
        <v>40</v>
      </c>
      <c r="E42" s="126">
        <v>9.8000000000000007</v>
      </c>
      <c r="F42" s="126">
        <v>88</v>
      </c>
      <c r="G42" s="144">
        <v>45493</v>
      </c>
      <c r="H42" s="145" t="s">
        <v>468</v>
      </c>
      <c r="I42" s="145">
        <v>0.43</v>
      </c>
      <c r="J42" s="146">
        <v>0.84</v>
      </c>
      <c r="K42" s="126">
        <v>13</v>
      </c>
      <c r="L42" s="147">
        <v>1176000</v>
      </c>
      <c r="M42" s="147">
        <v>119999.99999999999</v>
      </c>
      <c r="N42" s="126" t="s">
        <v>418</v>
      </c>
      <c r="O42" s="126" t="s">
        <v>1099</v>
      </c>
      <c r="P42" s="147">
        <v>45072.38</v>
      </c>
      <c r="Q42" s="147">
        <v>4599.2224489795908</v>
      </c>
      <c r="R42" s="149">
        <v>1.6704545454545454</v>
      </c>
      <c r="S42" s="151">
        <v>89.103959175488839</v>
      </c>
      <c r="T42" s="147">
        <v>66193.115000000005</v>
      </c>
      <c r="U42" s="149">
        <v>1.4685959561043815</v>
      </c>
    </row>
    <row r="43" spans="1:21" x14ac:dyDescent="0.25">
      <c r="A43" s="143">
        <v>45583</v>
      </c>
      <c r="B43" s="126">
        <v>2024</v>
      </c>
      <c r="C43" s="126" t="s">
        <v>386</v>
      </c>
      <c r="D43" s="126" t="s">
        <v>46</v>
      </c>
      <c r="E43" s="126">
        <v>8</v>
      </c>
      <c r="F43" s="126">
        <v>80</v>
      </c>
      <c r="G43" s="144">
        <v>45503</v>
      </c>
      <c r="H43" s="145" t="s">
        <v>502</v>
      </c>
      <c r="I43" s="145">
        <v>1.8</v>
      </c>
      <c r="J43" s="146">
        <v>0.77739999999999998</v>
      </c>
      <c r="K43" s="126">
        <v>10</v>
      </c>
      <c r="L43" s="147">
        <v>1040000</v>
      </c>
      <c r="M43" s="147">
        <v>130000</v>
      </c>
      <c r="N43" s="126" t="s">
        <v>418</v>
      </c>
      <c r="O43" s="126" t="s">
        <v>1099</v>
      </c>
      <c r="P43" s="147">
        <v>76990.720000000001</v>
      </c>
      <c r="Q43" s="147">
        <v>9623.84</v>
      </c>
      <c r="R43" s="149">
        <v>2.625</v>
      </c>
      <c r="S43" s="151">
        <v>137.66023262445137</v>
      </c>
      <c r="T43" s="147">
        <v>96318.974000000002</v>
      </c>
      <c r="U43" s="149">
        <v>1.2510465417130792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F65C-1860-44FA-BEC7-AB3D315DF14C}">
  <sheetPr codeName="Hoja11"/>
  <dimension ref="A1:D99"/>
  <sheetViews>
    <sheetView topLeftCell="A36" workbookViewId="0">
      <selection activeCell="C1" sqref="C1"/>
    </sheetView>
  </sheetViews>
  <sheetFormatPr baseColWidth="10" defaultColWidth="9.140625" defaultRowHeight="15" x14ac:dyDescent="0.25"/>
  <sheetData>
    <row r="1" spans="1:4" x14ac:dyDescent="0.25">
      <c r="A1" t="s">
        <v>213</v>
      </c>
      <c r="C1" t="s">
        <v>36</v>
      </c>
      <c r="D1" t="s">
        <v>1121</v>
      </c>
    </row>
    <row r="2" spans="1:4" x14ac:dyDescent="0.25">
      <c r="A2" t="s">
        <v>245</v>
      </c>
      <c r="C2" t="s">
        <v>36</v>
      </c>
      <c r="D2">
        <v>16</v>
      </c>
    </row>
    <row r="3" spans="1:4" x14ac:dyDescent="0.25">
      <c r="A3" t="s">
        <v>110</v>
      </c>
      <c r="C3" t="s">
        <v>36</v>
      </c>
      <c r="D3">
        <v>17</v>
      </c>
    </row>
    <row r="4" spans="1:4" x14ac:dyDescent="0.25">
      <c r="A4" t="s">
        <v>7</v>
      </c>
      <c r="C4" t="s">
        <v>37</v>
      </c>
      <c r="D4" t="s">
        <v>390</v>
      </c>
    </row>
    <row r="5" spans="1:4" x14ac:dyDescent="0.25">
      <c r="A5" t="s">
        <v>14</v>
      </c>
      <c r="C5" t="s">
        <v>37</v>
      </c>
      <c r="D5" t="s">
        <v>386</v>
      </c>
    </row>
    <row r="6" spans="1:4" x14ac:dyDescent="0.25">
      <c r="A6" t="s">
        <v>15</v>
      </c>
      <c r="C6" t="s">
        <v>37</v>
      </c>
      <c r="D6" t="s">
        <v>1114</v>
      </c>
    </row>
    <row r="7" spans="1:4" x14ac:dyDescent="0.25">
      <c r="A7" t="s">
        <v>21</v>
      </c>
      <c r="C7" t="s">
        <v>37</v>
      </c>
      <c r="D7">
        <v>15</v>
      </c>
    </row>
    <row r="8" spans="1:4" x14ac:dyDescent="0.25">
      <c r="A8" t="s">
        <v>22</v>
      </c>
      <c r="C8" t="s">
        <v>37</v>
      </c>
      <c r="D8">
        <v>16</v>
      </c>
    </row>
    <row r="9" spans="1:4" x14ac:dyDescent="0.25">
      <c r="A9" t="s">
        <v>254</v>
      </c>
      <c r="C9" t="s">
        <v>38</v>
      </c>
      <c r="D9">
        <v>12</v>
      </c>
    </row>
    <row r="10" spans="1:4" x14ac:dyDescent="0.25">
      <c r="A10" t="s">
        <v>252</v>
      </c>
      <c r="C10" t="s">
        <v>38</v>
      </c>
      <c r="D10">
        <v>13</v>
      </c>
    </row>
    <row r="11" spans="1:4" x14ac:dyDescent="0.25">
      <c r="A11" t="s">
        <v>580</v>
      </c>
      <c r="C11" t="s">
        <v>38</v>
      </c>
      <c r="D11">
        <v>14</v>
      </c>
    </row>
    <row r="12" spans="1:4" x14ac:dyDescent="0.25">
      <c r="A12" t="s">
        <v>273</v>
      </c>
      <c r="C12" t="s">
        <v>38</v>
      </c>
      <c r="D12">
        <v>16</v>
      </c>
    </row>
    <row r="13" spans="1:4" x14ac:dyDescent="0.25">
      <c r="A13" t="s">
        <v>269</v>
      </c>
      <c r="C13" t="s">
        <v>38</v>
      </c>
      <c r="D13">
        <v>18</v>
      </c>
    </row>
    <row r="14" spans="1:4" x14ac:dyDescent="0.25">
      <c r="A14" t="s">
        <v>270</v>
      </c>
      <c r="C14" t="s">
        <v>39</v>
      </c>
      <c r="D14" t="s">
        <v>390</v>
      </c>
    </row>
    <row r="15" spans="1:4" x14ac:dyDescent="0.25">
      <c r="A15" t="s">
        <v>260</v>
      </c>
      <c r="C15" t="s">
        <v>39</v>
      </c>
      <c r="D15" t="s">
        <v>1120</v>
      </c>
    </row>
    <row r="16" spans="1:4" x14ac:dyDescent="0.25">
      <c r="A16" t="s">
        <v>250</v>
      </c>
      <c r="C16" t="s">
        <v>39</v>
      </c>
      <c r="D16">
        <v>10</v>
      </c>
    </row>
    <row r="17" spans="1:4" x14ac:dyDescent="0.25">
      <c r="A17" t="s">
        <v>323</v>
      </c>
      <c r="C17" t="s">
        <v>39</v>
      </c>
      <c r="D17">
        <v>22</v>
      </c>
    </row>
    <row r="18" spans="1:4" x14ac:dyDescent="0.25">
      <c r="A18" t="s">
        <v>159</v>
      </c>
      <c r="C18" t="s">
        <v>39</v>
      </c>
      <c r="D18">
        <v>23</v>
      </c>
    </row>
    <row r="19" spans="1:4" x14ac:dyDescent="0.25">
      <c r="A19" t="s">
        <v>307</v>
      </c>
      <c r="C19" t="s">
        <v>39</v>
      </c>
      <c r="D19">
        <v>24</v>
      </c>
    </row>
    <row r="20" spans="1:4" x14ac:dyDescent="0.25">
      <c r="A20" t="s">
        <v>331</v>
      </c>
      <c r="C20" t="s">
        <v>39</v>
      </c>
      <c r="D20">
        <v>25</v>
      </c>
    </row>
    <row r="21" spans="1:4" x14ac:dyDescent="0.25">
      <c r="A21" t="s">
        <v>286</v>
      </c>
      <c r="C21" t="s">
        <v>39</v>
      </c>
      <c r="D21">
        <v>29</v>
      </c>
    </row>
    <row r="22" spans="1:4" x14ac:dyDescent="0.25">
      <c r="A22" t="s">
        <v>280</v>
      </c>
      <c r="C22" t="s">
        <v>40</v>
      </c>
      <c r="D22" t="s">
        <v>390</v>
      </c>
    </row>
    <row r="23" spans="1:4" x14ac:dyDescent="0.25">
      <c r="A23" t="s">
        <v>148</v>
      </c>
      <c r="C23" t="s">
        <v>40</v>
      </c>
      <c r="D23" t="s">
        <v>1121</v>
      </c>
    </row>
    <row r="24" spans="1:4" x14ac:dyDescent="0.25">
      <c r="A24" t="s">
        <v>314</v>
      </c>
      <c r="C24" t="s">
        <v>40</v>
      </c>
      <c r="D24">
        <v>10</v>
      </c>
    </row>
    <row r="25" spans="1:4" x14ac:dyDescent="0.25">
      <c r="A25" t="s">
        <v>318</v>
      </c>
      <c r="C25" t="s">
        <v>40</v>
      </c>
      <c r="D25">
        <v>11</v>
      </c>
    </row>
    <row r="26" spans="1:4" x14ac:dyDescent="0.25">
      <c r="A26" t="s">
        <v>312</v>
      </c>
      <c r="C26" t="s">
        <v>40</v>
      </c>
      <c r="D26">
        <v>12</v>
      </c>
    </row>
    <row r="27" spans="1:4" x14ac:dyDescent="0.25">
      <c r="A27" t="s">
        <v>310</v>
      </c>
      <c r="C27" t="s">
        <v>40</v>
      </c>
      <c r="D27">
        <v>13</v>
      </c>
    </row>
    <row r="28" spans="1:4" x14ac:dyDescent="0.25">
      <c r="A28" t="s">
        <v>304</v>
      </c>
      <c r="C28" t="s">
        <v>43</v>
      </c>
      <c r="D28" t="s">
        <v>1108</v>
      </c>
    </row>
    <row r="29" spans="1:4" x14ac:dyDescent="0.25">
      <c r="A29" t="s">
        <v>170</v>
      </c>
      <c r="C29" t="s">
        <v>43</v>
      </c>
      <c r="D29" t="s">
        <v>386</v>
      </c>
    </row>
    <row r="30" spans="1:4" x14ac:dyDescent="0.25">
      <c r="A30" t="s">
        <v>175</v>
      </c>
      <c r="C30" t="s">
        <v>43</v>
      </c>
      <c r="D30" t="s">
        <v>1114</v>
      </c>
    </row>
    <row r="31" spans="1:4" x14ac:dyDescent="0.25">
      <c r="A31" t="s">
        <v>164</v>
      </c>
      <c r="C31" t="s">
        <v>43</v>
      </c>
      <c r="D31">
        <v>11</v>
      </c>
    </row>
    <row r="32" spans="1:4" x14ac:dyDescent="0.25">
      <c r="A32" t="s">
        <v>287</v>
      </c>
      <c r="C32" t="s">
        <v>43</v>
      </c>
      <c r="D32">
        <v>13</v>
      </c>
    </row>
    <row r="33" spans="1:4" x14ac:dyDescent="0.25">
      <c r="A33" t="s">
        <v>306</v>
      </c>
      <c r="C33" t="s">
        <v>43</v>
      </c>
      <c r="D33">
        <v>17</v>
      </c>
    </row>
    <row r="34" spans="1:4" x14ac:dyDescent="0.25">
      <c r="A34" t="s">
        <v>251</v>
      </c>
      <c r="C34" t="s">
        <v>44</v>
      </c>
      <c r="D34" t="s">
        <v>390</v>
      </c>
    </row>
    <row r="35" spans="1:4" x14ac:dyDescent="0.25">
      <c r="A35" t="s">
        <v>217</v>
      </c>
      <c r="C35" t="s">
        <v>44</v>
      </c>
      <c r="D35" t="s">
        <v>1108</v>
      </c>
    </row>
    <row r="36" spans="1:4" x14ac:dyDescent="0.25">
      <c r="A36" t="s">
        <v>178</v>
      </c>
      <c r="C36" t="s">
        <v>44</v>
      </c>
      <c r="D36" t="s">
        <v>1114</v>
      </c>
    </row>
    <row r="37" spans="1:4" x14ac:dyDescent="0.25">
      <c r="A37" t="s">
        <v>229</v>
      </c>
      <c r="C37" t="s">
        <v>44</v>
      </c>
      <c r="D37">
        <v>11</v>
      </c>
    </row>
    <row r="38" spans="1:4" x14ac:dyDescent="0.25">
      <c r="A38" t="s">
        <v>139</v>
      </c>
      <c r="C38" t="s">
        <v>44</v>
      </c>
      <c r="D38">
        <v>17</v>
      </c>
    </row>
    <row r="39" spans="1:4" x14ac:dyDescent="0.25">
      <c r="A39" t="s">
        <v>141</v>
      </c>
      <c r="C39" t="s">
        <v>44</v>
      </c>
      <c r="D39">
        <v>21</v>
      </c>
    </row>
    <row r="40" spans="1:4" x14ac:dyDescent="0.25">
      <c r="A40" t="s">
        <v>142</v>
      </c>
      <c r="C40" t="s">
        <v>44</v>
      </c>
      <c r="D40">
        <v>22</v>
      </c>
    </row>
    <row r="41" spans="1:4" x14ac:dyDescent="0.25">
      <c r="A41" t="s">
        <v>155</v>
      </c>
      <c r="C41" t="s">
        <v>44</v>
      </c>
      <c r="D41">
        <v>24</v>
      </c>
    </row>
    <row r="42" spans="1:4" x14ac:dyDescent="0.25">
      <c r="A42" t="s">
        <v>161</v>
      </c>
      <c r="C42" t="s">
        <v>44</v>
      </c>
      <c r="D42">
        <v>27</v>
      </c>
    </row>
    <row r="43" spans="1:4" x14ac:dyDescent="0.25">
      <c r="A43" t="s">
        <v>264</v>
      </c>
      <c r="C43" t="s">
        <v>45</v>
      </c>
      <c r="D43" t="s">
        <v>1118</v>
      </c>
    </row>
    <row r="44" spans="1:4" x14ac:dyDescent="0.25">
      <c r="A44" t="s">
        <v>201</v>
      </c>
      <c r="C44" t="s">
        <v>46</v>
      </c>
      <c r="D44">
        <v>11</v>
      </c>
    </row>
    <row r="45" spans="1:4" x14ac:dyDescent="0.25">
      <c r="A45" t="s">
        <v>176</v>
      </c>
      <c r="C45" t="s">
        <v>46</v>
      </c>
      <c r="D45">
        <v>15</v>
      </c>
    </row>
    <row r="46" spans="1:4" x14ac:dyDescent="0.25">
      <c r="A46" t="s">
        <v>533</v>
      </c>
      <c r="C46" t="s">
        <v>46</v>
      </c>
      <c r="D46">
        <v>17</v>
      </c>
    </row>
    <row r="47" spans="1:4" x14ac:dyDescent="0.25">
      <c r="A47" t="s">
        <v>237</v>
      </c>
      <c r="C47" t="s">
        <v>47</v>
      </c>
      <c r="D47" t="s">
        <v>386</v>
      </c>
    </row>
    <row r="48" spans="1:4" x14ac:dyDescent="0.25">
      <c r="A48" t="s">
        <v>313</v>
      </c>
      <c r="C48" t="s">
        <v>47</v>
      </c>
      <c r="D48">
        <v>20</v>
      </c>
    </row>
    <row r="49" spans="1:1" x14ac:dyDescent="0.25">
      <c r="A49" t="s">
        <v>200</v>
      </c>
    </row>
    <row r="50" spans="1:1" x14ac:dyDescent="0.25">
      <c r="A50" t="s">
        <v>203</v>
      </c>
    </row>
    <row r="51" spans="1:1" x14ac:dyDescent="0.25">
      <c r="A51" t="s">
        <v>212</v>
      </c>
    </row>
    <row r="52" spans="1:1" x14ac:dyDescent="0.25">
      <c r="A52" t="s">
        <v>136</v>
      </c>
    </row>
    <row r="53" spans="1:1" x14ac:dyDescent="0.25">
      <c r="A53" t="s">
        <v>13</v>
      </c>
    </row>
    <row r="54" spans="1:1" x14ac:dyDescent="0.25">
      <c r="A54" t="s">
        <v>17</v>
      </c>
    </row>
    <row r="55" spans="1:1" x14ac:dyDescent="0.25">
      <c r="A55" t="s">
        <v>18</v>
      </c>
    </row>
    <row r="56" spans="1:1" x14ac:dyDescent="0.25">
      <c r="A56" t="s">
        <v>19</v>
      </c>
    </row>
    <row r="57" spans="1:1" x14ac:dyDescent="0.25">
      <c r="A57" t="s">
        <v>28</v>
      </c>
    </row>
    <row r="58" spans="1:1" x14ac:dyDescent="0.25">
      <c r="A58" t="s">
        <v>301</v>
      </c>
    </row>
    <row r="59" spans="1:1" x14ac:dyDescent="0.25">
      <c r="A59" t="s">
        <v>265</v>
      </c>
    </row>
    <row r="60" spans="1:1" x14ac:dyDescent="0.25">
      <c r="A60" t="s">
        <v>242</v>
      </c>
    </row>
    <row r="61" spans="1:1" x14ac:dyDescent="0.25">
      <c r="A61" t="s">
        <v>276</v>
      </c>
    </row>
    <row r="62" spans="1:1" x14ac:dyDescent="0.25">
      <c r="A62" t="s">
        <v>283</v>
      </c>
    </row>
    <row r="63" spans="1:1" x14ac:dyDescent="0.25">
      <c r="A63" t="s">
        <v>712</v>
      </c>
    </row>
    <row r="64" spans="1:1" x14ac:dyDescent="0.25">
      <c r="A64" t="s">
        <v>125</v>
      </c>
    </row>
    <row r="65" spans="1:1" x14ac:dyDescent="0.25">
      <c r="A65" t="s">
        <v>302</v>
      </c>
    </row>
    <row r="66" spans="1:1" x14ac:dyDescent="0.25">
      <c r="A66" t="s">
        <v>350</v>
      </c>
    </row>
    <row r="67" spans="1:1" x14ac:dyDescent="0.25">
      <c r="A67" t="s">
        <v>126</v>
      </c>
    </row>
    <row r="68" spans="1:1" x14ac:dyDescent="0.25">
      <c r="A68" t="s">
        <v>127</v>
      </c>
    </row>
    <row r="69" spans="1:1" x14ac:dyDescent="0.25">
      <c r="A69" t="s">
        <v>147</v>
      </c>
    </row>
    <row r="70" spans="1:1" x14ac:dyDescent="0.25">
      <c r="A70" t="s">
        <v>249</v>
      </c>
    </row>
    <row r="71" spans="1:1" x14ac:dyDescent="0.25">
      <c r="A71" t="s">
        <v>267</v>
      </c>
    </row>
    <row r="72" spans="1:1" x14ac:dyDescent="0.25">
      <c r="A72" t="s">
        <v>297</v>
      </c>
    </row>
    <row r="73" spans="1:1" x14ac:dyDescent="0.25">
      <c r="A73" t="s">
        <v>216</v>
      </c>
    </row>
    <row r="74" spans="1:1" x14ac:dyDescent="0.25">
      <c r="A74" t="s">
        <v>238</v>
      </c>
    </row>
    <row r="75" spans="1:1" x14ac:dyDescent="0.25">
      <c r="A75" t="s">
        <v>233</v>
      </c>
    </row>
    <row r="76" spans="1:1" x14ac:dyDescent="0.25">
      <c r="A76" t="s">
        <v>231</v>
      </c>
    </row>
    <row r="77" spans="1:1" x14ac:dyDescent="0.25">
      <c r="A77" t="s">
        <v>240</v>
      </c>
    </row>
    <row r="78" spans="1:1" x14ac:dyDescent="0.25">
      <c r="A78" t="s">
        <v>128</v>
      </c>
    </row>
    <row r="79" spans="1:1" x14ac:dyDescent="0.25">
      <c r="A79" t="s">
        <v>325</v>
      </c>
    </row>
    <row r="80" spans="1:1" x14ac:dyDescent="0.25">
      <c r="A80" t="s">
        <v>247</v>
      </c>
    </row>
    <row r="81" spans="1:1" x14ac:dyDescent="0.25">
      <c r="A81" t="s">
        <v>154</v>
      </c>
    </row>
    <row r="82" spans="1:1" x14ac:dyDescent="0.25">
      <c r="A82" t="s">
        <v>113</v>
      </c>
    </row>
    <row r="83" spans="1:1" x14ac:dyDescent="0.25">
      <c r="A83" t="s">
        <v>117</v>
      </c>
    </row>
    <row r="84" spans="1:1" x14ac:dyDescent="0.25">
      <c r="A84" t="s">
        <v>261</v>
      </c>
    </row>
    <row r="85" spans="1:1" x14ac:dyDescent="0.25">
      <c r="A85" t="s">
        <v>107</v>
      </c>
    </row>
    <row r="86" spans="1:1" x14ac:dyDescent="0.25">
      <c r="A86" t="s">
        <v>121</v>
      </c>
    </row>
    <row r="87" spans="1:1" x14ac:dyDescent="0.25">
      <c r="A87" t="s">
        <v>688</v>
      </c>
    </row>
    <row r="88" spans="1:1" x14ac:dyDescent="0.25">
      <c r="A88" t="s">
        <v>146</v>
      </c>
    </row>
    <row r="89" spans="1:1" x14ac:dyDescent="0.25">
      <c r="A89" t="s">
        <v>279</v>
      </c>
    </row>
    <row r="90" spans="1:1" x14ac:dyDescent="0.25">
      <c r="A90" t="s">
        <v>215</v>
      </c>
    </row>
    <row r="91" spans="1:1" x14ac:dyDescent="0.25">
      <c r="A91" t="s">
        <v>199</v>
      </c>
    </row>
    <row r="92" spans="1:1" x14ac:dyDescent="0.25">
      <c r="A92" t="s">
        <v>198</v>
      </c>
    </row>
    <row r="93" spans="1:1" x14ac:dyDescent="0.25">
      <c r="A93" t="s">
        <v>143</v>
      </c>
    </row>
    <row r="94" spans="1:1" x14ac:dyDescent="0.25">
      <c r="A94" t="s">
        <v>293</v>
      </c>
    </row>
    <row r="95" spans="1:1" x14ac:dyDescent="0.25">
      <c r="A95" t="s">
        <v>305</v>
      </c>
    </row>
    <row r="96" spans="1:1" x14ac:dyDescent="0.25">
      <c r="A96" t="s">
        <v>230</v>
      </c>
    </row>
    <row r="97" spans="1:1" x14ac:dyDescent="0.25">
      <c r="A97" t="s">
        <v>315</v>
      </c>
    </row>
    <row r="98" spans="1:1" x14ac:dyDescent="0.25">
      <c r="A98" t="s">
        <v>122</v>
      </c>
    </row>
    <row r="99" spans="1:1" x14ac:dyDescent="0.25">
      <c r="A99" t="s">
        <v>258</v>
      </c>
    </row>
  </sheetData>
  <sortState ref="A1:D99">
    <sortCondition ref="C1:C99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0443A-9567-4D74-9352-976401E29CB4}">
  <sheetPr codeName="Hoja3"/>
  <dimension ref="A3:E24"/>
  <sheetViews>
    <sheetView workbookViewId="0"/>
  </sheetViews>
  <sheetFormatPr baseColWidth="10" defaultColWidth="9.140625" defaultRowHeight="15" x14ac:dyDescent="0.25"/>
  <cols>
    <col min="1" max="1" width="13.5703125" bestFit="1" customWidth="1"/>
    <col min="2" max="2" width="19.42578125" style="11" bestFit="1" customWidth="1"/>
    <col min="3" max="3" width="16.42578125" bestFit="1" customWidth="1"/>
    <col min="4" max="4" width="27.5703125" bestFit="1" customWidth="1"/>
    <col min="5" max="5" width="17.140625" bestFit="1" customWidth="1"/>
    <col min="6" max="634" width="5" bestFit="1" customWidth="1"/>
    <col min="635" max="635" width="12.85546875" bestFit="1" customWidth="1"/>
  </cols>
  <sheetData>
    <row r="3" spans="1:5" x14ac:dyDescent="0.25">
      <c r="A3" s="10" t="s">
        <v>32</v>
      </c>
      <c r="B3" t="s">
        <v>33</v>
      </c>
      <c r="C3" t="s">
        <v>34</v>
      </c>
      <c r="D3" t="s">
        <v>5</v>
      </c>
      <c r="E3" t="s">
        <v>4</v>
      </c>
    </row>
    <row r="4" spans="1:5" x14ac:dyDescent="0.25">
      <c r="A4" t="s">
        <v>35</v>
      </c>
      <c r="B4" s="98">
        <v>5874.6962388167385</v>
      </c>
      <c r="C4" s="99">
        <v>1.4922504196412296</v>
      </c>
      <c r="D4" s="99">
        <v>56.193869796358335</v>
      </c>
      <c r="E4" s="98">
        <v>80.090909090909093</v>
      </c>
    </row>
    <row r="5" spans="1:5" x14ac:dyDescent="0.25">
      <c r="A5" t="s">
        <v>36</v>
      </c>
      <c r="B5" s="98">
        <v>6151.2406490165349</v>
      </c>
      <c r="C5" s="99">
        <v>1.5296416482830462</v>
      </c>
      <c r="D5" s="99">
        <v>51.451146469471475</v>
      </c>
      <c r="E5" s="98">
        <v>80.761904761904759</v>
      </c>
    </row>
    <row r="6" spans="1:5" x14ac:dyDescent="0.25">
      <c r="A6" t="s">
        <v>37</v>
      </c>
      <c r="B6" s="98">
        <v>6904.6127901852979</v>
      </c>
      <c r="C6" s="99">
        <v>1.5488091520825256</v>
      </c>
      <c r="D6" s="99">
        <v>65.432384391096036</v>
      </c>
      <c r="E6" s="98">
        <v>79.268292682926827</v>
      </c>
    </row>
    <row r="7" spans="1:5" x14ac:dyDescent="0.25">
      <c r="A7" t="s">
        <v>38</v>
      </c>
      <c r="B7" s="98">
        <v>4795.166949731758</v>
      </c>
      <c r="C7" s="99">
        <v>2.1126134966101637</v>
      </c>
      <c r="D7" s="99">
        <v>50.037859475402641</v>
      </c>
      <c r="E7" s="98">
        <v>79.828571428571422</v>
      </c>
    </row>
    <row r="8" spans="1:5" x14ac:dyDescent="0.25">
      <c r="A8" t="s">
        <v>39</v>
      </c>
      <c r="B8" s="98">
        <v>7620.3168580335714</v>
      </c>
      <c r="C8" s="99">
        <v>1.5318482547896159</v>
      </c>
      <c r="D8" s="99">
        <v>64.033868385575204</v>
      </c>
      <c r="E8" s="98">
        <v>85.06</v>
      </c>
    </row>
    <row r="9" spans="1:5" x14ac:dyDescent="0.25">
      <c r="A9" t="s">
        <v>41</v>
      </c>
      <c r="B9" s="98">
        <v>6526.4529006475932</v>
      </c>
      <c r="C9" s="99">
        <v>1.3798633834190861</v>
      </c>
      <c r="D9" s="99">
        <v>71.849347948077096</v>
      </c>
      <c r="E9" s="98">
        <v>87.166666666666671</v>
      </c>
    </row>
    <row r="10" spans="1:5" x14ac:dyDescent="0.25">
      <c r="A10" t="s">
        <v>42</v>
      </c>
      <c r="B10" s="98">
        <v>5807.9979850604514</v>
      </c>
      <c r="C10" s="99">
        <v>1.6196814105825306</v>
      </c>
      <c r="D10" s="99">
        <v>53.393208998632055</v>
      </c>
      <c r="E10" s="98">
        <v>73.625</v>
      </c>
    </row>
    <row r="11" spans="1:5" x14ac:dyDescent="0.25">
      <c r="A11" t="s">
        <v>43</v>
      </c>
      <c r="B11" s="98">
        <v>5876.5371050735994</v>
      </c>
      <c r="C11" s="99">
        <v>1.4163885736403379</v>
      </c>
      <c r="D11" s="99">
        <v>63.352757869497403</v>
      </c>
      <c r="E11" s="98">
        <v>83.478260869565219</v>
      </c>
    </row>
    <row r="12" spans="1:5" x14ac:dyDescent="0.25">
      <c r="A12" t="s">
        <v>44</v>
      </c>
      <c r="B12" s="98">
        <v>3673.9039748247383</v>
      </c>
      <c r="C12" s="99">
        <v>1.6134886630269591</v>
      </c>
      <c r="D12" s="99">
        <v>43.78257542440361</v>
      </c>
      <c r="E12" s="98">
        <v>72</v>
      </c>
    </row>
    <row r="13" spans="1:5" x14ac:dyDescent="0.25">
      <c r="A13" t="s">
        <v>45</v>
      </c>
      <c r="B13" s="98">
        <v>6695.8047446274122</v>
      </c>
      <c r="C13" s="99">
        <v>1.4391253817382712</v>
      </c>
      <c r="D13" s="99">
        <v>56.308859016736314</v>
      </c>
      <c r="E13" s="98">
        <v>80.631578947368425</v>
      </c>
    </row>
    <row r="14" spans="1:5" x14ac:dyDescent="0.25">
      <c r="A14" t="s">
        <v>46</v>
      </c>
      <c r="B14" s="98">
        <v>8141.2843092211324</v>
      </c>
      <c r="C14" s="99">
        <v>1.4304531213264493</v>
      </c>
      <c r="D14" s="99">
        <v>73.33006790850925</v>
      </c>
      <c r="E14" s="98">
        <v>77.322580645161295</v>
      </c>
    </row>
    <row r="15" spans="1:5" x14ac:dyDescent="0.25">
      <c r="A15" t="s">
        <v>47</v>
      </c>
      <c r="B15" s="98">
        <v>9103.6755817550365</v>
      </c>
      <c r="C15" s="99">
        <v>1.399324245470724</v>
      </c>
      <c r="D15" s="99">
        <v>74.174466651739664</v>
      </c>
      <c r="E15" s="98">
        <v>83.58064516129032</v>
      </c>
    </row>
    <row r="16" spans="1:5" x14ac:dyDescent="0.25">
      <c r="A16" t="s">
        <v>48</v>
      </c>
      <c r="B16" s="98">
        <v>8021.2604870323385</v>
      </c>
      <c r="C16" s="99">
        <v>1.3548066187801868</v>
      </c>
      <c r="D16" s="99">
        <v>76.683148896836954</v>
      </c>
      <c r="E16" s="98">
        <v>86.5</v>
      </c>
    </row>
    <row r="17" spans="1:5" x14ac:dyDescent="0.25">
      <c r="A17" t="s">
        <v>49</v>
      </c>
      <c r="B17" s="98">
        <v>4704.9667583030441</v>
      </c>
      <c r="C17" s="99">
        <v>1.8957223039944486</v>
      </c>
      <c r="D17" s="99">
        <v>48.510918531130336</v>
      </c>
      <c r="E17" s="98">
        <v>86.13513513513513</v>
      </c>
    </row>
    <row r="18" spans="1:5" x14ac:dyDescent="0.25">
      <c r="A18" t="s">
        <v>40</v>
      </c>
      <c r="B18" s="98">
        <v>5755.8131713960211</v>
      </c>
      <c r="C18" s="99">
        <v>1.6542471582033962</v>
      </c>
      <c r="D18" s="99">
        <v>59.796758554076533</v>
      </c>
      <c r="E18" s="98">
        <v>80.90625</v>
      </c>
    </row>
    <row r="19" spans="1:5" x14ac:dyDescent="0.25">
      <c r="A19" t="s">
        <v>31</v>
      </c>
      <c r="B19" s="44">
        <v>6262.1794887157494</v>
      </c>
      <c r="C19" s="11">
        <v>1.602403682433891</v>
      </c>
      <c r="D19" s="11">
        <v>59.115278784519788</v>
      </c>
      <c r="E19" s="44">
        <v>80.492788461538467</v>
      </c>
    </row>
    <row r="20" spans="1:5" x14ac:dyDescent="0.25">
      <c r="B20"/>
    </row>
    <row r="21" spans="1:5" x14ac:dyDescent="0.25">
      <c r="B21"/>
    </row>
    <row r="22" spans="1:5" x14ac:dyDescent="0.25">
      <c r="B22"/>
    </row>
    <row r="23" spans="1:5" x14ac:dyDescent="0.25">
      <c r="B23"/>
    </row>
    <row r="24" spans="1:5" x14ac:dyDescent="0.25">
      <c r="B24"/>
    </row>
  </sheetData>
  <conditionalFormatting pivot="1" sqref="B4:B16">
    <cfRule type="cellIs" dxfId="12" priority="6" operator="greaterThan">
      <formula>5000</formula>
    </cfRule>
  </conditionalFormatting>
  <conditionalFormatting pivot="1" sqref="B4:B16">
    <cfRule type="cellIs" dxfId="11" priority="5" operator="lessThan">
      <formula>4000</formula>
    </cfRule>
  </conditionalFormatting>
  <conditionalFormatting pivot="1" sqref="C4:C16">
    <cfRule type="cellIs" dxfId="10" priority="4" operator="lessThan">
      <formula>1.4</formula>
    </cfRule>
  </conditionalFormatting>
  <conditionalFormatting pivot="1" sqref="C4:C16">
    <cfRule type="cellIs" dxfId="9" priority="3" operator="greaterThan">
      <formula>1.65</formula>
    </cfRule>
  </conditionalFormatting>
  <conditionalFormatting pivot="1" sqref="D4:D16">
    <cfRule type="cellIs" dxfId="8" priority="2" operator="lessThan">
      <formula>60</formula>
    </cfRule>
  </conditionalFormatting>
  <conditionalFormatting pivot="1" sqref="D4:D16">
    <cfRule type="cellIs" dxfId="7" priority="1" operator="greaterThan">
      <formula>75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43AB-D4EE-4E8A-BFF8-8E8D43F91952}">
  <sheetPr codeName="Hoja13" filterMode="1"/>
  <dimension ref="A1:T13"/>
  <sheetViews>
    <sheetView workbookViewId="0">
      <selection activeCell="A14" sqref="A14"/>
    </sheetView>
  </sheetViews>
  <sheetFormatPr baseColWidth="10" defaultColWidth="9.140625" defaultRowHeight="15" x14ac:dyDescent="0.25"/>
  <cols>
    <col min="1" max="1" width="18.140625" bestFit="1" customWidth="1"/>
    <col min="2" max="2" width="10.5703125" bestFit="1" customWidth="1"/>
    <col min="3" max="3" width="12.5703125" bestFit="1" customWidth="1"/>
    <col min="4" max="4" width="8.140625" bestFit="1" customWidth="1"/>
    <col min="5" max="5" width="5.42578125" bestFit="1" customWidth="1"/>
    <col min="6" max="7" width="12.5703125" bestFit="1" customWidth="1"/>
    <col min="8" max="8" width="10.28515625" bestFit="1" customWidth="1"/>
    <col min="9" max="9" width="20.28515625" bestFit="1" customWidth="1"/>
    <col min="10" max="10" width="12.5703125" bestFit="1" customWidth="1"/>
    <col min="11" max="11" width="14.140625" bestFit="1" customWidth="1"/>
    <col min="12" max="12" width="11.28515625" bestFit="1" customWidth="1"/>
    <col min="13" max="14" width="11.28515625" customWidth="1"/>
    <col min="15" max="15" width="18.7109375" bestFit="1" customWidth="1"/>
    <col min="16" max="16" width="18.7109375" customWidth="1"/>
    <col min="17" max="17" width="7.28515625" bestFit="1" customWidth="1"/>
    <col min="18" max="18" width="15.5703125" bestFit="1" customWidth="1"/>
  </cols>
  <sheetData>
    <row r="1" spans="1:20" x14ac:dyDescent="0.25">
      <c r="A1" t="s">
        <v>353</v>
      </c>
      <c r="B1" t="s">
        <v>2</v>
      </c>
      <c r="C1" t="s">
        <v>1159</v>
      </c>
      <c r="D1" t="s">
        <v>356</v>
      </c>
      <c r="E1" t="s">
        <v>357</v>
      </c>
      <c r="F1" t="s">
        <v>358</v>
      </c>
      <c r="G1" t="s">
        <v>32</v>
      </c>
      <c r="H1" t="s">
        <v>61</v>
      </c>
      <c r="I1" t="s">
        <v>101</v>
      </c>
      <c r="J1" t="s">
        <v>359</v>
      </c>
      <c r="K1" t="s">
        <v>360</v>
      </c>
      <c r="L1" t="s">
        <v>361</v>
      </c>
      <c r="M1" t="s">
        <v>1160</v>
      </c>
      <c r="N1" t="s">
        <v>1161</v>
      </c>
      <c r="O1" t="s">
        <v>1162</v>
      </c>
      <c r="P1" t="s">
        <v>356</v>
      </c>
      <c r="Q1" t="s">
        <v>60</v>
      </c>
      <c r="R1" t="s">
        <v>362</v>
      </c>
    </row>
    <row r="2" spans="1:20" hidden="1" x14ac:dyDescent="0.25">
      <c r="A2" t="s">
        <v>287</v>
      </c>
      <c r="B2" t="s">
        <v>790</v>
      </c>
      <c r="C2" t="s">
        <v>366</v>
      </c>
      <c r="D2">
        <v>12500</v>
      </c>
      <c r="E2">
        <v>15</v>
      </c>
      <c r="F2">
        <v>45385</v>
      </c>
      <c r="G2" t="s">
        <v>43</v>
      </c>
      <c r="H2" t="s">
        <v>1115</v>
      </c>
      <c r="I2" t="s">
        <v>874</v>
      </c>
      <c r="J2">
        <v>378333.33333333331</v>
      </c>
      <c r="K2">
        <v>12500</v>
      </c>
      <c r="L2">
        <v>15</v>
      </c>
      <c r="Q2" t="s">
        <v>397</v>
      </c>
      <c r="R2" t="s">
        <v>1</v>
      </c>
      <c r="S2" t="s">
        <v>1163</v>
      </c>
      <c r="T2" t="s">
        <v>1163</v>
      </c>
    </row>
    <row r="3" spans="1:20" hidden="1" x14ac:dyDescent="0.25">
      <c r="A3" t="s">
        <v>197</v>
      </c>
      <c r="B3" t="s">
        <v>790</v>
      </c>
      <c r="C3" t="s">
        <v>366</v>
      </c>
      <c r="D3">
        <v>9500</v>
      </c>
      <c r="E3">
        <v>15</v>
      </c>
      <c r="F3">
        <v>45387</v>
      </c>
      <c r="G3" t="s">
        <v>43</v>
      </c>
      <c r="H3" t="s">
        <v>1106</v>
      </c>
      <c r="I3" t="s">
        <v>874</v>
      </c>
      <c r="J3">
        <v>287533.33333333331</v>
      </c>
      <c r="K3">
        <v>9500</v>
      </c>
      <c r="L3">
        <v>15</v>
      </c>
      <c r="Q3" t="s">
        <v>397</v>
      </c>
      <c r="R3" t="s">
        <v>1</v>
      </c>
      <c r="S3" t="s">
        <v>1163</v>
      </c>
      <c r="T3" t="s">
        <v>1163</v>
      </c>
    </row>
    <row r="4" spans="1:20" x14ac:dyDescent="0.25">
      <c r="A4" t="s">
        <v>217</v>
      </c>
      <c r="B4" t="s">
        <v>801</v>
      </c>
      <c r="C4" t="s">
        <v>367</v>
      </c>
      <c r="D4">
        <v>6100</v>
      </c>
      <c r="E4">
        <v>13</v>
      </c>
      <c r="F4" s="6">
        <v>45386</v>
      </c>
      <c r="G4" t="s">
        <v>44</v>
      </c>
      <c r="H4" t="s">
        <v>1108</v>
      </c>
      <c r="I4" t="s">
        <v>857</v>
      </c>
      <c r="J4">
        <v>213030.76923076922</v>
      </c>
      <c r="K4">
        <v>6100</v>
      </c>
      <c r="L4">
        <v>14.3</v>
      </c>
      <c r="M4" t="s">
        <v>1164</v>
      </c>
      <c r="N4">
        <v>31</v>
      </c>
      <c r="O4">
        <v>10</v>
      </c>
      <c r="P4" s="44">
        <f>(O4*N4)*2.2046</f>
        <v>683.42600000000004</v>
      </c>
      <c r="Q4" t="s">
        <v>397</v>
      </c>
      <c r="R4" t="s">
        <v>401</v>
      </c>
      <c r="S4" t="s">
        <v>1163</v>
      </c>
      <c r="T4" t="s">
        <v>1165</v>
      </c>
    </row>
    <row r="5" spans="1:20" x14ac:dyDescent="0.25">
      <c r="A5" t="s">
        <v>217</v>
      </c>
      <c r="B5" t="s">
        <v>801</v>
      </c>
      <c r="C5" t="s">
        <v>367</v>
      </c>
      <c r="D5">
        <v>6100</v>
      </c>
      <c r="E5">
        <v>13</v>
      </c>
      <c r="F5" s="6">
        <v>45386</v>
      </c>
      <c r="G5" t="s">
        <v>44</v>
      </c>
      <c r="H5" t="s">
        <v>1108</v>
      </c>
      <c r="I5" t="s">
        <v>857</v>
      </c>
      <c r="J5">
        <v>213030.76923076922</v>
      </c>
      <c r="K5">
        <v>6100</v>
      </c>
      <c r="L5">
        <v>14.3</v>
      </c>
      <c r="M5" t="s">
        <v>1166</v>
      </c>
      <c r="N5">
        <v>88</v>
      </c>
      <c r="O5">
        <v>10</v>
      </c>
      <c r="P5" s="44">
        <f>(O5*N5)*2.2046</f>
        <v>1940.048</v>
      </c>
      <c r="Q5" t="s">
        <v>397</v>
      </c>
      <c r="R5" t="s">
        <v>401</v>
      </c>
      <c r="S5" t="s">
        <v>1163</v>
      </c>
      <c r="T5" t="s">
        <v>1165</v>
      </c>
    </row>
    <row r="6" spans="1:20" x14ac:dyDescent="0.25">
      <c r="A6" t="s">
        <v>142</v>
      </c>
      <c r="B6" t="s">
        <v>801</v>
      </c>
      <c r="C6" t="s">
        <v>367</v>
      </c>
      <c r="D6">
        <v>2700</v>
      </c>
      <c r="E6">
        <v>13</v>
      </c>
      <c r="F6" s="6">
        <v>45386</v>
      </c>
      <c r="G6" t="s">
        <v>44</v>
      </c>
      <c r="H6" t="s">
        <v>1127</v>
      </c>
      <c r="I6" t="s">
        <v>857</v>
      </c>
      <c r="J6">
        <v>94292.307692307688</v>
      </c>
      <c r="K6">
        <v>2700</v>
      </c>
      <c r="L6">
        <v>13</v>
      </c>
      <c r="Q6" t="s">
        <v>397</v>
      </c>
      <c r="R6" t="s">
        <v>401</v>
      </c>
      <c r="S6" t="s">
        <v>1163</v>
      </c>
      <c r="T6" t="s">
        <v>1167</v>
      </c>
    </row>
    <row r="7" spans="1:20" x14ac:dyDescent="0.25">
      <c r="A7" t="s">
        <v>248</v>
      </c>
      <c r="B7" t="s">
        <v>775</v>
      </c>
      <c r="C7" t="s">
        <v>367</v>
      </c>
      <c r="D7">
        <v>12000</v>
      </c>
      <c r="E7">
        <v>15.4</v>
      </c>
      <c r="F7" s="6">
        <v>45386</v>
      </c>
      <c r="G7" t="s">
        <v>46</v>
      </c>
      <c r="H7" t="s">
        <v>1098</v>
      </c>
      <c r="I7" t="s">
        <v>819</v>
      </c>
      <c r="J7">
        <v>353766.23376623378</v>
      </c>
      <c r="K7">
        <v>12000</v>
      </c>
      <c r="L7">
        <v>15.4</v>
      </c>
      <c r="M7" t="s">
        <v>1168</v>
      </c>
      <c r="N7">
        <v>70</v>
      </c>
      <c r="O7">
        <v>10</v>
      </c>
      <c r="P7" s="44">
        <f>(O7*N7)*2.2046</f>
        <v>1543.22</v>
      </c>
      <c r="Q7" t="s">
        <v>397</v>
      </c>
      <c r="R7" t="s">
        <v>401</v>
      </c>
      <c r="S7" t="s">
        <v>1169</v>
      </c>
      <c r="T7" t="s">
        <v>1165</v>
      </c>
    </row>
    <row r="8" spans="1:20" x14ac:dyDescent="0.25">
      <c r="A8" t="s">
        <v>248</v>
      </c>
      <c r="B8" t="s">
        <v>775</v>
      </c>
      <c r="C8" t="s">
        <v>367</v>
      </c>
      <c r="D8">
        <v>12000</v>
      </c>
      <c r="E8">
        <v>15.4</v>
      </c>
      <c r="F8" s="6">
        <v>45386</v>
      </c>
      <c r="G8" t="s">
        <v>46</v>
      </c>
      <c r="H8" t="s">
        <v>1098</v>
      </c>
      <c r="I8" t="s">
        <v>819</v>
      </c>
      <c r="J8">
        <v>353766.23376623378</v>
      </c>
      <c r="K8">
        <v>12000</v>
      </c>
      <c r="L8">
        <v>15.4</v>
      </c>
      <c r="M8" t="s">
        <v>1166</v>
      </c>
      <c r="N8">
        <v>41</v>
      </c>
      <c r="O8">
        <v>10</v>
      </c>
      <c r="P8" s="44">
        <f>(O8*N8)*2.2046</f>
        <v>903.88600000000008</v>
      </c>
    </row>
    <row r="9" spans="1:20" x14ac:dyDescent="0.25">
      <c r="A9" t="s">
        <v>248</v>
      </c>
      <c r="B9" t="s">
        <v>775</v>
      </c>
      <c r="C9" t="s">
        <v>367</v>
      </c>
      <c r="D9">
        <v>12000</v>
      </c>
      <c r="E9">
        <v>15.4</v>
      </c>
      <c r="F9" s="6">
        <v>45386</v>
      </c>
      <c r="G9" t="s">
        <v>46</v>
      </c>
      <c r="H9" t="s">
        <v>1098</v>
      </c>
      <c r="I9" t="s">
        <v>819</v>
      </c>
      <c r="J9">
        <v>353766.23376623378</v>
      </c>
      <c r="K9">
        <v>12000</v>
      </c>
      <c r="L9">
        <v>15.4</v>
      </c>
      <c r="M9" t="s">
        <v>1164</v>
      </c>
      <c r="N9">
        <v>175</v>
      </c>
      <c r="O9">
        <v>10</v>
      </c>
      <c r="P9" s="44">
        <f>(O9*N9)*2.2046</f>
        <v>3858.05</v>
      </c>
    </row>
    <row r="10" spans="1:20" x14ac:dyDescent="0.25">
      <c r="A10" t="s">
        <v>290</v>
      </c>
      <c r="B10" t="s">
        <v>795</v>
      </c>
      <c r="C10" t="s">
        <v>366</v>
      </c>
      <c r="D10">
        <v>8200</v>
      </c>
      <c r="E10">
        <v>20</v>
      </c>
      <c r="F10" s="6">
        <v>45386</v>
      </c>
      <c r="G10" t="s">
        <v>42</v>
      </c>
      <c r="H10" t="s">
        <v>1106</v>
      </c>
      <c r="I10" t="s">
        <v>827</v>
      </c>
      <c r="J10">
        <v>186140</v>
      </c>
      <c r="K10">
        <v>8200</v>
      </c>
      <c r="L10">
        <v>20</v>
      </c>
      <c r="Q10" t="s">
        <v>397</v>
      </c>
      <c r="R10" t="s">
        <v>401</v>
      </c>
      <c r="S10" t="s">
        <v>1163</v>
      </c>
      <c r="T10" t="s">
        <v>1163</v>
      </c>
    </row>
    <row r="11" spans="1:20" x14ac:dyDescent="0.25">
      <c r="A11" s="57" t="s">
        <v>197</v>
      </c>
      <c r="B11" s="61" t="str">
        <f>LEFT(A11,2)</f>
        <v>PA</v>
      </c>
      <c r="C11" s="64" t="s">
        <v>366</v>
      </c>
      <c r="D11" s="62">
        <v>9500</v>
      </c>
      <c r="E11" s="63">
        <v>15</v>
      </c>
      <c r="F11" s="59">
        <v>45387</v>
      </c>
      <c r="G11" s="82" t="str">
        <f>VLOOKUP(TablaCosechas[[#This Row],[COD]],DATOS!$E$3:$F$26,2,0)</f>
        <v>DELFIN</v>
      </c>
      <c r="H11" s="61" t="str">
        <f>RIGHT(TablaCosechas[[#This Row],[SECTOR/PISCINA]],2)</f>
        <v>02</v>
      </c>
      <c r="I11" s="61" t="str">
        <f>VLOOKUP(TablaCosechas[[#This Row],[COD]],Tabla7[#All],4,0)</f>
        <v>CARLOS FLORES</v>
      </c>
      <c r="J11" s="83">
        <f>+(TablaCosechas[[#This Row],[libras planta]]*454)/L11</f>
        <v>224447.00666666665</v>
      </c>
      <c r="K11" s="84">
        <v>9500</v>
      </c>
      <c r="L11" s="64">
        <v>15</v>
      </c>
      <c r="M11" s="61" t="str">
        <f>UPPER(TEXT(TablaCosechas[[#This Row],[COSECHA]],"mmmm"))</f>
        <v>SEPTIEMBRE</v>
      </c>
      <c r="N11" s="61" t="str">
        <f>VLOOKUP(TablaCosechas[[#All],[SECTOR]],Tabla7[[#All],[SECTOR]:[Columna1]],2,0)</f>
        <v>CONVENCIONAL</v>
      </c>
      <c r="O11" s="85">
        <f>+K11-D11</f>
        <v>0</v>
      </c>
      <c r="P11" s="86">
        <f>+L11-E11</f>
        <v>0</v>
      </c>
    </row>
    <row r="12" spans="1:20" x14ac:dyDescent="0.25">
      <c r="A12" s="58" t="s">
        <v>287</v>
      </c>
      <c r="B12" s="87" t="str">
        <f>LEFT(A12,2)</f>
        <v>PA</v>
      </c>
      <c r="C12" s="88" t="s">
        <v>366</v>
      </c>
      <c r="D12" s="89">
        <v>12500</v>
      </c>
      <c r="E12" s="90">
        <v>15</v>
      </c>
      <c r="F12" s="60">
        <v>45385</v>
      </c>
      <c r="G12" s="91" t="str">
        <f>VLOOKUP(TablaCosechas[[#This Row],[COD]],DATOS!$E$3:$F$26,2,0)</f>
        <v>CHERNA</v>
      </c>
      <c r="H12" s="87" t="str">
        <f>RIGHT(TablaCosechas[[#This Row],[SECTOR/PISCINA]],2)</f>
        <v>12</v>
      </c>
      <c r="I12" s="87" t="str">
        <f>VLOOKUP(TablaCosechas[[#This Row],[COD]],Tabla7[#All],4,0)</f>
        <v>SANTIAGO OBRIEN</v>
      </c>
      <c r="J12" s="92">
        <f>+(TablaCosechas[[#This Row],[libras planta]]*454)/L12</f>
        <v>1483029.4386666669</v>
      </c>
      <c r="K12" s="89">
        <v>12500</v>
      </c>
      <c r="L12" s="90">
        <v>15</v>
      </c>
      <c r="M12" s="87" t="str">
        <f>UPPER(TEXT(TablaCosechas[[#This Row],[COSECHA]],"mmmm"))</f>
        <v>SEPTIEMBRE</v>
      </c>
      <c r="N12" s="87" t="str">
        <f>VLOOKUP(TablaCosechas[[#All],[SECTOR]],Tabla7[[#All],[SECTOR]:[Columna1]],2,0)</f>
        <v>ASC</v>
      </c>
      <c r="O12" s="93">
        <f>+K12-D12</f>
        <v>0</v>
      </c>
      <c r="P12" s="49">
        <f>+L12-E12</f>
        <v>0</v>
      </c>
    </row>
    <row r="13" spans="1:20" x14ac:dyDescent="0.25">
      <c r="P13" s="81" t="e">
        <f>+P8/$P$11</f>
        <v>#DIV/0!</v>
      </c>
    </row>
  </sheetData>
  <autoFilter ref="A1:T10" xr:uid="{70ED43AB-D4EE-4E8A-BFF8-8E8D43F91952}">
    <filterColumn colId="17">
      <filters>
        <filter val="CONVENCIONAL"/>
      </filters>
    </filterColumn>
    <sortState ref="A2:T10">
      <sortCondition ref="L1:L10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6A031A0270BF6459DFC8A931B8D86F3" ma:contentTypeVersion="5" ma:contentTypeDescription="Crear nuevo documento." ma:contentTypeScope="" ma:versionID="114f9c6e7076a3eda99f751bd343aeed">
  <xsd:schema xmlns:xsd="http://www.w3.org/2001/XMLSchema" xmlns:xs="http://www.w3.org/2001/XMLSchema" xmlns:p="http://schemas.microsoft.com/office/2006/metadata/properties" xmlns:ns3="14a7b8a9-dd77-44a1-bfe4-d422ef02747c" targetNamespace="http://schemas.microsoft.com/office/2006/metadata/properties" ma:root="true" ma:fieldsID="573054e3be3c3cf1f5a94fc0c6611b7e" ns3:_="">
    <xsd:import namespace="14a7b8a9-dd77-44a1-bfe4-d422ef02747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7b8a9-dd77-44a1-bfe4-d422ef02747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4a7b8a9-dd77-44a1-bfe4-d422ef02747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01457-011E-42DD-AC02-734AA156D6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a7b8a9-dd77-44a1-bfe4-d422ef027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187DC7-37A4-49AA-B4BC-1518030C8F02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14a7b8a9-dd77-44a1-bfe4-d422ef02747c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73A2092-2270-4CBE-B7DE-C8C5969C53CA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b6174f89-595d-4615-9f42-6f254b73894e}" enabled="1" method="Standard" siteId="{4ef3205b-0875-469b-b370-d5f129c5f796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Hoja2</vt:lpstr>
      <vt:lpstr>RESUMEN</vt:lpstr>
      <vt:lpstr>BASE 2026</vt:lpstr>
      <vt:lpstr>COSECHAS</vt:lpstr>
      <vt:lpstr>SIEMBRAS</vt:lpstr>
      <vt:lpstr>TENTATIVOS</vt:lpstr>
      <vt:lpstr>DATOS</vt:lpstr>
      <vt:lpstr>Hoja9</vt:lpstr>
      <vt:lpstr>Hoja6</vt:lpstr>
      <vt:lpstr>Hoja7</vt:lpstr>
      <vt:lpstr>Hoja1</vt:lpstr>
      <vt:lpstr>Hoja4</vt:lpstr>
      <vt:lpstr>seafarm 001 para ajuste</vt:lpstr>
      <vt:lpstr>'BASE 2026'!Área_de_impresión</vt:lpstr>
      <vt:lpstr>COSECHAS</vt:lpstr>
      <vt:lpstr>SIEMBRAS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Nadia Garcia - Asistente Administrativo</dc:creator>
  <cp:keywords/>
  <dc:description/>
  <cp:lastModifiedBy>Katherine Mendez - Asistente de Producción Camaronera</cp:lastModifiedBy>
  <cp:revision/>
  <dcterms:created xsi:type="dcterms:W3CDTF">2022-12-30T15:26:56Z</dcterms:created>
  <dcterms:modified xsi:type="dcterms:W3CDTF">2026-05-26T17:34:06Z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0x01010096A031A0270BF6459DFC8A931B8D86F3</vt:lpwstr>
  </property>
  <property fmtid="{D5CDD505-2E9C-101B-9397-08002B2CF9AE}" pid="3" name="MSIP_Label_b6174f89-595d-4615-9f42-6f254b73894e_Enabled">
    <vt:lpwstr>true</vt:lpwstr>
  </property>
  <property fmtid="{D5CDD505-2E9C-101B-9397-08002B2CF9AE}" pid="4" name="MSIP_Label_b6174f89-595d-4615-9f42-6f254b73894e_SetDate">
    <vt:lpwstr>2023-08-27T22:32:38Z</vt:lpwstr>
  </property>
  <property fmtid="{D5CDD505-2E9C-101B-9397-08002B2CF9AE}" pid="5" name="MSIP_Label_b6174f89-595d-4615-9f42-6f254b73894e_Method">
    <vt:lpwstr>Standard</vt:lpwstr>
  </property>
  <property fmtid="{D5CDD505-2E9C-101B-9397-08002B2CF9AE}" pid="6" name="MSIP_Label_b6174f89-595d-4615-9f42-6f254b73894e_Name">
    <vt:lpwstr>defa4170-0d19-0005-0004-bc88714345d2</vt:lpwstr>
  </property>
  <property fmtid="{D5CDD505-2E9C-101B-9397-08002B2CF9AE}" pid="7" name="MSIP_Label_b6174f89-595d-4615-9f42-6f254b73894e_SiteId">
    <vt:lpwstr>4ef3205b-0875-469b-b370-d5f129c5f796</vt:lpwstr>
  </property>
  <property fmtid="{D5CDD505-2E9C-101B-9397-08002B2CF9AE}" pid="8" name="MSIP_Label_b6174f89-595d-4615-9f42-6f254b73894e_ActionId">
    <vt:lpwstr>399da842-199e-4f7b-94cc-fe473b41df69</vt:lpwstr>
  </property>
  <property fmtid="{D5CDD505-2E9C-101B-9397-08002B2CF9AE}" pid="9" name="MSIP_Label_b6174f89-595d-4615-9f42-6f254b73894e_ContentBits">
    <vt:lpwstr>0</vt:lpwstr>
  </property>
</Properties>
</file>